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05" yWindow="-105" windowWidth="20730" windowHeight="11760" tabRatio="902" firstSheet="26" activeTab="34"/>
  </bookViews>
  <sheets>
    <sheet name="M-1" sheetId="1" r:id="rId1"/>
    <sheet name="M-2" sheetId="2" r:id="rId2"/>
    <sheet name="M-3" sheetId="3" r:id="rId3"/>
    <sheet name="M-4" sheetId="4" r:id="rId4"/>
    <sheet name="M-5" sheetId="5" r:id="rId5"/>
    <sheet name="M-6" sheetId="33" r:id="rId6"/>
    <sheet name="M-7" sheetId="41" r:id="rId7"/>
    <sheet name="BIG CHAIR" sheetId="6" r:id="rId8"/>
    <sheet name="Sumo" sheetId="24" r:id="rId9"/>
    <sheet name="XUV" sheetId="7" r:id="rId10"/>
    <sheet name="Innova" sheetId="22" r:id="rId11"/>
    <sheet name="Garden Table" sheetId="27" r:id="rId12"/>
    <sheet name="Stool" sheetId="12" r:id="rId13"/>
    <sheet name="Activa" sheetId="25" r:id="rId14"/>
    <sheet name="Small Chair" sheetId="29" r:id="rId15"/>
    <sheet name="EV Chair" sheetId="34" r:id="rId16"/>
    <sheet name="Aless" sheetId="9" r:id="rId17"/>
    <sheet name="Tea Table" sheetId="10" r:id="rId18"/>
    <sheet name="Chota Heritage" sheetId="8" r:id="rId19"/>
    <sheet name="M.P.Stool" sheetId="31" r:id="rId20"/>
    <sheet name="Yoddha" sheetId="30" r:id="rId21"/>
    <sheet name="ClipON Stool" sheetId="36" r:id="rId22"/>
    <sheet name="Baby Chair" sheetId="14" r:id="rId23"/>
    <sheet name=" BABA CHAIR 1" sheetId="37" r:id="rId24"/>
    <sheet name="Jordan New" sheetId="18" r:id="rId25"/>
    <sheet name="Jordan Chair" sheetId="13" r:id="rId26"/>
    <sheet name="High cros" sheetId="39" r:id="rId27"/>
    <sheet name="Ring Table" sheetId="42" r:id="rId28"/>
    <sheet name="ARM LESS SUMO" sheetId="44" r:id="rId29"/>
    <sheet name="JIO TABLE" sheetId="43" r:id="rId30"/>
    <sheet name="Dining Table" sheetId="23" r:id="rId31"/>
    <sheet name="Web Chair" sheetId="40" r:id="rId32"/>
    <sheet name="F.Stand &amp; C Table" sheetId="15" r:id="rId33"/>
    <sheet name="Fruit Crate" sheetId="11" r:id="rId34"/>
    <sheet name="Final Stock New" sheetId="19" r:id="rId35"/>
    <sheet name="Sheet2" sheetId="16" state="hidden" r:id="rId36"/>
    <sheet name="Sheet1" sheetId="17" state="hidden" r:id="rId37"/>
    <sheet name="Sheet3" sheetId="38" r:id="rId38"/>
  </sheets>
  <externalReferences>
    <externalReference r:id="rId39"/>
  </externalReferences>
  <definedNames>
    <definedName name="_xlnm._FilterDatabase" localSheetId="7" hidden="1">'BIG CHAIR'!$A$208:$CQ$208</definedName>
    <definedName name="_xlnm._FilterDatabase" localSheetId="25" hidden="1">'Jordan Chair'!$A$152:$AM$221</definedName>
    <definedName name="_xlnm._FilterDatabase" localSheetId="17" hidden="1">'Tea Table'!$A$149:$AQ$197</definedName>
    <definedName name="_xlnm.Print_Area" localSheetId="34">'Final Stock New'!$K$188:$O$218</definedName>
    <definedName name="_xlnm.Print_Area" localSheetId="25">'Jordan Chair'!$A$1:$AJ$279</definedName>
  </definedNames>
  <calcPr calcId="162913"/>
</workbook>
</file>

<file path=xl/calcChain.xml><?xml version="1.0" encoding="utf-8"?>
<calcChain xmlns="http://schemas.openxmlformats.org/spreadsheetml/2006/main">
  <c r="P153" i="19" l="1"/>
  <c r="U287" i="29" l="1"/>
  <c r="Q287" i="29"/>
  <c r="K296" i="44"/>
  <c r="M191" i="42"/>
  <c r="R238" i="10"/>
  <c r="N245" i="27"/>
  <c r="S245" i="27"/>
  <c r="T239" i="7"/>
  <c r="R239" i="7"/>
  <c r="N239" i="7"/>
  <c r="S235" i="34"/>
  <c r="T235" i="34"/>
  <c r="BJ313" i="6"/>
  <c r="N178" i="24"/>
  <c r="S178" i="24"/>
  <c r="V258" i="25"/>
  <c r="Z258" i="25"/>
  <c r="AC258" i="25"/>
  <c r="AM313" i="6"/>
  <c r="W287" i="29"/>
  <c r="V186" i="8"/>
  <c r="M231" i="30"/>
  <c r="N244" i="27"/>
  <c r="S244" i="27"/>
  <c r="E237" i="10"/>
  <c r="V257" i="25"/>
  <c r="Z257" i="25"/>
  <c r="AC257" i="25"/>
  <c r="W286" i="29"/>
  <c r="L312" i="6"/>
  <c r="F312" i="6"/>
  <c r="BA312" i="6"/>
  <c r="BD312" i="6"/>
  <c r="G172" i="37"/>
  <c r="H172" i="37"/>
  <c r="F172" i="37"/>
  <c r="N243" i="27"/>
  <c r="S243" i="27"/>
  <c r="I190" i="42"/>
  <c r="S190" i="42"/>
  <c r="M230" i="30"/>
  <c r="O230" i="30"/>
  <c r="W230" i="30"/>
  <c r="BA311" i="6"/>
  <c r="BC311" i="6"/>
  <c r="BF311" i="6"/>
  <c r="Z290" i="39"/>
  <c r="BV311" i="6"/>
  <c r="P285" i="29"/>
  <c r="V256" i="25"/>
  <c r="Z256" i="25"/>
  <c r="AC256" i="25"/>
  <c r="W256" i="25"/>
  <c r="AM311" i="6"/>
  <c r="K309" i="9"/>
  <c r="J309" i="9"/>
  <c r="K308" i="9"/>
  <c r="J308" i="9"/>
  <c r="BZ310" i="6"/>
  <c r="X255" i="25"/>
  <c r="AC255" i="25"/>
  <c r="W255" i="25"/>
  <c r="M229" i="30"/>
  <c r="O229" i="30"/>
  <c r="W229" i="30"/>
  <c r="J221" i="9" l="1"/>
  <c r="S221" i="9"/>
  <c r="I47" i="41"/>
  <c r="W137" i="30"/>
  <c r="BA158" i="6"/>
  <c r="W115" i="25"/>
  <c r="AI75" i="18"/>
  <c r="AF75" i="18"/>
  <c r="V75" i="18"/>
  <c r="X75" i="18"/>
  <c r="U87" i="3"/>
  <c r="CM55" i="6"/>
  <c r="BZ55" i="6"/>
  <c r="AA9" i="29"/>
  <c r="AJ220" i="9"/>
  <c r="AG220" i="9"/>
  <c r="S220" i="9"/>
  <c r="O220" i="9"/>
  <c r="I43" i="41"/>
  <c r="W136" i="30"/>
  <c r="CM157" i="6"/>
  <c r="CJ157" i="6"/>
  <c r="BA157" i="6"/>
  <c r="AI114" i="25"/>
  <c r="W114" i="25"/>
  <c r="Z114" i="25"/>
  <c r="AX66" i="4"/>
  <c r="K66" i="4"/>
  <c r="X74" i="18"/>
  <c r="Y74" i="18"/>
  <c r="U84" i="3"/>
  <c r="CM54" i="6"/>
  <c r="BZ54" i="6"/>
  <c r="AA8" i="29"/>
  <c r="I189" i="42"/>
  <c r="G171" i="37"/>
  <c r="H171" i="37"/>
  <c r="F171" i="37"/>
  <c r="S234" i="34"/>
  <c r="I238" i="7"/>
  <c r="Z295" i="44"/>
  <c r="W295" i="44"/>
  <c r="Z228" i="30"/>
  <c r="X228" i="30"/>
  <c r="V179" i="13"/>
  <c r="L309" i="6"/>
  <c r="F309" i="6"/>
  <c r="M228" i="30"/>
  <c r="O228" i="30"/>
  <c r="O307" i="9"/>
  <c r="Y208" i="18"/>
  <c r="W208" i="18"/>
  <c r="H208" i="18"/>
  <c r="M254" i="25"/>
  <c r="S254" i="25"/>
  <c r="T254" i="25"/>
  <c r="T238" i="7"/>
  <c r="P238" i="7"/>
  <c r="N238" i="7"/>
  <c r="AC254" i="25"/>
  <c r="BA309" i="6"/>
  <c r="BI309" i="6"/>
  <c r="BJ309" i="6"/>
  <c r="R284" i="29"/>
  <c r="N242" i="27"/>
  <c r="S242" i="27"/>
  <c r="N236" i="10"/>
  <c r="S236" i="10"/>
  <c r="R236" i="10"/>
  <c r="P182" i="15"/>
  <c r="Q182" i="15"/>
  <c r="R182" i="15"/>
  <c r="G178" i="13"/>
  <c r="J178" i="13"/>
  <c r="AA284" i="29"/>
  <c r="V253" i="25"/>
  <c r="Z253" i="25"/>
  <c r="AC253" i="25"/>
  <c r="M227" i="30"/>
  <c r="Z227" i="30"/>
  <c r="V207" i="18"/>
  <c r="W207" i="18"/>
  <c r="V178" i="13"/>
  <c r="AA178" i="13"/>
  <c r="BA308" i="6"/>
  <c r="BD308" i="6"/>
  <c r="T237" i="7"/>
  <c r="R237" i="7"/>
  <c r="I236" i="7"/>
  <c r="X181" i="15"/>
  <c r="AC181" i="15"/>
  <c r="N241" i="27"/>
  <c r="S241" i="27"/>
  <c r="Q181" i="15"/>
  <c r="P181" i="15"/>
  <c r="M252" i="25"/>
  <c r="S252" i="25"/>
  <c r="N252" i="25"/>
  <c r="N235" i="10"/>
  <c r="S235" i="10"/>
  <c r="V206" i="18"/>
  <c r="X206" i="18"/>
  <c r="Y206" i="18"/>
  <c r="I206" i="18"/>
  <c r="H206" i="18"/>
  <c r="M226" i="30"/>
  <c r="W226" i="30"/>
  <c r="BI307" i="6"/>
  <c r="BA307" i="6"/>
  <c r="BD307" i="6"/>
  <c r="R283" i="29"/>
  <c r="P283" i="29"/>
  <c r="AA283" i="29"/>
  <c r="S306" i="9"/>
  <c r="O306" i="9"/>
  <c r="N234" i="10"/>
  <c r="S234" i="10"/>
  <c r="R282" i="29"/>
  <c r="P282" i="29"/>
  <c r="BA306" i="6"/>
  <c r="BD306" i="6"/>
  <c r="O305" i="9"/>
  <c r="S188" i="42"/>
  <c r="G170" i="37"/>
  <c r="H170" i="37"/>
  <c r="F170" i="37"/>
  <c r="W179" i="36"/>
  <c r="BD305" i="6"/>
  <c r="X185" i="8"/>
  <c r="V185" i="8"/>
  <c r="X205" i="18"/>
  <c r="W205" i="18"/>
  <c r="Z251" i="25"/>
  <c r="AC251" i="25"/>
  <c r="T251" i="25"/>
  <c r="G251" i="25"/>
  <c r="K294" i="44"/>
  <c r="L294" i="44"/>
  <c r="K289" i="39"/>
  <c r="J289" i="39"/>
  <c r="E289" i="39"/>
  <c r="L289" i="39"/>
  <c r="H289" i="39"/>
  <c r="O185" i="12" l="1"/>
  <c r="N185" i="12"/>
  <c r="R225" i="30"/>
  <c r="R281" i="29"/>
  <c r="P281" i="29"/>
  <c r="AK304" i="6"/>
  <c r="BA304" i="6"/>
  <c r="BD304" i="6"/>
  <c r="O225" i="30"/>
  <c r="W225" i="30"/>
  <c r="T250" i="25"/>
  <c r="N250" i="25"/>
  <c r="AC250" i="25"/>
  <c r="W250" i="25"/>
  <c r="Z293" i="44"/>
  <c r="W178" i="36"/>
  <c r="F180" i="15"/>
  <c r="K180" i="15"/>
  <c r="X180" i="15"/>
  <c r="AC180" i="15"/>
  <c r="R180" i="15"/>
  <c r="R233" i="10"/>
  <c r="CD303" i="6"/>
  <c r="BV303" i="6"/>
  <c r="S304" i="9"/>
  <c r="O304" i="9"/>
  <c r="W292" i="44"/>
  <c r="Z288" i="39"/>
  <c r="U288" i="39"/>
  <c r="P280" i="29"/>
  <c r="AA280" i="29"/>
  <c r="O224" i="30"/>
  <c r="W224" i="30"/>
  <c r="Y204" i="18"/>
  <c r="W204" i="18"/>
  <c r="AB204" i="18"/>
  <c r="N249" i="25"/>
  <c r="T249" i="25"/>
  <c r="W249" i="25"/>
  <c r="AC249" i="25"/>
  <c r="BZ302" i="6"/>
  <c r="W177" i="36"/>
  <c r="W223" i="30"/>
  <c r="O223" i="30"/>
  <c r="G169" i="37"/>
  <c r="H169" i="37"/>
  <c r="K169" i="37"/>
  <c r="I187" i="42"/>
  <c r="M187" i="42"/>
  <c r="M240" i="27"/>
  <c r="N232" i="10"/>
  <c r="S232" i="10"/>
  <c r="H181" i="40"/>
  <c r="F181" i="40"/>
  <c r="G181" i="40"/>
  <c r="Z291" i="44"/>
  <c r="W291" i="44"/>
  <c r="Y203" i="18"/>
  <c r="H203" i="18"/>
  <c r="T233" i="34"/>
  <c r="W248" i="25"/>
  <c r="AC248" i="25"/>
  <c r="Z287" i="39"/>
  <c r="U287" i="39"/>
  <c r="V177" i="13"/>
  <c r="S232" i="34"/>
  <c r="M186" i="42"/>
  <c r="I186" i="42"/>
  <c r="AC247" i="25"/>
  <c r="W247" i="25"/>
  <c r="BA301" i="6"/>
  <c r="T235" i="7"/>
  <c r="P235" i="7"/>
  <c r="AK301" i="6"/>
  <c r="AM301" i="6"/>
  <c r="L301" i="6"/>
  <c r="F301" i="6"/>
  <c r="O219" i="9" l="1"/>
  <c r="W135" i="30"/>
  <c r="CM156" i="6"/>
  <c r="CJ156" i="6"/>
  <c r="BA156" i="6"/>
  <c r="AI113" i="25"/>
  <c r="Z113" i="25"/>
  <c r="AC113" i="25"/>
  <c r="AX63" i="4"/>
  <c r="K63" i="4"/>
  <c r="AI73" i="18"/>
  <c r="AF73" i="18"/>
  <c r="Y73" i="18"/>
  <c r="W73" i="18"/>
  <c r="BE79" i="3"/>
  <c r="U79" i="3"/>
  <c r="CM53" i="6"/>
  <c r="BZ53" i="6"/>
  <c r="AA7" i="29"/>
  <c r="Y7" i="29"/>
  <c r="Z72" i="1"/>
  <c r="BZ300" i="6"/>
  <c r="AB184" i="8"/>
  <c r="V184" i="8"/>
  <c r="Y202" i="18"/>
  <c r="W202" i="18"/>
  <c r="BA299" i="6"/>
  <c r="BD299" i="6"/>
  <c r="AM299" i="6"/>
  <c r="R279" i="29"/>
  <c r="P279" i="29"/>
  <c r="Q179" i="15"/>
  <c r="P179" i="15"/>
  <c r="N239" i="27"/>
  <c r="S239" i="27"/>
  <c r="BA298" i="6"/>
  <c r="BF298" i="6"/>
  <c r="AK298" i="6"/>
  <c r="AM298" i="6"/>
  <c r="T246" i="25"/>
  <c r="N246" i="25"/>
  <c r="AC246" i="25"/>
  <c r="W246" i="25"/>
  <c r="Y278" i="29"/>
  <c r="AA278" i="29"/>
  <c r="W278" i="29"/>
  <c r="S231" i="10"/>
  <c r="L231" i="10"/>
  <c r="E231" i="10"/>
  <c r="O218" i="9" l="1"/>
  <c r="AI134" i="30"/>
  <c r="W134" i="30"/>
  <c r="O134" i="30"/>
  <c r="BI71" i="33"/>
  <c r="I71" i="33"/>
  <c r="CJ155" i="6"/>
  <c r="BA155" i="6"/>
  <c r="BD155" i="6"/>
  <c r="S52" i="5"/>
  <c r="AC112" i="25"/>
  <c r="AI72" i="18"/>
  <c r="W72" i="18"/>
  <c r="W81" i="44"/>
  <c r="CM52" i="6"/>
  <c r="BZ52" i="6"/>
  <c r="Y6" i="29"/>
  <c r="O217" i="9"/>
  <c r="O133" i="30"/>
  <c r="CM154" i="6"/>
  <c r="BD154" i="6"/>
  <c r="AC111" i="25"/>
  <c r="AE114" i="25"/>
  <c r="AH114" i="25" s="1"/>
  <c r="AJ114" i="25" s="1"/>
  <c r="AE113" i="25"/>
  <c r="AH113" i="25" s="1"/>
  <c r="AJ113" i="25" s="1"/>
  <c r="AE116" i="25"/>
  <c r="AH116" i="25" s="1"/>
  <c r="AJ116" i="25" s="1"/>
  <c r="AE115" i="25"/>
  <c r="AH115" i="25" s="1"/>
  <c r="AJ115" i="25" s="1"/>
  <c r="Q178" i="15"/>
  <c r="P178" i="15"/>
  <c r="M238" i="27"/>
  <c r="N230" i="10"/>
  <c r="S230" i="10"/>
  <c r="W176" i="36"/>
  <c r="V201" i="18"/>
  <c r="Y201" i="18"/>
  <c r="W222" i="30"/>
  <c r="S231" i="34"/>
  <c r="BA297" i="6"/>
  <c r="BD297" i="6"/>
  <c r="V245" i="25"/>
  <c r="AC245" i="25"/>
  <c r="W245" i="25"/>
  <c r="N245" i="25"/>
  <c r="AI297" i="6"/>
  <c r="AM297" i="6"/>
  <c r="AA277" i="29"/>
  <c r="W277" i="29"/>
  <c r="R277" i="29"/>
  <c r="P277" i="29"/>
  <c r="Y276" i="29"/>
  <c r="W276" i="29"/>
  <c r="F177" i="15"/>
  <c r="K177" i="15"/>
  <c r="V177" i="15"/>
  <c r="AC177" i="15"/>
  <c r="X177" i="15"/>
  <c r="M180" i="40"/>
  <c r="M185" i="42"/>
  <c r="N185" i="42"/>
  <c r="N237" i="27"/>
  <c r="S237" i="27"/>
  <c r="M237" i="27"/>
  <c r="V244" i="25"/>
  <c r="W244" i="25"/>
  <c r="T244" i="25"/>
  <c r="M244" i="25"/>
  <c r="N244" i="25"/>
  <c r="M221" i="30"/>
  <c r="W221" i="30"/>
  <c r="N229" i="10"/>
  <c r="S229" i="10"/>
  <c r="S184" i="42"/>
  <c r="L296" i="6"/>
  <c r="F296" i="6"/>
  <c r="R275" i="29"/>
  <c r="P275" i="29"/>
  <c r="M220" i="30"/>
  <c r="Z243" i="25"/>
  <c r="BD296" i="6"/>
  <c r="F230" i="34"/>
  <c r="Q219" i="30"/>
  <c r="BA295" i="6"/>
  <c r="U286" i="39"/>
  <c r="F176" i="15"/>
  <c r="G176" i="15"/>
  <c r="N236" i="27"/>
  <c r="M236" i="27"/>
  <c r="Q176" i="15"/>
  <c r="O219" i="30"/>
  <c r="W219" i="30"/>
  <c r="T234" i="7"/>
  <c r="N234" i="7"/>
  <c r="P234" i="7"/>
  <c r="X175" i="15"/>
  <c r="S235" i="27"/>
  <c r="M235" i="27"/>
  <c r="S242" i="25"/>
  <c r="T242" i="25"/>
  <c r="N242" i="25"/>
  <c r="BA294" i="6"/>
  <c r="BD294" i="6"/>
  <c r="T233" i="7"/>
  <c r="R233" i="7"/>
  <c r="N234" i="27"/>
  <c r="S234" i="27"/>
  <c r="M234" i="27"/>
  <c r="L234" i="27"/>
  <c r="R234" i="27"/>
  <c r="BJ293" i="6"/>
  <c r="BI293" i="6"/>
  <c r="BK293" i="6"/>
  <c r="BN293" i="6"/>
  <c r="AA176" i="13"/>
  <c r="V176" i="13"/>
  <c r="X174" i="15"/>
  <c r="V174" i="15"/>
  <c r="AC174" i="15"/>
  <c r="Y274" i="29"/>
  <c r="AA274" i="29"/>
  <c r="W274" i="29"/>
  <c r="G168" i="37"/>
  <c r="H168" i="37"/>
  <c r="F168" i="37"/>
  <c r="O218" i="30"/>
  <c r="W218" i="30"/>
  <c r="U285" i="39"/>
  <c r="Z285" i="39"/>
  <c r="Z241" i="25"/>
  <c r="Z200" i="18"/>
  <c r="X200" i="18"/>
  <c r="W200" i="18"/>
  <c r="Y200" i="18"/>
  <c r="AJ80" i="44"/>
  <c r="W80" i="44"/>
  <c r="CM51" i="6"/>
  <c r="BZ51" i="6"/>
  <c r="K5" i="29"/>
  <c r="X9" i="8"/>
  <c r="O216" i="9" l="1"/>
  <c r="O132" i="30"/>
  <c r="BD153" i="6"/>
  <c r="AC110" i="25"/>
  <c r="AJ79" i="44"/>
  <c r="W79" i="44"/>
  <c r="CM50" i="6"/>
  <c r="BZ50" i="6"/>
  <c r="AI8" i="8"/>
  <c r="X8" i="8"/>
  <c r="AB8" i="8"/>
  <c r="H63" i="1"/>
  <c r="BV292" i="6" l="1"/>
  <c r="G167" i="37"/>
  <c r="H167" i="37"/>
  <c r="Y199" i="18"/>
  <c r="AB199" i="18"/>
  <c r="M233" i="27"/>
  <c r="M184" i="12"/>
  <c r="N184" i="12"/>
  <c r="Z284" i="39"/>
  <c r="Y273" i="29"/>
  <c r="W273" i="29"/>
  <c r="X217" i="30"/>
  <c r="W217" i="30"/>
  <c r="R303" i="9"/>
  <c r="O303" i="9"/>
  <c r="AC240" i="25"/>
  <c r="W240" i="25"/>
  <c r="T240" i="25"/>
  <c r="N240" i="25"/>
  <c r="BZ291" i="6"/>
  <c r="Y198" i="18"/>
  <c r="M232" i="27"/>
  <c r="K302" i="9"/>
  <c r="J302" i="9"/>
  <c r="S301" i="9"/>
  <c r="R301" i="9"/>
  <c r="O301" i="9"/>
  <c r="P272" i="29"/>
  <c r="R272" i="29"/>
  <c r="N239" i="25"/>
  <c r="O216" i="30"/>
  <c r="W216" i="30"/>
  <c r="N183" i="42"/>
  <c r="M183" i="42"/>
  <c r="I183" i="42"/>
  <c r="L183" i="42"/>
  <c r="N231" i="27"/>
  <c r="S231" i="27"/>
  <c r="M231" i="27"/>
  <c r="O215" i="9" l="1"/>
  <c r="O131" i="30"/>
  <c r="BD152" i="6"/>
  <c r="AI109" i="25"/>
  <c r="AC109" i="25"/>
  <c r="T109" i="25"/>
  <c r="AX50" i="4"/>
  <c r="K50" i="4"/>
  <c r="W78" i="44"/>
  <c r="L63" i="42"/>
  <c r="CM49" i="6"/>
  <c r="BZ49" i="6"/>
  <c r="AI7" i="8"/>
  <c r="AF7" i="8"/>
  <c r="AB7" i="8"/>
  <c r="V7" i="8"/>
  <c r="H59" i="1"/>
  <c r="G166" i="37"/>
  <c r="E166" i="37"/>
  <c r="H166" i="37"/>
  <c r="F166" i="37"/>
  <c r="K166" i="37"/>
  <c r="P230" i="27"/>
  <c r="N228" i="10"/>
  <c r="Z238" i="25"/>
  <c r="AC238" i="25"/>
  <c r="V183" i="8"/>
  <c r="X197" i="18"/>
  <c r="AM290" i="6"/>
  <c r="K300" i="9"/>
  <c r="J300" i="9"/>
  <c r="S227" i="10"/>
  <c r="N227" i="10"/>
  <c r="M229" i="27"/>
  <c r="P229" i="27"/>
  <c r="AI289" i="6"/>
  <c r="AM289" i="6"/>
  <c r="AA271" i="29"/>
  <c r="W271" i="29"/>
  <c r="T229" i="34"/>
  <c r="S229" i="34"/>
  <c r="AC173" i="15"/>
  <c r="X173" i="15"/>
  <c r="I182" i="42"/>
  <c r="M182" i="42"/>
  <c r="W237" i="25"/>
  <c r="AC237" i="25"/>
  <c r="N237" i="25"/>
  <c r="T237" i="25"/>
  <c r="W214" i="30"/>
  <c r="O214" i="30"/>
  <c r="P232" i="7"/>
  <c r="N232" i="7"/>
  <c r="BZ289" i="6"/>
  <c r="BM20" i="41" l="1"/>
  <c r="BI21" i="41"/>
  <c r="I21" i="41"/>
  <c r="AJ214" i="9"/>
  <c r="O214" i="9"/>
  <c r="K214" i="9"/>
  <c r="O130" i="30"/>
  <c r="BD151" i="6"/>
  <c r="T108" i="25"/>
  <c r="Y62" i="42"/>
  <c r="L62" i="42"/>
  <c r="N62" i="42"/>
  <c r="BG61" i="3"/>
  <c r="J61" i="3"/>
  <c r="CM48" i="6"/>
  <c r="BZ48" i="6"/>
  <c r="AI6" i="8"/>
  <c r="AF6" i="8"/>
  <c r="V6" i="8"/>
  <c r="N10" i="7"/>
  <c r="S226" i="10"/>
  <c r="S228" i="27"/>
  <c r="S181" i="42"/>
  <c r="M181" i="42"/>
  <c r="I181" i="42"/>
  <c r="BC288" i="6"/>
  <c r="BD288" i="6"/>
  <c r="X213" i="30"/>
  <c r="M213" i="30"/>
  <c r="O213" i="30"/>
  <c r="AK288" i="6"/>
  <c r="AM288" i="6"/>
  <c r="P270" i="29"/>
  <c r="Z236" i="25"/>
  <c r="AC236" i="25"/>
  <c r="G236" i="25"/>
  <c r="O299" i="9"/>
  <c r="X196" i="18"/>
  <c r="W196" i="18"/>
  <c r="V235" i="25"/>
  <c r="W235" i="25"/>
  <c r="AC235" i="25"/>
  <c r="M235" i="25"/>
  <c r="N235" i="25"/>
  <c r="T235" i="25"/>
  <c r="Q172" i="15"/>
  <c r="P172" i="15"/>
  <c r="N225" i="10"/>
  <c r="P225" i="10"/>
  <c r="S225" i="10"/>
  <c r="L225" i="10"/>
  <c r="X195" i="18"/>
  <c r="BA287" i="6"/>
  <c r="BC287" i="6"/>
  <c r="BD287" i="6"/>
  <c r="BB287" i="6"/>
  <c r="R269" i="29"/>
  <c r="P269" i="29"/>
  <c r="BZ286" i="6"/>
  <c r="U283" i="39"/>
  <c r="O183" i="12"/>
  <c r="N183" i="12"/>
  <c r="N224" i="10"/>
  <c r="S224" i="10"/>
  <c r="N227" i="27"/>
  <c r="S227" i="27"/>
  <c r="G165" i="37"/>
  <c r="H165" i="37"/>
  <c r="K165" i="37"/>
  <c r="M180" i="42"/>
  <c r="S298" i="9"/>
  <c r="O298" i="9"/>
  <c r="O212" i="30"/>
  <c r="BD285" i="6"/>
  <c r="AC234" i="25"/>
  <c r="L285" i="6"/>
  <c r="F285" i="6"/>
  <c r="R268" i="29"/>
  <c r="P268" i="29"/>
  <c r="N223" i="10"/>
  <c r="S223" i="10"/>
  <c r="R223" i="10"/>
  <c r="H226" i="27"/>
  <c r="J226" i="27"/>
  <c r="M226" i="27"/>
  <c r="P226" i="27"/>
  <c r="X231" i="7"/>
  <c r="AC231" i="7"/>
  <c r="BD284" i="6"/>
  <c r="K297" i="9"/>
  <c r="J297" i="9"/>
  <c r="W211" i="30"/>
  <c r="O211" i="30"/>
  <c r="X194" i="18"/>
  <c r="Y194" i="18"/>
  <c r="W194" i="18"/>
  <c r="R231" i="7"/>
  <c r="AI284" i="6"/>
  <c r="AM284" i="6"/>
  <c r="Z233" i="25"/>
  <c r="AB267" i="29"/>
  <c r="R267" i="29"/>
  <c r="P267" i="29"/>
  <c r="N232" i="25"/>
  <c r="BI283" i="6"/>
  <c r="R296" i="9"/>
  <c r="K213" i="9" l="1"/>
  <c r="O129" i="30"/>
  <c r="CM150" i="6"/>
  <c r="BD150" i="6"/>
  <c r="BI150" i="6"/>
  <c r="BE34" i="5"/>
  <c r="S34" i="5"/>
  <c r="AI107" i="25"/>
  <c r="T107" i="25"/>
  <c r="N107" i="25"/>
  <c r="K44" i="4"/>
  <c r="Y61" i="42"/>
  <c r="N61" i="42"/>
  <c r="M61" i="42"/>
  <c r="J58" i="3"/>
  <c r="BG58" i="3"/>
  <c r="BZ47" i="6" l="1"/>
  <c r="AI9" i="7"/>
  <c r="AF9" i="7"/>
  <c r="N9" i="7"/>
  <c r="T9" i="7"/>
  <c r="AC51" i="1"/>
  <c r="G51" i="1"/>
  <c r="N222" i="10"/>
  <c r="S222" i="10"/>
  <c r="N225" i="27"/>
  <c r="M225" i="27"/>
  <c r="Q171" i="15"/>
  <c r="P171" i="15"/>
  <c r="Y193" i="18"/>
  <c r="T228" i="34"/>
  <c r="S228" i="34"/>
  <c r="AI282" i="6"/>
  <c r="AM282" i="6"/>
  <c r="R266" i="29"/>
  <c r="AA266" i="29"/>
  <c r="W266" i="29"/>
  <c r="N231" i="25"/>
  <c r="V231" i="25"/>
  <c r="W231" i="25"/>
  <c r="W210" i="30"/>
  <c r="T230" i="7"/>
  <c r="R230" i="7"/>
  <c r="BA282" i="6"/>
  <c r="BD282" i="6"/>
  <c r="R229" i="7"/>
  <c r="S224" i="27"/>
  <c r="P224" i="27"/>
  <c r="M224" i="27"/>
  <c r="W175" i="36"/>
  <c r="N182" i="12"/>
  <c r="G164" i="37"/>
  <c r="H164" i="37"/>
  <c r="K164" i="37"/>
  <c r="F164" i="37"/>
  <c r="AK281" i="6"/>
  <c r="AM281" i="6"/>
  <c r="W265" i="29"/>
  <c r="R265" i="29"/>
  <c r="P265" i="29"/>
  <c r="I179" i="42"/>
  <c r="V170" i="15"/>
  <c r="AC170" i="15"/>
  <c r="Q170" i="15"/>
  <c r="P170" i="15"/>
  <c r="S170" i="15"/>
  <c r="BI281" i="6"/>
  <c r="BK281" i="6"/>
  <c r="BA281" i="6"/>
  <c r="BC281" i="6"/>
  <c r="BD281" i="6"/>
  <c r="Z230" i="25"/>
  <c r="AC230" i="25"/>
  <c r="S230" i="25"/>
  <c r="T230" i="25"/>
  <c r="E282" i="39"/>
  <c r="U282" i="39"/>
  <c r="Z282" i="39"/>
  <c r="U265" i="29"/>
  <c r="X192" i="18"/>
  <c r="Y192" i="18"/>
  <c r="H192" i="18"/>
  <c r="Z290" i="44"/>
  <c r="S177" i="24"/>
  <c r="W209" i="30"/>
  <c r="F153" i="31"/>
  <c r="G163" i="37"/>
  <c r="E163" i="37"/>
  <c r="H163" i="37"/>
  <c r="K163" i="37"/>
  <c r="F163" i="37"/>
  <c r="O178" i="42"/>
  <c r="J178" i="42"/>
  <c r="J223" i="27"/>
  <c r="H191" i="18"/>
  <c r="AC229" i="25"/>
  <c r="W208" i="30"/>
  <c r="P169" i="15"/>
  <c r="K295" i="9"/>
  <c r="J295" i="9"/>
  <c r="L295" i="9"/>
  <c r="AC168" i="15"/>
  <c r="V168" i="15"/>
  <c r="X168" i="15"/>
  <c r="M207" i="30"/>
  <c r="O207" i="30"/>
  <c r="W207" i="30"/>
  <c r="Z289" i="44"/>
  <c r="K294" i="9"/>
  <c r="J294" i="9"/>
  <c r="L294" i="9"/>
  <c r="I228" i="7" l="1"/>
  <c r="Y264" i="29"/>
  <c r="AA264" i="29"/>
  <c r="W264" i="29"/>
  <c r="T227" i="34"/>
  <c r="S227" i="34"/>
  <c r="W174" i="36"/>
  <c r="Y167" i="15"/>
  <c r="V167" i="15"/>
  <c r="X190" i="18"/>
  <c r="W190" i="18"/>
  <c r="Y190" i="18"/>
  <c r="V175" i="13"/>
  <c r="Z175" i="13"/>
  <c r="F190" i="18"/>
  <c r="J190" i="18"/>
  <c r="Z288" i="44"/>
  <c r="V228" i="25"/>
  <c r="W228" i="25"/>
  <c r="T228" i="25"/>
  <c r="N228" i="25"/>
  <c r="W206" i="30"/>
  <c r="M206" i="30"/>
  <c r="O206" i="30"/>
  <c r="N176" i="24"/>
  <c r="S176" i="24"/>
  <c r="BA280" i="6"/>
  <c r="BF280" i="6"/>
  <c r="AI280" i="6"/>
  <c r="AM280" i="6"/>
  <c r="BZ279" i="6" l="1"/>
  <c r="N222" i="27"/>
  <c r="S222" i="27"/>
  <c r="P222" i="27"/>
  <c r="BZ278" i="6"/>
  <c r="W173" i="36"/>
  <c r="V227" i="25"/>
  <c r="W227" i="25"/>
  <c r="AC227" i="25"/>
  <c r="T227" i="7"/>
  <c r="N227" i="7"/>
  <c r="I189" i="18"/>
  <c r="H189" i="18"/>
  <c r="F189" i="18"/>
  <c r="V189" i="18"/>
  <c r="Y189" i="18"/>
  <c r="W189" i="18"/>
  <c r="H179" i="40"/>
  <c r="F179" i="40"/>
  <c r="G179" i="40"/>
  <c r="M205" i="30"/>
  <c r="W205" i="30"/>
  <c r="O205" i="30"/>
  <c r="E162" i="37"/>
  <c r="H162" i="37"/>
  <c r="F162" i="37"/>
  <c r="BI277" i="6"/>
  <c r="BA277" i="6"/>
  <c r="BD277" i="6"/>
  <c r="G161" i="37"/>
  <c r="E161" i="37"/>
  <c r="H161" i="37"/>
  <c r="K161" i="37"/>
  <c r="F161" i="37"/>
  <c r="O181" i="12"/>
  <c r="N181" i="12"/>
  <c r="AA263" i="29"/>
  <c r="W263" i="29"/>
  <c r="R263" i="29"/>
  <c r="P263" i="29"/>
  <c r="S226" i="25"/>
  <c r="T226" i="25"/>
  <c r="N226" i="25"/>
  <c r="Z226" i="25"/>
  <c r="V226" i="25"/>
  <c r="W226" i="25"/>
  <c r="M204" i="30"/>
  <c r="W204" i="30"/>
  <c r="W172" i="36"/>
  <c r="N221" i="10"/>
  <c r="S221" i="10"/>
  <c r="R221" i="10"/>
  <c r="W188" i="18"/>
  <c r="Y188" i="18"/>
  <c r="L276" i="6"/>
  <c r="F276" i="6"/>
  <c r="AI276" i="6"/>
  <c r="AM276" i="6"/>
  <c r="T226" i="7"/>
  <c r="R226" i="7"/>
  <c r="P226" i="7"/>
  <c r="BJ276" i="6"/>
  <c r="BI276" i="6"/>
  <c r="BA276" i="6"/>
  <c r="BD276" i="6"/>
  <c r="N220" i="10"/>
  <c r="S220" i="10"/>
  <c r="M221" i="27"/>
  <c r="Q166" i="15"/>
  <c r="P166" i="15"/>
  <c r="S226" i="34"/>
  <c r="V187" i="18"/>
  <c r="Y187" i="18"/>
  <c r="T225" i="7"/>
  <c r="R225" i="7"/>
  <c r="W203" i="30"/>
  <c r="AA262" i="29"/>
  <c r="R262" i="29"/>
  <c r="V225" i="25"/>
  <c r="W225" i="25"/>
  <c r="BA275" i="6"/>
  <c r="BD275" i="6"/>
  <c r="M202" i="30"/>
  <c r="W202" i="30"/>
  <c r="O180" i="12"/>
  <c r="N180" i="12"/>
  <c r="X165" i="15"/>
  <c r="AC165" i="15"/>
  <c r="G160" i="37"/>
  <c r="S293" i="9"/>
  <c r="O293" i="9"/>
  <c r="Q165" i="15"/>
  <c r="P165" i="15"/>
  <c r="N219" i="10"/>
  <c r="S219" i="10"/>
  <c r="L219" i="10"/>
  <c r="R219" i="10"/>
  <c r="T224" i="7"/>
  <c r="R224" i="7"/>
  <c r="N224" i="7"/>
  <c r="P224" i="7"/>
  <c r="BJ274" i="6"/>
  <c r="BI274" i="6"/>
  <c r="BA274" i="6"/>
  <c r="BD274" i="6"/>
  <c r="V224" i="25"/>
  <c r="Z224" i="25"/>
  <c r="AC224" i="25"/>
  <c r="W224" i="25"/>
  <c r="AA261" i="29"/>
  <c r="W261" i="29"/>
  <c r="R261" i="29"/>
  <c r="P261" i="29"/>
  <c r="BZ273" i="6"/>
  <c r="AC164" i="15"/>
  <c r="L218" i="10"/>
  <c r="F186" i="18"/>
  <c r="K292" i="9"/>
  <c r="J281" i="39"/>
  <c r="L281" i="39"/>
  <c r="I177" i="42"/>
  <c r="H178" i="40"/>
  <c r="F178" i="40"/>
  <c r="G178" i="40"/>
  <c r="M178" i="40"/>
  <c r="O179" i="12"/>
  <c r="N179" i="12"/>
  <c r="G159" i="37"/>
  <c r="E159" i="37"/>
  <c r="S220" i="27"/>
  <c r="P220" i="27"/>
  <c r="M220" i="27"/>
  <c r="P223" i="7"/>
  <c r="T225" i="34"/>
  <c r="S225" i="34"/>
  <c r="X201" i="30"/>
  <c r="W201" i="30"/>
  <c r="O292" i="9"/>
  <c r="CD272" i="6"/>
  <c r="BV272" i="6"/>
  <c r="Z223" i="25"/>
  <c r="AC223" i="25"/>
  <c r="W223" i="25"/>
  <c r="T223" i="25"/>
  <c r="N223" i="25"/>
  <c r="G223" i="25"/>
  <c r="AK272" i="6"/>
  <c r="AI272" i="6"/>
  <c r="X186" i="18"/>
  <c r="W186" i="18"/>
  <c r="Y186" i="18"/>
  <c r="M201" i="30"/>
  <c r="P201" i="30"/>
  <c r="K212" i="9"/>
  <c r="O128" i="30"/>
  <c r="BI149" i="6"/>
  <c r="AI106" i="25"/>
  <c r="N106" i="25"/>
  <c r="S106" i="25"/>
  <c r="AX40" i="4"/>
  <c r="K40" i="4"/>
  <c r="Y60" i="42"/>
  <c r="V60" i="42"/>
  <c r="M60" i="42"/>
  <c r="S60" i="42"/>
  <c r="BG54" i="3"/>
  <c r="J54" i="3"/>
  <c r="CM46" i="6"/>
  <c r="BZ46" i="6"/>
  <c r="T8" i="7"/>
  <c r="K211" i="9"/>
  <c r="O127" i="30"/>
  <c r="W127" i="30"/>
  <c r="I43" i="33"/>
  <c r="BI148" i="6"/>
  <c r="S105" i="25"/>
  <c r="Y59" i="42"/>
  <c r="S59" i="42"/>
  <c r="I59" i="42"/>
  <c r="J51" i="3"/>
  <c r="BG51" i="3"/>
  <c r="CM45" i="6"/>
  <c r="BZ45" i="6"/>
  <c r="T7" i="7"/>
  <c r="AG210" i="9"/>
  <c r="K210" i="9"/>
  <c r="J210" i="9"/>
  <c r="I6" i="41"/>
  <c r="K33" i="4"/>
  <c r="AI104" i="25"/>
  <c r="S104" i="25"/>
  <c r="Z104" i="25"/>
  <c r="AX33" i="4"/>
  <c r="I58" i="42"/>
  <c r="Y58" i="42"/>
  <c r="N61" i="24"/>
  <c r="BZ44" i="6"/>
  <c r="AI6" i="7"/>
  <c r="AF6" i="7"/>
  <c r="T6" i="7"/>
  <c r="Z287" i="44"/>
  <c r="H271" i="6"/>
  <c r="F271" i="6"/>
  <c r="E178" i="12"/>
  <c r="F178" i="12"/>
  <c r="G178" i="12"/>
  <c r="H178" i="12"/>
  <c r="K178" i="12"/>
  <c r="W222" i="25"/>
  <c r="AC222" i="25"/>
  <c r="O291" i="9"/>
  <c r="R260" i="29"/>
  <c r="Y260" i="29"/>
  <c r="X182" i="8"/>
  <c r="N219" i="27"/>
  <c r="S219" i="27"/>
  <c r="M219" i="27"/>
  <c r="P219" i="27"/>
  <c r="P163" i="15"/>
  <c r="R163" i="15"/>
  <c r="S163" i="15"/>
  <c r="W200" i="30"/>
  <c r="P200" i="30"/>
  <c r="V185" i="18"/>
  <c r="Y185" i="18"/>
  <c r="W185" i="18"/>
  <c r="F185" i="18"/>
  <c r="V163" i="15"/>
  <c r="AC163" i="15"/>
  <c r="G158" i="37"/>
  <c r="E158" i="37"/>
  <c r="H158" i="37"/>
  <c r="F158" i="37"/>
  <c r="W171" i="36"/>
  <c r="K290" i="9"/>
  <c r="L290" i="9"/>
  <c r="G218" i="27"/>
  <c r="O176" i="42"/>
  <c r="J176" i="42"/>
  <c r="N177" i="12"/>
  <c r="N218" i="27"/>
  <c r="S218" i="27"/>
  <c r="P218" i="27"/>
  <c r="N217" i="10"/>
  <c r="S217" i="10"/>
  <c r="Q162" i="15"/>
  <c r="P162" i="15"/>
  <c r="T224" i="34"/>
  <c r="W199" i="30"/>
  <c r="M199" i="30"/>
  <c r="K280" i="39"/>
  <c r="Z280" i="39"/>
  <c r="U280" i="39"/>
  <c r="V184" i="18"/>
  <c r="X184" i="18"/>
  <c r="W184" i="18"/>
  <c r="V221" i="25"/>
  <c r="Z221" i="25"/>
  <c r="AC221" i="25"/>
  <c r="R259" i="29"/>
  <c r="P259" i="29"/>
  <c r="AB181" i="8"/>
  <c r="AI103" i="25" l="1"/>
  <c r="AF103" i="25"/>
  <c r="Z103" i="25"/>
  <c r="V103" i="25"/>
  <c r="K31" i="4"/>
  <c r="AX31" i="4"/>
  <c r="N60" i="24"/>
  <c r="S60" i="24"/>
  <c r="H41" i="3"/>
  <c r="CM43" i="6"/>
  <c r="BZ43" i="6"/>
  <c r="T5" i="7"/>
  <c r="W170" i="36"/>
  <c r="N216" i="10"/>
  <c r="S216" i="10"/>
  <c r="L216" i="10"/>
  <c r="R216" i="10"/>
  <c r="O289" i="9"/>
  <c r="X183" i="18"/>
  <c r="L270" i="6"/>
  <c r="F270" i="6"/>
  <c r="AI270" i="6"/>
  <c r="AM270" i="6"/>
  <c r="T222" i="7"/>
  <c r="R222" i="7"/>
  <c r="BA270" i="6"/>
  <c r="BD270" i="6"/>
  <c r="BD269" i="6"/>
  <c r="M198" i="30"/>
  <c r="W198" i="30"/>
  <c r="W220" i="25"/>
  <c r="AC220" i="25"/>
  <c r="N220" i="25"/>
  <c r="T220" i="25"/>
  <c r="AK269" i="6"/>
  <c r="AM269" i="6"/>
  <c r="BV269" i="6"/>
  <c r="CD269" i="6"/>
  <c r="Y258" i="29"/>
  <c r="W258" i="29"/>
  <c r="S217" i="27"/>
  <c r="P217" i="27"/>
  <c r="S215" i="10"/>
  <c r="W126" i="30" l="1"/>
  <c r="AI102" i="25"/>
  <c r="V102" i="25"/>
  <c r="Z102" i="25"/>
  <c r="W102" i="25"/>
  <c r="K28" i="4"/>
  <c r="K27" i="4"/>
  <c r="Y59" i="24"/>
  <c r="S59" i="24"/>
  <c r="CM42" i="6"/>
  <c r="BZ42" i="6"/>
  <c r="N7" i="27"/>
  <c r="K288" i="9"/>
  <c r="K279" i="39"/>
  <c r="J279" i="39"/>
  <c r="Y257" i="29"/>
  <c r="AA257" i="29"/>
  <c r="L286" i="44"/>
  <c r="W197" i="30"/>
  <c r="O197" i="30"/>
  <c r="R257" i="29"/>
  <c r="P257" i="29"/>
  <c r="BI268" i="6"/>
  <c r="BJ268" i="6"/>
  <c r="BK268" i="6"/>
  <c r="BN268" i="6"/>
  <c r="F268" i="6"/>
  <c r="BZ267" i="6"/>
  <c r="W125" i="30" l="1"/>
  <c r="AJ124" i="30"/>
  <c r="W101" i="25"/>
  <c r="Y58" i="24"/>
  <c r="S58" i="24"/>
  <c r="CM41" i="6"/>
  <c r="BZ41" i="6"/>
  <c r="W6" i="27"/>
  <c r="N6" i="27"/>
  <c r="S6" i="27"/>
  <c r="Y29" i="1"/>
  <c r="W124" i="30"/>
  <c r="L119" i="10"/>
  <c r="W100" i="25"/>
  <c r="BZ40" i="6"/>
  <c r="R41" i="29"/>
  <c r="Z5" i="27"/>
  <c r="S5" i="27"/>
  <c r="P9" i="15"/>
  <c r="W123" i="30"/>
  <c r="Y118" i="10"/>
  <c r="L118" i="10"/>
  <c r="R118" i="10"/>
  <c r="BH19" i="5"/>
  <c r="AC19" i="5"/>
  <c r="Z77" i="44"/>
  <c r="R40" i="29"/>
  <c r="AI8" i="15"/>
  <c r="P8" i="15"/>
  <c r="W122" i="30"/>
  <c r="M122" i="30"/>
  <c r="I24" i="33"/>
  <c r="V117" i="10"/>
  <c r="R117" i="10"/>
  <c r="N117" i="10"/>
  <c r="AC17" i="5"/>
  <c r="BC17" i="5"/>
  <c r="Z76" i="44"/>
  <c r="AI7" i="15"/>
  <c r="P7" i="15"/>
  <c r="O216" i="27"/>
  <c r="T196" i="30"/>
  <c r="J196" i="30"/>
  <c r="BA266" i="6"/>
  <c r="BF266" i="6"/>
  <c r="W219" i="25"/>
  <c r="BI266" i="6"/>
  <c r="Z285" i="44"/>
  <c r="G157" i="37"/>
  <c r="E157" i="37"/>
  <c r="H157" i="37"/>
  <c r="F157" i="37"/>
  <c r="K157" i="37"/>
  <c r="S287" i="9"/>
  <c r="O287" i="9"/>
  <c r="V161" i="15"/>
  <c r="AC161" i="15"/>
  <c r="N214" i="10"/>
  <c r="S214" i="10"/>
  <c r="BA265" i="6"/>
  <c r="BC265" i="6"/>
  <c r="BD265" i="6"/>
  <c r="BB265" i="6"/>
  <c r="AM265" i="6"/>
  <c r="R256" i="29"/>
  <c r="P256" i="29"/>
  <c r="O177" i="40"/>
  <c r="R160" i="15"/>
  <c r="M215" i="27"/>
  <c r="S213" i="10"/>
  <c r="W169" i="36"/>
  <c r="E176" i="12"/>
  <c r="N176" i="12"/>
  <c r="E153" i="14"/>
  <c r="O286" i="9"/>
  <c r="BV264" i="6"/>
  <c r="N218" i="25"/>
  <c r="E156" i="37"/>
  <c r="H156" i="37"/>
  <c r="M195" i="30"/>
  <c r="AA182" i="18"/>
  <c r="Y255" i="29"/>
  <c r="F263" i="6"/>
  <c r="AK263" i="6"/>
  <c r="R221" i="7"/>
  <c r="M223" i="34"/>
  <c r="BJ263" i="6"/>
  <c r="F152" i="31"/>
  <c r="Z217" i="25"/>
  <c r="T217" i="25"/>
  <c r="AC159" i="15"/>
  <c r="Y254" i="29"/>
  <c r="AA254" i="29"/>
  <c r="W254" i="29"/>
  <c r="R254" i="29"/>
  <c r="P254" i="29"/>
  <c r="O175" i="12"/>
  <c r="W168" i="36"/>
  <c r="Q158" i="15"/>
  <c r="P158" i="15"/>
  <c r="S214" i="27"/>
  <c r="N214" i="27"/>
  <c r="M214" i="27"/>
  <c r="N212" i="10"/>
  <c r="S212" i="10"/>
  <c r="H176" i="40"/>
  <c r="G176" i="40"/>
  <c r="M176" i="40"/>
  <c r="O176" i="40"/>
  <c r="S285" i="9"/>
  <c r="M216" i="25"/>
  <c r="S216" i="25"/>
  <c r="N216" i="25"/>
  <c r="V216" i="25"/>
  <c r="Z216" i="25"/>
  <c r="W216" i="25"/>
  <c r="M194" i="30"/>
  <c r="W194" i="30"/>
  <c r="V181" i="18"/>
  <c r="X181" i="18"/>
  <c r="AA181" i="18"/>
  <c r="I181" i="18"/>
  <c r="H181" i="18"/>
  <c r="J181" i="18"/>
  <c r="T220" i="7"/>
  <c r="R220" i="7"/>
  <c r="BA262" i="6"/>
  <c r="BD262" i="6"/>
  <c r="BF262" i="6"/>
  <c r="AI262" i="6"/>
  <c r="AM262" i="6"/>
  <c r="AA253" i="29"/>
  <c r="R253" i="29"/>
  <c r="P253" i="29"/>
  <c r="AA180" i="18"/>
  <c r="M213" i="27"/>
  <c r="N211" i="10"/>
  <c r="S211" i="10"/>
  <c r="AA252" i="29"/>
  <c r="R252" i="29"/>
  <c r="AI261" i="6"/>
  <c r="AM261" i="6"/>
  <c r="T219" i="7"/>
  <c r="R219" i="7"/>
  <c r="N215" i="25"/>
  <c r="M215" i="25"/>
  <c r="S215" i="25"/>
  <c r="V215" i="25"/>
  <c r="W215" i="25"/>
  <c r="BA261" i="6"/>
  <c r="BD261" i="6"/>
  <c r="S222" i="34"/>
  <c r="W193" i="30"/>
  <c r="K157" i="15"/>
  <c r="Q157" i="15"/>
  <c r="P157" i="15"/>
  <c r="N210" i="10"/>
  <c r="S210" i="10"/>
  <c r="N212" i="27"/>
  <c r="P212" i="27"/>
  <c r="M212" i="27"/>
  <c r="K152" i="14"/>
  <c r="E221" i="34"/>
  <c r="J221" i="34"/>
  <c r="I221" i="34"/>
  <c r="N175" i="24"/>
  <c r="O192" i="30"/>
  <c r="W192" i="30"/>
  <c r="T218" i="7"/>
  <c r="N218" i="7"/>
  <c r="BA260" i="6"/>
  <c r="BF260" i="6"/>
  <c r="G155" i="37"/>
  <c r="E155" i="37"/>
  <c r="H155" i="37"/>
  <c r="F155" i="37"/>
  <c r="K155" i="37"/>
  <c r="AC156" i="15"/>
  <c r="P156" i="15"/>
  <c r="R156" i="15"/>
  <c r="N211" i="27"/>
  <c r="S211" i="27"/>
  <c r="P211" i="27"/>
  <c r="M211" i="27"/>
  <c r="T217" i="7"/>
  <c r="N217" i="7"/>
  <c r="P217" i="7"/>
  <c r="W214" i="25"/>
  <c r="T214" i="25"/>
  <c r="N214" i="25"/>
  <c r="Z174" i="13"/>
  <c r="W191" i="30"/>
  <c r="BZ259" i="6"/>
  <c r="O174" i="12"/>
  <c r="N174" i="12"/>
  <c r="R251" i="29"/>
  <c r="P251" i="29"/>
  <c r="N210" i="27"/>
  <c r="S209" i="10"/>
  <c r="E209" i="10"/>
  <c r="Z213" i="25"/>
  <c r="BA258" i="6"/>
  <c r="BD258" i="6"/>
  <c r="T216" i="7"/>
  <c r="R216" i="7"/>
  <c r="M190" i="30"/>
  <c r="G154" i="37"/>
  <c r="E154" i="37"/>
  <c r="H154" i="37"/>
  <c r="S208" i="10"/>
  <c r="E208" i="10"/>
  <c r="I151" i="31"/>
  <c r="F151" i="31"/>
  <c r="X179" i="18"/>
  <c r="O173" i="12"/>
  <c r="N173" i="12"/>
  <c r="P155" i="15"/>
  <c r="M189" i="30"/>
  <c r="AB180" i="8"/>
  <c r="R250" i="29"/>
  <c r="P250" i="29"/>
  <c r="S284" i="9"/>
  <c r="O284" i="9"/>
  <c r="T215" i="7"/>
  <c r="R215" i="7"/>
  <c r="BA257" i="6"/>
  <c r="BD257" i="6"/>
  <c r="M212" i="25"/>
  <c r="S212" i="25"/>
  <c r="V212" i="25"/>
  <c r="Z212" i="25"/>
  <c r="AI257" i="6"/>
  <c r="AM257" i="6"/>
  <c r="AM256" i="6" l="1"/>
  <c r="P249" i="29"/>
  <c r="Y249" i="29"/>
  <c r="AA249" i="29"/>
  <c r="W249" i="29"/>
  <c r="O172" i="12"/>
  <c r="N172" i="12"/>
  <c r="AC154" i="15"/>
  <c r="O171" i="12" l="1"/>
  <c r="N171" i="12"/>
  <c r="S220" i="34"/>
  <c r="Y248" i="29"/>
  <c r="AA248" i="29"/>
  <c r="S283" i="9"/>
  <c r="O283" i="9"/>
  <c r="S207" i="10"/>
  <c r="L207" i="10"/>
  <c r="BJ255" i="6"/>
  <c r="BI255" i="6"/>
  <c r="O170" i="12"/>
  <c r="N170" i="12"/>
  <c r="O188" i="30"/>
  <c r="W188" i="30"/>
  <c r="U278" i="39"/>
  <c r="Z278" i="39"/>
  <c r="W167" i="36"/>
  <c r="G153" i="37"/>
  <c r="E153" i="37"/>
  <c r="H153" i="37"/>
  <c r="W187" i="30"/>
  <c r="O187" i="30"/>
  <c r="BA254" i="6"/>
  <c r="BF254" i="6"/>
  <c r="AK254" i="6"/>
  <c r="AM254" i="6"/>
  <c r="AC211" i="25"/>
  <c r="W211" i="25"/>
  <c r="T211" i="25"/>
  <c r="N211" i="25"/>
  <c r="Y247" i="29"/>
  <c r="AA247" i="29"/>
  <c r="W247" i="29"/>
  <c r="S209" i="27"/>
  <c r="P209" i="27"/>
  <c r="L206" i="10"/>
  <c r="E206" i="10"/>
  <c r="V178" i="18"/>
  <c r="X178" i="18"/>
  <c r="W178" i="18"/>
  <c r="AA178" i="18"/>
  <c r="P284" i="44"/>
  <c r="W186" i="30"/>
  <c r="R214" i="7"/>
  <c r="BI253" i="6"/>
  <c r="BK253" i="6"/>
  <c r="BA253" i="6"/>
  <c r="BD253" i="6"/>
  <c r="M210" i="25"/>
  <c r="S210" i="25"/>
  <c r="T210" i="25"/>
  <c r="N210" i="25"/>
  <c r="G210" i="25"/>
  <c r="V210" i="25"/>
  <c r="AI253" i="6"/>
  <c r="AM253" i="6"/>
  <c r="X179" i="8"/>
  <c r="AB179" i="8"/>
  <c r="Y246" i="29"/>
  <c r="AA246" i="29"/>
  <c r="U246" i="29"/>
  <c r="Q246" i="29"/>
  <c r="R246" i="29"/>
  <c r="P246" i="29"/>
  <c r="H208" i="27"/>
  <c r="O208" i="27"/>
  <c r="J208" i="27"/>
  <c r="N208" i="27"/>
  <c r="S208" i="27"/>
  <c r="M153" i="15"/>
  <c r="P153" i="15"/>
  <c r="E151" i="14"/>
  <c r="K151" i="14"/>
  <c r="G152" i="37"/>
  <c r="E152" i="37"/>
  <c r="H152" i="37"/>
  <c r="F152" i="37"/>
  <c r="K152" i="37"/>
  <c r="W166" i="36"/>
  <c r="I150" i="31"/>
  <c r="F150" i="31"/>
  <c r="AI252" i="6"/>
  <c r="P207" i="27"/>
  <c r="M207" i="27"/>
  <c r="Q219" i="34"/>
  <c r="S219" i="34"/>
  <c r="R282" i="9"/>
  <c r="O282" i="9"/>
  <c r="BI252" i="6"/>
  <c r="W283" i="44"/>
  <c r="Z177" i="18"/>
  <c r="AA177" i="18"/>
  <c r="AC209" i="25"/>
  <c r="W209" i="25"/>
  <c r="BZ252" i="6"/>
  <c r="S206" i="27"/>
  <c r="P206" i="27"/>
  <c r="P152" i="15"/>
  <c r="AA173" i="13"/>
  <c r="V173" i="13"/>
  <c r="Z173" i="13"/>
  <c r="X178" i="8"/>
  <c r="AB178" i="8"/>
  <c r="V178" i="8"/>
  <c r="BD251" i="6"/>
  <c r="X185" i="30"/>
  <c r="M185" i="30"/>
  <c r="O185" i="30"/>
  <c r="X176" i="18"/>
  <c r="G151" i="37"/>
  <c r="E151" i="37"/>
  <c r="H151" i="37"/>
  <c r="F151" i="37"/>
  <c r="K151" i="37"/>
  <c r="E150" i="14"/>
  <c r="K150" i="14"/>
  <c r="S205" i="27"/>
  <c r="P205" i="27"/>
  <c r="M205" i="27"/>
  <c r="N165" i="36"/>
  <c r="W282" i="44"/>
  <c r="P282" i="44"/>
  <c r="AA175" i="18"/>
  <c r="AA172" i="13"/>
  <c r="V172" i="13"/>
  <c r="Z172" i="13"/>
  <c r="W184" i="30"/>
  <c r="O184" i="30"/>
  <c r="Y245" i="29"/>
  <c r="AA245" i="29"/>
  <c r="W245" i="29"/>
  <c r="S281" i="9"/>
  <c r="O281" i="9"/>
  <c r="W183" i="30"/>
  <c r="O183" i="30"/>
  <c r="O204" i="27"/>
  <c r="J204" i="27"/>
  <c r="S281" i="44"/>
  <c r="O281" i="44"/>
  <c r="W164" i="36"/>
  <c r="E169" i="12"/>
  <c r="G169" i="12"/>
  <c r="H169" i="12"/>
  <c r="O175" i="42"/>
  <c r="J175" i="42"/>
  <c r="O169" i="12"/>
  <c r="N169" i="12"/>
  <c r="P151" i="15"/>
  <c r="N204" i="27"/>
  <c r="P204" i="27"/>
  <c r="S205" i="10"/>
  <c r="E205" i="10"/>
  <c r="T218" i="34"/>
  <c r="BA250" i="6"/>
  <c r="BD250" i="6"/>
  <c r="BJ250" i="6"/>
  <c r="T213" i="7"/>
  <c r="V208" i="25"/>
  <c r="Z208" i="25"/>
  <c r="AC208" i="25"/>
  <c r="AI250" i="6"/>
  <c r="AM250" i="6"/>
  <c r="AB177" i="8"/>
  <c r="R244" i="29"/>
  <c r="P244" i="29"/>
  <c r="R204" i="10"/>
  <c r="W182" i="30"/>
  <c r="G150" i="37"/>
  <c r="X174" i="18"/>
  <c r="AA174" i="18"/>
  <c r="N207" i="25"/>
  <c r="T207" i="25"/>
  <c r="V207" i="25"/>
  <c r="W207" i="25"/>
  <c r="AC207" i="25"/>
  <c r="AI249" i="6"/>
  <c r="AA243" i="29"/>
  <c r="W243" i="29"/>
  <c r="AB176" i="8"/>
  <c r="M121" i="30" l="1"/>
  <c r="O121" i="30"/>
  <c r="I20" i="33"/>
  <c r="S116" i="10"/>
  <c r="N116" i="10"/>
  <c r="AC12" i="5"/>
  <c r="AJ75" i="44"/>
  <c r="Z75" i="44"/>
  <c r="AF6" i="15"/>
  <c r="P6" i="15"/>
  <c r="Q6" i="15"/>
  <c r="W16" i="1"/>
  <c r="AS16" i="1"/>
  <c r="Y115" i="10"/>
  <c r="S115" i="10"/>
  <c r="AJ74" i="44"/>
  <c r="Z74" i="44"/>
  <c r="Y71" i="18"/>
  <c r="Q5" i="15"/>
  <c r="Z7" i="13"/>
  <c r="M120" i="30"/>
  <c r="I17" i="33"/>
  <c r="Y114" i="10"/>
  <c r="S114" i="10"/>
  <c r="AI70" i="18"/>
  <c r="Y70" i="18"/>
  <c r="Z6" i="13"/>
  <c r="AI119" i="30"/>
  <c r="M119" i="30"/>
  <c r="Y69" i="18"/>
  <c r="AJ39" i="29"/>
  <c r="P39" i="29"/>
  <c r="M118" i="30"/>
  <c r="N99" i="25" l="1"/>
  <c r="AJ38" i="29"/>
  <c r="P38" i="29"/>
  <c r="AI98" i="25"/>
  <c r="N98" i="25"/>
  <c r="T98" i="25"/>
  <c r="K12" i="4"/>
  <c r="AJ37" i="29"/>
  <c r="AG37" i="29"/>
  <c r="P37" i="29"/>
  <c r="R37" i="29"/>
  <c r="AT12" i="2"/>
  <c r="AO12" i="2"/>
  <c r="U12" i="2"/>
  <c r="AI97" i="25"/>
  <c r="AF97" i="25"/>
  <c r="T97" i="25"/>
  <c r="AC97" i="25"/>
  <c r="K8" i="4"/>
  <c r="V68" i="18"/>
  <c r="AJ36" i="29"/>
  <c r="AG36" i="29"/>
  <c r="R36" i="29"/>
  <c r="W117" i="30"/>
  <c r="AI96" i="25"/>
  <c r="AC96" i="25"/>
  <c r="AF67" i="18"/>
  <c r="V67" i="18"/>
  <c r="W67" i="18"/>
  <c r="U6" i="3"/>
  <c r="AR6" i="3"/>
  <c r="AG35" i="29"/>
  <c r="R35" i="29"/>
  <c r="AJ35" i="29"/>
  <c r="Z5" i="13"/>
  <c r="Y136" i="19" l="1"/>
  <c r="R136" i="19"/>
  <c r="Q136" i="19"/>
  <c r="P136" i="19"/>
  <c r="O136" i="19"/>
  <c r="N136" i="19"/>
  <c r="M136" i="19"/>
  <c r="L136" i="19"/>
  <c r="K136" i="19"/>
  <c r="G136" i="19"/>
  <c r="F136" i="19"/>
  <c r="X378" i="19"/>
  <c r="V378" i="19"/>
  <c r="U378" i="19"/>
  <c r="T378" i="19"/>
  <c r="Q378" i="19"/>
  <c r="P378" i="19"/>
  <c r="O378" i="19"/>
  <c r="N378" i="19"/>
  <c r="M378" i="19"/>
  <c r="L378" i="19"/>
  <c r="K378" i="19"/>
  <c r="F378" i="19"/>
  <c r="D378" i="19"/>
  <c r="C378" i="19"/>
  <c r="AA377" i="19"/>
  <c r="Z377" i="19"/>
  <c r="Y377" i="19"/>
  <c r="X377" i="19"/>
  <c r="V377" i="19"/>
  <c r="AD339" i="39"/>
  <c r="AC339" i="39"/>
  <c r="AB339" i="39"/>
  <c r="AA339" i="39"/>
  <c r="Y339" i="39"/>
  <c r="N357" i="19"/>
  <c r="D357" i="19"/>
  <c r="I408" i="19"/>
  <c r="G407" i="19"/>
  <c r="G408" i="19" s="1"/>
  <c r="R407" i="19"/>
  <c r="R408" i="19" s="1"/>
  <c r="Q407" i="19"/>
  <c r="Q408" i="19" s="1"/>
  <c r="O407" i="19"/>
  <c r="O408" i="19" s="1"/>
  <c r="N407" i="19"/>
  <c r="N408" i="19" s="1"/>
  <c r="L407" i="19"/>
  <c r="L408" i="19" s="1"/>
  <c r="H407" i="19"/>
  <c r="H408" i="19" s="1"/>
  <c r="F407" i="19"/>
  <c r="F408" i="19" s="1"/>
  <c r="B407" i="19"/>
  <c r="B408" i="19" s="1"/>
  <c r="P407" i="19"/>
  <c r="P408" i="19" s="1"/>
  <c r="W174" i="19"/>
  <c r="K409" i="19" l="1"/>
  <c r="K410" i="19" s="1"/>
  <c r="AA397" i="19" l="1"/>
  <c r="AA398" i="19" s="1"/>
  <c r="Z397" i="19"/>
  <c r="Z398" i="19" s="1"/>
  <c r="Y397" i="19"/>
  <c r="Y398" i="19" s="1"/>
  <c r="X397" i="19"/>
  <c r="X398" i="19" s="1"/>
  <c r="W397" i="19"/>
  <c r="W398" i="19" s="1"/>
  <c r="V397" i="19"/>
  <c r="V398" i="19" s="1"/>
  <c r="U397" i="19"/>
  <c r="U398" i="19" s="1"/>
  <c r="T397" i="19"/>
  <c r="T398" i="19" s="1"/>
  <c r="R397" i="19"/>
  <c r="R398" i="19" s="1"/>
  <c r="Q397" i="19"/>
  <c r="Q398" i="19" s="1"/>
  <c r="P397" i="19"/>
  <c r="P398" i="19" s="1"/>
  <c r="O397" i="19"/>
  <c r="O398" i="19" s="1"/>
  <c r="N397" i="19"/>
  <c r="N398" i="19" s="1"/>
  <c r="M397" i="19"/>
  <c r="M398" i="19" s="1"/>
  <c r="L397" i="19"/>
  <c r="L398" i="19" s="1"/>
  <c r="K397" i="19"/>
  <c r="K398" i="19" s="1"/>
  <c r="H397" i="19"/>
  <c r="H398" i="19" s="1"/>
  <c r="G397" i="19"/>
  <c r="G398" i="19" s="1"/>
  <c r="F397" i="19"/>
  <c r="F398" i="19" s="1"/>
  <c r="T399" i="19" l="1"/>
  <c r="T400" i="19"/>
  <c r="X4" i="29" l="1"/>
  <c r="Y4" i="29"/>
  <c r="AA4" i="29"/>
  <c r="W4" i="29"/>
  <c r="R4" i="29"/>
  <c r="P4" i="29"/>
  <c r="X4" i="8"/>
  <c r="AB4" i="8"/>
  <c r="S4" i="9"/>
  <c r="R4" i="9"/>
  <c r="O4" i="9"/>
  <c r="R4" i="44"/>
  <c r="W4" i="44"/>
  <c r="P4" i="44"/>
  <c r="O4" i="34"/>
  <c r="Q4" i="34"/>
  <c r="M4" i="34"/>
  <c r="T4" i="34"/>
  <c r="S4" i="34"/>
  <c r="P4" i="34"/>
  <c r="W4" i="36"/>
  <c r="O4" i="12"/>
  <c r="M4" i="12"/>
  <c r="N4" i="12"/>
  <c r="I4" i="31"/>
  <c r="F4" i="31"/>
  <c r="Q4" i="40"/>
  <c r="M4" i="40"/>
  <c r="O4" i="40"/>
  <c r="M4" i="15"/>
  <c r="P4" i="15"/>
  <c r="R4" i="15"/>
  <c r="S4" i="15"/>
  <c r="P4" i="10"/>
  <c r="S4" i="10"/>
  <c r="L4" i="10"/>
  <c r="R4" i="10"/>
  <c r="E4" i="10"/>
  <c r="N4" i="27"/>
  <c r="S4" i="27"/>
  <c r="P4" i="27"/>
  <c r="M4" i="27"/>
  <c r="L4" i="27"/>
  <c r="R4" i="27"/>
  <c r="Z4" i="30"/>
  <c r="X4" i="30"/>
  <c r="W4" i="30"/>
  <c r="N4" i="30"/>
  <c r="O4" i="30"/>
  <c r="P4" i="30"/>
  <c r="Z4" i="18"/>
  <c r="X4" i="18"/>
  <c r="AA4" i="18"/>
  <c r="AB4" i="18"/>
  <c r="I4" i="18"/>
  <c r="H4" i="18"/>
  <c r="F4" i="18"/>
  <c r="J4" i="18"/>
  <c r="G4" i="18"/>
  <c r="AA4" i="13"/>
  <c r="V4" i="13"/>
  <c r="X4" i="13"/>
  <c r="K4" i="13"/>
  <c r="G4" i="13"/>
  <c r="I4" i="13"/>
  <c r="P4" i="13"/>
  <c r="T4" i="13"/>
  <c r="O4" i="13"/>
  <c r="Q4" i="39"/>
  <c r="Z4" i="39"/>
  <c r="U4" i="39"/>
  <c r="N4" i="24"/>
  <c r="P4" i="24"/>
  <c r="I4" i="7"/>
  <c r="T4" i="7"/>
  <c r="Q4" i="7"/>
  <c r="R4" i="7"/>
  <c r="P4" i="7"/>
  <c r="N4" i="7"/>
  <c r="O4" i="7"/>
  <c r="BI4" i="6"/>
  <c r="BJ4" i="6"/>
  <c r="BK4" i="6"/>
  <c r="BN4" i="6"/>
  <c r="BA4" i="6"/>
  <c r="BC4" i="6"/>
  <c r="BD4" i="6"/>
  <c r="V4" i="25"/>
  <c r="X4" i="25"/>
  <c r="Z4" i="25"/>
  <c r="W4" i="25"/>
  <c r="AC4" i="25"/>
  <c r="Y4" i="25"/>
  <c r="M4" i="25"/>
  <c r="S4" i="25"/>
  <c r="N4" i="25"/>
  <c r="T4" i="25"/>
  <c r="G4" i="25"/>
  <c r="AK4" i="6"/>
  <c r="AI4" i="6"/>
  <c r="AM4" i="6"/>
  <c r="BZ4" i="6"/>
  <c r="BV4" i="6"/>
  <c r="CD4" i="6"/>
  <c r="J4" i="6"/>
  <c r="H4" i="6"/>
  <c r="L4" i="6"/>
  <c r="F4" i="6"/>
  <c r="K4" i="44"/>
  <c r="E4" i="44"/>
  <c r="L4" i="44"/>
  <c r="E4" i="12"/>
  <c r="F4" i="12"/>
  <c r="G4" i="12"/>
  <c r="H4" i="12"/>
  <c r="K4" i="12"/>
  <c r="E4" i="14"/>
  <c r="K4" i="14"/>
  <c r="G4" i="37"/>
  <c r="E4" i="37"/>
  <c r="H4" i="37"/>
  <c r="K4" i="37"/>
  <c r="F4" i="37"/>
  <c r="H4" i="40"/>
  <c r="F4" i="40"/>
  <c r="G4" i="40"/>
  <c r="I4" i="40"/>
  <c r="J4" i="40"/>
  <c r="AF4" i="40"/>
  <c r="G4" i="42"/>
  <c r="O4" i="42"/>
  <c r="J4" i="42"/>
  <c r="F4" i="42"/>
  <c r="H4" i="27"/>
  <c r="O4" i="27"/>
  <c r="J4" i="27"/>
  <c r="K4" i="27"/>
  <c r="F4" i="27"/>
  <c r="J4" i="34"/>
  <c r="F4" i="34"/>
  <c r="R4" i="30"/>
  <c r="T4" i="30"/>
  <c r="J4" i="30"/>
  <c r="AC4" i="30"/>
  <c r="W4" i="13"/>
  <c r="X4" i="7"/>
  <c r="V4" i="7"/>
  <c r="AC4" i="7"/>
  <c r="Z4" i="7"/>
  <c r="AA4" i="7"/>
  <c r="AP4" i="6"/>
  <c r="AR4" i="6"/>
  <c r="AQ4" i="6"/>
  <c r="Y4" i="30"/>
  <c r="AD4" i="6"/>
  <c r="AE4" i="6"/>
  <c r="Y4" i="6"/>
  <c r="BQ4" i="6"/>
  <c r="BX4" i="6"/>
  <c r="AB4" i="29"/>
  <c r="U4" i="29"/>
  <c r="Q4" i="29"/>
  <c r="N4" i="29"/>
  <c r="J4" i="29"/>
  <c r="K4" i="39"/>
  <c r="J4" i="39"/>
  <c r="E4" i="39"/>
  <c r="H4" i="39"/>
  <c r="L4" i="39"/>
  <c r="W4" i="39"/>
  <c r="I4" i="39"/>
  <c r="K4" i="9"/>
  <c r="L4" i="9"/>
  <c r="I4" i="9"/>
  <c r="AE154" i="37" l="1"/>
  <c r="AH154" i="37" s="1"/>
  <c r="AJ154" i="37" s="1"/>
  <c r="P132" i="43" l="1"/>
  <c r="AI132" i="43"/>
  <c r="AG132" i="43"/>
  <c r="AF132" i="43"/>
  <c r="AD132" i="43"/>
  <c r="AC132" i="43"/>
  <c r="AB132" i="43"/>
  <c r="AA132" i="43"/>
  <c r="Z132" i="43"/>
  <c r="Y132" i="43"/>
  <c r="X132" i="43"/>
  <c r="W132" i="43"/>
  <c r="V132" i="43"/>
  <c r="U132" i="43"/>
  <c r="T132" i="43"/>
  <c r="S132" i="43"/>
  <c r="R132" i="43"/>
  <c r="Q132" i="43"/>
  <c r="O132" i="43"/>
  <c r="N132" i="43"/>
  <c r="M132" i="43"/>
  <c r="L132" i="43"/>
  <c r="K132" i="43"/>
  <c r="J132" i="43"/>
  <c r="I132" i="43"/>
  <c r="H132" i="43"/>
  <c r="G132" i="43"/>
  <c r="F132" i="43"/>
  <c r="E132" i="43"/>
  <c r="AE131" i="43"/>
  <c r="AH131" i="43" s="1"/>
  <c r="AJ131" i="43" s="1"/>
  <c r="AE130" i="43"/>
  <c r="AH130" i="43" s="1"/>
  <c r="AJ130" i="43" s="1"/>
  <c r="AE129" i="43"/>
  <c r="AH129" i="43" s="1"/>
  <c r="AJ129" i="43" s="1"/>
  <c r="AE128" i="43"/>
  <c r="AH128" i="43" s="1"/>
  <c r="AJ128" i="43" s="1"/>
  <c r="AE127" i="43"/>
  <c r="AH127" i="43" s="1"/>
  <c r="AJ127" i="43" s="1"/>
  <c r="AE126" i="43"/>
  <c r="AH126" i="43" s="1"/>
  <c r="AJ126" i="43" s="1"/>
  <c r="AE125" i="43"/>
  <c r="AH125" i="43" s="1"/>
  <c r="AJ125" i="43" s="1"/>
  <c r="AE124" i="43"/>
  <c r="AH124" i="43" s="1"/>
  <c r="AJ124" i="43" s="1"/>
  <c r="AE123" i="43"/>
  <c r="AH123" i="43" s="1"/>
  <c r="AJ123" i="43" s="1"/>
  <c r="AE122" i="43"/>
  <c r="AH122" i="43" s="1"/>
  <c r="AJ122" i="43" s="1"/>
  <c r="AE121" i="43"/>
  <c r="AH121" i="43" s="1"/>
  <c r="AJ121" i="43" s="1"/>
  <c r="AE120" i="43"/>
  <c r="AI118" i="43"/>
  <c r="AG118" i="43"/>
  <c r="AF118" i="43"/>
  <c r="AD118" i="43"/>
  <c r="AC118" i="43"/>
  <c r="AB118" i="43"/>
  <c r="AA118" i="43"/>
  <c r="Z118" i="43"/>
  <c r="Y118" i="43"/>
  <c r="X118" i="43"/>
  <c r="W118" i="43"/>
  <c r="V118" i="43"/>
  <c r="U118" i="43"/>
  <c r="T118" i="43"/>
  <c r="S118" i="43"/>
  <c r="R118" i="43"/>
  <c r="Q118" i="43"/>
  <c r="P118" i="43"/>
  <c r="O118" i="43"/>
  <c r="N118" i="43"/>
  <c r="M118" i="43"/>
  <c r="L118" i="43"/>
  <c r="K118" i="43"/>
  <c r="J118" i="43"/>
  <c r="I118" i="43"/>
  <c r="H118" i="43"/>
  <c r="G118" i="43"/>
  <c r="F118" i="43"/>
  <c r="E118" i="43"/>
  <c r="AE117" i="43"/>
  <c r="AH117" i="43" s="1"/>
  <c r="AJ117" i="43" s="1"/>
  <c r="AE116" i="43"/>
  <c r="AH116" i="43" s="1"/>
  <c r="AJ116" i="43" s="1"/>
  <c r="AE115" i="43"/>
  <c r="AH115" i="43" s="1"/>
  <c r="AJ115" i="43" s="1"/>
  <c r="AH114" i="43"/>
  <c r="AJ114" i="43" s="1"/>
  <c r="AE114" i="43"/>
  <c r="AE113" i="43"/>
  <c r="AH113" i="43" s="1"/>
  <c r="AJ113" i="43" s="1"/>
  <c r="AE112" i="43"/>
  <c r="AH112" i="43" s="1"/>
  <c r="AJ112" i="43" s="1"/>
  <c r="AE111" i="43"/>
  <c r="AH111" i="43" s="1"/>
  <c r="AJ111" i="43" s="1"/>
  <c r="AH110" i="43"/>
  <c r="AJ110" i="43" s="1"/>
  <c r="AE110" i="43"/>
  <c r="AE109" i="43"/>
  <c r="AH109" i="43" s="1"/>
  <c r="AJ109" i="43" s="1"/>
  <c r="AE108" i="43"/>
  <c r="AH108" i="43" s="1"/>
  <c r="AJ108" i="43" s="1"/>
  <c r="AE107" i="43"/>
  <c r="AH107" i="43" s="1"/>
  <c r="AJ107" i="43" s="1"/>
  <c r="AH106" i="43"/>
  <c r="AJ106" i="43" s="1"/>
  <c r="AE106" i="43"/>
  <c r="AE118" i="43" s="1"/>
  <c r="AE132" i="43" l="1"/>
  <c r="AH120" i="43"/>
  <c r="AJ118" i="43"/>
  <c r="AH118" i="43"/>
  <c r="AJ120" i="43" l="1"/>
  <c r="AJ132" i="43" s="1"/>
  <c r="AH132" i="43"/>
  <c r="M178" i="19"/>
  <c r="AC223" i="43"/>
  <c r="AC221" i="43"/>
  <c r="AI211" i="43"/>
  <c r="AF211" i="43"/>
  <c r="AC211" i="43"/>
  <c r="AB211" i="43"/>
  <c r="AA211" i="43"/>
  <c r="Z211" i="43"/>
  <c r="Y211" i="43"/>
  <c r="X211" i="43"/>
  <c r="W211" i="43"/>
  <c r="V211" i="43"/>
  <c r="T211" i="43"/>
  <c r="S211" i="43"/>
  <c r="R211" i="43"/>
  <c r="Q211" i="43"/>
  <c r="P211" i="43"/>
  <c r="O211" i="43"/>
  <c r="N211" i="43"/>
  <c r="M211" i="43"/>
  <c r="K211" i="43"/>
  <c r="J211" i="43"/>
  <c r="I211" i="43"/>
  <c r="H211" i="43"/>
  <c r="G211" i="43"/>
  <c r="F211" i="43"/>
  <c r="E211" i="43"/>
  <c r="AH210" i="43"/>
  <c r="AJ210" i="43" s="1"/>
  <c r="AE210" i="43"/>
  <c r="AE209" i="43"/>
  <c r="AE211" i="43" s="1"/>
  <c r="AI206" i="43"/>
  <c r="AG206" i="43"/>
  <c r="AB206" i="43"/>
  <c r="AI205" i="43"/>
  <c r="AG205" i="43"/>
  <c r="AF205" i="43"/>
  <c r="AF206" i="43" s="1"/>
  <c r="AC205" i="43"/>
  <c r="AC206" i="43" s="1"/>
  <c r="AB205" i="43"/>
  <c r="AA205" i="43"/>
  <c r="AA206" i="43" s="1"/>
  <c r="Z205" i="43"/>
  <c r="Z206" i="43" s="1"/>
  <c r="Y205" i="43"/>
  <c r="Y206" i="43" s="1"/>
  <c r="X205" i="43"/>
  <c r="X206" i="43" s="1"/>
  <c r="W205" i="43"/>
  <c r="W206" i="43" s="1"/>
  <c r="V205" i="43"/>
  <c r="V206" i="43" s="1"/>
  <c r="U205" i="43"/>
  <c r="T205" i="43"/>
  <c r="T206" i="43" s="1"/>
  <c r="S205" i="43"/>
  <c r="S206" i="43" s="1"/>
  <c r="R205" i="43"/>
  <c r="R206" i="43" s="1"/>
  <c r="Q205" i="43"/>
  <c r="Q206" i="43" s="1"/>
  <c r="P205" i="43"/>
  <c r="P206" i="43" s="1"/>
  <c r="O205" i="43"/>
  <c r="O206" i="43" s="1"/>
  <c r="N205" i="43"/>
  <c r="N206" i="43" s="1"/>
  <c r="M205" i="43"/>
  <c r="M206" i="43" s="1"/>
  <c r="L205" i="43"/>
  <c r="K205" i="43"/>
  <c r="K206" i="43" s="1"/>
  <c r="J205" i="43"/>
  <c r="J206" i="43" s="1"/>
  <c r="I205" i="43"/>
  <c r="I206" i="43" s="1"/>
  <c r="H205" i="43"/>
  <c r="H206" i="43" s="1"/>
  <c r="G205" i="43"/>
  <c r="G206" i="43" s="1"/>
  <c r="F205" i="43"/>
  <c r="F206" i="43" s="1"/>
  <c r="E205" i="43"/>
  <c r="E206" i="43" s="1"/>
  <c r="AE204" i="43"/>
  <c r="AH204" i="43" s="1"/>
  <c r="AJ204" i="43" s="1"/>
  <c r="AE203" i="43"/>
  <c r="AH203" i="43" s="1"/>
  <c r="AJ203" i="43" s="1"/>
  <c r="AH202" i="43"/>
  <c r="AJ202" i="43" s="1"/>
  <c r="AE202" i="43"/>
  <c r="AE201" i="43"/>
  <c r="AH201" i="43" s="1"/>
  <c r="AJ201" i="43" s="1"/>
  <c r="AE200" i="43"/>
  <c r="AH200" i="43" s="1"/>
  <c r="AJ200" i="43" s="1"/>
  <c r="AJ199" i="43"/>
  <c r="AE199" i="43"/>
  <c r="AH199" i="43" s="1"/>
  <c r="AH198" i="43"/>
  <c r="AJ198" i="43" s="1"/>
  <c r="AE198" i="43"/>
  <c r="AJ197" i="43"/>
  <c r="AE197" i="43"/>
  <c r="AH197" i="43" s="1"/>
  <c r="AE196" i="43"/>
  <c r="AH196" i="43" s="1"/>
  <c r="AJ196" i="43" s="1"/>
  <c r="AE195" i="43"/>
  <c r="AH195" i="43" s="1"/>
  <c r="AJ195" i="43" s="1"/>
  <c r="AH194" i="43"/>
  <c r="AJ194" i="43" s="1"/>
  <c r="AE194" i="43"/>
  <c r="AH193" i="43"/>
  <c r="AJ193" i="43" s="1"/>
  <c r="AE193" i="43"/>
  <c r="AE192" i="43"/>
  <c r="AH192" i="43" s="1"/>
  <c r="AJ192" i="43" s="1"/>
  <c r="AE191" i="43"/>
  <c r="AH191" i="43" s="1"/>
  <c r="AJ191" i="43" s="1"/>
  <c r="AH190" i="43"/>
  <c r="AJ190" i="43" s="1"/>
  <c r="AE190" i="43"/>
  <c r="AE189" i="43"/>
  <c r="AH189" i="43" s="1"/>
  <c r="AJ189" i="43" s="1"/>
  <c r="AE188" i="43"/>
  <c r="AH188" i="43" s="1"/>
  <c r="AJ188" i="43" s="1"/>
  <c r="AE187" i="43"/>
  <c r="AH187" i="43" s="1"/>
  <c r="AJ187" i="43" s="1"/>
  <c r="AJ186" i="43"/>
  <c r="AH186" i="43"/>
  <c r="AE186" i="43"/>
  <c r="AE185" i="43"/>
  <c r="AH185" i="43" s="1"/>
  <c r="AJ185" i="43" s="1"/>
  <c r="AE184" i="43"/>
  <c r="AH184" i="43" s="1"/>
  <c r="AJ184" i="43" s="1"/>
  <c r="AE183" i="43"/>
  <c r="AH183" i="43" s="1"/>
  <c r="AJ183" i="43" s="1"/>
  <c r="AH182" i="43"/>
  <c r="AJ182" i="43" s="1"/>
  <c r="AE182" i="43"/>
  <c r="AE181" i="43"/>
  <c r="AH181" i="43" s="1"/>
  <c r="AJ181" i="43" s="1"/>
  <c r="AH180" i="43"/>
  <c r="AJ180" i="43" s="1"/>
  <c r="AE180" i="43"/>
  <c r="AE179" i="43"/>
  <c r="AH179" i="43" s="1"/>
  <c r="AJ179" i="43" s="1"/>
  <c r="AH178" i="43"/>
  <c r="AJ178" i="43" s="1"/>
  <c r="AE178" i="43"/>
  <c r="AE177" i="43"/>
  <c r="AH177" i="43" s="1"/>
  <c r="AJ177" i="43" s="1"/>
  <c r="AE176" i="43"/>
  <c r="AH176" i="43" s="1"/>
  <c r="AJ176" i="43" s="1"/>
  <c r="AE175" i="43"/>
  <c r="AH175" i="43" s="1"/>
  <c r="AJ175" i="43" s="1"/>
  <c r="AH174" i="43"/>
  <c r="AJ174" i="43" s="1"/>
  <c r="AE174" i="43"/>
  <c r="AE173" i="43"/>
  <c r="AH173" i="43" s="1"/>
  <c r="AJ173" i="43" s="1"/>
  <c r="AE172" i="43"/>
  <c r="AH172" i="43" s="1"/>
  <c r="AJ172" i="43" s="1"/>
  <c r="AE171" i="43"/>
  <c r="AH171" i="43" s="1"/>
  <c r="AJ171" i="43" s="1"/>
  <c r="AH170" i="43"/>
  <c r="AJ170" i="43" s="1"/>
  <c r="AE170" i="43"/>
  <c r="AE169" i="43"/>
  <c r="AH169" i="43" s="1"/>
  <c r="AJ169" i="43" s="1"/>
  <c r="AE168" i="43"/>
  <c r="AH168" i="43" s="1"/>
  <c r="AJ168" i="43" s="1"/>
  <c r="AJ167" i="43"/>
  <c r="AE167" i="43"/>
  <c r="AH167" i="43" s="1"/>
  <c r="AE166" i="43"/>
  <c r="AH166" i="43" s="1"/>
  <c r="AJ166" i="43" s="1"/>
  <c r="AJ165" i="43"/>
  <c r="AE165" i="43"/>
  <c r="AH165" i="43" s="1"/>
  <c r="AE164" i="43"/>
  <c r="AH164" i="43" s="1"/>
  <c r="AJ164" i="43" s="1"/>
  <c r="AE163" i="43"/>
  <c r="AH163" i="43" s="1"/>
  <c r="AJ163" i="43" s="1"/>
  <c r="AH162" i="43"/>
  <c r="AJ162" i="43" s="1"/>
  <c r="AE162" i="43"/>
  <c r="AE161" i="43"/>
  <c r="AH161" i="43" s="1"/>
  <c r="AJ161" i="43" s="1"/>
  <c r="AE160" i="43"/>
  <c r="AH160" i="43" s="1"/>
  <c r="AJ160" i="43" s="1"/>
  <c r="AE159" i="43"/>
  <c r="AH159" i="43" s="1"/>
  <c r="AJ159" i="43" s="1"/>
  <c r="AE158" i="43"/>
  <c r="AH158" i="43" s="1"/>
  <c r="AJ158" i="43" s="1"/>
  <c r="AE157" i="43"/>
  <c r="AH157" i="43" s="1"/>
  <c r="AJ157" i="43" s="1"/>
  <c r="AE156" i="43"/>
  <c r="AH156" i="43" s="1"/>
  <c r="AJ156" i="43" s="1"/>
  <c r="AE155" i="43"/>
  <c r="AH155" i="43" s="1"/>
  <c r="AJ155" i="43" s="1"/>
  <c r="AE154" i="43"/>
  <c r="AH154" i="43" s="1"/>
  <c r="AJ154" i="43" s="1"/>
  <c r="AE153" i="43"/>
  <c r="AH153" i="43" s="1"/>
  <c r="AJ153" i="43" s="1"/>
  <c r="AE152" i="43"/>
  <c r="AH152" i="43" s="1"/>
  <c r="AJ152" i="43" s="1"/>
  <c r="AE151" i="43"/>
  <c r="AH151" i="43" s="1"/>
  <c r="AJ151" i="43" s="1"/>
  <c r="AE150" i="43"/>
  <c r="AH150" i="43" s="1"/>
  <c r="AJ150" i="43" s="1"/>
  <c r="AE149" i="43"/>
  <c r="AH149" i="43" s="1"/>
  <c r="AJ149" i="43" s="1"/>
  <c r="AE148" i="43"/>
  <c r="AH148" i="43" s="1"/>
  <c r="AJ148" i="43" s="1"/>
  <c r="AE147" i="43"/>
  <c r="AH147" i="43" s="1"/>
  <c r="AJ147" i="43" s="1"/>
  <c r="AE146" i="43"/>
  <c r="AH146" i="43" s="1"/>
  <c r="AJ146" i="43" s="1"/>
  <c r="AE145" i="43"/>
  <c r="AH145" i="43" s="1"/>
  <c r="AJ145" i="43" s="1"/>
  <c r="AE144" i="43"/>
  <c r="AI137" i="43"/>
  <c r="AF137" i="43"/>
  <c r="AC137" i="43"/>
  <c r="AB137" i="43"/>
  <c r="AA137" i="43"/>
  <c r="Z137" i="43"/>
  <c r="Y137" i="43"/>
  <c r="X137" i="43"/>
  <c r="W137" i="43"/>
  <c r="V137" i="43"/>
  <c r="T137" i="43"/>
  <c r="S137" i="43"/>
  <c r="R137" i="43"/>
  <c r="Q137" i="43"/>
  <c r="P137" i="43"/>
  <c r="O137" i="43"/>
  <c r="N137" i="43"/>
  <c r="M137" i="43"/>
  <c r="K137" i="43"/>
  <c r="J137" i="43"/>
  <c r="I137" i="43"/>
  <c r="H137" i="43"/>
  <c r="G137" i="43"/>
  <c r="F137" i="43"/>
  <c r="E137" i="43"/>
  <c r="AH136" i="43"/>
  <c r="AJ136" i="43" s="1"/>
  <c r="AE136" i="43"/>
  <c r="AE135" i="43"/>
  <c r="AH135" i="43" s="1"/>
  <c r="AJ135" i="43" s="1"/>
  <c r="AH134" i="43"/>
  <c r="AJ134" i="43" s="1"/>
  <c r="AE134" i="43"/>
  <c r="AE133" i="43"/>
  <c r="Y139" i="43"/>
  <c r="Y140" i="43" s="1"/>
  <c r="AI104" i="43"/>
  <c r="AG104" i="43"/>
  <c r="AF104" i="43"/>
  <c r="AD104" i="43"/>
  <c r="AC104" i="43"/>
  <c r="AB104" i="43"/>
  <c r="AA104" i="43"/>
  <c r="Z104" i="43"/>
  <c r="Y104" i="43"/>
  <c r="X104" i="43"/>
  <c r="W104" i="43"/>
  <c r="V104" i="43"/>
  <c r="U104" i="43"/>
  <c r="T104" i="43"/>
  <c r="S104" i="43"/>
  <c r="R104" i="43"/>
  <c r="Q104" i="43"/>
  <c r="P104" i="43"/>
  <c r="O104" i="43"/>
  <c r="N104" i="43"/>
  <c r="M104" i="43"/>
  <c r="L104" i="43"/>
  <c r="K104" i="43"/>
  <c r="J104" i="43"/>
  <c r="I104" i="43"/>
  <c r="H104" i="43"/>
  <c r="G104" i="43"/>
  <c r="F104" i="43"/>
  <c r="E104" i="43"/>
  <c r="AH103" i="43"/>
  <c r="AJ103" i="43" s="1"/>
  <c r="AE103" i="43"/>
  <c r="AH102" i="43"/>
  <c r="AJ102" i="43" s="1"/>
  <c r="AE102" i="43"/>
  <c r="AE101" i="43"/>
  <c r="AH101" i="43" s="1"/>
  <c r="AJ101" i="43" s="1"/>
  <c r="AE100" i="43"/>
  <c r="AH100" i="43" s="1"/>
  <c r="AJ100" i="43" s="1"/>
  <c r="AH99" i="43"/>
  <c r="AJ99" i="43" s="1"/>
  <c r="AE99" i="43"/>
  <c r="AK98" i="43"/>
  <c r="AE98" i="43"/>
  <c r="AH98" i="43" s="1"/>
  <c r="AJ98" i="43" s="1"/>
  <c r="AE97" i="43"/>
  <c r="AH97" i="43" s="1"/>
  <c r="AJ97" i="43" s="1"/>
  <c r="AH96" i="43"/>
  <c r="AJ96" i="43" s="1"/>
  <c r="AE96" i="43"/>
  <c r="AE95" i="43"/>
  <c r="AH95" i="43" s="1"/>
  <c r="AJ95" i="43" s="1"/>
  <c r="AE94" i="43"/>
  <c r="AH94" i="43" s="1"/>
  <c r="AJ94" i="43" s="1"/>
  <c r="AE93" i="43"/>
  <c r="AH93" i="43" s="1"/>
  <c r="AJ93" i="43" s="1"/>
  <c r="AH92" i="43"/>
  <c r="AE92" i="43"/>
  <c r="AI90" i="43"/>
  <c r="AG90" i="43"/>
  <c r="AF90" i="43"/>
  <c r="AD90" i="43"/>
  <c r="AC90" i="43"/>
  <c r="AB90" i="43"/>
  <c r="AA90" i="43"/>
  <c r="Z90" i="43"/>
  <c r="Y90" i="43"/>
  <c r="X90" i="43"/>
  <c r="W90" i="43"/>
  <c r="V90" i="43"/>
  <c r="U90" i="43"/>
  <c r="T90" i="43"/>
  <c r="S90" i="43"/>
  <c r="R90" i="43"/>
  <c r="Q90" i="43"/>
  <c r="P90" i="43"/>
  <c r="O90" i="43"/>
  <c r="N90" i="43"/>
  <c r="M90" i="43"/>
  <c r="L90" i="43"/>
  <c r="K90" i="43"/>
  <c r="J90" i="43"/>
  <c r="I90" i="43"/>
  <c r="H90" i="43"/>
  <c r="G90" i="43"/>
  <c r="F90" i="43"/>
  <c r="E90" i="43"/>
  <c r="AE89" i="43"/>
  <c r="AH89" i="43" s="1"/>
  <c r="AJ89" i="43" s="1"/>
  <c r="AE88" i="43"/>
  <c r="AH88" i="43" s="1"/>
  <c r="AJ88" i="43" s="1"/>
  <c r="AE87" i="43"/>
  <c r="AH87" i="43" s="1"/>
  <c r="AJ87" i="43" s="1"/>
  <c r="AH86" i="43"/>
  <c r="AJ86" i="43" s="1"/>
  <c r="AE86" i="43"/>
  <c r="AE85" i="43"/>
  <c r="AH85" i="43" s="1"/>
  <c r="AJ85" i="43" s="1"/>
  <c r="AL84" i="43"/>
  <c r="AK84" i="43"/>
  <c r="AE84" i="43"/>
  <c r="AH84" i="43" s="1"/>
  <c r="AJ84" i="43" s="1"/>
  <c r="AE83" i="43"/>
  <c r="AH83" i="43" s="1"/>
  <c r="AJ83" i="43" s="1"/>
  <c r="AE82" i="43"/>
  <c r="AH82" i="43" s="1"/>
  <c r="AJ82" i="43" s="1"/>
  <c r="AE81" i="43"/>
  <c r="AH81" i="43" s="1"/>
  <c r="AJ81" i="43" s="1"/>
  <c r="AE80" i="43"/>
  <c r="AH80" i="43" s="1"/>
  <c r="AJ80" i="43" s="1"/>
  <c r="AE79" i="43"/>
  <c r="AH79" i="43" s="1"/>
  <c r="AJ79" i="43" s="1"/>
  <c r="AE78" i="43"/>
  <c r="AH78" i="43" s="1"/>
  <c r="AJ78" i="43" s="1"/>
  <c r="AE77" i="43"/>
  <c r="AH77" i="43" s="1"/>
  <c r="AJ77" i="43" s="1"/>
  <c r="AE76" i="43"/>
  <c r="AH76" i="43" s="1"/>
  <c r="AJ76" i="43" s="1"/>
  <c r="AE75" i="43"/>
  <c r="AH75" i="43" s="1"/>
  <c r="AJ75" i="43" s="1"/>
  <c r="AE74" i="43"/>
  <c r="AI72" i="43"/>
  <c r="AG72" i="43"/>
  <c r="AF72" i="43"/>
  <c r="AC72" i="43"/>
  <c r="AB72" i="43"/>
  <c r="AA72" i="43"/>
  <c r="Z72" i="43"/>
  <c r="Y72" i="43"/>
  <c r="X72" i="43"/>
  <c r="W72" i="43"/>
  <c r="V72" i="43"/>
  <c r="T72" i="43"/>
  <c r="S72" i="43"/>
  <c r="R72" i="43"/>
  <c r="Q72" i="43"/>
  <c r="P72" i="43"/>
  <c r="O72" i="43"/>
  <c r="N72" i="43"/>
  <c r="M72" i="43"/>
  <c r="K72" i="43"/>
  <c r="J72" i="43"/>
  <c r="I72" i="43"/>
  <c r="H72" i="43"/>
  <c r="G72" i="43"/>
  <c r="F72" i="43"/>
  <c r="E72" i="43"/>
  <c r="AE71" i="43"/>
  <c r="AH71" i="43" s="1"/>
  <c r="AJ71" i="43" s="1"/>
  <c r="AL70" i="43"/>
  <c r="AK70" i="43"/>
  <c r="AE70" i="43"/>
  <c r="AH70" i="43" s="1"/>
  <c r="AJ70" i="43" s="1"/>
  <c r="AJ69" i="43"/>
  <c r="AH69" i="43"/>
  <c r="AE69" i="43"/>
  <c r="AH68" i="43"/>
  <c r="AJ68" i="43" s="1"/>
  <c r="AE68" i="43"/>
  <c r="AE67" i="43"/>
  <c r="AH67" i="43" s="1"/>
  <c r="AJ67" i="43" s="1"/>
  <c r="AE66" i="43"/>
  <c r="AH66" i="43" s="1"/>
  <c r="AJ66" i="43" s="1"/>
  <c r="AE65" i="43"/>
  <c r="AH65" i="43" s="1"/>
  <c r="AJ65" i="43" s="1"/>
  <c r="AE64" i="43"/>
  <c r="AH64" i="43" s="1"/>
  <c r="AJ64" i="43" s="1"/>
  <c r="AE63" i="43"/>
  <c r="AH63" i="43" s="1"/>
  <c r="AJ63" i="43" s="1"/>
  <c r="AE62" i="43"/>
  <c r="AH62" i="43" s="1"/>
  <c r="AJ62" i="43" s="1"/>
  <c r="AE61" i="43"/>
  <c r="AH61" i="43" s="1"/>
  <c r="AJ61" i="43" s="1"/>
  <c r="AE60" i="43"/>
  <c r="AH60" i="43" s="1"/>
  <c r="AJ60" i="43" s="1"/>
  <c r="AE59" i="43"/>
  <c r="AH59" i="43" s="1"/>
  <c r="AJ59" i="43" s="1"/>
  <c r="AE58" i="43"/>
  <c r="AH58" i="43" s="1"/>
  <c r="AJ58" i="43" s="1"/>
  <c r="AE57" i="43"/>
  <c r="AH57" i="43" s="1"/>
  <c r="AL54" i="43"/>
  <c r="AI54" i="43"/>
  <c r="AG54" i="43"/>
  <c r="AF54" i="43"/>
  <c r="AC54" i="43"/>
  <c r="AB54" i="43"/>
  <c r="AA54" i="43"/>
  <c r="Z54" i="43"/>
  <c r="Y54" i="43"/>
  <c r="X54" i="43"/>
  <c r="W54" i="43"/>
  <c r="V54" i="43"/>
  <c r="T54" i="43"/>
  <c r="S54" i="43"/>
  <c r="R54" i="43"/>
  <c r="Q54" i="43"/>
  <c r="P54" i="43"/>
  <c r="O54" i="43"/>
  <c r="N54" i="43"/>
  <c r="M54" i="43"/>
  <c r="K54" i="43"/>
  <c r="J54" i="43"/>
  <c r="I54" i="43"/>
  <c r="H54" i="43"/>
  <c r="G54" i="43"/>
  <c r="F54" i="43"/>
  <c r="E54" i="43"/>
  <c r="AE53" i="43"/>
  <c r="AH53" i="43" s="1"/>
  <c r="AJ53" i="43" s="1"/>
  <c r="AE52" i="43"/>
  <c r="AH52" i="43" s="1"/>
  <c r="AJ52" i="43" s="1"/>
  <c r="AE51" i="43"/>
  <c r="AH51" i="43" s="1"/>
  <c r="AJ51" i="43" s="1"/>
  <c r="AH50" i="43"/>
  <c r="AJ50" i="43" s="1"/>
  <c r="AE50" i="43"/>
  <c r="AE49" i="43"/>
  <c r="AH49" i="43" s="1"/>
  <c r="AJ49" i="43" s="1"/>
  <c r="AE48" i="43"/>
  <c r="AH48" i="43" s="1"/>
  <c r="AJ48" i="43" s="1"/>
  <c r="AE47" i="43"/>
  <c r="AH47" i="43" s="1"/>
  <c r="AJ47" i="43" s="1"/>
  <c r="AH46" i="43"/>
  <c r="AJ46" i="43" s="1"/>
  <c r="AE46" i="43"/>
  <c r="AE45" i="43"/>
  <c r="AH45" i="43" s="1"/>
  <c r="AJ45" i="43" s="1"/>
  <c r="AE44" i="43"/>
  <c r="AH44" i="43" s="1"/>
  <c r="AJ44" i="43" s="1"/>
  <c r="AE43" i="43"/>
  <c r="AH43" i="43" s="1"/>
  <c r="AJ43" i="43" s="1"/>
  <c r="AH42" i="43"/>
  <c r="AE42" i="43"/>
  <c r="AL39" i="43"/>
  <c r="AI39" i="43"/>
  <c r="AG39" i="43"/>
  <c r="AG139" i="43" s="1"/>
  <c r="AG140" i="43" s="1"/>
  <c r="AF39" i="43"/>
  <c r="AD39" i="43"/>
  <c r="AC39" i="43"/>
  <c r="AB39" i="43"/>
  <c r="AA39" i="43"/>
  <c r="Z39" i="43"/>
  <c r="Y39" i="43"/>
  <c r="X39" i="43"/>
  <c r="W39" i="43"/>
  <c r="V39" i="43"/>
  <c r="U39" i="43"/>
  <c r="T39" i="43"/>
  <c r="S39" i="43"/>
  <c r="R39" i="43"/>
  <c r="Q39" i="43"/>
  <c r="P39" i="43"/>
  <c r="O39" i="43"/>
  <c r="N39" i="43"/>
  <c r="M39" i="43"/>
  <c r="L39" i="43"/>
  <c r="L139" i="43" s="1"/>
  <c r="K39" i="43"/>
  <c r="J39" i="43"/>
  <c r="I39" i="43"/>
  <c r="I139" i="43" s="1"/>
  <c r="H39" i="43"/>
  <c r="G39" i="43"/>
  <c r="F39" i="43"/>
  <c r="E39" i="43"/>
  <c r="AH38" i="43"/>
  <c r="AJ38" i="43" s="1"/>
  <c r="AE38" i="43"/>
  <c r="AE37" i="43"/>
  <c r="AH37" i="43" s="1"/>
  <c r="AJ37" i="43" s="1"/>
  <c r="AJ36" i="43"/>
  <c r="AH36" i="43"/>
  <c r="AE36" i="43"/>
  <c r="AH35" i="43"/>
  <c r="AJ35" i="43" s="1"/>
  <c r="AE35" i="43"/>
  <c r="AE34" i="43"/>
  <c r="AH34" i="43" s="1"/>
  <c r="AJ34" i="43" s="1"/>
  <c r="AJ33" i="43"/>
  <c r="AE33" i="43"/>
  <c r="AH33" i="43" s="1"/>
  <c r="AH32" i="43"/>
  <c r="AJ32" i="43" s="1"/>
  <c r="AE32" i="43"/>
  <c r="AE31" i="43"/>
  <c r="AH31" i="43" s="1"/>
  <c r="AJ31" i="43" s="1"/>
  <c r="AH30" i="43"/>
  <c r="AJ30" i="43" s="1"/>
  <c r="AE30" i="43"/>
  <c r="AE29" i="43"/>
  <c r="AH29" i="43" s="1"/>
  <c r="AJ29" i="43" s="1"/>
  <c r="AJ28" i="43"/>
  <c r="AH28" i="43"/>
  <c r="AE28" i="43"/>
  <c r="AH27" i="43"/>
  <c r="AJ27" i="43" s="1"/>
  <c r="AE27" i="43"/>
  <c r="AE26" i="43"/>
  <c r="AH26" i="43" s="1"/>
  <c r="AJ26" i="43" s="1"/>
  <c r="AJ25" i="43"/>
  <c r="AE25" i="43"/>
  <c r="AH25" i="43" s="1"/>
  <c r="AH24" i="43"/>
  <c r="AJ24" i="43" s="1"/>
  <c r="AE24" i="43"/>
  <c r="AE23" i="43"/>
  <c r="AH23" i="43" s="1"/>
  <c r="AJ23" i="43" s="1"/>
  <c r="AH22" i="43"/>
  <c r="AJ22" i="43" s="1"/>
  <c r="AE22" i="43"/>
  <c r="AE21" i="43"/>
  <c r="AH21" i="43" s="1"/>
  <c r="AJ21" i="43" s="1"/>
  <c r="AJ20" i="43"/>
  <c r="AH20" i="43"/>
  <c r="AE20" i="43"/>
  <c r="AH19" i="43"/>
  <c r="AJ19" i="43" s="1"/>
  <c r="AE19" i="43"/>
  <c r="AE18" i="43"/>
  <c r="AH18" i="43" s="1"/>
  <c r="AJ18" i="43" s="1"/>
  <c r="AJ17" i="43"/>
  <c r="AE17" i="43"/>
  <c r="AH17" i="43" s="1"/>
  <c r="AH16" i="43"/>
  <c r="AJ16" i="43" s="1"/>
  <c r="AE16" i="43"/>
  <c r="AE15" i="43"/>
  <c r="AH15" i="43" s="1"/>
  <c r="AJ15" i="43" s="1"/>
  <c r="AH14" i="43"/>
  <c r="AJ14" i="43" s="1"/>
  <c r="AE14" i="43"/>
  <c r="AE13" i="43"/>
  <c r="AH13" i="43" s="1"/>
  <c r="AJ13" i="43" s="1"/>
  <c r="AJ12" i="43"/>
  <c r="AH12" i="43"/>
  <c r="AE12" i="43"/>
  <c r="AH11" i="43"/>
  <c r="AJ11" i="43" s="1"/>
  <c r="AE11" i="43"/>
  <c r="AE10" i="43"/>
  <c r="AH10" i="43" s="1"/>
  <c r="AJ10" i="43" s="1"/>
  <c r="AJ9" i="43"/>
  <c r="AE9" i="43"/>
  <c r="AH9" i="43" s="1"/>
  <c r="AH8" i="43"/>
  <c r="AJ8" i="43" s="1"/>
  <c r="AE8" i="43"/>
  <c r="AE7" i="43"/>
  <c r="AH7" i="43" s="1"/>
  <c r="AJ7" i="43" s="1"/>
  <c r="AH6" i="43"/>
  <c r="AJ6" i="43" s="1"/>
  <c r="AE6" i="43"/>
  <c r="AE5" i="43"/>
  <c r="AH5" i="43" s="1"/>
  <c r="AE4" i="43"/>
  <c r="AH4" i="43" s="1"/>
  <c r="AJ4" i="43" s="1"/>
  <c r="A4" i="43"/>
  <c r="T139" i="43" l="1"/>
  <c r="X139" i="43"/>
  <c r="X215" i="43" s="1"/>
  <c r="X216" i="43" s="1"/>
  <c r="S139" i="43"/>
  <c r="S215" i="43" s="1"/>
  <c r="S216" i="43" s="1"/>
  <c r="AC139" i="43"/>
  <c r="AC215" i="43" s="1"/>
  <c r="AC216" i="43" s="1"/>
  <c r="O139" i="43"/>
  <c r="O140" i="43" s="1"/>
  <c r="AE90" i="43"/>
  <c r="H139" i="43"/>
  <c r="H140" i="43" s="1"/>
  <c r="M139" i="43"/>
  <c r="M140" i="43" s="1"/>
  <c r="Z139" i="43"/>
  <c r="Z215" i="43" s="1"/>
  <c r="Z216" i="43" s="1"/>
  <c r="AE205" i="43"/>
  <c r="L178" i="19" s="1"/>
  <c r="N178" i="19" s="1"/>
  <c r="S140" i="43"/>
  <c r="AH72" i="43"/>
  <c r="AM70" i="43" s="1"/>
  <c r="I140" i="43"/>
  <c r="I215" i="43"/>
  <c r="I216" i="43" s="1"/>
  <c r="AH54" i="43"/>
  <c r="T140" i="43"/>
  <c r="T215" i="43"/>
  <c r="T216" i="43" s="1"/>
  <c r="AH39" i="43"/>
  <c r="AE54" i="43"/>
  <c r="AH104" i="43"/>
  <c r="Y215" i="43"/>
  <c r="Y216" i="43" s="1"/>
  <c r="E139" i="43"/>
  <c r="Q139" i="43"/>
  <c r="AJ42" i="43"/>
  <c r="AJ54" i="43" s="1"/>
  <c r="AH74" i="43"/>
  <c r="AJ92" i="43"/>
  <c r="AJ104" i="43" s="1"/>
  <c r="AJ5" i="43"/>
  <c r="AJ39" i="43" s="1"/>
  <c r="F139" i="43"/>
  <c r="J139" i="43"/>
  <c r="N139" i="43"/>
  <c r="R139" i="43"/>
  <c r="V139" i="43"/>
  <c r="AB139" i="43"/>
  <c r="AJ57" i="43"/>
  <c r="AJ72" i="43" s="1"/>
  <c r="AH133" i="43"/>
  <c r="AJ133" i="43" s="1"/>
  <c r="AJ137" i="43" s="1"/>
  <c r="AE137" i="43"/>
  <c r="AE206" i="43"/>
  <c r="G139" i="43"/>
  <c r="K139" i="43"/>
  <c r="W139" i="43"/>
  <c r="AA139" i="43"/>
  <c r="AE39" i="43"/>
  <c r="AI139" i="43"/>
  <c r="P139" i="43"/>
  <c r="AE72" i="43"/>
  <c r="X140" i="43"/>
  <c r="AF139" i="43"/>
  <c r="AE104" i="43"/>
  <c r="AH137" i="43"/>
  <c r="AH144" i="43"/>
  <c r="AH209" i="43"/>
  <c r="H215" i="43" l="1"/>
  <c r="AC140" i="43"/>
  <c r="Z140" i="43"/>
  <c r="O215" i="43"/>
  <c r="O216" i="43" s="1"/>
  <c r="M215" i="43"/>
  <c r="M216" i="43" s="1"/>
  <c r="P215" i="43"/>
  <c r="P140" i="43"/>
  <c r="W215" i="43"/>
  <c r="W216" i="43" s="1"/>
  <c r="W140" i="43"/>
  <c r="AB215" i="43"/>
  <c r="AB216" i="43" s="1"/>
  <c r="AB140" i="43"/>
  <c r="J215" i="43"/>
  <c r="J140" i="43"/>
  <c r="E215" i="43"/>
  <c r="B397" i="19" s="1"/>
  <c r="E140" i="43"/>
  <c r="AI140" i="43"/>
  <c r="AI215" i="43"/>
  <c r="AI216" i="43" s="1"/>
  <c r="K215" i="43"/>
  <c r="K216" i="43" s="1"/>
  <c r="K140" i="43"/>
  <c r="AJ139" i="43"/>
  <c r="V140" i="43"/>
  <c r="V215" i="43"/>
  <c r="F215" i="43"/>
  <c r="F140" i="43"/>
  <c r="AJ74" i="43"/>
  <c r="AJ90" i="43" s="1"/>
  <c r="AH90" i="43"/>
  <c r="AM84" i="43" s="1"/>
  <c r="AH211" i="43"/>
  <c r="AJ209" i="43"/>
  <c r="AJ211" i="43" s="1"/>
  <c r="AF140" i="43"/>
  <c r="AF215" i="43"/>
  <c r="AE139" i="43"/>
  <c r="G140" i="43"/>
  <c r="G215" i="43"/>
  <c r="R215" i="43"/>
  <c r="R140" i="43"/>
  <c r="AJ144" i="43"/>
  <c r="AJ205" i="43" s="1"/>
  <c r="AJ206" i="43" s="1"/>
  <c r="AH205" i="43"/>
  <c r="AH206" i="43" s="1"/>
  <c r="AA140" i="43"/>
  <c r="AA215" i="43"/>
  <c r="AA216" i="43" s="1"/>
  <c r="AH139" i="43"/>
  <c r="N140" i="43"/>
  <c r="N215" i="43"/>
  <c r="N216" i="43" s="1"/>
  <c r="Q140" i="43"/>
  <c r="Q215" i="43"/>
  <c r="Q216" i="43" s="1"/>
  <c r="F216" i="43" l="1"/>
  <c r="C397" i="19"/>
  <c r="C398" i="19" s="1"/>
  <c r="G216" i="43"/>
  <c r="D397" i="19"/>
  <c r="D398" i="19" s="1"/>
  <c r="H216" i="43"/>
  <c r="E397" i="19"/>
  <c r="E398" i="19" s="1"/>
  <c r="AH215" i="43"/>
  <c r="AH216" i="43" s="1"/>
  <c r="AH140" i="43"/>
  <c r="M218" i="43"/>
  <c r="AE140" i="43"/>
  <c r="AE215" i="43"/>
  <c r="AJ215" i="43"/>
  <c r="AJ216" i="43" s="1"/>
  <c r="AJ140" i="43"/>
  <c r="M217" i="43"/>
  <c r="AC224" i="43"/>
  <c r="AF216" i="43"/>
  <c r="V218" i="43"/>
  <c r="V216" i="43"/>
  <c r="V217" i="43" s="1"/>
  <c r="E218" i="43"/>
  <c r="E216" i="43"/>
  <c r="B399" i="19" l="1"/>
  <c r="E217" i="43"/>
  <c r="B398" i="19"/>
  <c r="B400" i="19" s="1"/>
  <c r="AC222" i="43"/>
  <c r="AE216" i="43"/>
  <c r="AB398" i="19" s="1"/>
  <c r="AE111" i="25" l="1"/>
  <c r="AH111" i="25" s="1"/>
  <c r="AJ111" i="25" s="1"/>
  <c r="AE110" i="25"/>
  <c r="AH110" i="25" s="1"/>
  <c r="AJ110" i="25" s="1"/>
  <c r="AE109" i="25"/>
  <c r="AH109" i="25" s="1"/>
  <c r="AJ109" i="25" s="1"/>
  <c r="AE108" i="25"/>
  <c r="AH108" i="25" s="1"/>
  <c r="AE112" i="25"/>
  <c r="AH112" i="25" s="1"/>
  <c r="AJ112" i="25" s="1"/>
  <c r="AJ108" i="25" l="1"/>
  <c r="Y73" i="44" l="1"/>
  <c r="Y108" i="44"/>
  <c r="Y141" i="44"/>
  <c r="Y174" i="44"/>
  <c r="Y209" i="44"/>
  <c r="Y280" i="44"/>
  <c r="BH41" i="3"/>
  <c r="D45" i="1"/>
  <c r="BM92" i="41" l="1"/>
  <c r="BI31" i="3" l="1"/>
  <c r="AE137" i="25" l="1"/>
  <c r="AH137" i="25" s="1"/>
  <c r="AJ137" i="25" s="1"/>
  <c r="AE136" i="25"/>
  <c r="AH136" i="25" s="1"/>
  <c r="AJ136" i="25" s="1"/>
  <c r="AE139" i="25"/>
  <c r="AH139" i="25" s="1"/>
  <c r="AJ139" i="25" s="1"/>
  <c r="AE138" i="25"/>
  <c r="AH138" i="25" s="1"/>
  <c r="AJ138" i="25" s="1"/>
  <c r="W179" i="19" l="1"/>
  <c r="AD3" i="44" l="1"/>
  <c r="AC3" i="44"/>
  <c r="AB3" i="44"/>
  <c r="AA3" i="44"/>
  <c r="Y3" i="44"/>
  <c r="W187" i="19" l="1"/>
  <c r="W185" i="19"/>
  <c r="W186" i="19"/>
  <c r="M180" i="19" l="1"/>
  <c r="M179" i="19"/>
  <c r="W178" i="19" l="1"/>
  <c r="W166" i="19"/>
  <c r="M177" i="19"/>
  <c r="AD360" i="44"/>
  <c r="AD358" i="44"/>
  <c r="AJ348" i="44"/>
  <c r="AG348" i="44"/>
  <c r="AD348" i="44"/>
  <c r="AC348" i="44"/>
  <c r="AB348" i="44"/>
  <c r="AA348" i="44"/>
  <c r="Z348" i="44"/>
  <c r="Y348" i="44"/>
  <c r="X348" i="44"/>
  <c r="W348" i="44"/>
  <c r="U348" i="44"/>
  <c r="T348" i="44"/>
  <c r="S348" i="44"/>
  <c r="R348" i="44"/>
  <c r="Q348" i="44"/>
  <c r="P348" i="44"/>
  <c r="O348" i="44"/>
  <c r="N348" i="44"/>
  <c r="L348" i="44"/>
  <c r="K348" i="44"/>
  <c r="J348" i="44"/>
  <c r="I348" i="44"/>
  <c r="H348" i="44"/>
  <c r="G348" i="44"/>
  <c r="F348" i="44"/>
  <c r="E348" i="44"/>
  <c r="AF347" i="44"/>
  <c r="AI347" i="44" s="1"/>
  <c r="AK347" i="44" s="1"/>
  <c r="AF346" i="44"/>
  <c r="AH343" i="44"/>
  <c r="AG343" i="44"/>
  <c r="AJ342" i="44"/>
  <c r="AJ343" i="44" s="1"/>
  <c r="AH342" i="44"/>
  <c r="AG342" i="44"/>
  <c r="AE342" i="44"/>
  <c r="AD342" i="44"/>
  <c r="AD343" i="44" s="1"/>
  <c r="AC342" i="44"/>
  <c r="AC343" i="44" s="1"/>
  <c r="AB342" i="44"/>
  <c r="AB343" i="44" s="1"/>
  <c r="AA342" i="44"/>
  <c r="AA343" i="44" s="1"/>
  <c r="Z342" i="44"/>
  <c r="Z343" i="44" s="1"/>
  <c r="Y342" i="44"/>
  <c r="Y343" i="44" s="1"/>
  <c r="X342" i="44"/>
  <c r="X343" i="44" s="1"/>
  <c r="W342" i="44"/>
  <c r="W343" i="44" s="1"/>
  <c r="V342" i="44"/>
  <c r="U342" i="44"/>
  <c r="U343" i="44" s="1"/>
  <c r="T342" i="44"/>
  <c r="T343" i="44" s="1"/>
  <c r="S342" i="44"/>
  <c r="S343" i="44" s="1"/>
  <c r="R342" i="44"/>
  <c r="R343" i="44" s="1"/>
  <c r="Q342" i="44"/>
  <c r="Q343" i="44" s="1"/>
  <c r="P342" i="44"/>
  <c r="P343" i="44" s="1"/>
  <c r="O342" i="44"/>
  <c r="O343" i="44" s="1"/>
  <c r="N342" i="44"/>
  <c r="N343" i="44" s="1"/>
  <c r="M342" i="44"/>
  <c r="L342" i="44"/>
  <c r="L343" i="44" s="1"/>
  <c r="K342" i="44"/>
  <c r="K343" i="44" s="1"/>
  <c r="J342" i="44"/>
  <c r="J343" i="44" s="1"/>
  <c r="I342" i="44"/>
  <c r="I343" i="44" s="1"/>
  <c r="H342" i="44"/>
  <c r="H343" i="44" s="1"/>
  <c r="G342" i="44"/>
  <c r="G343" i="44" s="1"/>
  <c r="F342" i="44"/>
  <c r="F343" i="44" s="1"/>
  <c r="E342" i="44"/>
  <c r="E343" i="44" s="1"/>
  <c r="AI341" i="44"/>
  <c r="AK341" i="44" s="1"/>
  <c r="AF341" i="44"/>
  <c r="AF340" i="44"/>
  <c r="AI340" i="44" s="1"/>
  <c r="AK340" i="44" s="1"/>
  <c r="AF339" i="44"/>
  <c r="AI339" i="44" s="1"/>
  <c r="AK339" i="44" s="1"/>
  <c r="AF338" i="44"/>
  <c r="AI338" i="44" s="1"/>
  <c r="AK338" i="44" s="1"/>
  <c r="AI337" i="44"/>
  <c r="AK337" i="44" s="1"/>
  <c r="AF337" i="44"/>
  <c r="AF336" i="44"/>
  <c r="AI336" i="44" s="1"/>
  <c r="AK336" i="44" s="1"/>
  <c r="AF335" i="44"/>
  <c r="AI335" i="44" s="1"/>
  <c r="AK335" i="44" s="1"/>
  <c r="AF334" i="44"/>
  <c r="AI334" i="44" s="1"/>
  <c r="AK334" i="44" s="1"/>
  <c r="AI333" i="44"/>
  <c r="AK333" i="44" s="1"/>
  <c r="AF333" i="44"/>
  <c r="AF332" i="44"/>
  <c r="AI332" i="44" s="1"/>
  <c r="AK332" i="44" s="1"/>
  <c r="AF331" i="44"/>
  <c r="AI331" i="44" s="1"/>
  <c r="AK331" i="44" s="1"/>
  <c r="AF330" i="44"/>
  <c r="AI330" i="44" s="1"/>
  <c r="AK330" i="44" s="1"/>
  <c r="AI329" i="44"/>
  <c r="AK329" i="44" s="1"/>
  <c r="AF329" i="44"/>
  <c r="AF328" i="44"/>
  <c r="AI328" i="44" s="1"/>
  <c r="AK328" i="44" s="1"/>
  <c r="AF327" i="44"/>
  <c r="AI327" i="44" s="1"/>
  <c r="AK327" i="44" s="1"/>
  <c r="AF326" i="44"/>
  <c r="AI326" i="44" s="1"/>
  <c r="AK326" i="44" s="1"/>
  <c r="AI325" i="44"/>
  <c r="AK325" i="44" s="1"/>
  <c r="AF325" i="44"/>
  <c r="AF324" i="44"/>
  <c r="AI324" i="44" s="1"/>
  <c r="AK324" i="44" s="1"/>
  <c r="AF323" i="44"/>
  <c r="AI323" i="44" s="1"/>
  <c r="AK323" i="44" s="1"/>
  <c r="AF322" i="44"/>
  <c r="AI322" i="44" s="1"/>
  <c r="AK322" i="44" s="1"/>
  <c r="AI321" i="44"/>
  <c r="AK321" i="44" s="1"/>
  <c r="AF321" i="44"/>
  <c r="AF320" i="44"/>
  <c r="AI320" i="44" s="1"/>
  <c r="AK320" i="44" s="1"/>
  <c r="AF319" i="44"/>
  <c r="AI319" i="44" s="1"/>
  <c r="AK319" i="44" s="1"/>
  <c r="AF318" i="44"/>
  <c r="AI318" i="44" s="1"/>
  <c r="AK318" i="44" s="1"/>
  <c r="AI317" i="44"/>
  <c r="AK317" i="44" s="1"/>
  <c r="AF317" i="44"/>
  <c r="AF316" i="44"/>
  <c r="AI316" i="44" s="1"/>
  <c r="AK316" i="44" s="1"/>
  <c r="AF315" i="44"/>
  <c r="AI315" i="44" s="1"/>
  <c r="AK315" i="44" s="1"/>
  <c r="AF314" i="44"/>
  <c r="AI314" i="44" s="1"/>
  <c r="AK314" i="44" s="1"/>
  <c r="AI313" i="44"/>
  <c r="AK313" i="44" s="1"/>
  <c r="AF313" i="44"/>
  <c r="AF312" i="44"/>
  <c r="AI312" i="44" s="1"/>
  <c r="AK312" i="44" s="1"/>
  <c r="AF311" i="44"/>
  <c r="AI311" i="44" s="1"/>
  <c r="AK311" i="44" s="1"/>
  <c r="AF310" i="44"/>
  <c r="AI310" i="44" s="1"/>
  <c r="AK310" i="44" s="1"/>
  <c r="AF309" i="44"/>
  <c r="AI309" i="44" s="1"/>
  <c r="AK309" i="44" s="1"/>
  <c r="AF308" i="44"/>
  <c r="AI308" i="44" s="1"/>
  <c r="AK308" i="44" s="1"/>
  <c r="AF307" i="44"/>
  <c r="AI307" i="44" s="1"/>
  <c r="AK307" i="44" s="1"/>
  <c r="AF306" i="44"/>
  <c r="AI306" i="44" s="1"/>
  <c r="AK306" i="44" s="1"/>
  <c r="AF305" i="44"/>
  <c r="AI305" i="44" s="1"/>
  <c r="AK305" i="44" s="1"/>
  <c r="AF304" i="44"/>
  <c r="AI304" i="44" s="1"/>
  <c r="AK304" i="44" s="1"/>
  <c r="AF303" i="44"/>
  <c r="AI303" i="44" s="1"/>
  <c r="AK303" i="44" s="1"/>
  <c r="AF302" i="44"/>
  <c r="AI302" i="44" s="1"/>
  <c r="AK302" i="44" s="1"/>
  <c r="AF301" i="44"/>
  <c r="AI301" i="44" s="1"/>
  <c r="AK301" i="44" s="1"/>
  <c r="AF300" i="44"/>
  <c r="AI300" i="44" s="1"/>
  <c r="AK300" i="44" s="1"/>
  <c r="AF299" i="44"/>
  <c r="AI299" i="44" s="1"/>
  <c r="AK299" i="44" s="1"/>
  <c r="AF298" i="44"/>
  <c r="AI298" i="44" s="1"/>
  <c r="AK298" i="44" s="1"/>
  <c r="AF297" i="44"/>
  <c r="AI297" i="44" s="1"/>
  <c r="AK297" i="44" s="1"/>
  <c r="AF296" i="44"/>
  <c r="AI296" i="44" s="1"/>
  <c r="AK296" i="44" s="1"/>
  <c r="AF295" i="44"/>
  <c r="AI295" i="44" s="1"/>
  <c r="AK295" i="44" s="1"/>
  <c r="AF294" i="44"/>
  <c r="AI294" i="44" s="1"/>
  <c r="AK294" i="44" s="1"/>
  <c r="AF293" i="44"/>
  <c r="AI293" i="44" s="1"/>
  <c r="AK293" i="44" s="1"/>
  <c r="AF292" i="44"/>
  <c r="AI292" i="44" s="1"/>
  <c r="AK292" i="44" s="1"/>
  <c r="AF291" i="44"/>
  <c r="AI291" i="44" s="1"/>
  <c r="AK291" i="44" s="1"/>
  <c r="AF290" i="44"/>
  <c r="AI290" i="44" s="1"/>
  <c r="AK290" i="44" s="1"/>
  <c r="AF289" i="44"/>
  <c r="AI289" i="44" s="1"/>
  <c r="AK289" i="44" s="1"/>
  <c r="AF288" i="44"/>
  <c r="AI288" i="44" s="1"/>
  <c r="AK288" i="44" s="1"/>
  <c r="AF287" i="44"/>
  <c r="AI287" i="44" s="1"/>
  <c r="AK287" i="44" s="1"/>
  <c r="AF286" i="44"/>
  <c r="AI286" i="44" s="1"/>
  <c r="AK286" i="44" s="1"/>
  <c r="AF285" i="44"/>
  <c r="AI285" i="44" s="1"/>
  <c r="AK285" i="44" s="1"/>
  <c r="AF284" i="44"/>
  <c r="AI284" i="44" s="1"/>
  <c r="AK284" i="44" s="1"/>
  <c r="AF283" i="44"/>
  <c r="AF282" i="44"/>
  <c r="AI282" i="44" s="1"/>
  <c r="AK282" i="44" s="1"/>
  <c r="AF281" i="44"/>
  <c r="AI281" i="44" s="1"/>
  <c r="AK281" i="44" s="1"/>
  <c r="AD280" i="44"/>
  <c r="AC280" i="44"/>
  <c r="AB280" i="44"/>
  <c r="AA280" i="44"/>
  <c r="E279" i="44"/>
  <c r="AH276" i="44"/>
  <c r="AH277" i="44" s="1"/>
  <c r="AJ274" i="44"/>
  <c r="AG274" i="44"/>
  <c r="AD274" i="44"/>
  <c r="AC274" i="44"/>
  <c r="AB274" i="44"/>
  <c r="AA274" i="44"/>
  <c r="Z274" i="44"/>
  <c r="Y274" i="44"/>
  <c r="X274" i="44"/>
  <c r="W274" i="44"/>
  <c r="U274" i="44"/>
  <c r="T274" i="44"/>
  <c r="S274" i="44"/>
  <c r="R274" i="44"/>
  <c r="Q274" i="44"/>
  <c r="P274" i="44"/>
  <c r="O274" i="44"/>
  <c r="N274" i="44"/>
  <c r="L274" i="44"/>
  <c r="K274" i="44"/>
  <c r="J274" i="44"/>
  <c r="I274" i="44"/>
  <c r="H274" i="44"/>
  <c r="G274" i="44"/>
  <c r="F274" i="44"/>
  <c r="E274" i="44"/>
  <c r="AF273" i="44"/>
  <c r="AI273" i="44" s="1"/>
  <c r="AK273" i="44" s="1"/>
  <c r="AI272" i="44"/>
  <c r="AK272" i="44" s="1"/>
  <c r="AF272" i="44"/>
  <c r="AF271" i="44"/>
  <c r="AI271" i="44" s="1"/>
  <c r="AK271" i="44" s="1"/>
  <c r="AF270" i="44"/>
  <c r="AI270" i="44" s="1"/>
  <c r="AK270" i="44" s="1"/>
  <c r="AK269" i="44"/>
  <c r="AI269" i="44"/>
  <c r="AF269" i="44"/>
  <c r="AJ266" i="44"/>
  <c r="AH266" i="44"/>
  <c r="AG266" i="44"/>
  <c r="AF266" i="44"/>
  <c r="AD266" i="44"/>
  <c r="AC266" i="44"/>
  <c r="AB266" i="44"/>
  <c r="AA266" i="44"/>
  <c r="Z266" i="44"/>
  <c r="Y266" i="44"/>
  <c r="X266" i="44"/>
  <c r="W266" i="44"/>
  <c r="U266" i="44"/>
  <c r="T266" i="44"/>
  <c r="S266" i="44"/>
  <c r="R266" i="44"/>
  <c r="Q266" i="44"/>
  <c r="P266" i="44"/>
  <c r="O266" i="44"/>
  <c r="N266" i="44"/>
  <c r="L266" i="44"/>
  <c r="K266" i="44"/>
  <c r="J266" i="44"/>
  <c r="I266" i="44"/>
  <c r="H266" i="44"/>
  <c r="G266" i="44"/>
  <c r="F266" i="44"/>
  <c r="E266" i="44"/>
  <c r="AF265" i="44"/>
  <c r="AI265" i="44" s="1"/>
  <c r="AK265" i="44" s="1"/>
  <c r="AF264" i="44"/>
  <c r="AI264" i="44" s="1"/>
  <c r="AK264" i="44" s="1"/>
  <c r="AI263" i="44"/>
  <c r="AK263" i="44" s="1"/>
  <c r="AF263" i="44"/>
  <c r="AK262" i="44"/>
  <c r="AF262" i="44"/>
  <c r="AI262" i="44" s="1"/>
  <c r="AF261" i="44"/>
  <c r="AI261" i="44" s="1"/>
  <c r="AK261" i="44" s="1"/>
  <c r="AF260" i="44"/>
  <c r="AI260" i="44" s="1"/>
  <c r="AJ257" i="44"/>
  <c r="AG257" i="44"/>
  <c r="AD257" i="44"/>
  <c r="AC257" i="44"/>
  <c r="AB257" i="44"/>
  <c r="AA257" i="44"/>
  <c r="Z257" i="44"/>
  <c r="Y257" i="44"/>
  <c r="X257" i="44"/>
  <c r="W257" i="44"/>
  <c r="U257" i="44"/>
  <c r="T257" i="44"/>
  <c r="S257" i="44"/>
  <c r="R257" i="44"/>
  <c r="Q257" i="44"/>
  <c r="P257" i="44"/>
  <c r="O257" i="44"/>
  <c r="N257" i="44"/>
  <c r="L257" i="44"/>
  <c r="K257" i="44"/>
  <c r="J257" i="44"/>
  <c r="I257" i="44"/>
  <c r="H257" i="44"/>
  <c r="G257" i="44"/>
  <c r="F257" i="44"/>
  <c r="E257" i="44"/>
  <c r="AF256" i="44"/>
  <c r="AI256" i="44" s="1"/>
  <c r="AK256" i="44" s="1"/>
  <c r="AI255" i="44"/>
  <c r="AK255" i="44" s="1"/>
  <c r="AF255" i="44"/>
  <c r="AF254" i="44"/>
  <c r="AI254" i="44" s="1"/>
  <c r="AK254" i="44" s="1"/>
  <c r="AI253" i="44"/>
  <c r="AF253" i="44"/>
  <c r="L252" i="44"/>
  <c r="AJ250" i="44"/>
  <c r="AH250" i="44"/>
  <c r="AG250" i="44"/>
  <c r="AD250" i="44"/>
  <c r="AC250" i="44"/>
  <c r="AB250" i="44"/>
  <c r="AA250" i="44"/>
  <c r="Z250" i="44"/>
  <c r="Y250" i="44"/>
  <c r="X250" i="44"/>
  <c r="W250" i="44"/>
  <c r="U250" i="44"/>
  <c r="T250" i="44"/>
  <c r="S250" i="44"/>
  <c r="R250" i="44"/>
  <c r="Q250" i="44"/>
  <c r="P250" i="44"/>
  <c r="O250" i="44"/>
  <c r="N250" i="44"/>
  <c r="L250" i="44"/>
  <c r="K250" i="44"/>
  <c r="J250" i="44"/>
  <c r="I250" i="44"/>
  <c r="H250" i="44"/>
  <c r="G250" i="44"/>
  <c r="F250" i="44"/>
  <c r="E250" i="44"/>
  <c r="AK249" i="44"/>
  <c r="AF249" i="44"/>
  <c r="AI249" i="44" s="1"/>
  <c r="AI248" i="44"/>
  <c r="AK248" i="44" s="1"/>
  <c r="AF248" i="44"/>
  <c r="AF247" i="44"/>
  <c r="AI247" i="44" s="1"/>
  <c r="AF246" i="44"/>
  <c r="AI246" i="44" s="1"/>
  <c r="AK246" i="44" s="1"/>
  <c r="AK245" i="44"/>
  <c r="AF245" i="44"/>
  <c r="AI245" i="44" s="1"/>
  <c r="AJ243" i="44"/>
  <c r="AH243" i="44"/>
  <c r="AG243" i="44"/>
  <c r="AD243" i="44"/>
  <c r="AC243" i="44"/>
  <c r="AB243" i="44"/>
  <c r="AA243" i="44"/>
  <c r="Z243" i="44"/>
  <c r="Y243" i="44"/>
  <c r="X243" i="44"/>
  <c r="W243" i="44"/>
  <c r="U243" i="44"/>
  <c r="T243" i="44"/>
  <c r="S243" i="44"/>
  <c r="R243" i="44"/>
  <c r="Q243" i="44"/>
  <c r="P243" i="44"/>
  <c r="O243" i="44"/>
  <c r="N243" i="44"/>
  <c r="L243" i="44"/>
  <c r="K243" i="44"/>
  <c r="J243" i="44"/>
  <c r="I243" i="44"/>
  <c r="H243" i="44"/>
  <c r="G243" i="44"/>
  <c r="F243" i="44"/>
  <c r="E243" i="44"/>
  <c r="AF242" i="44"/>
  <c r="AI242" i="44" s="1"/>
  <c r="AK242" i="44" s="1"/>
  <c r="AK241" i="44"/>
  <c r="AF241" i="44"/>
  <c r="AI241" i="44" s="1"/>
  <c r="AI240" i="44"/>
  <c r="AK240" i="44" s="1"/>
  <c r="AF240" i="44"/>
  <c r="AF239" i="44"/>
  <c r="AI239" i="44" s="1"/>
  <c r="AK239" i="44" s="1"/>
  <c r="AF238" i="44"/>
  <c r="AI238" i="44" s="1"/>
  <c r="AK238" i="44" s="1"/>
  <c r="AK237" i="44"/>
  <c r="AF237" i="44"/>
  <c r="AI237" i="44" s="1"/>
  <c r="AI236" i="44"/>
  <c r="AK236" i="44" s="1"/>
  <c r="AF236" i="44"/>
  <c r="AF235" i="44"/>
  <c r="AI235" i="44" s="1"/>
  <c r="AK235" i="44" s="1"/>
  <c r="AF234" i="44"/>
  <c r="AI234" i="44" s="1"/>
  <c r="AK234" i="44" s="1"/>
  <c r="AF233" i="44"/>
  <c r="AI233" i="44" s="1"/>
  <c r="AK233" i="44" s="1"/>
  <c r="AI232" i="44"/>
  <c r="AK232" i="44" s="1"/>
  <c r="AF232" i="44"/>
  <c r="AF231" i="44"/>
  <c r="AI231" i="44" s="1"/>
  <c r="AK231" i="44" s="1"/>
  <c r="AF230" i="44"/>
  <c r="AI230" i="44" s="1"/>
  <c r="AK230" i="44" s="1"/>
  <c r="AK229" i="44"/>
  <c r="AI229" i="44"/>
  <c r="AF229" i="44"/>
  <c r="AI228" i="44"/>
  <c r="AK228" i="44" s="1"/>
  <c r="AF228" i="44"/>
  <c r="AF227" i="44"/>
  <c r="AI227" i="44" s="1"/>
  <c r="AK227" i="44" s="1"/>
  <c r="AF226" i="44"/>
  <c r="AI226" i="44" s="1"/>
  <c r="AK226" i="44" s="1"/>
  <c r="AF225" i="44"/>
  <c r="AI225" i="44" s="1"/>
  <c r="AK225" i="44" s="1"/>
  <c r="AI224" i="44"/>
  <c r="AK224" i="44" s="1"/>
  <c r="AF224" i="44"/>
  <c r="AF223" i="44"/>
  <c r="AI223" i="44" s="1"/>
  <c r="AK223" i="44" s="1"/>
  <c r="AF222" i="44"/>
  <c r="AI222" i="44" s="1"/>
  <c r="AK222" i="44" s="1"/>
  <c r="AF221" i="44"/>
  <c r="AI221" i="44" s="1"/>
  <c r="AK221" i="44" s="1"/>
  <c r="AI220" i="44"/>
  <c r="AK220" i="44" s="1"/>
  <c r="AF220" i="44"/>
  <c r="AF219" i="44"/>
  <c r="AI219" i="44" s="1"/>
  <c r="AK219" i="44" s="1"/>
  <c r="AF218" i="44"/>
  <c r="AI218" i="44" s="1"/>
  <c r="AK218" i="44" s="1"/>
  <c r="AK217" i="44"/>
  <c r="AI217" i="44"/>
  <c r="AF217" i="44"/>
  <c r="AK216" i="44"/>
  <c r="AI216" i="44"/>
  <c r="AF216" i="44"/>
  <c r="AF215" i="44"/>
  <c r="AI215" i="44" s="1"/>
  <c r="AK215" i="44" s="1"/>
  <c r="AF214" i="44"/>
  <c r="AI214" i="44" s="1"/>
  <c r="AK214" i="44" s="1"/>
  <c r="AK213" i="44"/>
  <c r="AI213" i="44"/>
  <c r="AF213" i="44"/>
  <c r="AI212" i="44"/>
  <c r="AK212" i="44" s="1"/>
  <c r="AF212" i="44"/>
  <c r="AI211" i="44"/>
  <c r="AK211" i="44" s="1"/>
  <c r="AF211" i="44"/>
  <c r="AF210" i="44"/>
  <c r="AI210" i="44" s="1"/>
  <c r="AJ208" i="44"/>
  <c r="AH208" i="44"/>
  <c r="AG208" i="44"/>
  <c r="AD208" i="44"/>
  <c r="AC208" i="44"/>
  <c r="AB208" i="44"/>
  <c r="AA208" i="44"/>
  <c r="Z208" i="44"/>
  <c r="Y208" i="44"/>
  <c r="X208" i="44"/>
  <c r="W208" i="44"/>
  <c r="U208" i="44"/>
  <c r="T208" i="44"/>
  <c r="S208" i="44"/>
  <c r="R208" i="44"/>
  <c r="Q208" i="44"/>
  <c r="P208" i="44"/>
  <c r="O208" i="44"/>
  <c r="N208" i="44"/>
  <c r="L208" i="44"/>
  <c r="K208" i="44"/>
  <c r="J208" i="44"/>
  <c r="I208" i="44"/>
  <c r="H208" i="44"/>
  <c r="G208" i="44"/>
  <c r="F208" i="44"/>
  <c r="E208" i="44"/>
  <c r="AF207" i="44"/>
  <c r="AI207" i="44" s="1"/>
  <c r="AK207" i="44" s="1"/>
  <c r="AF206" i="44"/>
  <c r="AI206" i="44" s="1"/>
  <c r="AK206" i="44" s="1"/>
  <c r="AM205" i="44"/>
  <c r="AL205" i="44"/>
  <c r="AK205" i="44"/>
  <c r="AI205" i="44"/>
  <c r="AF205" i="44"/>
  <c r="AI204" i="44"/>
  <c r="AK204" i="44" s="1"/>
  <c r="AF204" i="44"/>
  <c r="AF203" i="44"/>
  <c r="AI203" i="44" s="1"/>
  <c r="AK203" i="44" s="1"/>
  <c r="AF202" i="44"/>
  <c r="AI202" i="44" s="1"/>
  <c r="AK202" i="44" s="1"/>
  <c r="AK201" i="44"/>
  <c r="AI201" i="44"/>
  <c r="AF201" i="44"/>
  <c r="AI200" i="44"/>
  <c r="AK200" i="44" s="1"/>
  <c r="AF200" i="44"/>
  <c r="AF199" i="44"/>
  <c r="AI199" i="44" s="1"/>
  <c r="AK199" i="44" s="1"/>
  <c r="AF198" i="44"/>
  <c r="AI198" i="44" s="1"/>
  <c r="AK198" i="44" s="1"/>
  <c r="AK197" i="44"/>
  <c r="AI197" i="44"/>
  <c r="AF197" i="44"/>
  <c r="AI196" i="44"/>
  <c r="AK196" i="44" s="1"/>
  <c r="AF196" i="44"/>
  <c r="AF195" i="44"/>
  <c r="AI195" i="44" s="1"/>
  <c r="AK195" i="44" s="1"/>
  <c r="AF194" i="44"/>
  <c r="AI194" i="44" s="1"/>
  <c r="AK194" i="44" s="1"/>
  <c r="AK193" i="44"/>
  <c r="AI193" i="44"/>
  <c r="AF193" i="44"/>
  <c r="AI192" i="44"/>
  <c r="AK192" i="44" s="1"/>
  <c r="AF192" i="44"/>
  <c r="AF191" i="44"/>
  <c r="AI191" i="44" s="1"/>
  <c r="AK191" i="44" s="1"/>
  <c r="AF190" i="44"/>
  <c r="AI190" i="44" s="1"/>
  <c r="AK190" i="44" s="1"/>
  <c r="AK189" i="44"/>
  <c r="AI189" i="44"/>
  <c r="AF189" i="44"/>
  <c r="AI188" i="44"/>
  <c r="AK188" i="44" s="1"/>
  <c r="AF188" i="44"/>
  <c r="AF187" i="44"/>
  <c r="AI187" i="44" s="1"/>
  <c r="AK187" i="44" s="1"/>
  <c r="AF186" i="44"/>
  <c r="AI186" i="44" s="1"/>
  <c r="AK186" i="44" s="1"/>
  <c r="AK185" i="44"/>
  <c r="AI185" i="44"/>
  <c r="AF185" i="44"/>
  <c r="AI184" i="44"/>
  <c r="AK184" i="44" s="1"/>
  <c r="AF184" i="44"/>
  <c r="AF183" i="44"/>
  <c r="AI183" i="44" s="1"/>
  <c r="AK183" i="44" s="1"/>
  <c r="AF182" i="44"/>
  <c r="AI182" i="44" s="1"/>
  <c r="AK182" i="44" s="1"/>
  <c r="AI181" i="44"/>
  <c r="AK181" i="44" s="1"/>
  <c r="AF181" i="44"/>
  <c r="AI180" i="44"/>
  <c r="AK180" i="44" s="1"/>
  <c r="AF180" i="44"/>
  <c r="AF179" i="44"/>
  <c r="AI179" i="44" s="1"/>
  <c r="AK179" i="44" s="1"/>
  <c r="AF178" i="44"/>
  <c r="AI178" i="44" s="1"/>
  <c r="AK178" i="44" s="1"/>
  <c r="AI177" i="44"/>
  <c r="AK177" i="44" s="1"/>
  <c r="AF177" i="44"/>
  <c r="AI176" i="44"/>
  <c r="AK176" i="44" s="1"/>
  <c r="AF176" i="44"/>
  <c r="AF175" i="44"/>
  <c r="AJ173" i="44"/>
  <c r="AH173" i="44"/>
  <c r="AG173" i="44"/>
  <c r="AD173" i="44"/>
  <c r="AC173" i="44"/>
  <c r="AB173" i="44"/>
  <c r="AA173" i="44"/>
  <c r="Z173" i="44"/>
  <c r="Y173" i="44"/>
  <c r="X173" i="44"/>
  <c r="W173" i="44"/>
  <c r="U173" i="44"/>
  <c r="T173" i="44"/>
  <c r="S173" i="44"/>
  <c r="R173" i="44"/>
  <c r="Q173" i="44"/>
  <c r="P173" i="44"/>
  <c r="O173" i="44"/>
  <c r="N173" i="44"/>
  <c r="L173" i="44"/>
  <c r="K173" i="44"/>
  <c r="J173" i="44"/>
  <c r="I173" i="44"/>
  <c r="H173" i="44"/>
  <c r="G173" i="44"/>
  <c r="F173" i="44"/>
  <c r="E173" i="44"/>
  <c r="AF172" i="44"/>
  <c r="AI172" i="44" s="1"/>
  <c r="AK172" i="44" s="1"/>
  <c r="AF171" i="44"/>
  <c r="AI171" i="44" s="1"/>
  <c r="AK171" i="44" s="1"/>
  <c r="AM170" i="44"/>
  <c r="AL170" i="44"/>
  <c r="AK170" i="44"/>
  <c r="AI170" i="44"/>
  <c r="AF170" i="44"/>
  <c r="AI169" i="44"/>
  <c r="AK169" i="44" s="1"/>
  <c r="AF169" i="44"/>
  <c r="AF168" i="44"/>
  <c r="AI168" i="44" s="1"/>
  <c r="AK168" i="44" s="1"/>
  <c r="AK167" i="44"/>
  <c r="AI167" i="44"/>
  <c r="AF167" i="44"/>
  <c r="AI166" i="44"/>
  <c r="AK166" i="44" s="1"/>
  <c r="AF166" i="44"/>
  <c r="AI165" i="44"/>
  <c r="AK165" i="44" s="1"/>
  <c r="AF165" i="44"/>
  <c r="AF164" i="44"/>
  <c r="AI164" i="44" s="1"/>
  <c r="AK164" i="44" s="1"/>
  <c r="AK163" i="44"/>
  <c r="AI163" i="44"/>
  <c r="AF163" i="44"/>
  <c r="AI162" i="44"/>
  <c r="AK162" i="44" s="1"/>
  <c r="AF162" i="44"/>
  <c r="AF161" i="44"/>
  <c r="AI161" i="44" s="1"/>
  <c r="AK161" i="44" s="1"/>
  <c r="AK160" i="44"/>
  <c r="AF160" i="44"/>
  <c r="AI160" i="44" s="1"/>
  <c r="AF159" i="44"/>
  <c r="AI159" i="44" s="1"/>
  <c r="AK159" i="44" s="1"/>
  <c r="AF158" i="44"/>
  <c r="AI158" i="44" s="1"/>
  <c r="AK158" i="44" s="1"/>
  <c r="AK157" i="44"/>
  <c r="AI157" i="44"/>
  <c r="AF157" i="44"/>
  <c r="AI156" i="44"/>
  <c r="AK156" i="44" s="1"/>
  <c r="AF156" i="44"/>
  <c r="AF155" i="44"/>
  <c r="AI155" i="44" s="1"/>
  <c r="AK155" i="44" s="1"/>
  <c r="AF154" i="44"/>
  <c r="AI154" i="44" s="1"/>
  <c r="AK154" i="44" s="1"/>
  <c r="AK153" i="44"/>
  <c r="AI153" i="44"/>
  <c r="AF153" i="44"/>
  <c r="AI152" i="44"/>
  <c r="AK152" i="44" s="1"/>
  <c r="AF152" i="44"/>
  <c r="AF151" i="44"/>
  <c r="AI151" i="44" s="1"/>
  <c r="AK151" i="44" s="1"/>
  <c r="AF150" i="44"/>
  <c r="AI150" i="44" s="1"/>
  <c r="AK150" i="44" s="1"/>
  <c r="AK149" i="44"/>
  <c r="AI149" i="44"/>
  <c r="AF149" i="44"/>
  <c r="AI148" i="44"/>
  <c r="AK148" i="44" s="1"/>
  <c r="AF148" i="44"/>
  <c r="AF147" i="44"/>
  <c r="AI147" i="44" s="1"/>
  <c r="AK147" i="44" s="1"/>
  <c r="AF146" i="44"/>
  <c r="AI146" i="44" s="1"/>
  <c r="AK146" i="44" s="1"/>
  <c r="AK145" i="44"/>
  <c r="AI145" i="44"/>
  <c r="AF145" i="44"/>
  <c r="AI144" i="44"/>
  <c r="AK144" i="44" s="1"/>
  <c r="AF144" i="44"/>
  <c r="AF143" i="44"/>
  <c r="AI143" i="44" s="1"/>
  <c r="AK143" i="44" s="1"/>
  <c r="AF142" i="44"/>
  <c r="AI142" i="44" s="1"/>
  <c r="AJ140" i="44"/>
  <c r="AH140" i="44"/>
  <c r="AG140" i="44"/>
  <c r="AD140" i="44"/>
  <c r="AC140" i="44"/>
  <c r="AB140" i="44"/>
  <c r="AA140" i="44"/>
  <c r="Z140" i="44"/>
  <c r="Y140" i="44"/>
  <c r="X140" i="44"/>
  <c r="W140" i="44"/>
  <c r="U140" i="44"/>
  <c r="T140" i="44"/>
  <c r="S140" i="44"/>
  <c r="R140" i="44"/>
  <c r="Q140" i="44"/>
  <c r="P140" i="44"/>
  <c r="O140" i="44"/>
  <c r="N140" i="44"/>
  <c r="N277" i="44" s="1"/>
  <c r="L140" i="44"/>
  <c r="K140" i="44"/>
  <c r="J140" i="44"/>
  <c r="I140" i="44"/>
  <c r="H140" i="44"/>
  <c r="G140" i="44"/>
  <c r="F140" i="44"/>
  <c r="E140" i="44"/>
  <c r="AF139" i="44"/>
  <c r="AI139" i="44" s="1"/>
  <c r="AK139" i="44" s="1"/>
  <c r="AF138" i="44"/>
  <c r="AI138" i="44" s="1"/>
  <c r="AK138" i="44" s="1"/>
  <c r="AL137" i="44"/>
  <c r="AI137" i="44"/>
  <c r="AK137" i="44" s="1"/>
  <c r="AF137" i="44"/>
  <c r="AF136" i="44"/>
  <c r="AI136" i="44" s="1"/>
  <c r="AK136" i="44" s="1"/>
  <c r="AF135" i="44"/>
  <c r="AI135" i="44" s="1"/>
  <c r="AK135" i="44" s="1"/>
  <c r="AK134" i="44"/>
  <c r="AI134" i="44"/>
  <c r="AF134" i="44"/>
  <c r="AI133" i="44"/>
  <c r="AK133" i="44" s="1"/>
  <c r="AF133" i="44"/>
  <c r="AF132" i="44"/>
  <c r="AI132" i="44" s="1"/>
  <c r="AK132" i="44" s="1"/>
  <c r="AF131" i="44"/>
  <c r="AI131" i="44" s="1"/>
  <c r="AK131" i="44" s="1"/>
  <c r="AK130" i="44"/>
  <c r="AI130" i="44"/>
  <c r="AF130" i="44"/>
  <c r="AI129" i="44"/>
  <c r="AK129" i="44" s="1"/>
  <c r="AF129" i="44"/>
  <c r="AF128" i="44"/>
  <c r="AI128" i="44" s="1"/>
  <c r="AK128" i="44" s="1"/>
  <c r="AF127" i="44"/>
  <c r="AI127" i="44" s="1"/>
  <c r="AK127" i="44" s="1"/>
  <c r="AK126" i="44"/>
  <c r="AI126" i="44"/>
  <c r="AF126" i="44"/>
  <c r="AI125" i="44"/>
  <c r="AK125" i="44" s="1"/>
  <c r="AF125" i="44"/>
  <c r="AF124" i="44"/>
  <c r="AI124" i="44" s="1"/>
  <c r="AK124" i="44" s="1"/>
  <c r="AF123" i="44"/>
  <c r="AI123" i="44" s="1"/>
  <c r="AK123" i="44" s="1"/>
  <c r="AK122" i="44"/>
  <c r="AI122" i="44"/>
  <c r="AF122" i="44"/>
  <c r="AI121" i="44"/>
  <c r="AK121" i="44" s="1"/>
  <c r="AF121" i="44"/>
  <c r="AF120" i="44"/>
  <c r="AI120" i="44" s="1"/>
  <c r="AK120" i="44" s="1"/>
  <c r="AF119" i="44"/>
  <c r="AI119" i="44" s="1"/>
  <c r="AK119" i="44" s="1"/>
  <c r="AK118" i="44"/>
  <c r="AI118" i="44"/>
  <c r="AF118" i="44"/>
  <c r="AI117" i="44"/>
  <c r="AK117" i="44" s="1"/>
  <c r="AF117" i="44"/>
  <c r="AF116" i="44"/>
  <c r="AI116" i="44" s="1"/>
  <c r="AK116" i="44" s="1"/>
  <c r="AF115" i="44"/>
  <c r="AI115" i="44" s="1"/>
  <c r="AK115" i="44" s="1"/>
  <c r="AK114" i="44"/>
  <c r="AI114" i="44"/>
  <c r="AF114" i="44"/>
  <c r="AI113" i="44"/>
  <c r="AK113" i="44" s="1"/>
  <c r="AF113" i="44"/>
  <c r="AF112" i="44"/>
  <c r="AI112" i="44" s="1"/>
  <c r="AK112" i="44" s="1"/>
  <c r="AF111" i="44"/>
  <c r="AI111" i="44" s="1"/>
  <c r="AK111" i="44" s="1"/>
  <c r="AK110" i="44"/>
  <c r="AI110" i="44"/>
  <c r="AF110" i="44"/>
  <c r="AI109" i="44"/>
  <c r="AF109" i="44"/>
  <c r="AJ107" i="44"/>
  <c r="AH107" i="44"/>
  <c r="AG107" i="44"/>
  <c r="AD107" i="44"/>
  <c r="AC107" i="44"/>
  <c r="AB107" i="44"/>
  <c r="AA107" i="44"/>
  <c r="Z107" i="44"/>
  <c r="Y107" i="44"/>
  <c r="X107" i="44"/>
  <c r="W107" i="44"/>
  <c r="U107" i="44"/>
  <c r="T107" i="44"/>
  <c r="S107" i="44"/>
  <c r="R107" i="44"/>
  <c r="Q107" i="44"/>
  <c r="P107" i="44"/>
  <c r="O107" i="44"/>
  <c r="N107" i="44"/>
  <c r="L107" i="44"/>
  <c r="K107" i="44"/>
  <c r="J107" i="44"/>
  <c r="I107" i="44"/>
  <c r="H107" i="44"/>
  <c r="G107" i="44"/>
  <c r="F107" i="44"/>
  <c r="E107" i="44"/>
  <c r="AK106" i="44"/>
  <c r="AI106" i="44"/>
  <c r="AF106" i="44"/>
  <c r="AI105" i="44"/>
  <c r="AK105" i="44" s="1"/>
  <c r="AF105" i="44"/>
  <c r="AM104" i="44"/>
  <c r="AF104" i="44"/>
  <c r="AI104" i="44" s="1"/>
  <c r="AK104" i="44" s="1"/>
  <c r="AK103" i="44"/>
  <c r="AI103" i="44"/>
  <c r="AF103" i="44"/>
  <c r="AI102" i="44"/>
  <c r="AK102" i="44" s="1"/>
  <c r="AF102" i="44"/>
  <c r="AF101" i="44"/>
  <c r="AI101" i="44" s="1"/>
  <c r="AK101" i="44" s="1"/>
  <c r="AF100" i="44"/>
  <c r="AI100" i="44" s="1"/>
  <c r="AK100" i="44" s="1"/>
  <c r="AK99" i="44"/>
  <c r="AI99" i="44"/>
  <c r="AF99" i="44"/>
  <c r="AI98" i="44"/>
  <c r="AK98" i="44" s="1"/>
  <c r="AF98" i="44"/>
  <c r="AF97" i="44"/>
  <c r="AI97" i="44" s="1"/>
  <c r="AK97" i="44" s="1"/>
  <c r="AF96" i="44"/>
  <c r="AI96" i="44" s="1"/>
  <c r="AK96" i="44" s="1"/>
  <c r="AK95" i="44"/>
  <c r="AI95" i="44"/>
  <c r="AF95" i="44"/>
  <c r="AI94" i="44"/>
  <c r="AK94" i="44" s="1"/>
  <c r="AF94" i="44"/>
  <c r="AF93" i="44"/>
  <c r="AI93" i="44" s="1"/>
  <c r="AK93" i="44" s="1"/>
  <c r="AF92" i="44"/>
  <c r="AI92" i="44" s="1"/>
  <c r="AK92" i="44" s="1"/>
  <c r="AF91" i="44"/>
  <c r="AI91" i="44" s="1"/>
  <c r="AK91" i="44" s="1"/>
  <c r="AF90" i="44"/>
  <c r="AI90" i="44" s="1"/>
  <c r="AK90" i="44" s="1"/>
  <c r="AF89" i="44"/>
  <c r="AI89" i="44" s="1"/>
  <c r="AK89" i="44" s="1"/>
  <c r="AF88" i="44"/>
  <c r="AI88" i="44" s="1"/>
  <c r="AK88" i="44" s="1"/>
  <c r="AF87" i="44"/>
  <c r="AI87" i="44" s="1"/>
  <c r="AK87" i="44" s="1"/>
  <c r="AF86" i="44"/>
  <c r="AI86" i="44" s="1"/>
  <c r="AK86" i="44" s="1"/>
  <c r="AF85" i="44"/>
  <c r="AI85" i="44" s="1"/>
  <c r="AK85" i="44" s="1"/>
  <c r="AF84" i="44"/>
  <c r="AI84" i="44" s="1"/>
  <c r="AK84" i="44" s="1"/>
  <c r="AF83" i="44"/>
  <c r="AI83" i="44" s="1"/>
  <c r="AK83" i="44" s="1"/>
  <c r="AF82" i="44"/>
  <c r="AI82" i="44" s="1"/>
  <c r="AK82" i="44" s="1"/>
  <c r="AF81" i="44"/>
  <c r="AI81" i="44" s="1"/>
  <c r="AK81" i="44" s="1"/>
  <c r="AF80" i="44"/>
  <c r="AI80" i="44" s="1"/>
  <c r="AK80" i="44" s="1"/>
  <c r="AF79" i="44"/>
  <c r="AI79" i="44" s="1"/>
  <c r="AK79" i="44" s="1"/>
  <c r="AF78" i="44"/>
  <c r="AI78" i="44" s="1"/>
  <c r="AK78" i="44" s="1"/>
  <c r="AF77" i="44"/>
  <c r="AI77" i="44" s="1"/>
  <c r="AK77" i="44" s="1"/>
  <c r="AF76" i="44"/>
  <c r="AI76" i="44" s="1"/>
  <c r="AK76" i="44" s="1"/>
  <c r="AF75" i="44"/>
  <c r="AI75" i="44" s="1"/>
  <c r="AK75" i="44" s="1"/>
  <c r="AF74" i="44"/>
  <c r="AI74" i="44" s="1"/>
  <c r="AK74" i="44" s="1"/>
  <c r="AJ71" i="44"/>
  <c r="AH71" i="44"/>
  <c r="AG71" i="44"/>
  <c r="AD71" i="44"/>
  <c r="AC71" i="44"/>
  <c r="AB71" i="44"/>
  <c r="AA71" i="44"/>
  <c r="Z71" i="44"/>
  <c r="Y71" i="44"/>
  <c r="X71" i="44"/>
  <c r="W71" i="44"/>
  <c r="U71" i="44"/>
  <c r="T71" i="44"/>
  <c r="S71" i="44"/>
  <c r="R71" i="44"/>
  <c r="Q71" i="44"/>
  <c r="P71" i="44"/>
  <c r="O71" i="44"/>
  <c r="N71" i="44"/>
  <c r="L71" i="44"/>
  <c r="K71" i="44"/>
  <c r="J71" i="44"/>
  <c r="I71" i="44"/>
  <c r="H71" i="44"/>
  <c r="G71" i="44"/>
  <c r="F71" i="44"/>
  <c r="E71" i="44"/>
  <c r="AK70" i="44"/>
  <c r="AI70" i="44"/>
  <c r="AF70" i="44"/>
  <c r="AI69" i="44"/>
  <c r="AK69" i="44" s="1"/>
  <c r="AF69" i="44"/>
  <c r="AM68" i="44"/>
  <c r="AF68" i="44"/>
  <c r="AI68" i="44" s="1"/>
  <c r="AK68" i="44" s="1"/>
  <c r="AK67" i="44"/>
  <c r="AI67" i="44"/>
  <c r="AF67" i="44"/>
  <c r="AI66" i="44"/>
  <c r="AK66" i="44" s="1"/>
  <c r="AF66" i="44"/>
  <c r="AF65" i="44"/>
  <c r="AI65" i="44" s="1"/>
  <c r="AK65" i="44" s="1"/>
  <c r="AF64" i="44"/>
  <c r="AI64" i="44" s="1"/>
  <c r="AK64" i="44" s="1"/>
  <c r="AK63" i="44"/>
  <c r="AI63" i="44"/>
  <c r="AF63" i="44"/>
  <c r="AI62" i="44"/>
  <c r="AK62" i="44" s="1"/>
  <c r="AF62" i="44"/>
  <c r="AF61" i="44"/>
  <c r="AI61" i="44" s="1"/>
  <c r="AK61" i="44" s="1"/>
  <c r="AF60" i="44"/>
  <c r="AI60" i="44" s="1"/>
  <c r="AK60" i="44" s="1"/>
  <c r="AK59" i="44"/>
  <c r="AI59" i="44"/>
  <c r="AF59" i="44"/>
  <c r="AI58" i="44"/>
  <c r="AK58" i="44" s="1"/>
  <c r="AF58" i="44"/>
  <c r="AF57" i="44"/>
  <c r="AI57" i="44" s="1"/>
  <c r="AK57" i="44" s="1"/>
  <c r="AF56" i="44"/>
  <c r="AI56" i="44" s="1"/>
  <c r="AK56" i="44" s="1"/>
  <c r="AK55" i="44"/>
  <c r="AI55" i="44"/>
  <c r="AF55" i="44"/>
  <c r="AI54" i="44"/>
  <c r="AK54" i="44" s="1"/>
  <c r="AF54" i="44"/>
  <c r="AF53" i="44"/>
  <c r="AI53" i="44" s="1"/>
  <c r="AK53" i="44" s="1"/>
  <c r="AF52" i="44"/>
  <c r="AI52" i="44" s="1"/>
  <c r="AK52" i="44" s="1"/>
  <c r="AK51" i="44"/>
  <c r="AI51" i="44"/>
  <c r="AF51" i="44"/>
  <c r="AI50" i="44"/>
  <c r="AK50" i="44" s="1"/>
  <c r="AF50" i="44"/>
  <c r="AF49" i="44"/>
  <c r="AI49" i="44" s="1"/>
  <c r="AK49" i="44" s="1"/>
  <c r="AF48" i="44"/>
  <c r="AI48" i="44" s="1"/>
  <c r="AK48" i="44" s="1"/>
  <c r="AK47" i="44"/>
  <c r="AI47" i="44"/>
  <c r="AF47" i="44"/>
  <c r="AI46" i="44"/>
  <c r="AK46" i="44" s="1"/>
  <c r="AF46" i="44"/>
  <c r="AF45" i="44"/>
  <c r="AI45" i="44" s="1"/>
  <c r="AK45" i="44" s="1"/>
  <c r="AF44" i="44"/>
  <c r="AI44" i="44" s="1"/>
  <c r="AK44" i="44" s="1"/>
  <c r="AK43" i="44"/>
  <c r="AI43" i="44"/>
  <c r="AF43" i="44"/>
  <c r="AI42" i="44"/>
  <c r="AK42" i="44" s="1"/>
  <c r="AF42" i="44"/>
  <c r="AF41" i="44"/>
  <c r="AI41" i="44" s="1"/>
  <c r="AK41" i="44" s="1"/>
  <c r="AF40" i="44"/>
  <c r="AK39" i="44"/>
  <c r="AI39" i="44"/>
  <c r="AF39" i="44"/>
  <c r="AI38" i="44"/>
  <c r="AK38" i="44" s="1"/>
  <c r="AF38" i="44"/>
  <c r="AJ35" i="44"/>
  <c r="AH35" i="44"/>
  <c r="AG35" i="44"/>
  <c r="AE35" i="44"/>
  <c r="AD35" i="44"/>
  <c r="AC35" i="44"/>
  <c r="AB35" i="44"/>
  <c r="AA35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G276" i="44" s="1"/>
  <c r="F35" i="44"/>
  <c r="E35" i="44"/>
  <c r="AI34" i="44"/>
  <c r="AK34" i="44" s="1"/>
  <c r="AF34" i="44"/>
  <c r="AF33" i="44"/>
  <c r="AI33" i="44" s="1"/>
  <c r="AK33" i="44" s="1"/>
  <c r="AK32" i="44"/>
  <c r="AI32" i="44"/>
  <c r="AF32" i="44"/>
  <c r="AI31" i="44"/>
  <c r="AK31" i="44" s="1"/>
  <c r="AF31" i="44"/>
  <c r="AF30" i="44"/>
  <c r="AI30" i="44" s="1"/>
  <c r="AK30" i="44" s="1"/>
  <c r="AF29" i="44"/>
  <c r="AI29" i="44" s="1"/>
  <c r="AK29" i="44" s="1"/>
  <c r="AK28" i="44"/>
  <c r="AI28" i="44"/>
  <c r="AF28" i="44"/>
  <c r="AI27" i="44"/>
  <c r="AK27" i="44" s="1"/>
  <c r="AF27" i="44"/>
  <c r="AF26" i="44"/>
  <c r="AI26" i="44" s="1"/>
  <c r="AK26" i="44" s="1"/>
  <c r="AF25" i="44"/>
  <c r="AI25" i="44" s="1"/>
  <c r="AK25" i="44" s="1"/>
  <c r="AK24" i="44"/>
  <c r="AI24" i="44"/>
  <c r="AF24" i="44"/>
  <c r="AI23" i="44"/>
  <c r="AK23" i="44" s="1"/>
  <c r="AF23" i="44"/>
  <c r="AF22" i="44"/>
  <c r="AI22" i="44" s="1"/>
  <c r="AK22" i="44" s="1"/>
  <c r="AF21" i="44"/>
  <c r="AI21" i="44" s="1"/>
  <c r="AK21" i="44" s="1"/>
  <c r="AK20" i="44"/>
  <c r="AI20" i="44"/>
  <c r="AF20" i="44"/>
  <c r="AI19" i="44"/>
  <c r="AK19" i="44" s="1"/>
  <c r="AF19" i="44"/>
  <c r="AF18" i="44"/>
  <c r="AI18" i="44" s="1"/>
  <c r="AK18" i="44" s="1"/>
  <c r="AF17" i="44"/>
  <c r="AI17" i="44" s="1"/>
  <c r="AK17" i="44" s="1"/>
  <c r="AK16" i="44"/>
  <c r="AI16" i="44"/>
  <c r="AF16" i="44"/>
  <c r="AI15" i="44"/>
  <c r="AK15" i="44" s="1"/>
  <c r="AF15" i="44"/>
  <c r="AF14" i="44"/>
  <c r="AI14" i="44" s="1"/>
  <c r="AK14" i="44" s="1"/>
  <c r="AF13" i="44"/>
  <c r="AI13" i="44" s="1"/>
  <c r="AK13" i="44" s="1"/>
  <c r="AF12" i="44"/>
  <c r="AI12" i="44" s="1"/>
  <c r="AK12" i="44" s="1"/>
  <c r="AF11" i="44"/>
  <c r="AI11" i="44" s="1"/>
  <c r="AK11" i="44" s="1"/>
  <c r="AF10" i="44"/>
  <c r="AI10" i="44" s="1"/>
  <c r="AK10" i="44" s="1"/>
  <c r="AF9" i="44"/>
  <c r="AI9" i="44" s="1"/>
  <c r="AK9" i="44" s="1"/>
  <c r="AK8" i="44"/>
  <c r="AI8" i="44"/>
  <c r="AF8" i="44"/>
  <c r="AI7" i="44"/>
  <c r="AK7" i="44" s="1"/>
  <c r="AF7" i="44"/>
  <c r="AF6" i="44"/>
  <c r="AI6" i="44" s="1"/>
  <c r="AK6" i="44" s="1"/>
  <c r="AF5" i="44"/>
  <c r="AF4" i="44"/>
  <c r="W182" i="19" s="1"/>
  <c r="A4" i="44"/>
  <c r="I1" i="44"/>
  <c r="AA276" i="44" l="1"/>
  <c r="W276" i="44"/>
  <c r="W352" i="44" s="1"/>
  <c r="T388" i="19" s="1"/>
  <c r="T389" i="19" s="1"/>
  <c r="AF35" i="44"/>
  <c r="O276" i="44"/>
  <c r="O277" i="44" s="1"/>
  <c r="S276" i="44"/>
  <c r="S352" i="44" s="1"/>
  <c r="P276" i="44"/>
  <c r="P352" i="44" s="1"/>
  <c r="Y276" i="44"/>
  <c r="Y277" i="44" s="1"/>
  <c r="K276" i="44"/>
  <c r="K352" i="44" s="1"/>
  <c r="AK107" i="44"/>
  <c r="AI4" i="44"/>
  <c r="AK4" i="44" s="1"/>
  <c r="S277" i="44"/>
  <c r="AA352" i="44"/>
  <c r="AA277" i="44"/>
  <c r="AF71" i="44"/>
  <c r="AK109" i="44"/>
  <c r="AK140" i="44" s="1"/>
  <c r="AI140" i="44"/>
  <c r="G352" i="44"/>
  <c r="G277" i="44"/>
  <c r="AK247" i="44"/>
  <c r="AI250" i="44"/>
  <c r="AF140" i="44"/>
  <c r="AI107" i="44"/>
  <c r="AI173" i="44"/>
  <c r="AN170" i="44" s="1"/>
  <c r="AK142" i="44"/>
  <c r="AK173" i="44" s="1"/>
  <c r="AI257" i="44"/>
  <c r="AK253" i="44"/>
  <c r="AK257" i="44" s="1"/>
  <c r="AK250" i="44"/>
  <c r="AK274" i="44"/>
  <c r="H276" i="44"/>
  <c r="T276" i="44"/>
  <c r="AJ276" i="44"/>
  <c r="AF107" i="44"/>
  <c r="AF250" i="44"/>
  <c r="AI283" i="44"/>
  <c r="AF342" i="44"/>
  <c r="AI5" i="44"/>
  <c r="E276" i="44"/>
  <c r="I276" i="44"/>
  <c r="Q276" i="44"/>
  <c r="U276" i="44"/>
  <c r="AC276" i="44"/>
  <c r="AG276" i="44"/>
  <c r="AI40" i="44"/>
  <c r="AF208" i="44"/>
  <c r="AI175" i="44"/>
  <c r="AI243" i="44"/>
  <c r="AK210" i="44"/>
  <c r="AK243" i="44" s="1"/>
  <c r="AF243" i="44"/>
  <c r="AF274" i="44"/>
  <c r="L276" i="44"/>
  <c r="X276" i="44"/>
  <c r="AB276" i="44"/>
  <c r="AF173" i="44"/>
  <c r="F276" i="44"/>
  <c r="J276" i="44"/>
  <c r="N276" i="44"/>
  <c r="N352" i="44" s="1"/>
  <c r="K388" i="19" s="1"/>
  <c r="K389" i="19" s="1"/>
  <c r="R276" i="44"/>
  <c r="Z276" i="44"/>
  <c r="AD276" i="44"/>
  <c r="AF257" i="44"/>
  <c r="AF348" i="44"/>
  <c r="AI346" i="44"/>
  <c r="AI266" i="44"/>
  <c r="AI274" i="44"/>
  <c r="AF343" i="44"/>
  <c r="AK260" i="44"/>
  <c r="AK266" i="44" s="1"/>
  <c r="W277" i="44" l="1"/>
  <c r="O352" i="44"/>
  <c r="Y352" i="44"/>
  <c r="Y353" i="44" s="1"/>
  <c r="P277" i="44"/>
  <c r="K277" i="44"/>
  <c r="AA353" i="44"/>
  <c r="Z388" i="19"/>
  <c r="Z389" i="19" s="1"/>
  <c r="O353" i="44"/>
  <c r="L388" i="19"/>
  <c r="L389" i="19" s="1"/>
  <c r="S353" i="44"/>
  <c r="P388" i="19"/>
  <c r="P353" i="44"/>
  <c r="M388" i="19"/>
  <c r="M389" i="19" s="1"/>
  <c r="K353" i="44"/>
  <c r="H388" i="19"/>
  <c r="H389" i="19" s="1"/>
  <c r="G353" i="44"/>
  <c r="D388" i="19"/>
  <c r="D389" i="19" s="1"/>
  <c r="AF276" i="44"/>
  <c r="AF352" i="44" s="1"/>
  <c r="AK346" i="44"/>
  <c r="AK348" i="44" s="1"/>
  <c r="AI348" i="44"/>
  <c r="AD352" i="44"/>
  <c r="AD277" i="44"/>
  <c r="J352" i="44"/>
  <c r="J277" i="44"/>
  <c r="AB352" i="44"/>
  <c r="AB277" i="44"/>
  <c r="U352" i="44"/>
  <c r="U277" i="44"/>
  <c r="AK5" i="44"/>
  <c r="AK35" i="44" s="1"/>
  <c r="AI35" i="44"/>
  <c r="H352" i="44"/>
  <c r="H277" i="44"/>
  <c r="Z352" i="44"/>
  <c r="Z277" i="44"/>
  <c r="F277" i="44"/>
  <c r="F352" i="44"/>
  <c r="X277" i="44"/>
  <c r="X352" i="44"/>
  <c r="AK40" i="44"/>
  <c r="AK71" i="44" s="1"/>
  <c r="AI71" i="44"/>
  <c r="Q352" i="44"/>
  <c r="Q277" i="44"/>
  <c r="R352" i="44"/>
  <c r="R277" i="44"/>
  <c r="L352" i="44"/>
  <c r="L277" i="44"/>
  <c r="AG277" i="44"/>
  <c r="AG352" i="44"/>
  <c r="I352" i="44"/>
  <c r="I277" i="44"/>
  <c r="AJ352" i="44"/>
  <c r="AJ353" i="44" s="1"/>
  <c r="AJ277" i="44"/>
  <c r="N353" i="44"/>
  <c r="AK175" i="44"/>
  <c r="AK208" i="44" s="1"/>
  <c r="AI208" i="44"/>
  <c r="AN205" i="44" s="1"/>
  <c r="AC352" i="44"/>
  <c r="AC277" i="44"/>
  <c r="E352" i="44"/>
  <c r="B388" i="19" s="1"/>
  <c r="E277" i="44"/>
  <c r="AK283" i="44"/>
  <c r="AK342" i="44" s="1"/>
  <c r="AI342" i="44"/>
  <c r="AI343" i="44" s="1"/>
  <c r="T352" i="44"/>
  <c r="T277" i="44"/>
  <c r="W353" i="44"/>
  <c r="AF340" i="9"/>
  <c r="AI340" i="9" s="1"/>
  <c r="AK340" i="9" s="1"/>
  <c r="V388" i="19" l="1"/>
  <c r="V389" i="19" s="1"/>
  <c r="R353" i="44"/>
  <c r="O388" i="19"/>
  <c r="O389" i="19" s="1"/>
  <c r="H353" i="44"/>
  <c r="E388" i="19"/>
  <c r="E389" i="19" s="1"/>
  <c r="I353" i="44"/>
  <c r="F388" i="19"/>
  <c r="F389" i="19" s="1"/>
  <c r="Q353" i="44"/>
  <c r="N388" i="19"/>
  <c r="N389" i="19" s="1"/>
  <c r="AB353" i="44"/>
  <c r="Y388" i="19"/>
  <c r="Y389" i="19" s="1"/>
  <c r="AD353" i="44"/>
  <c r="AA388" i="19"/>
  <c r="AA389" i="19" s="1"/>
  <c r="T353" i="44"/>
  <c r="Q388" i="19"/>
  <c r="Q389" i="19" s="1"/>
  <c r="AC353" i="44"/>
  <c r="X388" i="19"/>
  <c r="X389" i="19" s="1"/>
  <c r="U353" i="44"/>
  <c r="R388" i="19"/>
  <c r="R389" i="19" s="1"/>
  <c r="P389" i="19"/>
  <c r="AF277" i="44"/>
  <c r="L353" i="44"/>
  <c r="I388" i="19"/>
  <c r="I389" i="19" s="1"/>
  <c r="F353" i="44"/>
  <c r="C388" i="19"/>
  <c r="C389" i="19" s="1"/>
  <c r="J353" i="44"/>
  <c r="G388" i="19"/>
  <c r="G389" i="19" s="1"/>
  <c r="Z353" i="44"/>
  <c r="W388" i="19"/>
  <c r="W389" i="19" s="1"/>
  <c r="X353" i="44"/>
  <c r="U388" i="19"/>
  <c r="W355" i="44"/>
  <c r="B389" i="19"/>
  <c r="AK343" i="44"/>
  <c r="L177" i="19"/>
  <c r="N177" i="19" s="1"/>
  <c r="E355" i="44"/>
  <c r="E353" i="44"/>
  <c r="AI276" i="44"/>
  <c r="AD361" i="44"/>
  <c r="AG353" i="44"/>
  <c r="N355" i="44"/>
  <c r="AK276" i="44"/>
  <c r="AF353" i="44"/>
  <c r="AD359" i="44"/>
  <c r="AF336" i="9"/>
  <c r="AI336" i="9" s="1"/>
  <c r="AK336" i="9" s="1"/>
  <c r="AF338" i="9"/>
  <c r="AI338" i="9" s="1"/>
  <c r="AK338" i="9" s="1"/>
  <c r="AF339" i="9"/>
  <c r="AI339" i="9" s="1"/>
  <c r="AK339" i="9" s="1"/>
  <c r="K390" i="19" l="1"/>
  <c r="N354" i="44"/>
  <c r="K392" i="19"/>
  <c r="E354" i="44"/>
  <c r="W354" i="44"/>
  <c r="B390" i="19"/>
  <c r="U389" i="19"/>
  <c r="T391" i="19" s="1"/>
  <c r="B391" i="19"/>
  <c r="AK352" i="44"/>
  <c r="AK353" i="44" s="1"/>
  <c r="AK277" i="44"/>
  <c r="AI277" i="44"/>
  <c r="AI352" i="44"/>
  <c r="AI353" i="44" s="1"/>
  <c r="AF337" i="9"/>
  <c r="AI337" i="9" s="1"/>
  <c r="AK337" i="9" s="1"/>
  <c r="AF335" i="9"/>
  <c r="AI335" i="9" s="1"/>
  <c r="AK335" i="9" s="1"/>
  <c r="AB388" i="19" l="1"/>
  <c r="M216" i="19" s="1"/>
  <c r="T390" i="19"/>
  <c r="AB389" i="19"/>
  <c r="BB80" i="4"/>
  <c r="AF310" i="9" l="1"/>
  <c r="AI310" i="9" s="1"/>
  <c r="AK310" i="9" s="1"/>
  <c r="M229" i="19" l="1"/>
  <c r="R18" i="38" l="1"/>
  <c r="AF321" i="29" l="1"/>
  <c r="AI321" i="29" s="1"/>
  <c r="AK320" i="29" s="1"/>
  <c r="AF320" i="29"/>
  <c r="AI320" i="29" s="1"/>
  <c r="AF319" i="29"/>
  <c r="AI319" i="29" s="1"/>
  <c r="AK319" i="29" s="1"/>
  <c r="AF318" i="29"/>
  <c r="AI318" i="29" s="1"/>
  <c r="AK318" i="29" s="1"/>
  <c r="AF322" i="29"/>
  <c r="AI322" i="29" s="1"/>
  <c r="AK321" i="29" s="1"/>
  <c r="AF323" i="29"/>
  <c r="AI323" i="29" s="1"/>
  <c r="AK322" i="29" s="1"/>
  <c r="AG164" i="12" l="1"/>
  <c r="AI129" i="12"/>
  <c r="AG129" i="12"/>
  <c r="AF129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AE128" i="12"/>
  <c r="AH128" i="12" s="1"/>
  <c r="AJ128" i="12" s="1"/>
  <c r="AE127" i="12"/>
  <c r="AH127" i="12" s="1"/>
  <c r="AJ127" i="12" s="1"/>
  <c r="AH126" i="12"/>
  <c r="AJ126" i="12" s="1"/>
  <c r="AE126" i="12"/>
  <c r="AE125" i="12"/>
  <c r="AH125" i="12" s="1"/>
  <c r="AJ125" i="12" s="1"/>
  <c r="AE124" i="12"/>
  <c r="AH124" i="12" s="1"/>
  <c r="AJ124" i="12" s="1"/>
  <c r="AE123" i="12"/>
  <c r="AH123" i="12" s="1"/>
  <c r="AJ123" i="12" s="1"/>
  <c r="AE122" i="12"/>
  <c r="AH122" i="12" s="1"/>
  <c r="AJ122" i="12" s="1"/>
  <c r="AE121" i="12"/>
  <c r="AH121" i="12" s="1"/>
  <c r="AJ121" i="12" s="1"/>
  <c r="AE120" i="12"/>
  <c r="AH120" i="12" s="1"/>
  <c r="AJ120" i="12" s="1"/>
  <c r="AE119" i="12"/>
  <c r="AH119" i="12" s="1"/>
  <c r="AJ119" i="12" s="1"/>
  <c r="AE118" i="12"/>
  <c r="AH118" i="12" s="1"/>
  <c r="AJ118" i="12" s="1"/>
  <c r="AE117" i="12"/>
  <c r="AE129" i="12" l="1"/>
  <c r="AH117" i="12"/>
  <c r="AJ117" i="12" l="1"/>
  <c r="AJ129" i="12" s="1"/>
  <c r="AH129" i="12"/>
  <c r="W200" i="10" l="1"/>
  <c r="S166" i="10"/>
  <c r="Y166" i="10"/>
  <c r="V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U165" i="10"/>
  <c r="X165" i="10" s="1"/>
  <c r="Z165" i="10" s="1"/>
  <c r="U164" i="10"/>
  <c r="X164" i="10" s="1"/>
  <c r="Z164" i="10" s="1"/>
  <c r="U163" i="10"/>
  <c r="X163" i="10" s="1"/>
  <c r="Z163" i="10" s="1"/>
  <c r="X162" i="10"/>
  <c r="Z162" i="10" s="1"/>
  <c r="U162" i="10"/>
  <c r="U161" i="10"/>
  <c r="X161" i="10" s="1"/>
  <c r="Z161" i="10" s="1"/>
  <c r="U160" i="10"/>
  <c r="X160" i="10" s="1"/>
  <c r="Z160" i="10" s="1"/>
  <c r="U159" i="10"/>
  <c r="X159" i="10" s="1"/>
  <c r="Z159" i="10" s="1"/>
  <c r="U158" i="10"/>
  <c r="X158" i="10" s="1"/>
  <c r="Z158" i="10" s="1"/>
  <c r="U157" i="10"/>
  <c r="X157" i="10" s="1"/>
  <c r="Z157" i="10" s="1"/>
  <c r="U156" i="10"/>
  <c r="X156" i="10" s="1"/>
  <c r="Z156" i="10" s="1"/>
  <c r="U155" i="10"/>
  <c r="X155" i="10" s="1"/>
  <c r="Z155" i="10" s="1"/>
  <c r="U154" i="10"/>
  <c r="X154" i="10" s="1"/>
  <c r="Z154" i="10" s="1"/>
  <c r="U153" i="10"/>
  <c r="X153" i="10" s="1"/>
  <c r="Z153" i="10" s="1"/>
  <c r="U152" i="10"/>
  <c r="X152" i="10" s="1"/>
  <c r="Z152" i="10" s="1"/>
  <c r="U151" i="10"/>
  <c r="X151" i="10" s="1"/>
  <c r="Z151" i="10" s="1"/>
  <c r="U150" i="10"/>
  <c r="X150" i="10" s="1"/>
  <c r="Z150" i="10" s="1"/>
  <c r="U149" i="10"/>
  <c r="X149" i="10" s="1"/>
  <c r="Z149" i="10" s="1"/>
  <c r="U148" i="10"/>
  <c r="X148" i="10" s="1"/>
  <c r="Z148" i="10" s="1"/>
  <c r="U147" i="10"/>
  <c r="X147" i="10" s="1"/>
  <c r="Z147" i="10" s="1"/>
  <c r="U146" i="10"/>
  <c r="X146" i="10" s="1"/>
  <c r="Z146" i="10" s="1"/>
  <c r="U145" i="10"/>
  <c r="X145" i="10" s="1"/>
  <c r="Z145" i="10" s="1"/>
  <c r="U144" i="10"/>
  <c r="X144" i="10" s="1"/>
  <c r="Z144" i="10" s="1"/>
  <c r="U143" i="10"/>
  <c r="X143" i="10" s="1"/>
  <c r="Z143" i="10" s="1"/>
  <c r="U142" i="10"/>
  <c r="X142" i="10" s="1"/>
  <c r="Z142" i="10" s="1"/>
  <c r="U141" i="10"/>
  <c r="U166" i="10" l="1"/>
  <c r="X141" i="10"/>
  <c r="X166" i="10" l="1"/>
  <c r="Z141" i="10"/>
  <c r="Z166" i="10" s="1"/>
  <c r="M186" i="19" l="1"/>
  <c r="U260" i="42" l="1"/>
  <c r="BN256" i="42"/>
  <c r="BK256" i="42"/>
  <c r="BJ256" i="42"/>
  <c r="BI256" i="42"/>
  <c r="Y250" i="42"/>
  <c r="V250" i="42"/>
  <c r="S250" i="42"/>
  <c r="R250" i="42"/>
  <c r="Q250" i="42"/>
  <c r="P250" i="42"/>
  <c r="O250" i="42"/>
  <c r="N250" i="42"/>
  <c r="M250" i="42"/>
  <c r="L250" i="42"/>
  <c r="K250" i="42"/>
  <c r="J250" i="42"/>
  <c r="I250" i="42"/>
  <c r="H250" i="42"/>
  <c r="G250" i="42"/>
  <c r="F250" i="42"/>
  <c r="E250" i="42"/>
  <c r="U249" i="42"/>
  <c r="X248" i="42"/>
  <c r="Z248" i="42" s="1"/>
  <c r="U248" i="42"/>
  <c r="Y245" i="42"/>
  <c r="V245" i="42"/>
  <c r="Y244" i="42"/>
  <c r="W244" i="42"/>
  <c r="W245" i="42" s="1"/>
  <c r="V244" i="42"/>
  <c r="T244" i="42"/>
  <c r="T245" i="42" s="1"/>
  <c r="R244" i="42"/>
  <c r="R245" i="42" s="1"/>
  <c r="Q244" i="42"/>
  <c r="Q245" i="42" s="1"/>
  <c r="P244" i="42"/>
  <c r="P245" i="42" s="1"/>
  <c r="O244" i="42"/>
  <c r="O245" i="42" s="1"/>
  <c r="N244" i="42"/>
  <c r="N245" i="42" s="1"/>
  <c r="M244" i="42"/>
  <c r="M245" i="42" s="1"/>
  <c r="L244" i="42"/>
  <c r="L245" i="42" s="1"/>
  <c r="K244" i="42"/>
  <c r="K245" i="42" s="1"/>
  <c r="J244" i="42"/>
  <c r="J245" i="42" s="1"/>
  <c r="H244" i="42"/>
  <c r="H245" i="42" s="1"/>
  <c r="G244" i="42"/>
  <c r="G245" i="42" s="1"/>
  <c r="F244" i="42"/>
  <c r="E244" i="42"/>
  <c r="E245" i="42" s="1"/>
  <c r="U243" i="42"/>
  <c r="X243" i="42" s="1"/>
  <c r="Z243" i="42" s="1"/>
  <c r="X242" i="42"/>
  <c r="Z242" i="42" s="1"/>
  <c r="U242" i="42"/>
  <c r="U241" i="42"/>
  <c r="X241" i="42" s="1"/>
  <c r="Z241" i="42" s="1"/>
  <c r="X240" i="42"/>
  <c r="Z240" i="42" s="1"/>
  <c r="U240" i="42"/>
  <c r="Z239" i="42"/>
  <c r="U239" i="42"/>
  <c r="X239" i="42" s="1"/>
  <c r="X238" i="42"/>
  <c r="Z238" i="42" s="1"/>
  <c r="U238" i="42"/>
  <c r="U237" i="42"/>
  <c r="X237" i="42" s="1"/>
  <c r="Z237" i="42" s="1"/>
  <c r="X236" i="42"/>
  <c r="Z236" i="42" s="1"/>
  <c r="U236" i="42"/>
  <c r="U235" i="42"/>
  <c r="X235" i="42" s="1"/>
  <c r="Z235" i="42" s="1"/>
  <c r="X234" i="42"/>
  <c r="Z234" i="42" s="1"/>
  <c r="U234" i="42"/>
  <c r="U233" i="42"/>
  <c r="X233" i="42" s="1"/>
  <c r="Z233" i="42" s="1"/>
  <c r="U232" i="42"/>
  <c r="X232" i="42" s="1"/>
  <c r="Z232" i="42" s="1"/>
  <c r="Z231" i="42"/>
  <c r="U231" i="42"/>
  <c r="X231" i="42" s="1"/>
  <c r="X230" i="42"/>
  <c r="Z230" i="42" s="1"/>
  <c r="U230" i="42"/>
  <c r="Z229" i="42"/>
  <c r="U229" i="42"/>
  <c r="X229" i="42" s="1"/>
  <c r="X228" i="42"/>
  <c r="Z228" i="42" s="1"/>
  <c r="U228" i="42"/>
  <c r="Z227" i="42"/>
  <c r="U227" i="42"/>
  <c r="X227" i="42" s="1"/>
  <c r="X226" i="42"/>
  <c r="Z226" i="42" s="1"/>
  <c r="U226" i="42"/>
  <c r="Z225" i="42"/>
  <c r="U225" i="42"/>
  <c r="X225" i="42" s="1"/>
  <c r="X224" i="42"/>
  <c r="Z224" i="42" s="1"/>
  <c r="U224" i="42"/>
  <c r="Z223" i="42"/>
  <c r="U223" i="42"/>
  <c r="X223" i="42" s="1"/>
  <c r="X222" i="42"/>
  <c r="Z222" i="42" s="1"/>
  <c r="U222" i="42"/>
  <c r="Z221" i="42"/>
  <c r="U221" i="42"/>
  <c r="X221" i="42" s="1"/>
  <c r="X220" i="42"/>
  <c r="Z220" i="42" s="1"/>
  <c r="U220" i="42"/>
  <c r="Z219" i="42"/>
  <c r="U219" i="42"/>
  <c r="X219" i="42" s="1"/>
  <c r="X218" i="42"/>
  <c r="Z218" i="42" s="1"/>
  <c r="U218" i="42"/>
  <c r="Z217" i="42"/>
  <c r="U217" i="42"/>
  <c r="X217" i="42" s="1"/>
  <c r="X216" i="42"/>
  <c r="Z216" i="42" s="1"/>
  <c r="U216" i="42"/>
  <c r="Z215" i="42"/>
  <c r="U215" i="42"/>
  <c r="X215" i="42" s="1"/>
  <c r="X214" i="42"/>
  <c r="Z214" i="42" s="1"/>
  <c r="U214" i="42"/>
  <c r="Z213" i="42"/>
  <c r="U213" i="42"/>
  <c r="X213" i="42" s="1"/>
  <c r="X212" i="42"/>
  <c r="Z212" i="42" s="1"/>
  <c r="U212" i="42"/>
  <c r="Z211" i="42"/>
  <c r="U211" i="42"/>
  <c r="X211" i="42" s="1"/>
  <c r="X210" i="42"/>
  <c r="Z210" i="42" s="1"/>
  <c r="U210" i="42"/>
  <c r="U209" i="42"/>
  <c r="X209" i="42" s="1"/>
  <c r="Z209" i="42" s="1"/>
  <c r="U208" i="42"/>
  <c r="X208" i="42" s="1"/>
  <c r="Z208" i="42" s="1"/>
  <c r="U207" i="42"/>
  <c r="X207" i="42" s="1"/>
  <c r="Z207" i="42" s="1"/>
  <c r="U206" i="42"/>
  <c r="X206" i="42" s="1"/>
  <c r="Z206" i="42" s="1"/>
  <c r="U205" i="42"/>
  <c r="X205" i="42" s="1"/>
  <c r="Z205" i="42" s="1"/>
  <c r="U204" i="42"/>
  <c r="X204" i="42" s="1"/>
  <c r="Z204" i="42" s="1"/>
  <c r="U203" i="42"/>
  <c r="X203" i="42" s="1"/>
  <c r="Z203" i="42" s="1"/>
  <c r="U202" i="42"/>
  <c r="X202" i="42" s="1"/>
  <c r="Z202" i="42" s="1"/>
  <c r="U201" i="42"/>
  <c r="X201" i="42" s="1"/>
  <c r="Z201" i="42" s="1"/>
  <c r="U200" i="42"/>
  <c r="X200" i="42" s="1"/>
  <c r="Z200" i="42" s="1"/>
  <c r="U199" i="42"/>
  <c r="X199" i="42" s="1"/>
  <c r="Z199" i="42" s="1"/>
  <c r="U198" i="42"/>
  <c r="X198" i="42" s="1"/>
  <c r="Z198" i="42" s="1"/>
  <c r="U197" i="42"/>
  <c r="X197" i="42" s="1"/>
  <c r="Z197" i="42" s="1"/>
  <c r="U196" i="42"/>
  <c r="X196" i="42" s="1"/>
  <c r="Z196" i="42" s="1"/>
  <c r="U195" i="42"/>
  <c r="X195" i="42" s="1"/>
  <c r="Z195" i="42" s="1"/>
  <c r="U194" i="42"/>
  <c r="X194" i="42" s="1"/>
  <c r="Z194" i="42" s="1"/>
  <c r="U193" i="42"/>
  <c r="X193" i="42" s="1"/>
  <c r="Z193" i="42" s="1"/>
  <c r="U192" i="42"/>
  <c r="X192" i="42" s="1"/>
  <c r="Z192" i="42" s="1"/>
  <c r="U191" i="42"/>
  <c r="X191" i="42" s="1"/>
  <c r="Z191" i="42" s="1"/>
  <c r="U190" i="42"/>
  <c r="X190" i="42" s="1"/>
  <c r="Z190" i="42" s="1"/>
  <c r="U189" i="42"/>
  <c r="X189" i="42" s="1"/>
  <c r="Z189" i="42" s="1"/>
  <c r="U188" i="42"/>
  <c r="X188" i="42" s="1"/>
  <c r="Z188" i="42" s="1"/>
  <c r="U187" i="42"/>
  <c r="X187" i="42" s="1"/>
  <c r="Z187" i="42" s="1"/>
  <c r="U186" i="42"/>
  <c r="X186" i="42" s="1"/>
  <c r="Z186" i="42" s="1"/>
  <c r="U185" i="42"/>
  <c r="X185" i="42" s="1"/>
  <c r="Z185" i="42" s="1"/>
  <c r="U184" i="42"/>
  <c r="X184" i="42" s="1"/>
  <c r="Z184" i="42" s="1"/>
  <c r="U183" i="42"/>
  <c r="X183" i="42" s="1"/>
  <c r="Z183" i="42" s="1"/>
  <c r="U182" i="42"/>
  <c r="X182" i="42" s="1"/>
  <c r="Z182" i="42" s="1"/>
  <c r="U181" i="42"/>
  <c r="X181" i="42" s="1"/>
  <c r="Z181" i="42" s="1"/>
  <c r="U179" i="42"/>
  <c r="X179" i="42" s="1"/>
  <c r="Z179" i="42" s="1"/>
  <c r="U178" i="42"/>
  <c r="X178" i="42" s="1"/>
  <c r="Z178" i="42" s="1"/>
  <c r="U177" i="42"/>
  <c r="X177" i="42" s="1"/>
  <c r="Z177" i="42" s="1"/>
  <c r="U176" i="42"/>
  <c r="X176" i="42" s="1"/>
  <c r="Z176" i="42" s="1"/>
  <c r="U175" i="42"/>
  <c r="W171" i="42"/>
  <c r="W172" i="42" s="1"/>
  <c r="Y169" i="42"/>
  <c r="X169" i="42"/>
  <c r="V169" i="42"/>
  <c r="U169" i="42"/>
  <c r="S169" i="42"/>
  <c r="R169" i="42"/>
  <c r="Q169" i="42"/>
  <c r="P169" i="42"/>
  <c r="O169" i="42"/>
  <c r="N169" i="42"/>
  <c r="M169" i="42"/>
  <c r="L169" i="42"/>
  <c r="K169" i="42"/>
  <c r="J169" i="42"/>
  <c r="I169" i="42"/>
  <c r="H169" i="42"/>
  <c r="G169" i="42"/>
  <c r="F169" i="42"/>
  <c r="E169" i="42"/>
  <c r="Z168" i="42"/>
  <c r="U168" i="42"/>
  <c r="X168" i="42" s="1"/>
  <c r="Z167" i="42"/>
  <c r="X167" i="42"/>
  <c r="U167" i="42"/>
  <c r="X166" i="42"/>
  <c r="Z166" i="42" s="1"/>
  <c r="U166" i="42"/>
  <c r="X165" i="42"/>
  <c r="Z165" i="42" s="1"/>
  <c r="U165" i="42"/>
  <c r="Z164" i="42"/>
  <c r="Z169" i="42" s="1"/>
  <c r="U164" i="42"/>
  <c r="X164" i="42" s="1"/>
  <c r="Y161" i="42"/>
  <c r="V161" i="42"/>
  <c r="S161" i="42"/>
  <c r="R161" i="42"/>
  <c r="Q161" i="42"/>
  <c r="P161" i="42"/>
  <c r="O161" i="42"/>
  <c r="N161" i="42"/>
  <c r="M161" i="42"/>
  <c r="L161" i="42"/>
  <c r="K161" i="42"/>
  <c r="J161" i="42"/>
  <c r="I161" i="42"/>
  <c r="H161" i="42"/>
  <c r="G161" i="42"/>
  <c r="F161" i="42"/>
  <c r="E161" i="42"/>
  <c r="X160" i="42"/>
  <c r="Z160" i="42" s="1"/>
  <c r="U160" i="42"/>
  <c r="U159" i="42"/>
  <c r="X159" i="42" s="1"/>
  <c r="Z159" i="42" s="1"/>
  <c r="U158" i="42"/>
  <c r="X158" i="42" s="1"/>
  <c r="Z158" i="42" s="1"/>
  <c r="U157" i="42"/>
  <c r="X156" i="42"/>
  <c r="U156" i="42"/>
  <c r="Y153" i="42"/>
  <c r="V153" i="42"/>
  <c r="S153" i="42"/>
  <c r="R153" i="42"/>
  <c r="Q153" i="42"/>
  <c r="P153" i="42"/>
  <c r="O153" i="42"/>
  <c r="N153" i="42"/>
  <c r="M153" i="42"/>
  <c r="L153" i="42"/>
  <c r="K153" i="42"/>
  <c r="J153" i="42"/>
  <c r="I153" i="42"/>
  <c r="H153" i="42"/>
  <c r="G153" i="42"/>
  <c r="F153" i="42"/>
  <c r="E153" i="42"/>
  <c r="U152" i="42"/>
  <c r="X152" i="42" s="1"/>
  <c r="Z152" i="42" s="1"/>
  <c r="U151" i="42"/>
  <c r="X151" i="42" s="1"/>
  <c r="Z151" i="42" s="1"/>
  <c r="U150" i="42"/>
  <c r="X150" i="42" s="1"/>
  <c r="Z150" i="42" s="1"/>
  <c r="X149" i="42"/>
  <c r="Z149" i="42" s="1"/>
  <c r="U149" i="42"/>
  <c r="U148" i="42"/>
  <c r="X148" i="42" s="1"/>
  <c r="X153" i="42" s="1"/>
  <c r="Y145" i="42"/>
  <c r="V145" i="42"/>
  <c r="S145" i="42"/>
  <c r="R145" i="42"/>
  <c r="Q145" i="42"/>
  <c r="P145" i="42"/>
  <c r="O145" i="42"/>
  <c r="N145" i="42"/>
  <c r="M145" i="42"/>
  <c r="L145" i="42"/>
  <c r="K145" i="42"/>
  <c r="J145" i="42"/>
  <c r="I145" i="42"/>
  <c r="H145" i="42"/>
  <c r="G145" i="42"/>
  <c r="F145" i="42"/>
  <c r="E145" i="42"/>
  <c r="U144" i="42"/>
  <c r="X144" i="42" s="1"/>
  <c r="Z144" i="42" s="1"/>
  <c r="U143" i="42"/>
  <c r="X143" i="42" s="1"/>
  <c r="Z143" i="42" s="1"/>
  <c r="X142" i="42"/>
  <c r="Z142" i="42" s="1"/>
  <c r="U142" i="42"/>
  <c r="U141" i="42"/>
  <c r="X141" i="42" s="1"/>
  <c r="Z141" i="42" s="1"/>
  <c r="U140" i="42"/>
  <c r="Y137" i="42"/>
  <c r="V137" i="42"/>
  <c r="S137" i="42"/>
  <c r="R137" i="42"/>
  <c r="Q137" i="42"/>
  <c r="P137" i="42"/>
  <c r="O137" i="42"/>
  <c r="N137" i="42"/>
  <c r="M137" i="42"/>
  <c r="L137" i="42"/>
  <c r="K137" i="42"/>
  <c r="J137" i="42"/>
  <c r="I137" i="42"/>
  <c r="H137" i="42"/>
  <c r="G137" i="42"/>
  <c r="F137" i="42"/>
  <c r="E137" i="42"/>
  <c r="Z136" i="42"/>
  <c r="X136" i="42"/>
  <c r="U136" i="42"/>
  <c r="X135" i="42"/>
  <c r="Z135" i="42" s="1"/>
  <c r="U135" i="42"/>
  <c r="X134" i="42"/>
  <c r="Z134" i="42" s="1"/>
  <c r="U134" i="42"/>
  <c r="Z133" i="42"/>
  <c r="U133" i="42"/>
  <c r="X133" i="42" s="1"/>
  <c r="Z132" i="42"/>
  <c r="X132" i="42"/>
  <c r="U132" i="42"/>
  <c r="X131" i="42"/>
  <c r="Z131" i="42" s="1"/>
  <c r="U131" i="42"/>
  <c r="X130" i="42"/>
  <c r="Z130" i="42" s="1"/>
  <c r="U130" i="42"/>
  <c r="Z129" i="42"/>
  <c r="U129" i="42"/>
  <c r="X129" i="42" s="1"/>
  <c r="Z128" i="42"/>
  <c r="X128" i="42"/>
  <c r="U128" i="42"/>
  <c r="X127" i="42"/>
  <c r="Z127" i="42" s="1"/>
  <c r="U127" i="42"/>
  <c r="X126" i="42"/>
  <c r="Z126" i="42" s="1"/>
  <c r="U126" i="42"/>
  <c r="Z125" i="42"/>
  <c r="U125" i="42"/>
  <c r="X125" i="42" s="1"/>
  <c r="Z124" i="42"/>
  <c r="X124" i="42"/>
  <c r="U124" i="42"/>
  <c r="X123" i="42"/>
  <c r="Z123" i="42" s="1"/>
  <c r="U123" i="42"/>
  <c r="X122" i="42"/>
  <c r="Z122" i="42" s="1"/>
  <c r="U122" i="42"/>
  <c r="Z121" i="42"/>
  <c r="U121" i="42"/>
  <c r="X121" i="42" s="1"/>
  <c r="Z120" i="42"/>
  <c r="X120" i="42"/>
  <c r="U120" i="42"/>
  <c r="X119" i="42"/>
  <c r="Z119" i="42" s="1"/>
  <c r="U119" i="42"/>
  <c r="X118" i="42"/>
  <c r="Z118" i="42" s="1"/>
  <c r="U118" i="42"/>
  <c r="Z117" i="42"/>
  <c r="U117" i="42"/>
  <c r="X117" i="42" s="1"/>
  <c r="Z116" i="42"/>
  <c r="U116" i="42"/>
  <c r="X116" i="42" s="1"/>
  <c r="X115" i="42"/>
  <c r="Z115" i="42" s="1"/>
  <c r="U115" i="42"/>
  <c r="Z114" i="42"/>
  <c r="U114" i="42"/>
  <c r="X114" i="42" s="1"/>
  <c r="X113" i="42"/>
  <c r="Z113" i="42" s="1"/>
  <c r="U113" i="42"/>
  <c r="U112" i="42"/>
  <c r="Y110" i="42"/>
  <c r="V110" i="42"/>
  <c r="S110" i="42"/>
  <c r="R110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E110" i="42"/>
  <c r="AB109" i="42"/>
  <c r="AA109" i="42"/>
  <c r="U109" i="42"/>
  <c r="X109" i="42" s="1"/>
  <c r="Z109" i="42" s="1"/>
  <c r="X108" i="42"/>
  <c r="Z108" i="42" s="1"/>
  <c r="U108" i="42"/>
  <c r="U107" i="42"/>
  <c r="X107" i="42" s="1"/>
  <c r="Z107" i="42" s="1"/>
  <c r="X106" i="42"/>
  <c r="Z106" i="42" s="1"/>
  <c r="U106" i="42"/>
  <c r="U105" i="42"/>
  <c r="X105" i="42" s="1"/>
  <c r="Z105" i="42" s="1"/>
  <c r="X104" i="42"/>
  <c r="Z104" i="42" s="1"/>
  <c r="U104" i="42"/>
  <c r="U103" i="42"/>
  <c r="X103" i="42" s="1"/>
  <c r="Z103" i="42" s="1"/>
  <c r="X102" i="42"/>
  <c r="Z102" i="42" s="1"/>
  <c r="U102" i="42"/>
  <c r="U101" i="42"/>
  <c r="X101" i="42" s="1"/>
  <c r="Z101" i="42" s="1"/>
  <c r="X100" i="42"/>
  <c r="Z100" i="42" s="1"/>
  <c r="U100" i="42"/>
  <c r="U99" i="42"/>
  <c r="X99" i="42" s="1"/>
  <c r="Z99" i="42" s="1"/>
  <c r="X98" i="42"/>
  <c r="Z98" i="42" s="1"/>
  <c r="U98" i="42"/>
  <c r="U97" i="42"/>
  <c r="X97" i="42" s="1"/>
  <c r="Z97" i="42" s="1"/>
  <c r="X96" i="42"/>
  <c r="Z96" i="42" s="1"/>
  <c r="U96" i="42"/>
  <c r="U95" i="42"/>
  <c r="X95" i="42" s="1"/>
  <c r="Z95" i="42" s="1"/>
  <c r="X94" i="42"/>
  <c r="Z94" i="42" s="1"/>
  <c r="U94" i="42"/>
  <c r="U93" i="42"/>
  <c r="X93" i="42" s="1"/>
  <c r="Z93" i="42" s="1"/>
  <c r="X92" i="42"/>
  <c r="Z92" i="42" s="1"/>
  <c r="U92" i="42"/>
  <c r="U91" i="42"/>
  <c r="X91" i="42" s="1"/>
  <c r="Z91" i="42" s="1"/>
  <c r="X90" i="42"/>
  <c r="Z90" i="42" s="1"/>
  <c r="U90" i="42"/>
  <c r="U89" i="42"/>
  <c r="X89" i="42" s="1"/>
  <c r="Z89" i="42" s="1"/>
  <c r="X88" i="42"/>
  <c r="Z88" i="42" s="1"/>
  <c r="U88" i="42"/>
  <c r="U87" i="42"/>
  <c r="X87" i="42" s="1"/>
  <c r="Z87" i="42" s="1"/>
  <c r="X86" i="42"/>
  <c r="Z86" i="42" s="1"/>
  <c r="U86" i="42"/>
  <c r="U85" i="42"/>
  <c r="Y83" i="42"/>
  <c r="V83" i="42"/>
  <c r="S83" i="42"/>
  <c r="R83" i="42"/>
  <c r="Q83" i="42"/>
  <c r="Q171" i="42" s="1"/>
  <c r="P83" i="42"/>
  <c r="O83" i="42"/>
  <c r="N83" i="42"/>
  <c r="M83" i="42"/>
  <c r="L83" i="42"/>
  <c r="K83" i="42"/>
  <c r="J83" i="42"/>
  <c r="I83" i="42"/>
  <c r="H83" i="42"/>
  <c r="G83" i="42"/>
  <c r="F83" i="42"/>
  <c r="E83" i="42"/>
  <c r="AB82" i="42"/>
  <c r="U82" i="42"/>
  <c r="X82" i="42" s="1"/>
  <c r="Z82" i="42" s="1"/>
  <c r="X81" i="42"/>
  <c r="Z81" i="42" s="1"/>
  <c r="U81" i="42"/>
  <c r="U80" i="42"/>
  <c r="X80" i="42" s="1"/>
  <c r="Z80" i="42" s="1"/>
  <c r="X79" i="42"/>
  <c r="Z79" i="42" s="1"/>
  <c r="U79" i="42"/>
  <c r="U78" i="42"/>
  <c r="X78" i="42" s="1"/>
  <c r="Z78" i="42" s="1"/>
  <c r="X77" i="42"/>
  <c r="Z77" i="42" s="1"/>
  <c r="U77" i="42"/>
  <c r="U76" i="42"/>
  <c r="X76" i="42" s="1"/>
  <c r="Z76" i="42" s="1"/>
  <c r="X75" i="42"/>
  <c r="Z75" i="42" s="1"/>
  <c r="U75" i="42"/>
  <c r="U74" i="42"/>
  <c r="X74" i="42" s="1"/>
  <c r="Z74" i="42" s="1"/>
  <c r="X73" i="42"/>
  <c r="Z73" i="42" s="1"/>
  <c r="U73" i="42"/>
  <c r="U72" i="42"/>
  <c r="X72" i="42" s="1"/>
  <c r="Z72" i="42" s="1"/>
  <c r="U71" i="42"/>
  <c r="X71" i="42" s="1"/>
  <c r="Z71" i="42" s="1"/>
  <c r="U70" i="42"/>
  <c r="X70" i="42" s="1"/>
  <c r="Z70" i="42" s="1"/>
  <c r="X69" i="42"/>
  <c r="Z69" i="42" s="1"/>
  <c r="U69" i="42"/>
  <c r="U68" i="42"/>
  <c r="X68" i="42" s="1"/>
  <c r="Z68" i="42" s="1"/>
  <c r="U67" i="42"/>
  <c r="X67" i="42" s="1"/>
  <c r="Z67" i="42" s="1"/>
  <c r="U66" i="42"/>
  <c r="X66" i="42" s="1"/>
  <c r="Z66" i="42" s="1"/>
  <c r="U65" i="42"/>
  <c r="X65" i="42" s="1"/>
  <c r="Z65" i="42" s="1"/>
  <c r="U64" i="42"/>
  <c r="X64" i="42" s="1"/>
  <c r="Z64" i="42" s="1"/>
  <c r="X63" i="42"/>
  <c r="Z63" i="42" s="1"/>
  <c r="U63" i="42"/>
  <c r="U62" i="42"/>
  <c r="X62" i="42" s="1"/>
  <c r="Z62" i="42" s="1"/>
  <c r="U61" i="42"/>
  <c r="X61" i="42" s="1"/>
  <c r="Z61" i="42" s="1"/>
  <c r="U60" i="42"/>
  <c r="X60" i="42" s="1"/>
  <c r="Z60" i="42" s="1"/>
  <c r="U59" i="42"/>
  <c r="X59" i="42" s="1"/>
  <c r="Z59" i="42" s="1"/>
  <c r="U58" i="42"/>
  <c r="AB56" i="42"/>
  <c r="Y56" i="42"/>
  <c r="V56" i="42"/>
  <c r="S56" i="42"/>
  <c r="R56" i="42"/>
  <c r="Q56" i="42"/>
  <c r="P56" i="42"/>
  <c r="O56" i="42"/>
  <c r="N56" i="42"/>
  <c r="M56" i="42"/>
  <c r="L56" i="42"/>
  <c r="K56" i="42"/>
  <c r="J56" i="42"/>
  <c r="I56" i="42"/>
  <c r="H56" i="42"/>
  <c r="G56" i="42"/>
  <c r="F56" i="42"/>
  <c r="E56" i="42"/>
  <c r="U55" i="42"/>
  <c r="X55" i="42" s="1"/>
  <c r="Z55" i="42" s="1"/>
  <c r="X54" i="42"/>
  <c r="Z54" i="42" s="1"/>
  <c r="U54" i="42"/>
  <c r="U53" i="42"/>
  <c r="X53" i="42" s="1"/>
  <c r="Z53" i="42" s="1"/>
  <c r="X52" i="42"/>
  <c r="Z52" i="42" s="1"/>
  <c r="U52" i="42"/>
  <c r="U51" i="42"/>
  <c r="X51" i="42" s="1"/>
  <c r="Z51" i="42" s="1"/>
  <c r="X50" i="42"/>
  <c r="Z50" i="42" s="1"/>
  <c r="U50" i="42"/>
  <c r="U49" i="42"/>
  <c r="X49" i="42" s="1"/>
  <c r="Z49" i="42" s="1"/>
  <c r="X48" i="42"/>
  <c r="Z48" i="42" s="1"/>
  <c r="U48" i="42"/>
  <c r="U47" i="42"/>
  <c r="X47" i="42" s="1"/>
  <c r="Z47" i="42" s="1"/>
  <c r="X46" i="42"/>
  <c r="Z46" i="42" s="1"/>
  <c r="U46" i="42"/>
  <c r="U45" i="42"/>
  <c r="X45" i="42" s="1"/>
  <c r="Z45" i="42" s="1"/>
  <c r="X44" i="42"/>
  <c r="Z44" i="42" s="1"/>
  <c r="U44" i="42"/>
  <c r="U43" i="42"/>
  <c r="X43" i="42" s="1"/>
  <c r="Z43" i="42" s="1"/>
  <c r="X42" i="42"/>
  <c r="Z42" i="42" s="1"/>
  <c r="U42" i="42"/>
  <c r="U41" i="42"/>
  <c r="X41" i="42" s="1"/>
  <c r="Z41" i="42" s="1"/>
  <c r="X40" i="42"/>
  <c r="Z40" i="42" s="1"/>
  <c r="U40" i="42"/>
  <c r="U39" i="42"/>
  <c r="X39" i="42" s="1"/>
  <c r="Z39" i="42" s="1"/>
  <c r="X38" i="42"/>
  <c r="Z38" i="42" s="1"/>
  <c r="U38" i="42"/>
  <c r="U37" i="42"/>
  <c r="X37" i="42" s="1"/>
  <c r="Z37" i="42" s="1"/>
  <c r="X36" i="42"/>
  <c r="Z36" i="42" s="1"/>
  <c r="U36" i="42"/>
  <c r="U35" i="42"/>
  <c r="X35" i="42" s="1"/>
  <c r="Z35" i="42" s="1"/>
  <c r="X34" i="42"/>
  <c r="Z34" i="42" s="1"/>
  <c r="U34" i="42"/>
  <c r="U33" i="42"/>
  <c r="X33" i="42" s="1"/>
  <c r="Z33" i="42" s="1"/>
  <c r="X32" i="42"/>
  <c r="Z32" i="42" s="1"/>
  <c r="U32" i="42"/>
  <c r="U31" i="42"/>
  <c r="X31" i="42" s="1"/>
  <c r="Z31" i="42" s="1"/>
  <c r="X30" i="42"/>
  <c r="Z30" i="42" s="1"/>
  <c r="Z56" i="42" s="1"/>
  <c r="U30" i="42"/>
  <c r="Y27" i="42"/>
  <c r="W27" i="42"/>
  <c r="V27" i="42"/>
  <c r="S27" i="42"/>
  <c r="R27" i="42"/>
  <c r="Q27" i="42"/>
  <c r="P27" i="42"/>
  <c r="P171" i="42" s="1"/>
  <c r="O27" i="42"/>
  <c r="N27" i="42"/>
  <c r="N171" i="42" s="1"/>
  <c r="M27" i="42"/>
  <c r="L27" i="42"/>
  <c r="L171" i="42" s="1"/>
  <c r="K27" i="42"/>
  <c r="J27" i="42"/>
  <c r="I27" i="42"/>
  <c r="H27" i="42"/>
  <c r="H171" i="42" s="1"/>
  <c r="G27" i="42"/>
  <c r="F27" i="42"/>
  <c r="F171" i="42" s="1"/>
  <c r="E27" i="42"/>
  <c r="U26" i="42"/>
  <c r="X26" i="42" s="1"/>
  <c r="Z26" i="42" s="1"/>
  <c r="U25" i="42"/>
  <c r="X25" i="42" s="1"/>
  <c r="Z25" i="42" s="1"/>
  <c r="U24" i="42"/>
  <c r="X24" i="42" s="1"/>
  <c r="Z24" i="42" s="1"/>
  <c r="X23" i="42"/>
  <c r="Z23" i="42" s="1"/>
  <c r="U23" i="42"/>
  <c r="U22" i="42"/>
  <c r="X22" i="42" s="1"/>
  <c r="Z22" i="42" s="1"/>
  <c r="U21" i="42"/>
  <c r="X21" i="42" s="1"/>
  <c r="Z21" i="42" s="1"/>
  <c r="U20" i="42"/>
  <c r="X20" i="42" s="1"/>
  <c r="Z20" i="42" s="1"/>
  <c r="X19" i="42"/>
  <c r="Z19" i="42" s="1"/>
  <c r="U19" i="42"/>
  <c r="U18" i="42"/>
  <c r="X18" i="42" s="1"/>
  <c r="Z18" i="42" s="1"/>
  <c r="U17" i="42"/>
  <c r="X17" i="42" s="1"/>
  <c r="Z17" i="42" s="1"/>
  <c r="U16" i="42"/>
  <c r="X16" i="42" s="1"/>
  <c r="Z16" i="42" s="1"/>
  <c r="X15" i="42"/>
  <c r="Z15" i="42" s="1"/>
  <c r="U15" i="42"/>
  <c r="U14" i="42"/>
  <c r="X14" i="42" s="1"/>
  <c r="Z14" i="42" s="1"/>
  <c r="U13" i="42"/>
  <c r="X13" i="42" s="1"/>
  <c r="Z13" i="42" s="1"/>
  <c r="X12" i="42"/>
  <c r="Z12" i="42" s="1"/>
  <c r="U12" i="42"/>
  <c r="U11" i="42"/>
  <c r="X11" i="42" s="1"/>
  <c r="Z11" i="42" s="1"/>
  <c r="U10" i="42"/>
  <c r="X10" i="42" s="1"/>
  <c r="Z10" i="42" s="1"/>
  <c r="Z9" i="42"/>
  <c r="U9" i="42"/>
  <c r="X9" i="42" s="1"/>
  <c r="X8" i="42"/>
  <c r="Z8" i="42" s="1"/>
  <c r="U8" i="42"/>
  <c r="U7" i="42"/>
  <c r="U6" i="42"/>
  <c r="X6" i="42" s="1"/>
  <c r="Z6" i="42" s="1"/>
  <c r="U5" i="42"/>
  <c r="X5" i="42" s="1"/>
  <c r="U4" i="42"/>
  <c r="W164" i="19" s="1"/>
  <c r="I171" i="42" l="1"/>
  <c r="I172" i="42" s="1"/>
  <c r="X4" i="42"/>
  <c r="Z4" i="42" s="1"/>
  <c r="F245" i="42"/>
  <c r="N172" i="42"/>
  <c r="N252" i="42"/>
  <c r="N253" i="42" s="1"/>
  <c r="F172" i="42"/>
  <c r="F252" i="42"/>
  <c r="F253" i="42" s="1"/>
  <c r="Z5" i="42"/>
  <c r="Z27" i="42" s="1"/>
  <c r="H252" i="42"/>
  <c r="H253" i="42" s="1"/>
  <c r="H172" i="42"/>
  <c r="L252" i="42"/>
  <c r="L253" i="42" s="1"/>
  <c r="L172" i="42"/>
  <c r="P252" i="42"/>
  <c r="P253" i="42" s="1"/>
  <c r="P172" i="42"/>
  <c r="Q252" i="42"/>
  <c r="Q253" i="42" s="1"/>
  <c r="Q172" i="42"/>
  <c r="X7" i="42"/>
  <c r="Z7" i="42" s="1"/>
  <c r="U27" i="42"/>
  <c r="X157" i="42"/>
  <c r="Z157" i="42" s="1"/>
  <c r="U161" i="42"/>
  <c r="X175" i="42"/>
  <c r="E171" i="42"/>
  <c r="V171" i="42"/>
  <c r="U145" i="42"/>
  <c r="X140" i="42"/>
  <c r="U153" i="42"/>
  <c r="U250" i="42"/>
  <c r="X249" i="42"/>
  <c r="U56" i="42"/>
  <c r="X56" i="42"/>
  <c r="M171" i="42"/>
  <c r="U83" i="42"/>
  <c r="X58" i="42"/>
  <c r="J171" i="42"/>
  <c r="R171" i="42"/>
  <c r="U110" i="42"/>
  <c r="X85" i="42"/>
  <c r="G171" i="42"/>
  <c r="K171" i="42"/>
  <c r="O171" i="42"/>
  <c r="S171" i="42"/>
  <c r="Y171" i="42"/>
  <c r="X112" i="42"/>
  <c r="U137" i="42"/>
  <c r="Z148" i="42"/>
  <c r="Z153" i="42" s="1"/>
  <c r="X161" i="42"/>
  <c r="Z156" i="42"/>
  <c r="Z161" i="42" s="1"/>
  <c r="I244" i="42"/>
  <c r="I245" i="42" s="1"/>
  <c r="U180" i="42"/>
  <c r="X180" i="42" s="1"/>
  <c r="Z180" i="42" s="1"/>
  <c r="S244" i="42"/>
  <c r="S245" i="42" s="1"/>
  <c r="U244" i="42" l="1"/>
  <c r="U245" i="42" s="1"/>
  <c r="L186" i="19"/>
  <c r="N186" i="19" s="1"/>
  <c r="U171" i="42"/>
  <c r="X137" i="42"/>
  <c r="Z112" i="42"/>
  <c r="Z137" i="42" s="1"/>
  <c r="R172" i="42"/>
  <c r="R252" i="42"/>
  <c r="R253" i="42" s="1"/>
  <c r="I252" i="42"/>
  <c r="I253" i="42" s="1"/>
  <c r="Y252" i="42"/>
  <c r="Y253" i="42" s="1"/>
  <c r="Y172" i="42"/>
  <c r="G252" i="42"/>
  <c r="G253" i="42" s="1"/>
  <c r="G172" i="42"/>
  <c r="J172" i="42"/>
  <c r="J252" i="42"/>
  <c r="J253" i="42" s="1"/>
  <c r="V252" i="42"/>
  <c r="V172" i="42"/>
  <c r="O252" i="42"/>
  <c r="O253" i="42" s="1"/>
  <c r="O172" i="42"/>
  <c r="Z140" i="42"/>
  <c r="Z145" i="42" s="1"/>
  <c r="X145" i="42"/>
  <c r="Z175" i="42"/>
  <c r="Z244" i="42" s="1"/>
  <c r="Z245" i="42" s="1"/>
  <c r="X244" i="42"/>
  <c r="X245" i="42" s="1"/>
  <c r="K252" i="42"/>
  <c r="K253" i="42" s="1"/>
  <c r="K172" i="42"/>
  <c r="M252" i="42"/>
  <c r="M253" i="42" s="1"/>
  <c r="M172" i="42"/>
  <c r="Z249" i="42"/>
  <c r="Z250" i="42" s="1"/>
  <c r="X250" i="42"/>
  <c r="S252" i="42"/>
  <c r="S253" i="42" s="1"/>
  <c r="S172" i="42"/>
  <c r="X110" i="42"/>
  <c r="AC109" i="42" s="1"/>
  <c r="Z85" i="42"/>
  <c r="Z110" i="42" s="1"/>
  <c r="X83" i="42"/>
  <c r="Z58" i="42"/>
  <c r="Z83" i="42" s="1"/>
  <c r="E252" i="42"/>
  <c r="E172" i="42"/>
  <c r="X27" i="42"/>
  <c r="Z171" i="42" l="1"/>
  <c r="Z252" i="42" s="1"/>
  <c r="Z253" i="42" s="1"/>
  <c r="X171" i="42"/>
  <c r="E255" i="42"/>
  <c r="E253" i="42"/>
  <c r="U263" i="42"/>
  <c r="V253" i="42"/>
  <c r="U252" i="42"/>
  <c r="M219" i="19" s="1"/>
  <c r="U172" i="42"/>
  <c r="Z172" i="42" l="1"/>
  <c r="U262" i="42"/>
  <c r="X252" i="42"/>
  <c r="X253" i="42" s="1"/>
  <c r="X172" i="42"/>
  <c r="U253" i="42"/>
  <c r="E254" i="42"/>
  <c r="U254" i="42" l="1"/>
  <c r="U255" i="42"/>
  <c r="V244" i="27" l="1"/>
  <c r="Y244" i="27" s="1"/>
  <c r="AA244" i="27" s="1"/>
  <c r="AE185" i="36"/>
  <c r="AH185" i="36" s="1"/>
  <c r="AJ185" i="36" s="1"/>
  <c r="AF294" i="29"/>
  <c r="AI294" i="29" s="1"/>
  <c r="AK294" i="29" s="1"/>
  <c r="AF316" i="9"/>
  <c r="AI316" i="9" s="1"/>
  <c r="AK316" i="9" s="1"/>
  <c r="CI321" i="6"/>
  <c r="CL321" i="6" s="1"/>
  <c r="CN321" i="6" s="1"/>
  <c r="AE246" i="25"/>
  <c r="AH246" i="25" s="1"/>
  <c r="AJ246" i="25" s="1"/>
  <c r="U187" i="24"/>
  <c r="X187" i="24" s="1"/>
  <c r="Z187" i="24" s="1"/>
  <c r="AE179" i="13"/>
  <c r="AH179" i="13" s="1"/>
  <c r="AJ179" i="13" s="1"/>
  <c r="AE251" i="7"/>
  <c r="AH251" i="7" s="1"/>
  <c r="AJ251" i="7" s="1"/>
  <c r="AE210" i="18" l="1"/>
  <c r="AH210" i="18" s="1"/>
  <c r="AJ210" i="18" s="1"/>
  <c r="AE221" i="30"/>
  <c r="AH221" i="30" s="1"/>
  <c r="AJ221" i="30" s="1"/>
  <c r="AE133" i="25" l="1"/>
  <c r="AH133" i="25" s="1"/>
  <c r="AJ133" i="25" s="1"/>
  <c r="AE134" i="25"/>
  <c r="AH134" i="25" s="1"/>
  <c r="AJ134" i="25" s="1"/>
  <c r="AF26" i="29"/>
  <c r="AI26" i="29" s="1"/>
  <c r="AF27" i="29"/>
  <c r="AI27" i="29" s="1"/>
  <c r="AK27" i="29" s="1"/>
  <c r="AF28" i="29"/>
  <c r="AI28" i="29" s="1"/>
  <c r="AK28" i="29" s="1"/>
  <c r="AF29" i="29"/>
  <c r="AI29" i="29" s="1"/>
  <c r="AK29" i="29" s="1"/>
  <c r="AE132" i="25" l="1"/>
  <c r="AH132" i="25" s="1"/>
  <c r="AJ132" i="25" s="1"/>
  <c r="AK26" i="29"/>
  <c r="AE134" i="30" l="1"/>
  <c r="AH134" i="30" s="1"/>
  <c r="AE137" i="30"/>
  <c r="AH137" i="30" s="1"/>
  <c r="AJ137" i="30" s="1"/>
  <c r="AE136" i="30"/>
  <c r="AH136" i="30" s="1"/>
  <c r="AJ136" i="30" s="1"/>
  <c r="AE139" i="30"/>
  <c r="AH139" i="30" s="1"/>
  <c r="AJ139" i="30" s="1"/>
  <c r="AE138" i="30"/>
  <c r="AH138" i="30" s="1"/>
  <c r="AJ138" i="30" s="1"/>
  <c r="AE135" i="30"/>
  <c r="AH135" i="30" s="1"/>
  <c r="AJ135" i="30" s="1"/>
  <c r="AJ134" i="30" l="1"/>
  <c r="AX49" i="2" l="1"/>
  <c r="W124" i="36" l="1"/>
  <c r="AI124" i="36"/>
  <c r="AG124" i="36"/>
  <c r="AF124" i="36"/>
  <c r="AD124" i="36"/>
  <c r="AC124" i="36"/>
  <c r="AB124" i="36"/>
  <c r="AA124" i="36"/>
  <c r="Z124" i="36"/>
  <c r="Y124" i="36"/>
  <c r="X124" i="36"/>
  <c r="V124" i="36"/>
  <c r="U124" i="36"/>
  <c r="T124" i="36"/>
  <c r="S124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AE123" i="36"/>
  <c r="AH123" i="36" s="1"/>
  <c r="AJ123" i="36" s="1"/>
  <c r="AE122" i="36"/>
  <c r="AH122" i="36" s="1"/>
  <c r="AJ122" i="36" s="1"/>
  <c r="AH121" i="36"/>
  <c r="AJ121" i="36" s="1"/>
  <c r="AE121" i="36"/>
  <c r="AE120" i="36"/>
  <c r="AH120" i="36" s="1"/>
  <c r="AJ120" i="36" s="1"/>
  <c r="AE119" i="36"/>
  <c r="AH119" i="36" s="1"/>
  <c r="AJ119" i="36" s="1"/>
  <c r="AE118" i="36"/>
  <c r="AH118" i="36" s="1"/>
  <c r="AJ118" i="36" s="1"/>
  <c r="AE117" i="36"/>
  <c r="AH117" i="36" s="1"/>
  <c r="AJ117" i="36" s="1"/>
  <c r="AE116" i="36"/>
  <c r="AH116" i="36" s="1"/>
  <c r="AJ116" i="36" s="1"/>
  <c r="AE115" i="36"/>
  <c r="AH115" i="36" s="1"/>
  <c r="AJ115" i="36" s="1"/>
  <c r="AE114" i="36"/>
  <c r="AH114" i="36" s="1"/>
  <c r="AJ114" i="36" s="1"/>
  <c r="AE113" i="36"/>
  <c r="AH113" i="36" s="1"/>
  <c r="AJ113" i="36" s="1"/>
  <c r="AE112" i="36"/>
  <c r="AE124" i="36" l="1"/>
  <c r="AH112" i="36"/>
  <c r="AJ112" i="36" l="1"/>
  <c r="AJ124" i="36" s="1"/>
  <c r="AH124" i="36"/>
  <c r="BI256" i="24" l="1"/>
  <c r="BJ256" i="24"/>
  <c r="BK256" i="24"/>
  <c r="BN256" i="24"/>
  <c r="BA84" i="4" l="1"/>
  <c r="AE86" i="23"/>
  <c r="AH86" i="23" s="1"/>
  <c r="AJ86" i="23" s="1"/>
  <c r="AE87" i="23"/>
  <c r="AE68" i="23"/>
  <c r="AH68" i="23" s="1"/>
  <c r="AJ68" i="23" s="1"/>
  <c r="AE69" i="23"/>
  <c r="AH69" i="23" s="1"/>
  <c r="AE70" i="23"/>
  <c r="AH70" i="23" s="1"/>
  <c r="AJ70" i="23" s="1"/>
  <c r="AH87" i="23" l="1"/>
  <c r="AJ87" i="23" s="1"/>
  <c r="AJ69" i="23"/>
  <c r="BH50" i="3" l="1"/>
  <c r="AJ243" i="9" l="1"/>
  <c r="AH243" i="9"/>
  <c r="AG243" i="9"/>
  <c r="AD243" i="9"/>
  <c r="AC243" i="9"/>
  <c r="AB243" i="9"/>
  <c r="AA243" i="9"/>
  <c r="Z243" i="9"/>
  <c r="Y243" i="9"/>
  <c r="X243" i="9"/>
  <c r="W243" i="9"/>
  <c r="U243" i="9"/>
  <c r="T243" i="9"/>
  <c r="S243" i="9"/>
  <c r="R243" i="9"/>
  <c r="Q243" i="9"/>
  <c r="P243" i="9"/>
  <c r="O243" i="9"/>
  <c r="N243" i="9"/>
  <c r="L243" i="9"/>
  <c r="K243" i="9"/>
  <c r="J243" i="9"/>
  <c r="I243" i="9"/>
  <c r="H243" i="9"/>
  <c r="G243" i="9"/>
  <c r="F243" i="9"/>
  <c r="E243" i="9"/>
  <c r="AF242" i="9"/>
  <c r="AI242" i="9" s="1"/>
  <c r="AK242" i="9" s="1"/>
  <c r="AF241" i="9"/>
  <c r="AI241" i="9" s="1"/>
  <c r="AK241" i="9" s="1"/>
  <c r="AF240" i="9"/>
  <c r="AI240" i="9" s="1"/>
  <c r="AK240" i="9" s="1"/>
  <c r="AF239" i="9"/>
  <c r="AI239" i="9" s="1"/>
  <c r="AK239" i="9" s="1"/>
  <c r="AF238" i="9"/>
  <c r="AI238" i="9" s="1"/>
  <c r="AK238" i="9" s="1"/>
  <c r="AF237" i="9"/>
  <c r="AI237" i="9" s="1"/>
  <c r="AK237" i="9" s="1"/>
  <c r="AF236" i="9"/>
  <c r="AI236" i="9" s="1"/>
  <c r="AK236" i="9" s="1"/>
  <c r="AF235" i="9"/>
  <c r="AI235" i="9" s="1"/>
  <c r="AK235" i="9" s="1"/>
  <c r="AF234" i="9"/>
  <c r="AI234" i="9" s="1"/>
  <c r="AK234" i="9" s="1"/>
  <c r="AF233" i="9"/>
  <c r="AI233" i="9" s="1"/>
  <c r="AK233" i="9" s="1"/>
  <c r="AF232" i="9"/>
  <c r="AI232" i="9" s="1"/>
  <c r="AK232" i="9" s="1"/>
  <c r="AF231" i="9"/>
  <c r="AI231" i="9" s="1"/>
  <c r="AK231" i="9" s="1"/>
  <c r="AF230" i="9"/>
  <c r="AI230" i="9" s="1"/>
  <c r="AK230" i="9" s="1"/>
  <c r="AF229" i="9"/>
  <c r="AI229" i="9" s="1"/>
  <c r="AK229" i="9" s="1"/>
  <c r="AF228" i="9"/>
  <c r="AI228" i="9" s="1"/>
  <c r="AK228" i="9" s="1"/>
  <c r="AF227" i="9"/>
  <c r="AI227" i="9" s="1"/>
  <c r="AK227" i="9" s="1"/>
  <c r="AF226" i="9"/>
  <c r="AI226" i="9" s="1"/>
  <c r="AK226" i="9" s="1"/>
  <c r="AF225" i="9"/>
  <c r="AI225" i="9" s="1"/>
  <c r="AK225" i="9" s="1"/>
  <c r="AF224" i="9"/>
  <c r="AI224" i="9" s="1"/>
  <c r="AK224" i="9" s="1"/>
  <c r="AF223" i="9"/>
  <c r="AI223" i="9" s="1"/>
  <c r="AK223" i="9" s="1"/>
  <c r="AF222" i="9"/>
  <c r="AI222" i="9" s="1"/>
  <c r="AK222" i="9" s="1"/>
  <c r="AF221" i="9"/>
  <c r="AI221" i="9" s="1"/>
  <c r="AK221" i="9" s="1"/>
  <c r="AF220" i="9"/>
  <c r="AI220" i="9" s="1"/>
  <c r="AK220" i="9" s="1"/>
  <c r="AF219" i="9"/>
  <c r="AI219" i="9" s="1"/>
  <c r="AK219" i="9" s="1"/>
  <c r="AF218" i="9"/>
  <c r="AI218" i="9" s="1"/>
  <c r="AK218" i="9" s="1"/>
  <c r="AF217" i="9"/>
  <c r="AI217" i="9" s="1"/>
  <c r="AK217" i="9" s="1"/>
  <c r="AF216" i="9"/>
  <c r="AI216" i="9" s="1"/>
  <c r="AK216" i="9" s="1"/>
  <c r="AF215" i="9"/>
  <c r="AI215" i="9" s="1"/>
  <c r="AK215" i="9" s="1"/>
  <c r="AF214" i="9"/>
  <c r="AI214" i="9" s="1"/>
  <c r="AK214" i="9" s="1"/>
  <c r="AF213" i="9"/>
  <c r="AI213" i="9" s="1"/>
  <c r="AK213" i="9" s="1"/>
  <c r="AF212" i="9"/>
  <c r="AI212" i="9" s="1"/>
  <c r="AK212" i="9" s="1"/>
  <c r="AF211" i="9"/>
  <c r="AI211" i="9" s="1"/>
  <c r="AK211" i="9" s="1"/>
  <c r="AF210" i="9"/>
  <c r="N166" i="27"/>
  <c r="Z166" i="27"/>
  <c r="W166" i="27"/>
  <c r="T166" i="27"/>
  <c r="S166" i="27"/>
  <c r="R166" i="27"/>
  <c r="Q166" i="27"/>
  <c r="P166" i="27"/>
  <c r="O166" i="27"/>
  <c r="M166" i="27"/>
  <c r="L166" i="27"/>
  <c r="K166" i="27"/>
  <c r="J166" i="27"/>
  <c r="I166" i="27"/>
  <c r="H166" i="27"/>
  <c r="G166" i="27"/>
  <c r="F166" i="27"/>
  <c r="E166" i="27"/>
  <c r="V165" i="27"/>
  <c r="Y165" i="27" s="1"/>
  <c r="AA165" i="27" s="1"/>
  <c r="V164" i="27"/>
  <c r="Y164" i="27" s="1"/>
  <c r="AA164" i="27" s="1"/>
  <c r="V163" i="27"/>
  <c r="Y163" i="27" s="1"/>
  <c r="AA163" i="27" s="1"/>
  <c r="V162" i="27"/>
  <c r="Y162" i="27" s="1"/>
  <c r="AA162" i="27" s="1"/>
  <c r="V161" i="27"/>
  <c r="Y161" i="27" s="1"/>
  <c r="AA161" i="27" s="1"/>
  <c r="V160" i="27"/>
  <c r="Y160" i="27" s="1"/>
  <c r="AA160" i="27" s="1"/>
  <c r="V159" i="27"/>
  <c r="Y159" i="27" s="1"/>
  <c r="AA159" i="27" s="1"/>
  <c r="V158" i="27"/>
  <c r="Y158" i="27" s="1"/>
  <c r="AA158" i="27" s="1"/>
  <c r="V157" i="27"/>
  <c r="Y157" i="27" s="1"/>
  <c r="AA157" i="27" s="1"/>
  <c r="V156" i="27"/>
  <c r="Y156" i="27" s="1"/>
  <c r="AA156" i="27" s="1"/>
  <c r="V155" i="27"/>
  <c r="Y155" i="27" s="1"/>
  <c r="AA155" i="27" s="1"/>
  <c r="V154" i="27"/>
  <c r="Y154" i="27" s="1"/>
  <c r="AA154" i="27" s="1"/>
  <c r="V153" i="27"/>
  <c r="Y153" i="27" s="1"/>
  <c r="AA153" i="27" s="1"/>
  <c r="V152" i="27"/>
  <c r="Y152" i="27" s="1"/>
  <c r="AA152" i="27" s="1"/>
  <c r="V151" i="27"/>
  <c r="Y151" i="27" s="1"/>
  <c r="AA151" i="27" s="1"/>
  <c r="V150" i="27"/>
  <c r="Y150" i="27" s="1"/>
  <c r="AA150" i="27" s="1"/>
  <c r="V149" i="27"/>
  <c r="Y149" i="27" s="1"/>
  <c r="AA149" i="27" s="1"/>
  <c r="V148" i="27"/>
  <c r="Y148" i="27" s="1"/>
  <c r="AA148" i="27" s="1"/>
  <c r="V147" i="27"/>
  <c r="Y147" i="27" s="1"/>
  <c r="AA147" i="27" s="1"/>
  <c r="V146" i="27"/>
  <c r="Y146" i="27" s="1"/>
  <c r="AA146" i="27" s="1"/>
  <c r="V145" i="27"/>
  <c r="Y145" i="27" s="1"/>
  <c r="AA145" i="27" s="1"/>
  <c r="V144" i="27"/>
  <c r="Y144" i="27" s="1"/>
  <c r="AA144" i="27" s="1"/>
  <c r="V143" i="27"/>
  <c r="Y143" i="27" s="1"/>
  <c r="AA143" i="27" s="1"/>
  <c r="V142" i="27"/>
  <c r="Y142" i="27" s="1"/>
  <c r="AA142" i="27" s="1"/>
  <c r="AF243" i="9" l="1"/>
  <c r="AI210" i="9"/>
  <c r="AI243" i="9" s="1"/>
  <c r="V141" i="27"/>
  <c r="V166" i="27" s="1"/>
  <c r="AK210" i="9" l="1"/>
  <c r="AK243" i="9" s="1"/>
  <c r="Y141" i="27"/>
  <c r="AA141" i="27" s="1"/>
  <c r="AA166" i="27" s="1"/>
  <c r="Y166" i="27" l="1"/>
  <c r="AI134" i="13" l="1"/>
  <c r="AF134" i="13"/>
  <c r="AE117" i="13"/>
  <c r="AH117" i="13" s="1"/>
  <c r="AG134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I134" i="13"/>
  <c r="H134" i="13"/>
  <c r="G134" i="13"/>
  <c r="F134" i="13"/>
  <c r="E134" i="13"/>
  <c r="AE133" i="13"/>
  <c r="AH133" i="13" s="1"/>
  <c r="AJ133" i="13" s="1"/>
  <c r="AE132" i="13"/>
  <c r="AH132" i="13" s="1"/>
  <c r="AJ132" i="13" s="1"/>
  <c r="AE131" i="13"/>
  <c r="AH131" i="13" s="1"/>
  <c r="AJ131" i="13" s="1"/>
  <c r="AE130" i="13"/>
  <c r="AH130" i="13" s="1"/>
  <c r="AJ130" i="13" s="1"/>
  <c r="AE129" i="13"/>
  <c r="AH129" i="13" s="1"/>
  <c r="AJ129" i="13" s="1"/>
  <c r="AE128" i="13"/>
  <c r="AH128" i="13" s="1"/>
  <c r="AJ128" i="13" s="1"/>
  <c r="AE127" i="13"/>
  <c r="AH127" i="13" s="1"/>
  <c r="AJ127" i="13" s="1"/>
  <c r="AE126" i="13"/>
  <c r="AH126" i="13" s="1"/>
  <c r="AJ126" i="13" s="1"/>
  <c r="AE125" i="13"/>
  <c r="AH125" i="13" s="1"/>
  <c r="AJ125" i="13" s="1"/>
  <c r="AE124" i="13"/>
  <c r="AH124" i="13" s="1"/>
  <c r="AJ124" i="13" s="1"/>
  <c r="AE123" i="13"/>
  <c r="AH123" i="13" s="1"/>
  <c r="AJ123" i="13" s="1"/>
  <c r="AE122" i="13"/>
  <c r="AH122" i="13" s="1"/>
  <c r="AJ122" i="13" s="1"/>
  <c r="AE121" i="13"/>
  <c r="AH121" i="13" s="1"/>
  <c r="AJ121" i="13" s="1"/>
  <c r="AE120" i="13"/>
  <c r="AH120" i="13" s="1"/>
  <c r="AJ120" i="13" s="1"/>
  <c r="AE119" i="13"/>
  <c r="AH119" i="13" s="1"/>
  <c r="AJ119" i="13" s="1"/>
  <c r="AE118" i="13"/>
  <c r="AH118" i="13" s="1"/>
  <c r="AJ118" i="13" s="1"/>
  <c r="J134" i="13" l="1"/>
  <c r="AH134" i="13"/>
  <c r="AJ117" i="13"/>
  <c r="AJ134" i="13" s="1"/>
  <c r="AE134" i="13"/>
  <c r="AM240" i="39" l="1"/>
  <c r="AJ240" i="39"/>
  <c r="AH240" i="39"/>
  <c r="AG240" i="39"/>
  <c r="AD240" i="39"/>
  <c r="AC240" i="39"/>
  <c r="AB240" i="39"/>
  <c r="AA240" i="39"/>
  <c r="Z240" i="39"/>
  <c r="Y240" i="39"/>
  <c r="X240" i="39"/>
  <c r="W240" i="39"/>
  <c r="U240" i="39"/>
  <c r="T240" i="39"/>
  <c r="S240" i="39"/>
  <c r="R240" i="39"/>
  <c r="Q240" i="39"/>
  <c r="P240" i="39"/>
  <c r="O240" i="39"/>
  <c r="N240" i="39"/>
  <c r="L240" i="39"/>
  <c r="K240" i="39"/>
  <c r="J240" i="39"/>
  <c r="I240" i="39"/>
  <c r="H240" i="39"/>
  <c r="G240" i="39"/>
  <c r="F240" i="39"/>
  <c r="E240" i="39"/>
  <c r="AF239" i="39"/>
  <c r="AI239" i="39" s="1"/>
  <c r="AK239" i="39" s="1"/>
  <c r="AF238" i="39"/>
  <c r="AI238" i="39" s="1"/>
  <c r="AK238" i="39" s="1"/>
  <c r="AF237" i="39"/>
  <c r="AI237" i="39" s="1"/>
  <c r="AK237" i="39" s="1"/>
  <c r="AF236" i="39"/>
  <c r="AI236" i="39" s="1"/>
  <c r="AK236" i="39" s="1"/>
  <c r="AF235" i="39"/>
  <c r="AI235" i="39" s="1"/>
  <c r="AK235" i="39" s="1"/>
  <c r="AF234" i="39"/>
  <c r="AI234" i="39" s="1"/>
  <c r="AK234" i="39" s="1"/>
  <c r="AF233" i="39"/>
  <c r="AI233" i="39" s="1"/>
  <c r="AK233" i="39" s="1"/>
  <c r="AF232" i="39"/>
  <c r="AI232" i="39" s="1"/>
  <c r="AK232" i="39" s="1"/>
  <c r="AF231" i="39"/>
  <c r="AI231" i="39" s="1"/>
  <c r="AK231" i="39" s="1"/>
  <c r="AF230" i="39"/>
  <c r="AI230" i="39" s="1"/>
  <c r="AK230" i="39" s="1"/>
  <c r="AF229" i="39"/>
  <c r="AI229" i="39" s="1"/>
  <c r="AK229" i="39" s="1"/>
  <c r="AF228" i="39"/>
  <c r="AI228" i="39" s="1"/>
  <c r="AK228" i="39" s="1"/>
  <c r="AI227" i="39"/>
  <c r="AK227" i="39" s="1"/>
  <c r="AF227" i="39"/>
  <c r="AF226" i="39"/>
  <c r="AI226" i="39" s="1"/>
  <c r="AK226" i="39" s="1"/>
  <c r="AF225" i="39"/>
  <c r="AI225" i="39" s="1"/>
  <c r="AK225" i="39" s="1"/>
  <c r="AF224" i="39"/>
  <c r="AI224" i="39" s="1"/>
  <c r="AK224" i="39" s="1"/>
  <c r="AF223" i="39"/>
  <c r="AI223" i="39" s="1"/>
  <c r="AK223" i="39" s="1"/>
  <c r="AF222" i="39"/>
  <c r="AI222" i="39" s="1"/>
  <c r="AK222" i="39" s="1"/>
  <c r="AF221" i="39"/>
  <c r="AI221" i="39" s="1"/>
  <c r="AK221" i="39" s="1"/>
  <c r="AF220" i="39"/>
  <c r="AI220" i="39" s="1"/>
  <c r="AK220" i="39" s="1"/>
  <c r="AF219" i="39"/>
  <c r="AI219" i="39" s="1"/>
  <c r="AK219" i="39" s="1"/>
  <c r="AF218" i="39"/>
  <c r="AI218" i="39" s="1"/>
  <c r="AK218" i="39" s="1"/>
  <c r="AF217" i="39"/>
  <c r="AI217" i="39" s="1"/>
  <c r="AK217" i="39" s="1"/>
  <c r="AF216" i="39"/>
  <c r="AI216" i="39" s="1"/>
  <c r="AK216" i="39" s="1"/>
  <c r="AF215" i="39"/>
  <c r="AI215" i="39" s="1"/>
  <c r="AK215" i="39" s="1"/>
  <c r="AF214" i="39"/>
  <c r="AI214" i="39" s="1"/>
  <c r="AK214" i="39" s="1"/>
  <c r="AF213" i="39"/>
  <c r="AI213" i="39" s="1"/>
  <c r="AK213" i="39" s="1"/>
  <c r="AF212" i="39"/>
  <c r="AI212" i="39" s="1"/>
  <c r="AK212" i="39" s="1"/>
  <c r="AI211" i="39"/>
  <c r="AK211" i="39" s="1"/>
  <c r="AF211" i="39"/>
  <c r="AF210" i="39"/>
  <c r="AI210" i="39" s="1"/>
  <c r="AK210" i="39" s="1"/>
  <c r="AF209" i="39"/>
  <c r="AI209" i="39" s="1"/>
  <c r="AK209" i="39" s="1"/>
  <c r="AF208" i="39"/>
  <c r="AI208" i="39" s="1"/>
  <c r="AK208" i="39" s="1"/>
  <c r="AF207" i="39"/>
  <c r="AI207" i="39" s="1"/>
  <c r="AD206" i="39"/>
  <c r="AC206" i="39"/>
  <c r="AB206" i="39"/>
  <c r="AA206" i="39"/>
  <c r="Y206" i="39"/>
  <c r="W206" i="39"/>
  <c r="AI240" i="39" l="1"/>
  <c r="AF240" i="39"/>
  <c r="AK207" i="39"/>
  <c r="AK240" i="39" s="1"/>
  <c r="G350" i="19" l="1"/>
  <c r="F350" i="19"/>
  <c r="C352" i="19" l="1"/>
  <c r="B352" i="19"/>
  <c r="C350" i="19"/>
  <c r="B350" i="19"/>
  <c r="C349" i="19"/>
  <c r="B349" i="19"/>
  <c r="C348" i="19"/>
  <c r="B348" i="19"/>
  <c r="C347" i="19"/>
  <c r="B347" i="19"/>
  <c r="C346" i="19"/>
  <c r="B346" i="19"/>
  <c r="C345" i="19"/>
  <c r="B345" i="19"/>
  <c r="C344" i="19"/>
  <c r="B344" i="19"/>
  <c r="C343" i="19"/>
  <c r="B343" i="19"/>
  <c r="C342" i="19"/>
  <c r="B342" i="19"/>
  <c r="C341" i="19"/>
  <c r="B341" i="19"/>
  <c r="C340" i="19"/>
  <c r="B340" i="19"/>
  <c r="C339" i="19"/>
  <c r="D339" i="19" s="1"/>
  <c r="C336" i="19"/>
  <c r="C335" i="19"/>
  <c r="C334" i="19"/>
  <c r="C333" i="19"/>
  <c r="C331" i="19"/>
  <c r="C330" i="19"/>
  <c r="C327" i="19"/>
  <c r="C326" i="19"/>
  <c r="C325" i="19"/>
  <c r="C324" i="19"/>
  <c r="BK123" i="41"/>
  <c r="BJ123" i="41"/>
  <c r="BH123" i="41"/>
  <c r="BG123" i="41"/>
  <c r="BF123" i="41"/>
  <c r="BE123" i="41"/>
  <c r="BD123" i="41"/>
  <c r="BC123" i="41"/>
  <c r="BB123" i="41"/>
  <c r="BA123" i="41"/>
  <c r="AZ123" i="41"/>
  <c r="AY123" i="41"/>
  <c r="AX123" i="41"/>
  <c r="AW123" i="41"/>
  <c r="C328" i="19" s="1"/>
  <c r="AV123" i="41"/>
  <c r="AU123" i="41"/>
  <c r="AT123" i="41"/>
  <c r="AS123" i="41"/>
  <c r="AR123" i="41"/>
  <c r="C338" i="19" s="1"/>
  <c r="AQ123" i="41"/>
  <c r="AP123" i="41"/>
  <c r="AO123" i="41"/>
  <c r="AN123" i="41"/>
  <c r="AM123" i="41"/>
  <c r="C329" i="19" s="1"/>
  <c r="AK123" i="41"/>
  <c r="AJ123" i="41"/>
  <c r="C337" i="19" s="1"/>
  <c r="AI123" i="41"/>
  <c r="AH123" i="41"/>
  <c r="AG123" i="41"/>
  <c r="AF123" i="41"/>
  <c r="AE123" i="41"/>
  <c r="AD123" i="41"/>
  <c r="AC123" i="41"/>
  <c r="AB123" i="41"/>
  <c r="AA123" i="41"/>
  <c r="Z123" i="41"/>
  <c r="B337" i="19" s="1"/>
  <c r="Y123" i="41"/>
  <c r="X123" i="41"/>
  <c r="W123" i="41"/>
  <c r="B330" i="19" s="1"/>
  <c r="V123" i="41"/>
  <c r="U123" i="41"/>
  <c r="T123" i="41"/>
  <c r="B335" i="19" s="1"/>
  <c r="S123" i="41"/>
  <c r="R123" i="41"/>
  <c r="B338" i="19" s="1"/>
  <c r="Q123" i="41"/>
  <c r="B334" i="19" s="1"/>
  <c r="D334" i="19" s="1"/>
  <c r="P123" i="41"/>
  <c r="B333" i="19" s="1"/>
  <c r="O123" i="41"/>
  <c r="B332" i="19" s="1"/>
  <c r="D332" i="19" s="1"/>
  <c r="N123" i="41"/>
  <c r="B331" i="19" s="1"/>
  <c r="M123" i="41"/>
  <c r="B329" i="19" s="1"/>
  <c r="L123" i="41"/>
  <c r="B336" i="19" s="1"/>
  <c r="J123" i="41"/>
  <c r="I123" i="41"/>
  <c r="B328" i="19" s="1"/>
  <c r="H123" i="41"/>
  <c r="B327" i="19" s="1"/>
  <c r="G123" i="41"/>
  <c r="B326" i="19" s="1"/>
  <c r="D326" i="19" s="1"/>
  <c r="F123" i="41"/>
  <c r="B325" i="19" s="1"/>
  <c r="D325" i="19" s="1"/>
  <c r="E123" i="41"/>
  <c r="B324" i="19" s="1"/>
  <c r="D122" i="41"/>
  <c r="D121" i="41"/>
  <c r="C120" i="41" s="1"/>
  <c r="BM120" i="41"/>
  <c r="BL120" i="41"/>
  <c r="D120" i="41"/>
  <c r="D119" i="41"/>
  <c r="D118" i="41"/>
  <c r="BM117" i="41"/>
  <c r="BL117" i="41"/>
  <c r="D117" i="41"/>
  <c r="D116" i="41"/>
  <c r="D115" i="41"/>
  <c r="BM114" i="41"/>
  <c r="BL114" i="41"/>
  <c r="D114" i="41"/>
  <c r="D113" i="41"/>
  <c r="D112" i="41"/>
  <c r="BM111" i="41"/>
  <c r="BL111" i="41"/>
  <c r="D111" i="41"/>
  <c r="D110" i="41"/>
  <c r="D109" i="41"/>
  <c r="BM108" i="41"/>
  <c r="BL108" i="41"/>
  <c r="D108" i="41"/>
  <c r="D107" i="41"/>
  <c r="D106" i="41"/>
  <c r="BM105" i="41"/>
  <c r="BL105" i="41"/>
  <c r="D105" i="41"/>
  <c r="D104" i="41"/>
  <c r="D103" i="41"/>
  <c r="D102" i="41"/>
  <c r="D101" i="41"/>
  <c r="BM100" i="41"/>
  <c r="BL100" i="41"/>
  <c r="D100" i="41"/>
  <c r="D99" i="41"/>
  <c r="D98" i="41"/>
  <c r="D97" i="41"/>
  <c r="BM96" i="41"/>
  <c r="BL96" i="41"/>
  <c r="D96" i="41"/>
  <c r="D95" i="41"/>
  <c r="D94" i="41"/>
  <c r="D93" i="41"/>
  <c r="BL92" i="41"/>
  <c r="D92" i="41"/>
  <c r="D91" i="41"/>
  <c r="D90" i="41"/>
  <c r="D89" i="41"/>
  <c r="BM88" i="41"/>
  <c r="BL88" i="41"/>
  <c r="D88" i="41"/>
  <c r="D87" i="41"/>
  <c r="D86" i="41"/>
  <c r="D85" i="41"/>
  <c r="BM84" i="41"/>
  <c r="BL84" i="41"/>
  <c r="D84" i="41"/>
  <c r="D83" i="41"/>
  <c r="D82" i="41"/>
  <c r="D81" i="41"/>
  <c r="D80" i="41"/>
  <c r="BM79" i="41"/>
  <c r="BL79" i="41"/>
  <c r="D79" i="41"/>
  <c r="D78" i="41"/>
  <c r="D77" i="41"/>
  <c r="D76" i="41"/>
  <c r="BM75" i="41"/>
  <c r="BL75" i="41"/>
  <c r="D75" i="41"/>
  <c r="D74" i="41"/>
  <c r="D73" i="41"/>
  <c r="D72" i="41"/>
  <c r="BM71" i="41"/>
  <c r="BL71" i="41"/>
  <c r="D71" i="41"/>
  <c r="D70" i="41"/>
  <c r="D69" i="41"/>
  <c r="D68" i="41"/>
  <c r="BM67" i="41"/>
  <c r="BL67" i="41"/>
  <c r="D67" i="41"/>
  <c r="D66" i="41"/>
  <c r="D65" i="41"/>
  <c r="D64" i="41"/>
  <c r="BM63" i="41"/>
  <c r="BL63" i="41"/>
  <c r="D63" i="41"/>
  <c r="D62" i="41"/>
  <c r="D61" i="41"/>
  <c r="D60" i="41"/>
  <c r="BM59" i="41"/>
  <c r="D59" i="41"/>
  <c r="D58" i="41"/>
  <c r="D57" i="41"/>
  <c r="D56" i="41"/>
  <c r="BM55" i="41"/>
  <c r="D55" i="41"/>
  <c r="D54" i="41"/>
  <c r="D53" i="41"/>
  <c r="D52" i="41"/>
  <c r="BM51" i="41"/>
  <c r="BL51" i="41"/>
  <c r="D51" i="41"/>
  <c r="D50" i="41"/>
  <c r="D49" i="41"/>
  <c r="D48" i="41"/>
  <c r="BM47" i="41"/>
  <c r="BL47" i="41"/>
  <c r="D47" i="41"/>
  <c r="D46" i="41"/>
  <c r="D45" i="41"/>
  <c r="D44" i="41"/>
  <c r="BM43" i="41"/>
  <c r="BL43" i="41"/>
  <c r="D43" i="41"/>
  <c r="D42" i="41"/>
  <c r="D41" i="41"/>
  <c r="D40" i="41"/>
  <c r="BM39" i="41"/>
  <c r="BL39" i="41"/>
  <c r="D39" i="41"/>
  <c r="D38" i="41"/>
  <c r="D37" i="41"/>
  <c r="BL35" i="41"/>
  <c r="D35" i="41"/>
  <c r="D33" i="41"/>
  <c r="D32" i="41"/>
  <c r="D31" i="41"/>
  <c r="BM30" i="41"/>
  <c r="BL30" i="41"/>
  <c r="D30" i="41"/>
  <c r="D29" i="41"/>
  <c r="BM27" i="41"/>
  <c r="D27" i="41"/>
  <c r="D26" i="41"/>
  <c r="D25" i="41"/>
  <c r="BM24" i="41"/>
  <c r="BL24" i="41"/>
  <c r="D24" i="41"/>
  <c r="D23" i="41"/>
  <c r="D22" i="41"/>
  <c r="D21" i="41"/>
  <c r="BL20" i="41"/>
  <c r="D20" i="41"/>
  <c r="D19" i="41"/>
  <c r="AL123" i="41"/>
  <c r="D18" i="41"/>
  <c r="BM17" i="41"/>
  <c r="D17" i="41"/>
  <c r="D16" i="41"/>
  <c r="D15" i="41"/>
  <c r="BI123" i="41"/>
  <c r="D14" i="41"/>
  <c r="BL13" i="41"/>
  <c r="K123" i="41"/>
  <c r="D13" i="41"/>
  <c r="D12" i="41"/>
  <c r="D11" i="41"/>
  <c r="D10" i="41"/>
  <c r="BM9" i="41"/>
  <c r="BL9" i="41"/>
  <c r="D9" i="41"/>
  <c r="D8" i="41"/>
  <c r="D7" i="41"/>
  <c r="D6" i="41"/>
  <c r="BM5" i="41"/>
  <c r="BL5" i="41"/>
  <c r="D5" i="41"/>
  <c r="D327" i="19" l="1"/>
  <c r="D337" i="19"/>
  <c r="C117" i="41"/>
  <c r="C114" i="41"/>
  <c r="C111" i="41"/>
  <c r="D330" i="19"/>
  <c r="D336" i="19"/>
  <c r="C108" i="41"/>
  <c r="C105" i="41"/>
  <c r="D329" i="19"/>
  <c r="C96" i="41"/>
  <c r="C92" i="41"/>
  <c r="D344" i="19"/>
  <c r="C9" i="41"/>
  <c r="D350" i="19"/>
  <c r="D343" i="19"/>
  <c r="D347" i="19"/>
  <c r="D352" i="19"/>
  <c r="D348" i="19"/>
  <c r="D333" i="19"/>
  <c r="D340" i="19"/>
  <c r="D342" i="19"/>
  <c r="C100" i="41"/>
  <c r="D341" i="19"/>
  <c r="D331" i="19"/>
  <c r="D345" i="19"/>
  <c r="D346" i="19"/>
  <c r="D349" i="19"/>
  <c r="C47" i="41"/>
  <c r="BH124" i="41"/>
  <c r="D335" i="19"/>
  <c r="C84" i="41"/>
  <c r="C79" i="41"/>
  <c r="C71" i="41"/>
  <c r="C67" i="41"/>
  <c r="C63" i="41"/>
  <c r="D328" i="19"/>
  <c r="C39" i="41"/>
  <c r="C24" i="41"/>
  <c r="C351" i="19"/>
  <c r="D338" i="19"/>
  <c r="B351" i="19"/>
  <c r="C5" i="41"/>
  <c r="D324" i="19"/>
  <c r="C13" i="41"/>
  <c r="C43" i="41"/>
  <c r="C51" i="41"/>
  <c r="C75" i="41"/>
  <c r="C88" i="41"/>
  <c r="C20" i="41"/>
  <c r="C30" i="41"/>
  <c r="C55" i="41"/>
  <c r="C59" i="41"/>
  <c r="C17" i="41"/>
  <c r="E124" i="41"/>
  <c r="AF124" i="41"/>
  <c r="BM35" i="41"/>
  <c r="BM13" i="41"/>
  <c r="BL17" i="41"/>
  <c r="D28" i="41"/>
  <c r="C27" i="41" s="1"/>
  <c r="D36" i="41"/>
  <c r="C35" i="41" s="1"/>
  <c r="BL55" i="41"/>
  <c r="BL59" i="41"/>
  <c r="BL27" i="41"/>
  <c r="BM123" i="41" l="1"/>
  <c r="D351" i="19"/>
  <c r="F349" i="19" s="1"/>
  <c r="BL123" i="41"/>
  <c r="C124" i="41"/>
  <c r="D90" i="5" l="1"/>
  <c r="BM59" i="33" l="1"/>
  <c r="AE177" i="8" l="1"/>
  <c r="AH177" i="8" s="1"/>
  <c r="AJ177" i="8" s="1"/>
  <c r="U177" i="24"/>
  <c r="X177" i="24" s="1"/>
  <c r="Z177" i="24" s="1"/>
  <c r="AE151" i="23"/>
  <c r="AH151" i="23" s="1"/>
  <c r="AJ151" i="23" s="1"/>
  <c r="AE159" i="15"/>
  <c r="AH159" i="15" s="1"/>
  <c r="AJ159" i="15" s="1"/>
  <c r="U214" i="10"/>
  <c r="X214" i="10" s="1"/>
  <c r="Z214" i="10" s="1"/>
  <c r="AE183" i="40"/>
  <c r="AH183" i="40" s="1"/>
  <c r="AJ183" i="40" s="1"/>
  <c r="AE194" i="30"/>
  <c r="AH194" i="30" s="1"/>
  <c r="AJ194" i="30" s="1"/>
  <c r="AE228" i="34"/>
  <c r="AH228" i="34" s="1"/>
  <c r="AJ228" i="34" s="1"/>
  <c r="AE184" i="18" l="1"/>
  <c r="AH184" i="18" s="1"/>
  <c r="AJ184" i="18" s="1"/>
  <c r="CI266" i="6"/>
  <c r="CL266" i="6" s="1"/>
  <c r="CN266" i="6" s="1"/>
  <c r="V214" i="27"/>
  <c r="Y214" i="27" s="1"/>
  <c r="AA214" i="27" s="1"/>
  <c r="AE223" i="7"/>
  <c r="AH223" i="7" s="1"/>
  <c r="AJ223" i="7" s="1"/>
  <c r="AE221" i="25"/>
  <c r="AH221" i="25" s="1"/>
  <c r="AJ221" i="25" s="1"/>
  <c r="AF253" i="29"/>
  <c r="AI253" i="29" s="1"/>
  <c r="AK253" i="29" s="1"/>
  <c r="BI90" i="3" l="1"/>
  <c r="D73" i="1" l="1"/>
  <c r="D58" i="4" l="1"/>
  <c r="AE159" i="25" l="1"/>
  <c r="AH159" i="25" s="1"/>
  <c r="AJ159" i="25" s="1"/>
  <c r="AE160" i="25"/>
  <c r="AH160" i="25" s="1"/>
  <c r="AJ160" i="25" s="1"/>
  <c r="AE158" i="25"/>
  <c r="AH158" i="25" s="1"/>
  <c r="AJ158" i="25" s="1"/>
  <c r="AE163" i="25"/>
  <c r="AH163" i="25" s="1"/>
  <c r="AJ163" i="25" s="1"/>
  <c r="AE162" i="25"/>
  <c r="AH162" i="25" s="1"/>
  <c r="AJ162" i="25" s="1"/>
  <c r="AE161" i="25"/>
  <c r="AH161" i="25" s="1"/>
  <c r="AJ161" i="25" s="1"/>
  <c r="AE157" i="25"/>
  <c r="AH157" i="25" s="1"/>
  <c r="AJ157" i="25" s="1"/>
  <c r="AE164" i="25"/>
  <c r="AH164" i="25" s="1"/>
  <c r="AJ164" i="25" s="1"/>
  <c r="AE165" i="25"/>
  <c r="AH165" i="25" s="1"/>
  <c r="AJ165" i="25" s="1"/>
  <c r="BB44" i="1" l="1"/>
  <c r="AF32" i="9" l="1"/>
  <c r="AI32" i="9" s="1"/>
  <c r="AK32" i="9" s="1"/>
  <c r="V233" i="27"/>
  <c r="Y233" i="27" s="1"/>
  <c r="AA233" i="27" s="1"/>
  <c r="AE191" i="18" l="1"/>
  <c r="AH191" i="18" s="1"/>
  <c r="AJ191" i="18" s="1"/>
  <c r="AW89" i="2"/>
  <c r="AF30" i="9"/>
  <c r="AI30" i="9" s="1"/>
  <c r="AK30" i="9" s="1"/>
  <c r="AF31" i="9"/>
  <c r="AI31" i="9" s="1"/>
  <c r="AK31" i="9" s="1"/>
  <c r="AE220" i="30" l="1"/>
  <c r="AH220" i="30" s="1"/>
  <c r="AJ220" i="30" s="1"/>
  <c r="AF325" i="39" l="1"/>
  <c r="AI325" i="39" s="1"/>
  <c r="AK325" i="39" s="1"/>
  <c r="AF326" i="9"/>
  <c r="AI326" i="9" s="1"/>
  <c r="AK326" i="9" s="1"/>
  <c r="AF325" i="9"/>
  <c r="AI325" i="9" s="1"/>
  <c r="AK325" i="9" s="1"/>
  <c r="AF324" i="9"/>
  <c r="AI324" i="9" s="1"/>
  <c r="AK324" i="9" s="1"/>
  <c r="AF323" i="9"/>
  <c r="AI323" i="9" s="1"/>
  <c r="AK323" i="9" s="1"/>
  <c r="AF322" i="9"/>
  <c r="AI322" i="9" s="1"/>
  <c r="AK322" i="9" s="1"/>
  <c r="AF321" i="9"/>
  <c r="AI321" i="9" s="1"/>
  <c r="AK321" i="9" s="1"/>
  <c r="AF320" i="9"/>
  <c r="AI320" i="9" s="1"/>
  <c r="AK320" i="9" s="1"/>
  <c r="AF329" i="9"/>
  <c r="AI329" i="9" s="1"/>
  <c r="AK329" i="9" s="1"/>
  <c r="AF328" i="9"/>
  <c r="AI328" i="9" s="1"/>
  <c r="AK328" i="9" s="1"/>
  <c r="AF327" i="9"/>
  <c r="AI327" i="9" s="1"/>
  <c r="AK327" i="9" s="1"/>
  <c r="AF323" i="39"/>
  <c r="AI323" i="39" s="1"/>
  <c r="AK323" i="39" s="1"/>
  <c r="AF329" i="39"/>
  <c r="AI329" i="39" s="1"/>
  <c r="AK329" i="39" s="1"/>
  <c r="AF328" i="39"/>
  <c r="AI328" i="39" s="1"/>
  <c r="AK328" i="39" s="1"/>
  <c r="AF327" i="39"/>
  <c r="AI327" i="39" s="1"/>
  <c r="AK327" i="39" s="1"/>
  <c r="AF331" i="39"/>
  <c r="AI331" i="39" s="1"/>
  <c r="AK331" i="39" s="1"/>
  <c r="AF330" i="39"/>
  <c r="AI330" i="39" s="1"/>
  <c r="AK330" i="39" s="1"/>
  <c r="AF326" i="39"/>
  <c r="AI326" i="39" s="1"/>
  <c r="AK326" i="39" s="1"/>
  <c r="AF324" i="39"/>
  <c r="AI324" i="39" s="1"/>
  <c r="AK324" i="39" s="1"/>
  <c r="AF332" i="39"/>
  <c r="AI332" i="39" s="1"/>
  <c r="AK332" i="39" s="1"/>
  <c r="AF333" i="39"/>
  <c r="AI333" i="39" s="1"/>
  <c r="AK333" i="39" s="1"/>
  <c r="AE184" i="40" l="1"/>
  <c r="AH184" i="40" s="1"/>
  <c r="AJ184" i="40" s="1"/>
  <c r="B370" i="19"/>
  <c r="AC266" i="40"/>
  <c r="AI254" i="40"/>
  <c r="AF254" i="40"/>
  <c r="AC254" i="40"/>
  <c r="AB254" i="40"/>
  <c r="AA254" i="40"/>
  <c r="Z254" i="40"/>
  <c r="Y254" i="40"/>
  <c r="X254" i="40"/>
  <c r="W254" i="40"/>
  <c r="V254" i="40"/>
  <c r="T254" i="40"/>
  <c r="S254" i="40"/>
  <c r="R254" i="40"/>
  <c r="Q254" i="40"/>
  <c r="P254" i="40"/>
  <c r="O254" i="40"/>
  <c r="N254" i="40"/>
  <c r="M254" i="40"/>
  <c r="K254" i="40"/>
  <c r="J254" i="40"/>
  <c r="I254" i="40"/>
  <c r="H254" i="40"/>
  <c r="G254" i="40"/>
  <c r="F254" i="40"/>
  <c r="E254" i="40"/>
  <c r="AE253" i="40"/>
  <c r="AE252" i="40"/>
  <c r="AH252" i="40" s="1"/>
  <c r="AI248" i="40"/>
  <c r="AI249" i="40" s="1"/>
  <c r="AG248" i="40"/>
  <c r="AG249" i="40" s="1"/>
  <c r="AF248" i="40"/>
  <c r="AB248" i="40"/>
  <c r="AB249" i="40" s="1"/>
  <c r="AA248" i="40"/>
  <c r="AA249" i="40" s="1"/>
  <c r="Y248" i="40"/>
  <c r="Y249" i="40" s="1"/>
  <c r="K248" i="40"/>
  <c r="K249" i="40" s="1"/>
  <c r="I248" i="40"/>
  <c r="I249" i="40" s="1"/>
  <c r="H248" i="40"/>
  <c r="H249" i="40" s="1"/>
  <c r="G248" i="40"/>
  <c r="G249" i="40" s="1"/>
  <c r="F248" i="40"/>
  <c r="F249" i="40" s="1"/>
  <c r="E248" i="40"/>
  <c r="E249" i="40" s="1"/>
  <c r="AE247" i="40"/>
  <c r="AH247" i="40" s="1"/>
  <c r="AJ247" i="40" s="1"/>
  <c r="AE246" i="40"/>
  <c r="AH246" i="40" s="1"/>
  <c r="AJ246" i="40" s="1"/>
  <c r="AE245" i="40"/>
  <c r="AH245" i="40" s="1"/>
  <c r="AJ245" i="40" s="1"/>
  <c r="AE244" i="40"/>
  <c r="AH244" i="40" s="1"/>
  <c r="AJ244" i="40" s="1"/>
  <c r="AE243" i="40"/>
  <c r="AH243" i="40" s="1"/>
  <c r="AJ243" i="40" s="1"/>
  <c r="AE242" i="40"/>
  <c r="AH242" i="40" s="1"/>
  <c r="AJ242" i="40" s="1"/>
  <c r="AE241" i="40"/>
  <c r="AH241" i="40" s="1"/>
  <c r="AJ241" i="40" s="1"/>
  <c r="AE240" i="40"/>
  <c r="AH240" i="40" s="1"/>
  <c r="AJ240" i="40" s="1"/>
  <c r="AE239" i="40"/>
  <c r="AH239" i="40" s="1"/>
  <c r="AJ239" i="40" s="1"/>
  <c r="AH238" i="40"/>
  <c r="AJ238" i="40" s="1"/>
  <c r="AE238" i="40"/>
  <c r="AE237" i="40"/>
  <c r="AH237" i="40" s="1"/>
  <c r="AJ237" i="40" s="1"/>
  <c r="AE236" i="40"/>
  <c r="AH236" i="40" s="1"/>
  <c r="AJ236" i="40" s="1"/>
  <c r="AE235" i="40"/>
  <c r="AH235" i="40" s="1"/>
  <c r="AJ235" i="40" s="1"/>
  <c r="AE234" i="40"/>
  <c r="AH234" i="40" s="1"/>
  <c r="AJ234" i="40" s="1"/>
  <c r="AE233" i="40"/>
  <c r="AH233" i="40" s="1"/>
  <c r="AJ233" i="40" s="1"/>
  <c r="AE232" i="40"/>
  <c r="AH232" i="40" s="1"/>
  <c r="AJ232" i="40" s="1"/>
  <c r="AE231" i="40"/>
  <c r="AH231" i="40" s="1"/>
  <c r="AJ231" i="40" s="1"/>
  <c r="AH230" i="40"/>
  <c r="AJ230" i="40" s="1"/>
  <c r="AE230" i="40"/>
  <c r="AE229" i="40"/>
  <c r="AH229" i="40" s="1"/>
  <c r="AJ229" i="40" s="1"/>
  <c r="AE228" i="40"/>
  <c r="AH228" i="40" s="1"/>
  <c r="AJ228" i="40" s="1"/>
  <c r="AE227" i="40"/>
  <c r="AH227" i="40" s="1"/>
  <c r="AJ227" i="40" s="1"/>
  <c r="AE226" i="40"/>
  <c r="AH226" i="40" s="1"/>
  <c r="AJ226" i="40" s="1"/>
  <c r="AE225" i="40"/>
  <c r="AH225" i="40" s="1"/>
  <c r="AJ225" i="40" s="1"/>
  <c r="AE224" i="40"/>
  <c r="AH224" i="40" s="1"/>
  <c r="AJ224" i="40" s="1"/>
  <c r="AE223" i="40"/>
  <c r="AH223" i="40" s="1"/>
  <c r="AJ223" i="40" s="1"/>
  <c r="AH222" i="40"/>
  <c r="AJ222" i="40" s="1"/>
  <c r="AE222" i="40"/>
  <c r="AE221" i="40"/>
  <c r="AH221" i="40" s="1"/>
  <c r="AJ221" i="40" s="1"/>
  <c r="AE220" i="40"/>
  <c r="AH220" i="40" s="1"/>
  <c r="AJ220" i="40" s="1"/>
  <c r="AE219" i="40"/>
  <c r="AH219" i="40" s="1"/>
  <c r="AJ219" i="40" s="1"/>
  <c r="AE218" i="40"/>
  <c r="AH218" i="40" s="1"/>
  <c r="AJ218" i="40" s="1"/>
  <c r="AE217" i="40"/>
  <c r="AH217" i="40" s="1"/>
  <c r="AJ217" i="40" s="1"/>
  <c r="AE216" i="40"/>
  <c r="AH216" i="40" s="1"/>
  <c r="AJ216" i="40" s="1"/>
  <c r="AE215" i="40"/>
  <c r="AH215" i="40" s="1"/>
  <c r="AJ215" i="40" s="1"/>
  <c r="AE214" i="40"/>
  <c r="AH214" i="40" s="1"/>
  <c r="AJ214" i="40" s="1"/>
  <c r="AE213" i="40"/>
  <c r="AH213" i="40" s="1"/>
  <c r="AJ213" i="40" s="1"/>
  <c r="AE212" i="40"/>
  <c r="AH212" i="40" s="1"/>
  <c r="AJ212" i="40" s="1"/>
  <c r="AE211" i="40"/>
  <c r="AH211" i="40" s="1"/>
  <c r="AJ211" i="40" s="1"/>
  <c r="AE210" i="40"/>
  <c r="AH210" i="40" s="1"/>
  <c r="AJ210" i="40" s="1"/>
  <c r="AE209" i="40"/>
  <c r="AH209" i="40" s="1"/>
  <c r="AJ209" i="40" s="1"/>
  <c r="N248" i="40"/>
  <c r="N249" i="40" s="1"/>
  <c r="AE207" i="40"/>
  <c r="AH207" i="40" s="1"/>
  <c r="AJ207" i="40" s="1"/>
  <c r="AE206" i="40"/>
  <c r="AH206" i="40" s="1"/>
  <c r="AJ206" i="40" s="1"/>
  <c r="AE205" i="40"/>
  <c r="AH205" i="40" s="1"/>
  <c r="AJ205" i="40" s="1"/>
  <c r="AE204" i="40"/>
  <c r="AH204" i="40" s="1"/>
  <c r="AJ204" i="40" s="1"/>
  <c r="AE203" i="40"/>
  <c r="AH203" i="40" s="1"/>
  <c r="AJ203" i="40" s="1"/>
  <c r="AE202" i="40"/>
  <c r="AH202" i="40" s="1"/>
  <c r="AJ202" i="40" s="1"/>
  <c r="AE201" i="40"/>
  <c r="AH201" i="40" s="1"/>
  <c r="AJ201" i="40" s="1"/>
  <c r="AE200" i="40"/>
  <c r="AH200" i="40" s="1"/>
  <c r="AJ200" i="40" s="1"/>
  <c r="P248" i="40"/>
  <c r="P249" i="40" s="1"/>
  <c r="AE199" i="40"/>
  <c r="AH199" i="40" s="1"/>
  <c r="AJ199" i="40" s="1"/>
  <c r="AE198" i="40"/>
  <c r="AH198" i="40" s="1"/>
  <c r="AJ198" i="40" s="1"/>
  <c r="AE197" i="40"/>
  <c r="AH197" i="40" s="1"/>
  <c r="AJ197" i="40" s="1"/>
  <c r="AE196" i="40"/>
  <c r="AH196" i="40" s="1"/>
  <c r="AJ196" i="40" s="1"/>
  <c r="AE195" i="40"/>
  <c r="AH195" i="40" s="1"/>
  <c r="AJ195" i="40" s="1"/>
  <c r="AE194" i="40"/>
  <c r="AH194" i="40" s="1"/>
  <c r="AJ194" i="40" s="1"/>
  <c r="AE193" i="40"/>
  <c r="AH193" i="40" s="1"/>
  <c r="AJ193" i="40" s="1"/>
  <c r="W248" i="40"/>
  <c r="W249" i="40" s="1"/>
  <c r="AE192" i="40"/>
  <c r="AH192" i="40" s="1"/>
  <c r="AJ192" i="40" s="1"/>
  <c r="AE191" i="40"/>
  <c r="AH191" i="40" s="1"/>
  <c r="AJ191" i="40" s="1"/>
  <c r="AE190" i="40"/>
  <c r="AH190" i="40" s="1"/>
  <c r="AJ190" i="40" s="1"/>
  <c r="AE189" i="40"/>
  <c r="AH189" i="40" s="1"/>
  <c r="AJ189" i="40" s="1"/>
  <c r="AE188" i="40"/>
  <c r="AH188" i="40" s="1"/>
  <c r="AJ188" i="40" s="1"/>
  <c r="AE187" i="40"/>
  <c r="AH187" i="40" s="1"/>
  <c r="AJ187" i="40" s="1"/>
  <c r="AC248" i="40"/>
  <c r="AC249" i="40" s="1"/>
  <c r="T248" i="40"/>
  <c r="T249" i="40" s="1"/>
  <c r="R248" i="40"/>
  <c r="R249" i="40" s="1"/>
  <c r="AE186" i="40"/>
  <c r="AH186" i="40" s="1"/>
  <c r="AJ186" i="40" s="1"/>
  <c r="AE181" i="40"/>
  <c r="AH181" i="40" s="1"/>
  <c r="AJ181" i="40" s="1"/>
  <c r="Z248" i="40"/>
  <c r="Z249" i="40" s="1"/>
  <c r="V248" i="40"/>
  <c r="V249" i="40" s="1"/>
  <c r="X248" i="40"/>
  <c r="X249" i="40" s="1"/>
  <c r="AE178" i="40"/>
  <c r="AH178" i="40" s="1"/>
  <c r="AJ178" i="40" s="1"/>
  <c r="O248" i="40"/>
  <c r="O249" i="40" s="1"/>
  <c r="AI169" i="40"/>
  <c r="AF169" i="40"/>
  <c r="AC169" i="40"/>
  <c r="AB169" i="40"/>
  <c r="AA169" i="40"/>
  <c r="Z169" i="40"/>
  <c r="Y169" i="40"/>
  <c r="X169" i="40"/>
  <c r="W169" i="40"/>
  <c r="V169" i="40"/>
  <c r="T169" i="40"/>
  <c r="S169" i="40"/>
  <c r="R169" i="40"/>
  <c r="Q169" i="40"/>
  <c r="P169" i="40"/>
  <c r="O169" i="40"/>
  <c r="N169" i="40"/>
  <c r="M169" i="40"/>
  <c r="K169" i="40"/>
  <c r="J169" i="40"/>
  <c r="I169" i="40"/>
  <c r="H169" i="40"/>
  <c r="G169" i="40"/>
  <c r="F169" i="40"/>
  <c r="E169" i="40"/>
  <c r="AE168" i="40"/>
  <c r="AH168" i="40" s="1"/>
  <c r="AJ168" i="40" s="1"/>
  <c r="AE167" i="40"/>
  <c r="AH167" i="40" s="1"/>
  <c r="AJ167" i="40" s="1"/>
  <c r="AE166" i="40"/>
  <c r="AH166" i="40" s="1"/>
  <c r="AJ166" i="40" s="1"/>
  <c r="AH165" i="40"/>
  <c r="AJ165" i="40" s="1"/>
  <c r="AE165" i="40"/>
  <c r="AE164" i="40"/>
  <c r="AI161" i="40"/>
  <c r="AF161" i="40"/>
  <c r="AC161" i="40"/>
  <c r="AB161" i="40"/>
  <c r="AA161" i="40"/>
  <c r="Z161" i="40"/>
  <c r="Y161" i="40"/>
  <c r="X161" i="40"/>
  <c r="W161" i="40"/>
  <c r="V161" i="40"/>
  <c r="T161" i="40"/>
  <c r="S161" i="40"/>
  <c r="R161" i="40"/>
  <c r="Q161" i="40"/>
  <c r="P161" i="40"/>
  <c r="O161" i="40"/>
  <c r="N161" i="40"/>
  <c r="M161" i="40"/>
  <c r="K161" i="40"/>
  <c r="J161" i="40"/>
  <c r="I161" i="40"/>
  <c r="H161" i="40"/>
  <c r="G161" i="40"/>
  <c r="F161" i="40"/>
  <c r="E161" i="40"/>
  <c r="AE160" i="40"/>
  <c r="AH160" i="40" s="1"/>
  <c r="AJ160" i="40" s="1"/>
  <c r="AE159" i="40"/>
  <c r="AH159" i="40" s="1"/>
  <c r="AJ159" i="40" s="1"/>
  <c r="AH158" i="40"/>
  <c r="AJ158" i="40" s="1"/>
  <c r="AE158" i="40"/>
  <c r="AE157" i="40"/>
  <c r="AH157" i="40" s="1"/>
  <c r="AJ157" i="40" s="1"/>
  <c r="AE156" i="40"/>
  <c r="AH156" i="40" s="1"/>
  <c r="AJ156" i="40" s="1"/>
  <c r="AE155" i="40"/>
  <c r="AI152" i="40"/>
  <c r="AF152" i="40"/>
  <c r="AC152" i="40"/>
  <c r="AB152" i="40"/>
  <c r="AA152" i="40"/>
  <c r="Z152" i="40"/>
  <c r="Y152" i="40"/>
  <c r="X152" i="40"/>
  <c r="W152" i="40"/>
  <c r="V152" i="40"/>
  <c r="T152" i="40"/>
  <c r="S152" i="40"/>
  <c r="R152" i="40"/>
  <c r="Q152" i="40"/>
  <c r="P152" i="40"/>
  <c r="O152" i="40"/>
  <c r="N152" i="40"/>
  <c r="M152" i="40"/>
  <c r="K152" i="40"/>
  <c r="J152" i="40"/>
  <c r="I152" i="40"/>
  <c r="H152" i="40"/>
  <c r="G152" i="40"/>
  <c r="F152" i="40"/>
  <c r="E152" i="40"/>
  <c r="AH151" i="40"/>
  <c r="AJ151" i="40" s="1"/>
  <c r="AE151" i="40"/>
  <c r="AE150" i="40"/>
  <c r="AH150" i="40" s="1"/>
  <c r="AJ150" i="40" s="1"/>
  <c r="AE149" i="40"/>
  <c r="AH149" i="40" s="1"/>
  <c r="AJ149" i="40" s="1"/>
  <c r="AE148" i="40"/>
  <c r="AH148" i="40" s="1"/>
  <c r="AH152" i="40" s="1"/>
  <c r="AI145" i="40"/>
  <c r="AG145" i="40"/>
  <c r="AF145" i="40"/>
  <c r="AC145" i="40"/>
  <c r="AB145" i="40"/>
  <c r="AA145" i="40"/>
  <c r="Z145" i="40"/>
  <c r="Y145" i="40"/>
  <c r="X145" i="40"/>
  <c r="W145" i="40"/>
  <c r="V145" i="40"/>
  <c r="T145" i="40"/>
  <c r="S145" i="40"/>
  <c r="R145" i="40"/>
  <c r="Q145" i="40"/>
  <c r="P145" i="40"/>
  <c r="O145" i="40"/>
  <c r="N145" i="40"/>
  <c r="M145" i="40"/>
  <c r="K145" i="40"/>
  <c r="J145" i="40"/>
  <c r="I145" i="40"/>
  <c r="H145" i="40"/>
  <c r="G145" i="40"/>
  <c r="F145" i="40"/>
  <c r="E145" i="40"/>
  <c r="AE144" i="40"/>
  <c r="AH144" i="40" s="1"/>
  <c r="AJ144" i="40" s="1"/>
  <c r="AE143" i="40"/>
  <c r="AH143" i="40" s="1"/>
  <c r="AJ143" i="40" s="1"/>
  <c r="AE142" i="40"/>
  <c r="AH142" i="40" s="1"/>
  <c r="AJ142" i="40" s="1"/>
  <c r="AE141" i="40"/>
  <c r="AH141" i="40" s="1"/>
  <c r="AJ141" i="40" s="1"/>
  <c r="AE140" i="40"/>
  <c r="AH140" i="40" s="1"/>
  <c r="AG136" i="40"/>
  <c r="AC136" i="40"/>
  <c r="AB136" i="40"/>
  <c r="AA136" i="40"/>
  <c r="Z136" i="40"/>
  <c r="Y136" i="40"/>
  <c r="X136" i="40"/>
  <c r="W136" i="40"/>
  <c r="V136" i="40"/>
  <c r="U136" i="40"/>
  <c r="T136" i="40"/>
  <c r="S136" i="40"/>
  <c r="R136" i="40"/>
  <c r="Q136" i="40"/>
  <c r="N136" i="40"/>
  <c r="L136" i="40"/>
  <c r="K136" i="40"/>
  <c r="J136" i="40"/>
  <c r="I136" i="40"/>
  <c r="H136" i="40"/>
  <c r="G136" i="40"/>
  <c r="F136" i="40"/>
  <c r="E136" i="40"/>
  <c r="AE135" i="40"/>
  <c r="AH135" i="40" s="1"/>
  <c r="AJ135" i="40" s="1"/>
  <c r="AH134" i="40"/>
  <c r="AJ134" i="40" s="1"/>
  <c r="AE134" i="40"/>
  <c r="AH133" i="40"/>
  <c r="AJ133" i="40" s="1"/>
  <c r="AE133" i="40"/>
  <c r="AE132" i="40"/>
  <c r="AH132" i="40" s="1"/>
  <c r="AJ132" i="40" s="1"/>
  <c r="AE131" i="40"/>
  <c r="AH131" i="40" s="1"/>
  <c r="AJ131" i="40" s="1"/>
  <c r="AE130" i="40"/>
  <c r="AH130" i="40" s="1"/>
  <c r="AJ130" i="40" s="1"/>
  <c r="AE129" i="40"/>
  <c r="AH129" i="40" s="1"/>
  <c r="AJ129" i="40" s="1"/>
  <c r="AJ128" i="40"/>
  <c r="AE128" i="40"/>
  <c r="AH128" i="40" s="1"/>
  <c r="AE127" i="40"/>
  <c r="AH127" i="40" s="1"/>
  <c r="AJ127" i="40" s="1"/>
  <c r="P136" i="40"/>
  <c r="AE126" i="40"/>
  <c r="AH126" i="40" s="1"/>
  <c r="AJ126" i="40" s="1"/>
  <c r="AE125" i="40"/>
  <c r="AH125" i="40" s="1"/>
  <c r="AJ125" i="40" s="1"/>
  <c r="AE124" i="40"/>
  <c r="AH124" i="40" s="1"/>
  <c r="AJ124" i="40" s="1"/>
  <c r="AE123" i="40"/>
  <c r="AH123" i="40" s="1"/>
  <c r="AE122" i="40"/>
  <c r="AH122" i="40" s="1"/>
  <c r="AJ122" i="40" s="1"/>
  <c r="AE121" i="40"/>
  <c r="AH121" i="40" s="1"/>
  <c r="AJ121" i="40" s="1"/>
  <c r="AH120" i="40"/>
  <c r="AJ120" i="40" s="1"/>
  <c r="AE120" i="40"/>
  <c r="AI136" i="40"/>
  <c r="AE119" i="40"/>
  <c r="AH119" i="40" s="1"/>
  <c r="AE118" i="40"/>
  <c r="AE117" i="40"/>
  <c r="O136" i="40"/>
  <c r="AI114" i="40"/>
  <c r="AG114" i="40"/>
  <c r="AF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K114" i="40"/>
  <c r="J114" i="40"/>
  <c r="I114" i="40"/>
  <c r="H114" i="40"/>
  <c r="G114" i="40"/>
  <c r="F114" i="40"/>
  <c r="E114" i="40"/>
  <c r="AE113" i="40"/>
  <c r="AH113" i="40" s="1"/>
  <c r="AJ113" i="40" s="1"/>
  <c r="AE112" i="40"/>
  <c r="AH112" i="40" s="1"/>
  <c r="AJ112" i="40" s="1"/>
  <c r="AE111" i="40"/>
  <c r="AH111" i="40" s="1"/>
  <c r="AJ111" i="40" s="1"/>
  <c r="AE110" i="40"/>
  <c r="AH110" i="40" s="1"/>
  <c r="AJ110" i="40" s="1"/>
  <c r="AE109" i="40"/>
  <c r="AH109" i="40" s="1"/>
  <c r="AJ109" i="40" s="1"/>
  <c r="AE108" i="40"/>
  <c r="AH108" i="40" s="1"/>
  <c r="AJ108" i="40" s="1"/>
  <c r="AE107" i="40"/>
  <c r="AH107" i="40" s="1"/>
  <c r="AJ107" i="40" s="1"/>
  <c r="AE106" i="40"/>
  <c r="AH106" i="40" s="1"/>
  <c r="AJ106" i="40" s="1"/>
  <c r="AE105" i="40"/>
  <c r="AH105" i="40" s="1"/>
  <c r="AJ105" i="40" s="1"/>
  <c r="AE104" i="40"/>
  <c r="AH104" i="40" s="1"/>
  <c r="AJ104" i="40" s="1"/>
  <c r="AE103" i="40"/>
  <c r="AH103" i="40" s="1"/>
  <c r="AJ103" i="40" s="1"/>
  <c r="AE102" i="40"/>
  <c r="AH102" i="40" s="1"/>
  <c r="AJ102" i="40" s="1"/>
  <c r="AE101" i="40"/>
  <c r="AH101" i="40" s="1"/>
  <c r="AJ101" i="40" s="1"/>
  <c r="AE100" i="40"/>
  <c r="AH100" i="40" s="1"/>
  <c r="AJ100" i="40" s="1"/>
  <c r="AE99" i="40"/>
  <c r="AH99" i="40" s="1"/>
  <c r="AJ99" i="40" s="1"/>
  <c r="AE98" i="40"/>
  <c r="AH98" i="40" s="1"/>
  <c r="AJ98" i="40" s="1"/>
  <c r="AE97" i="40"/>
  <c r="AH97" i="40" s="1"/>
  <c r="AJ97" i="40" s="1"/>
  <c r="AE96" i="40"/>
  <c r="AH96" i="40" s="1"/>
  <c r="AJ96" i="40" s="1"/>
  <c r="AE95" i="40"/>
  <c r="AI93" i="40"/>
  <c r="AG93" i="40"/>
  <c r="AF93" i="40"/>
  <c r="AD93" i="40"/>
  <c r="AC93" i="40"/>
  <c r="AB93" i="40"/>
  <c r="AA93" i="40"/>
  <c r="Z93" i="40"/>
  <c r="Y93" i="40"/>
  <c r="X93" i="40"/>
  <c r="W93" i="40"/>
  <c r="V93" i="40"/>
  <c r="U93" i="40"/>
  <c r="T93" i="40"/>
  <c r="S93" i="40"/>
  <c r="R93" i="40"/>
  <c r="Q93" i="40"/>
  <c r="P93" i="40"/>
  <c r="O93" i="40"/>
  <c r="N93" i="40"/>
  <c r="M93" i="40"/>
  <c r="K93" i="40"/>
  <c r="J93" i="40"/>
  <c r="I93" i="40"/>
  <c r="H93" i="40"/>
  <c r="G93" i="40"/>
  <c r="F93" i="40"/>
  <c r="E93" i="40"/>
  <c r="AE92" i="40"/>
  <c r="AH92" i="40" s="1"/>
  <c r="AJ92" i="40" s="1"/>
  <c r="AE91" i="40"/>
  <c r="AH91" i="40" s="1"/>
  <c r="AJ91" i="40" s="1"/>
  <c r="AE90" i="40"/>
  <c r="AH90" i="40" s="1"/>
  <c r="AJ90" i="40" s="1"/>
  <c r="AE89" i="40"/>
  <c r="AH89" i="40" s="1"/>
  <c r="AJ89" i="40" s="1"/>
  <c r="AE88" i="40"/>
  <c r="AH88" i="40" s="1"/>
  <c r="AJ88" i="40" s="1"/>
  <c r="AE87" i="40"/>
  <c r="AH87" i="40" s="1"/>
  <c r="AJ87" i="40" s="1"/>
  <c r="AE86" i="40"/>
  <c r="AH86" i="40" s="1"/>
  <c r="AJ86" i="40" s="1"/>
  <c r="AE85" i="40"/>
  <c r="AH85" i="40" s="1"/>
  <c r="AJ85" i="40" s="1"/>
  <c r="AE84" i="40"/>
  <c r="AH84" i="40" s="1"/>
  <c r="AJ84" i="40" s="1"/>
  <c r="AE83" i="40"/>
  <c r="AH83" i="40" s="1"/>
  <c r="AJ83" i="40" s="1"/>
  <c r="AE82" i="40"/>
  <c r="AH82" i="40" s="1"/>
  <c r="AJ82" i="40" s="1"/>
  <c r="AE81" i="40"/>
  <c r="AH81" i="40" s="1"/>
  <c r="AJ81" i="40" s="1"/>
  <c r="AE80" i="40"/>
  <c r="AH80" i="40" s="1"/>
  <c r="AJ80" i="40" s="1"/>
  <c r="AE79" i="40"/>
  <c r="AH79" i="40" s="1"/>
  <c r="AJ79" i="40" s="1"/>
  <c r="AE78" i="40"/>
  <c r="AH78" i="40" s="1"/>
  <c r="AJ78" i="40" s="1"/>
  <c r="AE77" i="40"/>
  <c r="AH77" i="40" s="1"/>
  <c r="AJ77" i="40" s="1"/>
  <c r="AE76" i="40"/>
  <c r="AE75" i="40"/>
  <c r="AH75" i="40" s="1"/>
  <c r="AJ75" i="40" s="1"/>
  <c r="AE74" i="40"/>
  <c r="AH74" i="40" s="1"/>
  <c r="AI72" i="40"/>
  <c r="AG72" i="40"/>
  <c r="AF72" i="40"/>
  <c r="AC72" i="40"/>
  <c r="AB72" i="40"/>
  <c r="AA72" i="40"/>
  <c r="Z72" i="40"/>
  <c r="Y72" i="40"/>
  <c r="X72" i="40"/>
  <c r="W72" i="40"/>
  <c r="V72" i="40"/>
  <c r="T72" i="40"/>
  <c r="S72" i="40"/>
  <c r="R72" i="40"/>
  <c r="Q72" i="40"/>
  <c r="P72" i="40"/>
  <c r="O72" i="40"/>
  <c r="N72" i="40"/>
  <c r="M72" i="40"/>
  <c r="K72" i="40"/>
  <c r="J72" i="40"/>
  <c r="I72" i="40"/>
  <c r="H72" i="40"/>
  <c r="G72" i="40"/>
  <c r="F72" i="40"/>
  <c r="E72" i="40"/>
  <c r="AE71" i="40"/>
  <c r="AH71" i="40" s="1"/>
  <c r="AJ71" i="40" s="1"/>
  <c r="AE70" i="40"/>
  <c r="AH70" i="40" s="1"/>
  <c r="AJ70" i="40" s="1"/>
  <c r="AE69" i="40"/>
  <c r="AH69" i="40" s="1"/>
  <c r="AJ69" i="40" s="1"/>
  <c r="AE68" i="40"/>
  <c r="AH68" i="40" s="1"/>
  <c r="AJ68" i="40" s="1"/>
  <c r="AE67" i="40"/>
  <c r="AH67" i="40" s="1"/>
  <c r="AJ67" i="40" s="1"/>
  <c r="AE66" i="40"/>
  <c r="AH66" i="40" s="1"/>
  <c r="AJ66" i="40" s="1"/>
  <c r="AE65" i="40"/>
  <c r="AH65" i="40" s="1"/>
  <c r="AJ65" i="40" s="1"/>
  <c r="AE64" i="40"/>
  <c r="AH64" i="40" s="1"/>
  <c r="AJ64" i="40" s="1"/>
  <c r="AE63" i="40"/>
  <c r="AH63" i="40" s="1"/>
  <c r="AJ63" i="40" s="1"/>
  <c r="AE62" i="40"/>
  <c r="AH62" i="40" s="1"/>
  <c r="AJ62" i="40" s="1"/>
  <c r="AE61" i="40"/>
  <c r="AH61" i="40" s="1"/>
  <c r="AJ61" i="40" s="1"/>
  <c r="AE60" i="40"/>
  <c r="AH60" i="40" s="1"/>
  <c r="AJ60" i="40" s="1"/>
  <c r="AE59" i="40"/>
  <c r="AH59" i="40" s="1"/>
  <c r="AJ59" i="40" s="1"/>
  <c r="AE58" i="40"/>
  <c r="AH58" i="40" s="1"/>
  <c r="AJ58" i="40" s="1"/>
  <c r="AE57" i="40"/>
  <c r="AH57" i="40" s="1"/>
  <c r="AJ57" i="40" s="1"/>
  <c r="AE56" i="40"/>
  <c r="AH56" i="40" s="1"/>
  <c r="AI53" i="40"/>
  <c r="AG53" i="40"/>
  <c r="AF53" i="40"/>
  <c r="AC53" i="40"/>
  <c r="AB53" i="40"/>
  <c r="AA53" i="40"/>
  <c r="Z53" i="40"/>
  <c r="Y53" i="40"/>
  <c r="X53" i="40"/>
  <c r="W53" i="40"/>
  <c r="V53" i="40"/>
  <c r="T53" i="40"/>
  <c r="S53" i="40"/>
  <c r="R53" i="40"/>
  <c r="Q53" i="40"/>
  <c r="P53" i="40"/>
  <c r="O53" i="40"/>
  <c r="N53" i="40"/>
  <c r="M53" i="40"/>
  <c r="K53" i="40"/>
  <c r="J53" i="40"/>
  <c r="I53" i="40"/>
  <c r="H53" i="40"/>
  <c r="G53" i="40"/>
  <c r="F53" i="40"/>
  <c r="E53" i="40"/>
  <c r="AE52" i="40"/>
  <c r="AH52" i="40" s="1"/>
  <c r="AJ52" i="40" s="1"/>
  <c r="AE51" i="40"/>
  <c r="AH51" i="40" s="1"/>
  <c r="AJ51" i="40" s="1"/>
  <c r="AE50" i="40"/>
  <c r="AH50" i="40" s="1"/>
  <c r="AJ50" i="40" s="1"/>
  <c r="AH49" i="40"/>
  <c r="AJ49" i="40" s="1"/>
  <c r="AE49" i="40"/>
  <c r="AH48" i="40"/>
  <c r="AJ48" i="40" s="1"/>
  <c r="AE48" i="40"/>
  <c r="AE47" i="40"/>
  <c r="AH47" i="40" s="1"/>
  <c r="AJ47" i="40" s="1"/>
  <c r="AE46" i="40"/>
  <c r="AH46" i="40" s="1"/>
  <c r="AJ46" i="40" s="1"/>
  <c r="AE45" i="40"/>
  <c r="AH45" i="40" s="1"/>
  <c r="AJ45" i="40" s="1"/>
  <c r="AE44" i="40"/>
  <c r="AH44" i="40" s="1"/>
  <c r="AJ44" i="40" s="1"/>
  <c r="AE43" i="40"/>
  <c r="AH43" i="40" s="1"/>
  <c r="AJ43" i="40" s="1"/>
  <c r="AE42" i="40"/>
  <c r="AH42" i="40" s="1"/>
  <c r="AJ42" i="40" s="1"/>
  <c r="AH41" i="40"/>
  <c r="AJ41" i="40" s="1"/>
  <c r="AE41" i="40"/>
  <c r="AI38" i="40"/>
  <c r="AG38" i="40"/>
  <c r="AF38" i="40"/>
  <c r="AD38" i="40"/>
  <c r="AC38" i="40"/>
  <c r="AB38" i="40"/>
  <c r="AA38" i="40"/>
  <c r="Z38" i="40"/>
  <c r="Y38" i="40"/>
  <c r="X38" i="40"/>
  <c r="X171" i="40" s="1"/>
  <c r="X172" i="40" s="1"/>
  <c r="W38" i="40"/>
  <c r="V38" i="40"/>
  <c r="U38" i="40"/>
  <c r="T38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AE37" i="40"/>
  <c r="AH37" i="40" s="1"/>
  <c r="AJ37" i="40" s="1"/>
  <c r="AE36" i="40"/>
  <c r="AH36" i="40" s="1"/>
  <c r="AJ36" i="40" s="1"/>
  <c r="AE35" i="40"/>
  <c r="AH35" i="40" s="1"/>
  <c r="AJ35" i="40" s="1"/>
  <c r="AE34" i="40"/>
  <c r="AH34" i="40" s="1"/>
  <c r="AJ34" i="40" s="1"/>
  <c r="AE33" i="40"/>
  <c r="AH33" i="40" s="1"/>
  <c r="AJ33" i="40" s="1"/>
  <c r="AE32" i="40"/>
  <c r="AH32" i="40" s="1"/>
  <c r="AJ32" i="40" s="1"/>
  <c r="AE31" i="40"/>
  <c r="AH31" i="40" s="1"/>
  <c r="AJ31" i="40" s="1"/>
  <c r="AE30" i="40"/>
  <c r="AH30" i="40" s="1"/>
  <c r="AJ30" i="40" s="1"/>
  <c r="AE29" i="40"/>
  <c r="AH29" i="40" s="1"/>
  <c r="AJ29" i="40" s="1"/>
  <c r="AE28" i="40"/>
  <c r="AH28" i="40" s="1"/>
  <c r="AJ28" i="40" s="1"/>
  <c r="AE27" i="40"/>
  <c r="AH27" i="40" s="1"/>
  <c r="AJ27" i="40" s="1"/>
  <c r="AE26" i="40"/>
  <c r="AH26" i="40" s="1"/>
  <c r="AJ26" i="40" s="1"/>
  <c r="AE25" i="40"/>
  <c r="AH25" i="40" s="1"/>
  <c r="AJ25" i="40" s="1"/>
  <c r="AE24" i="40"/>
  <c r="AH24" i="40" s="1"/>
  <c r="AJ24" i="40" s="1"/>
  <c r="AE23" i="40"/>
  <c r="AH23" i="40" s="1"/>
  <c r="AJ23" i="40" s="1"/>
  <c r="AE22" i="40"/>
  <c r="AH22" i="40" s="1"/>
  <c r="AJ22" i="40" s="1"/>
  <c r="AE21" i="40"/>
  <c r="AH21" i="40" s="1"/>
  <c r="AJ21" i="40" s="1"/>
  <c r="AE20" i="40"/>
  <c r="AH20" i="40" s="1"/>
  <c r="AJ20" i="40" s="1"/>
  <c r="AE19" i="40"/>
  <c r="AH19" i="40" s="1"/>
  <c r="AJ19" i="40" s="1"/>
  <c r="AE18" i="40"/>
  <c r="AH18" i="40" s="1"/>
  <c r="AJ18" i="40" s="1"/>
  <c r="AE17" i="40"/>
  <c r="AH17" i="40" s="1"/>
  <c r="AJ17" i="40" s="1"/>
  <c r="AE16" i="40"/>
  <c r="AH16" i="40" s="1"/>
  <c r="AJ16" i="40" s="1"/>
  <c r="AE15" i="40"/>
  <c r="AH15" i="40" s="1"/>
  <c r="AJ15" i="40" s="1"/>
  <c r="AE14" i="40"/>
  <c r="AH14" i="40" s="1"/>
  <c r="AJ14" i="40" s="1"/>
  <c r="AE13" i="40"/>
  <c r="AH13" i="40" s="1"/>
  <c r="AJ13" i="40" s="1"/>
  <c r="AE12" i="40"/>
  <c r="AH12" i="40" s="1"/>
  <c r="AJ12" i="40" s="1"/>
  <c r="AE11" i="40"/>
  <c r="AH11" i="40" s="1"/>
  <c r="AJ11" i="40" s="1"/>
  <c r="AE10" i="40"/>
  <c r="AH10" i="40" s="1"/>
  <c r="AJ10" i="40" s="1"/>
  <c r="AE9" i="40"/>
  <c r="AH9" i="40" s="1"/>
  <c r="AJ9" i="40" s="1"/>
  <c r="AE8" i="40"/>
  <c r="AH8" i="40" s="1"/>
  <c r="AJ8" i="40" s="1"/>
  <c r="AE7" i="40"/>
  <c r="AH7" i="40" s="1"/>
  <c r="AJ7" i="40" s="1"/>
  <c r="AE6" i="40"/>
  <c r="AH6" i="40" s="1"/>
  <c r="AE5" i="40"/>
  <c r="AH5" i="40" s="1"/>
  <c r="AJ5" i="40" s="1"/>
  <c r="S171" i="40"/>
  <c r="S172" i="40" s="1"/>
  <c r="AE4" i="40"/>
  <c r="W181" i="19" s="1"/>
  <c r="A4" i="40"/>
  <c r="AM116" i="5"/>
  <c r="C275" i="19" s="1"/>
  <c r="N116" i="5"/>
  <c r="B275" i="19" s="1"/>
  <c r="O171" i="40" l="1"/>
  <c r="O172" i="40" s="1"/>
  <c r="AG171" i="40"/>
  <c r="AG172" i="40" s="1"/>
  <c r="AH72" i="40"/>
  <c r="AJ56" i="40"/>
  <c r="E171" i="40"/>
  <c r="E172" i="40" s="1"/>
  <c r="AH53" i="40"/>
  <c r="AE254" i="40"/>
  <c r="AE53" i="40"/>
  <c r="AB171" i="40"/>
  <c r="AB258" i="40" s="1"/>
  <c r="AB259" i="40" s="1"/>
  <c r="AF249" i="40"/>
  <c r="M181" i="19"/>
  <c r="P171" i="40"/>
  <c r="P172" i="40" s="1"/>
  <c r="AE114" i="40"/>
  <c r="F171" i="40"/>
  <c r="W171" i="40"/>
  <c r="W172" i="40" s="1"/>
  <c r="AJ6" i="40"/>
  <c r="AJ38" i="40" s="1"/>
  <c r="AH38" i="40"/>
  <c r="AH4" i="40"/>
  <c r="O258" i="40"/>
  <c r="M407" i="19" s="1"/>
  <c r="Z171" i="40"/>
  <c r="Z172" i="40" s="1"/>
  <c r="I171" i="40"/>
  <c r="I172" i="40" s="1"/>
  <c r="Y171" i="40"/>
  <c r="Y172" i="40" s="1"/>
  <c r="AH145" i="40"/>
  <c r="AJ148" i="40"/>
  <c r="AJ152" i="40" s="1"/>
  <c r="AE169" i="40"/>
  <c r="AH164" i="40"/>
  <c r="AJ72" i="40"/>
  <c r="AH76" i="40"/>
  <c r="AJ76" i="40" s="1"/>
  <c r="AE93" i="40"/>
  <c r="AE145" i="40"/>
  <c r="T171" i="40"/>
  <c r="T172" i="40" s="1"/>
  <c r="AJ4" i="40"/>
  <c r="AJ74" i="40"/>
  <c r="AH95" i="40"/>
  <c r="Q171" i="40"/>
  <c r="Q172" i="40" s="1"/>
  <c r="V171" i="40"/>
  <c r="V172" i="40" s="1"/>
  <c r="AC171" i="40"/>
  <c r="AC172" i="40" s="1"/>
  <c r="AE38" i="40"/>
  <c r="AE72" i="40"/>
  <c r="AF136" i="40"/>
  <c r="AF171" i="40" s="1"/>
  <c r="AF172" i="40" s="1"/>
  <c r="AH117" i="40"/>
  <c r="M136" i="40"/>
  <c r="M171" i="40" s="1"/>
  <c r="M172" i="40" s="1"/>
  <c r="AJ140" i="40"/>
  <c r="AJ145" i="40" s="1"/>
  <c r="J171" i="40"/>
  <c r="J172" i="40" s="1"/>
  <c r="M248" i="40"/>
  <c r="M249" i="40" s="1"/>
  <c r="AE176" i="40"/>
  <c r="X258" i="40"/>
  <c r="X259" i="40" s="1"/>
  <c r="AH118" i="40"/>
  <c r="AJ118" i="40" s="1"/>
  <c r="AE136" i="40"/>
  <c r="N171" i="40"/>
  <c r="N172" i="40" s="1"/>
  <c r="R171" i="40"/>
  <c r="R172" i="40" s="1"/>
  <c r="G171" i="40"/>
  <c r="G172" i="40" s="1"/>
  <c r="K171" i="40"/>
  <c r="K172" i="40" s="1"/>
  <c r="AA171" i="40"/>
  <c r="AA172" i="40" s="1"/>
  <c r="AJ53" i="40"/>
  <c r="AJ119" i="40"/>
  <c r="AJ123" i="40"/>
  <c r="AE161" i="40"/>
  <c r="AE180" i="40"/>
  <c r="AH180" i="40" s="1"/>
  <c r="AJ180" i="40" s="1"/>
  <c r="AE152" i="40"/>
  <c r="AE177" i="40"/>
  <c r="AH177" i="40" s="1"/>
  <c r="AJ177" i="40" s="1"/>
  <c r="Q248" i="40"/>
  <c r="Q249" i="40" s="1"/>
  <c r="AI171" i="40"/>
  <c r="AI172" i="40" s="1"/>
  <c r="J248" i="40"/>
  <c r="J249" i="40" s="1"/>
  <c r="H171" i="40"/>
  <c r="H172" i="40" s="1"/>
  <c r="AH155" i="40"/>
  <c r="AE179" i="40"/>
  <c r="AH179" i="40" s="1"/>
  <c r="AJ179" i="40" s="1"/>
  <c r="AE182" i="40"/>
  <c r="AH182" i="40" s="1"/>
  <c r="AJ182" i="40" s="1"/>
  <c r="S248" i="40"/>
  <c r="S249" i="40" s="1"/>
  <c r="AE185" i="40"/>
  <c r="AH185" i="40" s="1"/>
  <c r="AJ185" i="40" s="1"/>
  <c r="AH253" i="40"/>
  <c r="AJ253" i="40" s="1"/>
  <c r="AE208" i="40"/>
  <c r="AH208" i="40" s="1"/>
  <c r="AJ208" i="40" s="1"/>
  <c r="AJ252" i="40"/>
  <c r="D275" i="19"/>
  <c r="AF322" i="39"/>
  <c r="AI322" i="39" s="1"/>
  <c r="AK322" i="39" s="1"/>
  <c r="AF321" i="39"/>
  <c r="AI321" i="39" s="1"/>
  <c r="AK321" i="39" s="1"/>
  <c r="M408" i="19" l="1"/>
  <c r="AJ93" i="40"/>
  <c r="E258" i="40"/>
  <c r="E259" i="40" s="1"/>
  <c r="AB172" i="40"/>
  <c r="P258" i="40"/>
  <c r="O259" i="40"/>
  <c r="F258" i="40"/>
  <c r="C407" i="19" s="1"/>
  <c r="C408" i="19" s="1"/>
  <c r="F172" i="40"/>
  <c r="AF319" i="39"/>
  <c r="AI319" i="39" s="1"/>
  <c r="AK319" i="39" s="1"/>
  <c r="AF320" i="39"/>
  <c r="AI320" i="39" s="1"/>
  <c r="AK320" i="39" s="1"/>
  <c r="AE249" i="40"/>
  <c r="S258" i="40"/>
  <c r="W258" i="40"/>
  <c r="W259" i="40" s="1"/>
  <c r="AE171" i="40"/>
  <c r="AE172" i="40" s="1"/>
  <c r="M258" i="40"/>
  <c r="K407" i="19" s="1"/>
  <c r="K408" i="19" s="1"/>
  <c r="Z258" i="40"/>
  <c r="Z259" i="40" s="1"/>
  <c r="AA258" i="40"/>
  <c r="AA259" i="40" s="1"/>
  <c r="AC258" i="40"/>
  <c r="AC259" i="40" s="1"/>
  <c r="AI258" i="40"/>
  <c r="AI259" i="40" s="1"/>
  <c r="AH176" i="40"/>
  <c r="AE248" i="40"/>
  <c r="AH161" i="40"/>
  <c r="AJ155" i="40"/>
  <c r="AJ161" i="40" s="1"/>
  <c r="N258" i="40"/>
  <c r="AJ95" i="40"/>
  <c r="AJ114" i="40" s="1"/>
  <c r="AH114" i="40"/>
  <c r="K258" i="40"/>
  <c r="V258" i="40"/>
  <c r="V259" i="40" s="1"/>
  <c r="AJ254" i="40"/>
  <c r="H258" i="40"/>
  <c r="E407" i="19" s="1"/>
  <c r="E408" i="19" s="1"/>
  <c r="AH254" i="40"/>
  <c r="G258" i="40"/>
  <c r="D407" i="19" s="1"/>
  <c r="AJ117" i="40"/>
  <c r="AJ136" i="40" s="1"/>
  <c r="AH136" i="40"/>
  <c r="Q258" i="40"/>
  <c r="AH169" i="40"/>
  <c r="AJ164" i="40"/>
  <c r="AJ169" i="40" s="1"/>
  <c r="Y258" i="40"/>
  <c r="Y259" i="40" s="1"/>
  <c r="AF258" i="40"/>
  <c r="AF259" i="40" s="1"/>
  <c r="R258" i="40"/>
  <c r="J258" i="40"/>
  <c r="T258" i="40"/>
  <c r="I258" i="40"/>
  <c r="AH93" i="40"/>
  <c r="D408" i="19" l="1"/>
  <c r="B410" i="19" s="1"/>
  <c r="B409" i="19"/>
  <c r="AB407" i="19"/>
  <c r="M218" i="19" s="1"/>
  <c r="J259" i="40"/>
  <c r="R259" i="40"/>
  <c r="N259" i="40"/>
  <c r="S259" i="40"/>
  <c r="Q259" i="40"/>
  <c r="M259" i="40"/>
  <c r="T259" i="40"/>
  <c r="P259" i="40"/>
  <c r="H259" i="40"/>
  <c r="I259" i="40"/>
  <c r="K259" i="40"/>
  <c r="F259" i="40"/>
  <c r="G259" i="40"/>
  <c r="AE258" i="40"/>
  <c r="AE259" i="40" s="1"/>
  <c r="L181" i="19"/>
  <c r="AJ171" i="40"/>
  <c r="AJ172" i="40" s="1"/>
  <c r="AC267" i="40"/>
  <c r="V261" i="40"/>
  <c r="V260" i="40"/>
  <c r="M261" i="40"/>
  <c r="E261" i="40"/>
  <c r="AH171" i="40"/>
  <c r="AH172" i="40" s="1"/>
  <c r="AH248" i="40"/>
  <c r="AH249" i="40" s="1"/>
  <c r="AJ176" i="40"/>
  <c r="AJ248" i="40" s="1"/>
  <c r="AJ249" i="40" s="1"/>
  <c r="AB408" i="19" l="1"/>
  <c r="K382" i="19"/>
  <c r="M260" i="40"/>
  <c r="E260" i="40"/>
  <c r="AC265" i="40"/>
  <c r="N181" i="19"/>
  <c r="AJ258" i="40"/>
  <c r="AJ259" i="40" s="1"/>
  <c r="AH258" i="40"/>
  <c r="AH259" i="40" s="1"/>
  <c r="CI276" i="6" l="1"/>
  <c r="CL276" i="6" s="1"/>
  <c r="CN276" i="6" s="1"/>
  <c r="AE172" i="12" l="1"/>
  <c r="AH172" i="12" s="1"/>
  <c r="AJ172" i="12" s="1"/>
  <c r="CI190" i="6" l="1"/>
  <c r="A4" i="15" l="1"/>
  <c r="BB75" i="1" l="1"/>
  <c r="AE180" i="8"/>
  <c r="AH180" i="8" s="1"/>
  <c r="AJ180" i="8" s="1"/>
  <c r="AE152" i="31" l="1"/>
  <c r="AH152" i="31" s="1"/>
  <c r="AJ152" i="31" s="1"/>
  <c r="AE155" i="14"/>
  <c r="AH155" i="14" s="1"/>
  <c r="AJ155" i="14" s="1"/>
  <c r="AE114" i="1" l="1"/>
  <c r="C150" i="19" s="1"/>
  <c r="I114" i="1"/>
  <c r="B150" i="19" s="1"/>
  <c r="BB22" i="1" l="1"/>
  <c r="Y105" i="39" l="1"/>
  <c r="AE59" i="23" l="1"/>
  <c r="AD265" i="39" l="1"/>
  <c r="AC265" i="39"/>
  <c r="AB265" i="39"/>
  <c r="AA265" i="39"/>
  <c r="Y265" i="39"/>
  <c r="W265" i="39"/>
  <c r="AD256" i="39"/>
  <c r="AC256" i="39"/>
  <c r="AB256" i="39"/>
  <c r="AA256" i="39"/>
  <c r="Y256" i="39"/>
  <c r="W256" i="39"/>
  <c r="AD249" i="39"/>
  <c r="AC249" i="39"/>
  <c r="AB249" i="39"/>
  <c r="AA249" i="39"/>
  <c r="Y249" i="39"/>
  <c r="W249" i="39"/>
  <c r="AD241" i="39"/>
  <c r="AC241" i="39"/>
  <c r="AB241" i="39"/>
  <c r="AA241" i="39"/>
  <c r="Y241" i="39"/>
  <c r="W241" i="39"/>
  <c r="AD171" i="39"/>
  <c r="AC171" i="39"/>
  <c r="AB171" i="39"/>
  <c r="AA171" i="39"/>
  <c r="Y171" i="39"/>
  <c r="W171" i="39"/>
  <c r="AD138" i="39"/>
  <c r="AC138" i="39"/>
  <c r="AB138" i="39"/>
  <c r="AA138" i="39"/>
  <c r="Y138" i="39"/>
  <c r="W138" i="39"/>
  <c r="AD105" i="39"/>
  <c r="AC105" i="39"/>
  <c r="AB105" i="39"/>
  <c r="AA105" i="39"/>
  <c r="W105" i="39"/>
  <c r="AD70" i="39"/>
  <c r="AC70" i="39"/>
  <c r="AB70" i="39"/>
  <c r="AA70" i="39"/>
  <c r="Y70" i="39"/>
  <c r="W70" i="39"/>
  <c r="AD34" i="39"/>
  <c r="AC34" i="39"/>
  <c r="AB34" i="39"/>
  <c r="AA34" i="39"/>
  <c r="Y34" i="39"/>
  <c r="W34" i="39"/>
  <c r="AD3" i="39"/>
  <c r="AC3" i="39"/>
  <c r="AB3" i="39"/>
  <c r="AA3" i="39"/>
  <c r="Y3" i="39"/>
  <c r="M185" i="19" l="1"/>
  <c r="C255" i="19" l="1"/>
  <c r="AA136" i="19"/>
  <c r="AA137" i="19" s="1"/>
  <c r="Z136" i="19"/>
  <c r="Z137" i="19" s="1"/>
  <c r="Y137" i="19"/>
  <c r="X136" i="19"/>
  <c r="X137" i="19" s="1"/>
  <c r="V136" i="19"/>
  <c r="V137" i="19" s="1"/>
  <c r="U136" i="19"/>
  <c r="U137" i="19" s="1"/>
  <c r="T136" i="19"/>
  <c r="M137" i="19"/>
  <c r="AD354" i="39"/>
  <c r="AJ342" i="39"/>
  <c r="AG342" i="39"/>
  <c r="AD342" i="39"/>
  <c r="AC342" i="39"/>
  <c r="AB342" i="39"/>
  <c r="AA342" i="39"/>
  <c r="Z342" i="39"/>
  <c r="Y342" i="39"/>
  <c r="X342" i="39"/>
  <c r="W342" i="39"/>
  <c r="U342" i="39"/>
  <c r="T342" i="39"/>
  <c r="S342" i="39"/>
  <c r="R342" i="39"/>
  <c r="Q342" i="39"/>
  <c r="P342" i="39"/>
  <c r="O342" i="39"/>
  <c r="N342" i="39"/>
  <c r="L342" i="39"/>
  <c r="K342" i="39"/>
  <c r="J342" i="39"/>
  <c r="I342" i="39"/>
  <c r="H342" i="39"/>
  <c r="G342" i="39"/>
  <c r="F342" i="39"/>
  <c r="E342" i="39"/>
  <c r="AF341" i="39"/>
  <c r="AI341" i="39" s="1"/>
  <c r="AK341" i="39" s="1"/>
  <c r="AF340" i="39"/>
  <c r="AJ336" i="39"/>
  <c r="AJ337" i="39" s="1"/>
  <c r="AH336" i="39"/>
  <c r="AH337" i="39" s="1"/>
  <c r="AG336" i="39"/>
  <c r="AG337" i="39" s="1"/>
  <c r="AE336" i="39"/>
  <c r="AD336" i="39"/>
  <c r="AD337" i="39" s="1"/>
  <c r="AB336" i="39"/>
  <c r="AB337" i="39" s="1"/>
  <c r="AA336" i="39"/>
  <c r="AA337" i="39" s="1"/>
  <c r="Z336" i="39"/>
  <c r="Z337" i="39" s="1"/>
  <c r="Y336" i="39"/>
  <c r="Y337" i="39" s="1"/>
  <c r="X336" i="39"/>
  <c r="X337" i="39" s="1"/>
  <c r="W336" i="39"/>
  <c r="W337" i="39" s="1"/>
  <c r="V336" i="39"/>
  <c r="U336" i="39"/>
  <c r="U337" i="39" s="1"/>
  <c r="R336" i="39"/>
  <c r="R337" i="39" s="1"/>
  <c r="Q336" i="39"/>
  <c r="Q337" i="39" s="1"/>
  <c r="P336" i="39"/>
  <c r="P337" i="39" s="1"/>
  <c r="N336" i="39"/>
  <c r="N337" i="39" s="1"/>
  <c r="M336" i="39"/>
  <c r="I336" i="39"/>
  <c r="I337" i="39" s="1"/>
  <c r="H336" i="39"/>
  <c r="H337" i="39" s="1"/>
  <c r="E336" i="39"/>
  <c r="E337" i="39" s="1"/>
  <c r="AF335" i="39"/>
  <c r="AI335" i="39" s="1"/>
  <c r="AK335" i="39" s="1"/>
  <c r="AF334" i="39"/>
  <c r="AI334" i="39" s="1"/>
  <c r="AK334" i="39" s="1"/>
  <c r="AF318" i="39"/>
  <c r="AI318" i="39" s="1"/>
  <c r="AK318" i="39" s="1"/>
  <c r="AF317" i="39"/>
  <c r="AI317" i="39" s="1"/>
  <c r="AK317" i="39" s="1"/>
  <c r="AF316" i="39"/>
  <c r="AI316" i="39" s="1"/>
  <c r="AK316" i="39" s="1"/>
  <c r="AF315" i="39"/>
  <c r="AI315" i="39" s="1"/>
  <c r="AK315" i="39" s="1"/>
  <c r="AF314" i="39"/>
  <c r="AI314" i="39" s="1"/>
  <c r="AK314" i="39" s="1"/>
  <c r="AF313" i="39"/>
  <c r="AI313" i="39" s="1"/>
  <c r="AK313" i="39" s="1"/>
  <c r="AF312" i="39"/>
  <c r="AI312" i="39" s="1"/>
  <c r="AK312" i="39" s="1"/>
  <c r="AF311" i="39"/>
  <c r="AI311" i="39" s="1"/>
  <c r="AK311" i="39" s="1"/>
  <c r="AF310" i="39"/>
  <c r="AI310" i="39" s="1"/>
  <c r="AK310" i="39" s="1"/>
  <c r="AF309" i="39"/>
  <c r="AI309" i="39" s="1"/>
  <c r="AK309" i="39" s="1"/>
  <c r="AF308" i="39"/>
  <c r="AI308" i="39" s="1"/>
  <c r="AK308" i="39" s="1"/>
  <c r="AF307" i="39"/>
  <c r="AI307" i="39" s="1"/>
  <c r="AK307" i="39" s="1"/>
  <c r="AF306" i="39"/>
  <c r="AI306" i="39" s="1"/>
  <c r="AK306" i="39" s="1"/>
  <c r="AF305" i="39"/>
  <c r="AI305" i="39" s="1"/>
  <c r="AK305" i="39" s="1"/>
  <c r="AF304" i="39"/>
  <c r="AI304" i="39" s="1"/>
  <c r="AK304" i="39" s="1"/>
  <c r="AF303" i="39"/>
  <c r="AI303" i="39" s="1"/>
  <c r="AK303" i="39" s="1"/>
  <c r="AF302" i="39"/>
  <c r="AI302" i="39" s="1"/>
  <c r="AK302" i="39" s="1"/>
  <c r="AF301" i="39"/>
  <c r="AI301" i="39" s="1"/>
  <c r="AK301" i="39" s="1"/>
  <c r="AF300" i="39"/>
  <c r="AI300" i="39" s="1"/>
  <c r="AK300" i="39" s="1"/>
  <c r="AF299" i="39"/>
  <c r="AI299" i="39" s="1"/>
  <c r="AK299" i="39" s="1"/>
  <c r="AF298" i="39"/>
  <c r="AI298" i="39" s="1"/>
  <c r="AK298" i="39" s="1"/>
  <c r="AF297" i="39"/>
  <c r="AI297" i="39" s="1"/>
  <c r="AK297" i="39" s="1"/>
  <c r="AF296" i="39"/>
  <c r="AI296" i="39" s="1"/>
  <c r="AK296" i="39" s="1"/>
  <c r="T336" i="39"/>
  <c r="T337" i="39" s="1"/>
  <c r="AF295" i="39"/>
  <c r="AI295" i="39" s="1"/>
  <c r="AK295" i="39" s="1"/>
  <c r="AF294" i="39"/>
  <c r="AI294" i="39" s="1"/>
  <c r="AK294" i="39" s="1"/>
  <c r="AF293" i="39"/>
  <c r="AI293" i="39" s="1"/>
  <c r="AK293" i="39" s="1"/>
  <c r="AF292" i="39"/>
  <c r="AI292" i="39" s="1"/>
  <c r="AK292" i="39" s="1"/>
  <c r="AF291" i="39"/>
  <c r="AI291" i="39" s="1"/>
  <c r="AK291" i="39" s="1"/>
  <c r="AF290" i="39"/>
  <c r="AI290" i="39" s="1"/>
  <c r="AK290" i="39" s="1"/>
  <c r="AF289" i="39"/>
  <c r="AI289" i="39" s="1"/>
  <c r="AK289" i="39" s="1"/>
  <c r="AF288" i="39"/>
  <c r="AI288" i="39" s="1"/>
  <c r="AK288" i="39" s="1"/>
  <c r="AF287" i="39"/>
  <c r="AI287" i="39" s="1"/>
  <c r="AK287" i="39" s="1"/>
  <c r="AF286" i="39"/>
  <c r="AI286" i="39" s="1"/>
  <c r="AK286" i="39" s="1"/>
  <c r="AF285" i="39"/>
  <c r="AI285" i="39" s="1"/>
  <c r="AK285" i="39" s="1"/>
  <c r="AF284" i="39"/>
  <c r="AI284" i="39" s="1"/>
  <c r="AK284" i="39" s="1"/>
  <c r="L336" i="39"/>
  <c r="L337" i="39" s="1"/>
  <c r="AF282" i="39"/>
  <c r="AI282" i="39" s="1"/>
  <c r="AK282" i="39" s="1"/>
  <c r="AF281" i="39"/>
  <c r="AI281" i="39" s="1"/>
  <c r="AK281" i="39" s="1"/>
  <c r="O336" i="39"/>
  <c r="O337" i="39" s="1"/>
  <c r="S336" i="39"/>
  <c r="S337" i="39" s="1"/>
  <c r="J336" i="39"/>
  <c r="J337" i="39" s="1"/>
  <c r="F336" i="39"/>
  <c r="F337" i="39" s="1"/>
  <c r="AF279" i="39"/>
  <c r="AI279" i="39" s="1"/>
  <c r="AK279" i="39" s="1"/>
  <c r="AF278" i="39"/>
  <c r="AD277" i="39"/>
  <c r="AC277" i="39"/>
  <c r="AB277" i="39"/>
  <c r="AA277" i="39"/>
  <c r="Y277" i="39"/>
  <c r="W277" i="39"/>
  <c r="W276" i="39"/>
  <c r="N276" i="39"/>
  <c r="E276" i="39"/>
  <c r="AJ271" i="39"/>
  <c r="AG271" i="39"/>
  <c r="AD271" i="39"/>
  <c r="AC271" i="39"/>
  <c r="AB271" i="39"/>
  <c r="AA271" i="39"/>
  <c r="Z271" i="39"/>
  <c r="Y271" i="39"/>
  <c r="X271" i="39"/>
  <c r="W271" i="39"/>
  <c r="U271" i="39"/>
  <c r="T271" i="39"/>
  <c r="S271" i="39"/>
  <c r="R271" i="39"/>
  <c r="Q271" i="39"/>
  <c r="P271" i="39"/>
  <c r="O271" i="39"/>
  <c r="N271" i="39"/>
  <c r="L271" i="39"/>
  <c r="K271" i="39"/>
  <c r="J271" i="39"/>
  <c r="I271" i="39"/>
  <c r="H271" i="39"/>
  <c r="G271" i="39"/>
  <c r="F271" i="39"/>
  <c r="E271" i="39"/>
  <c r="AF270" i="39"/>
  <c r="AI270" i="39" s="1"/>
  <c r="AK270" i="39" s="1"/>
  <c r="AF269" i="39"/>
  <c r="AI269" i="39" s="1"/>
  <c r="AK269" i="39" s="1"/>
  <c r="AF268" i="39"/>
  <c r="AI268" i="39" s="1"/>
  <c r="AK268" i="39" s="1"/>
  <c r="AF267" i="39"/>
  <c r="AI267" i="39" s="1"/>
  <c r="AK267" i="39" s="1"/>
  <c r="AF266" i="39"/>
  <c r="AI266" i="39" s="1"/>
  <c r="AJ263" i="39"/>
  <c r="AH263" i="39"/>
  <c r="AG263" i="39"/>
  <c r="AD263" i="39"/>
  <c r="AC263" i="39"/>
  <c r="AB263" i="39"/>
  <c r="AA263" i="39"/>
  <c r="Z263" i="39"/>
  <c r="Y263" i="39"/>
  <c r="X263" i="39"/>
  <c r="W263" i="39"/>
  <c r="U263" i="39"/>
  <c r="T263" i="39"/>
  <c r="S263" i="39"/>
  <c r="R263" i="39"/>
  <c r="Q263" i="39"/>
  <c r="P263" i="39"/>
  <c r="O263" i="39"/>
  <c r="N263" i="39"/>
  <c r="L263" i="39"/>
  <c r="K263" i="39"/>
  <c r="J263" i="39"/>
  <c r="I263" i="39"/>
  <c r="H263" i="39"/>
  <c r="G263" i="39"/>
  <c r="F263" i="39"/>
  <c r="E263" i="39"/>
  <c r="AF262" i="39"/>
  <c r="AI262" i="39" s="1"/>
  <c r="AK262" i="39" s="1"/>
  <c r="AF261" i="39"/>
  <c r="AI261" i="39" s="1"/>
  <c r="AK261" i="39" s="1"/>
  <c r="AF260" i="39"/>
  <c r="AI260" i="39" s="1"/>
  <c r="AK260" i="39" s="1"/>
  <c r="AF259" i="39"/>
  <c r="AI259" i="39" s="1"/>
  <c r="AK259" i="39" s="1"/>
  <c r="AF258" i="39"/>
  <c r="AI258" i="39" s="1"/>
  <c r="AK258" i="39" s="1"/>
  <c r="AF257" i="39"/>
  <c r="AI257" i="39" s="1"/>
  <c r="AK257" i="39" s="1"/>
  <c r="AJ254" i="39"/>
  <c r="AG254" i="39"/>
  <c r="AD254" i="39"/>
  <c r="AC254" i="39"/>
  <c r="AB254" i="39"/>
  <c r="AA254" i="39"/>
  <c r="Z254" i="39"/>
  <c r="Y254" i="39"/>
  <c r="X254" i="39"/>
  <c r="W254" i="39"/>
  <c r="U254" i="39"/>
  <c r="T254" i="39"/>
  <c r="S254" i="39"/>
  <c r="R254" i="39"/>
  <c r="Q254" i="39"/>
  <c r="P254" i="39"/>
  <c r="O254" i="39"/>
  <c r="N254" i="39"/>
  <c r="L254" i="39"/>
  <c r="K254" i="39"/>
  <c r="J254" i="39"/>
  <c r="I254" i="39"/>
  <c r="H254" i="39"/>
  <c r="G254" i="39"/>
  <c r="F254" i="39"/>
  <c r="E254" i="39"/>
  <c r="AF253" i="39"/>
  <c r="AI253" i="39" s="1"/>
  <c r="AK253" i="39" s="1"/>
  <c r="AF252" i="39"/>
  <c r="AI252" i="39" s="1"/>
  <c r="AK252" i="39" s="1"/>
  <c r="AF251" i="39"/>
  <c r="AI251" i="39" s="1"/>
  <c r="AK251" i="39" s="1"/>
  <c r="AF250" i="39"/>
  <c r="AI250" i="39" s="1"/>
  <c r="AJ247" i="39"/>
  <c r="AH247" i="39"/>
  <c r="AG247" i="39"/>
  <c r="AD247" i="39"/>
  <c r="AC247" i="39"/>
  <c r="AB247" i="39"/>
  <c r="AA247" i="39"/>
  <c r="Z247" i="39"/>
  <c r="Y247" i="39"/>
  <c r="X247" i="39"/>
  <c r="W247" i="39"/>
  <c r="U247" i="39"/>
  <c r="T247" i="39"/>
  <c r="S247" i="39"/>
  <c r="R247" i="39"/>
  <c r="Q247" i="39"/>
  <c r="P247" i="39"/>
  <c r="O247" i="39"/>
  <c r="N247" i="39"/>
  <c r="L247" i="39"/>
  <c r="K247" i="39"/>
  <c r="J247" i="39"/>
  <c r="I247" i="39"/>
  <c r="H247" i="39"/>
  <c r="G247" i="39"/>
  <c r="F247" i="39"/>
  <c r="E247" i="39"/>
  <c r="AF246" i="39"/>
  <c r="AI246" i="39" s="1"/>
  <c r="AK246" i="39" s="1"/>
  <c r="AF245" i="39"/>
  <c r="AI245" i="39" s="1"/>
  <c r="AK245" i="39" s="1"/>
  <c r="AF244" i="39"/>
  <c r="AI244" i="39" s="1"/>
  <c r="AK244" i="39" s="1"/>
  <c r="AF243" i="39"/>
  <c r="AI243" i="39" s="1"/>
  <c r="AF242" i="39"/>
  <c r="AI242" i="39" s="1"/>
  <c r="AK242" i="39" s="1"/>
  <c r="AM205" i="39"/>
  <c r="AL205" i="39"/>
  <c r="AJ205" i="39"/>
  <c r="AH205" i="39"/>
  <c r="AG205" i="39"/>
  <c r="AD205" i="39"/>
  <c r="AC205" i="39"/>
  <c r="AB205" i="39"/>
  <c r="AA205" i="39"/>
  <c r="Z205" i="39"/>
  <c r="Y205" i="39"/>
  <c r="X205" i="39"/>
  <c r="W205" i="39"/>
  <c r="U205" i="39"/>
  <c r="T205" i="39"/>
  <c r="S205" i="39"/>
  <c r="R205" i="39"/>
  <c r="Q205" i="39"/>
  <c r="P205" i="39"/>
  <c r="O205" i="39"/>
  <c r="N205" i="39"/>
  <c r="L205" i="39"/>
  <c r="K205" i="39"/>
  <c r="J205" i="39"/>
  <c r="I205" i="39"/>
  <c r="H205" i="39"/>
  <c r="G205" i="39"/>
  <c r="F205" i="39"/>
  <c r="E205" i="39"/>
  <c r="AF204" i="39"/>
  <c r="AI204" i="39" s="1"/>
  <c r="AK204" i="39" s="1"/>
  <c r="AF203" i="39"/>
  <c r="AI203" i="39" s="1"/>
  <c r="AK203" i="39" s="1"/>
  <c r="AF202" i="39"/>
  <c r="AI202" i="39" s="1"/>
  <c r="AK202" i="39" s="1"/>
  <c r="AF201" i="39"/>
  <c r="AI201" i="39" s="1"/>
  <c r="AK201" i="39" s="1"/>
  <c r="AF200" i="39"/>
  <c r="AI200" i="39" s="1"/>
  <c r="AK200" i="39" s="1"/>
  <c r="AF199" i="39"/>
  <c r="AI199" i="39" s="1"/>
  <c r="AK199" i="39" s="1"/>
  <c r="AF198" i="39"/>
  <c r="AI198" i="39" s="1"/>
  <c r="AK198" i="39" s="1"/>
  <c r="AF197" i="39"/>
  <c r="AI197" i="39" s="1"/>
  <c r="AK197" i="39" s="1"/>
  <c r="AF196" i="39"/>
  <c r="AI196" i="39" s="1"/>
  <c r="AK196" i="39" s="1"/>
  <c r="AF195" i="39"/>
  <c r="AI195" i="39" s="1"/>
  <c r="AK195" i="39" s="1"/>
  <c r="AF194" i="39"/>
  <c r="AI194" i="39" s="1"/>
  <c r="AK194" i="39" s="1"/>
  <c r="AF193" i="39"/>
  <c r="AI193" i="39" s="1"/>
  <c r="AK193" i="39" s="1"/>
  <c r="AF192" i="39"/>
  <c r="AI192" i="39" s="1"/>
  <c r="AK192" i="39" s="1"/>
  <c r="AF191" i="39"/>
  <c r="AI191" i="39" s="1"/>
  <c r="AK191" i="39" s="1"/>
  <c r="AF190" i="39"/>
  <c r="AI190" i="39" s="1"/>
  <c r="AK190" i="39" s="1"/>
  <c r="AF189" i="39"/>
  <c r="AI189" i="39" s="1"/>
  <c r="AK189" i="39" s="1"/>
  <c r="AF188" i="39"/>
  <c r="AI188" i="39" s="1"/>
  <c r="AK188" i="39" s="1"/>
  <c r="AF187" i="39"/>
  <c r="AI187" i="39" s="1"/>
  <c r="AK187" i="39" s="1"/>
  <c r="AF186" i="39"/>
  <c r="AI186" i="39" s="1"/>
  <c r="AK186" i="39" s="1"/>
  <c r="AF185" i="39"/>
  <c r="AI185" i="39" s="1"/>
  <c r="AK185" i="39" s="1"/>
  <c r="AF184" i="39"/>
  <c r="AI184" i="39" s="1"/>
  <c r="AK184" i="39" s="1"/>
  <c r="AF183" i="39"/>
  <c r="AI183" i="39" s="1"/>
  <c r="AK183" i="39" s="1"/>
  <c r="AF182" i="39"/>
  <c r="AI182" i="39" s="1"/>
  <c r="AK182" i="39" s="1"/>
  <c r="AF181" i="39"/>
  <c r="AI181" i="39" s="1"/>
  <c r="AK181" i="39" s="1"/>
  <c r="AF180" i="39"/>
  <c r="AI180" i="39" s="1"/>
  <c r="AK180" i="39" s="1"/>
  <c r="AF179" i="39"/>
  <c r="AI179" i="39" s="1"/>
  <c r="AK179" i="39" s="1"/>
  <c r="AF178" i="39"/>
  <c r="AI178" i="39" s="1"/>
  <c r="AK178" i="39" s="1"/>
  <c r="AF177" i="39"/>
  <c r="AI177" i="39" s="1"/>
  <c r="AK177" i="39" s="1"/>
  <c r="AF176" i="39"/>
  <c r="AI176" i="39" s="1"/>
  <c r="AK176" i="39" s="1"/>
  <c r="AF175" i="39"/>
  <c r="AI175" i="39" s="1"/>
  <c r="AK175" i="39" s="1"/>
  <c r="AF174" i="39"/>
  <c r="AI174" i="39" s="1"/>
  <c r="AK174" i="39" s="1"/>
  <c r="AF173" i="39"/>
  <c r="AF172" i="39"/>
  <c r="AI172" i="39" s="1"/>
  <c r="AK172" i="39" s="1"/>
  <c r="AL170" i="39"/>
  <c r="AJ170" i="39"/>
  <c r="AH170" i="39"/>
  <c r="AG170" i="39"/>
  <c r="AD170" i="39"/>
  <c r="AC170" i="39"/>
  <c r="AB170" i="39"/>
  <c r="AA170" i="39"/>
  <c r="Z170" i="39"/>
  <c r="Y170" i="39"/>
  <c r="X170" i="39"/>
  <c r="W170" i="39"/>
  <c r="U170" i="39"/>
  <c r="T170" i="39"/>
  <c r="S170" i="39"/>
  <c r="R170" i="39"/>
  <c r="Q170" i="39"/>
  <c r="P170" i="39"/>
  <c r="O170" i="39"/>
  <c r="N170" i="39"/>
  <c r="L170" i="39"/>
  <c r="K170" i="39"/>
  <c r="J170" i="39"/>
  <c r="I170" i="39"/>
  <c r="H170" i="39"/>
  <c r="G170" i="39"/>
  <c r="F170" i="39"/>
  <c r="E170" i="39"/>
  <c r="AF169" i="39"/>
  <c r="AI169" i="39" s="1"/>
  <c r="AK169" i="39" s="1"/>
  <c r="AF168" i="39"/>
  <c r="AI168" i="39" s="1"/>
  <c r="AK168" i="39" s="1"/>
  <c r="AF167" i="39"/>
  <c r="AI167" i="39" s="1"/>
  <c r="AK167" i="39" s="1"/>
  <c r="AF166" i="39"/>
  <c r="AI166" i="39" s="1"/>
  <c r="AK166" i="39" s="1"/>
  <c r="AF165" i="39"/>
  <c r="AI165" i="39" s="1"/>
  <c r="AK165" i="39" s="1"/>
  <c r="AF164" i="39"/>
  <c r="AI164" i="39" s="1"/>
  <c r="AK164" i="39" s="1"/>
  <c r="AF163" i="39"/>
  <c r="AI163" i="39" s="1"/>
  <c r="AK163" i="39" s="1"/>
  <c r="AF162" i="39"/>
  <c r="AI162" i="39" s="1"/>
  <c r="AK162" i="39" s="1"/>
  <c r="AF161" i="39"/>
  <c r="AI161" i="39" s="1"/>
  <c r="AK161" i="39" s="1"/>
  <c r="AF160" i="39"/>
  <c r="AI160" i="39" s="1"/>
  <c r="AK160" i="39" s="1"/>
  <c r="AF159" i="39"/>
  <c r="AI159" i="39" s="1"/>
  <c r="AK159" i="39" s="1"/>
  <c r="AF158" i="39"/>
  <c r="AI158" i="39" s="1"/>
  <c r="AK158" i="39" s="1"/>
  <c r="AF157" i="39"/>
  <c r="AI157" i="39" s="1"/>
  <c r="AK157" i="39" s="1"/>
  <c r="AF156" i="39"/>
  <c r="AI156" i="39" s="1"/>
  <c r="AK156" i="39" s="1"/>
  <c r="AF155" i="39"/>
  <c r="AI155" i="39" s="1"/>
  <c r="AK155" i="39" s="1"/>
  <c r="AF154" i="39"/>
  <c r="AI154" i="39" s="1"/>
  <c r="AK154" i="39" s="1"/>
  <c r="AF153" i="39"/>
  <c r="AI153" i="39" s="1"/>
  <c r="AK153" i="39" s="1"/>
  <c r="AF152" i="39"/>
  <c r="AI152" i="39" s="1"/>
  <c r="AK152" i="39" s="1"/>
  <c r="AF151" i="39"/>
  <c r="AI151" i="39" s="1"/>
  <c r="AK151" i="39" s="1"/>
  <c r="AF150" i="39"/>
  <c r="AI150" i="39" s="1"/>
  <c r="AK150" i="39" s="1"/>
  <c r="AF149" i="39"/>
  <c r="AI149" i="39" s="1"/>
  <c r="AK149" i="39" s="1"/>
  <c r="AF148" i="39"/>
  <c r="AI148" i="39" s="1"/>
  <c r="AK148" i="39" s="1"/>
  <c r="AF147" i="39"/>
  <c r="AI147" i="39" s="1"/>
  <c r="AK147" i="39" s="1"/>
  <c r="AF146" i="39"/>
  <c r="AI146" i="39" s="1"/>
  <c r="AK146" i="39" s="1"/>
  <c r="AF145" i="39"/>
  <c r="AI145" i="39" s="1"/>
  <c r="AK145" i="39" s="1"/>
  <c r="AF144" i="39"/>
  <c r="AI144" i="39" s="1"/>
  <c r="AK144" i="39" s="1"/>
  <c r="AF143" i="39"/>
  <c r="AI143" i="39" s="1"/>
  <c r="AK143" i="39" s="1"/>
  <c r="AF142" i="39"/>
  <c r="AF141" i="39"/>
  <c r="AI141" i="39" s="1"/>
  <c r="AK141" i="39" s="1"/>
  <c r="AF140" i="39"/>
  <c r="AI140" i="39" s="1"/>
  <c r="AK140" i="39" s="1"/>
  <c r="AF139" i="39"/>
  <c r="AL137" i="39"/>
  <c r="AH137" i="39"/>
  <c r="AD137" i="39"/>
  <c r="AA137" i="39"/>
  <c r="Y137" i="39"/>
  <c r="X137" i="39"/>
  <c r="W137" i="39"/>
  <c r="U137" i="39"/>
  <c r="S137" i="39"/>
  <c r="R137" i="39"/>
  <c r="Q137" i="39"/>
  <c r="P137" i="39"/>
  <c r="O137" i="39"/>
  <c r="N137" i="39"/>
  <c r="N274" i="39" s="1"/>
  <c r="L137" i="39"/>
  <c r="J137" i="39"/>
  <c r="I137" i="39"/>
  <c r="H137" i="39"/>
  <c r="F137" i="39"/>
  <c r="E137" i="39"/>
  <c r="AF136" i="39"/>
  <c r="AI136" i="39" s="1"/>
  <c r="AK136" i="39" s="1"/>
  <c r="AF135" i="39"/>
  <c r="AI135" i="39" s="1"/>
  <c r="AK135" i="39" s="1"/>
  <c r="AF134" i="39"/>
  <c r="AI134" i="39" s="1"/>
  <c r="AK134" i="39" s="1"/>
  <c r="AF133" i="39"/>
  <c r="AI133" i="39" s="1"/>
  <c r="AK133" i="39" s="1"/>
  <c r="AF132" i="39"/>
  <c r="AI132" i="39" s="1"/>
  <c r="AK132" i="39" s="1"/>
  <c r="AF131" i="39"/>
  <c r="AI131" i="39" s="1"/>
  <c r="AK131" i="39" s="1"/>
  <c r="AF130" i="39"/>
  <c r="AI130" i="39" s="1"/>
  <c r="AK130" i="39" s="1"/>
  <c r="AF129" i="39"/>
  <c r="AI129" i="39" s="1"/>
  <c r="AK129" i="39" s="1"/>
  <c r="AF128" i="39"/>
  <c r="AI128" i="39" s="1"/>
  <c r="AK128" i="39" s="1"/>
  <c r="AF127" i="39"/>
  <c r="AI127" i="39" s="1"/>
  <c r="AK127" i="39" s="1"/>
  <c r="AF126" i="39"/>
  <c r="AI126" i="39" s="1"/>
  <c r="AK126" i="39" s="1"/>
  <c r="AF125" i="39"/>
  <c r="AI125" i="39" s="1"/>
  <c r="AK125" i="39" s="1"/>
  <c r="AF124" i="39"/>
  <c r="AI124" i="39" s="1"/>
  <c r="AK124" i="39" s="1"/>
  <c r="AF123" i="39"/>
  <c r="AI123" i="39" s="1"/>
  <c r="AK123" i="39" s="1"/>
  <c r="AF122" i="39"/>
  <c r="AI122" i="39" s="1"/>
  <c r="AK122" i="39" s="1"/>
  <c r="AF121" i="39"/>
  <c r="AI121" i="39" s="1"/>
  <c r="AK121" i="39" s="1"/>
  <c r="T137" i="39"/>
  <c r="AF118" i="39"/>
  <c r="AI118" i="39" s="1"/>
  <c r="AK118" i="39" s="1"/>
  <c r="AF117" i="39"/>
  <c r="AI117" i="39" s="1"/>
  <c r="AK117" i="39" s="1"/>
  <c r="AF116" i="39"/>
  <c r="AI116" i="39" s="1"/>
  <c r="AK116" i="39" s="1"/>
  <c r="AF114" i="39"/>
  <c r="AI114" i="39" s="1"/>
  <c r="AK114" i="39" s="1"/>
  <c r="AG137" i="39"/>
  <c r="AF113" i="39"/>
  <c r="AI113" i="39" s="1"/>
  <c r="AK113" i="39" s="1"/>
  <c r="Z137" i="39"/>
  <c r="AF111" i="39"/>
  <c r="AI111" i="39" s="1"/>
  <c r="AK111" i="39" s="1"/>
  <c r="AF110" i="39"/>
  <c r="AI110" i="39" s="1"/>
  <c r="AK110" i="39" s="1"/>
  <c r="AF109" i="39"/>
  <c r="AI109" i="39" s="1"/>
  <c r="AK109" i="39" s="1"/>
  <c r="AF108" i="39"/>
  <c r="AI108" i="39" s="1"/>
  <c r="AK108" i="39" s="1"/>
  <c r="AF107" i="39"/>
  <c r="AI107" i="39" s="1"/>
  <c r="AK107" i="39" s="1"/>
  <c r="AC137" i="39"/>
  <c r="AF106" i="39"/>
  <c r="AI106" i="39" s="1"/>
  <c r="AK106" i="39" s="1"/>
  <c r="AM104" i="39"/>
  <c r="AJ104" i="39"/>
  <c r="AH104" i="39"/>
  <c r="AG104" i="39"/>
  <c r="AD104" i="39"/>
  <c r="AC104" i="39"/>
  <c r="AB104" i="39"/>
  <c r="AA104" i="39"/>
  <c r="Z104" i="39"/>
  <c r="Y104" i="39"/>
  <c r="X104" i="39"/>
  <c r="W104" i="39"/>
  <c r="U104" i="39"/>
  <c r="T104" i="39"/>
  <c r="S104" i="39"/>
  <c r="R104" i="39"/>
  <c r="Q104" i="39"/>
  <c r="P104" i="39"/>
  <c r="O104" i="39"/>
  <c r="N104" i="39"/>
  <c r="L104" i="39"/>
  <c r="K104" i="39"/>
  <c r="J104" i="39"/>
  <c r="I104" i="39"/>
  <c r="H104" i="39"/>
  <c r="G104" i="39"/>
  <c r="F104" i="39"/>
  <c r="E104" i="39"/>
  <c r="AF103" i="39"/>
  <c r="AI103" i="39" s="1"/>
  <c r="AK103" i="39" s="1"/>
  <c r="AF102" i="39"/>
  <c r="AI102" i="39" s="1"/>
  <c r="AK102" i="39" s="1"/>
  <c r="AF101" i="39"/>
  <c r="AI101" i="39" s="1"/>
  <c r="AK101" i="39" s="1"/>
  <c r="AF100" i="39"/>
  <c r="AI100" i="39" s="1"/>
  <c r="AK100" i="39" s="1"/>
  <c r="AF99" i="39"/>
  <c r="AI99" i="39" s="1"/>
  <c r="AK99" i="39" s="1"/>
  <c r="AF98" i="39"/>
  <c r="AI98" i="39" s="1"/>
  <c r="AK98" i="39" s="1"/>
  <c r="AF97" i="39"/>
  <c r="AI97" i="39" s="1"/>
  <c r="AK97" i="39" s="1"/>
  <c r="AF96" i="39"/>
  <c r="AI96" i="39" s="1"/>
  <c r="AK96" i="39" s="1"/>
  <c r="AF95" i="39"/>
  <c r="AI95" i="39" s="1"/>
  <c r="AK95" i="39" s="1"/>
  <c r="AF94" i="39"/>
  <c r="AI94" i="39" s="1"/>
  <c r="AK94" i="39" s="1"/>
  <c r="AF93" i="39"/>
  <c r="AI93" i="39" s="1"/>
  <c r="AK93" i="39" s="1"/>
  <c r="AF92" i="39"/>
  <c r="AI92" i="39" s="1"/>
  <c r="AK92" i="39" s="1"/>
  <c r="AF91" i="39"/>
  <c r="AI91" i="39" s="1"/>
  <c r="AK91" i="39" s="1"/>
  <c r="AF90" i="39"/>
  <c r="AI90" i="39" s="1"/>
  <c r="AK90" i="39" s="1"/>
  <c r="AF89" i="39"/>
  <c r="AI89" i="39" s="1"/>
  <c r="AK89" i="39" s="1"/>
  <c r="AF88" i="39"/>
  <c r="AI88" i="39" s="1"/>
  <c r="AK88" i="39" s="1"/>
  <c r="AF87" i="39"/>
  <c r="AI87" i="39" s="1"/>
  <c r="AK87" i="39" s="1"/>
  <c r="AF86" i="39"/>
  <c r="AI86" i="39" s="1"/>
  <c r="AK86" i="39" s="1"/>
  <c r="AF85" i="39"/>
  <c r="AI85" i="39" s="1"/>
  <c r="AK85" i="39" s="1"/>
  <c r="AF84" i="39"/>
  <c r="AI84" i="39" s="1"/>
  <c r="AK84" i="39" s="1"/>
  <c r="AF83" i="39"/>
  <c r="AI83" i="39" s="1"/>
  <c r="AK83" i="39" s="1"/>
  <c r="AF82" i="39"/>
  <c r="AI82" i="39" s="1"/>
  <c r="AK82" i="39" s="1"/>
  <c r="AF81" i="39"/>
  <c r="AI81" i="39" s="1"/>
  <c r="AK81" i="39" s="1"/>
  <c r="AF80" i="39"/>
  <c r="AI80" i="39" s="1"/>
  <c r="AK80" i="39" s="1"/>
  <c r="AF79" i="39"/>
  <c r="AI79" i="39" s="1"/>
  <c r="AK79" i="39" s="1"/>
  <c r="AF78" i="39"/>
  <c r="AI78" i="39" s="1"/>
  <c r="AK78" i="39" s="1"/>
  <c r="AF77" i="39"/>
  <c r="AI77" i="39" s="1"/>
  <c r="AK77" i="39" s="1"/>
  <c r="AF76" i="39"/>
  <c r="AI76" i="39" s="1"/>
  <c r="AK76" i="39" s="1"/>
  <c r="AF75" i="39"/>
  <c r="AI75" i="39" s="1"/>
  <c r="AK75" i="39" s="1"/>
  <c r="AF74" i="39"/>
  <c r="AI74" i="39" s="1"/>
  <c r="AK74" i="39" s="1"/>
  <c r="AF73" i="39"/>
  <c r="AI73" i="39" s="1"/>
  <c r="AK73" i="39" s="1"/>
  <c r="AF72" i="39"/>
  <c r="AI72" i="39" s="1"/>
  <c r="AK72" i="39" s="1"/>
  <c r="AF71" i="39"/>
  <c r="AI71" i="39" s="1"/>
  <c r="AK71" i="39" s="1"/>
  <c r="AJ68" i="39"/>
  <c r="AH68" i="39"/>
  <c r="AG68" i="39"/>
  <c r="AD68" i="39"/>
  <c r="AC68" i="39"/>
  <c r="AB68" i="39"/>
  <c r="AA68" i="39"/>
  <c r="Z68" i="39"/>
  <c r="Y68" i="39"/>
  <c r="X68" i="39"/>
  <c r="W68" i="39"/>
  <c r="U68" i="39"/>
  <c r="T68" i="39"/>
  <c r="S68" i="39"/>
  <c r="R68" i="39"/>
  <c r="Q68" i="39"/>
  <c r="P68" i="39"/>
  <c r="O68" i="39"/>
  <c r="N68" i="39"/>
  <c r="L68" i="39"/>
  <c r="K68" i="39"/>
  <c r="J68" i="39"/>
  <c r="I68" i="39"/>
  <c r="H68" i="39"/>
  <c r="G68" i="39"/>
  <c r="F68" i="39"/>
  <c r="E68" i="39"/>
  <c r="AF67" i="39"/>
  <c r="AI67" i="39" s="1"/>
  <c r="AK67" i="39" s="1"/>
  <c r="AF66" i="39"/>
  <c r="AI66" i="39" s="1"/>
  <c r="AK66" i="39" s="1"/>
  <c r="AF65" i="39"/>
  <c r="AI65" i="39" s="1"/>
  <c r="AK65" i="39" s="1"/>
  <c r="AF64" i="39"/>
  <c r="AI64" i="39" s="1"/>
  <c r="AK64" i="39" s="1"/>
  <c r="AF63" i="39"/>
  <c r="AI63" i="39" s="1"/>
  <c r="AK63" i="39" s="1"/>
  <c r="AF62" i="39"/>
  <c r="AI62" i="39" s="1"/>
  <c r="AK62" i="39" s="1"/>
  <c r="AF61" i="39"/>
  <c r="AI61" i="39" s="1"/>
  <c r="AK61" i="39" s="1"/>
  <c r="AF60" i="39"/>
  <c r="AI60" i="39" s="1"/>
  <c r="AK60" i="39" s="1"/>
  <c r="AF59" i="39"/>
  <c r="AI59" i="39" s="1"/>
  <c r="AK59" i="39" s="1"/>
  <c r="AF58" i="39"/>
  <c r="AI58" i="39" s="1"/>
  <c r="AK58" i="39" s="1"/>
  <c r="AF57" i="39"/>
  <c r="AI57" i="39" s="1"/>
  <c r="AK57" i="39" s="1"/>
  <c r="AF56" i="39"/>
  <c r="AI56" i="39" s="1"/>
  <c r="AK56" i="39" s="1"/>
  <c r="AF55" i="39"/>
  <c r="AI55" i="39" s="1"/>
  <c r="AK55" i="39" s="1"/>
  <c r="AF54" i="39"/>
  <c r="AI54" i="39" s="1"/>
  <c r="AK54" i="39" s="1"/>
  <c r="AF53" i="39"/>
  <c r="AI53" i="39" s="1"/>
  <c r="AK53" i="39" s="1"/>
  <c r="AF52" i="39"/>
  <c r="AI52" i="39" s="1"/>
  <c r="AK52" i="39" s="1"/>
  <c r="AF51" i="39"/>
  <c r="AI51" i="39" s="1"/>
  <c r="AK51" i="39" s="1"/>
  <c r="AF50" i="39"/>
  <c r="AI50" i="39" s="1"/>
  <c r="AK50" i="39" s="1"/>
  <c r="AF49" i="39"/>
  <c r="AI49" i="39" s="1"/>
  <c r="AK49" i="39" s="1"/>
  <c r="AF48" i="39"/>
  <c r="AI48" i="39" s="1"/>
  <c r="AK48" i="39" s="1"/>
  <c r="AF47" i="39"/>
  <c r="AI47" i="39" s="1"/>
  <c r="AK47" i="39" s="1"/>
  <c r="AF46" i="39"/>
  <c r="AI46" i="39" s="1"/>
  <c r="AK46" i="39" s="1"/>
  <c r="AF45" i="39"/>
  <c r="AI45" i="39" s="1"/>
  <c r="AK45" i="39" s="1"/>
  <c r="AF44" i="39"/>
  <c r="AI44" i="39" s="1"/>
  <c r="AK44" i="39" s="1"/>
  <c r="AF43" i="39"/>
  <c r="AI43" i="39" s="1"/>
  <c r="AK43" i="39" s="1"/>
  <c r="AF42" i="39"/>
  <c r="AI42" i="39" s="1"/>
  <c r="AK42" i="39" s="1"/>
  <c r="AF41" i="39"/>
  <c r="AI41" i="39" s="1"/>
  <c r="AK41" i="39" s="1"/>
  <c r="AF40" i="39"/>
  <c r="AI40" i="39" s="1"/>
  <c r="AK40" i="39" s="1"/>
  <c r="AF39" i="39"/>
  <c r="AI39" i="39" s="1"/>
  <c r="AK39" i="39" s="1"/>
  <c r="AF38" i="39"/>
  <c r="AI38" i="39" s="1"/>
  <c r="AK38" i="39" s="1"/>
  <c r="AF37" i="39"/>
  <c r="AI37" i="39" s="1"/>
  <c r="AK37" i="39" s="1"/>
  <c r="AF36" i="39"/>
  <c r="AI36" i="39" s="1"/>
  <c r="AK36" i="39" s="1"/>
  <c r="AF35" i="39"/>
  <c r="AJ32" i="39"/>
  <c r="AH32" i="39"/>
  <c r="AH273" i="39" s="1"/>
  <c r="AG32" i="39"/>
  <c r="AE32" i="39"/>
  <c r="AD32" i="39"/>
  <c r="AC32" i="39"/>
  <c r="AB32" i="39"/>
  <c r="AA32" i="39"/>
  <c r="Z32" i="39"/>
  <c r="Y32" i="39"/>
  <c r="X32" i="39"/>
  <c r="W32" i="39"/>
  <c r="V32" i="39"/>
  <c r="U32" i="39"/>
  <c r="U273" i="39" s="1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AF31" i="39"/>
  <c r="AI31" i="39" s="1"/>
  <c r="AK31" i="39" s="1"/>
  <c r="AF30" i="39"/>
  <c r="AI30" i="39" s="1"/>
  <c r="AK30" i="39" s="1"/>
  <c r="AF29" i="39"/>
  <c r="AI29" i="39" s="1"/>
  <c r="AK29" i="39" s="1"/>
  <c r="AF28" i="39"/>
  <c r="AI28" i="39" s="1"/>
  <c r="AK28" i="39" s="1"/>
  <c r="AF27" i="39"/>
  <c r="AI27" i="39" s="1"/>
  <c r="AK27" i="39" s="1"/>
  <c r="AF26" i="39"/>
  <c r="AI26" i="39" s="1"/>
  <c r="AK26" i="39" s="1"/>
  <c r="AF25" i="39"/>
  <c r="AI25" i="39" s="1"/>
  <c r="AK25" i="39" s="1"/>
  <c r="AF24" i="39"/>
  <c r="AI24" i="39" s="1"/>
  <c r="AK24" i="39" s="1"/>
  <c r="AF23" i="39"/>
  <c r="AI23" i="39" s="1"/>
  <c r="AK23" i="39" s="1"/>
  <c r="AF22" i="39"/>
  <c r="AI22" i="39" s="1"/>
  <c r="AK22" i="39" s="1"/>
  <c r="AF21" i="39"/>
  <c r="AI21" i="39" s="1"/>
  <c r="AK21" i="39" s="1"/>
  <c r="AF20" i="39"/>
  <c r="AI20" i="39" s="1"/>
  <c r="AK20" i="39" s="1"/>
  <c r="AF19" i="39"/>
  <c r="AI19" i="39" s="1"/>
  <c r="AK19" i="39" s="1"/>
  <c r="AF18" i="39"/>
  <c r="AI18" i="39" s="1"/>
  <c r="AK18" i="39" s="1"/>
  <c r="AF17" i="39"/>
  <c r="AI17" i="39" s="1"/>
  <c r="AK17" i="39" s="1"/>
  <c r="AF16" i="39"/>
  <c r="AI16" i="39" s="1"/>
  <c r="AK16" i="39" s="1"/>
  <c r="AF15" i="39"/>
  <c r="AI15" i="39" s="1"/>
  <c r="AK15" i="39" s="1"/>
  <c r="AF14" i="39"/>
  <c r="AI14" i="39" s="1"/>
  <c r="AK14" i="39" s="1"/>
  <c r="AF13" i="39"/>
  <c r="AI13" i="39" s="1"/>
  <c r="AK13" i="39" s="1"/>
  <c r="AF12" i="39"/>
  <c r="AI12" i="39" s="1"/>
  <c r="AK12" i="39" s="1"/>
  <c r="AF11" i="39"/>
  <c r="AI11" i="39" s="1"/>
  <c r="AK11" i="39" s="1"/>
  <c r="AF10" i="39"/>
  <c r="AI10" i="39" s="1"/>
  <c r="AK10" i="39" s="1"/>
  <c r="AF9" i="39"/>
  <c r="AI9" i="39" s="1"/>
  <c r="AK9" i="39" s="1"/>
  <c r="AF8" i="39"/>
  <c r="AI8" i="39" s="1"/>
  <c r="AK8" i="39" s="1"/>
  <c r="AF7" i="39"/>
  <c r="AI7" i="39" s="1"/>
  <c r="AK7" i="39" s="1"/>
  <c r="AF6" i="39"/>
  <c r="AI6" i="39" s="1"/>
  <c r="AK6" i="39" s="1"/>
  <c r="AF5" i="39"/>
  <c r="AI5" i="39" s="1"/>
  <c r="A4" i="39"/>
  <c r="I1" i="39"/>
  <c r="AE115" i="4"/>
  <c r="I115" i="4"/>
  <c r="B252" i="19" s="1"/>
  <c r="E115" i="4"/>
  <c r="F115" i="4"/>
  <c r="G115" i="4"/>
  <c r="H115" i="4"/>
  <c r="F119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Z273" i="39" l="1"/>
  <c r="K273" i="39"/>
  <c r="P273" i="39"/>
  <c r="P274" i="39" s="1"/>
  <c r="Y273" i="39"/>
  <c r="Y274" i="39" s="1"/>
  <c r="AC273" i="39"/>
  <c r="AC274" i="39" s="1"/>
  <c r="H273" i="39"/>
  <c r="H274" i="39" s="1"/>
  <c r="L273" i="39"/>
  <c r="Q273" i="39"/>
  <c r="Q274" i="39" s="1"/>
  <c r="AD273" i="39"/>
  <c r="AD346" i="39" s="1"/>
  <c r="AD347" i="39" s="1"/>
  <c r="E273" i="39"/>
  <c r="I273" i="39"/>
  <c r="I274" i="39" s="1"/>
  <c r="N273" i="39"/>
  <c r="N346" i="39" s="1"/>
  <c r="K137" i="19" s="1"/>
  <c r="R273" i="39"/>
  <c r="R274" i="39" s="1"/>
  <c r="W273" i="39"/>
  <c r="W346" i="39" s="1"/>
  <c r="AA273" i="39"/>
  <c r="AA274" i="39" s="1"/>
  <c r="F273" i="39"/>
  <c r="F346" i="39" s="1"/>
  <c r="J273" i="39"/>
  <c r="J346" i="39" s="1"/>
  <c r="G378" i="19" s="1"/>
  <c r="O273" i="39"/>
  <c r="O346" i="39" s="1"/>
  <c r="O347" i="39" s="1"/>
  <c r="S273" i="39"/>
  <c r="S346" i="39" s="1"/>
  <c r="X273" i="39"/>
  <c r="X346" i="39" s="1"/>
  <c r="X347" i="39" s="1"/>
  <c r="T273" i="39"/>
  <c r="T346" i="39" s="1"/>
  <c r="AG273" i="39"/>
  <c r="AG274" i="39" s="1"/>
  <c r="AI142" i="39"/>
  <c r="AK142" i="39" s="1"/>
  <c r="AF342" i="39"/>
  <c r="AF68" i="39"/>
  <c r="AI340" i="39"/>
  <c r="AK340" i="39" s="1"/>
  <c r="AK342" i="39" s="1"/>
  <c r="AF205" i="39"/>
  <c r="AF170" i="39"/>
  <c r="AI254" i="39"/>
  <c r="U274" i="39"/>
  <c r="T137" i="19"/>
  <c r="AK104" i="39"/>
  <c r="AI32" i="39"/>
  <c r="AK5" i="39"/>
  <c r="AK32" i="39" s="1"/>
  <c r="AF4" i="39"/>
  <c r="W176" i="19" s="1"/>
  <c r="AH274" i="39"/>
  <c r="AI35" i="39"/>
  <c r="AI247" i="39"/>
  <c r="AK243" i="39"/>
  <c r="AK247" i="39" s="1"/>
  <c r="AI104" i="39"/>
  <c r="K137" i="39"/>
  <c r="AF112" i="39"/>
  <c r="AI112" i="39" s="1"/>
  <c r="AK112" i="39" s="1"/>
  <c r="G137" i="39"/>
  <c r="G273" i="39" s="1"/>
  <c r="AF120" i="39"/>
  <c r="AI120" i="39" s="1"/>
  <c r="AK120" i="39" s="1"/>
  <c r="AF32" i="39"/>
  <c r="AF104" i="39"/>
  <c r="AJ137" i="39"/>
  <c r="AJ273" i="39" s="1"/>
  <c r="AK263" i="39"/>
  <c r="AF115" i="39"/>
  <c r="AI115" i="39" s="1"/>
  <c r="AK115" i="39" s="1"/>
  <c r="AB137" i="39"/>
  <c r="AB273" i="39" s="1"/>
  <c r="AI173" i="39"/>
  <c r="AK173" i="39" s="1"/>
  <c r="AK205" i="39" s="1"/>
  <c r="AF247" i="39"/>
  <c r="AK250" i="39"/>
  <c r="AK254" i="39" s="1"/>
  <c r="AF263" i="39"/>
  <c r="AF119" i="39"/>
  <c r="AI119" i="39" s="1"/>
  <c r="AK119" i="39" s="1"/>
  <c r="AI278" i="39"/>
  <c r="AI263" i="39"/>
  <c r="AK266" i="39"/>
  <c r="AK271" i="39" s="1"/>
  <c r="AI271" i="39"/>
  <c r="AI139" i="39"/>
  <c r="AF254" i="39"/>
  <c r="AF271" i="39"/>
  <c r="AF283" i="39"/>
  <c r="AI283" i="39" s="1"/>
  <c r="AK283" i="39" s="1"/>
  <c r="G336" i="39"/>
  <c r="G337" i="39" s="1"/>
  <c r="K336" i="39"/>
  <c r="K337" i="39" s="1"/>
  <c r="AF280" i="39"/>
  <c r="AI280" i="39" s="1"/>
  <c r="AK280" i="39" s="1"/>
  <c r="AC336" i="39"/>
  <c r="AC337" i="39" s="1"/>
  <c r="W274" i="39" l="1"/>
  <c r="AI342" i="39"/>
  <c r="P346" i="39"/>
  <c r="L137" i="19" s="1"/>
  <c r="S274" i="39"/>
  <c r="Y346" i="39"/>
  <c r="Y347" i="39" s="1"/>
  <c r="AA346" i="39"/>
  <c r="AA347" i="39" s="1"/>
  <c r="I346" i="39"/>
  <c r="I347" i="39" s="1"/>
  <c r="R346" i="39"/>
  <c r="R347" i="39" s="1"/>
  <c r="AD274" i="39"/>
  <c r="T274" i="39"/>
  <c r="H346" i="39"/>
  <c r="E378" i="19" s="1"/>
  <c r="O274" i="39"/>
  <c r="X274" i="39"/>
  <c r="F274" i="39"/>
  <c r="J274" i="39"/>
  <c r="N347" i="39"/>
  <c r="Z274" i="39"/>
  <c r="Z346" i="39"/>
  <c r="T138" i="19"/>
  <c r="Q346" i="39"/>
  <c r="N137" i="19" s="1"/>
  <c r="AG346" i="39"/>
  <c r="AG347" i="39" s="1"/>
  <c r="U346" i="39"/>
  <c r="S347" i="39"/>
  <c r="P137" i="19"/>
  <c r="T347" i="39"/>
  <c r="Q137" i="19"/>
  <c r="F347" i="39"/>
  <c r="J347" i="39"/>
  <c r="G137" i="19"/>
  <c r="AF337" i="39"/>
  <c r="AK137" i="39"/>
  <c r="AF137" i="39"/>
  <c r="AF273" i="39" s="1"/>
  <c r="G346" i="39"/>
  <c r="G274" i="39"/>
  <c r="AB346" i="39"/>
  <c r="AB347" i="39" s="1"/>
  <c r="AB274" i="39"/>
  <c r="AJ346" i="39"/>
  <c r="AJ347" i="39" s="1"/>
  <c r="AJ274" i="39"/>
  <c r="K346" i="39"/>
  <c r="H378" i="19" s="1"/>
  <c r="K274" i="39"/>
  <c r="AI4" i="39"/>
  <c r="AI170" i="39"/>
  <c r="AK139" i="39"/>
  <c r="AK170" i="39" s="1"/>
  <c r="AC346" i="39"/>
  <c r="AC347" i="39" s="1"/>
  <c r="AI137" i="39"/>
  <c r="AK278" i="39"/>
  <c r="AI336" i="39"/>
  <c r="AI337" i="39" s="1"/>
  <c r="AI205" i="39"/>
  <c r="AN205" i="39" s="1"/>
  <c r="W347" i="39"/>
  <c r="AK35" i="39"/>
  <c r="AK68" i="39" s="1"/>
  <c r="AI68" i="39"/>
  <c r="L346" i="39"/>
  <c r="I378" i="19" s="1"/>
  <c r="L274" i="39"/>
  <c r="AF336" i="39"/>
  <c r="E274" i="39"/>
  <c r="E346" i="39"/>
  <c r="BB82" i="1"/>
  <c r="U347" i="39" l="1"/>
  <c r="R378" i="19"/>
  <c r="Z347" i="39"/>
  <c r="W348" i="39" s="1"/>
  <c r="W378" i="19"/>
  <c r="P347" i="39"/>
  <c r="AI273" i="39"/>
  <c r="O137" i="19"/>
  <c r="H347" i="39"/>
  <c r="F137" i="19"/>
  <c r="AD355" i="39"/>
  <c r="Q347" i="39"/>
  <c r="R137" i="19"/>
  <c r="N349" i="39"/>
  <c r="L347" i="39"/>
  <c r="G347" i="39"/>
  <c r="AK336" i="39"/>
  <c r="K347" i="39"/>
  <c r="W349" i="39"/>
  <c r="E349" i="39"/>
  <c r="E347" i="39"/>
  <c r="AK4" i="39"/>
  <c r="AK273" i="39" s="1"/>
  <c r="AF274" i="39"/>
  <c r="AF346" i="39"/>
  <c r="N348" i="39" l="1"/>
  <c r="K138" i="19"/>
  <c r="AK337" i="39"/>
  <c r="L185" i="19"/>
  <c r="N185" i="19" s="1"/>
  <c r="E348" i="39"/>
  <c r="AK346" i="39"/>
  <c r="AK347" i="39" s="1"/>
  <c r="AK274" i="39"/>
  <c r="AI346" i="39"/>
  <c r="AI347" i="39" s="1"/>
  <c r="AI274" i="39"/>
  <c r="AD353" i="39"/>
  <c r="AF347" i="39"/>
  <c r="BJ56" i="5" l="1"/>
  <c r="CI260" i="6" l="1"/>
  <c r="CL260" i="6" s="1"/>
  <c r="CN260" i="6" s="1"/>
  <c r="D50" i="33"/>
  <c r="D49" i="33"/>
  <c r="D48" i="33"/>
  <c r="BM47" i="33"/>
  <c r="BL47" i="33"/>
  <c r="D47" i="33"/>
  <c r="C47" i="33" l="1"/>
  <c r="AX12" i="2" l="1"/>
  <c r="AE183" i="30" l="1"/>
  <c r="AH183" i="30" s="1"/>
  <c r="AJ183" i="30" s="1"/>
  <c r="BF119" i="5" l="1"/>
  <c r="BH116" i="5"/>
  <c r="BG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L116" i="5"/>
  <c r="AI116" i="5"/>
  <c r="AH116" i="5"/>
  <c r="AF116" i="5"/>
  <c r="AE116" i="5"/>
  <c r="AD116" i="5"/>
  <c r="AC116" i="5"/>
  <c r="AB116" i="5"/>
  <c r="AA116" i="5"/>
  <c r="Z116" i="5"/>
  <c r="X116" i="5"/>
  <c r="W116" i="5"/>
  <c r="V116" i="5"/>
  <c r="U116" i="5"/>
  <c r="T116" i="5"/>
  <c r="S116" i="5"/>
  <c r="R116" i="5"/>
  <c r="Q116" i="5"/>
  <c r="P116" i="5"/>
  <c r="O116" i="5"/>
  <c r="M116" i="5"/>
  <c r="L116" i="5"/>
  <c r="B273" i="19" s="1"/>
  <c r="I116" i="5"/>
  <c r="H116" i="5"/>
  <c r="F116" i="5"/>
  <c r="E116" i="5"/>
  <c r="D115" i="5"/>
  <c r="D114" i="5"/>
  <c r="BJ113" i="5"/>
  <c r="BI113" i="5"/>
  <c r="D113" i="5"/>
  <c r="D112" i="5"/>
  <c r="D111" i="5"/>
  <c r="BJ110" i="5"/>
  <c r="BI110" i="5"/>
  <c r="D110" i="5"/>
  <c r="D109" i="5"/>
  <c r="D108" i="5"/>
  <c r="BJ107" i="5"/>
  <c r="BI107" i="5"/>
  <c r="D107" i="5"/>
  <c r="D106" i="5"/>
  <c r="D105" i="5"/>
  <c r="BJ104" i="5"/>
  <c r="BI104" i="5"/>
  <c r="D104" i="5"/>
  <c r="D103" i="5"/>
  <c r="D102" i="5"/>
  <c r="BJ101" i="5"/>
  <c r="BI101" i="5"/>
  <c r="D101" i="5"/>
  <c r="D100" i="5"/>
  <c r="D99" i="5"/>
  <c r="D98" i="5"/>
  <c r="BJ97" i="5"/>
  <c r="BI97" i="5"/>
  <c r="D97" i="5"/>
  <c r="D96" i="5"/>
  <c r="D95" i="5"/>
  <c r="D94" i="5"/>
  <c r="BJ93" i="5"/>
  <c r="BI93" i="5"/>
  <c r="D93" i="5"/>
  <c r="D92" i="5"/>
  <c r="D91" i="5"/>
  <c r="BJ89" i="5"/>
  <c r="BI89" i="5"/>
  <c r="D89" i="5"/>
  <c r="D88" i="5"/>
  <c r="D87" i="5"/>
  <c r="D86" i="5"/>
  <c r="BJ85" i="5"/>
  <c r="BI85" i="5"/>
  <c r="D85" i="5"/>
  <c r="D84" i="5"/>
  <c r="D83" i="5"/>
  <c r="BJ82" i="5"/>
  <c r="BI82" i="5"/>
  <c r="D82" i="5"/>
  <c r="D81" i="5"/>
  <c r="D80" i="5"/>
  <c r="D79" i="5"/>
  <c r="BJ78" i="5"/>
  <c r="BI78" i="5"/>
  <c r="D78" i="5"/>
  <c r="D77" i="5"/>
  <c r="D76" i="5"/>
  <c r="D75" i="5"/>
  <c r="BJ74" i="5"/>
  <c r="BI74" i="5"/>
  <c r="D74" i="5"/>
  <c r="D73" i="5"/>
  <c r="D72" i="5"/>
  <c r="D71" i="5"/>
  <c r="BJ70" i="5"/>
  <c r="BI70" i="5"/>
  <c r="D70" i="5"/>
  <c r="D69" i="5"/>
  <c r="D68" i="5"/>
  <c r="D67" i="5"/>
  <c r="BJ66" i="5"/>
  <c r="BI66" i="5"/>
  <c r="D66" i="5"/>
  <c r="D65" i="5"/>
  <c r="D64" i="5"/>
  <c r="AG116" i="5"/>
  <c r="D63" i="5"/>
  <c r="BI62" i="5"/>
  <c r="D62" i="5"/>
  <c r="D61" i="5"/>
  <c r="D60" i="5"/>
  <c r="BJ59" i="5"/>
  <c r="BI59" i="5"/>
  <c r="D59" i="5"/>
  <c r="D58" i="5"/>
  <c r="D57" i="5"/>
  <c r="BI56" i="5"/>
  <c r="D56" i="5"/>
  <c r="D55" i="5"/>
  <c r="D54" i="5"/>
  <c r="G116" i="5"/>
  <c r="BI52" i="5"/>
  <c r="D52" i="5"/>
  <c r="D51" i="5"/>
  <c r="BE120" i="5"/>
  <c r="AJ116" i="5"/>
  <c r="J116" i="5"/>
  <c r="BJ49" i="5"/>
  <c r="F119" i="5" s="1"/>
  <c r="BI49" i="5"/>
  <c r="D49" i="5"/>
  <c r="D48" i="5"/>
  <c r="D47" i="5"/>
  <c r="D46" i="5"/>
  <c r="BJ45" i="5"/>
  <c r="BI45" i="5"/>
  <c r="D45" i="5"/>
  <c r="D44" i="5"/>
  <c r="D43" i="5"/>
  <c r="D42" i="5"/>
  <c r="BJ41" i="5"/>
  <c r="BI41" i="5"/>
  <c r="D41" i="5"/>
  <c r="D40" i="5"/>
  <c r="D39" i="5"/>
  <c r="BI38" i="5"/>
  <c r="D38" i="5"/>
  <c r="BJ38" i="5"/>
  <c r="D37" i="5"/>
  <c r="D36" i="5"/>
  <c r="D35" i="5"/>
  <c r="BJ34" i="5"/>
  <c r="BI34" i="5"/>
  <c r="D34" i="5"/>
  <c r="D33" i="5"/>
  <c r="D32" i="5"/>
  <c r="D31" i="5"/>
  <c r="BJ30" i="5"/>
  <c r="BI30" i="5"/>
  <c r="D30" i="5"/>
  <c r="D29" i="5"/>
  <c r="D28" i="5"/>
  <c r="D27" i="5"/>
  <c r="BJ26" i="5"/>
  <c r="BI26" i="5"/>
  <c r="D26" i="5"/>
  <c r="D25" i="5"/>
  <c r="D24" i="5"/>
  <c r="K116" i="5"/>
  <c r="BJ23" i="5"/>
  <c r="BI23" i="5"/>
  <c r="D23" i="5"/>
  <c r="D22" i="5"/>
  <c r="D21" i="5"/>
  <c r="D20" i="5"/>
  <c r="BJ19" i="5"/>
  <c r="BI19" i="5"/>
  <c r="D19" i="5"/>
  <c r="D18" i="5"/>
  <c r="D17" i="5"/>
  <c r="BJ16" i="5"/>
  <c r="BI16" i="5"/>
  <c r="D16" i="5"/>
  <c r="D15" i="5"/>
  <c r="BF116" i="5"/>
  <c r="BJ12" i="5"/>
  <c r="D14" i="5"/>
  <c r="D13" i="5"/>
  <c r="BI12" i="5"/>
  <c r="D12" i="5"/>
  <c r="D11" i="5"/>
  <c r="D10" i="5"/>
  <c r="D9" i="5"/>
  <c r="BJ8" i="5"/>
  <c r="BI8" i="5"/>
  <c r="D8" i="5"/>
  <c r="D7" i="5"/>
  <c r="D6" i="5"/>
  <c r="BJ5" i="5"/>
  <c r="BI5" i="5"/>
  <c r="D5" i="5"/>
  <c r="C16" i="5" l="1"/>
  <c r="C93" i="5"/>
  <c r="C101" i="5"/>
  <c r="C113" i="5"/>
  <c r="C110" i="5"/>
  <c r="C107" i="5"/>
  <c r="C104" i="5"/>
  <c r="C70" i="5"/>
  <c r="C66" i="5"/>
  <c r="C26" i="5"/>
  <c r="C12" i="5"/>
  <c r="C45" i="5"/>
  <c r="C8" i="5"/>
  <c r="C97" i="5"/>
  <c r="BE117" i="5"/>
  <c r="BI119" i="5" s="1"/>
  <c r="C89" i="5"/>
  <c r="C59" i="5"/>
  <c r="C56" i="5"/>
  <c r="C34" i="5"/>
  <c r="C38" i="5"/>
  <c r="C5" i="5"/>
  <c r="C19" i="5"/>
  <c r="C78" i="5"/>
  <c r="C23" i="5"/>
  <c r="C30" i="5"/>
  <c r="C41" i="5"/>
  <c r="C74" i="5"/>
  <c r="C82" i="5"/>
  <c r="BI116" i="5"/>
  <c r="C85" i="5"/>
  <c r="C62" i="5"/>
  <c r="Y116" i="5"/>
  <c r="E117" i="5" s="1"/>
  <c r="AK116" i="5"/>
  <c r="AE117" i="5" s="1"/>
  <c r="F120" i="5"/>
  <c r="D50" i="5"/>
  <c r="C49" i="5" s="1"/>
  <c r="BJ52" i="5"/>
  <c r="BJ62" i="5"/>
  <c r="AE120" i="5"/>
  <c r="D53" i="5"/>
  <c r="C52" i="5" s="1"/>
  <c r="BJ116" i="5" l="1"/>
  <c r="BJ121" i="5" s="1"/>
  <c r="C117" i="5"/>
  <c r="X121" i="5"/>
  <c r="BA121" i="5"/>
  <c r="AZ121" i="5"/>
  <c r="AY121" i="5"/>
  <c r="D96" i="33" l="1"/>
  <c r="CI72" i="6" l="1"/>
  <c r="CL72" i="6" s="1"/>
  <c r="CN72" i="6" s="1"/>
  <c r="CI73" i="6"/>
  <c r="CL73" i="6" s="1"/>
  <c r="CN73" i="6" s="1"/>
  <c r="AE244" i="7" l="1"/>
  <c r="CI74" i="6" l="1"/>
  <c r="CL74" i="6" s="1"/>
  <c r="CN74" i="6" s="1"/>
  <c r="CI75" i="6"/>
  <c r="CL75" i="6" s="1"/>
  <c r="CN75" i="6" s="1"/>
  <c r="AE175" i="12" l="1"/>
  <c r="AH175" i="12" s="1"/>
  <c r="AJ175" i="12" s="1"/>
  <c r="AE84" i="23" l="1"/>
  <c r="AH84" i="23" s="1"/>
  <c r="AE85" i="23"/>
  <c r="AH85" i="23" s="1"/>
  <c r="AJ85" i="23" s="1"/>
  <c r="AJ84" i="23" l="1"/>
  <c r="AE149" i="23" l="1"/>
  <c r="AH149" i="23" s="1"/>
  <c r="AJ149" i="23" s="1"/>
  <c r="AE161" i="37"/>
  <c r="AH161" i="37" s="1"/>
  <c r="AJ161" i="37" s="1"/>
  <c r="U217" i="10"/>
  <c r="X217" i="10" s="1"/>
  <c r="Z217" i="10" s="1"/>
  <c r="AF291" i="9"/>
  <c r="AI291" i="9" s="1"/>
  <c r="AK291" i="9" s="1"/>
  <c r="AF258" i="29"/>
  <c r="AI258" i="29" s="1"/>
  <c r="AK258" i="29" s="1"/>
  <c r="AE173" i="12"/>
  <c r="AH173" i="12" s="1"/>
  <c r="AJ173" i="12" s="1"/>
  <c r="AE174" i="12"/>
  <c r="AH174" i="12" s="1"/>
  <c r="AJ174" i="12" s="1"/>
  <c r="AE160" i="37"/>
  <c r="AH160" i="37" s="1"/>
  <c r="AJ160" i="37" s="1"/>
  <c r="AE230" i="34"/>
  <c r="AH230" i="34" s="1"/>
  <c r="AJ230" i="34" s="1"/>
  <c r="AE191" i="30"/>
  <c r="AH191" i="30" s="1"/>
  <c r="AJ191" i="30" s="1"/>
  <c r="V211" i="27"/>
  <c r="Y211" i="27" s="1"/>
  <c r="AA211" i="27" s="1"/>
  <c r="AE172" i="36"/>
  <c r="AH172" i="36" s="1"/>
  <c r="AJ172" i="36" s="1"/>
  <c r="CI264" i="6"/>
  <c r="CL264" i="6" s="1"/>
  <c r="CN264" i="6" s="1"/>
  <c r="AE222" i="7"/>
  <c r="AH222" i="7" s="1"/>
  <c r="AJ222" i="7" s="1"/>
  <c r="AF288" i="9"/>
  <c r="AI288" i="9" s="1"/>
  <c r="AK288" i="9" s="1"/>
  <c r="AE159" i="37" l="1"/>
  <c r="AH159" i="37" s="1"/>
  <c r="AJ159" i="37" s="1"/>
  <c r="AE225" i="7"/>
  <c r="AH225" i="7" s="1"/>
  <c r="AJ225" i="7" s="1"/>
  <c r="AE231" i="34"/>
  <c r="AH231" i="34" s="1"/>
  <c r="AJ231" i="34" s="1"/>
  <c r="AE192" i="30"/>
  <c r="AH192" i="30" s="1"/>
  <c r="AJ192" i="30" s="1"/>
  <c r="CI268" i="6"/>
  <c r="CL268" i="6" s="1"/>
  <c r="CN268" i="6" s="1"/>
  <c r="AE166" i="15"/>
  <c r="AH166" i="15" s="1"/>
  <c r="AJ166" i="15" s="1"/>
  <c r="U216" i="10"/>
  <c r="X216" i="10" s="1"/>
  <c r="Z216" i="10" s="1"/>
  <c r="AE232" i="34"/>
  <c r="AH232" i="34" s="1"/>
  <c r="AJ232" i="34" s="1"/>
  <c r="AF290" i="9"/>
  <c r="AI290" i="9" s="1"/>
  <c r="AK290" i="9" s="1"/>
  <c r="AE224" i="7"/>
  <c r="AH224" i="7" s="1"/>
  <c r="AJ224" i="7" s="1"/>
  <c r="CI267" i="6"/>
  <c r="CL267" i="6" s="1"/>
  <c r="CN267" i="6" s="1"/>
  <c r="AF257" i="29"/>
  <c r="AI257" i="29" s="1"/>
  <c r="AK257" i="29" s="1"/>
  <c r="AF255" i="29"/>
  <c r="AI255" i="29" s="1"/>
  <c r="AK255" i="29" s="1"/>
  <c r="AF256" i="29"/>
  <c r="AI256" i="29" s="1"/>
  <c r="AK256" i="29" s="1"/>
  <c r="AE165" i="15"/>
  <c r="AH165" i="15" s="1"/>
  <c r="AJ165" i="15" s="1"/>
  <c r="AF289" i="9"/>
  <c r="AI289" i="9" s="1"/>
  <c r="AK289" i="9" s="1"/>
  <c r="CI265" i="6"/>
  <c r="CL265" i="6" s="1"/>
  <c r="AE190" i="30"/>
  <c r="AH190" i="30" s="1"/>
  <c r="AJ190" i="30" s="1"/>
  <c r="AE229" i="34"/>
  <c r="AH229" i="34" s="1"/>
  <c r="AJ229" i="34" s="1"/>
  <c r="V210" i="27"/>
  <c r="Y210" i="27" s="1"/>
  <c r="AA210" i="27" s="1"/>
  <c r="U215" i="10"/>
  <c r="X215" i="10" s="1"/>
  <c r="Z215" i="10" s="1"/>
  <c r="AE227" i="34"/>
  <c r="AH227" i="34" s="1"/>
  <c r="AJ227" i="34" s="1"/>
  <c r="CN265" i="6" l="1"/>
  <c r="AL240" i="39"/>
  <c r="AN240" i="39" s="1"/>
  <c r="AE4" i="37"/>
  <c r="W172" i="19" s="1"/>
  <c r="AE4" i="36"/>
  <c r="AJ170" i="29" l="1"/>
  <c r="AF113" i="7"/>
  <c r="CJ146" i="6"/>
  <c r="F124" i="3"/>
  <c r="D114" i="3"/>
  <c r="D113" i="3"/>
  <c r="BI112" i="3"/>
  <c r="BH112" i="3"/>
  <c r="D112" i="3"/>
  <c r="D105" i="1"/>
  <c r="D106" i="1"/>
  <c r="D111" i="3"/>
  <c r="D110" i="3"/>
  <c r="BI109" i="3"/>
  <c r="BH109" i="3"/>
  <c r="D109" i="3"/>
  <c r="D98" i="33"/>
  <c r="D87" i="2"/>
  <c r="Q218" i="19"/>
  <c r="Y118" i="2"/>
  <c r="C171" i="19" s="1"/>
  <c r="D82" i="2"/>
  <c r="C112" i="3" l="1"/>
  <c r="C109" i="3"/>
  <c r="BZ350" i="6"/>
  <c r="D59" i="3" l="1"/>
  <c r="D49" i="1" l="1"/>
  <c r="D39" i="2" l="1"/>
  <c r="D40" i="2"/>
  <c r="D38" i="1"/>
  <c r="AX26" i="2"/>
  <c r="D25" i="3"/>
  <c r="AJ71" i="9"/>
  <c r="AG71" i="9"/>
  <c r="R85" i="10"/>
  <c r="L85" i="10"/>
  <c r="E85" i="10"/>
  <c r="N85" i="10"/>
  <c r="F85" i="10"/>
  <c r="G85" i="10"/>
  <c r="H85" i="10"/>
  <c r="I85" i="10"/>
  <c r="J85" i="10"/>
  <c r="K85" i="10"/>
  <c r="M85" i="10"/>
  <c r="O85" i="10"/>
  <c r="P85" i="10"/>
  <c r="Q85" i="10"/>
  <c r="D86" i="2"/>
  <c r="AE98" i="12"/>
  <c r="AH98" i="12" s="1"/>
  <c r="AJ98" i="12" s="1"/>
  <c r="AE99" i="12"/>
  <c r="AH99" i="12" s="1"/>
  <c r="AJ99" i="12" s="1"/>
  <c r="AE97" i="12"/>
  <c r="AH97" i="12" s="1"/>
  <c r="AJ97" i="12" s="1"/>
  <c r="CM112" i="6" l="1"/>
  <c r="S85" i="10"/>
  <c r="AI96" i="31"/>
  <c r="AG96" i="31"/>
  <c r="AF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AE95" i="31"/>
  <c r="AH95" i="31" s="1"/>
  <c r="AJ95" i="31" s="1"/>
  <c r="AE94" i="31"/>
  <c r="AH94" i="31" s="1"/>
  <c r="AJ94" i="31" s="1"/>
  <c r="AE93" i="31"/>
  <c r="AH93" i="31" s="1"/>
  <c r="AJ93" i="31" s="1"/>
  <c r="AE92" i="31"/>
  <c r="AH92" i="31" s="1"/>
  <c r="AJ92" i="31" s="1"/>
  <c r="AE91" i="31"/>
  <c r="AH91" i="31" s="1"/>
  <c r="AJ91" i="31" s="1"/>
  <c r="AE90" i="31"/>
  <c r="AH90" i="31" s="1"/>
  <c r="AJ90" i="31" s="1"/>
  <c r="AE89" i="31"/>
  <c r="AH89" i="31" s="1"/>
  <c r="AJ89" i="31" s="1"/>
  <c r="AE88" i="31"/>
  <c r="AH88" i="31" s="1"/>
  <c r="AJ88" i="31" s="1"/>
  <c r="AE87" i="31"/>
  <c r="AH87" i="31" s="1"/>
  <c r="AJ87" i="31" s="1"/>
  <c r="AE86" i="31"/>
  <c r="AH86" i="31" s="1"/>
  <c r="AJ86" i="31" s="1"/>
  <c r="AE85" i="31"/>
  <c r="AH85" i="31" s="1"/>
  <c r="AJ85" i="31" s="1"/>
  <c r="AE84" i="31"/>
  <c r="AH84" i="31" s="1"/>
  <c r="AJ84" i="31" s="1"/>
  <c r="D53" i="1"/>
  <c r="AE94" i="12"/>
  <c r="AH94" i="12" s="1"/>
  <c r="AJ94" i="12" s="1"/>
  <c r="D52" i="4"/>
  <c r="AE132" i="30"/>
  <c r="AH132" i="30" s="1"/>
  <c r="AJ132" i="30" s="1"/>
  <c r="AE131" i="30"/>
  <c r="AH131" i="30" s="1"/>
  <c r="AJ131" i="30" s="1"/>
  <c r="AK114" i="1"/>
  <c r="C155" i="19" s="1"/>
  <c r="O114" i="1"/>
  <c r="B155" i="19" s="1"/>
  <c r="B154" i="19"/>
  <c r="C154" i="19"/>
  <c r="B162" i="19"/>
  <c r="C162" i="19"/>
  <c r="F168" i="19"/>
  <c r="B178" i="19"/>
  <c r="C178" i="19"/>
  <c r="D154" i="19" l="1"/>
  <c r="AE93" i="12"/>
  <c r="AH93" i="12" s="1"/>
  <c r="AJ93" i="12" s="1"/>
  <c r="AJ96" i="31"/>
  <c r="AE96" i="31"/>
  <c r="AH96" i="31"/>
  <c r="D162" i="19"/>
  <c r="D178" i="19"/>
  <c r="D17" i="1" l="1"/>
  <c r="AF115" i="4"/>
  <c r="C252" i="19" s="1"/>
  <c r="J115" i="4"/>
  <c r="B255" i="19" s="1"/>
  <c r="D255" i="19" s="1"/>
  <c r="D242" i="19"/>
  <c r="C288" i="19"/>
  <c r="D20" i="2"/>
  <c r="D18" i="3"/>
  <c r="E116" i="4" l="1"/>
  <c r="BI356" i="6"/>
  <c r="D13" i="3"/>
  <c r="D118" i="33" l="1"/>
  <c r="D61" i="33" l="1"/>
  <c r="AF333" i="9" l="1"/>
  <c r="AI333" i="9" s="1"/>
  <c r="AK333" i="9" s="1"/>
  <c r="AF334" i="9"/>
  <c r="AI334" i="9" s="1"/>
  <c r="AK334" i="9" s="1"/>
  <c r="D80" i="1" l="1"/>
  <c r="D76" i="1"/>
  <c r="AE148" i="12"/>
  <c r="AI101" i="12"/>
  <c r="AG101" i="12"/>
  <c r="AF101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AE100" i="12"/>
  <c r="AH100" i="12" s="1"/>
  <c r="AJ100" i="12" s="1"/>
  <c r="AE96" i="12"/>
  <c r="AH96" i="12" s="1"/>
  <c r="AJ96" i="12" s="1"/>
  <c r="AE95" i="12"/>
  <c r="AH95" i="12" s="1"/>
  <c r="AJ95" i="12" s="1"/>
  <c r="AE92" i="12"/>
  <c r="AH92" i="12" s="1"/>
  <c r="AJ92" i="12" s="1"/>
  <c r="AE91" i="12"/>
  <c r="AH91" i="12" s="1"/>
  <c r="AJ91" i="12" s="1"/>
  <c r="AE90" i="12"/>
  <c r="AH90" i="12" s="1"/>
  <c r="AJ90" i="12" s="1"/>
  <c r="AE89" i="12"/>
  <c r="AH89" i="12" s="1"/>
  <c r="AJ89" i="12" s="1"/>
  <c r="AE88" i="12"/>
  <c r="AH88" i="12" s="1"/>
  <c r="AJ88" i="12" s="1"/>
  <c r="AE87" i="12"/>
  <c r="AH87" i="12" s="1"/>
  <c r="AJ87" i="12" s="1"/>
  <c r="AE86" i="12"/>
  <c r="AH86" i="12" s="1"/>
  <c r="AJ86" i="12" s="1"/>
  <c r="AE85" i="12"/>
  <c r="AH85" i="12" s="1"/>
  <c r="AJ85" i="12" s="1"/>
  <c r="AE84" i="12"/>
  <c r="AH84" i="12" s="1"/>
  <c r="C292" i="19"/>
  <c r="C301" i="19"/>
  <c r="B308" i="19"/>
  <c r="C308" i="19"/>
  <c r="B309" i="19"/>
  <c r="C309" i="19"/>
  <c r="B310" i="19"/>
  <c r="C310" i="19"/>
  <c r="B311" i="19"/>
  <c r="C311" i="19"/>
  <c r="B313" i="19"/>
  <c r="C313" i="19"/>
  <c r="B318" i="19"/>
  <c r="C318" i="19"/>
  <c r="B320" i="19"/>
  <c r="C320" i="19"/>
  <c r="F317" i="19"/>
  <c r="G317" i="19"/>
  <c r="I367" i="19"/>
  <c r="I368" i="19" s="1"/>
  <c r="I379" i="19"/>
  <c r="D311" i="19" l="1"/>
  <c r="D309" i="19"/>
  <c r="D313" i="19"/>
  <c r="D310" i="19"/>
  <c r="AH101" i="12"/>
  <c r="AJ84" i="12"/>
  <c r="AJ101" i="12" s="1"/>
  <c r="AE101" i="12"/>
  <c r="CI83" i="6" l="1"/>
  <c r="D48" i="1"/>
  <c r="AF29" i="9" l="1"/>
  <c r="AI29" i="9" s="1"/>
  <c r="AK29" i="9" s="1"/>
  <c r="AF28" i="9"/>
  <c r="AI28" i="9" s="1"/>
  <c r="AK28" i="9" s="1"/>
  <c r="AF26" i="9"/>
  <c r="AI26" i="9" s="1"/>
  <c r="AK26" i="9" s="1"/>
  <c r="AF27" i="9" l="1"/>
  <c r="AI27" i="9" s="1"/>
  <c r="AK27" i="9" s="1"/>
  <c r="AF25" i="9"/>
  <c r="AI25" i="9" s="1"/>
  <c r="AK25" i="9" s="1"/>
  <c r="AF24" i="9" l="1"/>
  <c r="AI24" i="9" s="1"/>
  <c r="AK24" i="9" s="1"/>
  <c r="AF23" i="9"/>
  <c r="AI23" i="9" s="1"/>
  <c r="AK23" i="9" s="1"/>
  <c r="D60" i="1"/>
  <c r="D13" i="2" l="1"/>
  <c r="D10" i="2" l="1"/>
  <c r="D94" i="4" l="1"/>
  <c r="D70" i="1" l="1"/>
  <c r="D67" i="1" l="1"/>
  <c r="AW123" i="33"/>
  <c r="C316" i="19" s="1"/>
  <c r="D63" i="3" l="1"/>
  <c r="AL120" i="3" l="1"/>
  <c r="C203" i="19" s="1"/>
  <c r="M120" i="3"/>
  <c r="B203" i="19" s="1"/>
  <c r="D37" i="1" l="1"/>
  <c r="D31" i="2"/>
  <c r="D28" i="2"/>
  <c r="AI114" i="1"/>
  <c r="C153" i="19" s="1"/>
  <c r="M114" i="1"/>
  <c r="B153" i="19" s="1"/>
  <c r="D153" i="19" l="1"/>
  <c r="B221" i="19"/>
  <c r="D56" i="1" l="1"/>
  <c r="D53" i="2" l="1"/>
  <c r="D25" i="4" l="1"/>
  <c r="D21" i="4" l="1"/>
  <c r="D18" i="38" l="1"/>
  <c r="E18" i="38"/>
  <c r="F18" i="38"/>
  <c r="H18" i="38"/>
  <c r="J18" i="38"/>
  <c r="K18" i="38"/>
  <c r="L18" i="38"/>
  <c r="M18" i="38"/>
  <c r="C18" i="38"/>
  <c r="N4" i="38"/>
  <c r="N6" i="38"/>
  <c r="N9" i="38"/>
  <c r="N10" i="38"/>
  <c r="N12" i="38"/>
  <c r="N13" i="38"/>
  <c r="N15" i="38"/>
  <c r="N16" i="38"/>
  <c r="N3" i="38"/>
  <c r="G7" i="38"/>
  <c r="G18" i="38" s="1"/>
  <c r="I7" i="38"/>
  <c r="N7" i="38" l="1"/>
  <c r="N18" i="38"/>
  <c r="I18" i="38"/>
  <c r="D10" i="4"/>
  <c r="W155" i="19" l="1"/>
  <c r="BB5" i="4" l="1"/>
  <c r="D6" i="4"/>
  <c r="D6" i="3"/>
  <c r="D48" i="3" l="1"/>
  <c r="AI96" i="14" l="1"/>
  <c r="AG96" i="14"/>
  <c r="AF96" i="14"/>
  <c r="AD96" i="14"/>
  <c r="AC96" i="14"/>
  <c r="AB96" i="14"/>
  <c r="AA96" i="14"/>
  <c r="Z96" i="14"/>
  <c r="Y96" i="14"/>
  <c r="X96" i="14"/>
  <c r="W96" i="14"/>
  <c r="V96" i="14"/>
  <c r="T96" i="14"/>
  <c r="S96" i="14"/>
  <c r="R96" i="14"/>
  <c r="Q96" i="14"/>
  <c r="P96" i="14"/>
  <c r="O96" i="14"/>
  <c r="N96" i="14"/>
  <c r="M96" i="14"/>
  <c r="K96" i="14"/>
  <c r="J96" i="14"/>
  <c r="I96" i="14"/>
  <c r="H96" i="14"/>
  <c r="G96" i="14"/>
  <c r="F96" i="14"/>
  <c r="E96" i="14"/>
  <c r="AE95" i="14"/>
  <c r="AH95" i="14" s="1"/>
  <c r="AJ95" i="14" s="1"/>
  <c r="AE94" i="14"/>
  <c r="AH94" i="14" s="1"/>
  <c r="AJ94" i="14" s="1"/>
  <c r="AE93" i="14"/>
  <c r="AH93" i="14" s="1"/>
  <c r="AJ93" i="14" s="1"/>
  <c r="AE92" i="14"/>
  <c r="AH92" i="14" s="1"/>
  <c r="AJ92" i="14" s="1"/>
  <c r="AE91" i="14"/>
  <c r="AH91" i="14" s="1"/>
  <c r="AJ91" i="14" s="1"/>
  <c r="AE90" i="14"/>
  <c r="AH90" i="14" s="1"/>
  <c r="AJ90" i="14" s="1"/>
  <c r="AE89" i="14"/>
  <c r="AH89" i="14" s="1"/>
  <c r="AJ89" i="14" s="1"/>
  <c r="AE88" i="14"/>
  <c r="AH88" i="14" s="1"/>
  <c r="AJ88" i="14" s="1"/>
  <c r="AE87" i="14"/>
  <c r="AH87" i="14" s="1"/>
  <c r="AJ87" i="14" s="1"/>
  <c r="AE86" i="14"/>
  <c r="AH86" i="14" s="1"/>
  <c r="AJ86" i="14" s="1"/>
  <c r="AE85" i="14"/>
  <c r="AH85" i="14" s="1"/>
  <c r="AJ85" i="14" s="1"/>
  <c r="AE84" i="14"/>
  <c r="AH84" i="14" s="1"/>
  <c r="D31" i="1"/>
  <c r="D27" i="1"/>
  <c r="D22" i="3"/>
  <c r="AH96" i="14" l="1"/>
  <c r="AJ84" i="14"/>
  <c r="AJ96" i="14" s="1"/>
  <c r="AE96" i="14"/>
  <c r="D20" i="4"/>
  <c r="AX120" i="3" l="1"/>
  <c r="C216" i="19" s="1"/>
  <c r="K120" i="3"/>
  <c r="B216" i="19" s="1"/>
  <c r="D216" i="19" l="1"/>
  <c r="D45" i="33" l="1"/>
  <c r="D61" i="2" l="1"/>
  <c r="AL166" i="29"/>
  <c r="AH170" i="29"/>
  <c r="AG170" i="29"/>
  <c r="AD170" i="29"/>
  <c r="AC170" i="29"/>
  <c r="AB170" i="29"/>
  <c r="AA170" i="29"/>
  <c r="Z170" i="29"/>
  <c r="Y170" i="29"/>
  <c r="X170" i="29"/>
  <c r="W170" i="29"/>
  <c r="U170" i="29"/>
  <c r="T170" i="29"/>
  <c r="S170" i="29"/>
  <c r="R170" i="29"/>
  <c r="Q170" i="29"/>
  <c r="P170" i="29"/>
  <c r="O170" i="29"/>
  <c r="N170" i="29"/>
  <c r="L170" i="29"/>
  <c r="K170" i="29"/>
  <c r="J170" i="29"/>
  <c r="I170" i="29"/>
  <c r="H170" i="29"/>
  <c r="G170" i="29"/>
  <c r="F170" i="29"/>
  <c r="E170" i="29"/>
  <c r="AF169" i="29"/>
  <c r="AI169" i="29" s="1"/>
  <c r="AK169" i="29" s="1"/>
  <c r="AF168" i="29"/>
  <c r="AI168" i="29" s="1"/>
  <c r="AK168" i="29" s="1"/>
  <c r="AF167" i="29"/>
  <c r="AI167" i="29" s="1"/>
  <c r="AK167" i="29" s="1"/>
  <c r="AF166" i="29"/>
  <c r="AI166" i="29" s="1"/>
  <c r="AK166" i="29" s="1"/>
  <c r="AF165" i="29"/>
  <c r="AI165" i="29" s="1"/>
  <c r="AK165" i="29" s="1"/>
  <c r="AF164" i="29"/>
  <c r="AI164" i="29" s="1"/>
  <c r="AK164" i="29" s="1"/>
  <c r="AF163" i="29"/>
  <c r="AI163" i="29" s="1"/>
  <c r="AK163" i="29" s="1"/>
  <c r="AF162" i="29"/>
  <c r="AI162" i="29" s="1"/>
  <c r="AK162" i="29" s="1"/>
  <c r="AF161" i="29"/>
  <c r="AI161" i="29" s="1"/>
  <c r="AK161" i="29" s="1"/>
  <c r="AF160" i="29"/>
  <c r="AI160" i="29" s="1"/>
  <c r="AK160" i="29" s="1"/>
  <c r="AF159" i="29"/>
  <c r="AI159" i="29" s="1"/>
  <c r="AK159" i="29" s="1"/>
  <c r="AF158" i="29"/>
  <c r="AI158" i="29" s="1"/>
  <c r="AK158" i="29" s="1"/>
  <c r="AF157" i="29"/>
  <c r="AI157" i="29" s="1"/>
  <c r="AK157" i="29" s="1"/>
  <c r="AF156" i="29"/>
  <c r="AI156" i="29" s="1"/>
  <c r="AK156" i="29" s="1"/>
  <c r="AF155" i="29"/>
  <c r="AI155" i="29" s="1"/>
  <c r="AK155" i="29" s="1"/>
  <c r="AF154" i="29"/>
  <c r="AI154" i="29" s="1"/>
  <c r="AK154" i="29" s="1"/>
  <c r="AF153" i="29"/>
  <c r="AI153" i="29" s="1"/>
  <c r="AK153" i="29" s="1"/>
  <c r="AF152" i="29"/>
  <c r="AI152" i="29" s="1"/>
  <c r="AK152" i="29" s="1"/>
  <c r="AF151" i="29"/>
  <c r="AI151" i="29" s="1"/>
  <c r="AK151" i="29" s="1"/>
  <c r="AF150" i="29"/>
  <c r="AI150" i="29" s="1"/>
  <c r="AK150" i="29" s="1"/>
  <c r="AF149" i="29"/>
  <c r="AI149" i="29" s="1"/>
  <c r="AK149" i="29" s="1"/>
  <c r="AF148" i="29"/>
  <c r="AI148" i="29" s="1"/>
  <c r="AK148" i="29" s="1"/>
  <c r="AF147" i="29"/>
  <c r="AI147" i="29" s="1"/>
  <c r="AK147" i="29" s="1"/>
  <c r="AF146" i="29"/>
  <c r="AI146" i="29" s="1"/>
  <c r="AK146" i="29" s="1"/>
  <c r="AF145" i="29"/>
  <c r="AI145" i="29" s="1"/>
  <c r="AK145" i="29" s="1"/>
  <c r="AF144" i="29"/>
  <c r="AI144" i="29" s="1"/>
  <c r="AK144" i="29" s="1"/>
  <c r="AF143" i="29"/>
  <c r="AI143" i="29" s="1"/>
  <c r="AK143" i="29" s="1"/>
  <c r="AF142" i="29"/>
  <c r="AI142" i="29" s="1"/>
  <c r="AK142" i="29" s="1"/>
  <c r="AF141" i="29"/>
  <c r="AI141" i="29" s="1"/>
  <c r="AK141" i="29" s="1"/>
  <c r="AF140" i="29"/>
  <c r="AI140" i="29" s="1"/>
  <c r="AK140" i="29" s="1"/>
  <c r="AF139" i="29"/>
  <c r="AI139" i="29" s="1"/>
  <c r="AX123" i="33"/>
  <c r="C317" i="19" s="1"/>
  <c r="D318" i="19" s="1"/>
  <c r="V123" i="33"/>
  <c r="B317" i="19" s="1"/>
  <c r="D317" i="19" l="1"/>
  <c r="AF170" i="29"/>
  <c r="AI170" i="29"/>
  <c r="AK139" i="29"/>
  <c r="AK170" i="29" s="1"/>
  <c r="D42" i="1" l="1"/>
  <c r="D16" i="1" l="1"/>
  <c r="D13" i="1" l="1"/>
  <c r="E203" i="34" l="1"/>
  <c r="AE190" i="34"/>
  <c r="AH190" i="34" s="1"/>
  <c r="AE191" i="34"/>
  <c r="AH191" i="34" s="1"/>
  <c r="AJ191" i="34" s="1"/>
  <c r="AE192" i="34"/>
  <c r="AH192" i="34" s="1"/>
  <c r="AJ192" i="34" s="1"/>
  <c r="AE193" i="34"/>
  <c r="AH193" i="34" s="1"/>
  <c r="AJ193" i="34" s="1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V194" i="34"/>
  <c r="W194" i="34"/>
  <c r="X194" i="34"/>
  <c r="Y194" i="34"/>
  <c r="Z194" i="34"/>
  <c r="AA194" i="34"/>
  <c r="AB194" i="34"/>
  <c r="AC194" i="34"/>
  <c r="AF194" i="34"/>
  <c r="AI194" i="34"/>
  <c r="AE194" i="34" l="1"/>
  <c r="AJ190" i="34"/>
  <c r="AJ194" i="34" s="1"/>
  <c r="AH194" i="34"/>
  <c r="D32" i="33" l="1"/>
  <c r="D33" i="33"/>
  <c r="AI96" i="36" l="1"/>
  <c r="AG96" i="36"/>
  <c r="AF96" i="36"/>
  <c r="AD96" i="36"/>
  <c r="AC96" i="36"/>
  <c r="AB96" i="36"/>
  <c r="AA96" i="36"/>
  <c r="Z96" i="36"/>
  <c r="Y96" i="36"/>
  <c r="X96" i="36"/>
  <c r="W96" i="36"/>
  <c r="V96" i="36"/>
  <c r="U96" i="36"/>
  <c r="T96" i="36"/>
  <c r="S96" i="36"/>
  <c r="R96" i="36"/>
  <c r="Q96" i="36"/>
  <c r="P96" i="36"/>
  <c r="O96" i="36"/>
  <c r="N96" i="36"/>
  <c r="M96" i="36"/>
  <c r="L96" i="36"/>
  <c r="K96" i="36"/>
  <c r="J96" i="36"/>
  <c r="I96" i="36"/>
  <c r="H96" i="36"/>
  <c r="G96" i="36"/>
  <c r="F96" i="36"/>
  <c r="E96" i="36"/>
  <c r="AE95" i="36"/>
  <c r="AH95" i="36" s="1"/>
  <c r="AJ95" i="36" s="1"/>
  <c r="AE94" i="36"/>
  <c r="AH94" i="36" s="1"/>
  <c r="AJ94" i="36" s="1"/>
  <c r="AE93" i="36"/>
  <c r="AH93" i="36" s="1"/>
  <c r="AJ93" i="36" s="1"/>
  <c r="AE92" i="36"/>
  <c r="AH92" i="36" s="1"/>
  <c r="AJ92" i="36" s="1"/>
  <c r="AE91" i="36"/>
  <c r="AH91" i="36" s="1"/>
  <c r="AJ91" i="36" s="1"/>
  <c r="AE90" i="36"/>
  <c r="AH90" i="36" s="1"/>
  <c r="AJ90" i="36" s="1"/>
  <c r="AE89" i="36"/>
  <c r="AH89" i="36" s="1"/>
  <c r="AJ89" i="36" s="1"/>
  <c r="AE88" i="36"/>
  <c r="AH88" i="36" s="1"/>
  <c r="AJ88" i="36" s="1"/>
  <c r="AE87" i="36"/>
  <c r="AH87" i="36" s="1"/>
  <c r="AJ87" i="36" s="1"/>
  <c r="AE86" i="36"/>
  <c r="AH86" i="36" s="1"/>
  <c r="AJ86" i="36" s="1"/>
  <c r="AE85" i="36"/>
  <c r="AH85" i="36" s="1"/>
  <c r="AJ85" i="36" s="1"/>
  <c r="AE84" i="36"/>
  <c r="AM123" i="33"/>
  <c r="C297" i="19" s="1"/>
  <c r="N123" i="33"/>
  <c r="B299" i="19" s="1"/>
  <c r="D58" i="2"/>
  <c r="AE96" i="36" l="1"/>
  <c r="AH84" i="36"/>
  <c r="AJ84" i="36" l="1"/>
  <c r="AJ96" i="36" s="1"/>
  <c r="AH96" i="36"/>
  <c r="D18" i="2" l="1"/>
  <c r="D17" i="2"/>
  <c r="D8" i="1"/>
  <c r="D9" i="1"/>
  <c r="D6" i="2" l="1"/>
  <c r="E187" i="34" l="1"/>
  <c r="G123" i="33" l="1"/>
  <c r="B294" i="19" s="1"/>
  <c r="D29" i="33"/>
  <c r="D28" i="33"/>
  <c r="BM27" i="33"/>
  <c r="BL27" i="33"/>
  <c r="D27" i="33"/>
  <c r="C27" i="33" l="1"/>
  <c r="D102" i="33" l="1"/>
  <c r="D103" i="33"/>
  <c r="AI97" i="15" l="1"/>
  <c r="AG97" i="15"/>
  <c r="AF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AE96" i="15"/>
  <c r="AH96" i="15" s="1"/>
  <c r="AJ96" i="15" s="1"/>
  <c r="AE95" i="15"/>
  <c r="AH95" i="15" s="1"/>
  <c r="AJ95" i="15" s="1"/>
  <c r="AE94" i="15"/>
  <c r="AH94" i="15" s="1"/>
  <c r="AJ94" i="15" s="1"/>
  <c r="AE93" i="15"/>
  <c r="AH93" i="15" s="1"/>
  <c r="AJ93" i="15" s="1"/>
  <c r="AE92" i="15"/>
  <c r="AH92" i="15" s="1"/>
  <c r="AJ92" i="15" s="1"/>
  <c r="AE91" i="15"/>
  <c r="AH91" i="15" s="1"/>
  <c r="AJ91" i="15" s="1"/>
  <c r="AE90" i="15"/>
  <c r="AH90" i="15" s="1"/>
  <c r="AJ90" i="15" s="1"/>
  <c r="AE89" i="15"/>
  <c r="AH89" i="15" s="1"/>
  <c r="AJ89" i="15" s="1"/>
  <c r="AE88" i="15"/>
  <c r="AH88" i="15" s="1"/>
  <c r="AJ88" i="15" s="1"/>
  <c r="AE87" i="15"/>
  <c r="AH87" i="15" s="1"/>
  <c r="AJ87" i="15" s="1"/>
  <c r="AE86" i="15"/>
  <c r="AH86" i="15" s="1"/>
  <c r="AJ86" i="15" s="1"/>
  <c r="AE85" i="15"/>
  <c r="AH85" i="15" s="1"/>
  <c r="AJ85" i="15" l="1"/>
  <c r="AJ97" i="15" s="1"/>
  <c r="AH97" i="15"/>
  <c r="AE97" i="15"/>
  <c r="D82" i="33" l="1"/>
  <c r="AI96" i="37" l="1"/>
  <c r="AF96" i="37"/>
  <c r="AD96" i="37"/>
  <c r="AC96" i="37"/>
  <c r="AB96" i="37"/>
  <c r="AA96" i="37"/>
  <c r="Z96" i="37"/>
  <c r="Y96" i="37"/>
  <c r="X96" i="37"/>
  <c r="W96" i="37"/>
  <c r="V96" i="37"/>
  <c r="T96" i="37"/>
  <c r="S96" i="37"/>
  <c r="R96" i="37"/>
  <c r="Q96" i="37"/>
  <c r="P96" i="37"/>
  <c r="O96" i="37"/>
  <c r="N96" i="37"/>
  <c r="M96" i="37"/>
  <c r="K96" i="37"/>
  <c r="J96" i="37"/>
  <c r="I96" i="37"/>
  <c r="H96" i="37"/>
  <c r="G96" i="37"/>
  <c r="F96" i="37"/>
  <c r="E96" i="37"/>
  <c r="AE95" i="37"/>
  <c r="AH95" i="37" s="1"/>
  <c r="AJ95" i="37" s="1"/>
  <c r="AE94" i="37"/>
  <c r="AH94" i="37" s="1"/>
  <c r="AJ94" i="37" s="1"/>
  <c r="AE93" i="37"/>
  <c r="AH93" i="37" s="1"/>
  <c r="AJ93" i="37" s="1"/>
  <c r="AE92" i="37"/>
  <c r="AH92" i="37" s="1"/>
  <c r="AJ92" i="37" s="1"/>
  <c r="AE91" i="37"/>
  <c r="AH91" i="37" s="1"/>
  <c r="AJ91" i="37" s="1"/>
  <c r="AE90" i="37"/>
  <c r="AH90" i="37" s="1"/>
  <c r="AJ90" i="37" s="1"/>
  <c r="AE89" i="37"/>
  <c r="AH89" i="37" s="1"/>
  <c r="AJ89" i="37" s="1"/>
  <c r="AE88" i="37"/>
  <c r="AH88" i="37" s="1"/>
  <c r="AJ88" i="37" s="1"/>
  <c r="AE87" i="37"/>
  <c r="AH87" i="37" s="1"/>
  <c r="AJ87" i="37" s="1"/>
  <c r="AE86" i="37"/>
  <c r="AH86" i="37" s="1"/>
  <c r="AJ86" i="37" s="1"/>
  <c r="AE85" i="37"/>
  <c r="AH85" i="37" s="1"/>
  <c r="AJ85" i="37" s="1"/>
  <c r="AE84" i="37"/>
  <c r="AH84" i="37" s="1"/>
  <c r="AH96" i="37" l="1"/>
  <c r="AJ84" i="37"/>
  <c r="AJ96" i="37" s="1"/>
  <c r="AE96" i="37"/>
  <c r="AS115" i="4" l="1"/>
  <c r="C244" i="19" s="1"/>
  <c r="B244" i="19"/>
  <c r="AP123" i="33"/>
  <c r="C302" i="19" s="1"/>
  <c r="Q123" i="33"/>
  <c r="B302" i="19" s="1"/>
  <c r="C271" i="19"/>
  <c r="B271" i="19"/>
  <c r="D302" i="19" l="1"/>
  <c r="D244" i="19"/>
  <c r="D69" i="33"/>
  <c r="D65" i="33" l="1"/>
  <c r="AU123" i="33" l="1"/>
  <c r="C303" i="19" s="1"/>
  <c r="T123" i="33"/>
  <c r="B303" i="19" s="1"/>
  <c r="D303" i="19" l="1"/>
  <c r="CP137" i="6"/>
  <c r="AN112" i="6" l="1"/>
  <c r="D26" i="1"/>
  <c r="D32" i="3" l="1"/>
  <c r="F294" i="34" l="1"/>
  <c r="G294" i="34"/>
  <c r="H294" i="34"/>
  <c r="I294" i="34"/>
  <c r="J294" i="34"/>
  <c r="K294" i="34"/>
  <c r="L294" i="34"/>
  <c r="E294" i="34"/>
  <c r="E208" i="9" l="1"/>
  <c r="AL170" i="9"/>
  <c r="AJ173" i="9"/>
  <c r="AH173" i="9"/>
  <c r="AG173" i="9"/>
  <c r="AD173" i="9"/>
  <c r="AC173" i="9"/>
  <c r="AB173" i="9"/>
  <c r="AA173" i="9"/>
  <c r="Z173" i="9"/>
  <c r="Y173" i="9"/>
  <c r="X173" i="9"/>
  <c r="W173" i="9"/>
  <c r="U173" i="9"/>
  <c r="T173" i="9"/>
  <c r="S173" i="9"/>
  <c r="R173" i="9"/>
  <c r="Q173" i="9"/>
  <c r="P173" i="9"/>
  <c r="O173" i="9"/>
  <c r="N173" i="9"/>
  <c r="L173" i="9"/>
  <c r="K173" i="9"/>
  <c r="J173" i="9"/>
  <c r="I173" i="9"/>
  <c r="H173" i="9"/>
  <c r="G173" i="9"/>
  <c r="F173" i="9"/>
  <c r="E173" i="9"/>
  <c r="AF172" i="9"/>
  <c r="AI172" i="9" s="1"/>
  <c r="AK172" i="9" s="1"/>
  <c r="AF171" i="9"/>
  <c r="AI171" i="9" s="1"/>
  <c r="AK171" i="9" s="1"/>
  <c r="AF170" i="9"/>
  <c r="AI170" i="9" s="1"/>
  <c r="AK170" i="9" s="1"/>
  <c r="AF169" i="9"/>
  <c r="AI169" i="9" s="1"/>
  <c r="AK169" i="9" s="1"/>
  <c r="AF168" i="9"/>
  <c r="AI168" i="9" s="1"/>
  <c r="AK168" i="9" s="1"/>
  <c r="AF167" i="9"/>
  <c r="AI167" i="9" s="1"/>
  <c r="AK167" i="9" s="1"/>
  <c r="AF166" i="9"/>
  <c r="AI166" i="9" s="1"/>
  <c r="AK166" i="9" s="1"/>
  <c r="AF165" i="9"/>
  <c r="AI165" i="9" s="1"/>
  <c r="AK165" i="9" s="1"/>
  <c r="AF164" i="9"/>
  <c r="AI164" i="9" s="1"/>
  <c r="AK164" i="9" s="1"/>
  <c r="AF163" i="9"/>
  <c r="AI163" i="9" s="1"/>
  <c r="AK163" i="9" s="1"/>
  <c r="AF162" i="9"/>
  <c r="AI162" i="9" s="1"/>
  <c r="AK162" i="9" s="1"/>
  <c r="AF161" i="9"/>
  <c r="AI161" i="9" s="1"/>
  <c r="AK161" i="9" s="1"/>
  <c r="AF160" i="9"/>
  <c r="AI160" i="9" s="1"/>
  <c r="AK160" i="9" s="1"/>
  <c r="AF159" i="9"/>
  <c r="AI159" i="9" s="1"/>
  <c r="AK159" i="9" s="1"/>
  <c r="AF158" i="9"/>
  <c r="AI158" i="9" s="1"/>
  <c r="AK158" i="9" s="1"/>
  <c r="AF157" i="9"/>
  <c r="AI157" i="9" s="1"/>
  <c r="AK157" i="9" s="1"/>
  <c r="AF156" i="9"/>
  <c r="AI156" i="9" s="1"/>
  <c r="AK156" i="9" s="1"/>
  <c r="AF155" i="9"/>
  <c r="AI155" i="9" s="1"/>
  <c r="AK155" i="9" s="1"/>
  <c r="AF154" i="9"/>
  <c r="AI154" i="9" s="1"/>
  <c r="AK154" i="9" s="1"/>
  <c r="AF153" i="9"/>
  <c r="AI153" i="9" s="1"/>
  <c r="AK153" i="9" s="1"/>
  <c r="AF152" i="9"/>
  <c r="AI152" i="9" s="1"/>
  <c r="AK152" i="9" s="1"/>
  <c r="AF151" i="9"/>
  <c r="AI151" i="9" s="1"/>
  <c r="AK151" i="9" s="1"/>
  <c r="AF150" i="9"/>
  <c r="AI150" i="9" s="1"/>
  <c r="AK150" i="9" s="1"/>
  <c r="AF149" i="9"/>
  <c r="AI149" i="9" s="1"/>
  <c r="AK149" i="9" s="1"/>
  <c r="AF148" i="9"/>
  <c r="AI148" i="9" s="1"/>
  <c r="AK148" i="9" s="1"/>
  <c r="AF147" i="9"/>
  <c r="AI147" i="9" s="1"/>
  <c r="AK147" i="9" s="1"/>
  <c r="AF146" i="9"/>
  <c r="AI146" i="9" s="1"/>
  <c r="AK146" i="9" s="1"/>
  <c r="AF145" i="9"/>
  <c r="AI145" i="9" s="1"/>
  <c r="AK145" i="9" s="1"/>
  <c r="AF144" i="9"/>
  <c r="AI144" i="9" s="1"/>
  <c r="AK144" i="9" s="1"/>
  <c r="AF143" i="9"/>
  <c r="AI143" i="9" s="1"/>
  <c r="AK143" i="9" s="1"/>
  <c r="AF142" i="9"/>
  <c r="AI142" i="9" s="1"/>
  <c r="AI173" i="9" l="1"/>
  <c r="AF173" i="9"/>
  <c r="AK142" i="9"/>
  <c r="AK173" i="9" s="1"/>
  <c r="AF294" i="34" l="1"/>
  <c r="M167" i="19" s="1"/>
  <c r="W157" i="19" l="1"/>
  <c r="W159" i="19"/>
  <c r="X158" i="19" s="1"/>
  <c r="W160" i="19"/>
  <c r="W163" i="19"/>
  <c r="W165" i="19"/>
  <c r="X159" i="19" s="1"/>
  <c r="W169" i="19"/>
  <c r="W171" i="19"/>
  <c r="W173" i="19"/>
  <c r="W175" i="19"/>
  <c r="X161" i="19"/>
  <c r="W183" i="19"/>
  <c r="W184" i="19"/>
  <c r="X157" i="19" l="1"/>
  <c r="W188" i="19"/>
  <c r="AE4" i="18"/>
  <c r="G39" i="18"/>
  <c r="X183" i="19" l="1"/>
  <c r="AE4" i="13"/>
  <c r="W156" i="19" l="1"/>
  <c r="W161" i="19"/>
  <c r="K71" i="9"/>
  <c r="BL17" i="33" l="1"/>
  <c r="D17" i="33"/>
  <c r="D115" i="33" l="1"/>
  <c r="M29" i="27" l="1"/>
  <c r="M58" i="27"/>
  <c r="M85" i="27"/>
  <c r="M112" i="27"/>
  <c r="M139" i="27"/>
  <c r="M174" i="27"/>
  <c r="M182" i="27"/>
  <c r="M190" i="27"/>
  <c r="M198" i="27"/>
  <c r="M275" i="27"/>
  <c r="M276" i="27" s="1"/>
  <c r="M281" i="27"/>
  <c r="M200" i="27" l="1"/>
  <c r="M201" i="27" s="1"/>
  <c r="X118" i="2"/>
  <c r="B188" i="19" s="1"/>
  <c r="T58" i="27"/>
  <c r="T29" i="27"/>
  <c r="T85" i="27"/>
  <c r="T112" i="27"/>
  <c r="T275" i="27"/>
  <c r="T276" i="27" s="1"/>
  <c r="V193" i="27"/>
  <c r="V206" i="27"/>
  <c r="S281" i="27"/>
  <c r="S275" i="27"/>
  <c r="V204" i="27"/>
  <c r="S198" i="27"/>
  <c r="S190" i="27"/>
  <c r="S182" i="27"/>
  <c r="S174" i="27"/>
  <c r="S139" i="27"/>
  <c r="S112" i="27"/>
  <c r="S85" i="27"/>
  <c r="S58" i="27"/>
  <c r="S29" i="27"/>
  <c r="V34" i="27"/>
  <c r="D107" i="2"/>
  <c r="D105" i="2"/>
  <c r="AI142" i="25"/>
  <c r="AG142" i="25"/>
  <c r="AF142" i="25"/>
  <c r="AC142" i="25"/>
  <c r="AB142" i="25"/>
  <c r="AA142" i="25"/>
  <c r="Z142" i="25"/>
  <c r="Y142" i="25"/>
  <c r="X142" i="25"/>
  <c r="W142" i="25"/>
  <c r="V142" i="25"/>
  <c r="T142" i="25"/>
  <c r="S142" i="25"/>
  <c r="R142" i="25"/>
  <c r="Q142" i="25"/>
  <c r="P142" i="25"/>
  <c r="O142" i="25"/>
  <c r="N142" i="25"/>
  <c r="M142" i="25"/>
  <c r="K142" i="25"/>
  <c r="J142" i="25"/>
  <c r="I142" i="25"/>
  <c r="H142" i="25"/>
  <c r="G142" i="25"/>
  <c r="F142" i="25"/>
  <c r="E142" i="25"/>
  <c r="AE141" i="25"/>
  <c r="AH141" i="25" s="1"/>
  <c r="AJ141" i="25" s="1"/>
  <c r="AE140" i="25"/>
  <c r="AH140" i="25" s="1"/>
  <c r="AJ140" i="25" s="1"/>
  <c r="AE135" i="25"/>
  <c r="AH135" i="25" s="1"/>
  <c r="AJ135" i="25" s="1"/>
  <c r="AE131" i="25"/>
  <c r="AH131" i="25" s="1"/>
  <c r="AJ131" i="25" s="1"/>
  <c r="AE130" i="25"/>
  <c r="AH130" i="25" s="1"/>
  <c r="AJ130" i="25" s="1"/>
  <c r="AE129" i="25"/>
  <c r="AH129" i="25" s="1"/>
  <c r="AJ129" i="25" s="1"/>
  <c r="AE128" i="25"/>
  <c r="AH128" i="25" s="1"/>
  <c r="AJ128" i="25" s="1"/>
  <c r="AE127" i="25"/>
  <c r="AH127" i="25" s="1"/>
  <c r="AJ127" i="25" s="1"/>
  <c r="AE126" i="25"/>
  <c r="AH126" i="25" s="1"/>
  <c r="AJ126" i="25" s="1"/>
  <c r="AE125" i="25"/>
  <c r="AH125" i="25" s="1"/>
  <c r="AJ125" i="25" s="1"/>
  <c r="AE124" i="25"/>
  <c r="AH124" i="25" s="1"/>
  <c r="AJ124" i="25" s="1"/>
  <c r="AE123" i="25"/>
  <c r="AH123" i="25" s="1"/>
  <c r="AJ123" i="25" s="1"/>
  <c r="AE122" i="25"/>
  <c r="AH122" i="25" s="1"/>
  <c r="AJ122" i="25" s="1"/>
  <c r="AE121" i="25"/>
  <c r="AH121" i="25" s="1"/>
  <c r="S200" i="27" l="1"/>
  <c r="S201" i="27" s="1"/>
  <c r="S276" i="27"/>
  <c r="AH142" i="25"/>
  <c r="M283" i="27"/>
  <c r="M284" i="27" s="1"/>
  <c r="AE142" i="25"/>
  <c r="AJ121" i="25"/>
  <c r="AJ142" i="25" s="1"/>
  <c r="J141" i="19" l="1"/>
  <c r="S283" i="27"/>
  <c r="D95" i="1"/>
  <c r="S284" i="27" l="1"/>
  <c r="P141" i="19"/>
  <c r="AF122" i="8"/>
  <c r="AI122" i="8"/>
  <c r="AE111" i="8"/>
  <c r="AG122" i="8"/>
  <c r="AC122" i="8"/>
  <c r="AB122" i="8"/>
  <c r="AA122" i="8"/>
  <c r="Z122" i="8"/>
  <c r="Y122" i="8"/>
  <c r="X122" i="8"/>
  <c r="W122" i="8"/>
  <c r="V122" i="8"/>
  <c r="T122" i="8"/>
  <c r="S122" i="8"/>
  <c r="R122" i="8"/>
  <c r="Q122" i="8"/>
  <c r="P122" i="8"/>
  <c r="O122" i="8"/>
  <c r="N122" i="8"/>
  <c r="M122" i="8"/>
  <c r="K122" i="8"/>
  <c r="J122" i="8"/>
  <c r="I122" i="8"/>
  <c r="H122" i="8"/>
  <c r="G122" i="8"/>
  <c r="F122" i="8"/>
  <c r="E122" i="8"/>
  <c r="AE121" i="8"/>
  <c r="AH121" i="8" s="1"/>
  <c r="AJ121" i="8" s="1"/>
  <c r="AE120" i="8"/>
  <c r="AH120" i="8" s="1"/>
  <c r="AJ120" i="8" s="1"/>
  <c r="AE119" i="8"/>
  <c r="AH119" i="8" s="1"/>
  <c r="AJ119" i="8" s="1"/>
  <c r="AE118" i="8"/>
  <c r="AH118" i="8" s="1"/>
  <c r="AJ118" i="8" s="1"/>
  <c r="AE117" i="8"/>
  <c r="AH117" i="8" s="1"/>
  <c r="AJ117" i="8" s="1"/>
  <c r="AE116" i="8"/>
  <c r="AH116" i="8" s="1"/>
  <c r="AJ116" i="8" s="1"/>
  <c r="AE115" i="8"/>
  <c r="AH115" i="8" s="1"/>
  <c r="AJ115" i="8" s="1"/>
  <c r="AE114" i="8"/>
  <c r="AH114" i="8" s="1"/>
  <c r="AJ114" i="8" s="1"/>
  <c r="AE113" i="8"/>
  <c r="AH113" i="8" s="1"/>
  <c r="AJ113" i="8" s="1"/>
  <c r="AE112" i="8"/>
  <c r="AH112" i="8" s="1"/>
  <c r="AJ112" i="8" s="1"/>
  <c r="AE110" i="8"/>
  <c r="AH110" i="8" s="1"/>
  <c r="D82" i="4"/>
  <c r="AH111" i="8" l="1"/>
  <c r="AJ111" i="8" s="1"/>
  <c r="AE122" i="8"/>
  <c r="AJ110" i="8"/>
  <c r="AM120" i="3"/>
  <c r="C204" i="19" s="1"/>
  <c r="O120" i="3"/>
  <c r="B204" i="19" s="1"/>
  <c r="AE144" i="7"/>
  <c r="AH144" i="7" s="1"/>
  <c r="D94" i="33"/>
  <c r="AE143" i="7"/>
  <c r="AH143" i="7" s="1"/>
  <c r="AJ143" i="7" s="1"/>
  <c r="M206" i="7"/>
  <c r="AI141" i="7"/>
  <c r="AE124" i="7"/>
  <c r="AH124" i="7" s="1"/>
  <c r="AJ124" i="7" s="1"/>
  <c r="AE120" i="7"/>
  <c r="AH120" i="7" s="1"/>
  <c r="AJ120" i="7" s="1"/>
  <c r="AE117" i="7"/>
  <c r="AG141" i="7"/>
  <c r="AF141" i="7"/>
  <c r="AC141" i="7"/>
  <c r="AB141" i="7"/>
  <c r="AA141" i="7"/>
  <c r="Z141" i="7"/>
  <c r="Y141" i="7"/>
  <c r="X141" i="7"/>
  <c r="W141" i="7"/>
  <c r="V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AE140" i="7"/>
  <c r="AH140" i="7" s="1"/>
  <c r="AJ140" i="7" s="1"/>
  <c r="AE139" i="7"/>
  <c r="AH139" i="7" s="1"/>
  <c r="AJ139" i="7" s="1"/>
  <c r="AE138" i="7"/>
  <c r="AH138" i="7" s="1"/>
  <c r="AJ138" i="7" s="1"/>
  <c r="AE137" i="7"/>
  <c r="AH137" i="7" s="1"/>
  <c r="AJ137" i="7" s="1"/>
  <c r="AE136" i="7"/>
  <c r="AH136" i="7" s="1"/>
  <c r="AJ136" i="7" s="1"/>
  <c r="AE135" i="7"/>
  <c r="AH135" i="7" s="1"/>
  <c r="AJ135" i="7" s="1"/>
  <c r="AE134" i="7"/>
  <c r="AH134" i="7" s="1"/>
  <c r="AJ134" i="7" s="1"/>
  <c r="AE133" i="7"/>
  <c r="AH133" i="7" s="1"/>
  <c r="AJ133" i="7" s="1"/>
  <c r="AE132" i="7"/>
  <c r="AH132" i="7" s="1"/>
  <c r="AJ132" i="7" s="1"/>
  <c r="AE131" i="7"/>
  <c r="AH131" i="7" s="1"/>
  <c r="AJ131" i="7" s="1"/>
  <c r="AE130" i="7"/>
  <c r="AH130" i="7" s="1"/>
  <c r="AJ130" i="7" s="1"/>
  <c r="AE129" i="7"/>
  <c r="AH129" i="7" s="1"/>
  <c r="AJ129" i="7" s="1"/>
  <c r="AE128" i="7"/>
  <c r="AH128" i="7" s="1"/>
  <c r="AJ128" i="7" s="1"/>
  <c r="AE127" i="7"/>
  <c r="AH127" i="7" s="1"/>
  <c r="AJ127" i="7" s="1"/>
  <c r="AE126" i="7"/>
  <c r="AH126" i="7" s="1"/>
  <c r="AJ126" i="7" s="1"/>
  <c r="AE125" i="7"/>
  <c r="AE123" i="7"/>
  <c r="AH123" i="7" s="1"/>
  <c r="AJ123" i="7" s="1"/>
  <c r="AE122" i="7"/>
  <c r="AH122" i="7" s="1"/>
  <c r="AJ122" i="7" s="1"/>
  <c r="AE121" i="7"/>
  <c r="AH121" i="7" s="1"/>
  <c r="AJ121" i="7" s="1"/>
  <c r="AE119" i="7"/>
  <c r="AE118" i="7"/>
  <c r="AH118" i="7" s="1"/>
  <c r="AJ118" i="7" s="1"/>
  <c r="AE116" i="7"/>
  <c r="AH116" i="7" s="1"/>
  <c r="AJ116" i="7" s="1"/>
  <c r="AE115" i="7"/>
  <c r="AE145" i="7"/>
  <c r="D204" i="19" l="1"/>
  <c r="AH122" i="8"/>
  <c r="AJ122" i="8"/>
  <c r="AH119" i="7"/>
  <c r="AJ119" i="7" s="1"/>
  <c r="AH125" i="7"/>
  <c r="AJ125" i="7" s="1"/>
  <c r="AH117" i="7"/>
  <c r="AJ117" i="7" s="1"/>
  <c r="AE141" i="7"/>
  <c r="AH115" i="7"/>
  <c r="AH145" i="7"/>
  <c r="AJ145" i="7" s="1"/>
  <c r="AJ144" i="7"/>
  <c r="AJ115" i="7" l="1"/>
  <c r="AJ141" i="7" s="1"/>
  <c r="AH141" i="7"/>
  <c r="BL24" i="33" l="1"/>
  <c r="BL20" i="33"/>
  <c r="BL13" i="33"/>
  <c r="BL9" i="33"/>
  <c r="D81" i="3"/>
  <c r="D82" i="3"/>
  <c r="AS120" i="3" l="1"/>
  <c r="C210" i="19" s="1"/>
  <c r="AG211" i="37"/>
  <c r="D67" i="4"/>
  <c r="D76" i="2"/>
  <c r="R123" i="33" l="1"/>
  <c r="B306" i="19" s="1"/>
  <c r="AP115" i="4"/>
  <c r="C238" i="19" s="1"/>
  <c r="B238" i="19"/>
  <c r="C268" i="19"/>
  <c r="B268" i="19"/>
  <c r="D238" i="19" l="1"/>
  <c r="D268" i="19"/>
  <c r="K87" i="19"/>
  <c r="L87" i="19"/>
  <c r="M87" i="19"/>
  <c r="N87" i="19"/>
  <c r="O87" i="19"/>
  <c r="K94" i="19"/>
  <c r="L94" i="19"/>
  <c r="M94" i="19"/>
  <c r="N94" i="19"/>
  <c r="O94" i="19"/>
  <c r="AP120" i="3"/>
  <c r="C208" i="19" s="1"/>
  <c r="R120" i="3"/>
  <c r="B208" i="19" s="1"/>
  <c r="D74" i="3"/>
  <c r="D208" i="19" l="1"/>
  <c r="AC227" i="37"/>
  <c r="AI217" i="37"/>
  <c r="AF217" i="37"/>
  <c r="AC217" i="37"/>
  <c r="AB217" i="37"/>
  <c r="AA217" i="37"/>
  <c r="Z217" i="37"/>
  <c r="Y217" i="37"/>
  <c r="X217" i="37"/>
  <c r="W217" i="37"/>
  <c r="V217" i="37"/>
  <c r="T217" i="37"/>
  <c r="S217" i="37"/>
  <c r="R217" i="37"/>
  <c r="Q217" i="37"/>
  <c r="P217" i="37"/>
  <c r="O217" i="37"/>
  <c r="N217" i="37"/>
  <c r="M217" i="37"/>
  <c r="K217" i="37"/>
  <c r="J217" i="37"/>
  <c r="I217" i="37"/>
  <c r="H217" i="37"/>
  <c r="G217" i="37"/>
  <c r="F217" i="37"/>
  <c r="E217" i="37"/>
  <c r="AE216" i="37"/>
  <c r="AH216" i="37" s="1"/>
  <c r="AJ216" i="37" s="1"/>
  <c r="AE215" i="37"/>
  <c r="AC214" i="37"/>
  <c r="AB214" i="37"/>
  <c r="AA214" i="37"/>
  <c r="Z214" i="37"/>
  <c r="Y214" i="37"/>
  <c r="X214" i="37"/>
  <c r="W214" i="37"/>
  <c r="V214" i="37"/>
  <c r="AG212" i="37"/>
  <c r="AI211" i="37"/>
  <c r="AI212" i="37" s="1"/>
  <c r="AF211" i="37"/>
  <c r="AC211" i="37"/>
  <c r="AC212" i="37" s="1"/>
  <c r="AB211" i="37"/>
  <c r="AB212" i="37" s="1"/>
  <c r="AA211" i="37"/>
  <c r="AA212" i="37" s="1"/>
  <c r="Z211" i="37"/>
  <c r="Z212" i="37" s="1"/>
  <c r="Y211" i="37"/>
  <c r="Y212" i="37" s="1"/>
  <c r="X211" i="37"/>
  <c r="X212" i="37" s="1"/>
  <c r="W211" i="37"/>
  <c r="W212" i="37" s="1"/>
  <c r="V211" i="37"/>
  <c r="V212" i="37" s="1"/>
  <c r="T211" i="37"/>
  <c r="T212" i="37" s="1"/>
  <c r="S211" i="37"/>
  <c r="S212" i="37" s="1"/>
  <c r="R211" i="37"/>
  <c r="R212" i="37" s="1"/>
  <c r="Q211" i="37"/>
  <c r="Q212" i="37" s="1"/>
  <c r="P211" i="37"/>
  <c r="P212" i="37" s="1"/>
  <c r="O211" i="37"/>
  <c r="O212" i="37" s="1"/>
  <c r="N211" i="37"/>
  <c r="N212" i="37" s="1"/>
  <c r="M211" i="37"/>
  <c r="M212" i="37" s="1"/>
  <c r="K211" i="37"/>
  <c r="K212" i="37" s="1"/>
  <c r="J211" i="37"/>
  <c r="J212" i="37" s="1"/>
  <c r="I211" i="37"/>
  <c r="I212" i="37" s="1"/>
  <c r="H211" i="37"/>
  <c r="H212" i="37" s="1"/>
  <c r="G211" i="37"/>
  <c r="G212" i="37" s="1"/>
  <c r="F211" i="37"/>
  <c r="F212" i="37" s="1"/>
  <c r="E211" i="37"/>
  <c r="E212" i="37" s="1"/>
  <c r="AH210" i="37"/>
  <c r="AJ210" i="37" s="1"/>
  <c r="AE210" i="37"/>
  <c r="AE209" i="37"/>
  <c r="AH209" i="37" s="1"/>
  <c r="AJ209" i="37" s="1"/>
  <c r="AE208" i="37"/>
  <c r="AH208" i="37" s="1"/>
  <c r="AJ208" i="37" s="1"/>
  <c r="AE207" i="37"/>
  <c r="AH207" i="37" s="1"/>
  <c r="AJ207" i="37" s="1"/>
  <c r="AE206" i="37"/>
  <c r="AH206" i="37" s="1"/>
  <c r="AJ206" i="37" s="1"/>
  <c r="AE205" i="37"/>
  <c r="AH205" i="37" s="1"/>
  <c r="AJ205" i="37" s="1"/>
  <c r="AE204" i="37"/>
  <c r="AH204" i="37" s="1"/>
  <c r="AJ204" i="37" s="1"/>
  <c r="AE203" i="37"/>
  <c r="AH203" i="37" s="1"/>
  <c r="AJ203" i="37" s="1"/>
  <c r="AE202" i="37"/>
  <c r="AH202" i="37" s="1"/>
  <c r="AJ202" i="37" s="1"/>
  <c r="AE201" i="37"/>
  <c r="AH201" i="37" s="1"/>
  <c r="AJ201" i="37" s="1"/>
  <c r="AE200" i="37"/>
  <c r="AH200" i="37" s="1"/>
  <c r="AJ200" i="37" s="1"/>
  <c r="AE199" i="37"/>
  <c r="AH199" i="37" s="1"/>
  <c r="AJ199" i="37" s="1"/>
  <c r="AE198" i="37"/>
  <c r="AH198" i="37" s="1"/>
  <c r="AJ198" i="37" s="1"/>
  <c r="AE197" i="37"/>
  <c r="AH197" i="37" s="1"/>
  <c r="AJ197" i="37" s="1"/>
  <c r="AE196" i="37"/>
  <c r="AH196" i="37" s="1"/>
  <c r="AJ196" i="37" s="1"/>
  <c r="AE195" i="37"/>
  <c r="AH195" i="37" s="1"/>
  <c r="AJ195" i="37" s="1"/>
  <c r="AE194" i="37"/>
  <c r="AH194" i="37" s="1"/>
  <c r="AJ194" i="37" s="1"/>
  <c r="AE193" i="37"/>
  <c r="AH193" i="37" s="1"/>
  <c r="AJ193" i="37" s="1"/>
  <c r="AE192" i="37"/>
  <c r="AH192" i="37" s="1"/>
  <c r="AJ192" i="37" s="1"/>
  <c r="AE191" i="37"/>
  <c r="AH191" i="37" s="1"/>
  <c r="AJ191" i="37" s="1"/>
  <c r="AE190" i="37"/>
  <c r="AH190" i="37" s="1"/>
  <c r="AJ190" i="37" s="1"/>
  <c r="AE189" i="37"/>
  <c r="AH189" i="37" s="1"/>
  <c r="AJ189" i="37" s="1"/>
  <c r="AE188" i="37"/>
  <c r="AH188" i="37" s="1"/>
  <c r="AJ188" i="37" s="1"/>
  <c r="AE187" i="37"/>
  <c r="AH187" i="37" s="1"/>
  <c r="AJ187" i="37" s="1"/>
  <c r="AE186" i="37"/>
  <c r="AH186" i="37" s="1"/>
  <c r="AJ186" i="37" s="1"/>
  <c r="AE185" i="37"/>
  <c r="AH185" i="37" s="1"/>
  <c r="AJ185" i="37" s="1"/>
  <c r="AE184" i="37"/>
  <c r="AH184" i="37" s="1"/>
  <c r="AJ184" i="37" s="1"/>
  <c r="AE183" i="37"/>
  <c r="AH183" i="37" s="1"/>
  <c r="AJ183" i="37" s="1"/>
  <c r="AE182" i="37"/>
  <c r="AH182" i="37" s="1"/>
  <c r="AJ182" i="37" s="1"/>
  <c r="AE181" i="37"/>
  <c r="AH181" i="37" s="1"/>
  <c r="AJ181" i="37" s="1"/>
  <c r="AE180" i="37"/>
  <c r="AH180" i="37" s="1"/>
  <c r="AJ180" i="37" s="1"/>
  <c r="AE179" i="37"/>
  <c r="AH179" i="37" s="1"/>
  <c r="AJ179" i="37" s="1"/>
  <c r="AE178" i="37"/>
  <c r="AH178" i="37" s="1"/>
  <c r="AJ178" i="37" s="1"/>
  <c r="AE177" i="37"/>
  <c r="AH177" i="37" s="1"/>
  <c r="AJ177" i="37" s="1"/>
  <c r="AE176" i="37"/>
  <c r="AH176" i="37" s="1"/>
  <c r="AJ176" i="37" s="1"/>
  <c r="AE175" i="37"/>
  <c r="AH175" i="37" s="1"/>
  <c r="AJ175" i="37" s="1"/>
  <c r="AE174" i="37"/>
  <c r="AH174" i="37" s="1"/>
  <c r="AJ174" i="37" s="1"/>
  <c r="AE173" i="37"/>
  <c r="AE172" i="37"/>
  <c r="AH172" i="37" s="1"/>
  <c r="AJ172" i="37" s="1"/>
  <c r="AE171" i="37"/>
  <c r="AH171" i="37" s="1"/>
  <c r="AJ171" i="37" s="1"/>
  <c r="AE170" i="37"/>
  <c r="AH170" i="37" s="1"/>
  <c r="AJ170" i="37" s="1"/>
  <c r="AE169" i="37"/>
  <c r="AH169" i="37" s="1"/>
  <c r="AJ169" i="37" s="1"/>
  <c r="AE168" i="37"/>
  <c r="AH168" i="37" s="1"/>
  <c r="AJ168" i="37" s="1"/>
  <c r="AE167" i="37"/>
  <c r="AH167" i="37" s="1"/>
  <c r="AJ167" i="37" s="1"/>
  <c r="AE166" i="37"/>
  <c r="AH166" i="37" s="1"/>
  <c r="AJ166" i="37" s="1"/>
  <c r="AE165" i="37"/>
  <c r="AH165" i="37" s="1"/>
  <c r="AJ165" i="37" s="1"/>
  <c r="AE164" i="37"/>
  <c r="AH164" i="37" s="1"/>
  <c r="AJ164" i="37" s="1"/>
  <c r="AE163" i="37"/>
  <c r="AH163" i="37" s="1"/>
  <c r="AJ163" i="37" s="1"/>
  <c r="AE162" i="37"/>
  <c r="AH162" i="37" s="1"/>
  <c r="AJ162" i="37" s="1"/>
  <c r="AE158" i="37"/>
  <c r="AH158" i="37" s="1"/>
  <c r="AJ158" i="37" s="1"/>
  <c r="AE157" i="37"/>
  <c r="AH157" i="37" s="1"/>
  <c r="AJ157" i="37" s="1"/>
  <c r="AE156" i="37"/>
  <c r="AH156" i="37" s="1"/>
  <c r="AJ156" i="37" s="1"/>
  <c r="AE155" i="37"/>
  <c r="AH155" i="37" s="1"/>
  <c r="AJ155" i="37" s="1"/>
  <c r="AE153" i="37"/>
  <c r="AH153" i="37" s="1"/>
  <c r="AJ153" i="37" s="1"/>
  <c r="AE152" i="37"/>
  <c r="AH152" i="37" s="1"/>
  <c r="AJ152" i="37" s="1"/>
  <c r="AE151" i="37"/>
  <c r="AH151" i="37" s="1"/>
  <c r="AJ151" i="37" s="1"/>
  <c r="AE150" i="37"/>
  <c r="AC149" i="37"/>
  <c r="AB149" i="37"/>
  <c r="W149" i="37"/>
  <c r="V149" i="37"/>
  <c r="AI143" i="37"/>
  <c r="AF143" i="37"/>
  <c r="AC143" i="37"/>
  <c r="AB143" i="37"/>
  <c r="AA143" i="37"/>
  <c r="Z143" i="37"/>
  <c r="Y143" i="37"/>
  <c r="X143" i="37"/>
  <c r="W143" i="37"/>
  <c r="V143" i="37"/>
  <c r="T143" i="37"/>
  <c r="S143" i="37"/>
  <c r="R143" i="37"/>
  <c r="Q143" i="37"/>
  <c r="P143" i="37"/>
  <c r="O143" i="37"/>
  <c r="N143" i="37"/>
  <c r="M143" i="37"/>
  <c r="K143" i="37"/>
  <c r="J143" i="37"/>
  <c r="I143" i="37"/>
  <c r="H143" i="37"/>
  <c r="G143" i="37"/>
  <c r="F143" i="37"/>
  <c r="E143" i="37"/>
  <c r="AE142" i="37"/>
  <c r="AH142" i="37" s="1"/>
  <c r="AJ142" i="37" s="1"/>
  <c r="AE141" i="37"/>
  <c r="AH141" i="37" s="1"/>
  <c r="AJ141" i="37" s="1"/>
  <c r="AE140" i="37"/>
  <c r="AH140" i="37" s="1"/>
  <c r="AJ140" i="37" s="1"/>
  <c r="AE139" i="37"/>
  <c r="AH139" i="37" s="1"/>
  <c r="AJ139" i="37" s="1"/>
  <c r="AE138" i="37"/>
  <c r="AI135" i="37"/>
  <c r="AF135" i="37"/>
  <c r="AC135" i="37"/>
  <c r="AB135" i="37"/>
  <c r="AA135" i="37"/>
  <c r="Z135" i="37"/>
  <c r="Y135" i="37"/>
  <c r="X135" i="37"/>
  <c r="W135" i="37"/>
  <c r="V135" i="37"/>
  <c r="T135" i="37"/>
  <c r="S135" i="37"/>
  <c r="R135" i="37"/>
  <c r="Q135" i="37"/>
  <c r="P135" i="37"/>
  <c r="O135" i="37"/>
  <c r="N135" i="37"/>
  <c r="M135" i="37"/>
  <c r="K135" i="37"/>
  <c r="J135" i="37"/>
  <c r="I135" i="37"/>
  <c r="H135" i="37"/>
  <c r="G135" i="37"/>
  <c r="F135" i="37"/>
  <c r="E135" i="37"/>
  <c r="AE134" i="37"/>
  <c r="AH134" i="37" s="1"/>
  <c r="AJ134" i="37" s="1"/>
  <c r="AE133" i="37"/>
  <c r="AH133" i="37" s="1"/>
  <c r="AJ133" i="37" s="1"/>
  <c r="AE132" i="37"/>
  <c r="AH132" i="37" s="1"/>
  <c r="AJ132" i="37" s="1"/>
  <c r="AE131" i="37"/>
  <c r="AH131" i="37" s="1"/>
  <c r="AJ131" i="37" s="1"/>
  <c r="AE130" i="37"/>
  <c r="AH130" i="37" s="1"/>
  <c r="AJ130" i="37" s="1"/>
  <c r="AE129" i="37"/>
  <c r="AI126" i="37"/>
  <c r="AF126" i="37"/>
  <c r="AC126" i="37"/>
  <c r="AB126" i="37"/>
  <c r="AA126" i="37"/>
  <c r="Z126" i="37"/>
  <c r="Y126" i="37"/>
  <c r="X126" i="37"/>
  <c r="W126" i="37"/>
  <c r="V126" i="37"/>
  <c r="T126" i="37"/>
  <c r="S126" i="37"/>
  <c r="R126" i="37"/>
  <c r="Q126" i="37"/>
  <c r="P126" i="37"/>
  <c r="O126" i="37"/>
  <c r="N126" i="37"/>
  <c r="M126" i="37"/>
  <c r="K126" i="37"/>
  <c r="J126" i="37"/>
  <c r="I126" i="37"/>
  <c r="H126" i="37"/>
  <c r="G126" i="37"/>
  <c r="F126" i="37"/>
  <c r="E126" i="37"/>
  <c r="AE125" i="37"/>
  <c r="AH125" i="37" s="1"/>
  <c r="AJ125" i="37" s="1"/>
  <c r="AE124" i="37"/>
  <c r="AH124" i="37" s="1"/>
  <c r="AJ124" i="37" s="1"/>
  <c r="AE123" i="37"/>
  <c r="AE122" i="37"/>
  <c r="AH122" i="37" s="1"/>
  <c r="AI119" i="37"/>
  <c r="AF119" i="37"/>
  <c r="AC119" i="37"/>
  <c r="AB119" i="37"/>
  <c r="AA119" i="37"/>
  <c r="Z119" i="37"/>
  <c r="Y119" i="37"/>
  <c r="X119" i="37"/>
  <c r="W119" i="37"/>
  <c r="V119" i="37"/>
  <c r="T119" i="37"/>
  <c r="S119" i="37"/>
  <c r="R119" i="37"/>
  <c r="Q119" i="37"/>
  <c r="P119" i="37"/>
  <c r="O119" i="37"/>
  <c r="N119" i="37"/>
  <c r="M119" i="37"/>
  <c r="K119" i="37"/>
  <c r="J119" i="37"/>
  <c r="I119" i="37"/>
  <c r="H119" i="37"/>
  <c r="G119" i="37"/>
  <c r="F119" i="37"/>
  <c r="E119" i="37"/>
  <c r="AE118" i="37"/>
  <c r="AH118" i="37" s="1"/>
  <c r="AJ118" i="37" s="1"/>
  <c r="AE117" i="37"/>
  <c r="AH117" i="37" s="1"/>
  <c r="AJ117" i="37" s="1"/>
  <c r="AE116" i="37"/>
  <c r="AH116" i="37" s="1"/>
  <c r="AJ116" i="37" s="1"/>
  <c r="AE115" i="37"/>
  <c r="AE114" i="37"/>
  <c r="AH114" i="37" s="1"/>
  <c r="AJ114" i="37" s="1"/>
  <c r="AC113" i="37"/>
  <c r="AC121" i="37" s="1"/>
  <c r="AC128" i="37" s="1"/>
  <c r="AC137" i="37" s="1"/>
  <c r="AB113" i="37"/>
  <c r="AB121" i="37" s="1"/>
  <c r="AB128" i="37" s="1"/>
  <c r="AB137" i="37" s="1"/>
  <c r="AA113" i="37"/>
  <c r="AA149" i="37" s="1"/>
  <c r="AI110" i="37"/>
  <c r="AF110" i="37"/>
  <c r="AD110" i="37"/>
  <c r="AC110" i="37"/>
  <c r="AB110" i="37"/>
  <c r="AA110" i="37"/>
  <c r="Z110" i="37"/>
  <c r="Y110" i="37"/>
  <c r="X110" i="37"/>
  <c r="W110" i="37"/>
  <c r="V110" i="37"/>
  <c r="T110" i="37"/>
  <c r="S110" i="37"/>
  <c r="R110" i="37"/>
  <c r="Q110" i="37"/>
  <c r="P110" i="37"/>
  <c r="O110" i="37"/>
  <c r="N110" i="37"/>
  <c r="M110" i="37"/>
  <c r="K110" i="37"/>
  <c r="J110" i="37"/>
  <c r="I110" i="37"/>
  <c r="H110" i="37"/>
  <c r="G110" i="37"/>
  <c r="F110" i="37"/>
  <c r="E110" i="37"/>
  <c r="AE109" i="37"/>
  <c r="AH109" i="37" s="1"/>
  <c r="AJ109" i="37" s="1"/>
  <c r="AE108" i="37"/>
  <c r="AH108" i="37" s="1"/>
  <c r="AJ108" i="37" s="1"/>
  <c r="AE107" i="37"/>
  <c r="AH107" i="37" s="1"/>
  <c r="AJ107" i="37" s="1"/>
  <c r="AE106" i="37"/>
  <c r="AH106" i="37" s="1"/>
  <c r="AJ106" i="37" s="1"/>
  <c r="AE105" i="37"/>
  <c r="AH105" i="37" s="1"/>
  <c r="AJ105" i="37" s="1"/>
  <c r="AE104" i="37"/>
  <c r="AH104" i="37" s="1"/>
  <c r="AJ104" i="37" s="1"/>
  <c r="AE103" i="37"/>
  <c r="AH103" i="37" s="1"/>
  <c r="AJ103" i="37" s="1"/>
  <c r="AE102" i="37"/>
  <c r="AH102" i="37" s="1"/>
  <c r="AJ102" i="37" s="1"/>
  <c r="AE101" i="37"/>
  <c r="AH101" i="37" s="1"/>
  <c r="AJ101" i="37" s="1"/>
  <c r="AE100" i="37"/>
  <c r="AH100" i="37" s="1"/>
  <c r="AJ100" i="37" s="1"/>
  <c r="AE99" i="37"/>
  <c r="AH99" i="37" s="1"/>
  <c r="AJ99" i="37" s="1"/>
  <c r="AE98" i="37"/>
  <c r="AI82" i="37"/>
  <c r="AF82" i="37"/>
  <c r="AD82" i="37"/>
  <c r="AC82" i="37"/>
  <c r="AB82" i="37"/>
  <c r="AA82" i="37"/>
  <c r="Z82" i="37"/>
  <c r="Y82" i="37"/>
  <c r="X82" i="37"/>
  <c r="W82" i="37"/>
  <c r="V82" i="37"/>
  <c r="T82" i="37"/>
  <c r="S82" i="37"/>
  <c r="R82" i="37"/>
  <c r="Q82" i="37"/>
  <c r="P82" i="37"/>
  <c r="O82" i="37"/>
  <c r="N82" i="37"/>
  <c r="M82" i="37"/>
  <c r="K82" i="37"/>
  <c r="J82" i="37"/>
  <c r="I82" i="37"/>
  <c r="H82" i="37"/>
  <c r="G82" i="37"/>
  <c r="E82" i="37"/>
  <c r="AE81" i="37"/>
  <c r="AH81" i="37" s="1"/>
  <c r="AJ81" i="37" s="1"/>
  <c r="AE80" i="37"/>
  <c r="AH80" i="37" s="1"/>
  <c r="AJ80" i="37" s="1"/>
  <c r="AE79" i="37"/>
  <c r="AH79" i="37" s="1"/>
  <c r="AJ79" i="37" s="1"/>
  <c r="AE78" i="37"/>
  <c r="AH78" i="37" s="1"/>
  <c r="AJ78" i="37" s="1"/>
  <c r="AE77" i="37"/>
  <c r="AH77" i="37" s="1"/>
  <c r="AJ77" i="37" s="1"/>
  <c r="AE75" i="37"/>
  <c r="AH75" i="37" s="1"/>
  <c r="AJ75" i="37" s="1"/>
  <c r="AE74" i="37"/>
  <c r="AH74" i="37" s="1"/>
  <c r="AJ74" i="37" s="1"/>
  <c r="AE73" i="37"/>
  <c r="AH73" i="37" s="1"/>
  <c r="AJ73" i="37" s="1"/>
  <c r="AE72" i="37"/>
  <c r="AH72" i="37" s="1"/>
  <c r="AJ72" i="37" s="1"/>
  <c r="AE71" i="37"/>
  <c r="AH71" i="37" s="1"/>
  <c r="AE70" i="37"/>
  <c r="AI68" i="37"/>
  <c r="AG68" i="37"/>
  <c r="AF68" i="37"/>
  <c r="AC68" i="37"/>
  <c r="AB68" i="37"/>
  <c r="AA68" i="37"/>
  <c r="Z68" i="37"/>
  <c r="Y68" i="37"/>
  <c r="X68" i="37"/>
  <c r="W68" i="37"/>
  <c r="V68" i="37"/>
  <c r="T68" i="37"/>
  <c r="S68" i="37"/>
  <c r="R68" i="37"/>
  <c r="Q68" i="37"/>
  <c r="P68" i="37"/>
  <c r="O68" i="37"/>
  <c r="N68" i="37"/>
  <c r="M68" i="37"/>
  <c r="K68" i="37"/>
  <c r="J68" i="37"/>
  <c r="I68" i="37"/>
  <c r="H68" i="37"/>
  <c r="G68" i="37"/>
  <c r="F68" i="37"/>
  <c r="E68" i="37"/>
  <c r="AE67" i="37"/>
  <c r="AH67" i="37" s="1"/>
  <c r="AJ67" i="37" s="1"/>
  <c r="AE66" i="37"/>
  <c r="AH66" i="37" s="1"/>
  <c r="AJ66" i="37" s="1"/>
  <c r="AE65" i="37"/>
  <c r="AH65" i="37" s="1"/>
  <c r="AJ65" i="37" s="1"/>
  <c r="AE64" i="37"/>
  <c r="AH64" i="37" s="1"/>
  <c r="AJ64" i="37" s="1"/>
  <c r="AE63" i="37"/>
  <c r="AH63" i="37" s="1"/>
  <c r="AJ63" i="37" s="1"/>
  <c r="AE62" i="37"/>
  <c r="AH62" i="37" s="1"/>
  <c r="AJ62" i="37" s="1"/>
  <c r="AE61" i="37"/>
  <c r="AH61" i="37" s="1"/>
  <c r="AJ61" i="37" s="1"/>
  <c r="AE60" i="37"/>
  <c r="AH60" i="37" s="1"/>
  <c r="AJ60" i="37" s="1"/>
  <c r="AE59" i="37"/>
  <c r="AH59" i="37" s="1"/>
  <c r="AJ59" i="37" s="1"/>
  <c r="AE58" i="37"/>
  <c r="AH58" i="37" s="1"/>
  <c r="AJ58" i="37" s="1"/>
  <c r="AE57" i="37"/>
  <c r="AH57" i="37" s="1"/>
  <c r="AJ57" i="37" s="1"/>
  <c r="AE56" i="37"/>
  <c r="AH56" i="37" s="1"/>
  <c r="AI53" i="37"/>
  <c r="AF53" i="37"/>
  <c r="AC53" i="37"/>
  <c r="AB53" i="37"/>
  <c r="AA53" i="37"/>
  <c r="Z53" i="37"/>
  <c r="Y53" i="37"/>
  <c r="X53" i="37"/>
  <c r="W53" i="37"/>
  <c r="V53" i="37"/>
  <c r="T53" i="37"/>
  <c r="S53" i="37"/>
  <c r="R53" i="37"/>
  <c r="Q53" i="37"/>
  <c r="P53" i="37"/>
  <c r="O53" i="37"/>
  <c r="N53" i="37"/>
  <c r="M53" i="37"/>
  <c r="K53" i="37"/>
  <c r="J53" i="37"/>
  <c r="I53" i="37"/>
  <c r="H53" i="37"/>
  <c r="G53" i="37"/>
  <c r="F53" i="37"/>
  <c r="E53" i="37"/>
  <c r="AE52" i="37"/>
  <c r="AH52" i="37" s="1"/>
  <c r="AJ52" i="37" s="1"/>
  <c r="AE51" i="37"/>
  <c r="AH51" i="37" s="1"/>
  <c r="AJ51" i="37" s="1"/>
  <c r="AE50" i="37"/>
  <c r="AH50" i="37" s="1"/>
  <c r="AJ50" i="37" s="1"/>
  <c r="AE49" i="37"/>
  <c r="AH49" i="37" s="1"/>
  <c r="AJ49" i="37" s="1"/>
  <c r="AE48" i="37"/>
  <c r="AH48" i="37" s="1"/>
  <c r="AJ48" i="37" s="1"/>
  <c r="AE47" i="37"/>
  <c r="AH47" i="37" s="1"/>
  <c r="AJ47" i="37" s="1"/>
  <c r="AE46" i="37"/>
  <c r="AH46" i="37" s="1"/>
  <c r="AJ46" i="37" s="1"/>
  <c r="AE45" i="37"/>
  <c r="AH45" i="37" s="1"/>
  <c r="AJ45" i="37" s="1"/>
  <c r="AE44" i="37"/>
  <c r="AH44" i="37" s="1"/>
  <c r="AJ44" i="37" s="1"/>
  <c r="AE43" i="37"/>
  <c r="AH43" i="37" s="1"/>
  <c r="AJ43" i="37" s="1"/>
  <c r="AE42" i="37"/>
  <c r="AH42" i="37" s="1"/>
  <c r="AJ42" i="37" s="1"/>
  <c r="AE41" i="37"/>
  <c r="AH41" i="37" s="1"/>
  <c r="AC40" i="37"/>
  <c r="AB40" i="37"/>
  <c r="Z40" i="37"/>
  <c r="Z113" i="37" s="1"/>
  <c r="Y40" i="37"/>
  <c r="Y113" i="37" s="1"/>
  <c r="X40" i="37"/>
  <c r="X113" i="37" s="1"/>
  <c r="W40" i="37"/>
  <c r="W113" i="37" s="1"/>
  <c r="W121" i="37" s="1"/>
  <c r="W128" i="37" s="1"/>
  <c r="W137" i="37" s="1"/>
  <c r="V40" i="37"/>
  <c r="V113" i="37" s="1"/>
  <c r="V121" i="37" s="1"/>
  <c r="V128" i="37" s="1"/>
  <c r="V137" i="37" s="1"/>
  <c r="AI38" i="37"/>
  <c r="AG38" i="37"/>
  <c r="AF38" i="37"/>
  <c r="AD38" i="37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L145" i="37" s="1"/>
  <c r="K38" i="37"/>
  <c r="J38" i="37"/>
  <c r="I38" i="37"/>
  <c r="H38" i="37"/>
  <c r="G38" i="37"/>
  <c r="F38" i="37"/>
  <c r="E38" i="37"/>
  <c r="AE37" i="37"/>
  <c r="AH37" i="37" s="1"/>
  <c r="AJ37" i="37" s="1"/>
  <c r="AE36" i="37"/>
  <c r="AH36" i="37" s="1"/>
  <c r="AJ36" i="37" s="1"/>
  <c r="AE35" i="37"/>
  <c r="AH35" i="37" s="1"/>
  <c r="AJ35" i="37" s="1"/>
  <c r="AE34" i="37"/>
  <c r="AH34" i="37" s="1"/>
  <c r="AJ34" i="37" s="1"/>
  <c r="AE33" i="37"/>
  <c r="AH33" i="37" s="1"/>
  <c r="AJ33" i="37" s="1"/>
  <c r="AE32" i="37"/>
  <c r="AH32" i="37" s="1"/>
  <c r="AJ32" i="37" s="1"/>
  <c r="AE31" i="37"/>
  <c r="AH31" i="37" s="1"/>
  <c r="AJ31" i="37" s="1"/>
  <c r="AE30" i="37"/>
  <c r="AH30" i="37" s="1"/>
  <c r="AJ30" i="37" s="1"/>
  <c r="AE29" i="37"/>
  <c r="AH29" i="37" s="1"/>
  <c r="AJ29" i="37" s="1"/>
  <c r="AE28" i="37"/>
  <c r="AH28" i="37" s="1"/>
  <c r="AJ28" i="37" s="1"/>
  <c r="AE27" i="37"/>
  <c r="AH27" i="37" s="1"/>
  <c r="AJ27" i="37" s="1"/>
  <c r="AE26" i="37"/>
  <c r="AH26" i="37" s="1"/>
  <c r="AJ26" i="37" s="1"/>
  <c r="AE25" i="37"/>
  <c r="AH25" i="37" s="1"/>
  <c r="AJ25" i="37" s="1"/>
  <c r="AE24" i="37"/>
  <c r="AH24" i="37" s="1"/>
  <c r="AJ24" i="37" s="1"/>
  <c r="AE23" i="37"/>
  <c r="AH23" i="37" s="1"/>
  <c r="AJ23" i="37" s="1"/>
  <c r="AE22" i="37"/>
  <c r="AH22" i="37" s="1"/>
  <c r="AJ22" i="37" s="1"/>
  <c r="AE21" i="37"/>
  <c r="AH21" i="37" s="1"/>
  <c r="AJ21" i="37" s="1"/>
  <c r="AE20" i="37"/>
  <c r="AH20" i="37" s="1"/>
  <c r="AJ20" i="37" s="1"/>
  <c r="AE19" i="37"/>
  <c r="AH19" i="37" s="1"/>
  <c r="AJ19" i="37" s="1"/>
  <c r="AE18" i="37"/>
  <c r="AH18" i="37" s="1"/>
  <c r="AJ18" i="37" s="1"/>
  <c r="AE17" i="37"/>
  <c r="AH17" i="37" s="1"/>
  <c r="AJ17" i="37" s="1"/>
  <c r="AE16" i="37"/>
  <c r="AH16" i="37" s="1"/>
  <c r="AJ16" i="37" s="1"/>
  <c r="AE15" i="37"/>
  <c r="AH15" i="37" s="1"/>
  <c r="AJ15" i="37" s="1"/>
  <c r="AE14" i="37"/>
  <c r="AH14" i="37" s="1"/>
  <c r="AJ14" i="37" s="1"/>
  <c r="AE13" i="37"/>
  <c r="AH13" i="37" s="1"/>
  <c r="AJ13" i="37" s="1"/>
  <c r="AE12" i="37"/>
  <c r="AH12" i="37" s="1"/>
  <c r="AJ12" i="37" s="1"/>
  <c r="AE11" i="37"/>
  <c r="AH11" i="37" s="1"/>
  <c r="AJ11" i="37" s="1"/>
  <c r="AE10" i="37"/>
  <c r="AH10" i="37" s="1"/>
  <c r="AJ10" i="37" s="1"/>
  <c r="AE9" i="37"/>
  <c r="AH9" i="37" s="1"/>
  <c r="AJ9" i="37" s="1"/>
  <c r="AE8" i="37"/>
  <c r="AE7" i="37"/>
  <c r="AH7" i="37" s="1"/>
  <c r="AJ7" i="37" s="1"/>
  <c r="AE6" i="37"/>
  <c r="AH6" i="37" s="1"/>
  <c r="AJ6" i="37" s="1"/>
  <c r="AE5" i="37"/>
  <c r="A4" i="37"/>
  <c r="I109" i="19"/>
  <c r="I110" i="19" s="1"/>
  <c r="AH173" i="37" l="1"/>
  <c r="AJ173" i="37" s="1"/>
  <c r="AG145" i="37"/>
  <c r="AD145" i="37"/>
  <c r="AD146" i="37" s="1"/>
  <c r="AH8" i="37"/>
  <c r="AJ8" i="37" s="1"/>
  <c r="AE38" i="37"/>
  <c r="AE119" i="37"/>
  <c r="AF145" i="37"/>
  <c r="AF219" i="37" s="1"/>
  <c r="AE126" i="37"/>
  <c r="AI145" i="37"/>
  <c r="AI146" i="37" s="1"/>
  <c r="AE135" i="37"/>
  <c r="AF212" i="37"/>
  <c r="M170" i="19"/>
  <c r="O145" i="37"/>
  <c r="S145" i="37"/>
  <c r="AH4" i="37"/>
  <c r="AJ4" i="37" s="1"/>
  <c r="G145" i="37"/>
  <c r="G146" i="37" s="1"/>
  <c r="K145" i="37"/>
  <c r="K146" i="37" s="1"/>
  <c r="P145" i="37"/>
  <c r="P219" i="37" s="1"/>
  <c r="N379" i="19" s="1"/>
  <c r="T145" i="37"/>
  <c r="Y145" i="37"/>
  <c r="Y146" i="37" s="1"/>
  <c r="AC145" i="37"/>
  <c r="AC146" i="37" s="1"/>
  <c r="H145" i="37"/>
  <c r="H219" i="37" s="1"/>
  <c r="M145" i="37"/>
  <c r="Q145" i="37"/>
  <c r="V145" i="37"/>
  <c r="V146" i="37" s="1"/>
  <c r="Z145" i="37"/>
  <c r="Z146" i="37" s="1"/>
  <c r="E145" i="37"/>
  <c r="E146" i="37" s="1"/>
  <c r="I145" i="37"/>
  <c r="I146" i="37" s="1"/>
  <c r="N145" i="37"/>
  <c r="N219" i="37" s="1"/>
  <c r="L379" i="19" s="1"/>
  <c r="R145" i="37"/>
  <c r="R146" i="37" s="1"/>
  <c r="W145" i="37"/>
  <c r="W146" i="37" s="1"/>
  <c r="AA145" i="37"/>
  <c r="AA146" i="37" s="1"/>
  <c r="J145" i="37"/>
  <c r="J219" i="37" s="1"/>
  <c r="G379" i="19" s="1"/>
  <c r="X145" i="37"/>
  <c r="X219" i="37" s="1"/>
  <c r="V379" i="19" s="1"/>
  <c r="AB145" i="37"/>
  <c r="AB219" i="37" s="1"/>
  <c r="Z378" i="19" s="1"/>
  <c r="Z379" i="19" s="1"/>
  <c r="AE110" i="37"/>
  <c r="AH70" i="37"/>
  <c r="AJ70" i="37" s="1"/>
  <c r="Z149" i="37"/>
  <c r="Z121" i="37"/>
  <c r="Z128" i="37" s="1"/>
  <c r="Z137" i="37" s="1"/>
  <c r="AH53" i="37"/>
  <c r="AJ71" i="37"/>
  <c r="X149" i="37"/>
  <c r="X121" i="37"/>
  <c r="X128" i="37" s="1"/>
  <c r="X137" i="37" s="1"/>
  <c r="AH68" i="37"/>
  <c r="Y149" i="37"/>
  <c r="Y121" i="37"/>
  <c r="Y128" i="37" s="1"/>
  <c r="Y137" i="37" s="1"/>
  <c r="AJ41" i="37"/>
  <c r="AJ53" i="37" s="1"/>
  <c r="AJ56" i="37"/>
  <c r="AJ68" i="37" s="1"/>
  <c r="AH98" i="37"/>
  <c r="AH115" i="37"/>
  <c r="AJ115" i="37" s="1"/>
  <c r="AJ119" i="37" s="1"/>
  <c r="AH123" i="37"/>
  <c r="AJ123" i="37" s="1"/>
  <c r="AE53" i="37"/>
  <c r="AE68" i="37"/>
  <c r="AA121" i="37"/>
  <c r="AA128" i="37" s="1"/>
  <c r="AA137" i="37" s="1"/>
  <c r="AE143" i="37"/>
  <c r="AH138" i="37"/>
  <c r="AE217" i="37"/>
  <c r="AH215" i="37"/>
  <c r="AH5" i="37"/>
  <c r="AJ122" i="37"/>
  <c r="AE211" i="37"/>
  <c r="AH150" i="37"/>
  <c r="AE212" i="37"/>
  <c r="AH129" i="37"/>
  <c r="AC245" i="36"/>
  <c r="AI233" i="36"/>
  <c r="AF233" i="36"/>
  <c r="AC233" i="36"/>
  <c r="AB233" i="36"/>
  <c r="AA233" i="36"/>
  <c r="Z233" i="36"/>
  <c r="Y233" i="36"/>
  <c r="X233" i="36"/>
  <c r="W233" i="36"/>
  <c r="V233" i="36"/>
  <c r="T233" i="36"/>
  <c r="S233" i="36"/>
  <c r="R233" i="36"/>
  <c r="Q233" i="36"/>
  <c r="P233" i="36"/>
  <c r="O233" i="36"/>
  <c r="N233" i="36"/>
  <c r="M233" i="36"/>
  <c r="K233" i="36"/>
  <c r="J233" i="36"/>
  <c r="I233" i="36"/>
  <c r="H233" i="36"/>
  <c r="G233" i="36"/>
  <c r="F233" i="36"/>
  <c r="E233" i="36"/>
  <c r="AE232" i="36"/>
  <c r="AE231" i="36"/>
  <c r="AH231" i="36" s="1"/>
  <c r="AI227" i="36"/>
  <c r="AI228" i="36" s="1"/>
  <c r="AG227" i="36"/>
  <c r="AG228" i="36" s="1"/>
  <c r="AF227" i="36"/>
  <c r="AC227" i="36"/>
  <c r="AC228" i="36" s="1"/>
  <c r="AB227" i="36"/>
  <c r="AB228" i="36" s="1"/>
  <c r="AA227" i="36"/>
  <c r="AA228" i="36" s="1"/>
  <c r="Z227" i="36"/>
  <c r="Z228" i="36" s="1"/>
  <c r="Y227" i="36"/>
  <c r="Y228" i="36" s="1"/>
  <c r="X227" i="36"/>
  <c r="X228" i="36" s="1"/>
  <c r="W227" i="36"/>
  <c r="W228" i="36" s="1"/>
  <c r="V227" i="36"/>
  <c r="V228" i="36" s="1"/>
  <c r="T227" i="36"/>
  <c r="T228" i="36" s="1"/>
  <c r="S227" i="36"/>
  <c r="S228" i="36" s="1"/>
  <c r="R227" i="36"/>
  <c r="R228" i="36" s="1"/>
  <c r="Q227" i="36"/>
  <c r="Q228" i="36" s="1"/>
  <c r="P227" i="36"/>
  <c r="P228" i="36" s="1"/>
  <c r="N227" i="36"/>
  <c r="N228" i="36" s="1"/>
  <c r="M227" i="36"/>
  <c r="M228" i="36" s="1"/>
  <c r="K227" i="36"/>
  <c r="K228" i="36" s="1"/>
  <c r="J227" i="36"/>
  <c r="J228" i="36" s="1"/>
  <c r="I227" i="36"/>
  <c r="I228" i="36" s="1"/>
  <c r="H227" i="36"/>
  <c r="H228" i="36" s="1"/>
  <c r="G227" i="36"/>
  <c r="G228" i="36" s="1"/>
  <c r="F227" i="36"/>
  <c r="F228" i="36" s="1"/>
  <c r="E227" i="36"/>
  <c r="E228" i="36" s="1"/>
  <c r="AE226" i="36"/>
  <c r="AH226" i="36" s="1"/>
  <c r="AJ226" i="36" s="1"/>
  <c r="AE225" i="36"/>
  <c r="AH225" i="36" s="1"/>
  <c r="AJ225" i="36" s="1"/>
  <c r="AE224" i="36"/>
  <c r="AH224" i="36" s="1"/>
  <c r="AJ224" i="36" s="1"/>
  <c r="AE223" i="36"/>
  <c r="AH223" i="36" s="1"/>
  <c r="AJ223" i="36" s="1"/>
  <c r="AE222" i="36"/>
  <c r="AH222" i="36" s="1"/>
  <c r="AJ222" i="36" s="1"/>
  <c r="AE221" i="36"/>
  <c r="AH221" i="36" s="1"/>
  <c r="AJ221" i="36" s="1"/>
  <c r="AE220" i="36"/>
  <c r="AH220" i="36" s="1"/>
  <c r="AJ220" i="36" s="1"/>
  <c r="AE219" i="36"/>
  <c r="AH219" i="36" s="1"/>
  <c r="AJ219" i="36" s="1"/>
  <c r="AE218" i="36"/>
  <c r="AH218" i="36" s="1"/>
  <c r="AJ218" i="36" s="1"/>
  <c r="AE217" i="36"/>
  <c r="AH217" i="36" s="1"/>
  <c r="AJ217" i="36" s="1"/>
  <c r="AE216" i="36"/>
  <c r="AH216" i="36" s="1"/>
  <c r="AJ216" i="36" s="1"/>
  <c r="AE215" i="36"/>
  <c r="AH215" i="36" s="1"/>
  <c r="AJ215" i="36" s="1"/>
  <c r="AE214" i="36"/>
  <c r="AH214" i="36" s="1"/>
  <c r="AJ214" i="36" s="1"/>
  <c r="AE213" i="36"/>
  <c r="AH213" i="36" s="1"/>
  <c r="AJ213" i="36" s="1"/>
  <c r="AE212" i="36"/>
  <c r="AH212" i="36" s="1"/>
  <c r="AJ212" i="36" s="1"/>
  <c r="AE211" i="36"/>
  <c r="AH211" i="36" s="1"/>
  <c r="AJ211" i="36" s="1"/>
  <c r="AE210" i="36"/>
  <c r="AH210" i="36" s="1"/>
  <c r="AJ210" i="36" s="1"/>
  <c r="AE209" i="36"/>
  <c r="AH209" i="36" s="1"/>
  <c r="AJ209" i="36" s="1"/>
  <c r="AE208" i="36"/>
  <c r="AH208" i="36" s="1"/>
  <c r="AJ208" i="36" s="1"/>
  <c r="AE207" i="36"/>
  <c r="AH207" i="36" s="1"/>
  <c r="AJ207" i="36" s="1"/>
  <c r="AE206" i="36"/>
  <c r="AH206" i="36" s="1"/>
  <c r="AJ206" i="36" s="1"/>
  <c r="AE205" i="36"/>
  <c r="AH205" i="36" s="1"/>
  <c r="AJ205" i="36" s="1"/>
  <c r="AE204" i="36"/>
  <c r="AH204" i="36" s="1"/>
  <c r="AJ204" i="36" s="1"/>
  <c r="AE203" i="36"/>
  <c r="AH203" i="36" s="1"/>
  <c r="AJ203" i="36" s="1"/>
  <c r="AE202" i="36"/>
  <c r="AH202" i="36" s="1"/>
  <c r="AJ202" i="36" s="1"/>
  <c r="AE201" i="36"/>
  <c r="AH201" i="36" s="1"/>
  <c r="AJ201" i="36" s="1"/>
  <c r="AE200" i="36"/>
  <c r="AH200" i="36" s="1"/>
  <c r="AJ200" i="36" s="1"/>
  <c r="AE199" i="36"/>
  <c r="AH199" i="36" s="1"/>
  <c r="AJ199" i="36" s="1"/>
  <c r="AE198" i="36"/>
  <c r="AH198" i="36" s="1"/>
  <c r="AJ198" i="36" s="1"/>
  <c r="AE197" i="36"/>
  <c r="AH197" i="36" s="1"/>
  <c r="AJ197" i="36" s="1"/>
  <c r="AE196" i="36"/>
  <c r="AH196" i="36" s="1"/>
  <c r="AJ196" i="36" s="1"/>
  <c r="AE195" i="36"/>
  <c r="AH195" i="36" s="1"/>
  <c r="AJ195" i="36" s="1"/>
  <c r="AE194" i="36"/>
  <c r="AH194" i="36" s="1"/>
  <c r="AJ194" i="36" s="1"/>
  <c r="AE193" i="36"/>
  <c r="AH193" i="36" s="1"/>
  <c r="AJ193" i="36" s="1"/>
  <c r="AE192" i="36"/>
  <c r="AH192" i="36" s="1"/>
  <c r="AJ192" i="36" s="1"/>
  <c r="AE191" i="36"/>
  <c r="AH191" i="36" s="1"/>
  <c r="AJ191" i="36" s="1"/>
  <c r="AE190" i="36"/>
  <c r="AH190" i="36" s="1"/>
  <c r="AJ190" i="36" s="1"/>
  <c r="AE189" i="36"/>
  <c r="AH189" i="36" s="1"/>
  <c r="AJ189" i="36" s="1"/>
  <c r="AE188" i="36"/>
  <c r="AH188" i="36" s="1"/>
  <c r="AJ188" i="36" s="1"/>
  <c r="AE187" i="36"/>
  <c r="AH187" i="36" s="1"/>
  <c r="AJ187" i="36" s="1"/>
  <c r="AE186" i="36"/>
  <c r="AH186" i="36" s="1"/>
  <c r="AJ186" i="36" s="1"/>
  <c r="AE184" i="36"/>
  <c r="AH184" i="36" s="1"/>
  <c r="AJ184" i="36" s="1"/>
  <c r="AE183" i="36"/>
  <c r="AH183" i="36" s="1"/>
  <c r="AJ183" i="36" s="1"/>
  <c r="AE182" i="36"/>
  <c r="AH182" i="36" s="1"/>
  <c r="AJ182" i="36" s="1"/>
  <c r="AE181" i="36"/>
  <c r="AH181" i="36" s="1"/>
  <c r="AJ181" i="36" s="1"/>
  <c r="AE180" i="36"/>
  <c r="AH180" i="36" s="1"/>
  <c r="AJ180" i="36" s="1"/>
  <c r="AE179" i="36"/>
  <c r="AH179" i="36" s="1"/>
  <c r="AJ179" i="36" s="1"/>
  <c r="AE178" i="36"/>
  <c r="AH178" i="36" s="1"/>
  <c r="AJ178" i="36" s="1"/>
  <c r="AE177" i="36"/>
  <c r="AH177" i="36" s="1"/>
  <c r="AJ177" i="36" s="1"/>
  <c r="AE176" i="36"/>
  <c r="AH176" i="36" s="1"/>
  <c r="AJ176" i="36" s="1"/>
  <c r="AE175" i="36"/>
  <c r="AH175" i="36" s="1"/>
  <c r="AJ175" i="36" s="1"/>
  <c r="AE174" i="36"/>
  <c r="AH174" i="36" s="1"/>
  <c r="AJ174" i="36" s="1"/>
  <c r="AE173" i="36"/>
  <c r="AH173" i="36" s="1"/>
  <c r="AJ173" i="36" s="1"/>
  <c r="AE171" i="36"/>
  <c r="AH171" i="36" s="1"/>
  <c r="AJ171" i="36" s="1"/>
  <c r="AE170" i="36"/>
  <c r="AH170" i="36" s="1"/>
  <c r="AJ170" i="36" s="1"/>
  <c r="AE169" i="36"/>
  <c r="AH169" i="36" s="1"/>
  <c r="AJ169" i="36" s="1"/>
  <c r="AE168" i="36"/>
  <c r="AH168" i="36" s="1"/>
  <c r="AJ168" i="36" s="1"/>
  <c r="AE167" i="36"/>
  <c r="AH167" i="36" s="1"/>
  <c r="AJ167" i="36" s="1"/>
  <c r="AE166" i="36"/>
  <c r="AH166" i="36" s="1"/>
  <c r="AJ166" i="36" s="1"/>
  <c r="AE165" i="36"/>
  <c r="AH165" i="36" s="1"/>
  <c r="AJ165" i="36" s="1"/>
  <c r="AE164" i="36"/>
  <c r="O227" i="36"/>
  <c r="AC160" i="36"/>
  <c r="AI157" i="36"/>
  <c r="AF157" i="36"/>
  <c r="AC157" i="36"/>
  <c r="AB157" i="36"/>
  <c r="AA157" i="36"/>
  <c r="Z157" i="36"/>
  <c r="Y157" i="36"/>
  <c r="X157" i="36"/>
  <c r="W157" i="36"/>
  <c r="V157" i="36"/>
  <c r="T157" i="36"/>
  <c r="S157" i="36"/>
  <c r="R157" i="36"/>
  <c r="Q157" i="36"/>
  <c r="P157" i="36"/>
  <c r="O157" i="36"/>
  <c r="N157" i="36"/>
  <c r="M157" i="36"/>
  <c r="K157" i="36"/>
  <c r="J157" i="36"/>
  <c r="I157" i="36"/>
  <c r="H157" i="36"/>
  <c r="G157" i="36"/>
  <c r="F157" i="36"/>
  <c r="E157" i="36"/>
  <c r="AE156" i="36"/>
  <c r="AH156" i="36" s="1"/>
  <c r="AJ156" i="36" s="1"/>
  <c r="AE155" i="36"/>
  <c r="AH155" i="36" s="1"/>
  <c r="AJ155" i="36" s="1"/>
  <c r="AE154" i="36"/>
  <c r="AH154" i="36" s="1"/>
  <c r="AJ154" i="36" s="1"/>
  <c r="AE153" i="36"/>
  <c r="AH153" i="36" s="1"/>
  <c r="AJ153" i="36" s="1"/>
  <c r="AE152" i="36"/>
  <c r="AI149" i="36"/>
  <c r="AF149" i="36"/>
  <c r="AC149" i="36"/>
  <c r="AB149" i="36"/>
  <c r="AA149" i="36"/>
  <c r="Z149" i="36"/>
  <c r="Y149" i="36"/>
  <c r="X149" i="36"/>
  <c r="W149" i="36"/>
  <c r="V149" i="36"/>
  <c r="T149" i="36"/>
  <c r="S149" i="36"/>
  <c r="R149" i="36"/>
  <c r="Q149" i="36"/>
  <c r="P149" i="36"/>
  <c r="O149" i="36"/>
  <c r="N149" i="36"/>
  <c r="M149" i="36"/>
  <c r="K149" i="36"/>
  <c r="J149" i="36"/>
  <c r="I149" i="36"/>
  <c r="H149" i="36"/>
  <c r="G149" i="36"/>
  <c r="F149" i="36"/>
  <c r="E149" i="36"/>
  <c r="AE148" i="36"/>
  <c r="AH148" i="36" s="1"/>
  <c r="AJ148" i="36" s="1"/>
  <c r="AE147" i="36"/>
  <c r="AH147" i="36" s="1"/>
  <c r="AJ147" i="36" s="1"/>
  <c r="AE146" i="36"/>
  <c r="AH146" i="36" s="1"/>
  <c r="AJ146" i="36" s="1"/>
  <c r="AE145" i="36"/>
  <c r="AH145" i="36" s="1"/>
  <c r="AJ145" i="36" s="1"/>
  <c r="AE144" i="36"/>
  <c r="AH144" i="36" s="1"/>
  <c r="AJ144" i="36" s="1"/>
  <c r="AE143" i="36"/>
  <c r="AH143" i="36" s="1"/>
  <c r="AI140" i="36"/>
  <c r="AF140" i="36"/>
  <c r="AC140" i="36"/>
  <c r="AB140" i="36"/>
  <c r="AA140" i="36"/>
  <c r="Z140" i="36"/>
  <c r="Y140" i="36"/>
  <c r="X140" i="36"/>
  <c r="W140" i="36"/>
  <c r="V140" i="36"/>
  <c r="T140" i="36"/>
  <c r="S140" i="36"/>
  <c r="R140" i="36"/>
  <c r="Q140" i="36"/>
  <c r="P140" i="36"/>
  <c r="O140" i="36"/>
  <c r="N140" i="36"/>
  <c r="M140" i="36"/>
  <c r="K140" i="36"/>
  <c r="J140" i="36"/>
  <c r="I140" i="36"/>
  <c r="H140" i="36"/>
  <c r="G140" i="36"/>
  <c r="F140" i="36"/>
  <c r="E140" i="36"/>
  <c r="AE139" i="36"/>
  <c r="AH139" i="36" s="1"/>
  <c r="AJ139" i="36" s="1"/>
  <c r="AE138" i="36"/>
  <c r="AH138" i="36" s="1"/>
  <c r="AJ138" i="36" s="1"/>
  <c r="AE137" i="36"/>
  <c r="AH137" i="36" s="1"/>
  <c r="AJ137" i="36" s="1"/>
  <c r="AE136" i="36"/>
  <c r="AH136" i="36" s="1"/>
  <c r="AJ136" i="36" s="1"/>
  <c r="AI133" i="36"/>
  <c r="AG133" i="36"/>
  <c r="AF133" i="36"/>
  <c r="AC133" i="36"/>
  <c r="AB133" i="36"/>
  <c r="AA133" i="36"/>
  <c r="Z133" i="36"/>
  <c r="Y133" i="36"/>
  <c r="X133" i="36"/>
  <c r="W133" i="36"/>
  <c r="V133" i="36"/>
  <c r="T133" i="36"/>
  <c r="S133" i="36"/>
  <c r="R133" i="36"/>
  <c r="Q133" i="36"/>
  <c r="P133" i="36"/>
  <c r="O133" i="36"/>
  <c r="N133" i="36"/>
  <c r="M133" i="36"/>
  <c r="K133" i="36"/>
  <c r="J133" i="36"/>
  <c r="I133" i="36"/>
  <c r="H133" i="36"/>
  <c r="G133" i="36"/>
  <c r="F133" i="36"/>
  <c r="E133" i="36"/>
  <c r="AE132" i="36"/>
  <c r="AH132" i="36" s="1"/>
  <c r="AJ132" i="36" s="1"/>
  <c r="AE131" i="36"/>
  <c r="AH131" i="36" s="1"/>
  <c r="AJ131" i="36" s="1"/>
  <c r="AE130" i="36"/>
  <c r="AH130" i="36" s="1"/>
  <c r="AJ130" i="36" s="1"/>
  <c r="AE129" i="36"/>
  <c r="AH129" i="36" s="1"/>
  <c r="AJ129" i="36" s="1"/>
  <c r="AE128" i="36"/>
  <c r="AH128" i="36" s="1"/>
  <c r="AJ128" i="36" s="1"/>
  <c r="AI110" i="36"/>
  <c r="AG110" i="36"/>
  <c r="AF110" i="36"/>
  <c r="AD110" i="36"/>
  <c r="AC110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AE109" i="36"/>
  <c r="AH109" i="36" s="1"/>
  <c r="AJ109" i="36" s="1"/>
  <c r="AE108" i="36"/>
  <c r="AH108" i="36" s="1"/>
  <c r="AJ108" i="36" s="1"/>
  <c r="AE107" i="36"/>
  <c r="AH107" i="36" s="1"/>
  <c r="AJ107" i="36" s="1"/>
  <c r="AE106" i="36"/>
  <c r="AH106" i="36" s="1"/>
  <c r="AJ106" i="36" s="1"/>
  <c r="AE105" i="36"/>
  <c r="AH105" i="36" s="1"/>
  <c r="AJ105" i="36" s="1"/>
  <c r="AE104" i="36"/>
  <c r="AH104" i="36" s="1"/>
  <c r="AJ104" i="36" s="1"/>
  <c r="AE103" i="36"/>
  <c r="AH103" i="36" s="1"/>
  <c r="AJ103" i="36" s="1"/>
  <c r="AE102" i="36"/>
  <c r="AH102" i="36" s="1"/>
  <c r="AJ102" i="36" s="1"/>
  <c r="AE101" i="36"/>
  <c r="AH101" i="36" s="1"/>
  <c r="AJ101" i="36" s="1"/>
  <c r="AE100" i="36"/>
  <c r="AH100" i="36" s="1"/>
  <c r="AJ100" i="36" s="1"/>
  <c r="AE99" i="36"/>
  <c r="AH99" i="36" s="1"/>
  <c r="AJ99" i="36" s="1"/>
  <c r="AE98" i="36"/>
  <c r="AI82" i="36"/>
  <c r="AG82" i="36"/>
  <c r="AF82" i="36"/>
  <c r="AD82" i="36"/>
  <c r="AC82" i="36"/>
  <c r="AB82" i="36"/>
  <c r="AA82" i="36"/>
  <c r="Z82" i="36"/>
  <c r="Y82" i="36"/>
  <c r="X82" i="36"/>
  <c r="W82" i="36"/>
  <c r="V82" i="36"/>
  <c r="U82" i="36"/>
  <c r="T82" i="36"/>
  <c r="S82" i="36"/>
  <c r="R82" i="36"/>
  <c r="Q82" i="36"/>
  <c r="P82" i="36"/>
  <c r="O82" i="36"/>
  <c r="N82" i="36"/>
  <c r="M82" i="36"/>
  <c r="L82" i="36"/>
  <c r="K82" i="36"/>
  <c r="J82" i="36"/>
  <c r="I82" i="36"/>
  <c r="H82" i="36"/>
  <c r="G82" i="36"/>
  <c r="F82" i="36"/>
  <c r="E82" i="36"/>
  <c r="AE81" i="36"/>
  <c r="AH81" i="36" s="1"/>
  <c r="AJ81" i="36" s="1"/>
  <c r="AE80" i="36"/>
  <c r="AH80" i="36" s="1"/>
  <c r="AJ80" i="36" s="1"/>
  <c r="AE79" i="36"/>
  <c r="AH79" i="36" s="1"/>
  <c r="AJ79" i="36" s="1"/>
  <c r="AE78" i="36"/>
  <c r="AH78" i="36" s="1"/>
  <c r="AJ78" i="36" s="1"/>
  <c r="AE77" i="36"/>
  <c r="AH77" i="36" s="1"/>
  <c r="AJ77" i="36" s="1"/>
  <c r="AE76" i="36"/>
  <c r="AH76" i="36" s="1"/>
  <c r="AJ76" i="36" s="1"/>
  <c r="AE75" i="36"/>
  <c r="AH75" i="36" s="1"/>
  <c r="AJ75" i="36" s="1"/>
  <c r="AE74" i="36"/>
  <c r="AH74" i="36" s="1"/>
  <c r="AJ74" i="36" s="1"/>
  <c r="AE73" i="36"/>
  <c r="AH73" i="36" s="1"/>
  <c r="AJ73" i="36" s="1"/>
  <c r="AE72" i="36"/>
  <c r="AH72" i="36" s="1"/>
  <c r="AJ72" i="36" s="1"/>
  <c r="AE71" i="36"/>
  <c r="AH71" i="36" s="1"/>
  <c r="AE70" i="36"/>
  <c r="AH70" i="36" s="1"/>
  <c r="AJ70" i="36" s="1"/>
  <c r="AI68" i="36"/>
  <c r="AG68" i="36"/>
  <c r="AF68" i="36"/>
  <c r="AC68" i="36"/>
  <c r="AB68" i="36"/>
  <c r="AA68" i="36"/>
  <c r="Z68" i="36"/>
  <c r="Y68" i="36"/>
  <c r="X68" i="36"/>
  <c r="W68" i="36"/>
  <c r="V68" i="36"/>
  <c r="T68" i="36"/>
  <c r="S68" i="36"/>
  <c r="R68" i="36"/>
  <c r="Q68" i="36"/>
  <c r="P68" i="36"/>
  <c r="N68" i="36"/>
  <c r="M68" i="36"/>
  <c r="K68" i="36"/>
  <c r="J68" i="36"/>
  <c r="I68" i="36"/>
  <c r="H68" i="36"/>
  <c r="G68" i="36"/>
  <c r="F68" i="36"/>
  <c r="E68" i="36"/>
  <c r="AE67" i="36"/>
  <c r="AH67" i="36" s="1"/>
  <c r="AJ67" i="36" s="1"/>
  <c r="AE66" i="36"/>
  <c r="AH66" i="36" s="1"/>
  <c r="AJ66" i="36" s="1"/>
  <c r="AE65" i="36"/>
  <c r="AH65" i="36" s="1"/>
  <c r="AJ65" i="36" s="1"/>
  <c r="AE64" i="36"/>
  <c r="AH64" i="36" s="1"/>
  <c r="AJ64" i="36" s="1"/>
  <c r="AE63" i="36"/>
  <c r="AH63" i="36" s="1"/>
  <c r="AJ63" i="36" s="1"/>
  <c r="AE62" i="36"/>
  <c r="AH62" i="36" s="1"/>
  <c r="AJ62" i="36" s="1"/>
  <c r="AE61" i="36"/>
  <c r="AH61" i="36" s="1"/>
  <c r="AJ61" i="36" s="1"/>
  <c r="AE60" i="36"/>
  <c r="AH60" i="36" s="1"/>
  <c r="AJ60" i="36" s="1"/>
  <c r="AE59" i="36"/>
  <c r="AH59" i="36" s="1"/>
  <c r="AJ59" i="36" s="1"/>
  <c r="AE58" i="36"/>
  <c r="AH58" i="36" s="1"/>
  <c r="AJ58" i="36" s="1"/>
  <c r="AE57" i="36"/>
  <c r="AH57" i="36" s="1"/>
  <c r="AJ57" i="36" s="1"/>
  <c r="O68" i="36"/>
  <c r="AI53" i="36"/>
  <c r="AG53" i="36"/>
  <c r="AF53" i="36"/>
  <c r="AC53" i="36"/>
  <c r="AB53" i="36"/>
  <c r="AA53" i="36"/>
  <c r="Z53" i="36"/>
  <c r="Y53" i="36"/>
  <c r="X53" i="36"/>
  <c r="W53" i="36"/>
  <c r="V53" i="36"/>
  <c r="T53" i="36"/>
  <c r="S53" i="36"/>
  <c r="R53" i="36"/>
  <c r="Q53" i="36"/>
  <c r="P53" i="36"/>
  <c r="O53" i="36"/>
  <c r="N53" i="36"/>
  <c r="M53" i="36"/>
  <c r="K53" i="36"/>
  <c r="J53" i="36"/>
  <c r="I53" i="36"/>
  <c r="H53" i="36"/>
  <c r="G53" i="36"/>
  <c r="F53" i="36"/>
  <c r="E53" i="36"/>
  <c r="AE52" i="36"/>
  <c r="AH52" i="36" s="1"/>
  <c r="AJ52" i="36" s="1"/>
  <c r="AE51" i="36"/>
  <c r="AH51" i="36" s="1"/>
  <c r="AJ51" i="36" s="1"/>
  <c r="AE50" i="36"/>
  <c r="AH50" i="36" s="1"/>
  <c r="AJ50" i="36" s="1"/>
  <c r="AE49" i="36"/>
  <c r="AH49" i="36" s="1"/>
  <c r="AJ49" i="36" s="1"/>
  <c r="AE48" i="36"/>
  <c r="AH48" i="36" s="1"/>
  <c r="AJ48" i="36" s="1"/>
  <c r="AE47" i="36"/>
  <c r="AH47" i="36" s="1"/>
  <c r="AJ47" i="36" s="1"/>
  <c r="AE46" i="36"/>
  <c r="AH46" i="36" s="1"/>
  <c r="AJ46" i="36" s="1"/>
  <c r="AE45" i="36"/>
  <c r="AH45" i="36" s="1"/>
  <c r="AJ45" i="36" s="1"/>
  <c r="AE44" i="36"/>
  <c r="AH44" i="36" s="1"/>
  <c r="AJ44" i="36" s="1"/>
  <c r="AE43" i="36"/>
  <c r="AH43" i="36" s="1"/>
  <c r="AJ43" i="36" s="1"/>
  <c r="AE42" i="36"/>
  <c r="AH42" i="36" s="1"/>
  <c r="AJ42" i="36" s="1"/>
  <c r="AE41" i="36"/>
  <c r="AI38" i="36"/>
  <c r="AG38" i="36"/>
  <c r="AF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L159" i="36" s="1"/>
  <c r="K38" i="36"/>
  <c r="J38" i="36"/>
  <c r="I38" i="36"/>
  <c r="H38" i="36"/>
  <c r="G38" i="36"/>
  <c r="F38" i="36"/>
  <c r="E38" i="36"/>
  <c r="AE37" i="36"/>
  <c r="AH37" i="36" s="1"/>
  <c r="AJ37" i="36" s="1"/>
  <c r="AE36" i="36"/>
  <c r="AH36" i="36" s="1"/>
  <c r="AJ36" i="36" s="1"/>
  <c r="AE35" i="36"/>
  <c r="AH35" i="36" s="1"/>
  <c r="AJ35" i="36" s="1"/>
  <c r="AE34" i="36"/>
  <c r="AH34" i="36" s="1"/>
  <c r="AJ34" i="36" s="1"/>
  <c r="AE33" i="36"/>
  <c r="AH33" i="36" s="1"/>
  <c r="AJ33" i="36" s="1"/>
  <c r="AE32" i="36"/>
  <c r="AH32" i="36" s="1"/>
  <c r="AJ32" i="36" s="1"/>
  <c r="AE31" i="36"/>
  <c r="AH31" i="36" s="1"/>
  <c r="AJ31" i="36" s="1"/>
  <c r="AE30" i="36"/>
  <c r="AH30" i="36" s="1"/>
  <c r="AJ30" i="36" s="1"/>
  <c r="AE29" i="36"/>
  <c r="AH29" i="36" s="1"/>
  <c r="AJ29" i="36" s="1"/>
  <c r="AE28" i="36"/>
  <c r="AH28" i="36" s="1"/>
  <c r="AJ28" i="36" s="1"/>
  <c r="AE27" i="36"/>
  <c r="AH27" i="36" s="1"/>
  <c r="AJ27" i="36" s="1"/>
  <c r="AE26" i="36"/>
  <c r="AH26" i="36" s="1"/>
  <c r="AJ26" i="36" s="1"/>
  <c r="AE25" i="36"/>
  <c r="AH25" i="36" s="1"/>
  <c r="AJ25" i="36" s="1"/>
  <c r="AE24" i="36"/>
  <c r="AH24" i="36" s="1"/>
  <c r="AJ24" i="36" s="1"/>
  <c r="AE23" i="36"/>
  <c r="AH23" i="36" s="1"/>
  <c r="AJ23" i="36" s="1"/>
  <c r="AE22" i="36"/>
  <c r="AH22" i="36" s="1"/>
  <c r="AJ22" i="36" s="1"/>
  <c r="AE21" i="36"/>
  <c r="AH21" i="36" s="1"/>
  <c r="AJ21" i="36" s="1"/>
  <c r="AE20" i="36"/>
  <c r="AH20" i="36" s="1"/>
  <c r="AJ20" i="36" s="1"/>
  <c r="AE19" i="36"/>
  <c r="AH19" i="36" s="1"/>
  <c r="AJ19" i="36" s="1"/>
  <c r="AE18" i="36"/>
  <c r="AH18" i="36" s="1"/>
  <c r="AJ18" i="36" s="1"/>
  <c r="AE17" i="36"/>
  <c r="AH17" i="36" s="1"/>
  <c r="AJ17" i="36" s="1"/>
  <c r="AE16" i="36"/>
  <c r="AH16" i="36" s="1"/>
  <c r="AJ16" i="36" s="1"/>
  <c r="AE15" i="36"/>
  <c r="AH15" i="36" s="1"/>
  <c r="AJ15" i="36" s="1"/>
  <c r="AE14" i="36"/>
  <c r="AH14" i="36" s="1"/>
  <c r="AJ14" i="36" s="1"/>
  <c r="AE13" i="36"/>
  <c r="AH13" i="36" s="1"/>
  <c r="AJ13" i="36" s="1"/>
  <c r="AE12" i="36"/>
  <c r="AH12" i="36" s="1"/>
  <c r="AJ12" i="36" s="1"/>
  <c r="AE11" i="36"/>
  <c r="AH11" i="36" s="1"/>
  <c r="AJ11" i="36" s="1"/>
  <c r="AE10" i="36"/>
  <c r="AH10" i="36" s="1"/>
  <c r="AJ10" i="36" s="1"/>
  <c r="AE9" i="36"/>
  <c r="AH9" i="36" s="1"/>
  <c r="AJ9" i="36" s="1"/>
  <c r="AE8" i="36"/>
  <c r="AH8" i="36" s="1"/>
  <c r="AJ8" i="36" s="1"/>
  <c r="AE7" i="36"/>
  <c r="AH7" i="36" s="1"/>
  <c r="AJ7" i="36" s="1"/>
  <c r="AE6" i="36"/>
  <c r="AH6" i="36" s="1"/>
  <c r="AJ6" i="36" s="1"/>
  <c r="AE5" i="36"/>
  <c r="A4" i="36"/>
  <c r="AK120" i="3"/>
  <c r="C205" i="19" s="1"/>
  <c r="N120" i="3"/>
  <c r="B205" i="19" s="1"/>
  <c r="E379" i="19" l="1"/>
  <c r="E136" i="19"/>
  <c r="E137" i="19" s="1"/>
  <c r="W219" i="37"/>
  <c r="U379" i="19" s="1"/>
  <c r="F159" i="36"/>
  <c r="R159" i="36"/>
  <c r="V159" i="36"/>
  <c r="V160" i="36" s="1"/>
  <c r="J159" i="36"/>
  <c r="J160" i="36" s="1"/>
  <c r="N159" i="36"/>
  <c r="Z159" i="36"/>
  <c r="K159" i="36"/>
  <c r="K160" i="36" s="1"/>
  <c r="S159" i="36"/>
  <c r="S237" i="36" s="1"/>
  <c r="Q367" i="19" s="1"/>
  <c r="Q368" i="19" s="1"/>
  <c r="AA159" i="36"/>
  <c r="H159" i="36"/>
  <c r="H237" i="36" s="1"/>
  <c r="E367" i="19" s="1"/>
  <c r="E368" i="19" s="1"/>
  <c r="P159" i="36"/>
  <c r="P237" i="36" s="1"/>
  <c r="N367" i="19" s="1"/>
  <c r="N368" i="19" s="1"/>
  <c r="X159" i="36"/>
  <c r="X160" i="36" s="1"/>
  <c r="AG159" i="36"/>
  <c r="AG160" i="36" s="1"/>
  <c r="G159" i="36"/>
  <c r="G237" i="36" s="1"/>
  <c r="D367" i="19" s="1"/>
  <c r="D368" i="19" s="1"/>
  <c r="O159" i="36"/>
  <c r="O237" i="36" s="1"/>
  <c r="M367" i="19" s="1"/>
  <c r="M368" i="19" s="1"/>
  <c r="W159" i="36"/>
  <c r="AF159" i="36"/>
  <c r="AF237" i="36" s="1"/>
  <c r="T159" i="36"/>
  <c r="T160" i="36" s="1"/>
  <c r="AB159" i="36"/>
  <c r="AB160" i="36" s="1"/>
  <c r="E159" i="36"/>
  <c r="E160" i="36" s="1"/>
  <c r="I159" i="36"/>
  <c r="M159" i="36"/>
  <c r="M237" i="36" s="1"/>
  <c r="K367" i="19" s="1"/>
  <c r="Q159" i="36"/>
  <c r="Q160" i="36" s="1"/>
  <c r="Y159" i="36"/>
  <c r="Y237" i="36" s="1"/>
  <c r="W367" i="19" s="1"/>
  <c r="W368" i="19" s="1"/>
  <c r="AC159" i="36"/>
  <c r="AI159" i="36"/>
  <c r="AI160" i="36" s="1"/>
  <c r="AC219" i="37"/>
  <c r="AA378" i="19" s="1"/>
  <c r="AA379" i="19" s="1"/>
  <c r="N146" i="37"/>
  <c r="V219" i="37"/>
  <c r="T379" i="19" s="1"/>
  <c r="AE233" i="36"/>
  <c r="L170" i="19"/>
  <c r="N170" i="19" s="1"/>
  <c r="X146" i="37"/>
  <c r="AF228" i="36"/>
  <c r="AH126" i="37"/>
  <c r="AA219" i="37"/>
  <c r="Y378" i="19" s="1"/>
  <c r="Y379" i="19" s="1"/>
  <c r="G219" i="37"/>
  <c r="D203" i="19"/>
  <c r="AF146" i="37"/>
  <c r="AI219" i="37"/>
  <c r="AI220" i="37" s="1"/>
  <c r="AJ126" i="37"/>
  <c r="AB146" i="37"/>
  <c r="J146" i="37"/>
  <c r="Z219" i="37"/>
  <c r="X379" i="19" s="1"/>
  <c r="H146" i="37"/>
  <c r="I219" i="37"/>
  <c r="F379" i="19" s="1"/>
  <c r="R219" i="37"/>
  <c r="P379" i="19" s="1"/>
  <c r="I160" i="36"/>
  <c r="AC237" i="36"/>
  <c r="AA367" i="19" s="1"/>
  <c r="AA368" i="19" s="1"/>
  <c r="F160" i="36"/>
  <c r="N160" i="36"/>
  <c r="R237" i="36"/>
  <c r="P367" i="19" s="1"/>
  <c r="P368" i="19" s="1"/>
  <c r="Z237" i="36"/>
  <c r="X367" i="19" s="1"/>
  <c r="X368" i="19" s="1"/>
  <c r="O228" i="36"/>
  <c r="AE228" i="36" s="1"/>
  <c r="AE133" i="36"/>
  <c r="U159" i="36"/>
  <c r="AD159" i="36"/>
  <c r="AD160" i="36" s="1"/>
  <c r="AE53" i="36"/>
  <c r="AH82" i="36"/>
  <c r="AE140" i="36"/>
  <c r="E219" i="37"/>
  <c r="K219" i="37"/>
  <c r="Y219" i="37"/>
  <c r="W379" i="19" s="1"/>
  <c r="P146" i="37"/>
  <c r="X220" i="37"/>
  <c r="J220" i="37"/>
  <c r="AB220" i="37"/>
  <c r="N220" i="37"/>
  <c r="P220" i="37"/>
  <c r="H220" i="37"/>
  <c r="S219" i="37"/>
  <c r="Q379" i="19" s="1"/>
  <c r="S146" i="37"/>
  <c r="M219" i="37"/>
  <c r="M146" i="37"/>
  <c r="AJ150" i="37"/>
  <c r="AJ211" i="37" s="1"/>
  <c r="AJ212" i="37" s="1"/>
  <c r="AH211" i="37"/>
  <c r="AH212" i="37" s="1"/>
  <c r="O219" i="37"/>
  <c r="M379" i="19" s="1"/>
  <c r="O146" i="37"/>
  <c r="AJ138" i="37"/>
  <c r="AJ143" i="37" s="1"/>
  <c r="AH143" i="37"/>
  <c r="AH119" i="37"/>
  <c r="AH38" i="37"/>
  <c r="AJ5" i="37"/>
  <c r="AJ38" i="37" s="1"/>
  <c r="AH135" i="37"/>
  <c r="AJ129" i="37"/>
  <c r="AJ135" i="37" s="1"/>
  <c r="AC228" i="37"/>
  <c r="AF220" i="37"/>
  <c r="AH217" i="37"/>
  <c r="AJ215" i="37"/>
  <c r="AJ217" i="37" s="1"/>
  <c r="AH110" i="37"/>
  <c r="AJ98" i="37"/>
  <c r="AJ110" i="37" s="1"/>
  <c r="Q219" i="37"/>
  <c r="O379" i="19" s="1"/>
  <c r="Q146" i="37"/>
  <c r="T146" i="37"/>
  <c r="T219" i="37"/>
  <c r="R379" i="19" s="1"/>
  <c r="AE227" i="36"/>
  <c r="L179" i="19" s="1"/>
  <c r="N179" i="19" s="1"/>
  <c r="AE38" i="36"/>
  <c r="AH41" i="36"/>
  <c r="AE56" i="36"/>
  <c r="AE110" i="36"/>
  <c r="AH98" i="36"/>
  <c r="AJ133" i="36"/>
  <c r="AJ140" i="36"/>
  <c r="AH149" i="36"/>
  <c r="AJ143" i="36"/>
  <c r="AJ149" i="36" s="1"/>
  <c r="W168" i="19"/>
  <c r="AH133" i="36"/>
  <c r="AH140" i="36"/>
  <c r="AH5" i="36"/>
  <c r="AJ71" i="36"/>
  <c r="AJ82" i="36" s="1"/>
  <c r="AE149" i="36"/>
  <c r="AE157" i="36"/>
  <c r="AE82" i="36"/>
  <c r="AH164" i="36"/>
  <c r="AH232" i="36"/>
  <c r="AJ232" i="36" s="1"/>
  <c r="AH152" i="36"/>
  <c r="AJ231" i="36"/>
  <c r="B136" i="19" l="1"/>
  <c r="B137" i="19" s="1"/>
  <c r="B378" i="19"/>
  <c r="B379" i="19" s="1"/>
  <c r="H379" i="19"/>
  <c r="H136" i="19"/>
  <c r="H137" i="19" s="1"/>
  <c r="D379" i="19"/>
  <c r="D136" i="19"/>
  <c r="K368" i="19"/>
  <c r="W220" i="37"/>
  <c r="J237" i="36"/>
  <c r="G367" i="19" s="1"/>
  <c r="G368" i="19" s="1"/>
  <c r="AB237" i="36"/>
  <c r="Z367" i="19" s="1"/>
  <c r="Z368" i="19" s="1"/>
  <c r="M160" i="36"/>
  <c r="R160" i="36"/>
  <c r="I237" i="36"/>
  <c r="F367" i="19" s="1"/>
  <c r="F368" i="19" s="1"/>
  <c r="AC220" i="37"/>
  <c r="V220" i="37"/>
  <c r="AF160" i="36"/>
  <c r="P160" i="36"/>
  <c r="X237" i="36"/>
  <c r="V367" i="19" s="1"/>
  <c r="V368" i="19" s="1"/>
  <c r="T237" i="36"/>
  <c r="R367" i="19" s="1"/>
  <c r="R368" i="19" s="1"/>
  <c r="AA220" i="37"/>
  <c r="T380" i="19"/>
  <c r="K379" i="19"/>
  <c r="K381" i="19" s="1"/>
  <c r="K380" i="19"/>
  <c r="T381" i="19"/>
  <c r="B380" i="19"/>
  <c r="G220" i="37"/>
  <c r="Z220" i="37"/>
  <c r="F237" i="36"/>
  <c r="C367" i="19" s="1"/>
  <c r="C368" i="19" s="1"/>
  <c r="Y160" i="36"/>
  <c r="R220" i="37"/>
  <c r="K237" i="36"/>
  <c r="H367" i="19" s="1"/>
  <c r="V222" i="37"/>
  <c r="H160" i="36"/>
  <c r="S160" i="36"/>
  <c r="E237" i="36"/>
  <c r="B367" i="19" s="1"/>
  <c r="G160" i="36"/>
  <c r="I220" i="37"/>
  <c r="Y220" i="37"/>
  <c r="K220" i="37"/>
  <c r="N237" i="36"/>
  <c r="L367" i="19" s="1"/>
  <c r="V237" i="36"/>
  <c r="T367" i="19" s="1"/>
  <c r="E220" i="37"/>
  <c r="O220" i="37"/>
  <c r="S220" i="37"/>
  <c r="AI237" i="36"/>
  <c r="AI238" i="36" s="1"/>
  <c r="H238" i="36"/>
  <c r="AC238" i="36"/>
  <c r="Y238" i="36"/>
  <c r="S238" i="36"/>
  <c r="G238" i="36"/>
  <c r="Z160" i="36"/>
  <c r="Z238" i="36"/>
  <c r="P238" i="36"/>
  <c r="Q237" i="36"/>
  <c r="O367" i="19" s="1"/>
  <c r="O368" i="19" s="1"/>
  <c r="R238" i="36"/>
  <c r="T220" i="37"/>
  <c r="Q220" i="37"/>
  <c r="M222" i="37"/>
  <c r="M220" i="37"/>
  <c r="AJ233" i="36"/>
  <c r="AJ152" i="36"/>
  <c r="AJ157" i="36" s="1"/>
  <c r="AH157" i="36"/>
  <c r="AA237" i="36"/>
  <c r="Y367" i="19" s="1"/>
  <c r="Y368" i="19" s="1"/>
  <c r="AA160" i="36"/>
  <c r="AC246" i="36"/>
  <c r="AF238" i="36"/>
  <c r="AH4" i="36"/>
  <c r="AH56" i="36"/>
  <c r="AE68" i="36"/>
  <c r="AE159" i="36" s="1"/>
  <c r="M238" i="36"/>
  <c r="W237" i="36"/>
  <c r="U367" i="19" s="1"/>
  <c r="U368" i="19" s="1"/>
  <c r="W160" i="36"/>
  <c r="AH233" i="36"/>
  <c r="AH53" i="36"/>
  <c r="AJ41" i="36"/>
  <c r="AJ53" i="36" s="1"/>
  <c r="AJ164" i="36"/>
  <c r="AJ227" i="36" s="1"/>
  <c r="AJ228" i="36" s="1"/>
  <c r="AH227" i="36"/>
  <c r="AH228" i="36" s="1"/>
  <c r="AH38" i="36"/>
  <c r="AJ5" i="36"/>
  <c r="AJ38" i="36" s="1"/>
  <c r="AH110" i="36"/>
  <c r="AJ98" i="36"/>
  <c r="AJ110" i="36" s="1"/>
  <c r="O160" i="36"/>
  <c r="C269" i="19"/>
  <c r="B269" i="19"/>
  <c r="D64" i="2"/>
  <c r="D137" i="19" l="1"/>
  <c r="K369" i="19"/>
  <c r="B368" i="19"/>
  <c r="J238" i="36"/>
  <c r="AB238" i="36"/>
  <c r="I238" i="36"/>
  <c r="X238" i="36"/>
  <c r="T238" i="36"/>
  <c r="D269" i="19"/>
  <c r="T368" i="19"/>
  <c r="T370" i="19" s="1"/>
  <c r="T369" i="19"/>
  <c r="H368" i="19"/>
  <c r="B369" i="19"/>
  <c r="B381" i="19"/>
  <c r="L368" i="19"/>
  <c r="AB367" i="19" s="1"/>
  <c r="V221" i="37"/>
  <c r="F238" i="36"/>
  <c r="K238" i="36"/>
  <c r="E240" i="36"/>
  <c r="E238" i="36"/>
  <c r="V238" i="36"/>
  <c r="N238" i="36"/>
  <c r="Q238" i="36"/>
  <c r="W238" i="36"/>
  <c r="O238" i="36"/>
  <c r="AA238" i="36"/>
  <c r="M221" i="37"/>
  <c r="V240" i="36"/>
  <c r="AE237" i="36"/>
  <c r="AE160" i="36"/>
  <c r="M240" i="36"/>
  <c r="AH68" i="36"/>
  <c r="AH159" i="36" s="1"/>
  <c r="AJ56" i="36"/>
  <c r="AJ68" i="36" s="1"/>
  <c r="AJ4" i="36"/>
  <c r="AB368" i="19" l="1"/>
  <c r="AJ159" i="36"/>
  <c r="K370" i="19"/>
  <c r="E239" i="36"/>
  <c r="M239" i="36"/>
  <c r="V239" i="36"/>
  <c r="AC244" i="36"/>
  <c r="AE238" i="36"/>
  <c r="AH237" i="36" l="1"/>
  <c r="AH238" i="36" s="1"/>
  <c r="AH160" i="36"/>
  <c r="AJ237" i="36"/>
  <c r="AJ238" i="36" s="1"/>
  <c r="AJ160" i="36"/>
  <c r="D53" i="33"/>
  <c r="D44" i="33"/>
  <c r="CK214" i="6"/>
  <c r="AY214" i="6"/>
  <c r="D35" i="4"/>
  <c r="CJ214" i="6" l="1"/>
  <c r="CM214" i="6"/>
  <c r="CI182" i="6" l="1"/>
  <c r="D29" i="3" l="1"/>
  <c r="D17" i="4" l="1"/>
  <c r="D19" i="1"/>
  <c r="X294" i="34" l="1"/>
  <c r="X295" i="34" s="1"/>
  <c r="I102" i="19"/>
  <c r="I103" i="19" s="1"/>
  <c r="I95" i="19"/>
  <c r="I96" i="19" s="1"/>
  <c r="R94" i="19"/>
  <c r="Q94" i="19"/>
  <c r="P94" i="19"/>
  <c r="I94" i="19"/>
  <c r="S89" i="19"/>
  <c r="J89" i="19"/>
  <c r="I88" i="19"/>
  <c r="I89" i="19" s="1"/>
  <c r="R87" i="19"/>
  <c r="Q87" i="19"/>
  <c r="P87" i="19"/>
  <c r="I74" i="19"/>
  <c r="I75" i="19" s="1"/>
  <c r="I67" i="19"/>
  <c r="I68" i="19" s="1"/>
  <c r="T63" i="19"/>
  <c r="I46" i="19"/>
  <c r="I47" i="19" s="1"/>
  <c r="I39" i="19"/>
  <c r="I40" i="19" s="1"/>
  <c r="Z38" i="19"/>
  <c r="Y38" i="19"/>
  <c r="X38" i="19"/>
  <c r="T38" i="19"/>
  <c r="E113" i="34"/>
  <c r="AI113" i="34"/>
  <c r="M113" i="34"/>
  <c r="D13" i="4"/>
  <c r="L211" i="34"/>
  <c r="E179" i="34"/>
  <c r="AI179" i="34"/>
  <c r="AG179" i="34"/>
  <c r="AF179" i="34"/>
  <c r="AD179" i="34"/>
  <c r="AC179" i="34"/>
  <c r="AB179" i="34"/>
  <c r="AA179" i="34"/>
  <c r="Z179" i="34"/>
  <c r="Y179" i="34"/>
  <c r="X179" i="34"/>
  <c r="W179" i="34"/>
  <c r="V179" i="34"/>
  <c r="U179" i="34"/>
  <c r="T179" i="34"/>
  <c r="S179" i="34"/>
  <c r="R179" i="34"/>
  <c r="Q179" i="34"/>
  <c r="P179" i="34"/>
  <c r="O179" i="34"/>
  <c r="N179" i="34"/>
  <c r="M179" i="34"/>
  <c r="L179" i="34"/>
  <c r="K179" i="34"/>
  <c r="J179" i="34"/>
  <c r="I179" i="34"/>
  <c r="H179" i="34"/>
  <c r="G179" i="34"/>
  <c r="F179" i="34"/>
  <c r="AE178" i="34"/>
  <c r="AH178" i="34" s="1"/>
  <c r="AJ178" i="34" s="1"/>
  <c r="AE177" i="34"/>
  <c r="AH177" i="34" s="1"/>
  <c r="AJ177" i="34" s="1"/>
  <c r="AE176" i="34"/>
  <c r="AH176" i="34" s="1"/>
  <c r="AJ176" i="34" s="1"/>
  <c r="AE175" i="34"/>
  <c r="AH175" i="34" s="1"/>
  <c r="AJ175" i="34" s="1"/>
  <c r="AE174" i="34"/>
  <c r="AH174" i="34" s="1"/>
  <c r="AJ174" i="34" s="1"/>
  <c r="AE173" i="34"/>
  <c r="AH173" i="34" s="1"/>
  <c r="AJ173" i="34" s="1"/>
  <c r="AE172" i="34"/>
  <c r="AH172" i="34" s="1"/>
  <c r="AJ172" i="34" s="1"/>
  <c r="AE171" i="34"/>
  <c r="AH171" i="34" s="1"/>
  <c r="AJ171" i="34" s="1"/>
  <c r="AE170" i="34"/>
  <c r="AH170" i="34" s="1"/>
  <c r="AJ170" i="34" s="1"/>
  <c r="AE169" i="34"/>
  <c r="AH169" i="34" s="1"/>
  <c r="AJ169" i="34" s="1"/>
  <c r="AE168" i="34"/>
  <c r="AH168" i="34" s="1"/>
  <c r="AJ168" i="34" s="1"/>
  <c r="AE167" i="34"/>
  <c r="AH167" i="34" s="1"/>
  <c r="AJ167" i="34" s="1"/>
  <c r="AE166" i="34"/>
  <c r="AH166" i="34" s="1"/>
  <c r="AJ166" i="34" s="1"/>
  <c r="AE165" i="34"/>
  <c r="AH165" i="34" s="1"/>
  <c r="AJ165" i="34" s="1"/>
  <c r="AE164" i="34"/>
  <c r="AH164" i="34" s="1"/>
  <c r="AJ164" i="34" s="1"/>
  <c r="AE163" i="34"/>
  <c r="AH163" i="34" s="1"/>
  <c r="AJ163" i="34" s="1"/>
  <c r="AE162" i="34"/>
  <c r="AH162" i="34" s="1"/>
  <c r="AJ162" i="34" s="1"/>
  <c r="AE161" i="34"/>
  <c r="AH161" i="34" s="1"/>
  <c r="AJ161" i="34" s="1"/>
  <c r="AE160" i="34"/>
  <c r="AH160" i="34" s="1"/>
  <c r="AJ160" i="34" s="1"/>
  <c r="AE159" i="34"/>
  <c r="AH159" i="34" s="1"/>
  <c r="AJ159" i="34" s="1"/>
  <c r="AE158" i="34"/>
  <c r="AH158" i="34" s="1"/>
  <c r="AJ158" i="34" s="1"/>
  <c r="AE157" i="34"/>
  <c r="AH157" i="34" s="1"/>
  <c r="AJ157" i="34" s="1"/>
  <c r="AE156" i="34"/>
  <c r="AH156" i="34" s="1"/>
  <c r="AJ156" i="34" s="1"/>
  <c r="AE155" i="34"/>
  <c r="AH155" i="34" s="1"/>
  <c r="AJ155" i="34" s="1"/>
  <c r="AE154" i="34"/>
  <c r="AH154" i="34" s="1"/>
  <c r="AJ154" i="34" s="1"/>
  <c r="AE153" i="34"/>
  <c r="AH153" i="34" s="1"/>
  <c r="AJ153" i="34" s="1"/>
  <c r="AE152" i="34"/>
  <c r="AH152" i="34" s="1"/>
  <c r="AJ152" i="34" s="1"/>
  <c r="AE151" i="34"/>
  <c r="AH151" i="34" s="1"/>
  <c r="AJ151" i="34" s="1"/>
  <c r="AE150" i="34"/>
  <c r="AH150" i="34" s="1"/>
  <c r="AJ150" i="34" s="1"/>
  <c r="AE149" i="34"/>
  <c r="AE148" i="34"/>
  <c r="AH148" i="34" s="1"/>
  <c r="AJ148" i="34" s="1"/>
  <c r="AC310" i="34"/>
  <c r="AI300" i="34"/>
  <c r="AF300" i="34"/>
  <c r="AC300" i="34"/>
  <c r="AB300" i="34"/>
  <c r="AA300" i="34"/>
  <c r="Z300" i="34"/>
  <c r="Y300" i="34"/>
  <c r="X300" i="34"/>
  <c r="W300" i="34"/>
  <c r="V300" i="34"/>
  <c r="T300" i="34"/>
  <c r="S300" i="34"/>
  <c r="R300" i="34"/>
  <c r="Q300" i="34"/>
  <c r="P300" i="34"/>
  <c r="O300" i="34"/>
  <c r="N300" i="34"/>
  <c r="M300" i="34"/>
  <c r="K300" i="34"/>
  <c r="J300" i="34"/>
  <c r="I300" i="34"/>
  <c r="H300" i="34"/>
  <c r="G300" i="34"/>
  <c r="F300" i="34"/>
  <c r="E300" i="34"/>
  <c r="AE299" i="34"/>
  <c r="AE298" i="34"/>
  <c r="AH298" i="34" s="1"/>
  <c r="AI294" i="34"/>
  <c r="AI295" i="34" s="1"/>
  <c r="AG294" i="34"/>
  <c r="AG295" i="34" s="1"/>
  <c r="AF295" i="34"/>
  <c r="AC294" i="34"/>
  <c r="AC295" i="34" s="1"/>
  <c r="AB294" i="34"/>
  <c r="AB295" i="34" s="1"/>
  <c r="AA294" i="34"/>
  <c r="AA295" i="34" s="1"/>
  <c r="Z294" i="34"/>
  <c r="Z295" i="34" s="1"/>
  <c r="Y294" i="34"/>
  <c r="Y295" i="34" s="1"/>
  <c r="W294" i="34"/>
  <c r="W295" i="34" s="1"/>
  <c r="V294" i="34"/>
  <c r="V295" i="34" s="1"/>
  <c r="T294" i="34"/>
  <c r="T295" i="34" s="1"/>
  <c r="S294" i="34"/>
  <c r="S295" i="34" s="1"/>
  <c r="R294" i="34"/>
  <c r="R295" i="34" s="1"/>
  <c r="Q294" i="34"/>
  <c r="Q295" i="34" s="1"/>
  <c r="P294" i="34"/>
  <c r="P295" i="34" s="1"/>
  <c r="O294" i="34"/>
  <c r="O295" i="34" s="1"/>
  <c r="N294" i="34"/>
  <c r="N295" i="34" s="1"/>
  <c r="M294" i="34"/>
  <c r="M295" i="34" s="1"/>
  <c r="L295" i="34"/>
  <c r="K295" i="34"/>
  <c r="J295" i="34"/>
  <c r="I295" i="34"/>
  <c r="H295" i="34"/>
  <c r="G295" i="34"/>
  <c r="F295" i="34"/>
  <c r="E295" i="34"/>
  <c r="AE293" i="34"/>
  <c r="AH293" i="34" s="1"/>
  <c r="AJ293" i="34" s="1"/>
  <c r="AE292" i="34"/>
  <c r="AH292" i="34" s="1"/>
  <c r="AJ292" i="34" s="1"/>
  <c r="AE291" i="34"/>
  <c r="AH291" i="34" s="1"/>
  <c r="AJ291" i="34" s="1"/>
  <c r="AE290" i="34"/>
  <c r="AH290" i="34" s="1"/>
  <c r="AJ290" i="34" s="1"/>
  <c r="AE289" i="34"/>
  <c r="AH289" i="34" s="1"/>
  <c r="AJ289" i="34" s="1"/>
  <c r="AE288" i="34"/>
  <c r="AH288" i="34" s="1"/>
  <c r="AJ288" i="34" s="1"/>
  <c r="AE287" i="34"/>
  <c r="AH287" i="34" s="1"/>
  <c r="AJ287" i="34" s="1"/>
  <c r="AE286" i="34"/>
  <c r="AH286" i="34" s="1"/>
  <c r="AJ286" i="34" s="1"/>
  <c r="AE285" i="34"/>
  <c r="AH285" i="34" s="1"/>
  <c r="AJ285" i="34" s="1"/>
  <c r="AE284" i="34"/>
  <c r="AH284" i="34" s="1"/>
  <c r="AJ284" i="34" s="1"/>
  <c r="AE283" i="34"/>
  <c r="AH283" i="34" s="1"/>
  <c r="AJ283" i="34" s="1"/>
  <c r="AE282" i="34"/>
  <c r="AH282" i="34" s="1"/>
  <c r="AJ282" i="34" s="1"/>
  <c r="AE281" i="34"/>
  <c r="AH281" i="34" s="1"/>
  <c r="AJ281" i="34" s="1"/>
  <c r="AE280" i="34"/>
  <c r="AH280" i="34" s="1"/>
  <c r="AJ280" i="34" s="1"/>
  <c r="AE279" i="34"/>
  <c r="AH279" i="34" s="1"/>
  <c r="AJ279" i="34" s="1"/>
  <c r="AE278" i="34"/>
  <c r="AH278" i="34" s="1"/>
  <c r="AJ278" i="34" s="1"/>
  <c r="AE277" i="34"/>
  <c r="AH277" i="34" s="1"/>
  <c r="AJ277" i="34" s="1"/>
  <c r="AE276" i="34"/>
  <c r="AH276" i="34" s="1"/>
  <c r="AJ276" i="34" s="1"/>
  <c r="AE275" i="34"/>
  <c r="AH275" i="34" s="1"/>
  <c r="AJ275" i="34" s="1"/>
  <c r="AE274" i="34"/>
  <c r="AH274" i="34" s="1"/>
  <c r="AJ274" i="34" s="1"/>
  <c r="AE273" i="34"/>
  <c r="AH273" i="34" s="1"/>
  <c r="AJ273" i="34" s="1"/>
  <c r="AE272" i="34"/>
  <c r="AH272" i="34" s="1"/>
  <c r="AJ272" i="34" s="1"/>
  <c r="AE271" i="34"/>
  <c r="AH271" i="34" s="1"/>
  <c r="AJ271" i="34" s="1"/>
  <c r="AE270" i="34"/>
  <c r="AH270" i="34" s="1"/>
  <c r="AJ270" i="34" s="1"/>
  <c r="AE269" i="34"/>
  <c r="AH269" i="34" s="1"/>
  <c r="AJ269" i="34" s="1"/>
  <c r="AE268" i="34"/>
  <c r="AH268" i="34" s="1"/>
  <c r="AJ268" i="34" s="1"/>
  <c r="AE267" i="34"/>
  <c r="AH267" i="34" s="1"/>
  <c r="AJ267" i="34" s="1"/>
  <c r="AE266" i="34"/>
  <c r="AH266" i="34" s="1"/>
  <c r="AJ266" i="34" s="1"/>
  <c r="AE265" i="34"/>
  <c r="AH265" i="34" s="1"/>
  <c r="AJ265" i="34" s="1"/>
  <c r="AE264" i="34"/>
  <c r="AH264" i="34" s="1"/>
  <c r="AJ264" i="34" s="1"/>
  <c r="AE263" i="34"/>
  <c r="AH263" i="34" s="1"/>
  <c r="AJ263" i="34" s="1"/>
  <c r="AE262" i="34"/>
  <c r="AH262" i="34" s="1"/>
  <c r="AJ262" i="34" s="1"/>
  <c r="AE261" i="34"/>
  <c r="AH261" i="34" s="1"/>
  <c r="AJ261" i="34" s="1"/>
  <c r="AE260" i="34"/>
  <c r="AH260" i="34" s="1"/>
  <c r="AJ260" i="34" s="1"/>
  <c r="AE259" i="34"/>
  <c r="AH259" i="34" s="1"/>
  <c r="AJ259" i="34" s="1"/>
  <c r="AE258" i="34"/>
  <c r="AH258" i="34" s="1"/>
  <c r="AJ258" i="34" s="1"/>
  <c r="AE257" i="34"/>
  <c r="AH257" i="34" s="1"/>
  <c r="AJ257" i="34" s="1"/>
  <c r="AE256" i="34"/>
  <c r="AH256" i="34" s="1"/>
  <c r="AJ256" i="34" s="1"/>
  <c r="AE255" i="34"/>
  <c r="AH255" i="34" s="1"/>
  <c r="AJ255" i="34" s="1"/>
  <c r="AE254" i="34"/>
  <c r="AH254" i="34" s="1"/>
  <c r="AJ254" i="34" s="1"/>
  <c r="AE253" i="34"/>
  <c r="AH253" i="34" s="1"/>
  <c r="AJ253" i="34" s="1"/>
  <c r="AE252" i="34"/>
  <c r="AH252" i="34" s="1"/>
  <c r="AJ252" i="34" s="1"/>
  <c r="AE251" i="34"/>
  <c r="AH251" i="34" s="1"/>
  <c r="AJ251" i="34" s="1"/>
  <c r="AE250" i="34"/>
  <c r="AH250" i="34" s="1"/>
  <c r="AJ250" i="34" s="1"/>
  <c r="AE249" i="34"/>
  <c r="AH249" i="34" s="1"/>
  <c r="AJ249" i="34" s="1"/>
  <c r="AE248" i="34"/>
  <c r="AH248" i="34" s="1"/>
  <c r="AJ248" i="34" s="1"/>
  <c r="AE247" i="34"/>
  <c r="AH247" i="34" s="1"/>
  <c r="AJ247" i="34" s="1"/>
  <c r="AE246" i="34"/>
  <c r="AH246" i="34" s="1"/>
  <c r="AJ246" i="34" s="1"/>
  <c r="AE245" i="34"/>
  <c r="AH245" i="34" s="1"/>
  <c r="AJ245" i="34" s="1"/>
  <c r="AE244" i="34"/>
  <c r="AH244" i="34" s="1"/>
  <c r="AJ244" i="34" s="1"/>
  <c r="AE243" i="34"/>
  <c r="AH243" i="34" s="1"/>
  <c r="AJ243" i="34" s="1"/>
  <c r="AE242" i="34"/>
  <c r="AH242" i="34" s="1"/>
  <c r="AJ242" i="34" s="1"/>
  <c r="AE241" i="34"/>
  <c r="AH241" i="34" s="1"/>
  <c r="AJ241" i="34" s="1"/>
  <c r="AE240" i="34"/>
  <c r="AH240" i="34" s="1"/>
  <c r="AJ240" i="34" s="1"/>
  <c r="AE239" i="34"/>
  <c r="AH239" i="34" s="1"/>
  <c r="AJ239" i="34" s="1"/>
  <c r="AE238" i="34"/>
  <c r="AH238" i="34" s="1"/>
  <c r="AJ238" i="34" s="1"/>
  <c r="AE237" i="34"/>
  <c r="AH237" i="34" s="1"/>
  <c r="AJ237" i="34" s="1"/>
  <c r="AE236" i="34"/>
  <c r="AH236" i="34" s="1"/>
  <c r="AJ236" i="34" s="1"/>
  <c r="AE235" i="34"/>
  <c r="AH235" i="34" s="1"/>
  <c r="AJ235" i="34" s="1"/>
  <c r="AE234" i="34"/>
  <c r="AE233" i="34"/>
  <c r="AH233" i="34" s="1"/>
  <c r="AJ233" i="34" s="1"/>
  <c r="AE226" i="34"/>
  <c r="AH226" i="34" s="1"/>
  <c r="AJ226" i="34" s="1"/>
  <c r="AE225" i="34"/>
  <c r="AH225" i="34" s="1"/>
  <c r="AJ225" i="34" s="1"/>
  <c r="AE224" i="34"/>
  <c r="AH224" i="34" s="1"/>
  <c r="AJ224" i="34" s="1"/>
  <c r="AE223" i="34"/>
  <c r="AH223" i="34" s="1"/>
  <c r="AJ223" i="34" s="1"/>
  <c r="AE222" i="34"/>
  <c r="AH222" i="34" s="1"/>
  <c r="AJ222" i="34" s="1"/>
  <c r="AE221" i="34"/>
  <c r="AH221" i="34" s="1"/>
  <c r="AJ221" i="34" s="1"/>
  <c r="AE220" i="34"/>
  <c r="AH220" i="34" s="1"/>
  <c r="AJ220" i="34" s="1"/>
  <c r="AE219" i="34"/>
  <c r="AH219" i="34" s="1"/>
  <c r="AJ219" i="34" s="1"/>
  <c r="AE218" i="34"/>
  <c r="AI211" i="34"/>
  <c r="AF211" i="34"/>
  <c r="AC211" i="34"/>
  <c r="AB211" i="34"/>
  <c r="AA211" i="34"/>
  <c r="Z211" i="34"/>
  <c r="Y211" i="34"/>
  <c r="X211" i="34"/>
  <c r="W211" i="34"/>
  <c r="V211" i="34"/>
  <c r="T211" i="34"/>
  <c r="S211" i="34"/>
  <c r="R211" i="34"/>
  <c r="Q211" i="34"/>
  <c r="P211" i="34"/>
  <c r="O211" i="34"/>
  <c r="N211" i="34"/>
  <c r="M211" i="34"/>
  <c r="K211" i="34"/>
  <c r="J211" i="34"/>
  <c r="I211" i="34"/>
  <c r="H211" i="34"/>
  <c r="G211" i="34"/>
  <c r="F211" i="34"/>
  <c r="E211" i="34"/>
  <c r="AE210" i="34"/>
  <c r="AH210" i="34" s="1"/>
  <c r="AJ210" i="34" s="1"/>
  <c r="AE209" i="34"/>
  <c r="AH209" i="34" s="1"/>
  <c r="AJ209" i="34" s="1"/>
  <c r="AE208" i="34"/>
  <c r="AH208" i="34" s="1"/>
  <c r="AJ208" i="34" s="1"/>
  <c r="AE207" i="34"/>
  <c r="AH207" i="34" s="1"/>
  <c r="AJ207" i="34" s="1"/>
  <c r="AE206" i="34"/>
  <c r="AH206" i="34" s="1"/>
  <c r="AJ206" i="34" s="1"/>
  <c r="AI203" i="34"/>
  <c r="AF203" i="34"/>
  <c r="AC203" i="34"/>
  <c r="AB203" i="34"/>
  <c r="AA203" i="34"/>
  <c r="Z203" i="34"/>
  <c r="Y203" i="34"/>
  <c r="X203" i="34"/>
  <c r="W203" i="34"/>
  <c r="V203" i="34"/>
  <c r="T203" i="34"/>
  <c r="S203" i="34"/>
  <c r="R203" i="34"/>
  <c r="Q203" i="34"/>
  <c r="P203" i="34"/>
  <c r="O203" i="34"/>
  <c r="N203" i="34"/>
  <c r="M203" i="34"/>
  <c r="L203" i="34"/>
  <c r="K203" i="34"/>
  <c r="J203" i="34"/>
  <c r="I203" i="34"/>
  <c r="H203" i="34"/>
  <c r="G203" i="34"/>
  <c r="F203" i="34"/>
  <c r="AE202" i="34"/>
  <c r="AH202" i="34" s="1"/>
  <c r="AJ202" i="34" s="1"/>
  <c r="AE201" i="34"/>
  <c r="AH201" i="34" s="1"/>
  <c r="AJ201" i="34" s="1"/>
  <c r="AE200" i="34"/>
  <c r="AH200" i="34" s="1"/>
  <c r="AJ200" i="34" s="1"/>
  <c r="AE199" i="34"/>
  <c r="AH199" i="34" s="1"/>
  <c r="AJ199" i="34" s="1"/>
  <c r="AE198" i="34"/>
  <c r="AH198" i="34" s="1"/>
  <c r="AJ198" i="34" s="1"/>
  <c r="AE197" i="34"/>
  <c r="AH197" i="34" s="1"/>
  <c r="AI187" i="34"/>
  <c r="AG187" i="34"/>
  <c r="AF187" i="34"/>
  <c r="AC187" i="34"/>
  <c r="AB187" i="34"/>
  <c r="AA187" i="34"/>
  <c r="Z187" i="34"/>
  <c r="Y187" i="34"/>
  <c r="X187" i="34"/>
  <c r="W187" i="34"/>
  <c r="V187" i="34"/>
  <c r="T187" i="34"/>
  <c r="S187" i="34"/>
  <c r="R187" i="34"/>
  <c r="Q187" i="34"/>
  <c r="P187" i="34"/>
  <c r="O187" i="34"/>
  <c r="N187" i="34"/>
  <c r="M187" i="34"/>
  <c r="L187" i="34"/>
  <c r="K187" i="34"/>
  <c r="J187" i="34"/>
  <c r="I187" i="34"/>
  <c r="H187" i="34"/>
  <c r="G187" i="34"/>
  <c r="F187" i="34"/>
  <c r="AE186" i="34"/>
  <c r="AH186" i="34" s="1"/>
  <c r="AJ186" i="34" s="1"/>
  <c r="AE185" i="34"/>
  <c r="AH185" i="34" s="1"/>
  <c r="AJ185" i="34" s="1"/>
  <c r="AE184" i="34"/>
  <c r="AH184" i="34" s="1"/>
  <c r="AJ184" i="34" s="1"/>
  <c r="AE183" i="34"/>
  <c r="AH183" i="34" s="1"/>
  <c r="AJ183" i="34" s="1"/>
  <c r="AE182" i="34"/>
  <c r="AH182" i="34" s="1"/>
  <c r="AI146" i="34"/>
  <c r="AG146" i="34"/>
  <c r="AF146" i="34"/>
  <c r="AD146" i="34"/>
  <c r="AC146" i="34"/>
  <c r="AB146" i="34"/>
  <c r="AA146" i="34"/>
  <c r="Z146" i="34"/>
  <c r="Y146" i="34"/>
  <c r="X146" i="34"/>
  <c r="W146" i="34"/>
  <c r="V146" i="34"/>
  <c r="U146" i="34"/>
  <c r="T146" i="34"/>
  <c r="S146" i="34"/>
  <c r="R146" i="34"/>
  <c r="Q146" i="34"/>
  <c r="P146" i="34"/>
  <c r="O146" i="34"/>
  <c r="N146" i="34"/>
  <c r="M146" i="34"/>
  <c r="L146" i="34"/>
  <c r="K146" i="34"/>
  <c r="J146" i="34"/>
  <c r="I146" i="34"/>
  <c r="H146" i="34"/>
  <c r="G146" i="34"/>
  <c r="F146" i="34"/>
  <c r="E146" i="34"/>
  <c r="AE145" i="34"/>
  <c r="AH145" i="34" s="1"/>
  <c r="AJ145" i="34" s="1"/>
  <c r="AE144" i="34"/>
  <c r="AH144" i="34" s="1"/>
  <c r="AJ144" i="34" s="1"/>
  <c r="AE143" i="34"/>
  <c r="AH143" i="34" s="1"/>
  <c r="AJ143" i="34" s="1"/>
  <c r="AE142" i="34"/>
  <c r="AH142" i="34" s="1"/>
  <c r="AJ142" i="34" s="1"/>
  <c r="AE141" i="34"/>
  <c r="AH141" i="34" s="1"/>
  <c r="AJ141" i="34" s="1"/>
  <c r="AE140" i="34"/>
  <c r="AH140" i="34" s="1"/>
  <c r="AJ140" i="34" s="1"/>
  <c r="AE139" i="34"/>
  <c r="AH139" i="34" s="1"/>
  <c r="AJ139" i="34" s="1"/>
  <c r="AE138" i="34"/>
  <c r="AH138" i="34" s="1"/>
  <c r="AJ138" i="34" s="1"/>
  <c r="AE137" i="34"/>
  <c r="AH137" i="34" s="1"/>
  <c r="AJ137" i="34" s="1"/>
  <c r="AE136" i="34"/>
  <c r="AH136" i="34" s="1"/>
  <c r="AJ136" i="34" s="1"/>
  <c r="AE135" i="34"/>
  <c r="AH135" i="34" s="1"/>
  <c r="AJ135" i="34" s="1"/>
  <c r="AE134" i="34"/>
  <c r="AH134" i="34" s="1"/>
  <c r="AJ134" i="34" s="1"/>
  <c r="AE133" i="34"/>
  <c r="AH133" i="34" s="1"/>
  <c r="AJ133" i="34" s="1"/>
  <c r="AE132" i="34"/>
  <c r="AH132" i="34" s="1"/>
  <c r="AJ132" i="34" s="1"/>
  <c r="AE131" i="34"/>
  <c r="AH131" i="34" s="1"/>
  <c r="AJ131" i="34" s="1"/>
  <c r="AE130" i="34"/>
  <c r="AH130" i="34" s="1"/>
  <c r="AJ130" i="34" s="1"/>
  <c r="AE129" i="34"/>
  <c r="AH129" i="34" s="1"/>
  <c r="AJ129" i="34" s="1"/>
  <c r="AE128" i="34"/>
  <c r="AH128" i="34" s="1"/>
  <c r="AJ128" i="34" s="1"/>
  <c r="AE127" i="34"/>
  <c r="AH127" i="34" s="1"/>
  <c r="AJ127" i="34" s="1"/>
  <c r="AE126" i="34"/>
  <c r="AH126" i="34" s="1"/>
  <c r="AJ126" i="34" s="1"/>
  <c r="AE125" i="34"/>
  <c r="AH125" i="34" s="1"/>
  <c r="AJ125" i="34" s="1"/>
  <c r="AE124" i="34"/>
  <c r="AH124" i="34" s="1"/>
  <c r="AJ124" i="34" s="1"/>
  <c r="AE123" i="34"/>
  <c r="AH123" i="34" s="1"/>
  <c r="AJ123" i="34" s="1"/>
  <c r="AE122" i="34"/>
  <c r="AH122" i="34" s="1"/>
  <c r="AJ122" i="34" s="1"/>
  <c r="AE121" i="34"/>
  <c r="AH121" i="34" s="1"/>
  <c r="AJ121" i="34" s="1"/>
  <c r="AE120" i="34"/>
  <c r="AH120" i="34" s="1"/>
  <c r="AJ120" i="34" s="1"/>
  <c r="AE119" i="34"/>
  <c r="AH119" i="34" s="1"/>
  <c r="AJ119" i="34" s="1"/>
  <c r="AE118" i="34"/>
  <c r="AH118" i="34" s="1"/>
  <c r="AJ118" i="34" s="1"/>
  <c r="AE117" i="34"/>
  <c r="AH117" i="34" s="1"/>
  <c r="AJ117" i="34" s="1"/>
  <c r="AE116" i="34"/>
  <c r="AH116" i="34" s="1"/>
  <c r="AJ116" i="34" s="1"/>
  <c r="AE115" i="34"/>
  <c r="AG113" i="34"/>
  <c r="AF113" i="34"/>
  <c r="AC113" i="34"/>
  <c r="AB113" i="34"/>
  <c r="AA113" i="34"/>
  <c r="Z113" i="34"/>
  <c r="Y113" i="34"/>
  <c r="X113" i="34"/>
  <c r="W113" i="34"/>
  <c r="V113" i="34"/>
  <c r="T113" i="34"/>
  <c r="S113" i="34"/>
  <c r="R113" i="34"/>
  <c r="Q113" i="34"/>
  <c r="P113" i="34"/>
  <c r="O113" i="34"/>
  <c r="N113" i="34"/>
  <c r="L113" i="34"/>
  <c r="K113" i="34"/>
  <c r="J113" i="34"/>
  <c r="I113" i="34"/>
  <c r="H113" i="34"/>
  <c r="G113" i="34"/>
  <c r="F113" i="34"/>
  <c r="AE112" i="34"/>
  <c r="AH112" i="34" s="1"/>
  <c r="AJ112" i="34" s="1"/>
  <c r="AE111" i="34"/>
  <c r="AH111" i="34" s="1"/>
  <c r="AJ111" i="34" s="1"/>
  <c r="AE110" i="34"/>
  <c r="AH110" i="34" s="1"/>
  <c r="AJ110" i="34" s="1"/>
  <c r="AE109" i="34"/>
  <c r="AH109" i="34" s="1"/>
  <c r="AJ109" i="34" s="1"/>
  <c r="AE108" i="34"/>
  <c r="AH108" i="34" s="1"/>
  <c r="AJ108" i="34" s="1"/>
  <c r="AE107" i="34"/>
  <c r="AH107" i="34" s="1"/>
  <c r="AJ107" i="34" s="1"/>
  <c r="AE106" i="34"/>
  <c r="AH106" i="34" s="1"/>
  <c r="AJ106" i="34" s="1"/>
  <c r="AE105" i="34"/>
  <c r="AH105" i="34" s="1"/>
  <c r="AJ105" i="34" s="1"/>
  <c r="AE104" i="34"/>
  <c r="AH104" i="34" s="1"/>
  <c r="AJ104" i="34" s="1"/>
  <c r="AE103" i="34"/>
  <c r="AH103" i="34" s="1"/>
  <c r="AJ103" i="34" s="1"/>
  <c r="AE102" i="34"/>
  <c r="AH102" i="34" s="1"/>
  <c r="AJ102" i="34" s="1"/>
  <c r="AE101" i="34"/>
  <c r="AH101" i="34" s="1"/>
  <c r="AJ101" i="34" s="1"/>
  <c r="AE100" i="34"/>
  <c r="AH100" i="34" s="1"/>
  <c r="AJ100" i="34" s="1"/>
  <c r="AE99" i="34"/>
  <c r="AH99" i="34" s="1"/>
  <c r="AJ99" i="34" s="1"/>
  <c r="AE98" i="34"/>
  <c r="AH98" i="34" s="1"/>
  <c r="AJ98" i="34" s="1"/>
  <c r="AE97" i="34"/>
  <c r="AH97" i="34" s="1"/>
  <c r="AJ97" i="34" s="1"/>
  <c r="AE96" i="34"/>
  <c r="AH96" i="34" s="1"/>
  <c r="AJ96" i="34" s="1"/>
  <c r="AE95" i="34"/>
  <c r="AH95" i="34" s="1"/>
  <c r="AJ95" i="34" s="1"/>
  <c r="AE94" i="34"/>
  <c r="AH94" i="34" s="1"/>
  <c r="AJ94" i="34" s="1"/>
  <c r="AE93" i="34"/>
  <c r="AH93" i="34" s="1"/>
  <c r="AJ93" i="34" s="1"/>
  <c r="AE92" i="34"/>
  <c r="AH92" i="34" s="1"/>
  <c r="AJ92" i="34" s="1"/>
  <c r="AE91" i="34"/>
  <c r="AH91" i="34" s="1"/>
  <c r="AJ91" i="34" s="1"/>
  <c r="AE90" i="34"/>
  <c r="AH90" i="34" s="1"/>
  <c r="AJ90" i="34" s="1"/>
  <c r="AE89" i="34"/>
  <c r="AH89" i="34" s="1"/>
  <c r="AJ89" i="34" s="1"/>
  <c r="AE87" i="34"/>
  <c r="AH87" i="34" s="1"/>
  <c r="AJ87" i="34" s="1"/>
  <c r="AI85" i="34"/>
  <c r="AG85" i="34"/>
  <c r="AF85" i="34"/>
  <c r="AE84" i="34"/>
  <c r="AH84" i="34" s="1"/>
  <c r="AJ84" i="34" s="1"/>
  <c r="AE83" i="34"/>
  <c r="AH83" i="34" s="1"/>
  <c r="AJ83" i="34" s="1"/>
  <c r="AE82" i="34"/>
  <c r="AH82" i="34" s="1"/>
  <c r="AJ82" i="34" s="1"/>
  <c r="AE81" i="34"/>
  <c r="AH81" i="34" s="1"/>
  <c r="AJ81" i="34" s="1"/>
  <c r="AE80" i="34"/>
  <c r="AH80" i="34" s="1"/>
  <c r="AJ80" i="34" s="1"/>
  <c r="AE79" i="34"/>
  <c r="AH79" i="34" s="1"/>
  <c r="AJ79" i="34" s="1"/>
  <c r="AE78" i="34"/>
  <c r="AH78" i="34" s="1"/>
  <c r="AJ78" i="34" s="1"/>
  <c r="AE77" i="34"/>
  <c r="AH77" i="34" s="1"/>
  <c r="AJ77" i="34" s="1"/>
  <c r="AE76" i="34"/>
  <c r="AH76" i="34" s="1"/>
  <c r="AJ76" i="34" s="1"/>
  <c r="AE75" i="34"/>
  <c r="AH75" i="34" s="1"/>
  <c r="AJ75" i="34" s="1"/>
  <c r="AE74" i="34"/>
  <c r="AH74" i="34" s="1"/>
  <c r="AJ74" i="34" s="1"/>
  <c r="AE73" i="34"/>
  <c r="AH73" i="34" s="1"/>
  <c r="AJ73" i="34" s="1"/>
  <c r="AE72" i="34"/>
  <c r="AH72" i="34" s="1"/>
  <c r="AJ72" i="34" s="1"/>
  <c r="AE71" i="34"/>
  <c r="AH71" i="34" s="1"/>
  <c r="AJ71" i="34" s="1"/>
  <c r="AE70" i="34"/>
  <c r="AH70" i="34" s="1"/>
  <c r="AJ70" i="34" s="1"/>
  <c r="AE69" i="34"/>
  <c r="AH69" i="34" s="1"/>
  <c r="AJ69" i="34" s="1"/>
  <c r="AE68" i="34"/>
  <c r="AH68" i="34" s="1"/>
  <c r="AJ68" i="34" s="1"/>
  <c r="AE67" i="34"/>
  <c r="AH67" i="34" s="1"/>
  <c r="AJ67" i="34" s="1"/>
  <c r="AI64" i="34"/>
  <c r="AG64" i="34"/>
  <c r="AF64" i="34"/>
  <c r="AC64" i="34"/>
  <c r="AB64" i="34"/>
  <c r="AA64" i="34"/>
  <c r="Z64" i="34"/>
  <c r="Y64" i="34"/>
  <c r="X64" i="34"/>
  <c r="W64" i="34"/>
  <c r="V64" i="34"/>
  <c r="T64" i="34"/>
  <c r="S64" i="34"/>
  <c r="R64" i="34"/>
  <c r="Q64" i="34"/>
  <c r="P64" i="34"/>
  <c r="O64" i="34"/>
  <c r="N64" i="34"/>
  <c r="M64" i="34"/>
  <c r="K64" i="34"/>
  <c r="J64" i="34"/>
  <c r="I64" i="34"/>
  <c r="H64" i="34"/>
  <c r="G64" i="34"/>
  <c r="F64" i="34"/>
  <c r="E64" i="34"/>
  <c r="AE63" i="34"/>
  <c r="AH63" i="34" s="1"/>
  <c r="AJ63" i="34" s="1"/>
  <c r="AE62" i="34"/>
  <c r="AH62" i="34" s="1"/>
  <c r="AJ62" i="34" s="1"/>
  <c r="AE61" i="34"/>
  <c r="AH61" i="34" s="1"/>
  <c r="AJ61" i="34" s="1"/>
  <c r="AE60" i="34"/>
  <c r="AH60" i="34" s="1"/>
  <c r="AJ60" i="34" s="1"/>
  <c r="AE59" i="34"/>
  <c r="AH59" i="34" s="1"/>
  <c r="AJ59" i="34" s="1"/>
  <c r="AE58" i="34"/>
  <c r="AH58" i="34" s="1"/>
  <c r="AJ58" i="34" s="1"/>
  <c r="AE57" i="34"/>
  <c r="AH57" i="34" s="1"/>
  <c r="AJ57" i="34" s="1"/>
  <c r="AE56" i="34"/>
  <c r="AH56" i="34" s="1"/>
  <c r="AJ56" i="34" s="1"/>
  <c r="AE55" i="34"/>
  <c r="AH55" i="34" s="1"/>
  <c r="AJ55" i="34" s="1"/>
  <c r="AE54" i="34"/>
  <c r="AH54" i="34" s="1"/>
  <c r="AJ54" i="34" s="1"/>
  <c r="AE53" i="34"/>
  <c r="AH53" i="34" s="1"/>
  <c r="AJ53" i="34" s="1"/>
  <c r="AE52" i="34"/>
  <c r="AH52" i="34" s="1"/>
  <c r="AJ52" i="34" s="1"/>
  <c r="AE51" i="34"/>
  <c r="AH51" i="34" s="1"/>
  <c r="AJ51" i="34" s="1"/>
  <c r="AE50" i="34"/>
  <c r="AH50" i="34" s="1"/>
  <c r="AJ50" i="34" s="1"/>
  <c r="AE49" i="34"/>
  <c r="AH49" i="34" s="1"/>
  <c r="AJ49" i="34" s="1"/>
  <c r="AE48" i="34"/>
  <c r="AH48" i="34" s="1"/>
  <c r="AJ48" i="34" s="1"/>
  <c r="AE47" i="34"/>
  <c r="AH47" i="34" s="1"/>
  <c r="AJ47" i="34" s="1"/>
  <c r="AE46" i="34"/>
  <c r="AH46" i="34" s="1"/>
  <c r="AJ46" i="34" s="1"/>
  <c r="AE45" i="34"/>
  <c r="AH45" i="34" s="1"/>
  <c r="AJ45" i="34" s="1"/>
  <c r="AE44" i="34"/>
  <c r="AH44" i="34" s="1"/>
  <c r="AJ44" i="34" s="1"/>
  <c r="AE43" i="34"/>
  <c r="AH43" i="34" s="1"/>
  <c r="AJ43" i="34" s="1"/>
  <c r="AE42" i="34"/>
  <c r="AI39" i="34"/>
  <c r="AG39" i="34"/>
  <c r="AF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R39" i="34"/>
  <c r="Q39" i="34"/>
  <c r="P39" i="34"/>
  <c r="O39" i="34"/>
  <c r="N39" i="34"/>
  <c r="M39" i="34"/>
  <c r="L39" i="34"/>
  <c r="K39" i="34"/>
  <c r="J39" i="34"/>
  <c r="I39" i="34"/>
  <c r="H39" i="34"/>
  <c r="G39" i="34"/>
  <c r="F39" i="34"/>
  <c r="E39" i="34"/>
  <c r="AE38" i="34"/>
  <c r="AH38" i="34" s="1"/>
  <c r="AJ38" i="34" s="1"/>
  <c r="AE37" i="34"/>
  <c r="AH37" i="34" s="1"/>
  <c r="AJ37" i="34" s="1"/>
  <c r="AE36" i="34"/>
  <c r="AH36" i="34" s="1"/>
  <c r="AJ36" i="34" s="1"/>
  <c r="AE35" i="34"/>
  <c r="AH35" i="34" s="1"/>
  <c r="AJ35" i="34" s="1"/>
  <c r="AE34" i="34"/>
  <c r="AH34" i="34" s="1"/>
  <c r="AJ34" i="34" s="1"/>
  <c r="AE33" i="34"/>
  <c r="AH33" i="34" s="1"/>
  <c r="AJ33" i="34" s="1"/>
  <c r="AE32" i="34"/>
  <c r="AH32" i="34" s="1"/>
  <c r="AJ32" i="34" s="1"/>
  <c r="AE31" i="34"/>
  <c r="AH31" i="34" s="1"/>
  <c r="AJ31" i="34" s="1"/>
  <c r="AE30" i="34"/>
  <c r="AH30" i="34" s="1"/>
  <c r="AJ30" i="34" s="1"/>
  <c r="AE29" i="34"/>
  <c r="AH29" i="34" s="1"/>
  <c r="AJ29" i="34" s="1"/>
  <c r="AE28" i="34"/>
  <c r="AH28" i="34" s="1"/>
  <c r="AJ28" i="34" s="1"/>
  <c r="AE27" i="34"/>
  <c r="AH27" i="34" s="1"/>
  <c r="AJ27" i="34" s="1"/>
  <c r="AE26" i="34"/>
  <c r="AH26" i="34" s="1"/>
  <c r="AJ26" i="34" s="1"/>
  <c r="AE25" i="34"/>
  <c r="AH25" i="34" s="1"/>
  <c r="AJ25" i="34" s="1"/>
  <c r="AE24" i="34"/>
  <c r="AH24" i="34" s="1"/>
  <c r="AJ24" i="34" s="1"/>
  <c r="AE23" i="34"/>
  <c r="AH23" i="34" s="1"/>
  <c r="AJ23" i="34" s="1"/>
  <c r="AE22" i="34"/>
  <c r="AH22" i="34" s="1"/>
  <c r="AJ22" i="34" s="1"/>
  <c r="AE21" i="34"/>
  <c r="AH21" i="34" s="1"/>
  <c r="AJ21" i="34" s="1"/>
  <c r="AE20" i="34"/>
  <c r="AH20" i="34" s="1"/>
  <c r="AJ20" i="34" s="1"/>
  <c r="AE19" i="34"/>
  <c r="AH19" i="34" s="1"/>
  <c r="AJ19" i="34" s="1"/>
  <c r="AE18" i="34"/>
  <c r="AH18" i="34" s="1"/>
  <c r="AJ18" i="34" s="1"/>
  <c r="AE17" i="34"/>
  <c r="AH17" i="34" s="1"/>
  <c r="AJ17" i="34" s="1"/>
  <c r="AE16" i="34"/>
  <c r="AH16" i="34" s="1"/>
  <c r="AJ16" i="34" s="1"/>
  <c r="AE15" i="34"/>
  <c r="AH15" i="34" s="1"/>
  <c r="AJ15" i="34" s="1"/>
  <c r="AE14" i="34"/>
  <c r="AH14" i="34" s="1"/>
  <c r="AJ14" i="34" s="1"/>
  <c r="AE13" i="34"/>
  <c r="AH13" i="34" s="1"/>
  <c r="AJ13" i="34" s="1"/>
  <c r="AE12" i="34"/>
  <c r="AH12" i="34" s="1"/>
  <c r="AJ12" i="34" s="1"/>
  <c r="AE11" i="34"/>
  <c r="AH11" i="34" s="1"/>
  <c r="AJ11" i="34" s="1"/>
  <c r="AE10" i="34"/>
  <c r="AH10" i="34" s="1"/>
  <c r="AJ10" i="34" s="1"/>
  <c r="AE9" i="34"/>
  <c r="AH9" i="34" s="1"/>
  <c r="AJ9" i="34" s="1"/>
  <c r="AE8" i="34"/>
  <c r="AH8" i="34" s="1"/>
  <c r="AJ8" i="34" s="1"/>
  <c r="AE7" i="34"/>
  <c r="AH7" i="34" s="1"/>
  <c r="AJ7" i="34" s="1"/>
  <c r="AE6" i="34"/>
  <c r="AH6" i="34" s="1"/>
  <c r="AJ6" i="34" s="1"/>
  <c r="AE5" i="34"/>
  <c r="A4" i="34"/>
  <c r="AI115" i="4"/>
  <c r="C249" i="19" s="1"/>
  <c r="B249" i="19"/>
  <c r="AG213" i="34" l="1"/>
  <c r="D249" i="19"/>
  <c r="E213" i="34"/>
  <c r="E214" i="34" s="1"/>
  <c r="AE300" i="34"/>
  <c r="AE203" i="34"/>
  <c r="AE211" i="34"/>
  <c r="AG214" i="34"/>
  <c r="AH234" i="34"/>
  <c r="AJ234" i="34" s="1"/>
  <c r="AE294" i="34"/>
  <c r="L167" i="19" s="1"/>
  <c r="N167" i="19" s="1"/>
  <c r="AF213" i="34"/>
  <c r="AF214" i="34" s="1"/>
  <c r="AI213" i="34"/>
  <c r="AI214" i="34" s="1"/>
  <c r="AE88" i="34"/>
  <c r="AH88" i="34" s="1"/>
  <c r="AJ88" i="34" s="1"/>
  <c r="AJ113" i="34" s="1"/>
  <c r="AH211" i="34"/>
  <c r="AJ211" i="34"/>
  <c r="I213" i="34"/>
  <c r="I214" i="34" s="1"/>
  <c r="G213" i="34"/>
  <c r="G302" i="34" s="1"/>
  <c r="D358" i="19" s="1"/>
  <c r="K213" i="34"/>
  <c r="K302" i="34" s="1"/>
  <c r="H357" i="19" s="1"/>
  <c r="H358" i="19" s="1"/>
  <c r="O213" i="34"/>
  <c r="O214" i="34" s="1"/>
  <c r="S213" i="34"/>
  <c r="S214" i="34" s="1"/>
  <c r="X213" i="34"/>
  <c r="X214" i="34" s="1"/>
  <c r="H213" i="34"/>
  <c r="H302" i="34" s="1"/>
  <c r="E357" i="19" s="1"/>
  <c r="E358" i="19" s="1"/>
  <c r="P213" i="34"/>
  <c r="P302" i="34" s="1"/>
  <c r="T213" i="34"/>
  <c r="T214" i="34" s="1"/>
  <c r="Y213" i="34"/>
  <c r="Y214" i="34" s="1"/>
  <c r="AC213" i="34"/>
  <c r="AC302" i="34" s="1"/>
  <c r="AA357" i="19" s="1"/>
  <c r="AA358" i="19" s="1"/>
  <c r="Z213" i="34"/>
  <c r="Z302" i="34" s="1"/>
  <c r="X357" i="19" s="1"/>
  <c r="X358" i="19" s="1"/>
  <c r="M213" i="34"/>
  <c r="M302" i="34" s="1"/>
  <c r="K357" i="19" s="1"/>
  <c r="Q213" i="34"/>
  <c r="Q214" i="34" s="1"/>
  <c r="V213" i="34"/>
  <c r="V302" i="34" s="1"/>
  <c r="T357" i="19" s="1"/>
  <c r="F213" i="34"/>
  <c r="F214" i="34" s="1"/>
  <c r="J213" i="34"/>
  <c r="J214" i="34" s="1"/>
  <c r="N213" i="34"/>
  <c r="N214" i="34" s="1"/>
  <c r="R213" i="34"/>
  <c r="R302" i="34" s="1"/>
  <c r="P357" i="19" s="1"/>
  <c r="P358" i="19" s="1"/>
  <c r="W213" i="34"/>
  <c r="W214" i="34" s="1"/>
  <c r="AA213" i="34"/>
  <c r="AA214" i="34" s="1"/>
  <c r="AB213" i="34"/>
  <c r="AB214" i="34" s="1"/>
  <c r="L213" i="34"/>
  <c r="L302" i="34" s="1"/>
  <c r="I357" i="19" s="1"/>
  <c r="I358" i="19" s="1"/>
  <c r="AE146" i="34"/>
  <c r="AE179" i="34"/>
  <c r="AE64" i="34"/>
  <c r="AH149" i="34"/>
  <c r="AJ149" i="34" s="1"/>
  <c r="AJ179" i="34" s="1"/>
  <c r="AE85" i="34"/>
  <c r="AH5" i="34"/>
  <c r="AE39" i="34"/>
  <c r="AE4" i="34"/>
  <c r="W167" i="19" s="1"/>
  <c r="AJ85" i="34"/>
  <c r="AH187" i="34"/>
  <c r="AJ182" i="34"/>
  <c r="AJ187" i="34" s="1"/>
  <c r="AH42" i="34"/>
  <c r="AH115" i="34"/>
  <c r="AJ197" i="34"/>
  <c r="AJ203" i="34" s="1"/>
  <c r="AH203" i="34"/>
  <c r="AH85" i="34"/>
  <c r="AE187" i="34"/>
  <c r="AH218" i="34"/>
  <c r="AJ298" i="34"/>
  <c r="AH299" i="34"/>
  <c r="AJ299" i="34" s="1"/>
  <c r="AH113" i="34" l="1"/>
  <c r="P214" i="34"/>
  <c r="AE113" i="34"/>
  <c r="AE213" i="34" s="1"/>
  <c r="T358" i="19"/>
  <c r="K358" i="19"/>
  <c r="Z214" i="34"/>
  <c r="AJ300" i="34"/>
  <c r="AF302" i="34"/>
  <c r="AC311" i="34" s="1"/>
  <c r="AC214" i="34"/>
  <c r="R303" i="34"/>
  <c r="Z303" i="34"/>
  <c r="P303" i="34"/>
  <c r="AC303" i="34"/>
  <c r="L303" i="34"/>
  <c r="K303" i="34"/>
  <c r="F302" i="34"/>
  <c r="C357" i="19" s="1"/>
  <c r="C358" i="19" s="1"/>
  <c r="H303" i="34"/>
  <c r="AI302" i="34"/>
  <c r="AI303" i="34" s="1"/>
  <c r="X302" i="34"/>
  <c r="V357" i="19" s="1"/>
  <c r="V358" i="19" s="1"/>
  <c r="O302" i="34"/>
  <c r="M357" i="19" s="1"/>
  <c r="M358" i="19" s="1"/>
  <c r="AE295" i="34"/>
  <c r="G303" i="34"/>
  <c r="G214" i="34"/>
  <c r="Y302" i="34"/>
  <c r="W357" i="19" s="1"/>
  <c r="W358" i="19" s="1"/>
  <c r="K214" i="34"/>
  <c r="T302" i="34"/>
  <c r="R357" i="19" s="1"/>
  <c r="R358" i="19" s="1"/>
  <c r="V214" i="34"/>
  <c r="N302" i="34"/>
  <c r="L357" i="19" s="1"/>
  <c r="L358" i="19" s="1"/>
  <c r="Q302" i="34"/>
  <c r="W302" i="34"/>
  <c r="U357" i="19" s="1"/>
  <c r="U358" i="19" s="1"/>
  <c r="J302" i="34"/>
  <c r="G357" i="19" s="1"/>
  <c r="G358" i="19" s="1"/>
  <c r="AB302" i="34"/>
  <c r="Z357" i="19" s="1"/>
  <c r="Z358" i="19" s="1"/>
  <c r="S302" i="34"/>
  <c r="Q357" i="19" s="1"/>
  <c r="Q358" i="19" s="1"/>
  <c r="AA302" i="34"/>
  <c r="Y357" i="19" s="1"/>
  <c r="Y358" i="19" s="1"/>
  <c r="H214" i="34"/>
  <c r="M214" i="34"/>
  <c r="I302" i="34"/>
  <c r="F357" i="19" s="1"/>
  <c r="R214" i="34"/>
  <c r="L214" i="34"/>
  <c r="E302" i="34"/>
  <c r="B357" i="19" s="1"/>
  <c r="AH179" i="34"/>
  <c r="AH294" i="34"/>
  <c r="AH295" i="34" s="1"/>
  <c r="AJ218" i="34"/>
  <c r="AJ294" i="34" s="1"/>
  <c r="AJ295" i="34" s="1"/>
  <c r="AH64" i="34"/>
  <c r="AJ42" i="34"/>
  <c r="AJ64" i="34" s="1"/>
  <c r="M303" i="34"/>
  <c r="AH39" i="34"/>
  <c r="AJ5" i="34"/>
  <c r="AJ39" i="34" s="1"/>
  <c r="V303" i="34"/>
  <c r="AH300" i="34"/>
  <c r="AH146" i="34"/>
  <c r="AJ115" i="34"/>
  <c r="AJ146" i="34" s="1"/>
  <c r="AH4" i="34"/>
  <c r="I123" i="33"/>
  <c r="B296" i="19" s="1"/>
  <c r="E142" i="30"/>
  <c r="AI114" i="30"/>
  <c r="AG114" i="30"/>
  <c r="AF114" i="30"/>
  <c r="AD114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K114" i="30"/>
  <c r="J114" i="30"/>
  <c r="I114" i="30"/>
  <c r="H114" i="30"/>
  <c r="G114" i="30"/>
  <c r="F114" i="30"/>
  <c r="E114" i="30"/>
  <c r="AE113" i="30"/>
  <c r="AH113" i="30" s="1"/>
  <c r="AJ113" i="30" s="1"/>
  <c r="AE112" i="30"/>
  <c r="AH112" i="30" s="1"/>
  <c r="AJ112" i="30" s="1"/>
  <c r="AE111" i="30"/>
  <c r="AH111" i="30" s="1"/>
  <c r="AJ111" i="30" s="1"/>
  <c r="AE110" i="30"/>
  <c r="AH110" i="30" s="1"/>
  <c r="AJ110" i="30" s="1"/>
  <c r="AE109" i="30"/>
  <c r="AH109" i="30" s="1"/>
  <c r="AJ109" i="30" s="1"/>
  <c r="AE108" i="30"/>
  <c r="AH108" i="30" s="1"/>
  <c r="AJ108" i="30" s="1"/>
  <c r="AE107" i="30"/>
  <c r="AH107" i="30" s="1"/>
  <c r="AJ107" i="30" s="1"/>
  <c r="AE106" i="30"/>
  <c r="AH106" i="30" s="1"/>
  <c r="AJ106" i="30" s="1"/>
  <c r="AE105" i="30"/>
  <c r="AH105" i="30" s="1"/>
  <c r="AJ105" i="30" s="1"/>
  <c r="AE104" i="30"/>
  <c r="AH104" i="30" s="1"/>
  <c r="AJ104" i="30" s="1"/>
  <c r="AE103" i="30"/>
  <c r="AH103" i="30" s="1"/>
  <c r="AJ103" i="30" s="1"/>
  <c r="AE102" i="30"/>
  <c r="AH102" i="30" s="1"/>
  <c r="AJ102" i="30" s="1"/>
  <c r="AE101" i="30"/>
  <c r="AH101" i="30" s="1"/>
  <c r="AJ101" i="30" s="1"/>
  <c r="AE100" i="30"/>
  <c r="AH100" i="30" s="1"/>
  <c r="AJ100" i="30" s="1"/>
  <c r="AE99" i="30"/>
  <c r="AH99" i="30" s="1"/>
  <c r="AJ99" i="30" s="1"/>
  <c r="AE98" i="30"/>
  <c r="AH98" i="30" s="1"/>
  <c r="AJ98" i="30" s="1"/>
  <c r="AE97" i="30"/>
  <c r="AH97" i="30" s="1"/>
  <c r="AJ97" i="30" s="1"/>
  <c r="AE96" i="30"/>
  <c r="AH96" i="30" s="1"/>
  <c r="AJ96" i="30" s="1"/>
  <c r="AE95" i="30"/>
  <c r="AH95" i="30" s="1"/>
  <c r="D7" i="33"/>
  <c r="AJ123" i="33"/>
  <c r="C296" i="19" s="1"/>
  <c r="D17" i="3"/>
  <c r="N358" i="19" l="1"/>
  <c r="O357" i="19"/>
  <c r="O358" i="19" s="1"/>
  <c r="M360" i="19" s="1"/>
  <c r="AB357" i="19"/>
  <c r="M212" i="19" s="1"/>
  <c r="B359" i="19"/>
  <c r="M359" i="19"/>
  <c r="B358" i="19"/>
  <c r="T359" i="19"/>
  <c r="T363" i="19"/>
  <c r="F358" i="19"/>
  <c r="X303" i="34"/>
  <c r="F303" i="34"/>
  <c r="AF303" i="34"/>
  <c r="S303" i="34"/>
  <c r="N303" i="34"/>
  <c r="Y303" i="34"/>
  <c r="AA303" i="34"/>
  <c r="T303" i="34"/>
  <c r="Q303" i="34"/>
  <c r="J303" i="34"/>
  <c r="I303" i="34"/>
  <c r="O303" i="34"/>
  <c r="W303" i="34"/>
  <c r="AB303" i="34"/>
  <c r="E303" i="34"/>
  <c r="V305" i="34"/>
  <c r="M305" i="34"/>
  <c r="E305" i="34"/>
  <c r="AH213" i="34"/>
  <c r="AJ4" i="34"/>
  <c r="AJ213" i="34" s="1"/>
  <c r="AE302" i="34"/>
  <c r="AE214" i="34"/>
  <c r="AJ95" i="30"/>
  <c r="AJ114" i="30" s="1"/>
  <c r="AH114" i="30"/>
  <c r="AE114" i="30"/>
  <c r="AB358" i="19" l="1"/>
  <c r="B360" i="19"/>
  <c r="V304" i="34"/>
  <c r="M304" i="34"/>
  <c r="E304" i="34"/>
  <c r="AC309" i="34"/>
  <c r="AE303" i="34"/>
  <c r="AH214" i="34"/>
  <c r="AH302" i="34"/>
  <c r="AH303" i="34" s="1"/>
  <c r="AJ214" i="34"/>
  <c r="AJ302" i="34"/>
  <c r="AJ303" i="34" s="1"/>
  <c r="G214" i="6" l="1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Z214" i="6"/>
  <c r="BA214" i="6"/>
  <c r="BB214" i="6"/>
  <c r="BC214" i="6"/>
  <c r="BD214" i="6"/>
  <c r="BE214" i="6"/>
  <c r="BF214" i="6"/>
  <c r="BG214" i="6"/>
  <c r="BH214" i="6"/>
  <c r="BI214" i="6"/>
  <c r="BJ214" i="6"/>
  <c r="BK214" i="6"/>
  <c r="BL214" i="6"/>
  <c r="BM214" i="6"/>
  <c r="BN214" i="6"/>
  <c r="BO214" i="6"/>
  <c r="BP214" i="6"/>
  <c r="BQ214" i="6"/>
  <c r="BR214" i="6"/>
  <c r="BS214" i="6"/>
  <c r="BT214" i="6"/>
  <c r="BU214" i="6"/>
  <c r="BV214" i="6"/>
  <c r="BW214" i="6"/>
  <c r="BX214" i="6"/>
  <c r="BY214" i="6"/>
  <c r="BZ214" i="6"/>
  <c r="CA214" i="6"/>
  <c r="CB214" i="6"/>
  <c r="CC214" i="6"/>
  <c r="CD214" i="6"/>
  <c r="CE214" i="6"/>
  <c r="CF214" i="6"/>
  <c r="CG214" i="6"/>
  <c r="CH214" i="6"/>
  <c r="F214" i="6"/>
  <c r="AG180" i="6"/>
  <c r="BA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Z146" i="6"/>
  <c r="BB146" i="6"/>
  <c r="BC146" i="6"/>
  <c r="BD146" i="6"/>
  <c r="BE146" i="6"/>
  <c r="BF146" i="6"/>
  <c r="BG146" i="6"/>
  <c r="BH146" i="6"/>
  <c r="BI146" i="6"/>
  <c r="BJ146" i="6"/>
  <c r="BK146" i="6"/>
  <c r="BL146" i="6"/>
  <c r="BM146" i="6"/>
  <c r="BN146" i="6"/>
  <c r="BO146" i="6"/>
  <c r="BP146" i="6"/>
  <c r="BQ146" i="6"/>
  <c r="BR146" i="6"/>
  <c r="BS146" i="6"/>
  <c r="BT146" i="6"/>
  <c r="BU146" i="6"/>
  <c r="BV146" i="6"/>
  <c r="BW146" i="6"/>
  <c r="BX146" i="6"/>
  <c r="BY146" i="6"/>
  <c r="BZ146" i="6"/>
  <c r="CA146" i="6"/>
  <c r="CB146" i="6"/>
  <c r="CC146" i="6"/>
  <c r="CD146" i="6"/>
  <c r="CE146" i="6"/>
  <c r="CF146" i="6"/>
  <c r="CG146" i="6"/>
  <c r="CH146" i="6"/>
  <c r="CK146" i="6"/>
  <c r="F146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BH112" i="6"/>
  <c r="BI112" i="6"/>
  <c r="BJ112" i="6"/>
  <c r="BK112" i="6"/>
  <c r="BL112" i="6"/>
  <c r="BM112" i="6"/>
  <c r="BN112" i="6"/>
  <c r="BO112" i="6"/>
  <c r="BP112" i="6"/>
  <c r="BQ112" i="6"/>
  <c r="BR112" i="6"/>
  <c r="BS112" i="6"/>
  <c r="BT112" i="6"/>
  <c r="BU112" i="6"/>
  <c r="BV112" i="6"/>
  <c r="BW112" i="6"/>
  <c r="BX112" i="6"/>
  <c r="BY112" i="6"/>
  <c r="BZ112" i="6"/>
  <c r="CA112" i="6"/>
  <c r="CB112" i="6"/>
  <c r="CC112" i="6"/>
  <c r="CD112" i="6"/>
  <c r="CE112" i="6"/>
  <c r="CF112" i="6"/>
  <c r="CG112" i="6"/>
  <c r="F112" i="6"/>
  <c r="BZ77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CE36" i="6"/>
  <c r="CF36" i="6"/>
  <c r="CG36" i="6"/>
  <c r="CH36" i="6"/>
  <c r="CJ36" i="6"/>
  <c r="CK36" i="6"/>
  <c r="CM36" i="6"/>
  <c r="BH36" i="6"/>
  <c r="AQ36" i="6"/>
  <c r="AR36" i="6"/>
  <c r="AS36" i="6"/>
  <c r="AT36" i="6"/>
  <c r="AU36" i="6"/>
  <c r="AV36" i="6"/>
  <c r="AW36" i="6"/>
  <c r="AP36" i="6"/>
  <c r="AH36" i="6"/>
  <c r="AI36" i="6"/>
  <c r="AJ36" i="6"/>
  <c r="AK36" i="6"/>
  <c r="AL36" i="6"/>
  <c r="AM36" i="6"/>
  <c r="AN36" i="6"/>
  <c r="AG36" i="6"/>
  <c r="Y36" i="6"/>
  <c r="Z36" i="6"/>
  <c r="AA36" i="6"/>
  <c r="AB36" i="6"/>
  <c r="AC36" i="6"/>
  <c r="AD36" i="6"/>
  <c r="AE36" i="6"/>
  <c r="X36" i="6"/>
  <c r="P36" i="6"/>
  <c r="Q36" i="6"/>
  <c r="R36" i="6"/>
  <c r="S36" i="6"/>
  <c r="T36" i="6"/>
  <c r="U36" i="6"/>
  <c r="V36" i="6"/>
  <c r="O36" i="6"/>
  <c r="G36" i="6"/>
  <c r="H36" i="6"/>
  <c r="I36" i="6"/>
  <c r="J36" i="6"/>
  <c r="K36" i="6"/>
  <c r="L36" i="6"/>
  <c r="M36" i="6"/>
  <c r="F36" i="6"/>
  <c r="D105" i="4" l="1"/>
  <c r="E277" i="10" l="1"/>
  <c r="U275" i="10"/>
  <c r="X275" i="10" s="1"/>
  <c r="Z275" i="10" s="1"/>
  <c r="U274" i="10"/>
  <c r="X274" i="10" s="1"/>
  <c r="Z274" i="10" s="1"/>
  <c r="U273" i="10"/>
  <c r="X273" i="10" s="1"/>
  <c r="Z273" i="10" s="1"/>
  <c r="AF314" i="29"/>
  <c r="AI314" i="29" s="1"/>
  <c r="AK314" i="29" s="1"/>
  <c r="AF313" i="29"/>
  <c r="AI313" i="29" s="1"/>
  <c r="AK313" i="29" s="1"/>
  <c r="AF312" i="29"/>
  <c r="AI312" i="29" s="1"/>
  <c r="AK312" i="29" s="1"/>
  <c r="AF324" i="29"/>
  <c r="AI324" i="29" s="1"/>
  <c r="AK323" i="29" s="1"/>
  <c r="AF317" i="29"/>
  <c r="AI317" i="29" s="1"/>
  <c r="AK317" i="29" s="1"/>
  <c r="AF316" i="29"/>
  <c r="AI316" i="29" s="1"/>
  <c r="AK316" i="29" s="1"/>
  <c r="AF310" i="29" l="1"/>
  <c r="AI310" i="29" s="1"/>
  <c r="AK310" i="29" s="1"/>
  <c r="AF311" i="29"/>
  <c r="AI311" i="29" s="1"/>
  <c r="AK311" i="29" s="1"/>
  <c r="AF315" i="29"/>
  <c r="AI315" i="29" s="1"/>
  <c r="AK315" i="29" s="1"/>
  <c r="D15" i="33" l="1"/>
  <c r="BA350" i="6" l="1"/>
  <c r="D11" i="33" l="1"/>
  <c r="CJ350" i="6"/>
  <c r="M160" i="19" s="1"/>
  <c r="CK350" i="6"/>
  <c r="CM350" i="6"/>
  <c r="BI350" i="6"/>
  <c r="BJ350" i="6"/>
  <c r="BK350" i="6"/>
  <c r="BL350" i="6"/>
  <c r="BM350" i="6"/>
  <c r="BN350" i="6"/>
  <c r="BO350" i="6"/>
  <c r="BH350" i="6"/>
  <c r="AZ350" i="6"/>
  <c r="BB350" i="6"/>
  <c r="BC350" i="6"/>
  <c r="BD350" i="6"/>
  <c r="BE350" i="6"/>
  <c r="BF350" i="6"/>
  <c r="AY350" i="6"/>
  <c r="AQ350" i="6"/>
  <c r="AR350" i="6"/>
  <c r="AS350" i="6"/>
  <c r="AT350" i="6"/>
  <c r="AU350" i="6"/>
  <c r="AV350" i="6"/>
  <c r="AW350" i="6"/>
  <c r="AP350" i="6"/>
  <c r="AH350" i="6"/>
  <c r="AI350" i="6"/>
  <c r="AJ350" i="6"/>
  <c r="AK350" i="6"/>
  <c r="AL350" i="6"/>
  <c r="AM350" i="6"/>
  <c r="AN350" i="6"/>
  <c r="AG350" i="6"/>
  <c r="Y350" i="6"/>
  <c r="Z350" i="6"/>
  <c r="AA350" i="6"/>
  <c r="AB350" i="6"/>
  <c r="AC350" i="6"/>
  <c r="AD350" i="6"/>
  <c r="AE350" i="6"/>
  <c r="X350" i="6"/>
  <c r="P350" i="6"/>
  <c r="Q350" i="6"/>
  <c r="R350" i="6"/>
  <c r="S350" i="6"/>
  <c r="T350" i="6"/>
  <c r="U350" i="6"/>
  <c r="V350" i="6"/>
  <c r="O350" i="6"/>
  <c r="G350" i="6"/>
  <c r="H350" i="6"/>
  <c r="I350" i="6"/>
  <c r="J350" i="6"/>
  <c r="K350" i="6"/>
  <c r="L350" i="6"/>
  <c r="M350" i="6"/>
  <c r="F350" i="6"/>
  <c r="F123" i="33" l="1"/>
  <c r="B293" i="19" s="1"/>
  <c r="CM356" i="6"/>
  <c r="CJ356" i="6"/>
  <c r="CG356" i="6"/>
  <c r="CF356" i="6"/>
  <c r="CE356" i="6"/>
  <c r="CD356" i="6"/>
  <c r="CC356" i="6"/>
  <c r="CB356" i="6"/>
  <c r="CA356" i="6"/>
  <c r="BZ356" i="6"/>
  <c r="BX356" i="6"/>
  <c r="BW356" i="6"/>
  <c r="BV356" i="6"/>
  <c r="BU356" i="6"/>
  <c r="BT356" i="6"/>
  <c r="BS356" i="6"/>
  <c r="BR356" i="6"/>
  <c r="BQ356" i="6"/>
  <c r="BO356" i="6"/>
  <c r="BN356" i="6"/>
  <c r="BM356" i="6"/>
  <c r="BL356" i="6"/>
  <c r="BK356" i="6"/>
  <c r="BJ356" i="6"/>
  <c r="BH356" i="6"/>
  <c r="BF356" i="6"/>
  <c r="BE356" i="6"/>
  <c r="BD356" i="6"/>
  <c r="BC356" i="6"/>
  <c r="BB356" i="6"/>
  <c r="BA356" i="6"/>
  <c r="AZ356" i="6"/>
  <c r="AY356" i="6"/>
  <c r="AW356" i="6"/>
  <c r="AV356" i="6"/>
  <c r="AU356" i="6"/>
  <c r="AT356" i="6"/>
  <c r="AS356" i="6"/>
  <c r="AR356" i="6"/>
  <c r="AQ356" i="6"/>
  <c r="AP356" i="6"/>
  <c r="AN356" i="6"/>
  <c r="AM356" i="6"/>
  <c r="AL356" i="6"/>
  <c r="AK356" i="6"/>
  <c r="AJ356" i="6"/>
  <c r="AI356" i="6"/>
  <c r="AH356" i="6"/>
  <c r="AG356" i="6"/>
  <c r="AE356" i="6"/>
  <c r="AD356" i="6"/>
  <c r="AC356" i="6"/>
  <c r="AB356" i="6"/>
  <c r="AA356" i="6"/>
  <c r="Z356" i="6"/>
  <c r="Y356" i="6"/>
  <c r="X356" i="6"/>
  <c r="V356" i="6"/>
  <c r="U356" i="6"/>
  <c r="T356" i="6"/>
  <c r="S356" i="6"/>
  <c r="R356" i="6"/>
  <c r="Q356" i="6"/>
  <c r="P356" i="6"/>
  <c r="O356" i="6"/>
  <c r="M356" i="6"/>
  <c r="L356" i="6"/>
  <c r="K356" i="6"/>
  <c r="J356" i="6"/>
  <c r="I356" i="6"/>
  <c r="H356" i="6"/>
  <c r="G356" i="6"/>
  <c r="F356" i="6"/>
  <c r="CI355" i="6"/>
  <c r="CL355" i="6" s="1"/>
  <c r="CN355" i="6" s="1"/>
  <c r="CI354" i="6"/>
  <c r="CL354" i="6" s="1"/>
  <c r="CM351" i="6"/>
  <c r="CK351" i="6"/>
  <c r="CH350" i="6"/>
  <c r="CH351" i="6" s="1"/>
  <c r="CG350" i="6"/>
  <c r="CG351" i="6" s="1"/>
  <c r="CF350" i="6"/>
  <c r="CF351" i="6" s="1"/>
  <c r="CE350" i="6"/>
  <c r="CE351" i="6" s="1"/>
  <c r="CD350" i="6"/>
  <c r="CD351" i="6" s="1"/>
  <c r="CC350" i="6"/>
  <c r="CC351" i="6" s="1"/>
  <c r="CB350" i="6"/>
  <c r="CB351" i="6" s="1"/>
  <c r="CA350" i="6"/>
  <c r="CA351" i="6" s="1"/>
  <c r="BY350" i="6"/>
  <c r="BY351" i="6" s="1"/>
  <c r="BX350" i="6"/>
  <c r="BX351" i="6" s="1"/>
  <c r="BW350" i="6"/>
  <c r="BW351" i="6" s="1"/>
  <c r="BV350" i="6"/>
  <c r="BV351" i="6" s="1"/>
  <c r="BU350" i="6"/>
  <c r="BU351" i="6" s="1"/>
  <c r="BT350" i="6"/>
  <c r="BT351" i="6" s="1"/>
  <c r="BS350" i="6"/>
  <c r="BS351" i="6" s="1"/>
  <c r="BR350" i="6"/>
  <c r="BR351" i="6" s="1"/>
  <c r="BQ350" i="6"/>
  <c r="BP350" i="6"/>
  <c r="BP351" i="6" s="1"/>
  <c r="BO351" i="6"/>
  <c r="BN351" i="6"/>
  <c r="BM351" i="6"/>
  <c r="BL351" i="6"/>
  <c r="BJ351" i="6"/>
  <c r="BI351" i="6"/>
  <c r="BH351" i="6"/>
  <c r="BG350" i="6"/>
  <c r="BG351" i="6" s="1"/>
  <c r="BE351" i="6"/>
  <c r="BC351" i="6"/>
  <c r="BB351" i="6"/>
  <c r="AZ351" i="6"/>
  <c r="AY351" i="6"/>
  <c r="AX350" i="6"/>
  <c r="AW351" i="6"/>
  <c r="AV351" i="6"/>
  <c r="AU351" i="6"/>
  <c r="AT351" i="6"/>
  <c r="AS351" i="6"/>
  <c r="AR351" i="6"/>
  <c r="AQ351" i="6"/>
  <c r="AP351" i="6"/>
  <c r="AO350" i="6"/>
  <c r="AO351" i="6" s="1"/>
  <c r="AN351" i="6"/>
  <c r="AL351" i="6"/>
  <c r="AK351" i="6"/>
  <c r="AJ351" i="6"/>
  <c r="AH351" i="6"/>
  <c r="AG351" i="6"/>
  <c r="AF350" i="6"/>
  <c r="AF351" i="6" s="1"/>
  <c r="AE351" i="6"/>
  <c r="AD351" i="6"/>
  <c r="AC351" i="6"/>
  <c r="AB351" i="6"/>
  <c r="AA351" i="6"/>
  <c r="Z351" i="6"/>
  <c r="Y351" i="6"/>
  <c r="X351" i="6"/>
  <c r="W350" i="6"/>
  <c r="V351" i="6"/>
  <c r="U351" i="6"/>
  <c r="T351" i="6"/>
  <c r="S351" i="6"/>
  <c r="R351" i="6"/>
  <c r="Q351" i="6"/>
  <c r="P351" i="6"/>
  <c r="O351" i="6"/>
  <c r="N350" i="6"/>
  <c r="N351" i="6" s="1"/>
  <c r="M351" i="6"/>
  <c r="L351" i="6"/>
  <c r="K351" i="6"/>
  <c r="J351" i="6"/>
  <c r="H351" i="6"/>
  <c r="G351" i="6"/>
  <c r="CI349" i="6"/>
  <c r="CL349" i="6" s="1"/>
  <c r="CN349" i="6" s="1"/>
  <c r="CI348" i="6"/>
  <c r="CL348" i="6" s="1"/>
  <c r="CN348" i="6" s="1"/>
  <c r="CI347" i="6"/>
  <c r="CL347" i="6" s="1"/>
  <c r="CN347" i="6" s="1"/>
  <c r="CI346" i="6"/>
  <c r="CL346" i="6" s="1"/>
  <c r="CN346" i="6" s="1"/>
  <c r="CI345" i="6"/>
  <c r="CL345" i="6" s="1"/>
  <c r="CN345" i="6" s="1"/>
  <c r="CI344" i="6"/>
  <c r="CL344" i="6" s="1"/>
  <c r="CN344" i="6" s="1"/>
  <c r="CI343" i="6"/>
  <c r="CL343" i="6" s="1"/>
  <c r="CN343" i="6" s="1"/>
  <c r="CI342" i="6"/>
  <c r="CL342" i="6" s="1"/>
  <c r="CN342" i="6" s="1"/>
  <c r="CI341" i="6"/>
  <c r="CL341" i="6" s="1"/>
  <c r="CN341" i="6" s="1"/>
  <c r="CI340" i="6"/>
  <c r="CL340" i="6" s="1"/>
  <c r="CN340" i="6" s="1"/>
  <c r="CI339" i="6"/>
  <c r="CL339" i="6" s="1"/>
  <c r="CN339" i="6" s="1"/>
  <c r="CI338" i="6"/>
  <c r="CL338" i="6" s="1"/>
  <c r="CN338" i="6" s="1"/>
  <c r="CI337" i="6"/>
  <c r="CL337" i="6" s="1"/>
  <c r="CN337" i="6" s="1"/>
  <c r="CI336" i="6"/>
  <c r="CL336" i="6" s="1"/>
  <c r="CN336" i="6" s="1"/>
  <c r="CI335" i="6"/>
  <c r="CL335" i="6" s="1"/>
  <c r="CN335" i="6" s="1"/>
  <c r="CI334" i="6"/>
  <c r="CL334" i="6" s="1"/>
  <c r="CN334" i="6" s="1"/>
  <c r="CI333" i="6"/>
  <c r="CL333" i="6" s="1"/>
  <c r="CN333" i="6" s="1"/>
  <c r="CI332" i="6"/>
  <c r="CL332" i="6" s="1"/>
  <c r="CN332" i="6" s="1"/>
  <c r="CI331" i="6"/>
  <c r="CL331" i="6" s="1"/>
  <c r="CN331" i="6" s="1"/>
  <c r="CI330" i="6"/>
  <c r="CL330" i="6" s="1"/>
  <c r="CN330" i="6" s="1"/>
  <c r="CI329" i="6"/>
  <c r="CI328" i="6"/>
  <c r="CL328" i="6" s="1"/>
  <c r="CN328" i="6" s="1"/>
  <c r="CI327" i="6"/>
  <c r="CL327" i="6" s="1"/>
  <c r="CN327" i="6" s="1"/>
  <c r="CI326" i="6"/>
  <c r="CL326" i="6" s="1"/>
  <c r="CN326" i="6" s="1"/>
  <c r="CI325" i="6"/>
  <c r="U258" i="42" s="1"/>
  <c r="CI324" i="6"/>
  <c r="CL324" i="6" s="1"/>
  <c r="CN324" i="6" s="1"/>
  <c r="BK351" i="6"/>
  <c r="CI323" i="6"/>
  <c r="CL323" i="6" s="1"/>
  <c r="CN323" i="6" s="1"/>
  <c r="CI322" i="6"/>
  <c r="CL322" i="6" s="1"/>
  <c r="CN322" i="6" s="1"/>
  <c r="CI320" i="6"/>
  <c r="CL320" i="6" s="1"/>
  <c r="CN320" i="6" s="1"/>
  <c r="CI319" i="6"/>
  <c r="CL319" i="6" s="1"/>
  <c r="CN319" i="6" s="1"/>
  <c r="CI318" i="6"/>
  <c r="CL318" i="6" s="1"/>
  <c r="CN318" i="6" s="1"/>
  <c r="CI317" i="6"/>
  <c r="CL317" i="6" s="1"/>
  <c r="CN317" i="6" s="1"/>
  <c r="CI316" i="6"/>
  <c r="CL316" i="6" s="1"/>
  <c r="CN316" i="6" s="1"/>
  <c r="CI315" i="6"/>
  <c r="CL315" i="6" s="1"/>
  <c r="CN315" i="6" s="1"/>
  <c r="CI314" i="6"/>
  <c r="CL314" i="6" s="1"/>
  <c r="CN314" i="6" s="1"/>
  <c r="CI313" i="6"/>
  <c r="CL313" i="6" s="1"/>
  <c r="CN313" i="6" s="1"/>
  <c r="CI312" i="6"/>
  <c r="CL312" i="6" s="1"/>
  <c r="CN312" i="6" s="1"/>
  <c r="CI311" i="6"/>
  <c r="CL311" i="6" s="1"/>
  <c r="CN311" i="6" s="1"/>
  <c r="CI310" i="6"/>
  <c r="CL310" i="6" s="1"/>
  <c r="CN310" i="6" s="1"/>
  <c r="CJ351" i="6"/>
  <c r="CI309" i="6"/>
  <c r="CL309" i="6" s="1"/>
  <c r="CN309" i="6" s="1"/>
  <c r="CI308" i="6"/>
  <c r="CL308" i="6" s="1"/>
  <c r="CN308" i="6" s="1"/>
  <c r="CI307" i="6"/>
  <c r="CL307" i="6" s="1"/>
  <c r="CN307" i="6" s="1"/>
  <c r="CI306" i="6"/>
  <c r="CL306" i="6" s="1"/>
  <c r="CN306" i="6" s="1"/>
  <c r="CI305" i="6"/>
  <c r="CL305" i="6" s="1"/>
  <c r="CN305" i="6" s="1"/>
  <c r="CI304" i="6"/>
  <c r="CL304" i="6" s="1"/>
  <c r="CN304" i="6" s="1"/>
  <c r="CI303" i="6"/>
  <c r="CL303" i="6" s="1"/>
  <c r="CN303" i="6" s="1"/>
  <c r="CI302" i="6"/>
  <c r="CL302" i="6" s="1"/>
  <c r="CN302" i="6" s="1"/>
  <c r="CI301" i="6"/>
  <c r="CL301" i="6" s="1"/>
  <c r="CN301" i="6" s="1"/>
  <c r="CI300" i="6"/>
  <c r="CL300" i="6" s="1"/>
  <c r="CN300" i="6" s="1"/>
  <c r="CI299" i="6"/>
  <c r="CL299" i="6" s="1"/>
  <c r="CN299" i="6" s="1"/>
  <c r="CI298" i="6"/>
  <c r="CL298" i="6" s="1"/>
  <c r="CN298" i="6" s="1"/>
  <c r="CI297" i="6"/>
  <c r="CL297" i="6" s="1"/>
  <c r="CN297" i="6" s="1"/>
  <c r="CI296" i="6"/>
  <c r="CL296" i="6" s="1"/>
  <c r="CN296" i="6" s="1"/>
  <c r="CI295" i="6"/>
  <c r="CL295" i="6" s="1"/>
  <c r="CN295" i="6" s="1"/>
  <c r="CI294" i="6"/>
  <c r="CL294" i="6" s="1"/>
  <c r="CN294" i="6" s="1"/>
  <c r="AI351" i="6"/>
  <c r="CI293" i="6"/>
  <c r="CL293" i="6" s="1"/>
  <c r="CN293" i="6" s="1"/>
  <c r="CI292" i="6"/>
  <c r="CL292" i="6" s="1"/>
  <c r="CN292" i="6" s="1"/>
  <c r="CI291" i="6"/>
  <c r="CL291" i="6" s="1"/>
  <c r="CN291" i="6" s="1"/>
  <c r="CI290" i="6"/>
  <c r="CL290" i="6" s="1"/>
  <c r="CN290" i="6" s="1"/>
  <c r="CI289" i="6"/>
  <c r="CL289" i="6" s="1"/>
  <c r="CN289" i="6" s="1"/>
  <c r="CI288" i="6"/>
  <c r="CL288" i="6" s="1"/>
  <c r="CN288" i="6" s="1"/>
  <c r="CI287" i="6"/>
  <c r="CL287" i="6" s="1"/>
  <c r="CN287" i="6" s="1"/>
  <c r="CI286" i="6"/>
  <c r="CL286" i="6" s="1"/>
  <c r="CN286" i="6" s="1"/>
  <c r="CI285" i="6"/>
  <c r="CL285" i="6" s="1"/>
  <c r="CN285" i="6" s="1"/>
  <c r="CI284" i="6"/>
  <c r="CL284" i="6" s="1"/>
  <c r="CN284" i="6" s="1"/>
  <c r="CI283" i="6"/>
  <c r="CL283" i="6" s="1"/>
  <c r="CN283" i="6" s="1"/>
  <c r="CI282" i="6"/>
  <c r="CL282" i="6" s="1"/>
  <c r="CN282" i="6" s="1"/>
  <c r="I351" i="6"/>
  <c r="CI281" i="6"/>
  <c r="CL281" i="6" s="1"/>
  <c r="CN281" i="6" s="1"/>
  <c r="CI280" i="6"/>
  <c r="CL280" i="6" s="1"/>
  <c r="CN280" i="6" s="1"/>
  <c r="CI279" i="6"/>
  <c r="CL279" i="6" s="1"/>
  <c r="CN279" i="6" s="1"/>
  <c r="CI278" i="6"/>
  <c r="CL278" i="6" s="1"/>
  <c r="CN278" i="6" s="1"/>
  <c r="CI277" i="6"/>
  <c r="CL277" i="6" s="1"/>
  <c r="CN277" i="6" s="1"/>
  <c r="CI275" i="6"/>
  <c r="CL275" i="6" s="1"/>
  <c r="CN275" i="6" s="1"/>
  <c r="BF351" i="6"/>
  <c r="CI274" i="6"/>
  <c r="CL274" i="6" s="1"/>
  <c r="CN274" i="6" s="1"/>
  <c r="CI273" i="6"/>
  <c r="CL273" i="6" s="1"/>
  <c r="CN273" i="6" s="1"/>
  <c r="CI272" i="6"/>
  <c r="CL272" i="6" s="1"/>
  <c r="CN272" i="6" s="1"/>
  <c r="CI271" i="6"/>
  <c r="CL271" i="6" s="1"/>
  <c r="CN271" i="6" s="1"/>
  <c r="CI270" i="6"/>
  <c r="CL270" i="6" s="1"/>
  <c r="CN270" i="6" s="1"/>
  <c r="CI269" i="6"/>
  <c r="CL269" i="6" s="1"/>
  <c r="CN269" i="6" s="1"/>
  <c r="CI263" i="6"/>
  <c r="CL263" i="6" s="1"/>
  <c r="CN263" i="6" s="1"/>
  <c r="CI262" i="6"/>
  <c r="CL262" i="6" s="1"/>
  <c r="CN262" i="6" s="1"/>
  <c r="CI261" i="6"/>
  <c r="CL261" i="6" s="1"/>
  <c r="CN261" i="6" s="1"/>
  <c r="CI259" i="6"/>
  <c r="CL259" i="6" s="1"/>
  <c r="CI258" i="6"/>
  <c r="CL258" i="6" s="1"/>
  <c r="CN258" i="6" s="1"/>
  <c r="CI257" i="6"/>
  <c r="CL257" i="6" s="1"/>
  <c r="CN257" i="6" s="1"/>
  <c r="CI256" i="6"/>
  <c r="CL256" i="6" s="1"/>
  <c r="CN256" i="6" s="1"/>
  <c r="CI255" i="6"/>
  <c r="CL255" i="6" s="1"/>
  <c r="CN255" i="6" s="1"/>
  <c r="CI254" i="6"/>
  <c r="CL254" i="6" s="1"/>
  <c r="CN254" i="6" s="1"/>
  <c r="BZ351" i="6"/>
  <c r="CI252" i="6"/>
  <c r="CL252" i="6" s="1"/>
  <c r="CN252" i="6" s="1"/>
  <c r="CI251" i="6"/>
  <c r="CL251" i="6" s="1"/>
  <c r="CN251" i="6" s="1"/>
  <c r="CI250" i="6"/>
  <c r="CL250" i="6" s="1"/>
  <c r="CN250" i="6" s="1"/>
  <c r="F351" i="6"/>
  <c r="BD351" i="6"/>
  <c r="BA351" i="6"/>
  <c r="BZ247" i="6"/>
  <c r="BQ247" i="6"/>
  <c r="BH247" i="6"/>
  <c r="AY247" i="6"/>
  <c r="AP247" i="6"/>
  <c r="AG247" i="6"/>
  <c r="X247" i="6"/>
  <c r="O247" i="6"/>
  <c r="CM242" i="6"/>
  <c r="CJ242" i="6"/>
  <c r="CG242" i="6"/>
  <c r="CF242" i="6"/>
  <c r="CE242" i="6"/>
  <c r="CD242" i="6"/>
  <c r="CC242" i="6"/>
  <c r="CB242" i="6"/>
  <c r="CA242" i="6"/>
  <c r="BZ242" i="6"/>
  <c r="BX242" i="6"/>
  <c r="BW242" i="6"/>
  <c r="BV242" i="6"/>
  <c r="BU242" i="6"/>
  <c r="BT242" i="6"/>
  <c r="BS242" i="6"/>
  <c r="BR242" i="6"/>
  <c r="BQ242" i="6"/>
  <c r="BO242" i="6"/>
  <c r="BN242" i="6"/>
  <c r="BM242" i="6"/>
  <c r="BL242" i="6"/>
  <c r="BK242" i="6"/>
  <c r="BJ242" i="6"/>
  <c r="BI242" i="6"/>
  <c r="BH242" i="6"/>
  <c r="BF242" i="6"/>
  <c r="BE242" i="6"/>
  <c r="BD242" i="6"/>
  <c r="BC242" i="6"/>
  <c r="BB242" i="6"/>
  <c r="BA242" i="6"/>
  <c r="AZ242" i="6"/>
  <c r="AY242" i="6"/>
  <c r="AW242" i="6"/>
  <c r="AV242" i="6"/>
  <c r="AU242" i="6"/>
  <c r="AT242" i="6"/>
  <c r="AS242" i="6"/>
  <c r="AR242" i="6"/>
  <c r="AQ242" i="6"/>
  <c r="AP242" i="6"/>
  <c r="AN242" i="6"/>
  <c r="AM242" i="6"/>
  <c r="AL242" i="6"/>
  <c r="AK242" i="6"/>
  <c r="AJ242" i="6"/>
  <c r="AI242" i="6"/>
  <c r="AH242" i="6"/>
  <c r="AG242" i="6"/>
  <c r="AE242" i="6"/>
  <c r="AD242" i="6"/>
  <c r="AC242" i="6"/>
  <c r="AB242" i="6"/>
  <c r="AA242" i="6"/>
  <c r="Z242" i="6"/>
  <c r="Y242" i="6"/>
  <c r="X242" i="6"/>
  <c r="V242" i="6"/>
  <c r="U242" i="6"/>
  <c r="T242" i="6"/>
  <c r="S242" i="6"/>
  <c r="R242" i="6"/>
  <c r="Q242" i="6"/>
  <c r="P242" i="6"/>
  <c r="O242" i="6"/>
  <c r="M242" i="6"/>
  <c r="L242" i="6"/>
  <c r="K242" i="6"/>
  <c r="J242" i="6"/>
  <c r="I242" i="6"/>
  <c r="H242" i="6"/>
  <c r="G242" i="6"/>
  <c r="F242" i="6"/>
  <c r="CI241" i="6"/>
  <c r="CL241" i="6" s="1"/>
  <c r="CN241" i="6" s="1"/>
  <c r="CI240" i="6"/>
  <c r="CL240" i="6" s="1"/>
  <c r="CN240" i="6" s="1"/>
  <c r="CI239" i="6"/>
  <c r="CL239" i="6" s="1"/>
  <c r="CN239" i="6" s="1"/>
  <c r="CI238" i="6"/>
  <c r="CL238" i="6" s="1"/>
  <c r="CN238" i="6" s="1"/>
  <c r="CI237" i="6"/>
  <c r="CL237" i="6" s="1"/>
  <c r="CM234" i="6"/>
  <c r="CJ234" i="6"/>
  <c r="CG234" i="6"/>
  <c r="CF234" i="6"/>
  <c r="CE234" i="6"/>
  <c r="CD234" i="6"/>
  <c r="CC234" i="6"/>
  <c r="CB234" i="6"/>
  <c r="CA234" i="6"/>
  <c r="BZ234" i="6"/>
  <c r="BX234" i="6"/>
  <c r="BW234" i="6"/>
  <c r="BV234" i="6"/>
  <c r="BU234" i="6"/>
  <c r="BT234" i="6"/>
  <c r="BS234" i="6"/>
  <c r="BR234" i="6"/>
  <c r="BQ234" i="6"/>
  <c r="BO234" i="6"/>
  <c r="BN234" i="6"/>
  <c r="BM234" i="6"/>
  <c r="BL234" i="6"/>
  <c r="BK234" i="6"/>
  <c r="BJ234" i="6"/>
  <c r="BI234" i="6"/>
  <c r="BH234" i="6"/>
  <c r="BF234" i="6"/>
  <c r="BE234" i="6"/>
  <c r="BD234" i="6"/>
  <c r="BC234" i="6"/>
  <c r="BB234" i="6"/>
  <c r="BA234" i="6"/>
  <c r="AZ234" i="6"/>
  <c r="AY234" i="6"/>
  <c r="AW234" i="6"/>
  <c r="AV234" i="6"/>
  <c r="AU234" i="6"/>
  <c r="AT234" i="6"/>
  <c r="AS234" i="6"/>
  <c r="AR234" i="6"/>
  <c r="AQ234" i="6"/>
  <c r="AP234" i="6"/>
  <c r="AN234" i="6"/>
  <c r="AM234" i="6"/>
  <c r="AL234" i="6"/>
  <c r="AK234" i="6"/>
  <c r="AJ234" i="6"/>
  <c r="AI234" i="6"/>
  <c r="AH234" i="6"/>
  <c r="AG234" i="6"/>
  <c r="AE234" i="6"/>
  <c r="AD234" i="6"/>
  <c r="AC234" i="6"/>
  <c r="AB234" i="6"/>
  <c r="AA234" i="6"/>
  <c r="Z234" i="6"/>
  <c r="Y234" i="6"/>
  <c r="X234" i="6"/>
  <c r="V234" i="6"/>
  <c r="U234" i="6"/>
  <c r="T234" i="6"/>
  <c r="S234" i="6"/>
  <c r="R234" i="6"/>
  <c r="Q234" i="6"/>
  <c r="P234" i="6"/>
  <c r="O234" i="6"/>
  <c r="M234" i="6"/>
  <c r="L234" i="6"/>
  <c r="K234" i="6"/>
  <c r="J234" i="6"/>
  <c r="I234" i="6"/>
  <c r="H234" i="6"/>
  <c r="G234" i="6"/>
  <c r="F234" i="6"/>
  <c r="CI233" i="6"/>
  <c r="CL233" i="6" s="1"/>
  <c r="CN233" i="6" s="1"/>
  <c r="CI232" i="6"/>
  <c r="CL232" i="6" s="1"/>
  <c r="CN232" i="6" s="1"/>
  <c r="CI231" i="6"/>
  <c r="CM228" i="6"/>
  <c r="CJ228" i="6"/>
  <c r="CG228" i="6"/>
  <c r="CF228" i="6"/>
  <c r="CE228" i="6"/>
  <c r="CD228" i="6"/>
  <c r="CC228" i="6"/>
  <c r="CB228" i="6"/>
  <c r="CA228" i="6"/>
  <c r="BZ228" i="6"/>
  <c r="BX228" i="6"/>
  <c r="BW228" i="6"/>
  <c r="BV228" i="6"/>
  <c r="BU228" i="6"/>
  <c r="BT228" i="6"/>
  <c r="BS228" i="6"/>
  <c r="BR228" i="6"/>
  <c r="BQ228" i="6"/>
  <c r="BO228" i="6"/>
  <c r="BN228" i="6"/>
  <c r="BM228" i="6"/>
  <c r="BL228" i="6"/>
  <c r="BK228" i="6"/>
  <c r="BJ228" i="6"/>
  <c r="BI228" i="6"/>
  <c r="BH228" i="6"/>
  <c r="BF228" i="6"/>
  <c r="BE228" i="6"/>
  <c r="BD228" i="6"/>
  <c r="BC228" i="6"/>
  <c r="BB228" i="6"/>
  <c r="BA228" i="6"/>
  <c r="AZ228" i="6"/>
  <c r="AY228" i="6"/>
  <c r="AW228" i="6"/>
  <c r="AV228" i="6"/>
  <c r="AU228" i="6"/>
  <c r="AT228" i="6"/>
  <c r="AS228" i="6"/>
  <c r="AR228" i="6"/>
  <c r="AQ228" i="6"/>
  <c r="AP228" i="6"/>
  <c r="AN228" i="6"/>
  <c r="AM228" i="6"/>
  <c r="AL228" i="6"/>
  <c r="AK228" i="6"/>
  <c r="AJ228" i="6"/>
  <c r="AI228" i="6"/>
  <c r="AH228" i="6"/>
  <c r="AG228" i="6"/>
  <c r="AE228" i="6"/>
  <c r="AD228" i="6"/>
  <c r="AC228" i="6"/>
  <c r="AB228" i="6"/>
  <c r="AA228" i="6"/>
  <c r="Z228" i="6"/>
  <c r="Y228" i="6"/>
  <c r="X228" i="6"/>
  <c r="V228" i="6"/>
  <c r="U228" i="6"/>
  <c r="T228" i="6"/>
  <c r="S228" i="6"/>
  <c r="R228" i="6"/>
  <c r="Q228" i="6"/>
  <c r="P228" i="6"/>
  <c r="O228" i="6"/>
  <c r="M228" i="6"/>
  <c r="L228" i="6"/>
  <c r="K228" i="6"/>
  <c r="J228" i="6"/>
  <c r="I228" i="6"/>
  <c r="H228" i="6"/>
  <c r="G228" i="6"/>
  <c r="F228" i="6"/>
  <c r="CI227" i="6"/>
  <c r="CL227" i="6" s="1"/>
  <c r="CN227" i="6" s="1"/>
  <c r="CI226" i="6"/>
  <c r="CL226" i="6" s="1"/>
  <c r="CN226" i="6" s="1"/>
  <c r="CI225" i="6"/>
  <c r="CL225" i="6" s="1"/>
  <c r="CN225" i="6" s="1"/>
  <c r="CI224" i="6"/>
  <c r="CL224" i="6" s="1"/>
  <c r="CN224" i="6" s="1"/>
  <c r="CI223" i="6"/>
  <c r="CL223" i="6" s="1"/>
  <c r="CM220" i="6"/>
  <c r="CJ220" i="6"/>
  <c r="C226" i="19" s="1"/>
  <c r="CG220" i="6"/>
  <c r="CF220" i="6"/>
  <c r="CE220" i="6"/>
  <c r="CD220" i="6"/>
  <c r="CC220" i="6"/>
  <c r="CB220" i="6"/>
  <c r="CA220" i="6"/>
  <c r="BZ220" i="6"/>
  <c r="BX220" i="6"/>
  <c r="BW220" i="6"/>
  <c r="BV220" i="6"/>
  <c r="BU220" i="6"/>
  <c r="BT220" i="6"/>
  <c r="BS220" i="6"/>
  <c r="BR220" i="6"/>
  <c r="BQ220" i="6"/>
  <c r="BO220" i="6"/>
  <c r="BN220" i="6"/>
  <c r="BM220" i="6"/>
  <c r="BL220" i="6"/>
  <c r="BK220" i="6"/>
  <c r="BJ220" i="6"/>
  <c r="BI220" i="6"/>
  <c r="BH220" i="6"/>
  <c r="BF220" i="6"/>
  <c r="BE220" i="6"/>
  <c r="BD220" i="6"/>
  <c r="BC220" i="6"/>
  <c r="BB220" i="6"/>
  <c r="BA220" i="6"/>
  <c r="AZ220" i="6"/>
  <c r="AY220" i="6"/>
  <c r="AW220" i="6"/>
  <c r="AV220" i="6"/>
  <c r="AU220" i="6"/>
  <c r="AT220" i="6"/>
  <c r="AS220" i="6"/>
  <c r="AR220" i="6"/>
  <c r="AQ220" i="6"/>
  <c r="AP220" i="6"/>
  <c r="AN220" i="6"/>
  <c r="AM220" i="6"/>
  <c r="AL220" i="6"/>
  <c r="AK220" i="6"/>
  <c r="AJ220" i="6"/>
  <c r="AI220" i="6"/>
  <c r="AH220" i="6"/>
  <c r="AG220" i="6"/>
  <c r="AE220" i="6"/>
  <c r="AD220" i="6"/>
  <c r="AC220" i="6"/>
  <c r="AB220" i="6"/>
  <c r="AA220" i="6"/>
  <c r="Z220" i="6"/>
  <c r="Y220" i="6"/>
  <c r="X220" i="6"/>
  <c r="V220" i="6"/>
  <c r="U220" i="6"/>
  <c r="T220" i="6"/>
  <c r="S220" i="6"/>
  <c r="R220" i="6"/>
  <c r="Q220" i="6"/>
  <c r="P220" i="6"/>
  <c r="O220" i="6"/>
  <c r="M220" i="6"/>
  <c r="L220" i="6"/>
  <c r="K220" i="6"/>
  <c r="J220" i="6"/>
  <c r="I220" i="6"/>
  <c r="H220" i="6"/>
  <c r="G220" i="6"/>
  <c r="F220" i="6"/>
  <c r="CI219" i="6"/>
  <c r="CL219" i="6" s="1"/>
  <c r="CN219" i="6" s="1"/>
  <c r="CI218" i="6"/>
  <c r="CL218" i="6" s="1"/>
  <c r="CN218" i="6" s="1"/>
  <c r="CI217" i="6"/>
  <c r="CI216" i="6"/>
  <c r="CL216" i="6" s="1"/>
  <c r="CI213" i="6"/>
  <c r="CL213" i="6" s="1"/>
  <c r="CN213" i="6" s="1"/>
  <c r="CI212" i="6"/>
  <c r="CL212" i="6" s="1"/>
  <c r="CN212" i="6" s="1"/>
  <c r="CI211" i="6"/>
  <c r="CL211" i="6" s="1"/>
  <c r="CN211" i="6" s="1"/>
  <c r="CI210" i="6"/>
  <c r="CL210" i="6" s="1"/>
  <c r="CN210" i="6" s="1"/>
  <c r="CI209" i="6"/>
  <c r="CL209" i="6" s="1"/>
  <c r="CN209" i="6" s="1"/>
  <c r="CI208" i="6"/>
  <c r="CL208" i="6" s="1"/>
  <c r="CN208" i="6" s="1"/>
  <c r="CI207" i="6"/>
  <c r="CL207" i="6" s="1"/>
  <c r="CN207" i="6" s="1"/>
  <c r="CI206" i="6"/>
  <c r="CL206" i="6" s="1"/>
  <c r="CN206" i="6" s="1"/>
  <c r="CI205" i="6"/>
  <c r="CL205" i="6" s="1"/>
  <c r="CN205" i="6" s="1"/>
  <c r="CI204" i="6"/>
  <c r="CL204" i="6" s="1"/>
  <c r="CN204" i="6" s="1"/>
  <c r="CI203" i="6"/>
  <c r="CL203" i="6" s="1"/>
  <c r="CN203" i="6" s="1"/>
  <c r="CI202" i="6"/>
  <c r="CL202" i="6" s="1"/>
  <c r="CN202" i="6" s="1"/>
  <c r="CI201" i="6"/>
  <c r="CL201" i="6" s="1"/>
  <c r="CN201" i="6" s="1"/>
  <c r="CI200" i="6"/>
  <c r="CL200" i="6" s="1"/>
  <c r="CN200" i="6" s="1"/>
  <c r="CI199" i="6"/>
  <c r="CL199" i="6" s="1"/>
  <c r="CN199" i="6" s="1"/>
  <c r="CI198" i="6"/>
  <c r="CL198" i="6" s="1"/>
  <c r="CN198" i="6" s="1"/>
  <c r="CI197" i="6"/>
  <c r="CL197" i="6" s="1"/>
  <c r="CN197" i="6" s="1"/>
  <c r="CI196" i="6"/>
  <c r="CL196" i="6" s="1"/>
  <c r="CN196" i="6" s="1"/>
  <c r="CI195" i="6"/>
  <c r="CL195" i="6" s="1"/>
  <c r="CN195" i="6" s="1"/>
  <c r="CI194" i="6"/>
  <c r="CL194" i="6" s="1"/>
  <c r="CN194" i="6" s="1"/>
  <c r="CI193" i="6"/>
  <c r="CL193" i="6" s="1"/>
  <c r="CN193" i="6" s="1"/>
  <c r="CI192" i="6"/>
  <c r="CL192" i="6" s="1"/>
  <c r="CN192" i="6" s="1"/>
  <c r="CI191" i="6"/>
  <c r="CL191" i="6" s="1"/>
  <c r="CN191" i="6" s="1"/>
  <c r="CL190" i="6"/>
  <c r="CN190" i="6" s="1"/>
  <c r="CI189" i="6"/>
  <c r="CL189" i="6" s="1"/>
  <c r="CN189" i="6" s="1"/>
  <c r="CI188" i="6"/>
  <c r="CL188" i="6" s="1"/>
  <c r="CN188" i="6" s="1"/>
  <c r="CI187" i="6"/>
  <c r="CL187" i="6" s="1"/>
  <c r="CN187" i="6" s="1"/>
  <c r="CI186" i="6"/>
  <c r="CI185" i="6"/>
  <c r="CL185" i="6" s="1"/>
  <c r="CN185" i="6" s="1"/>
  <c r="CI184" i="6"/>
  <c r="CL184" i="6" s="1"/>
  <c r="CN184" i="6" s="1"/>
  <c r="CI183" i="6"/>
  <c r="CL183" i="6" s="1"/>
  <c r="CN183" i="6" s="1"/>
  <c r="CM180" i="6"/>
  <c r="CK180" i="6"/>
  <c r="CH180" i="6"/>
  <c r="CG180" i="6"/>
  <c r="CF180" i="6"/>
  <c r="CE180" i="6"/>
  <c r="CD180" i="6"/>
  <c r="CC180" i="6"/>
  <c r="CB180" i="6"/>
  <c r="CA180" i="6"/>
  <c r="BZ180" i="6"/>
  <c r="BY180" i="6"/>
  <c r="BX180" i="6"/>
  <c r="BW180" i="6"/>
  <c r="BV180" i="6"/>
  <c r="BU180" i="6"/>
  <c r="BT180" i="6"/>
  <c r="BS180" i="6"/>
  <c r="BR180" i="6"/>
  <c r="BQ180" i="6"/>
  <c r="BP180" i="6"/>
  <c r="BO180" i="6"/>
  <c r="BN180" i="6"/>
  <c r="BM180" i="6"/>
  <c r="BL180" i="6"/>
  <c r="BK180" i="6"/>
  <c r="BJ180" i="6"/>
  <c r="BI180" i="6"/>
  <c r="BH180" i="6"/>
  <c r="BG180" i="6"/>
  <c r="BF180" i="6"/>
  <c r="BE180" i="6"/>
  <c r="BD180" i="6"/>
  <c r="BC180" i="6"/>
  <c r="BB180" i="6"/>
  <c r="BA180" i="6"/>
  <c r="AZ180" i="6"/>
  <c r="AY180" i="6"/>
  <c r="AX180" i="6"/>
  <c r="AW180" i="6"/>
  <c r="AV180" i="6"/>
  <c r="AU180" i="6"/>
  <c r="AT180" i="6"/>
  <c r="AS180" i="6"/>
  <c r="AR180" i="6"/>
  <c r="AQ180" i="6"/>
  <c r="AP180" i="6"/>
  <c r="AO180" i="6"/>
  <c r="AN180" i="6"/>
  <c r="AL180" i="6"/>
  <c r="AJ180" i="6"/>
  <c r="AH180" i="6"/>
  <c r="AF180" i="6"/>
  <c r="AE180" i="6"/>
  <c r="AD180" i="6"/>
  <c r="AC180" i="6"/>
  <c r="AB180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CI179" i="6"/>
  <c r="CL179" i="6" s="1"/>
  <c r="CN179" i="6" s="1"/>
  <c r="CI178" i="6"/>
  <c r="CL178" i="6" s="1"/>
  <c r="CN178" i="6" s="1"/>
  <c r="CI177" i="6"/>
  <c r="CL177" i="6" s="1"/>
  <c r="CN177" i="6" s="1"/>
  <c r="CI176" i="6"/>
  <c r="CL176" i="6" s="1"/>
  <c r="CN176" i="6" s="1"/>
  <c r="CP171" i="6"/>
  <c r="CI175" i="6"/>
  <c r="CL175" i="6" s="1"/>
  <c r="CN175" i="6" s="1"/>
  <c r="CI174" i="6"/>
  <c r="CL174" i="6" s="1"/>
  <c r="CN174" i="6" s="1"/>
  <c r="CI173" i="6"/>
  <c r="CL173" i="6" s="1"/>
  <c r="CN173" i="6" s="1"/>
  <c r="CI172" i="6"/>
  <c r="CL172" i="6" s="1"/>
  <c r="CN172" i="6" s="1"/>
  <c r="CI171" i="6"/>
  <c r="CL171" i="6" s="1"/>
  <c r="CN171" i="6" s="1"/>
  <c r="CI170" i="6"/>
  <c r="CL170" i="6" s="1"/>
  <c r="CN170" i="6" s="1"/>
  <c r="CI169" i="6"/>
  <c r="CL169" i="6" s="1"/>
  <c r="CN169" i="6" s="1"/>
  <c r="CI168" i="6"/>
  <c r="CL168" i="6" s="1"/>
  <c r="CN168" i="6" s="1"/>
  <c r="CI167" i="6"/>
  <c r="CL167" i="6" s="1"/>
  <c r="CN167" i="6" s="1"/>
  <c r="CI166" i="6"/>
  <c r="CL166" i="6" s="1"/>
  <c r="CN166" i="6" s="1"/>
  <c r="CI165" i="6"/>
  <c r="CL165" i="6" s="1"/>
  <c r="CI164" i="6"/>
  <c r="CL164" i="6" s="1"/>
  <c r="CN164" i="6" s="1"/>
  <c r="CI163" i="6"/>
  <c r="CL163" i="6" s="1"/>
  <c r="CN163" i="6" s="1"/>
  <c r="CI162" i="6"/>
  <c r="CL162" i="6" s="1"/>
  <c r="CN162" i="6" s="1"/>
  <c r="CI161" i="6"/>
  <c r="CL161" i="6" s="1"/>
  <c r="CN161" i="6" s="1"/>
  <c r="CI160" i="6"/>
  <c r="CL160" i="6" s="1"/>
  <c r="CN160" i="6" s="1"/>
  <c r="CI159" i="6"/>
  <c r="CL159" i="6" s="1"/>
  <c r="CN159" i="6" s="1"/>
  <c r="CI158" i="6"/>
  <c r="CL158" i="6" s="1"/>
  <c r="CN158" i="6" s="1"/>
  <c r="CI157" i="6"/>
  <c r="CL157" i="6" s="1"/>
  <c r="CN157" i="6" s="1"/>
  <c r="CI156" i="6"/>
  <c r="CL156" i="6" s="1"/>
  <c r="CN156" i="6" s="1"/>
  <c r="CI155" i="6"/>
  <c r="CL155" i="6" s="1"/>
  <c r="CN155" i="6" s="1"/>
  <c r="CI154" i="6"/>
  <c r="CL154" i="6" s="1"/>
  <c r="CN154" i="6" s="1"/>
  <c r="CI153" i="6"/>
  <c r="CL153" i="6" s="1"/>
  <c r="CN153" i="6" s="1"/>
  <c r="CJ180" i="6"/>
  <c r="CI152" i="6"/>
  <c r="CL152" i="6" s="1"/>
  <c r="CN152" i="6" s="1"/>
  <c r="CI151" i="6"/>
  <c r="CL151" i="6" s="1"/>
  <c r="CN151" i="6" s="1"/>
  <c r="AI180" i="6"/>
  <c r="CI150" i="6"/>
  <c r="CL150" i="6" s="1"/>
  <c r="CN150" i="6" s="1"/>
  <c r="AM180" i="6"/>
  <c r="CI149" i="6"/>
  <c r="CL149" i="6" s="1"/>
  <c r="CN149" i="6" s="1"/>
  <c r="CI148" i="6"/>
  <c r="CI145" i="6"/>
  <c r="CL145" i="6" s="1"/>
  <c r="CN145" i="6" s="1"/>
  <c r="CI144" i="6"/>
  <c r="CL144" i="6" s="1"/>
  <c r="CN144" i="6" s="1"/>
  <c r="CI143" i="6"/>
  <c r="CL143" i="6" s="1"/>
  <c r="CN143" i="6" s="1"/>
  <c r="CI142" i="6"/>
  <c r="CL142" i="6" s="1"/>
  <c r="CN142" i="6" s="1"/>
  <c r="CI141" i="6"/>
  <c r="CL141" i="6" s="1"/>
  <c r="CN141" i="6" s="1"/>
  <c r="CI140" i="6"/>
  <c r="CL140" i="6" s="1"/>
  <c r="CN140" i="6" s="1"/>
  <c r="CI139" i="6"/>
  <c r="CL139" i="6" s="1"/>
  <c r="CI138" i="6"/>
  <c r="CL138" i="6" s="1"/>
  <c r="CN138" i="6" s="1"/>
  <c r="CI137" i="6"/>
  <c r="CL137" i="6" s="1"/>
  <c r="CN137" i="6" s="1"/>
  <c r="CI136" i="6"/>
  <c r="CL136" i="6" s="1"/>
  <c r="CN136" i="6" s="1"/>
  <c r="CI135" i="6"/>
  <c r="CL135" i="6" s="1"/>
  <c r="CN135" i="6" s="1"/>
  <c r="CI134" i="6"/>
  <c r="CL134" i="6" s="1"/>
  <c r="CN134" i="6" s="1"/>
  <c r="CI133" i="6"/>
  <c r="CL133" i="6" s="1"/>
  <c r="CN133" i="6" s="1"/>
  <c r="CI132" i="6"/>
  <c r="CL132" i="6" s="1"/>
  <c r="CI131" i="6"/>
  <c r="CL131" i="6" s="1"/>
  <c r="CN131" i="6" s="1"/>
  <c r="CI130" i="6"/>
  <c r="CL130" i="6" s="1"/>
  <c r="CN130" i="6" s="1"/>
  <c r="CI129" i="6"/>
  <c r="CL129" i="6" s="1"/>
  <c r="CN129" i="6" s="1"/>
  <c r="CI128" i="6"/>
  <c r="CL128" i="6" s="1"/>
  <c r="CN128" i="6" s="1"/>
  <c r="CI127" i="6"/>
  <c r="CL127" i="6" s="1"/>
  <c r="CN127" i="6" s="1"/>
  <c r="CI126" i="6"/>
  <c r="CL126" i="6" s="1"/>
  <c r="AK114" i="40" s="1"/>
  <c r="CI125" i="6"/>
  <c r="CL125" i="6" s="1"/>
  <c r="CN125" i="6" s="1"/>
  <c r="CI124" i="6"/>
  <c r="CL124" i="6" s="1"/>
  <c r="CN124" i="6" s="1"/>
  <c r="CI123" i="6"/>
  <c r="CL123" i="6" s="1"/>
  <c r="CN123" i="6" s="1"/>
  <c r="CI122" i="6"/>
  <c r="CL122" i="6" s="1"/>
  <c r="CN122" i="6" s="1"/>
  <c r="CI121" i="6"/>
  <c r="CL121" i="6" s="1"/>
  <c r="CI120" i="6"/>
  <c r="CL120" i="6" s="1"/>
  <c r="CN120" i="6" s="1"/>
  <c r="CI119" i="6"/>
  <c r="CL119" i="6" s="1"/>
  <c r="AK136" i="40" s="1"/>
  <c r="CI118" i="6"/>
  <c r="CL118" i="6" s="1"/>
  <c r="CN118" i="6" s="1"/>
  <c r="CI117" i="6"/>
  <c r="CL117" i="6" s="1"/>
  <c r="CN117" i="6" s="1"/>
  <c r="CI116" i="6"/>
  <c r="CL116" i="6" s="1"/>
  <c r="CN116" i="6" s="1"/>
  <c r="CI115" i="6"/>
  <c r="CL115" i="6" s="1"/>
  <c r="CN115" i="6" s="1"/>
  <c r="CK112" i="6"/>
  <c r="CI111" i="6"/>
  <c r="CL111" i="6" s="1"/>
  <c r="CI110" i="6"/>
  <c r="CL110" i="6" s="1"/>
  <c r="CN110" i="6" s="1"/>
  <c r="CI109" i="6"/>
  <c r="CL109" i="6" s="1"/>
  <c r="CN109" i="6" s="1"/>
  <c r="CI108" i="6"/>
  <c r="CL108" i="6" s="1"/>
  <c r="CN108" i="6" s="1"/>
  <c r="CI107" i="6"/>
  <c r="CL107" i="6" s="1"/>
  <c r="CN107" i="6" s="1"/>
  <c r="CI106" i="6"/>
  <c r="CL106" i="6" s="1"/>
  <c r="CN106" i="6" s="1"/>
  <c r="CI105" i="6"/>
  <c r="CL105" i="6" s="1"/>
  <c r="CI104" i="6"/>
  <c r="CL104" i="6" s="1"/>
  <c r="CN104" i="6" s="1"/>
  <c r="CI103" i="6"/>
  <c r="CL103" i="6" s="1"/>
  <c r="CN103" i="6" s="1"/>
  <c r="CI102" i="6"/>
  <c r="CL102" i="6" s="1"/>
  <c r="CN102" i="6" s="1"/>
  <c r="CI101" i="6"/>
  <c r="CL101" i="6" s="1"/>
  <c r="CN101" i="6" s="1"/>
  <c r="CI100" i="6"/>
  <c r="CL100" i="6" s="1"/>
  <c r="CN100" i="6" s="1"/>
  <c r="CI99" i="6"/>
  <c r="CL99" i="6" s="1"/>
  <c r="CN99" i="6" s="1"/>
  <c r="CI98" i="6"/>
  <c r="CL98" i="6" s="1"/>
  <c r="CN98" i="6" s="1"/>
  <c r="CI97" i="6"/>
  <c r="CL97" i="6" s="1"/>
  <c r="CN97" i="6" s="1"/>
  <c r="CI96" i="6"/>
  <c r="CL96" i="6" s="1"/>
  <c r="CN96" i="6" s="1"/>
  <c r="CI95" i="6"/>
  <c r="CL95" i="6" s="1"/>
  <c r="CN95" i="6" s="1"/>
  <c r="CI94" i="6"/>
  <c r="CL94" i="6" s="1"/>
  <c r="CN94" i="6" s="1"/>
  <c r="CI93" i="6"/>
  <c r="CL93" i="6" s="1"/>
  <c r="CN93" i="6" s="1"/>
  <c r="CI92" i="6"/>
  <c r="CL92" i="6" s="1"/>
  <c r="CN92" i="6" s="1"/>
  <c r="CI91" i="6"/>
  <c r="CL91" i="6" s="1"/>
  <c r="AK72" i="40" s="1"/>
  <c r="CI90" i="6"/>
  <c r="CL90" i="6" s="1"/>
  <c r="CN90" i="6" s="1"/>
  <c r="CI89" i="6"/>
  <c r="CL89" i="6" s="1"/>
  <c r="CN89" i="6" s="1"/>
  <c r="CI88" i="6"/>
  <c r="CL88" i="6" s="1"/>
  <c r="CN88" i="6" s="1"/>
  <c r="CI87" i="6"/>
  <c r="CL87" i="6" s="1"/>
  <c r="CN87" i="6" s="1"/>
  <c r="CI86" i="6"/>
  <c r="CL86" i="6" s="1"/>
  <c r="CN86" i="6" s="1"/>
  <c r="CI85" i="6"/>
  <c r="CL85" i="6" s="1"/>
  <c r="CN85" i="6" s="1"/>
  <c r="CI84" i="6"/>
  <c r="CL84" i="6" s="1"/>
  <c r="CN84" i="6" s="1"/>
  <c r="CL83" i="6"/>
  <c r="CN83" i="6" s="1"/>
  <c r="CI82" i="6"/>
  <c r="CL82" i="6" s="1"/>
  <c r="CN82" i="6" s="1"/>
  <c r="CI81" i="6"/>
  <c r="CM77" i="6"/>
  <c r="CK77" i="6"/>
  <c r="CJ77" i="6"/>
  <c r="CH77" i="6"/>
  <c r="CG77" i="6"/>
  <c r="CF77" i="6"/>
  <c r="CE77" i="6"/>
  <c r="CD77" i="6"/>
  <c r="CC77" i="6"/>
  <c r="CB77" i="6"/>
  <c r="CA77" i="6"/>
  <c r="BY77" i="6"/>
  <c r="BY244" i="6" s="1"/>
  <c r="BX77" i="6"/>
  <c r="BW77" i="6"/>
  <c r="BV77" i="6"/>
  <c r="BU77" i="6"/>
  <c r="BT77" i="6"/>
  <c r="BS77" i="6"/>
  <c r="BR77" i="6"/>
  <c r="BQ77" i="6"/>
  <c r="BP77" i="6"/>
  <c r="BP244" i="6" s="1"/>
  <c r="BO77" i="6"/>
  <c r="BN77" i="6"/>
  <c r="BM77" i="6"/>
  <c r="BL77" i="6"/>
  <c r="BK77" i="6"/>
  <c r="BJ77" i="6"/>
  <c r="BI77" i="6"/>
  <c r="BH77" i="6"/>
  <c r="BG77" i="6"/>
  <c r="BG244" i="6" s="1"/>
  <c r="BF77" i="6"/>
  <c r="BE77" i="6"/>
  <c r="BD77" i="6"/>
  <c r="BC77" i="6"/>
  <c r="BB77" i="6"/>
  <c r="BA77" i="6"/>
  <c r="AZ77" i="6"/>
  <c r="AY77" i="6"/>
  <c r="AX77" i="6"/>
  <c r="AX244" i="6" s="1"/>
  <c r="AW77" i="6"/>
  <c r="AV77" i="6"/>
  <c r="AU77" i="6"/>
  <c r="AT77" i="6"/>
  <c r="AS77" i="6"/>
  <c r="AR77" i="6"/>
  <c r="AQ77" i="6"/>
  <c r="AP77" i="6"/>
  <c r="AO77" i="6"/>
  <c r="AO244" i="6" s="1"/>
  <c r="AN77" i="6"/>
  <c r="AM77" i="6"/>
  <c r="AL77" i="6"/>
  <c r="AK77" i="6"/>
  <c r="AJ77" i="6"/>
  <c r="AI77" i="6"/>
  <c r="AH77" i="6"/>
  <c r="AG77" i="6"/>
  <c r="AF77" i="6"/>
  <c r="AF244" i="6" s="1"/>
  <c r="AE77" i="6"/>
  <c r="AD77" i="6"/>
  <c r="AC77" i="6"/>
  <c r="AB77" i="6"/>
  <c r="AA77" i="6"/>
  <c r="Z77" i="6"/>
  <c r="Y77" i="6"/>
  <c r="X77" i="6"/>
  <c r="W77" i="6"/>
  <c r="W244" i="6" s="1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CI76" i="6"/>
  <c r="CL76" i="6" s="1"/>
  <c r="CN76" i="6" s="1"/>
  <c r="CI71" i="6"/>
  <c r="CL71" i="6" s="1"/>
  <c r="CN71" i="6" s="1"/>
  <c r="CI70" i="6"/>
  <c r="CL70" i="6" s="1"/>
  <c r="CN70" i="6" s="1"/>
  <c r="CI69" i="6"/>
  <c r="CL69" i="6" s="1"/>
  <c r="CN69" i="6" s="1"/>
  <c r="CI68" i="6"/>
  <c r="CL68" i="6" s="1"/>
  <c r="CN68" i="6" s="1"/>
  <c r="CI67" i="6"/>
  <c r="CL67" i="6" s="1"/>
  <c r="CN67" i="6" s="1"/>
  <c r="CI66" i="6"/>
  <c r="CL66" i="6" s="1"/>
  <c r="CN66" i="6" s="1"/>
  <c r="CI65" i="6"/>
  <c r="CL65" i="6" s="1"/>
  <c r="CN65" i="6" s="1"/>
  <c r="CI64" i="6"/>
  <c r="CL64" i="6" s="1"/>
  <c r="CN64" i="6" s="1"/>
  <c r="CI63" i="6"/>
  <c r="CL63" i="6" s="1"/>
  <c r="CN63" i="6" s="1"/>
  <c r="CI62" i="6"/>
  <c r="CL62" i="6" s="1"/>
  <c r="CN62" i="6" s="1"/>
  <c r="CI61" i="6"/>
  <c r="CL61" i="6" s="1"/>
  <c r="CN61" i="6" s="1"/>
  <c r="CI60" i="6"/>
  <c r="CL60" i="6" s="1"/>
  <c r="CN60" i="6" s="1"/>
  <c r="CI59" i="6"/>
  <c r="CL59" i="6" s="1"/>
  <c r="CN59" i="6" s="1"/>
  <c r="CI58" i="6"/>
  <c r="CL58" i="6" s="1"/>
  <c r="CN58" i="6" s="1"/>
  <c r="CI57" i="6"/>
  <c r="CL57" i="6" s="1"/>
  <c r="CN57" i="6" s="1"/>
  <c r="CI56" i="6"/>
  <c r="CL56" i="6" s="1"/>
  <c r="CN56" i="6" s="1"/>
  <c r="CI55" i="6"/>
  <c r="CL55" i="6" s="1"/>
  <c r="CN55" i="6" s="1"/>
  <c r="CI54" i="6"/>
  <c r="CL54" i="6" s="1"/>
  <c r="CN54" i="6" s="1"/>
  <c r="CI53" i="6"/>
  <c r="CL53" i="6" s="1"/>
  <c r="CN53" i="6" s="1"/>
  <c r="CI52" i="6"/>
  <c r="CL52" i="6" s="1"/>
  <c r="CN52" i="6" s="1"/>
  <c r="CI51" i="6"/>
  <c r="CL51" i="6" s="1"/>
  <c r="CN51" i="6" s="1"/>
  <c r="CI50" i="6"/>
  <c r="CL50" i="6" s="1"/>
  <c r="CN50" i="6" s="1"/>
  <c r="CI49" i="6"/>
  <c r="CL49" i="6" s="1"/>
  <c r="CN49" i="6" s="1"/>
  <c r="CI48" i="6"/>
  <c r="CL48" i="6" s="1"/>
  <c r="CN48" i="6" s="1"/>
  <c r="CI47" i="6"/>
  <c r="CL47" i="6" s="1"/>
  <c r="CN47" i="6" s="1"/>
  <c r="CI46" i="6"/>
  <c r="CL46" i="6" s="1"/>
  <c r="CN46" i="6" s="1"/>
  <c r="CI45" i="6"/>
  <c r="CL45" i="6" s="1"/>
  <c r="CN45" i="6" s="1"/>
  <c r="CI44" i="6"/>
  <c r="CL44" i="6" s="1"/>
  <c r="CN44" i="6" s="1"/>
  <c r="CI43" i="6"/>
  <c r="CL43" i="6" s="1"/>
  <c r="CN43" i="6" s="1"/>
  <c r="CI42" i="6"/>
  <c r="CL42" i="6" s="1"/>
  <c r="CI41" i="6"/>
  <c r="CL41" i="6" s="1"/>
  <c r="CN41" i="6" s="1"/>
  <c r="CI40" i="6"/>
  <c r="CL40" i="6" s="1"/>
  <c r="BQ38" i="6"/>
  <c r="BH38" i="6"/>
  <c r="AY38" i="6"/>
  <c r="AP38" i="6"/>
  <c r="AG38" i="6"/>
  <c r="BG36" i="6"/>
  <c r="BF36" i="6"/>
  <c r="BE36" i="6"/>
  <c r="BD36" i="6"/>
  <c r="BC36" i="6"/>
  <c r="BB36" i="6"/>
  <c r="BA36" i="6"/>
  <c r="AZ36" i="6"/>
  <c r="AY36" i="6"/>
  <c r="AX36" i="6"/>
  <c r="AO36" i="6"/>
  <c r="AF36" i="6"/>
  <c r="W36" i="6"/>
  <c r="N36" i="6"/>
  <c r="CI35" i="6"/>
  <c r="CL35" i="6" s="1"/>
  <c r="CN35" i="6" s="1"/>
  <c r="CI34" i="6"/>
  <c r="CL34" i="6" s="1"/>
  <c r="CN34" i="6" s="1"/>
  <c r="CI33" i="6"/>
  <c r="CL33" i="6" s="1"/>
  <c r="CN33" i="6" s="1"/>
  <c r="CI32" i="6"/>
  <c r="CL32" i="6" s="1"/>
  <c r="CN32" i="6" s="1"/>
  <c r="CI31" i="6"/>
  <c r="CL31" i="6" s="1"/>
  <c r="CN31" i="6" s="1"/>
  <c r="CI30" i="6"/>
  <c r="CL30" i="6" s="1"/>
  <c r="CN30" i="6" s="1"/>
  <c r="CI29" i="6"/>
  <c r="CL29" i="6" s="1"/>
  <c r="CN29" i="6" s="1"/>
  <c r="CI28" i="6"/>
  <c r="CL28" i="6" s="1"/>
  <c r="CN28" i="6" s="1"/>
  <c r="CI27" i="6"/>
  <c r="CL27" i="6" s="1"/>
  <c r="CN27" i="6" s="1"/>
  <c r="CI26" i="6"/>
  <c r="CL26" i="6" s="1"/>
  <c r="CN26" i="6" s="1"/>
  <c r="CI25" i="6"/>
  <c r="CL25" i="6" s="1"/>
  <c r="CN25" i="6" s="1"/>
  <c r="CI24" i="6"/>
  <c r="CL24" i="6" s="1"/>
  <c r="CN24" i="6" s="1"/>
  <c r="CI23" i="6"/>
  <c r="CL23" i="6" s="1"/>
  <c r="CN23" i="6" s="1"/>
  <c r="CI22" i="6"/>
  <c r="CL22" i="6" s="1"/>
  <c r="CN22" i="6" s="1"/>
  <c r="CI21" i="6"/>
  <c r="CL21" i="6" s="1"/>
  <c r="CN21" i="6" s="1"/>
  <c r="CI20" i="6"/>
  <c r="CL20" i="6" s="1"/>
  <c r="CN20" i="6" s="1"/>
  <c r="CI19" i="6"/>
  <c r="CL19" i="6" s="1"/>
  <c r="CN19" i="6" s="1"/>
  <c r="CI18" i="6"/>
  <c r="CL18" i="6" s="1"/>
  <c r="CN18" i="6" s="1"/>
  <c r="CI17" i="6"/>
  <c r="CL17" i="6" s="1"/>
  <c r="CN17" i="6" s="1"/>
  <c r="CI16" i="6"/>
  <c r="CL16" i="6" s="1"/>
  <c r="CN16" i="6" s="1"/>
  <c r="CI15" i="6"/>
  <c r="CL15" i="6" s="1"/>
  <c r="CN15" i="6" s="1"/>
  <c r="CI14" i="6"/>
  <c r="CL14" i="6" s="1"/>
  <c r="CN14" i="6" s="1"/>
  <c r="CI13" i="6"/>
  <c r="CL13" i="6" s="1"/>
  <c r="CN13" i="6" s="1"/>
  <c r="CI12" i="6"/>
  <c r="CL12" i="6" s="1"/>
  <c r="CN12" i="6" s="1"/>
  <c r="CI11" i="6"/>
  <c r="CL11" i="6" s="1"/>
  <c r="CN11" i="6" s="1"/>
  <c r="CI10" i="6"/>
  <c r="CL10" i="6" s="1"/>
  <c r="CN10" i="6" s="1"/>
  <c r="CI9" i="6"/>
  <c r="CL9" i="6" s="1"/>
  <c r="CN9" i="6" s="1"/>
  <c r="CI8" i="6"/>
  <c r="CL8" i="6" s="1"/>
  <c r="CN8" i="6" s="1"/>
  <c r="CI7" i="6"/>
  <c r="CL7" i="6" s="1"/>
  <c r="CN7" i="6" s="1"/>
  <c r="AA136" i="42" l="1"/>
  <c r="CN42" i="6"/>
  <c r="AA56" i="42"/>
  <c r="AC56" i="42" s="1"/>
  <c r="CN105" i="6"/>
  <c r="AK93" i="40"/>
  <c r="AD352" i="39"/>
  <c r="AC264" i="40"/>
  <c r="AK101" i="12"/>
  <c r="AK96" i="31"/>
  <c r="L165" i="19"/>
  <c r="N165" i="19" s="1"/>
  <c r="L161" i="19"/>
  <c r="N161" i="19" s="1"/>
  <c r="L160" i="19"/>
  <c r="AK96" i="36"/>
  <c r="AK96" i="14"/>
  <c r="AG244" i="6"/>
  <c r="AG245" i="6" s="1"/>
  <c r="BZ244" i="6"/>
  <c r="AY244" i="6"/>
  <c r="AY359" i="6" s="1"/>
  <c r="AK97" i="15"/>
  <c r="AK96" i="37"/>
  <c r="CI234" i="6"/>
  <c r="CN259" i="6"/>
  <c r="CN121" i="6"/>
  <c r="AK126" i="25"/>
  <c r="CM244" i="6"/>
  <c r="CM359" i="6" s="1"/>
  <c r="CM360" i="6" s="1"/>
  <c r="CJ244" i="6"/>
  <c r="CJ359" i="6" s="1"/>
  <c r="AK82" i="37"/>
  <c r="AK82" i="36"/>
  <c r="CN132" i="6"/>
  <c r="AK146" i="34"/>
  <c r="CI242" i="6"/>
  <c r="AK68" i="37"/>
  <c r="AK68" i="36"/>
  <c r="AK85" i="34"/>
  <c r="CN111" i="6"/>
  <c r="AK113" i="34"/>
  <c r="CN119" i="6"/>
  <c r="AK122" i="8"/>
  <c r="AK110" i="37"/>
  <c r="AK110" i="36"/>
  <c r="I244" i="6"/>
  <c r="I359" i="6" s="1"/>
  <c r="E5" i="19" s="1"/>
  <c r="M244" i="6"/>
  <c r="M245" i="6" s="1"/>
  <c r="Q244" i="6"/>
  <c r="Q245" i="6" s="1"/>
  <c r="U244" i="6"/>
  <c r="U245" i="6" s="1"/>
  <c r="Y244" i="6"/>
  <c r="Y245" i="6" s="1"/>
  <c r="AC244" i="6"/>
  <c r="AC359" i="6" s="1"/>
  <c r="P19" i="19" s="1"/>
  <c r="AN244" i="6"/>
  <c r="AN359" i="6" s="1"/>
  <c r="AR244" i="6"/>
  <c r="AR245" i="6" s="1"/>
  <c r="AV244" i="6"/>
  <c r="AV359" i="6" s="1"/>
  <c r="BH244" i="6"/>
  <c r="BH359" i="6" s="1"/>
  <c r="T12" i="19" s="1"/>
  <c r="T13" i="19" s="1"/>
  <c r="BL244" i="6"/>
  <c r="BL359" i="6" s="1"/>
  <c r="X12" i="19" s="1"/>
  <c r="X13" i="19" s="1"/>
  <c r="BT244" i="6"/>
  <c r="BT359" i="6" s="1"/>
  <c r="N5" i="19" s="1"/>
  <c r="N6" i="19" s="1"/>
  <c r="BX244" i="6"/>
  <c r="BX359" i="6" s="1"/>
  <c r="R5" i="19" s="1"/>
  <c r="R6" i="19" s="1"/>
  <c r="CB244" i="6"/>
  <c r="CB245" i="6" s="1"/>
  <c r="CF244" i="6"/>
  <c r="CF359" i="6" s="1"/>
  <c r="Z5" i="19" s="1"/>
  <c r="Z6" i="19" s="1"/>
  <c r="AC225" i="37"/>
  <c r="AC243" i="36"/>
  <c r="AC308" i="34"/>
  <c r="CN91" i="6"/>
  <c r="CN126" i="6"/>
  <c r="AK114" i="30"/>
  <c r="AI244" i="6"/>
  <c r="AI245" i="6" s="1"/>
  <c r="CN165" i="6"/>
  <c r="AK179" i="34"/>
  <c r="CI228" i="6"/>
  <c r="CL325" i="6"/>
  <c r="CN325" i="6" s="1"/>
  <c r="CL81" i="6"/>
  <c r="CN81" i="6" s="1"/>
  <c r="CN112" i="6" s="1"/>
  <c r="CI112" i="6"/>
  <c r="CN139" i="6"/>
  <c r="AK141" i="7"/>
  <c r="CI220" i="6"/>
  <c r="B226" i="19" s="1"/>
  <c r="CL228" i="6"/>
  <c r="CL186" i="6"/>
  <c r="CI214" i="6"/>
  <c r="CI180" i="6"/>
  <c r="AZ244" i="6"/>
  <c r="AZ245" i="6" s="1"/>
  <c r="BD244" i="6"/>
  <c r="BD359" i="6" s="1"/>
  <c r="P12" i="19" s="1"/>
  <c r="AH244" i="6"/>
  <c r="AH359" i="6" s="1"/>
  <c r="F244" i="6"/>
  <c r="J244" i="6"/>
  <c r="J359" i="6" s="1"/>
  <c r="F5" i="19" s="1"/>
  <c r="F6" i="19" s="1"/>
  <c r="R244" i="6"/>
  <c r="R359" i="6" s="1"/>
  <c r="E19" i="19" s="1"/>
  <c r="E20" i="19" s="1"/>
  <c r="V244" i="6"/>
  <c r="V359" i="6" s="1"/>
  <c r="I19" i="19" s="1"/>
  <c r="I20" i="19" s="1"/>
  <c r="Z244" i="6"/>
  <c r="Z359" i="6" s="1"/>
  <c r="AD244" i="6"/>
  <c r="AD359" i="6" s="1"/>
  <c r="AS244" i="6"/>
  <c r="AS359" i="6" s="1"/>
  <c r="AW244" i="6"/>
  <c r="AW359" i="6" s="1"/>
  <c r="BA244" i="6"/>
  <c r="BE244" i="6"/>
  <c r="BE245" i="6" s="1"/>
  <c r="BI244" i="6"/>
  <c r="BI245" i="6" s="1"/>
  <c r="BM244" i="6"/>
  <c r="BM245" i="6" s="1"/>
  <c r="BQ244" i="6"/>
  <c r="BQ359" i="6" s="1"/>
  <c r="K5" i="19" s="1"/>
  <c r="BU244" i="6"/>
  <c r="BU359" i="6" s="1"/>
  <c r="O5" i="19" s="1"/>
  <c r="O6" i="19" s="1"/>
  <c r="CC244" i="6"/>
  <c r="CC245" i="6" s="1"/>
  <c r="CG244" i="6"/>
  <c r="CG359" i="6" s="1"/>
  <c r="AA5" i="19" s="1"/>
  <c r="AA6" i="19" s="1"/>
  <c r="AM244" i="6"/>
  <c r="AM245" i="6" s="1"/>
  <c r="G244" i="6"/>
  <c r="G245" i="6" s="1"/>
  <c r="K244" i="6"/>
  <c r="K359" i="6" s="1"/>
  <c r="G5" i="19" s="1"/>
  <c r="G6" i="19" s="1"/>
  <c r="O244" i="6"/>
  <c r="O245" i="6" s="1"/>
  <c r="S244" i="6"/>
  <c r="S245" i="6" s="1"/>
  <c r="AA244" i="6"/>
  <c r="AA359" i="6" s="1"/>
  <c r="AE244" i="6"/>
  <c r="AE245" i="6" s="1"/>
  <c r="AJ244" i="6"/>
  <c r="AJ359" i="6" s="1"/>
  <c r="AP244" i="6"/>
  <c r="AP359" i="6" s="1"/>
  <c r="B12" i="19" s="1"/>
  <c r="AT244" i="6"/>
  <c r="AT245" i="6" s="1"/>
  <c r="BB244" i="6"/>
  <c r="BB245" i="6" s="1"/>
  <c r="BF244" i="6"/>
  <c r="BF359" i="6" s="1"/>
  <c r="BJ244" i="6"/>
  <c r="BJ245" i="6" s="1"/>
  <c r="BN244" i="6"/>
  <c r="BN359" i="6" s="1"/>
  <c r="Z12" i="19" s="1"/>
  <c r="Z13" i="19" s="1"/>
  <c r="BR244" i="6"/>
  <c r="BR245" i="6" s="1"/>
  <c r="BV244" i="6"/>
  <c r="BV359" i="6" s="1"/>
  <c r="P5" i="19" s="1"/>
  <c r="P6" i="19" s="1"/>
  <c r="CD244" i="6"/>
  <c r="CD245" i="6" s="1"/>
  <c r="N244" i="6"/>
  <c r="H244" i="6"/>
  <c r="L244" i="6"/>
  <c r="L359" i="6" s="1"/>
  <c r="H5" i="19" s="1"/>
  <c r="H6" i="19" s="1"/>
  <c r="P244" i="6"/>
  <c r="P245" i="6" s="1"/>
  <c r="T244" i="6"/>
  <c r="T245" i="6" s="1"/>
  <c r="X244" i="6"/>
  <c r="X245" i="6" s="1"/>
  <c r="AB244" i="6"/>
  <c r="AB245" i="6" s="1"/>
  <c r="AL244" i="6"/>
  <c r="AL245" i="6" s="1"/>
  <c r="AQ244" i="6"/>
  <c r="AQ359" i="6" s="1"/>
  <c r="AU244" i="6"/>
  <c r="AU245" i="6" s="1"/>
  <c r="BC244" i="6"/>
  <c r="BC245" i="6" s="1"/>
  <c r="BK244" i="6"/>
  <c r="BK245" i="6" s="1"/>
  <c r="BO244" i="6"/>
  <c r="BO359" i="6" s="1"/>
  <c r="AA12" i="19" s="1"/>
  <c r="AA13" i="19" s="1"/>
  <c r="BS244" i="6"/>
  <c r="BS245" i="6" s="1"/>
  <c r="BW244" i="6"/>
  <c r="BW359" i="6" s="1"/>
  <c r="Q5" i="19" s="1"/>
  <c r="Q6" i="19" s="1"/>
  <c r="CA244" i="6"/>
  <c r="CA359" i="6" s="1"/>
  <c r="U5" i="19" s="1"/>
  <c r="U6" i="19" s="1"/>
  <c r="CE244" i="6"/>
  <c r="CE359" i="6" s="1"/>
  <c r="Y5" i="19" s="1"/>
  <c r="Y6" i="19" s="1"/>
  <c r="AX351" i="6"/>
  <c r="W351" i="6"/>
  <c r="BQ351" i="6"/>
  <c r="CL329" i="6"/>
  <c r="CL77" i="6"/>
  <c r="CN40" i="6"/>
  <c r="CI6" i="6"/>
  <c r="CL6" i="6" s="1"/>
  <c r="CN6" i="6" s="1"/>
  <c r="CI77" i="6"/>
  <c r="CI114" i="6"/>
  <c r="CI146" i="6" s="1"/>
  <c r="CL242" i="6"/>
  <c r="CI4" i="6"/>
  <c r="CI5" i="6"/>
  <c r="CL148" i="6"/>
  <c r="CL217" i="6"/>
  <c r="CN217" i="6" s="1"/>
  <c r="CN223" i="6"/>
  <c r="CN228" i="6" s="1"/>
  <c r="CL231" i="6"/>
  <c r="CN237" i="6"/>
  <c r="CN242" i="6" s="1"/>
  <c r="AK180" i="6"/>
  <c r="AK244" i="6" s="1"/>
  <c r="CN216" i="6"/>
  <c r="CI253" i="6"/>
  <c r="CL253" i="6" s="1"/>
  <c r="CN253" i="6" s="1"/>
  <c r="AM351" i="6"/>
  <c r="CI249" i="6"/>
  <c r="CL356" i="6"/>
  <c r="CN354" i="6"/>
  <c r="CN356" i="6" s="1"/>
  <c r="CI356" i="6"/>
  <c r="BH127" i="33"/>
  <c r="AF127" i="33"/>
  <c r="F127" i="33"/>
  <c r="BK123" i="33"/>
  <c r="BJ123" i="33"/>
  <c r="BI123" i="33"/>
  <c r="BH123" i="33"/>
  <c r="BG123" i="33"/>
  <c r="C305" i="19" s="1"/>
  <c r="BF123" i="33"/>
  <c r="C312" i="19" s="1"/>
  <c r="BE123" i="33"/>
  <c r="BD123" i="33"/>
  <c r="C307" i="19" s="1"/>
  <c r="D308" i="19" s="1"/>
  <c r="BC123" i="33"/>
  <c r="BB123" i="33"/>
  <c r="BA123" i="33"/>
  <c r="AZ123" i="33"/>
  <c r="AY123" i="33"/>
  <c r="C298" i="19" s="1"/>
  <c r="AV123" i="33"/>
  <c r="C315" i="19" s="1"/>
  <c r="AT123" i="33"/>
  <c r="C304" i="19" s="1"/>
  <c r="AS123" i="33"/>
  <c r="AR123" i="33"/>
  <c r="C306" i="19" s="1"/>
  <c r="D306" i="19" s="1"/>
  <c r="AQ123" i="33"/>
  <c r="AO123" i="33"/>
  <c r="AN123" i="33"/>
  <c r="C299" i="19" s="1"/>
  <c r="AL123" i="33"/>
  <c r="C314" i="19" s="1"/>
  <c r="AK123" i="33"/>
  <c r="AI123" i="33"/>
  <c r="C295" i="19" s="1"/>
  <c r="D296" i="19" s="1"/>
  <c r="AH123" i="33"/>
  <c r="C294" i="19" s="1"/>
  <c r="AG123" i="33"/>
  <c r="C293" i="19" s="1"/>
  <c r="D293" i="19" s="1"/>
  <c r="AF123" i="33"/>
  <c r="AE123" i="33"/>
  <c r="B305" i="19" s="1"/>
  <c r="AD123" i="33"/>
  <c r="B312" i="19" s="1"/>
  <c r="AC123" i="33"/>
  <c r="AB123" i="33"/>
  <c r="AA123" i="33"/>
  <c r="Z123" i="33"/>
  <c r="B316" i="19" s="1"/>
  <c r="D316" i="19" s="1"/>
  <c r="Y123" i="33"/>
  <c r="B307" i="19" s="1"/>
  <c r="X123" i="33"/>
  <c r="U123" i="33"/>
  <c r="B315" i="19" s="1"/>
  <c r="S123" i="33"/>
  <c r="B304" i="19" s="1"/>
  <c r="P123" i="33"/>
  <c r="B301" i="19" s="1"/>
  <c r="D301" i="19" s="1"/>
  <c r="O123" i="33"/>
  <c r="B300" i="19" s="1"/>
  <c r="M123" i="33"/>
  <c r="B297" i="19" s="1"/>
  <c r="L123" i="33"/>
  <c r="K123" i="33"/>
  <c r="B314" i="19" s="1"/>
  <c r="J123" i="33"/>
  <c r="H123" i="33"/>
  <c r="B295" i="19" s="1"/>
  <c r="E123" i="33"/>
  <c r="B292" i="19" s="1"/>
  <c r="D292" i="19" s="1"/>
  <c r="D122" i="33"/>
  <c r="D121" i="33"/>
  <c r="BM120" i="33"/>
  <c r="BL120" i="33"/>
  <c r="D120" i="33"/>
  <c r="D119" i="33"/>
  <c r="BM117" i="33"/>
  <c r="BL117" i="33"/>
  <c r="D117" i="33"/>
  <c r="D116" i="33"/>
  <c r="BM114" i="33"/>
  <c r="BL114" i="33"/>
  <c r="D114" i="33"/>
  <c r="C114" i="33" s="1"/>
  <c r="D113" i="33"/>
  <c r="D112" i="33"/>
  <c r="BM111" i="33"/>
  <c r="BL111" i="33"/>
  <c r="D111" i="33"/>
  <c r="D110" i="33"/>
  <c r="D109" i="33"/>
  <c r="BM108" i="33"/>
  <c r="BL108" i="33"/>
  <c r="D108" i="33"/>
  <c r="D107" i="33"/>
  <c r="D106" i="33"/>
  <c r="BM105" i="33"/>
  <c r="BL105" i="33"/>
  <c r="D105" i="33"/>
  <c r="D104" i="33"/>
  <c r="D101" i="33"/>
  <c r="BM100" i="33"/>
  <c r="BL100" i="33"/>
  <c r="D100" i="33"/>
  <c r="D99" i="33"/>
  <c r="D97" i="33"/>
  <c r="BM96" i="33"/>
  <c r="BL96" i="33"/>
  <c r="D95" i="33"/>
  <c r="D93" i="33"/>
  <c r="BM92" i="33"/>
  <c r="BL92" i="33"/>
  <c r="D92" i="33"/>
  <c r="D91" i="33"/>
  <c r="D90" i="33"/>
  <c r="D89" i="33"/>
  <c r="BM88" i="33"/>
  <c r="BL88" i="33"/>
  <c r="D88" i="33"/>
  <c r="D87" i="33"/>
  <c r="D86" i="33"/>
  <c r="D85" i="33"/>
  <c r="BM84" i="33"/>
  <c r="BL84" i="33"/>
  <c r="D84" i="33"/>
  <c r="D83" i="33"/>
  <c r="D81" i="33"/>
  <c r="D80" i="33"/>
  <c r="BM79" i="33"/>
  <c r="BL79" i="33"/>
  <c r="D79" i="33"/>
  <c r="D78" i="33"/>
  <c r="D77" i="33"/>
  <c r="D76" i="33"/>
  <c r="BM75" i="33"/>
  <c r="BL75" i="33"/>
  <c r="D75" i="33"/>
  <c r="D74" i="33"/>
  <c r="D73" i="33"/>
  <c r="D72" i="33"/>
  <c r="BM71" i="33"/>
  <c r="BL71" i="33"/>
  <c r="D71" i="33"/>
  <c r="D70" i="33"/>
  <c r="D68" i="33"/>
  <c r="BM67" i="33"/>
  <c r="BL67" i="33"/>
  <c r="D67" i="33"/>
  <c r="D66" i="33"/>
  <c r="D64" i="33"/>
  <c r="BM63" i="33"/>
  <c r="BL63" i="33"/>
  <c r="D63" i="33"/>
  <c r="D62" i="33"/>
  <c r="D60" i="33"/>
  <c r="F126" i="33"/>
  <c r="BL59" i="33"/>
  <c r="D59" i="33"/>
  <c r="D58" i="33"/>
  <c r="D57" i="33"/>
  <c r="D56" i="33"/>
  <c r="BM55" i="33"/>
  <c r="BL55" i="33"/>
  <c r="D55" i="33"/>
  <c r="D54" i="33"/>
  <c r="D52" i="33"/>
  <c r="BM51" i="33"/>
  <c r="BL51" i="33"/>
  <c r="D51" i="33"/>
  <c r="D46" i="33"/>
  <c r="BM43" i="33"/>
  <c r="BL43" i="33"/>
  <c r="D43" i="33"/>
  <c r="D42" i="33"/>
  <c r="D41" i="33"/>
  <c r="D40" i="33"/>
  <c r="BM39" i="33"/>
  <c r="BL39" i="33"/>
  <c r="D39" i="33"/>
  <c r="D38" i="33"/>
  <c r="D37" i="33"/>
  <c r="D36" i="33"/>
  <c r="BM35" i="33"/>
  <c r="BL35" i="33"/>
  <c r="D35" i="33"/>
  <c r="D34" i="33"/>
  <c r="D31" i="33"/>
  <c r="BM30" i="33"/>
  <c r="BL30" i="33"/>
  <c r="D30" i="33"/>
  <c r="D26" i="33"/>
  <c r="D25" i="33"/>
  <c r="BM24" i="33"/>
  <c r="D24" i="33"/>
  <c r="D23" i="33"/>
  <c r="D22" i="33"/>
  <c r="D21" i="33"/>
  <c r="BM20" i="33"/>
  <c r="D20" i="33"/>
  <c r="D19" i="33"/>
  <c r="D18" i="33"/>
  <c r="BM17" i="33"/>
  <c r="D16" i="33"/>
  <c r="D14" i="33"/>
  <c r="BM13" i="33"/>
  <c r="D13" i="33"/>
  <c r="D12" i="33"/>
  <c r="D10" i="33"/>
  <c r="D8" i="33"/>
  <c r="D6" i="33"/>
  <c r="BM5" i="33"/>
  <c r="BL5" i="33"/>
  <c r="D5" i="33"/>
  <c r="AL68" i="44" l="1"/>
  <c r="AN68" i="44" s="1"/>
  <c r="AK54" i="43"/>
  <c r="AM54" i="43" s="1"/>
  <c r="D305" i="19"/>
  <c r="CN77" i="6"/>
  <c r="AA82" i="42"/>
  <c r="AC82" i="42" s="1"/>
  <c r="D312" i="19"/>
  <c r="C13" i="33"/>
  <c r="CL112" i="6"/>
  <c r="C20" i="33"/>
  <c r="C24" i="33"/>
  <c r="D304" i="19"/>
  <c r="AL68" i="39"/>
  <c r="AK53" i="40"/>
  <c r="D299" i="19"/>
  <c r="D300" i="19"/>
  <c r="BL245" i="6"/>
  <c r="BX245" i="6"/>
  <c r="AZ359" i="6"/>
  <c r="L12" i="19" s="1"/>
  <c r="L13" i="19" s="1"/>
  <c r="AN245" i="6"/>
  <c r="Y359" i="6"/>
  <c r="L19" i="19" s="1"/>
  <c r="L20" i="19" s="1"/>
  <c r="D295" i="19"/>
  <c r="D314" i="19"/>
  <c r="D315" i="19"/>
  <c r="D307" i="19"/>
  <c r="D294" i="19"/>
  <c r="C319" i="19"/>
  <c r="D320" i="19" s="1"/>
  <c r="D297" i="19"/>
  <c r="N160" i="19"/>
  <c r="BI359" i="6"/>
  <c r="U12" i="19" s="1"/>
  <c r="U13" i="19" s="1"/>
  <c r="CB359" i="6"/>
  <c r="V5" i="19" s="1"/>
  <c r="V6" i="19" s="1"/>
  <c r="CC359" i="6"/>
  <c r="W5" i="19" s="1"/>
  <c r="W6" i="19" s="1"/>
  <c r="CG245" i="6"/>
  <c r="BE359" i="6"/>
  <c r="Q12" i="19" s="1"/>
  <c r="Q13" i="19" s="1"/>
  <c r="AT359" i="6"/>
  <c r="F12" i="19" s="1"/>
  <c r="F13" i="19" s="1"/>
  <c r="G359" i="6"/>
  <c r="C5" i="19" s="1"/>
  <c r="C6" i="19" s="1"/>
  <c r="BU245" i="6"/>
  <c r="BT245" i="6"/>
  <c r="AA245" i="6"/>
  <c r="J245" i="6"/>
  <c r="S359" i="6"/>
  <c r="F19" i="19" s="1"/>
  <c r="F20" i="19" s="1"/>
  <c r="BQ245" i="6"/>
  <c r="Z245" i="6"/>
  <c r="AR359" i="6"/>
  <c r="AR360" i="6" s="1"/>
  <c r="AG359" i="6"/>
  <c r="T19" i="19" s="1"/>
  <c r="T20" i="19" s="1"/>
  <c r="D226" i="19"/>
  <c r="T359" i="6"/>
  <c r="G19" i="19" s="1"/>
  <c r="G20" i="19" s="1"/>
  <c r="BV245" i="6"/>
  <c r="BN245" i="6"/>
  <c r="CF245" i="6"/>
  <c r="BJ359" i="6"/>
  <c r="V12" i="19" s="1"/>
  <c r="V13" i="19" s="1"/>
  <c r="AW245" i="6"/>
  <c r="V245" i="6"/>
  <c r="BH245" i="6"/>
  <c r="AJ245" i="6"/>
  <c r="BM359" i="6"/>
  <c r="Y12" i="19" s="1"/>
  <c r="Y13" i="19" s="1"/>
  <c r="CD359" i="6"/>
  <c r="X5" i="19" s="1"/>
  <c r="X6" i="19" s="1"/>
  <c r="AY245" i="6"/>
  <c r="Q359" i="6"/>
  <c r="D19" i="19" s="1"/>
  <c r="D20" i="19" s="1"/>
  <c r="U359" i="6"/>
  <c r="H19" i="19" s="1"/>
  <c r="H20" i="19" s="1"/>
  <c r="O359" i="6"/>
  <c r="B19" i="19" s="1"/>
  <c r="B20" i="19" s="1"/>
  <c r="BS359" i="6"/>
  <c r="M5" i="19" s="1"/>
  <c r="M6" i="19" s="1"/>
  <c r="AQ245" i="6"/>
  <c r="CA245" i="6"/>
  <c r="AB359" i="6"/>
  <c r="AB360" i="6" s="1"/>
  <c r="CI350" i="6"/>
  <c r="CI351" i="6" s="1"/>
  <c r="CI36" i="6"/>
  <c r="CI244" i="6" s="1"/>
  <c r="R245" i="6"/>
  <c r="BR359" i="6"/>
  <c r="L5" i="19" s="1"/>
  <c r="L6" i="19" s="1"/>
  <c r="K245" i="6"/>
  <c r="AV245" i="6"/>
  <c r="I245" i="6"/>
  <c r="N19" i="19"/>
  <c r="N20" i="19" s="1"/>
  <c r="M19" i="19"/>
  <c r="M20" i="19" s="1"/>
  <c r="AN360" i="6"/>
  <c r="V19" i="19"/>
  <c r="V20" i="19" s="1"/>
  <c r="X19" i="19"/>
  <c r="X20" i="19" s="1"/>
  <c r="U19" i="19"/>
  <c r="U20" i="19" s="1"/>
  <c r="Q19" i="19"/>
  <c r="CJ360" i="6"/>
  <c r="AD245" i="6"/>
  <c r="CM245" i="6"/>
  <c r="CJ245" i="6"/>
  <c r="AU359" i="6"/>
  <c r="M359" i="6"/>
  <c r="I5" i="19" s="1"/>
  <c r="I6" i="19" s="1"/>
  <c r="AH245" i="6"/>
  <c r="AE359" i="6"/>
  <c r="AC245" i="6"/>
  <c r="AI359" i="6"/>
  <c r="BO245" i="6"/>
  <c r="AS245" i="6"/>
  <c r="L245" i="6"/>
  <c r="P359" i="6"/>
  <c r="C19" i="19" s="1"/>
  <c r="C20" i="19" s="1"/>
  <c r="BB359" i="6"/>
  <c r="N12" i="19" s="1"/>
  <c r="N13" i="19" s="1"/>
  <c r="BW245" i="6"/>
  <c r="AL359" i="6"/>
  <c r="X359" i="6"/>
  <c r="X360" i="6" s="1"/>
  <c r="C39" i="33"/>
  <c r="C108" i="33"/>
  <c r="H12" i="19"/>
  <c r="H13" i="19" s="1"/>
  <c r="CE245" i="6"/>
  <c r="K12" i="19"/>
  <c r="K13" i="19" s="1"/>
  <c r="I12" i="19"/>
  <c r="I13" i="19" s="1"/>
  <c r="AK53" i="37"/>
  <c r="AK53" i="36"/>
  <c r="AK64" i="34"/>
  <c r="R12" i="19"/>
  <c r="R13" i="19" s="1"/>
  <c r="C12" i="19"/>
  <c r="C13" i="19" s="1"/>
  <c r="AP245" i="6"/>
  <c r="E12" i="19"/>
  <c r="E13" i="19" s="1"/>
  <c r="K6" i="19"/>
  <c r="BF245" i="6"/>
  <c r="BK359" i="6"/>
  <c r="W12" i="19" s="1"/>
  <c r="B13" i="19"/>
  <c r="CN186" i="6"/>
  <c r="BC359" i="6"/>
  <c r="E6" i="19"/>
  <c r="P20" i="19"/>
  <c r="P13" i="19"/>
  <c r="BH124" i="33"/>
  <c r="C92" i="33"/>
  <c r="C55" i="33"/>
  <c r="BB128" i="33"/>
  <c r="C59" i="33"/>
  <c r="C100" i="33"/>
  <c r="C111" i="33"/>
  <c r="C63" i="33"/>
  <c r="C75" i="33"/>
  <c r="C84" i="33"/>
  <c r="C117" i="33"/>
  <c r="C120" i="33"/>
  <c r="BD245" i="6"/>
  <c r="C88" i="33"/>
  <c r="C96" i="33"/>
  <c r="BD128" i="33"/>
  <c r="CA360" i="6"/>
  <c r="CG360" i="6"/>
  <c r="BU360" i="6"/>
  <c r="CF360" i="6"/>
  <c r="BX360" i="6"/>
  <c r="CE360" i="6"/>
  <c r="BW360" i="6"/>
  <c r="BT360" i="6"/>
  <c r="BV360" i="6"/>
  <c r="C17" i="33"/>
  <c r="CN329" i="6"/>
  <c r="C67" i="33"/>
  <c r="C43" i="33"/>
  <c r="C51" i="33"/>
  <c r="BL123" i="33"/>
  <c r="BO360" i="6"/>
  <c r="BN360" i="6"/>
  <c r="BL360" i="6"/>
  <c r="BF360" i="6"/>
  <c r="BD360" i="6"/>
  <c r="AQ360" i="6"/>
  <c r="AW360" i="6"/>
  <c r="AV360" i="6"/>
  <c r="AS360" i="6"/>
  <c r="AH360" i="6"/>
  <c r="AJ360" i="6"/>
  <c r="AD360" i="6"/>
  <c r="AA360" i="6"/>
  <c r="Z360" i="6"/>
  <c r="AC360" i="6"/>
  <c r="V360" i="6"/>
  <c r="R360" i="6"/>
  <c r="K360" i="6"/>
  <c r="I360" i="6"/>
  <c r="J360" i="6"/>
  <c r="L360" i="6"/>
  <c r="AK359" i="6"/>
  <c r="AK245" i="6"/>
  <c r="BA359" i="6"/>
  <c r="BA245" i="6"/>
  <c r="CL5" i="6"/>
  <c r="CL36" i="6" s="1"/>
  <c r="AK39" i="43" s="1"/>
  <c r="AM39" i="43" s="1"/>
  <c r="CL114" i="6"/>
  <c r="CL146" i="6" s="1"/>
  <c r="CL180" i="6"/>
  <c r="CN148" i="6"/>
  <c r="CN180" i="6" s="1"/>
  <c r="CN220" i="6"/>
  <c r="CL234" i="6"/>
  <c r="CN231" i="6"/>
  <c r="CN234" i="6" s="1"/>
  <c r="CE367" i="6"/>
  <c r="AP360" i="6"/>
  <c r="AM359" i="6"/>
  <c r="AA19" i="19" s="1"/>
  <c r="CL220" i="6"/>
  <c r="BQ360" i="6"/>
  <c r="H359" i="6"/>
  <c r="D5" i="19" s="1"/>
  <c r="D6" i="19" s="1"/>
  <c r="H245" i="6"/>
  <c r="CL249" i="6"/>
  <c r="CL350" i="6" s="1"/>
  <c r="CL182" i="6"/>
  <c r="CL214" i="6" s="1"/>
  <c r="AY360" i="6"/>
  <c r="CL4" i="6"/>
  <c r="BZ359" i="6"/>
  <c r="T5" i="19" s="1"/>
  <c r="BZ245" i="6"/>
  <c r="BH360" i="6"/>
  <c r="F359" i="6"/>
  <c r="B5" i="19" s="1"/>
  <c r="B6" i="19" s="1"/>
  <c r="F245" i="6"/>
  <c r="AF124" i="33"/>
  <c r="C5" i="33"/>
  <c r="C71" i="33"/>
  <c r="C79" i="33"/>
  <c r="C105" i="33"/>
  <c r="C30" i="33"/>
  <c r="C35" i="33"/>
  <c r="Y128" i="33"/>
  <c r="BM9" i="33"/>
  <c r="BM123" i="33" s="1"/>
  <c r="BM128" i="33" s="1"/>
  <c r="W123" i="33"/>
  <c r="B298" i="19" s="1"/>
  <c r="D298" i="19" s="1"/>
  <c r="D9" i="33"/>
  <c r="C9" i="33" s="1"/>
  <c r="BC128" i="33"/>
  <c r="BH84" i="3"/>
  <c r="AA27" i="42" l="1"/>
  <c r="AL32" i="44"/>
  <c r="AL104" i="39"/>
  <c r="AN104" i="39" s="1"/>
  <c r="AL104" i="44"/>
  <c r="AN104" i="44" s="1"/>
  <c r="Y360" i="6"/>
  <c r="AL32" i="39"/>
  <c r="AK38" i="40"/>
  <c r="AZ360" i="6"/>
  <c r="CB360" i="6"/>
  <c r="B319" i="19"/>
  <c r="D319" i="19"/>
  <c r="F316" i="19" s="1"/>
  <c r="BI360" i="6"/>
  <c r="D12" i="19"/>
  <c r="D13" i="19" s="1"/>
  <c r="BE360" i="6"/>
  <c r="CC360" i="6"/>
  <c r="AT360" i="6"/>
  <c r="AG360" i="6"/>
  <c r="AP362" i="6"/>
  <c r="G360" i="6"/>
  <c r="S360" i="6"/>
  <c r="Q360" i="6"/>
  <c r="BJ360" i="6"/>
  <c r="BM360" i="6"/>
  <c r="T360" i="6"/>
  <c r="BS360" i="6"/>
  <c r="T14" i="19"/>
  <c r="CD360" i="6"/>
  <c r="U360" i="6"/>
  <c r="O360" i="6"/>
  <c r="BQ362" i="6"/>
  <c r="BR360" i="6"/>
  <c r="O19" i="19"/>
  <c r="O20" i="19" s="1"/>
  <c r="E124" i="33"/>
  <c r="K8" i="19"/>
  <c r="K7" i="19"/>
  <c r="B22" i="19"/>
  <c r="O362" i="6"/>
  <c r="AU360" i="6"/>
  <c r="G12" i="19"/>
  <c r="G13" i="19" s="1"/>
  <c r="K19" i="19"/>
  <c r="K20" i="19" s="1"/>
  <c r="W19" i="19"/>
  <c r="Z19" i="19"/>
  <c r="Z20" i="19" s="1"/>
  <c r="Y19" i="19"/>
  <c r="Y20" i="19" s="1"/>
  <c r="R19" i="19"/>
  <c r="R20" i="19" s="1"/>
  <c r="Q20" i="19"/>
  <c r="P360" i="6"/>
  <c r="BB360" i="6"/>
  <c r="M360" i="6"/>
  <c r="AE360" i="6"/>
  <c r="X361" i="6" s="1"/>
  <c r="AI360" i="6"/>
  <c r="X362" i="6"/>
  <c r="AL360" i="6"/>
  <c r="B21" i="19"/>
  <c r="BH362" i="6"/>
  <c r="O12" i="19"/>
  <c r="O13" i="19" s="1"/>
  <c r="M12" i="19"/>
  <c r="M13" i="19" s="1"/>
  <c r="AK39" i="34"/>
  <c r="AK38" i="37"/>
  <c r="AK38" i="36"/>
  <c r="BK360" i="6"/>
  <c r="W13" i="19"/>
  <c r="T15" i="19" s="1"/>
  <c r="B7" i="19"/>
  <c r="BC360" i="6"/>
  <c r="B8" i="19"/>
  <c r="AY362" i="6"/>
  <c r="AA20" i="19"/>
  <c r="T7" i="19"/>
  <c r="T6" i="19"/>
  <c r="AB5" i="19"/>
  <c r="M194" i="19" s="1"/>
  <c r="CL244" i="6"/>
  <c r="AG362" i="6"/>
  <c r="CI245" i="6"/>
  <c r="BA360" i="6"/>
  <c r="AM360" i="6"/>
  <c r="AK360" i="6"/>
  <c r="H360" i="6"/>
  <c r="C124" i="33"/>
  <c r="F362" i="6"/>
  <c r="F360" i="6"/>
  <c r="BZ362" i="6"/>
  <c r="BZ360" i="6"/>
  <c r="CN182" i="6"/>
  <c r="CN214" i="6" s="1"/>
  <c r="CN114" i="6"/>
  <c r="CN146" i="6" s="1"/>
  <c r="CN4" i="6"/>
  <c r="CL351" i="6"/>
  <c r="CN249" i="6"/>
  <c r="CN5" i="6"/>
  <c r="CN36" i="6" s="1"/>
  <c r="E32" i="29"/>
  <c r="AF30" i="29"/>
  <c r="AI30" i="29" s="1"/>
  <c r="AK30" i="29" s="1"/>
  <c r="AF25" i="29"/>
  <c r="AI25" i="29" s="1"/>
  <c r="AK25" i="29" s="1"/>
  <c r="AF24" i="29"/>
  <c r="AI24" i="29" s="1"/>
  <c r="AK24" i="29" s="1"/>
  <c r="B15" i="19" l="1"/>
  <c r="BZ361" i="6"/>
  <c r="AP361" i="6"/>
  <c r="BQ361" i="6"/>
  <c r="BH361" i="6"/>
  <c r="O361" i="6"/>
  <c r="T21" i="19"/>
  <c r="K22" i="19"/>
  <c r="B14" i="19"/>
  <c r="AB19" i="19"/>
  <c r="M199" i="19" s="1"/>
  <c r="W20" i="19"/>
  <c r="T22" i="19" s="1"/>
  <c r="K21" i="19"/>
  <c r="K15" i="19"/>
  <c r="K14" i="19"/>
  <c r="AY361" i="6"/>
  <c r="AB12" i="19"/>
  <c r="M195" i="19" s="1"/>
  <c r="T8" i="19"/>
  <c r="AB6" i="19"/>
  <c r="CN244" i="6"/>
  <c r="CN350" i="6"/>
  <c r="CN351" i="6" s="1"/>
  <c r="AG361" i="6"/>
  <c r="CI359" i="6"/>
  <c r="CI360" i="6" s="1"/>
  <c r="CL245" i="6"/>
  <c r="F361" i="6"/>
  <c r="AB20" i="19" l="1"/>
  <c r="AB13" i="19"/>
  <c r="CE365" i="6"/>
  <c r="CL359" i="6"/>
  <c r="CL360" i="6" s="1"/>
  <c r="CN359" i="6"/>
  <c r="CN360" i="6" s="1"/>
  <c r="CN245" i="6"/>
  <c r="AF308" i="29"/>
  <c r="AI308" i="29" s="1"/>
  <c r="AK308" i="29" s="1"/>
  <c r="AF307" i="29"/>
  <c r="AI307" i="29" s="1"/>
  <c r="AK307" i="29" s="1"/>
  <c r="AF306" i="29"/>
  <c r="AI306" i="29" s="1"/>
  <c r="AK306" i="29" s="1"/>
  <c r="AF305" i="29"/>
  <c r="AI305" i="29" s="1"/>
  <c r="AK305" i="29" s="1"/>
  <c r="AF304" i="29"/>
  <c r="AI304" i="29" s="1"/>
  <c r="AK304" i="29" s="1"/>
  <c r="AF303" i="29"/>
  <c r="AI303" i="29" s="1"/>
  <c r="AK303" i="29" s="1"/>
  <c r="D44" i="2" l="1"/>
  <c r="D39" i="3" l="1"/>
  <c r="D34" i="1"/>
  <c r="D84" i="1" l="1"/>
  <c r="D70" i="3"/>
  <c r="D79" i="1"/>
  <c r="D57" i="2" l="1"/>
  <c r="D52" i="1"/>
  <c r="D47" i="2"/>
  <c r="D30" i="1"/>
  <c r="D28" i="4" l="1"/>
  <c r="D20" i="1"/>
  <c r="D12" i="1"/>
  <c r="D9" i="2"/>
  <c r="D67" i="2" l="1"/>
  <c r="AE246" i="7"/>
  <c r="D47" i="4"/>
  <c r="D48" i="4"/>
  <c r="D51" i="4"/>
  <c r="D44" i="4"/>
  <c r="B266" i="19" l="1"/>
  <c r="C266" i="19"/>
  <c r="D267" i="19" s="1"/>
  <c r="AI218" i="31"/>
  <c r="AF218" i="31"/>
  <c r="AC218" i="31"/>
  <c r="AB218" i="31"/>
  <c r="AA218" i="31"/>
  <c r="Z218" i="31"/>
  <c r="Y218" i="31"/>
  <c r="X218" i="31"/>
  <c r="W218" i="31"/>
  <c r="V218" i="31"/>
  <c r="T218" i="31"/>
  <c r="S218" i="31"/>
  <c r="R218" i="31"/>
  <c r="Q218" i="31"/>
  <c r="P218" i="31"/>
  <c r="O218" i="31"/>
  <c r="N218" i="31"/>
  <c r="M218" i="31"/>
  <c r="K218" i="31"/>
  <c r="J218" i="31"/>
  <c r="I218" i="31"/>
  <c r="H218" i="31"/>
  <c r="G218" i="31"/>
  <c r="F218" i="31"/>
  <c r="E218" i="31"/>
  <c r="AE217" i="31"/>
  <c r="AH217" i="31" s="1"/>
  <c r="AJ217" i="31" s="1"/>
  <c r="AE216" i="31"/>
  <c r="AI212" i="31"/>
  <c r="AI213" i="31" s="1"/>
  <c r="AG212" i="31"/>
  <c r="AG213" i="31" s="1"/>
  <c r="AF212" i="31"/>
  <c r="AC212" i="31"/>
  <c r="AC213" i="31" s="1"/>
  <c r="AB212" i="31"/>
  <c r="AB213" i="31" s="1"/>
  <c r="AA212" i="31"/>
  <c r="AA213" i="31" s="1"/>
  <c r="Z212" i="31"/>
  <c r="Z213" i="31" s="1"/>
  <c r="Y212" i="31"/>
  <c r="Y213" i="31" s="1"/>
  <c r="X212" i="31"/>
  <c r="X213" i="31" s="1"/>
  <c r="W212" i="31"/>
  <c r="W213" i="31" s="1"/>
  <c r="V212" i="31"/>
  <c r="V213" i="31" s="1"/>
  <c r="T212" i="31"/>
  <c r="T213" i="31" s="1"/>
  <c r="S212" i="31"/>
  <c r="S213" i="31" s="1"/>
  <c r="R212" i="31"/>
  <c r="R213" i="31" s="1"/>
  <c r="Q212" i="31"/>
  <c r="Q213" i="31" s="1"/>
  <c r="P212" i="31"/>
  <c r="P213" i="31" s="1"/>
  <c r="O212" i="31"/>
  <c r="O213" i="31" s="1"/>
  <c r="N212" i="31"/>
  <c r="N213" i="31" s="1"/>
  <c r="M212" i="31"/>
  <c r="M213" i="31" s="1"/>
  <c r="K212" i="31"/>
  <c r="K213" i="31" s="1"/>
  <c r="J212" i="31"/>
  <c r="J213" i="31" s="1"/>
  <c r="I212" i="31"/>
  <c r="I213" i="31" s="1"/>
  <c r="H212" i="31"/>
  <c r="H213" i="31" s="1"/>
  <c r="G212" i="31"/>
  <c r="G213" i="31" s="1"/>
  <c r="F212" i="31"/>
  <c r="F213" i="31" s="1"/>
  <c r="E212" i="31"/>
  <c r="E213" i="31" s="1"/>
  <c r="AE211" i="31"/>
  <c r="AH211" i="31" s="1"/>
  <c r="AJ211" i="31" s="1"/>
  <c r="AE210" i="31"/>
  <c r="AH210" i="31" s="1"/>
  <c r="AJ210" i="31" s="1"/>
  <c r="AE209" i="31"/>
  <c r="AH209" i="31" s="1"/>
  <c r="AJ209" i="31" s="1"/>
  <c r="AE208" i="31"/>
  <c r="AH208" i="31" s="1"/>
  <c r="AJ208" i="31" s="1"/>
  <c r="AE207" i="31"/>
  <c r="AH207" i="31" s="1"/>
  <c r="AJ207" i="31" s="1"/>
  <c r="AE206" i="31"/>
  <c r="AH206" i="31" s="1"/>
  <c r="AJ206" i="31" s="1"/>
  <c r="AE205" i="31"/>
  <c r="AH205" i="31" s="1"/>
  <c r="AJ205" i="31" s="1"/>
  <c r="AE204" i="31"/>
  <c r="AH204" i="31" s="1"/>
  <c r="AJ204" i="31" s="1"/>
  <c r="AE203" i="31"/>
  <c r="AH203" i="31" s="1"/>
  <c r="AJ203" i="31" s="1"/>
  <c r="AE202" i="31"/>
  <c r="AH202" i="31" s="1"/>
  <c r="AJ202" i="31" s="1"/>
  <c r="AE201" i="31"/>
  <c r="AH201" i="31" s="1"/>
  <c r="AJ201" i="31" s="1"/>
  <c r="AE200" i="31"/>
  <c r="AH200" i="31" s="1"/>
  <c r="AJ200" i="31" s="1"/>
  <c r="AE199" i="31"/>
  <c r="AH199" i="31" s="1"/>
  <c r="AJ199" i="31" s="1"/>
  <c r="AE198" i="31"/>
  <c r="AH198" i="31" s="1"/>
  <c r="AJ198" i="31" s="1"/>
  <c r="AE197" i="31"/>
  <c r="AH197" i="31" s="1"/>
  <c r="AJ197" i="31" s="1"/>
  <c r="AE196" i="31"/>
  <c r="AH196" i="31" s="1"/>
  <c r="AJ196" i="31" s="1"/>
  <c r="AE195" i="31"/>
  <c r="AH195" i="31" s="1"/>
  <c r="AJ195" i="31" s="1"/>
  <c r="AE194" i="31"/>
  <c r="AH194" i="31" s="1"/>
  <c r="AJ194" i="31" s="1"/>
  <c r="AE193" i="31"/>
  <c r="AH193" i="31" s="1"/>
  <c r="AJ193" i="31" s="1"/>
  <c r="AE192" i="31"/>
  <c r="AH192" i="31" s="1"/>
  <c r="AJ192" i="31" s="1"/>
  <c r="AE191" i="31"/>
  <c r="AH191" i="31" s="1"/>
  <c r="AJ191" i="31" s="1"/>
  <c r="AE190" i="31"/>
  <c r="AH190" i="31" s="1"/>
  <c r="AJ190" i="31" s="1"/>
  <c r="AE189" i="31"/>
  <c r="AH189" i="31" s="1"/>
  <c r="AJ189" i="31" s="1"/>
  <c r="AE188" i="31"/>
  <c r="AH188" i="31" s="1"/>
  <c r="AJ188" i="31" s="1"/>
  <c r="AE187" i="31"/>
  <c r="AH187" i="31" s="1"/>
  <c r="AJ187" i="31" s="1"/>
  <c r="AE186" i="31"/>
  <c r="AH186" i="31" s="1"/>
  <c r="AJ186" i="31" s="1"/>
  <c r="AE185" i="31"/>
  <c r="AH185" i="31" s="1"/>
  <c r="AJ185" i="31" s="1"/>
  <c r="AE184" i="31"/>
  <c r="AH184" i="31" s="1"/>
  <c r="AJ184" i="31" s="1"/>
  <c r="AE183" i="31"/>
  <c r="AH183" i="31" s="1"/>
  <c r="AJ183" i="31" s="1"/>
  <c r="AE182" i="31"/>
  <c r="AH182" i="31" s="1"/>
  <c r="AJ182" i="31" s="1"/>
  <c r="AE181" i="31"/>
  <c r="AH181" i="31" s="1"/>
  <c r="AJ181" i="31" s="1"/>
  <c r="AE180" i="31"/>
  <c r="AH180" i="31" s="1"/>
  <c r="AJ180" i="31" s="1"/>
  <c r="AE179" i="31"/>
  <c r="AH179" i="31" s="1"/>
  <c r="AJ179" i="31" s="1"/>
  <c r="AE178" i="31"/>
  <c r="AH178" i="31" s="1"/>
  <c r="AJ178" i="31" s="1"/>
  <c r="AE177" i="31"/>
  <c r="AH177" i="31" s="1"/>
  <c r="AJ177" i="31" s="1"/>
  <c r="AE176" i="31"/>
  <c r="AH176" i="31" s="1"/>
  <c r="AJ176" i="31" s="1"/>
  <c r="AE175" i="31"/>
  <c r="AH175" i="31" s="1"/>
  <c r="AJ175" i="31" s="1"/>
  <c r="AE174" i="31"/>
  <c r="AH174" i="31" s="1"/>
  <c r="AJ174" i="31" s="1"/>
  <c r="AE173" i="31"/>
  <c r="AH173" i="31" s="1"/>
  <c r="AJ173" i="31" s="1"/>
  <c r="AE172" i="31"/>
  <c r="AH172" i="31" s="1"/>
  <c r="AJ172" i="31" s="1"/>
  <c r="AE171" i="31"/>
  <c r="AH171" i="31" s="1"/>
  <c r="AJ171" i="31" s="1"/>
  <c r="AE170" i="31"/>
  <c r="AH170" i="31" s="1"/>
  <c r="AJ170" i="31" s="1"/>
  <c r="AE169" i="31"/>
  <c r="AH169" i="31" s="1"/>
  <c r="AJ169" i="31" s="1"/>
  <c r="AE168" i="31"/>
  <c r="AH168" i="31" s="1"/>
  <c r="AJ168" i="31" s="1"/>
  <c r="AE167" i="31"/>
  <c r="AH167" i="31" s="1"/>
  <c r="AJ167" i="31" s="1"/>
  <c r="AE166" i="31"/>
  <c r="AH166" i="31" s="1"/>
  <c r="AJ166" i="31" s="1"/>
  <c r="AE165" i="31"/>
  <c r="AH165" i="31" s="1"/>
  <c r="AJ165" i="31" s="1"/>
  <c r="AE164" i="31"/>
  <c r="AH164" i="31" s="1"/>
  <c r="AJ164" i="31" s="1"/>
  <c r="AE163" i="31"/>
  <c r="AH163" i="31" s="1"/>
  <c r="AJ163" i="31" s="1"/>
  <c r="AE162" i="31"/>
  <c r="AH162" i="31" s="1"/>
  <c r="AJ162" i="31" s="1"/>
  <c r="AE161" i="31"/>
  <c r="AH161" i="31" s="1"/>
  <c r="AJ161" i="31" s="1"/>
  <c r="AE160" i="31"/>
  <c r="AH160" i="31" s="1"/>
  <c r="AJ160" i="31" s="1"/>
  <c r="AE159" i="31"/>
  <c r="AH159" i="31" s="1"/>
  <c r="AJ159" i="31" s="1"/>
  <c r="AE158" i="31"/>
  <c r="AH158" i="31" s="1"/>
  <c r="AJ158" i="31" s="1"/>
  <c r="AE157" i="31"/>
  <c r="AH157" i="31" s="1"/>
  <c r="AJ157" i="31" s="1"/>
  <c r="AE156" i="31"/>
  <c r="AH156" i="31" s="1"/>
  <c r="AJ156" i="31" s="1"/>
  <c r="AE155" i="31"/>
  <c r="AH155" i="31" s="1"/>
  <c r="AJ155" i="31" s="1"/>
  <c r="AE154" i="31"/>
  <c r="AH154" i="31" s="1"/>
  <c r="AJ154" i="31" s="1"/>
  <c r="AE153" i="31"/>
  <c r="AH153" i="31" s="1"/>
  <c r="AJ153" i="31" s="1"/>
  <c r="AE151" i="31"/>
  <c r="AH151" i="31" s="1"/>
  <c r="AJ151" i="31" s="1"/>
  <c r="AE150" i="31"/>
  <c r="AH150" i="31" s="1"/>
  <c r="AC146" i="31"/>
  <c r="AI143" i="31"/>
  <c r="AF143" i="31"/>
  <c r="AC143" i="31"/>
  <c r="AB143" i="31"/>
  <c r="AA143" i="31"/>
  <c r="Z143" i="31"/>
  <c r="Y143" i="31"/>
  <c r="X143" i="31"/>
  <c r="W143" i="31"/>
  <c r="V143" i="31"/>
  <c r="T143" i="31"/>
  <c r="S143" i="31"/>
  <c r="R143" i="31"/>
  <c r="Q143" i="31"/>
  <c r="P143" i="31"/>
  <c r="O143" i="31"/>
  <c r="N143" i="31"/>
  <c r="M143" i="31"/>
  <c r="K143" i="31"/>
  <c r="J143" i="31"/>
  <c r="I143" i="31"/>
  <c r="H143" i="31"/>
  <c r="G143" i="31"/>
  <c r="F143" i="31"/>
  <c r="E143" i="31"/>
  <c r="AE142" i="31"/>
  <c r="AH142" i="31" s="1"/>
  <c r="AJ142" i="31" s="1"/>
  <c r="AE141" i="31"/>
  <c r="AH141" i="31" s="1"/>
  <c r="AJ141" i="31" s="1"/>
  <c r="AE140" i="31"/>
  <c r="AH140" i="31" s="1"/>
  <c r="AJ140" i="31" s="1"/>
  <c r="AE139" i="31"/>
  <c r="AE138" i="31"/>
  <c r="AH138" i="31" s="1"/>
  <c r="AI135" i="31"/>
  <c r="AF135" i="31"/>
  <c r="AC135" i="31"/>
  <c r="AB135" i="31"/>
  <c r="AA135" i="31"/>
  <c r="Z135" i="31"/>
  <c r="Y135" i="31"/>
  <c r="X135" i="31"/>
  <c r="W135" i="31"/>
  <c r="V135" i="31"/>
  <c r="T135" i="31"/>
  <c r="S135" i="31"/>
  <c r="R135" i="31"/>
  <c r="Q135" i="31"/>
  <c r="P135" i="31"/>
  <c r="O135" i="31"/>
  <c r="N135" i="31"/>
  <c r="M135" i="31"/>
  <c r="K135" i="31"/>
  <c r="J135" i="31"/>
  <c r="I135" i="31"/>
  <c r="H135" i="31"/>
  <c r="G135" i="31"/>
  <c r="F135" i="31"/>
  <c r="E135" i="31"/>
  <c r="AE134" i="31"/>
  <c r="AH134" i="31" s="1"/>
  <c r="AJ134" i="31" s="1"/>
  <c r="AE133" i="31"/>
  <c r="AH133" i="31" s="1"/>
  <c r="AJ133" i="31" s="1"/>
  <c r="AE132" i="31"/>
  <c r="AH132" i="31" s="1"/>
  <c r="AJ132" i="31" s="1"/>
  <c r="AE131" i="31"/>
  <c r="AH131" i="31" s="1"/>
  <c r="AJ131" i="31" s="1"/>
  <c r="AE130" i="31"/>
  <c r="AH130" i="31" s="1"/>
  <c r="AJ130" i="31" s="1"/>
  <c r="AE129" i="31"/>
  <c r="AI126" i="31"/>
  <c r="AF126" i="31"/>
  <c r="AC126" i="31"/>
  <c r="AB126" i="31"/>
  <c r="AA126" i="31"/>
  <c r="Z126" i="31"/>
  <c r="Y126" i="31"/>
  <c r="X126" i="31"/>
  <c r="W126" i="31"/>
  <c r="V126" i="31"/>
  <c r="T126" i="31"/>
  <c r="S126" i="31"/>
  <c r="R126" i="31"/>
  <c r="Q126" i="31"/>
  <c r="P126" i="31"/>
  <c r="O126" i="31"/>
  <c r="N126" i="31"/>
  <c r="M126" i="31"/>
  <c r="K126" i="31"/>
  <c r="J126" i="31"/>
  <c r="I126" i="31"/>
  <c r="H126" i="31"/>
  <c r="G126" i="31"/>
  <c r="F126" i="31"/>
  <c r="E126" i="31"/>
  <c r="AE125" i="31"/>
  <c r="AH125" i="31" s="1"/>
  <c r="AJ125" i="31" s="1"/>
  <c r="AE124" i="31"/>
  <c r="AH124" i="31" s="1"/>
  <c r="AJ124" i="31" s="1"/>
  <c r="AE123" i="31"/>
  <c r="AH123" i="31" s="1"/>
  <c r="AJ123" i="31" s="1"/>
  <c r="AE122" i="31"/>
  <c r="AI119" i="31"/>
  <c r="AG119" i="31"/>
  <c r="AF119" i="31"/>
  <c r="AC119" i="31"/>
  <c r="AB119" i="31"/>
  <c r="AA119" i="31"/>
  <c r="Z119" i="31"/>
  <c r="Y119" i="31"/>
  <c r="X119" i="31"/>
  <c r="W119" i="31"/>
  <c r="V119" i="31"/>
  <c r="T119" i="31"/>
  <c r="S119" i="31"/>
  <c r="R119" i="31"/>
  <c r="Q119" i="31"/>
  <c r="P119" i="31"/>
  <c r="O119" i="31"/>
  <c r="N119" i="31"/>
  <c r="M119" i="31"/>
  <c r="K119" i="31"/>
  <c r="J119" i="31"/>
  <c r="I119" i="31"/>
  <c r="H119" i="31"/>
  <c r="G119" i="31"/>
  <c r="F119" i="31"/>
  <c r="E119" i="31"/>
  <c r="AE118" i="31"/>
  <c r="AH118" i="31" s="1"/>
  <c r="AJ118" i="31" s="1"/>
  <c r="AE117" i="31"/>
  <c r="AH117" i="31" s="1"/>
  <c r="AJ117" i="31" s="1"/>
  <c r="AE116" i="31"/>
  <c r="AH116" i="31" s="1"/>
  <c r="AJ116" i="31" s="1"/>
  <c r="AE115" i="31"/>
  <c r="AH115" i="31" s="1"/>
  <c r="AJ115" i="31" s="1"/>
  <c r="AE114" i="31"/>
  <c r="AH114" i="31" s="1"/>
  <c r="AI110" i="31"/>
  <c r="AG110" i="31"/>
  <c r="AF110" i="31"/>
  <c r="AD110" i="31"/>
  <c r="AC110" i="31"/>
  <c r="AB110" i="31"/>
  <c r="AA110" i="31"/>
  <c r="Z110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AE109" i="31"/>
  <c r="AH109" i="31" s="1"/>
  <c r="AJ109" i="31" s="1"/>
  <c r="AE108" i="31"/>
  <c r="AH108" i="31" s="1"/>
  <c r="AJ108" i="31" s="1"/>
  <c r="AE107" i="31"/>
  <c r="AH107" i="31" s="1"/>
  <c r="AJ107" i="31" s="1"/>
  <c r="AE106" i="31"/>
  <c r="AH106" i="31" s="1"/>
  <c r="AJ106" i="31" s="1"/>
  <c r="AE105" i="31"/>
  <c r="AE104" i="31"/>
  <c r="AH104" i="31" s="1"/>
  <c r="AJ104" i="31" s="1"/>
  <c r="AE103" i="31"/>
  <c r="AH103" i="31" s="1"/>
  <c r="AJ103" i="31" s="1"/>
  <c r="AE102" i="31"/>
  <c r="AH102" i="31" s="1"/>
  <c r="AJ102" i="31" s="1"/>
  <c r="AE101" i="31"/>
  <c r="AH101" i="31" s="1"/>
  <c r="AJ101" i="31" s="1"/>
  <c r="AE100" i="31"/>
  <c r="AH100" i="31" s="1"/>
  <c r="AJ100" i="31" s="1"/>
  <c r="AE99" i="31"/>
  <c r="AH99" i="31" s="1"/>
  <c r="AJ99" i="31" s="1"/>
  <c r="AE98" i="31"/>
  <c r="AH98" i="31" s="1"/>
  <c r="AJ98" i="31" s="1"/>
  <c r="AI82" i="31"/>
  <c r="AG82" i="31"/>
  <c r="AF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AE81" i="31"/>
  <c r="AH81" i="31" s="1"/>
  <c r="AJ81" i="31" s="1"/>
  <c r="AE80" i="31"/>
  <c r="AH80" i="31" s="1"/>
  <c r="AJ80" i="31" s="1"/>
  <c r="AE79" i="31"/>
  <c r="AH79" i="31" s="1"/>
  <c r="AJ79" i="31" s="1"/>
  <c r="AE78" i="31"/>
  <c r="AH78" i="31" s="1"/>
  <c r="AJ78" i="31" s="1"/>
  <c r="AE77" i="31"/>
  <c r="AH77" i="31" s="1"/>
  <c r="AJ77" i="31" s="1"/>
  <c r="AE76" i="31"/>
  <c r="AH76" i="31" s="1"/>
  <c r="AJ76" i="31" s="1"/>
  <c r="AE75" i="31"/>
  <c r="AH75" i="31" s="1"/>
  <c r="AJ75" i="31" s="1"/>
  <c r="AE74" i="31"/>
  <c r="AH74" i="31" s="1"/>
  <c r="AJ74" i="31" s="1"/>
  <c r="AE73" i="31"/>
  <c r="AH73" i="31" s="1"/>
  <c r="AJ73" i="31" s="1"/>
  <c r="AE72" i="31"/>
  <c r="AH72" i="31" s="1"/>
  <c r="AJ72" i="31" s="1"/>
  <c r="AE71" i="31"/>
  <c r="AE70" i="31"/>
  <c r="AH70" i="31" s="1"/>
  <c r="AJ70" i="31" s="1"/>
  <c r="AI68" i="31"/>
  <c r="AG68" i="31"/>
  <c r="AF68" i="31"/>
  <c r="AC68" i="31"/>
  <c r="AB68" i="31"/>
  <c r="AA68" i="31"/>
  <c r="Z68" i="31"/>
  <c r="Y68" i="31"/>
  <c r="X68" i="31"/>
  <c r="W68" i="31"/>
  <c r="V68" i="31"/>
  <c r="T68" i="31"/>
  <c r="S68" i="31"/>
  <c r="R68" i="31"/>
  <c r="Q68" i="31"/>
  <c r="P68" i="31"/>
  <c r="O68" i="31"/>
  <c r="N68" i="31"/>
  <c r="M68" i="31"/>
  <c r="K68" i="31"/>
  <c r="J68" i="31"/>
  <c r="I68" i="31"/>
  <c r="H68" i="31"/>
  <c r="G68" i="31"/>
  <c r="F68" i="31"/>
  <c r="E68" i="31"/>
  <c r="AE67" i="31"/>
  <c r="AH67" i="31" s="1"/>
  <c r="AJ67" i="31" s="1"/>
  <c r="AE66" i="31"/>
  <c r="AH66" i="31" s="1"/>
  <c r="AJ66" i="31" s="1"/>
  <c r="AE65" i="31"/>
  <c r="AH65" i="31" s="1"/>
  <c r="AJ65" i="31" s="1"/>
  <c r="AE64" i="31"/>
  <c r="AH64" i="31" s="1"/>
  <c r="AJ64" i="31" s="1"/>
  <c r="AE63" i="31"/>
  <c r="AH63" i="31" s="1"/>
  <c r="AJ63" i="31" s="1"/>
  <c r="AE62" i="31"/>
  <c r="AH62" i="31" s="1"/>
  <c r="AJ62" i="31" s="1"/>
  <c r="AE61" i="31"/>
  <c r="AH61" i="31" s="1"/>
  <c r="AJ61" i="31" s="1"/>
  <c r="AE60" i="31"/>
  <c r="AH60" i="31" s="1"/>
  <c r="AJ60" i="31" s="1"/>
  <c r="AE59" i="31"/>
  <c r="AH59" i="31" s="1"/>
  <c r="AJ59" i="31" s="1"/>
  <c r="AE58" i="31"/>
  <c r="AH58" i="31" s="1"/>
  <c r="AJ58" i="31" s="1"/>
  <c r="AE57" i="31"/>
  <c r="AH57" i="31" s="1"/>
  <c r="AJ57" i="31" s="1"/>
  <c r="AE56" i="31"/>
  <c r="AI53" i="31"/>
  <c r="AG53" i="31"/>
  <c r="AF53" i="31"/>
  <c r="AC53" i="31"/>
  <c r="AB53" i="31"/>
  <c r="AA53" i="31"/>
  <c r="Z53" i="31"/>
  <c r="Y53" i="31"/>
  <c r="X53" i="31"/>
  <c r="W53" i="31"/>
  <c r="V53" i="31"/>
  <c r="T53" i="31"/>
  <c r="S53" i="31"/>
  <c r="R53" i="31"/>
  <c r="Q53" i="31"/>
  <c r="P53" i="31"/>
  <c r="O53" i="31"/>
  <c r="N53" i="31"/>
  <c r="M53" i="31"/>
  <c r="K53" i="31"/>
  <c r="J53" i="31"/>
  <c r="I53" i="31"/>
  <c r="H53" i="31"/>
  <c r="G53" i="31"/>
  <c r="F53" i="31"/>
  <c r="E53" i="31"/>
  <c r="AE52" i="31"/>
  <c r="AH52" i="31" s="1"/>
  <c r="AJ52" i="31" s="1"/>
  <c r="AE51" i="31"/>
  <c r="AH51" i="31" s="1"/>
  <c r="AJ51" i="31" s="1"/>
  <c r="AE50" i="31"/>
  <c r="AH50" i="31" s="1"/>
  <c r="AJ50" i="31" s="1"/>
  <c r="AE49" i="31"/>
  <c r="AH49" i="31" s="1"/>
  <c r="AJ49" i="31" s="1"/>
  <c r="AE48" i="31"/>
  <c r="AH48" i="31" s="1"/>
  <c r="AJ48" i="31" s="1"/>
  <c r="AE47" i="31"/>
  <c r="AH47" i="31" s="1"/>
  <c r="AJ47" i="31" s="1"/>
  <c r="AE46" i="31"/>
  <c r="AH46" i="31" s="1"/>
  <c r="AJ46" i="31" s="1"/>
  <c r="AE45" i="31"/>
  <c r="AH45" i="31" s="1"/>
  <c r="AJ45" i="31" s="1"/>
  <c r="AE44" i="31"/>
  <c r="AH44" i="31" s="1"/>
  <c r="AJ44" i="31" s="1"/>
  <c r="AE43" i="31"/>
  <c r="AH43" i="31" s="1"/>
  <c r="AJ43" i="31" s="1"/>
  <c r="AE42" i="31"/>
  <c r="AH42" i="31" s="1"/>
  <c r="AJ42" i="31" s="1"/>
  <c r="AE41" i="31"/>
  <c r="AH41" i="31" s="1"/>
  <c r="AI38" i="31"/>
  <c r="AG38" i="31"/>
  <c r="AF38" i="31"/>
  <c r="AD38" i="31"/>
  <c r="AD145" i="31" s="1"/>
  <c r="AD146" i="31" s="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L145" i="31" s="1"/>
  <c r="K38" i="31"/>
  <c r="J38" i="31"/>
  <c r="I38" i="31"/>
  <c r="H38" i="31"/>
  <c r="G38" i="31"/>
  <c r="F38" i="31"/>
  <c r="E38" i="31"/>
  <c r="AE37" i="31"/>
  <c r="AH37" i="31" s="1"/>
  <c r="AJ37" i="31" s="1"/>
  <c r="AE36" i="31"/>
  <c r="AH36" i="31" s="1"/>
  <c r="AJ36" i="31" s="1"/>
  <c r="AE35" i="31"/>
  <c r="AH35" i="31" s="1"/>
  <c r="AJ35" i="31" s="1"/>
  <c r="AE34" i="31"/>
  <c r="AH34" i="31" s="1"/>
  <c r="AJ34" i="31" s="1"/>
  <c r="AE33" i="31"/>
  <c r="AH33" i="31" s="1"/>
  <c r="AJ33" i="31" s="1"/>
  <c r="AE32" i="31"/>
  <c r="AH32" i="31" s="1"/>
  <c r="AJ32" i="31" s="1"/>
  <c r="AE31" i="31"/>
  <c r="AH31" i="31" s="1"/>
  <c r="AJ31" i="31" s="1"/>
  <c r="AE30" i="31"/>
  <c r="AH30" i="31" s="1"/>
  <c r="AJ30" i="31" s="1"/>
  <c r="AE29" i="31"/>
  <c r="AH29" i="31" s="1"/>
  <c r="AJ29" i="31" s="1"/>
  <c r="AE28" i="31"/>
  <c r="AH28" i="31" s="1"/>
  <c r="AJ28" i="31" s="1"/>
  <c r="AE27" i="31"/>
  <c r="AH27" i="31" s="1"/>
  <c r="AJ27" i="31" s="1"/>
  <c r="AE26" i="31"/>
  <c r="AH26" i="31" s="1"/>
  <c r="AJ26" i="31" s="1"/>
  <c r="AE25" i="31"/>
  <c r="AH25" i="31" s="1"/>
  <c r="AJ25" i="31" s="1"/>
  <c r="AE24" i="31"/>
  <c r="AH24" i="31" s="1"/>
  <c r="AJ24" i="31" s="1"/>
  <c r="AE23" i="31"/>
  <c r="AH23" i="31" s="1"/>
  <c r="AJ23" i="31" s="1"/>
  <c r="AE22" i="31"/>
  <c r="AH22" i="31" s="1"/>
  <c r="AJ22" i="31" s="1"/>
  <c r="AE21" i="31"/>
  <c r="AH21" i="31" s="1"/>
  <c r="AJ21" i="31" s="1"/>
  <c r="AE20" i="31"/>
  <c r="AH20" i="31" s="1"/>
  <c r="AJ20" i="31" s="1"/>
  <c r="AE19" i="31"/>
  <c r="AH19" i="31" s="1"/>
  <c r="AJ19" i="31" s="1"/>
  <c r="AE18" i="31"/>
  <c r="AH18" i="31" s="1"/>
  <c r="AJ18" i="31" s="1"/>
  <c r="AE17" i="31"/>
  <c r="AH17" i="31" s="1"/>
  <c r="AJ17" i="31" s="1"/>
  <c r="AE16" i="31"/>
  <c r="AH16" i="31" s="1"/>
  <c r="AJ16" i="31" s="1"/>
  <c r="AE15" i="31"/>
  <c r="AH15" i="31" s="1"/>
  <c r="AJ15" i="31" s="1"/>
  <c r="AE14" i="31"/>
  <c r="AH14" i="31" s="1"/>
  <c r="AJ14" i="31" s="1"/>
  <c r="AE13" i="31"/>
  <c r="AH13" i="31" s="1"/>
  <c r="AJ13" i="31" s="1"/>
  <c r="AE12" i="31"/>
  <c r="AH12" i="31" s="1"/>
  <c r="AJ12" i="31" s="1"/>
  <c r="AE11" i="31"/>
  <c r="AH11" i="31" s="1"/>
  <c r="AJ11" i="31" s="1"/>
  <c r="AE10" i="31"/>
  <c r="AH10" i="31" s="1"/>
  <c r="AJ10" i="31" s="1"/>
  <c r="AE9" i="31"/>
  <c r="AH9" i="31" s="1"/>
  <c r="AJ9" i="31" s="1"/>
  <c r="AE8" i="31"/>
  <c r="AH8" i="31" s="1"/>
  <c r="AJ8" i="31" s="1"/>
  <c r="AE7" i="31"/>
  <c r="AH7" i="31" s="1"/>
  <c r="AJ7" i="31" s="1"/>
  <c r="AE6" i="31"/>
  <c r="AH6" i="31" s="1"/>
  <c r="AJ6" i="31" s="1"/>
  <c r="AE5" i="31"/>
  <c r="A4" i="31"/>
  <c r="D38" i="3"/>
  <c r="D16" i="3"/>
  <c r="H145" i="31" l="1"/>
  <c r="H146" i="31" s="1"/>
  <c r="P145" i="31"/>
  <c r="P146" i="31" s="1"/>
  <c r="X145" i="31"/>
  <c r="X222" i="31" s="1"/>
  <c r="V102" i="19" s="1"/>
  <c r="V103" i="19" s="1"/>
  <c r="AB145" i="31"/>
  <c r="AB222" i="31" s="1"/>
  <c r="Z102" i="19" s="1"/>
  <c r="Z103" i="19" s="1"/>
  <c r="I145" i="31"/>
  <c r="Q145" i="31"/>
  <c r="Y145" i="31"/>
  <c r="J145" i="31"/>
  <c r="R145" i="31"/>
  <c r="Z145" i="31"/>
  <c r="K145" i="31"/>
  <c r="K146" i="31" s="1"/>
  <c r="S145" i="31"/>
  <c r="S146" i="31" s="1"/>
  <c r="AA145" i="31"/>
  <c r="AA222" i="31" s="1"/>
  <c r="Y102" i="19" s="1"/>
  <c r="Y103" i="19" s="1"/>
  <c r="AI145" i="31"/>
  <c r="AF145" i="31"/>
  <c r="AF146" i="31" s="1"/>
  <c r="T145" i="31"/>
  <c r="T146" i="31" s="1"/>
  <c r="E145" i="31"/>
  <c r="E222" i="31" s="1"/>
  <c r="B102" i="19" s="1"/>
  <c r="B103" i="19" s="1"/>
  <c r="M145" i="31"/>
  <c r="M222" i="31" s="1"/>
  <c r="K102" i="19" s="1"/>
  <c r="AC145" i="31"/>
  <c r="AC222" i="31" s="1"/>
  <c r="AA102" i="19" s="1"/>
  <c r="AA103" i="19" s="1"/>
  <c r="F145" i="31"/>
  <c r="F146" i="31" s="1"/>
  <c r="N145" i="31"/>
  <c r="N222" i="31" s="1"/>
  <c r="L102" i="19" s="1"/>
  <c r="L103" i="19" s="1"/>
  <c r="V145" i="31"/>
  <c r="V222" i="31" s="1"/>
  <c r="T102" i="19" s="1"/>
  <c r="G145" i="31"/>
  <c r="G146" i="31" s="1"/>
  <c r="O145" i="31"/>
  <c r="O222" i="31" s="1"/>
  <c r="M102" i="19" s="1"/>
  <c r="M103" i="19" s="1"/>
  <c r="W145" i="31"/>
  <c r="W146" i="31" s="1"/>
  <c r="AF213" i="31"/>
  <c r="AE143" i="31"/>
  <c r="AE68" i="31"/>
  <c r="AE135" i="31"/>
  <c r="AE82" i="31"/>
  <c r="U145" i="31"/>
  <c r="AE110" i="31"/>
  <c r="AE126" i="31"/>
  <c r="AH53" i="31"/>
  <c r="AH212" i="31"/>
  <c r="AH213" i="31" s="1"/>
  <c r="AJ150" i="31"/>
  <c r="AJ212" i="31" s="1"/>
  <c r="AE213" i="31"/>
  <c r="AH71" i="31"/>
  <c r="AH105" i="31"/>
  <c r="AJ105" i="31" s="1"/>
  <c r="AJ110" i="31" s="1"/>
  <c r="AE4" i="31"/>
  <c r="AG145" i="31"/>
  <c r="AG146" i="31" s="1"/>
  <c r="AJ41" i="31"/>
  <c r="AJ53" i="31" s="1"/>
  <c r="AH122" i="31"/>
  <c r="AE38" i="31"/>
  <c r="AH5" i="31"/>
  <c r="AJ138" i="31"/>
  <c r="AE53" i="31"/>
  <c r="AJ114" i="31"/>
  <c r="AJ119" i="31" s="1"/>
  <c r="AH119" i="31"/>
  <c r="AE119" i="31"/>
  <c r="AE218" i="31"/>
  <c r="AH56" i="31"/>
  <c r="AE212" i="31"/>
  <c r="AH129" i="31"/>
  <c r="AH139" i="31"/>
  <c r="AJ139" i="31" s="1"/>
  <c r="AH216" i="31"/>
  <c r="W170" i="19" l="1"/>
  <c r="X160" i="19" s="1"/>
  <c r="AJ213" i="31"/>
  <c r="L180" i="19"/>
  <c r="N180" i="19" s="1"/>
  <c r="AE145" i="31"/>
  <c r="AE146" i="31" s="1"/>
  <c r="K222" i="31"/>
  <c r="H102" i="19" s="1"/>
  <c r="H103" i="19" s="1"/>
  <c r="AA146" i="31"/>
  <c r="T103" i="19"/>
  <c r="S222" i="31"/>
  <c r="Q102" i="19" s="1"/>
  <c r="Q103" i="19" s="1"/>
  <c r="M146" i="31"/>
  <c r="K103" i="19"/>
  <c r="E146" i="31"/>
  <c r="X146" i="31"/>
  <c r="V146" i="31"/>
  <c r="F222" i="31"/>
  <c r="C102" i="19" s="1"/>
  <c r="T222" i="31"/>
  <c r="AB146" i="31"/>
  <c r="AH110" i="31"/>
  <c r="G222" i="31"/>
  <c r="AI222" i="31"/>
  <c r="AI223" i="31" s="1"/>
  <c r="AI146" i="31"/>
  <c r="AF222" i="31"/>
  <c r="AC231" i="31" s="1"/>
  <c r="O146" i="31"/>
  <c r="AC223" i="31"/>
  <c r="P222" i="31"/>
  <c r="N102" i="19" s="1"/>
  <c r="N103" i="19" s="1"/>
  <c r="AH143" i="31"/>
  <c r="AJ143" i="31"/>
  <c r="N146" i="31"/>
  <c r="H222" i="31"/>
  <c r="E102" i="19" s="1"/>
  <c r="E103" i="19" s="1"/>
  <c r="N223" i="31"/>
  <c r="AB223" i="31"/>
  <c r="X223" i="31"/>
  <c r="O223" i="31"/>
  <c r="AA223" i="31"/>
  <c r="W222" i="31"/>
  <c r="U102" i="19" s="1"/>
  <c r="U103" i="19" s="1"/>
  <c r="E223" i="31"/>
  <c r="Y222" i="31"/>
  <c r="W102" i="19" s="1"/>
  <c r="W103" i="19" s="1"/>
  <c r="Y146" i="31"/>
  <c r="AH218" i="31"/>
  <c r="AJ216" i="31"/>
  <c r="AJ218" i="31" s="1"/>
  <c r="R222" i="31"/>
  <c r="P102" i="19" s="1"/>
  <c r="P103" i="19" s="1"/>
  <c r="R146" i="31"/>
  <c r="Q222" i="31"/>
  <c r="O102" i="19" s="1"/>
  <c r="O103" i="19" s="1"/>
  <c r="Q146" i="31"/>
  <c r="I222" i="31"/>
  <c r="F102" i="19" s="1"/>
  <c r="F103" i="19" s="1"/>
  <c r="I146" i="31"/>
  <c r="V223" i="31"/>
  <c r="AH135" i="31"/>
  <c r="AJ129" i="31"/>
  <c r="AJ135" i="31" s="1"/>
  <c r="AH38" i="31"/>
  <c r="AJ5" i="31"/>
  <c r="AJ38" i="31" s="1"/>
  <c r="AH126" i="31"/>
  <c r="AJ122" i="31"/>
  <c r="AJ126" i="31" s="1"/>
  <c r="Z222" i="31"/>
  <c r="X102" i="19" s="1"/>
  <c r="X103" i="19" s="1"/>
  <c r="Z146" i="31"/>
  <c r="J146" i="31"/>
  <c r="J222" i="31"/>
  <c r="G102" i="19" s="1"/>
  <c r="G103" i="19" s="1"/>
  <c r="AH4" i="31"/>
  <c r="M223" i="31"/>
  <c r="AJ71" i="31"/>
  <c r="AJ82" i="31" s="1"/>
  <c r="AH82" i="31"/>
  <c r="AH68" i="31"/>
  <c r="AJ56" i="31"/>
  <c r="AJ68" i="31" s="1"/>
  <c r="AH145" i="31" l="1"/>
  <c r="AH146" i="31" s="1"/>
  <c r="K223" i="31"/>
  <c r="T104" i="19"/>
  <c r="S223" i="31"/>
  <c r="T223" i="31"/>
  <c r="R102" i="19"/>
  <c r="G223" i="31"/>
  <c r="D102" i="19"/>
  <c r="D103" i="19" s="1"/>
  <c r="C103" i="19"/>
  <c r="F223" i="31"/>
  <c r="H223" i="31"/>
  <c r="AF223" i="31"/>
  <c r="P223" i="31"/>
  <c r="Z223" i="31"/>
  <c r="I223" i="31"/>
  <c r="J223" i="31"/>
  <c r="R223" i="31"/>
  <c r="Y223" i="31"/>
  <c r="Q223" i="31"/>
  <c r="W223" i="31"/>
  <c r="E225" i="31"/>
  <c r="M225" i="31"/>
  <c r="AE222" i="31"/>
  <c r="V225" i="31"/>
  <c r="AJ4" i="31"/>
  <c r="D51" i="3"/>
  <c r="D41" i="1"/>
  <c r="AJ145" i="31" l="1"/>
  <c r="AJ146" i="31" s="1"/>
  <c r="V224" i="31"/>
  <c r="M224" i="31"/>
  <c r="R103" i="19"/>
  <c r="K105" i="19" s="1"/>
  <c r="K104" i="19"/>
  <c r="AB102" i="19"/>
  <c r="M208" i="19" s="1"/>
  <c r="B104" i="19"/>
  <c r="B105" i="19"/>
  <c r="E224" i="31"/>
  <c r="AE223" i="31"/>
  <c r="AC229" i="31"/>
  <c r="AH222" i="31"/>
  <c r="AH223" i="31" s="1"/>
  <c r="D43" i="3"/>
  <c r="AJ222" i="31" l="1"/>
  <c r="AJ223" i="31" s="1"/>
  <c r="AB103" i="19"/>
  <c r="D24" i="4"/>
  <c r="D36" i="2" l="1"/>
  <c r="D21" i="3"/>
  <c r="D27" i="2"/>
  <c r="D24" i="2"/>
  <c r="D21" i="2"/>
  <c r="D9" i="3"/>
  <c r="D12" i="3"/>
  <c r="D16" i="2" l="1"/>
  <c r="D62" i="3" l="1"/>
  <c r="D58" i="3"/>
  <c r="D54" i="2"/>
  <c r="D50" i="2"/>
  <c r="D47" i="3"/>
  <c r="D46" i="3"/>
  <c r="D42" i="3"/>
  <c r="D41" i="4"/>
  <c r="D38" i="4"/>
  <c r="D41" i="2"/>
  <c r="D35" i="2"/>
  <c r="D34" i="4"/>
  <c r="D32" i="2"/>
  <c r="D31" i="4"/>
  <c r="D28" i="3"/>
  <c r="D77" i="3" l="1"/>
  <c r="D66" i="3" l="1"/>
  <c r="D55" i="3" l="1"/>
  <c r="D52" i="3"/>
  <c r="D35" i="3" l="1"/>
  <c r="D36" i="3"/>
  <c r="BB120" i="3" l="1"/>
  <c r="C218" i="19" s="1"/>
  <c r="AB120" i="3"/>
  <c r="B218" i="19" s="1"/>
  <c r="D218" i="19" l="1"/>
  <c r="U178" i="24"/>
  <c r="X178" i="24" s="1"/>
  <c r="Z178" i="24" s="1"/>
  <c r="AE156" i="15"/>
  <c r="AH156" i="15" s="1"/>
  <c r="AJ156" i="15" s="1"/>
  <c r="AF285" i="9"/>
  <c r="AI285" i="9" s="1"/>
  <c r="AK285" i="9" s="1"/>
  <c r="AE178" i="12"/>
  <c r="AH178" i="12" s="1"/>
  <c r="AJ178" i="12" s="1"/>
  <c r="C285" i="19" l="1"/>
  <c r="B285" i="19"/>
  <c r="D70" i="4"/>
  <c r="AR120" i="3" l="1"/>
  <c r="C213" i="19" s="1"/>
  <c r="U120" i="3"/>
  <c r="B213" i="19" s="1"/>
  <c r="D213" i="19" l="1"/>
  <c r="D36" i="4"/>
  <c r="BB33" i="4"/>
  <c r="BA33" i="4"/>
  <c r="D33" i="4"/>
  <c r="C33" i="4" l="1"/>
  <c r="D26" i="3"/>
  <c r="BH8" i="3" l="1"/>
  <c r="AE4" i="23"/>
  <c r="F118" i="1"/>
  <c r="B168" i="19" s="1"/>
  <c r="AU114" i="1"/>
  <c r="Y114" i="1"/>
  <c r="AF111" i="15" l="1"/>
  <c r="C278" i="19" l="1"/>
  <c r="C279" i="19"/>
  <c r="C277" i="19"/>
  <c r="C283" i="19"/>
  <c r="C282" i="19"/>
  <c r="C281" i="19"/>
  <c r="B278" i="19"/>
  <c r="B270" i="19"/>
  <c r="B276" i="19"/>
  <c r="B280" i="19"/>
  <c r="B272" i="19"/>
  <c r="B277" i="19"/>
  <c r="B279" i="19"/>
  <c r="B283" i="19"/>
  <c r="B282" i="19"/>
  <c r="B281" i="19"/>
  <c r="C261" i="19"/>
  <c r="C262" i="19"/>
  <c r="C263" i="19"/>
  <c r="C264" i="19"/>
  <c r="C286" i="19"/>
  <c r="C284" i="19"/>
  <c r="D285" i="19" s="1"/>
  <c r="C265" i="19"/>
  <c r="D266" i="19" s="1"/>
  <c r="C270" i="19"/>
  <c r="D271" i="19" s="1"/>
  <c r="C274" i="19"/>
  <c r="C276" i="19"/>
  <c r="C273" i="19"/>
  <c r="C280" i="19"/>
  <c r="C272" i="19"/>
  <c r="B274" i="19"/>
  <c r="Y120" i="3"/>
  <c r="B206" i="19" s="1"/>
  <c r="V114" i="1"/>
  <c r="B160" i="19" s="1"/>
  <c r="E114" i="1"/>
  <c r="B145" i="19" s="1"/>
  <c r="F114" i="1"/>
  <c r="B146" i="19" s="1"/>
  <c r="G114" i="1"/>
  <c r="B147" i="19" s="1"/>
  <c r="H114" i="1"/>
  <c r="B148" i="19" s="1"/>
  <c r="J114" i="1"/>
  <c r="K114" i="1"/>
  <c r="B163" i="19" s="1"/>
  <c r="L114" i="1"/>
  <c r="B152" i="19" s="1"/>
  <c r="N114" i="1"/>
  <c r="B156" i="19" s="1"/>
  <c r="P114" i="1"/>
  <c r="B157" i="19" s="1"/>
  <c r="Q114" i="1"/>
  <c r="B158" i="19" s="1"/>
  <c r="R114" i="1"/>
  <c r="B151" i="19" s="1"/>
  <c r="S114" i="1"/>
  <c r="T114" i="1"/>
  <c r="B161" i="19" s="1"/>
  <c r="U114" i="1"/>
  <c r="B159" i="19" s="1"/>
  <c r="W114" i="1"/>
  <c r="B164" i="19" s="1"/>
  <c r="X114" i="1"/>
  <c r="B166" i="19" s="1"/>
  <c r="Z114" i="1"/>
  <c r="B165" i="19" s="1"/>
  <c r="AA114" i="1"/>
  <c r="C145" i="19" s="1"/>
  <c r="AB114" i="1"/>
  <c r="C146" i="19" s="1"/>
  <c r="AC114" i="1"/>
  <c r="C147" i="19" s="1"/>
  <c r="AD114" i="1"/>
  <c r="C148" i="19" s="1"/>
  <c r="AF114" i="1"/>
  <c r="C149" i="19" s="1"/>
  <c r="AG114" i="1"/>
  <c r="C163" i="19" s="1"/>
  <c r="AH114" i="1"/>
  <c r="C152" i="19" s="1"/>
  <c r="AJ114" i="1"/>
  <c r="AL114" i="1"/>
  <c r="C157" i="19" s="1"/>
  <c r="AM114" i="1"/>
  <c r="C158" i="19" s="1"/>
  <c r="AN114" i="1"/>
  <c r="C151" i="19" s="1"/>
  <c r="AO114" i="1"/>
  <c r="AP114" i="1"/>
  <c r="C161" i="19" s="1"/>
  <c r="AQ114" i="1"/>
  <c r="C159" i="19" s="1"/>
  <c r="AR114" i="1"/>
  <c r="C160" i="19" s="1"/>
  <c r="AS114" i="1"/>
  <c r="C164" i="19" s="1"/>
  <c r="AT114" i="1"/>
  <c r="C166" i="19" s="1"/>
  <c r="AV114" i="1"/>
  <c r="C165" i="19" s="1"/>
  <c r="AW114" i="1"/>
  <c r="AX114" i="1"/>
  <c r="AY114" i="1"/>
  <c r="AZ114" i="1"/>
  <c r="D282" i="19" l="1"/>
  <c r="B149" i="19"/>
  <c r="D149" i="19" s="1"/>
  <c r="D279" i="19"/>
  <c r="D272" i="19"/>
  <c r="D280" i="19"/>
  <c r="D155" i="19"/>
  <c r="C156" i="19"/>
  <c r="D156" i="19" s="1"/>
  <c r="D146" i="19"/>
  <c r="D158" i="19"/>
  <c r="D165" i="19"/>
  <c r="D157" i="19"/>
  <c r="D145" i="19"/>
  <c r="D166" i="19"/>
  <c r="D160" i="19"/>
  <c r="D164" i="19"/>
  <c r="D152" i="19"/>
  <c r="D159" i="19"/>
  <c r="D163" i="19"/>
  <c r="D161" i="19"/>
  <c r="D150" i="19"/>
  <c r="D148" i="19"/>
  <c r="D151" i="19"/>
  <c r="D147" i="19"/>
  <c r="D281" i="19"/>
  <c r="D278" i="19"/>
  <c r="D277" i="19"/>
  <c r="D276" i="19"/>
  <c r="D270" i="19"/>
  <c r="D274" i="19"/>
  <c r="C287" i="19"/>
  <c r="D283" i="19"/>
  <c r="D98" i="4"/>
  <c r="B167" i="19" l="1"/>
  <c r="C167" i="19"/>
  <c r="D167" i="19"/>
  <c r="F166" i="19" l="1"/>
  <c r="AF69" i="15"/>
  <c r="AI262" i="30"/>
  <c r="AF262" i="30"/>
  <c r="AC262" i="30"/>
  <c r="AB262" i="30"/>
  <c r="AA262" i="30"/>
  <c r="Z262" i="30"/>
  <c r="Y262" i="30"/>
  <c r="X262" i="30"/>
  <c r="W262" i="30"/>
  <c r="V262" i="30"/>
  <c r="T262" i="30"/>
  <c r="S262" i="30"/>
  <c r="R262" i="30"/>
  <c r="Q262" i="30"/>
  <c r="P262" i="30"/>
  <c r="O262" i="30"/>
  <c r="N262" i="30"/>
  <c r="M262" i="30"/>
  <c r="K262" i="30"/>
  <c r="J262" i="30"/>
  <c r="I262" i="30"/>
  <c r="H262" i="30"/>
  <c r="G262" i="30"/>
  <c r="F262" i="30"/>
  <c r="E262" i="30"/>
  <c r="AE261" i="30"/>
  <c r="AH261" i="30" s="1"/>
  <c r="AJ261" i="30" s="1"/>
  <c r="AE260" i="30"/>
  <c r="AI256" i="30"/>
  <c r="AI257" i="30" s="1"/>
  <c r="AG256" i="30"/>
  <c r="AG257" i="30" s="1"/>
  <c r="AF256" i="30"/>
  <c r="M173" i="19" s="1"/>
  <c r="AC256" i="30"/>
  <c r="AC257" i="30" s="1"/>
  <c r="AB256" i="30"/>
  <c r="AB257" i="30" s="1"/>
  <c r="AA256" i="30"/>
  <c r="AA257" i="30" s="1"/>
  <c r="Z256" i="30"/>
  <c r="Z257" i="30" s="1"/>
  <c r="Y256" i="30"/>
  <c r="Y257" i="30" s="1"/>
  <c r="X256" i="30"/>
  <c r="X257" i="30" s="1"/>
  <c r="W256" i="30"/>
  <c r="W257" i="30" s="1"/>
  <c r="V256" i="30"/>
  <c r="V257" i="30" s="1"/>
  <c r="T256" i="30"/>
  <c r="T257" i="30" s="1"/>
  <c r="S256" i="30"/>
  <c r="S257" i="30" s="1"/>
  <c r="R256" i="30"/>
  <c r="R257" i="30" s="1"/>
  <c r="Q256" i="30"/>
  <c r="Q257" i="30" s="1"/>
  <c r="P256" i="30"/>
  <c r="P257" i="30" s="1"/>
  <c r="O256" i="30"/>
  <c r="O257" i="30" s="1"/>
  <c r="N256" i="30"/>
  <c r="N257" i="30" s="1"/>
  <c r="M256" i="30"/>
  <c r="M257" i="30" s="1"/>
  <c r="K256" i="30"/>
  <c r="K257" i="30" s="1"/>
  <c r="J256" i="30"/>
  <c r="J257" i="30" s="1"/>
  <c r="I256" i="30"/>
  <c r="I257" i="30" s="1"/>
  <c r="H256" i="30"/>
  <c r="H257" i="30" s="1"/>
  <c r="G256" i="30"/>
  <c r="G257" i="30" s="1"/>
  <c r="F256" i="30"/>
  <c r="F257" i="30" s="1"/>
  <c r="E256" i="30"/>
  <c r="E257" i="30" s="1"/>
  <c r="AE255" i="30"/>
  <c r="AH255" i="30" s="1"/>
  <c r="AJ255" i="30" s="1"/>
  <c r="AE254" i="30"/>
  <c r="AH254" i="30" s="1"/>
  <c r="AJ254" i="30" s="1"/>
  <c r="AE253" i="30"/>
  <c r="AH253" i="30" s="1"/>
  <c r="AJ253" i="30" s="1"/>
  <c r="AE252" i="30"/>
  <c r="AH252" i="30" s="1"/>
  <c r="AJ252" i="30" s="1"/>
  <c r="AE251" i="30"/>
  <c r="AH251" i="30" s="1"/>
  <c r="AJ251" i="30" s="1"/>
  <c r="AE250" i="30"/>
  <c r="AH250" i="30" s="1"/>
  <c r="AJ250" i="30" s="1"/>
  <c r="AE249" i="30"/>
  <c r="AH249" i="30" s="1"/>
  <c r="AJ249" i="30" s="1"/>
  <c r="AE248" i="30"/>
  <c r="AH248" i="30" s="1"/>
  <c r="AJ248" i="30" s="1"/>
  <c r="AE247" i="30"/>
  <c r="AH247" i="30" s="1"/>
  <c r="AJ247" i="30" s="1"/>
  <c r="AE246" i="30"/>
  <c r="AH246" i="30" s="1"/>
  <c r="AJ246" i="30" s="1"/>
  <c r="AE245" i="30"/>
  <c r="AH245" i="30" s="1"/>
  <c r="AJ245" i="30" s="1"/>
  <c r="AE244" i="30"/>
  <c r="AH244" i="30" s="1"/>
  <c r="AJ244" i="30" s="1"/>
  <c r="AE243" i="30"/>
  <c r="AH243" i="30" s="1"/>
  <c r="AJ243" i="30" s="1"/>
  <c r="AE242" i="30"/>
  <c r="AH242" i="30" s="1"/>
  <c r="AJ242" i="30" s="1"/>
  <c r="AE241" i="30"/>
  <c r="AH241" i="30" s="1"/>
  <c r="AJ241" i="30" s="1"/>
  <c r="AE240" i="30"/>
  <c r="AH240" i="30" s="1"/>
  <c r="AJ240" i="30" s="1"/>
  <c r="AE239" i="30"/>
  <c r="AH239" i="30" s="1"/>
  <c r="AJ239" i="30" s="1"/>
  <c r="AE238" i="30"/>
  <c r="AH238" i="30" s="1"/>
  <c r="AJ238" i="30" s="1"/>
  <c r="AE237" i="30"/>
  <c r="AH237" i="30" s="1"/>
  <c r="AJ237" i="30" s="1"/>
  <c r="AE236" i="30"/>
  <c r="AH236" i="30" s="1"/>
  <c r="AJ236" i="30" s="1"/>
  <c r="AE235" i="30"/>
  <c r="AH235" i="30" s="1"/>
  <c r="AJ235" i="30" s="1"/>
  <c r="AE234" i="30"/>
  <c r="AH234" i="30" s="1"/>
  <c r="AJ234" i="30" s="1"/>
  <c r="AE233" i="30"/>
  <c r="AH233" i="30" s="1"/>
  <c r="AJ233" i="30" s="1"/>
  <c r="AE232" i="30"/>
  <c r="AH232" i="30" s="1"/>
  <c r="AJ232" i="30" s="1"/>
  <c r="AE231" i="30"/>
  <c r="AH231" i="30" s="1"/>
  <c r="AJ231" i="30" s="1"/>
  <c r="AE230" i="30"/>
  <c r="AH230" i="30" s="1"/>
  <c r="AJ230" i="30" s="1"/>
  <c r="AE229" i="30"/>
  <c r="AH229" i="30" s="1"/>
  <c r="AJ229" i="30" s="1"/>
  <c r="AE228" i="30"/>
  <c r="AH228" i="30" s="1"/>
  <c r="AJ228" i="30" s="1"/>
  <c r="AE227" i="30"/>
  <c r="AH227" i="30" s="1"/>
  <c r="AJ227" i="30" s="1"/>
  <c r="AE226" i="30"/>
  <c r="AH226" i="30" s="1"/>
  <c r="AJ226" i="30" s="1"/>
  <c r="AE225" i="30"/>
  <c r="AH225" i="30" s="1"/>
  <c r="AJ225" i="30" s="1"/>
  <c r="AE224" i="30"/>
  <c r="AH224" i="30" s="1"/>
  <c r="AJ224" i="30" s="1"/>
  <c r="AE223" i="30"/>
  <c r="AH223" i="30" s="1"/>
  <c r="AJ223" i="30" s="1"/>
  <c r="AE222" i="30"/>
  <c r="AH222" i="30" s="1"/>
  <c r="AJ222" i="30" s="1"/>
  <c r="AE219" i="30"/>
  <c r="AH219" i="30" s="1"/>
  <c r="AJ219" i="30" s="1"/>
  <c r="AE218" i="30"/>
  <c r="AH218" i="30" s="1"/>
  <c r="AJ218" i="30" s="1"/>
  <c r="AE217" i="30"/>
  <c r="AH217" i="30" s="1"/>
  <c r="AJ217" i="30" s="1"/>
  <c r="AE216" i="30"/>
  <c r="AH216" i="30" s="1"/>
  <c r="AJ216" i="30" s="1"/>
  <c r="AE215" i="30"/>
  <c r="AH215" i="30" s="1"/>
  <c r="AJ215" i="30" s="1"/>
  <c r="AE214" i="30"/>
  <c r="AH214" i="30" s="1"/>
  <c r="AJ214" i="30" s="1"/>
  <c r="AE213" i="30"/>
  <c r="AH213" i="30" s="1"/>
  <c r="AJ213" i="30" s="1"/>
  <c r="AE212" i="30"/>
  <c r="AH212" i="30" s="1"/>
  <c r="AJ212" i="30" s="1"/>
  <c r="AE211" i="30"/>
  <c r="AH211" i="30" s="1"/>
  <c r="AJ211" i="30" s="1"/>
  <c r="AE210" i="30"/>
  <c r="AH210" i="30" s="1"/>
  <c r="AJ210" i="30" s="1"/>
  <c r="AE209" i="30"/>
  <c r="AH209" i="30" s="1"/>
  <c r="AJ209" i="30" s="1"/>
  <c r="AE208" i="30"/>
  <c r="AH208" i="30" s="1"/>
  <c r="AJ208" i="30" s="1"/>
  <c r="AE207" i="30"/>
  <c r="AH207" i="30" s="1"/>
  <c r="AJ207" i="30" s="1"/>
  <c r="AE206" i="30"/>
  <c r="AH206" i="30" s="1"/>
  <c r="AJ206" i="30" s="1"/>
  <c r="AE205" i="30"/>
  <c r="AH205" i="30" s="1"/>
  <c r="AJ205" i="30" s="1"/>
  <c r="AE204" i="30"/>
  <c r="AH204" i="30" s="1"/>
  <c r="AJ204" i="30" s="1"/>
  <c r="AE203" i="30"/>
  <c r="AH203" i="30" s="1"/>
  <c r="AJ203" i="30" s="1"/>
  <c r="AE202" i="30"/>
  <c r="AH202" i="30" s="1"/>
  <c r="AJ202" i="30" s="1"/>
  <c r="AE201" i="30"/>
  <c r="AH201" i="30" s="1"/>
  <c r="AJ201" i="30" s="1"/>
  <c r="AE200" i="30"/>
  <c r="AH200" i="30" s="1"/>
  <c r="AJ200" i="30" s="1"/>
  <c r="AE199" i="30"/>
  <c r="AH199" i="30" s="1"/>
  <c r="AJ199" i="30" s="1"/>
  <c r="AE198" i="30"/>
  <c r="AH198" i="30" s="1"/>
  <c r="AJ198" i="30" s="1"/>
  <c r="AE197" i="30"/>
  <c r="AH197" i="30" s="1"/>
  <c r="AJ197" i="30" s="1"/>
  <c r="AE196" i="30"/>
  <c r="AH196" i="30" s="1"/>
  <c r="AJ196" i="30" s="1"/>
  <c r="AE195" i="30"/>
  <c r="AH195" i="30" s="1"/>
  <c r="AJ195" i="30" s="1"/>
  <c r="AE193" i="30"/>
  <c r="AH193" i="30" s="1"/>
  <c r="AJ193" i="30" s="1"/>
  <c r="AE189" i="30"/>
  <c r="AH189" i="30" s="1"/>
  <c r="AJ189" i="30" s="1"/>
  <c r="AE188" i="30"/>
  <c r="AH188" i="30" s="1"/>
  <c r="AJ188" i="30" s="1"/>
  <c r="AE187" i="30"/>
  <c r="AH187" i="30" s="1"/>
  <c r="AJ187" i="30" s="1"/>
  <c r="AE186" i="30"/>
  <c r="AH186" i="30" s="1"/>
  <c r="AJ186" i="30" s="1"/>
  <c r="AE185" i="30"/>
  <c r="AH185" i="30" s="1"/>
  <c r="AJ185" i="30" s="1"/>
  <c r="AE184" i="30"/>
  <c r="AH184" i="30" s="1"/>
  <c r="AJ184" i="30" s="1"/>
  <c r="AE182" i="30"/>
  <c r="AI175" i="30"/>
  <c r="AF175" i="30"/>
  <c r="AC175" i="30"/>
  <c r="AB175" i="30"/>
  <c r="AA175" i="30"/>
  <c r="Z175" i="30"/>
  <c r="Y175" i="30"/>
  <c r="X175" i="30"/>
  <c r="W175" i="30"/>
  <c r="V175" i="30"/>
  <c r="T175" i="30"/>
  <c r="S175" i="30"/>
  <c r="R175" i="30"/>
  <c r="Q175" i="30"/>
  <c r="P175" i="30"/>
  <c r="O175" i="30"/>
  <c r="N175" i="30"/>
  <c r="M175" i="30"/>
  <c r="K175" i="30"/>
  <c r="J175" i="30"/>
  <c r="I175" i="30"/>
  <c r="H175" i="30"/>
  <c r="G175" i="30"/>
  <c r="F175" i="30"/>
  <c r="E175" i="30"/>
  <c r="AE174" i="30"/>
  <c r="AH174" i="30" s="1"/>
  <c r="AJ174" i="30" s="1"/>
  <c r="AE173" i="30"/>
  <c r="AH173" i="30" s="1"/>
  <c r="AJ173" i="30" s="1"/>
  <c r="AE172" i="30"/>
  <c r="AH172" i="30" s="1"/>
  <c r="AJ172" i="30" s="1"/>
  <c r="AE171" i="30"/>
  <c r="AH171" i="30" s="1"/>
  <c r="AJ171" i="30" s="1"/>
  <c r="AE170" i="30"/>
  <c r="AI167" i="30"/>
  <c r="AF167" i="30"/>
  <c r="AC167" i="30"/>
  <c r="AB167" i="30"/>
  <c r="AA167" i="30"/>
  <c r="Z167" i="30"/>
  <c r="Y167" i="30"/>
  <c r="X167" i="30"/>
  <c r="W167" i="30"/>
  <c r="V167" i="30"/>
  <c r="T167" i="30"/>
  <c r="S167" i="30"/>
  <c r="R167" i="30"/>
  <c r="Q167" i="30"/>
  <c r="P167" i="30"/>
  <c r="O167" i="30"/>
  <c r="N167" i="30"/>
  <c r="M167" i="30"/>
  <c r="K167" i="30"/>
  <c r="J167" i="30"/>
  <c r="I167" i="30"/>
  <c r="H167" i="30"/>
  <c r="G167" i="30"/>
  <c r="F167" i="30"/>
  <c r="E167" i="30"/>
  <c r="AE166" i="30"/>
  <c r="AH166" i="30" s="1"/>
  <c r="AJ166" i="30" s="1"/>
  <c r="AE165" i="30"/>
  <c r="AH165" i="30" s="1"/>
  <c r="AJ165" i="30" s="1"/>
  <c r="AE164" i="30"/>
  <c r="AH164" i="30" s="1"/>
  <c r="AJ164" i="30" s="1"/>
  <c r="AE163" i="30"/>
  <c r="AH163" i="30" s="1"/>
  <c r="AJ163" i="30" s="1"/>
  <c r="AE162" i="30"/>
  <c r="AE161" i="30"/>
  <c r="AH161" i="30" s="1"/>
  <c r="AI158" i="30"/>
  <c r="AF158" i="30"/>
  <c r="AC158" i="30"/>
  <c r="AB158" i="30"/>
  <c r="AA158" i="30"/>
  <c r="Z158" i="30"/>
  <c r="Y158" i="30"/>
  <c r="X158" i="30"/>
  <c r="W158" i="30"/>
  <c r="V158" i="30"/>
  <c r="T158" i="30"/>
  <c r="S158" i="30"/>
  <c r="R158" i="30"/>
  <c r="Q158" i="30"/>
  <c r="P158" i="30"/>
  <c r="O158" i="30"/>
  <c r="N158" i="30"/>
  <c r="M158" i="30"/>
  <c r="K158" i="30"/>
  <c r="J158" i="30"/>
  <c r="I158" i="30"/>
  <c r="H158" i="30"/>
  <c r="G158" i="30"/>
  <c r="F158" i="30"/>
  <c r="E158" i="30"/>
  <c r="AE157" i="30"/>
  <c r="AH157" i="30" s="1"/>
  <c r="AJ157" i="30" s="1"/>
  <c r="AE156" i="30"/>
  <c r="AH156" i="30" s="1"/>
  <c r="AJ156" i="30" s="1"/>
  <c r="AE155" i="30"/>
  <c r="AE154" i="30"/>
  <c r="AH154" i="30" s="1"/>
  <c r="AI151" i="30"/>
  <c r="AG151" i="30"/>
  <c r="AF151" i="30"/>
  <c r="AC151" i="30"/>
  <c r="AB151" i="30"/>
  <c r="AA151" i="30"/>
  <c r="Z151" i="30"/>
  <c r="Y151" i="30"/>
  <c r="X151" i="30"/>
  <c r="W151" i="30"/>
  <c r="V151" i="30"/>
  <c r="T151" i="30"/>
  <c r="S151" i="30"/>
  <c r="R151" i="30"/>
  <c r="Q151" i="30"/>
  <c r="P151" i="30"/>
  <c r="O151" i="30"/>
  <c r="N151" i="30"/>
  <c r="M151" i="30"/>
  <c r="K151" i="30"/>
  <c r="J151" i="30"/>
  <c r="I151" i="30"/>
  <c r="H151" i="30"/>
  <c r="G151" i="30"/>
  <c r="F151" i="30"/>
  <c r="E151" i="30"/>
  <c r="AE150" i="30"/>
  <c r="AH150" i="30" s="1"/>
  <c r="AJ150" i="30" s="1"/>
  <c r="AE149" i="30"/>
  <c r="AH149" i="30" s="1"/>
  <c r="AJ149" i="30" s="1"/>
  <c r="AE148" i="30"/>
  <c r="AH148" i="30" s="1"/>
  <c r="AJ148" i="30" s="1"/>
  <c r="AE147" i="30"/>
  <c r="AH147" i="30" s="1"/>
  <c r="AJ147" i="30" s="1"/>
  <c r="AE146" i="30"/>
  <c r="AI142" i="30"/>
  <c r="AG142" i="30"/>
  <c r="AF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AE141" i="30"/>
  <c r="AH141" i="30" s="1"/>
  <c r="AJ141" i="30" s="1"/>
  <c r="AE140" i="30"/>
  <c r="AH140" i="30" s="1"/>
  <c r="AJ140" i="30" s="1"/>
  <c r="AE133" i="30"/>
  <c r="AH133" i="30" s="1"/>
  <c r="AJ133" i="30" s="1"/>
  <c r="AE130" i="30"/>
  <c r="AH130" i="30" s="1"/>
  <c r="AJ130" i="30" s="1"/>
  <c r="AE129" i="30"/>
  <c r="AH129" i="30" s="1"/>
  <c r="AJ129" i="30" s="1"/>
  <c r="AE128" i="30"/>
  <c r="AH128" i="30" s="1"/>
  <c r="AJ128" i="30" s="1"/>
  <c r="AE127" i="30"/>
  <c r="AH127" i="30" s="1"/>
  <c r="AJ127" i="30" s="1"/>
  <c r="AE126" i="30"/>
  <c r="AE125" i="30"/>
  <c r="AH125" i="30" s="1"/>
  <c r="AJ125" i="30" s="1"/>
  <c r="AE124" i="30"/>
  <c r="AH124" i="30" s="1"/>
  <c r="AE123" i="30"/>
  <c r="AH123" i="30" s="1"/>
  <c r="AJ123" i="30" s="1"/>
  <c r="AE122" i="30"/>
  <c r="AH122" i="30" s="1"/>
  <c r="AJ122" i="30" s="1"/>
  <c r="AE121" i="30"/>
  <c r="AH121" i="30" s="1"/>
  <c r="AJ121" i="30" s="1"/>
  <c r="AE120" i="30"/>
  <c r="AH120" i="30" s="1"/>
  <c r="AJ120" i="30" s="1"/>
  <c r="AE119" i="30"/>
  <c r="AH119" i="30" s="1"/>
  <c r="AJ119" i="30" s="1"/>
  <c r="AE118" i="30"/>
  <c r="AH118" i="30" s="1"/>
  <c r="AJ118" i="30" s="1"/>
  <c r="AE117" i="30"/>
  <c r="AI93" i="30"/>
  <c r="AG93" i="30"/>
  <c r="AF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K93" i="30"/>
  <c r="J93" i="30"/>
  <c r="I93" i="30"/>
  <c r="H93" i="30"/>
  <c r="G93" i="30"/>
  <c r="F93" i="30"/>
  <c r="E93" i="30"/>
  <c r="AE92" i="30"/>
  <c r="AH92" i="30" s="1"/>
  <c r="AJ92" i="30" s="1"/>
  <c r="AE91" i="30"/>
  <c r="AH91" i="30" s="1"/>
  <c r="AJ91" i="30" s="1"/>
  <c r="AE90" i="30"/>
  <c r="AH90" i="30" s="1"/>
  <c r="AJ90" i="30" s="1"/>
  <c r="AE89" i="30"/>
  <c r="AH89" i="30" s="1"/>
  <c r="AJ89" i="30" s="1"/>
  <c r="AE88" i="30"/>
  <c r="AH88" i="30" s="1"/>
  <c r="AJ88" i="30" s="1"/>
  <c r="AE87" i="30"/>
  <c r="AH87" i="30" s="1"/>
  <c r="AJ87" i="30" s="1"/>
  <c r="AE86" i="30"/>
  <c r="AH86" i="30" s="1"/>
  <c r="AJ86" i="30" s="1"/>
  <c r="AE85" i="30"/>
  <c r="AH85" i="30" s="1"/>
  <c r="AJ85" i="30" s="1"/>
  <c r="AE84" i="30"/>
  <c r="AH84" i="30" s="1"/>
  <c r="AJ84" i="30" s="1"/>
  <c r="AE83" i="30"/>
  <c r="AH83" i="30" s="1"/>
  <c r="AJ83" i="30" s="1"/>
  <c r="AE82" i="30"/>
  <c r="AH82" i="30" s="1"/>
  <c r="AJ82" i="30" s="1"/>
  <c r="AE81" i="30"/>
  <c r="AH81" i="30" s="1"/>
  <c r="AJ81" i="30" s="1"/>
  <c r="AE80" i="30"/>
  <c r="AH80" i="30" s="1"/>
  <c r="AJ80" i="30" s="1"/>
  <c r="AE79" i="30"/>
  <c r="AH79" i="30" s="1"/>
  <c r="AJ79" i="30" s="1"/>
  <c r="AE78" i="30"/>
  <c r="AH78" i="30" s="1"/>
  <c r="AJ78" i="30" s="1"/>
  <c r="AE77" i="30"/>
  <c r="AH77" i="30" s="1"/>
  <c r="AJ77" i="30" s="1"/>
  <c r="AE76" i="30"/>
  <c r="AH76" i="30" s="1"/>
  <c r="AJ76" i="30" s="1"/>
  <c r="AE75" i="30"/>
  <c r="AH75" i="30" s="1"/>
  <c r="AJ75" i="30" s="1"/>
  <c r="AE74" i="30"/>
  <c r="AH74" i="30" s="1"/>
  <c r="AI72" i="30"/>
  <c r="AG72" i="30"/>
  <c r="AF72" i="30"/>
  <c r="AC72" i="30"/>
  <c r="AB72" i="30"/>
  <c r="AA72" i="30"/>
  <c r="Z72" i="30"/>
  <c r="Y72" i="30"/>
  <c r="X72" i="30"/>
  <c r="W72" i="30"/>
  <c r="V72" i="30"/>
  <c r="T72" i="30"/>
  <c r="S72" i="30"/>
  <c r="R72" i="30"/>
  <c r="Q72" i="30"/>
  <c r="P72" i="30"/>
  <c r="O72" i="30"/>
  <c r="N72" i="30"/>
  <c r="M72" i="30"/>
  <c r="K72" i="30"/>
  <c r="J72" i="30"/>
  <c r="I72" i="30"/>
  <c r="H72" i="30"/>
  <c r="G72" i="30"/>
  <c r="F72" i="30"/>
  <c r="E72" i="30"/>
  <c r="AE71" i="30"/>
  <c r="AH71" i="30" s="1"/>
  <c r="AJ71" i="30" s="1"/>
  <c r="AE70" i="30"/>
  <c r="AH70" i="30" s="1"/>
  <c r="AJ70" i="30" s="1"/>
  <c r="AE69" i="30"/>
  <c r="AH69" i="30" s="1"/>
  <c r="AJ69" i="30" s="1"/>
  <c r="AE68" i="30"/>
  <c r="AH68" i="30" s="1"/>
  <c r="AJ68" i="30" s="1"/>
  <c r="AE67" i="30"/>
  <c r="AH67" i="30" s="1"/>
  <c r="AJ67" i="30" s="1"/>
  <c r="AE66" i="30"/>
  <c r="AH66" i="30" s="1"/>
  <c r="AJ66" i="30" s="1"/>
  <c r="AE65" i="30"/>
  <c r="AH65" i="30" s="1"/>
  <c r="AJ65" i="30" s="1"/>
  <c r="AE64" i="30"/>
  <c r="AH64" i="30" s="1"/>
  <c r="AJ64" i="30" s="1"/>
  <c r="AE63" i="30"/>
  <c r="AH63" i="30" s="1"/>
  <c r="AJ63" i="30" s="1"/>
  <c r="AE62" i="30"/>
  <c r="AH62" i="30" s="1"/>
  <c r="AJ62" i="30" s="1"/>
  <c r="AE61" i="30"/>
  <c r="AH61" i="30" s="1"/>
  <c r="AJ61" i="30" s="1"/>
  <c r="AE60" i="30"/>
  <c r="AH60" i="30" s="1"/>
  <c r="AJ60" i="30" s="1"/>
  <c r="AE59" i="30"/>
  <c r="AH59" i="30" s="1"/>
  <c r="AJ59" i="30" s="1"/>
  <c r="AE58" i="30"/>
  <c r="AH58" i="30" s="1"/>
  <c r="AJ58" i="30" s="1"/>
  <c r="AE57" i="30"/>
  <c r="AE56" i="30"/>
  <c r="AH56" i="30" s="1"/>
  <c r="AI53" i="30"/>
  <c r="AG53" i="30"/>
  <c r="AF53" i="30"/>
  <c r="AC53" i="30"/>
  <c r="AB53" i="30"/>
  <c r="AA53" i="30"/>
  <c r="Z53" i="30"/>
  <c r="Y53" i="30"/>
  <c r="X53" i="30"/>
  <c r="W53" i="30"/>
  <c r="V53" i="30"/>
  <c r="T53" i="30"/>
  <c r="S53" i="30"/>
  <c r="R53" i="30"/>
  <c r="Q53" i="30"/>
  <c r="P53" i="30"/>
  <c r="O53" i="30"/>
  <c r="N53" i="30"/>
  <c r="M53" i="30"/>
  <c r="K53" i="30"/>
  <c r="J53" i="30"/>
  <c r="I53" i="30"/>
  <c r="H53" i="30"/>
  <c r="G53" i="30"/>
  <c r="F53" i="30"/>
  <c r="E53" i="30"/>
  <c r="AE52" i="30"/>
  <c r="AH52" i="30" s="1"/>
  <c r="AJ52" i="30" s="1"/>
  <c r="AE51" i="30"/>
  <c r="AH51" i="30" s="1"/>
  <c r="AJ51" i="30" s="1"/>
  <c r="AE50" i="30"/>
  <c r="AH50" i="30" s="1"/>
  <c r="AJ50" i="30" s="1"/>
  <c r="AE49" i="30"/>
  <c r="AH49" i="30" s="1"/>
  <c r="AJ49" i="30" s="1"/>
  <c r="AE48" i="30"/>
  <c r="AH48" i="30" s="1"/>
  <c r="AJ48" i="30" s="1"/>
  <c r="AE47" i="30"/>
  <c r="AH47" i="30" s="1"/>
  <c r="AJ47" i="30" s="1"/>
  <c r="AE46" i="30"/>
  <c r="AH46" i="30" s="1"/>
  <c r="AJ46" i="30" s="1"/>
  <c r="AE45" i="30"/>
  <c r="AH45" i="30" s="1"/>
  <c r="AJ45" i="30" s="1"/>
  <c r="AE44" i="30"/>
  <c r="AH44" i="30" s="1"/>
  <c r="AJ44" i="30" s="1"/>
  <c r="AE43" i="30"/>
  <c r="AH43" i="30" s="1"/>
  <c r="AJ43" i="30" s="1"/>
  <c r="AE42" i="30"/>
  <c r="AE41" i="30"/>
  <c r="AH41" i="30" s="1"/>
  <c r="AI38" i="30"/>
  <c r="AG38" i="30"/>
  <c r="AF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AE37" i="30"/>
  <c r="AH37" i="30" s="1"/>
  <c r="AJ37" i="30" s="1"/>
  <c r="AE36" i="30"/>
  <c r="AH36" i="30" s="1"/>
  <c r="AJ36" i="30" s="1"/>
  <c r="AE35" i="30"/>
  <c r="AH35" i="30" s="1"/>
  <c r="AJ35" i="30" s="1"/>
  <c r="AE34" i="30"/>
  <c r="AH34" i="30" s="1"/>
  <c r="AJ34" i="30" s="1"/>
  <c r="AE33" i="30"/>
  <c r="AH33" i="30" s="1"/>
  <c r="AJ33" i="30" s="1"/>
  <c r="AE32" i="30"/>
  <c r="AH32" i="30" s="1"/>
  <c r="AJ32" i="30" s="1"/>
  <c r="AE31" i="30"/>
  <c r="AH31" i="30" s="1"/>
  <c r="AJ31" i="30" s="1"/>
  <c r="AE30" i="30"/>
  <c r="AH30" i="30" s="1"/>
  <c r="AJ30" i="30" s="1"/>
  <c r="AE29" i="30"/>
  <c r="AH29" i="30" s="1"/>
  <c r="AJ29" i="30" s="1"/>
  <c r="AE28" i="30"/>
  <c r="AH28" i="30" s="1"/>
  <c r="AJ28" i="30" s="1"/>
  <c r="AE27" i="30"/>
  <c r="AH27" i="30" s="1"/>
  <c r="AJ27" i="30" s="1"/>
  <c r="AE26" i="30"/>
  <c r="AH26" i="30" s="1"/>
  <c r="AJ26" i="30" s="1"/>
  <c r="AE25" i="30"/>
  <c r="AH25" i="30" s="1"/>
  <c r="AJ25" i="30" s="1"/>
  <c r="AE24" i="30"/>
  <c r="AH24" i="30" s="1"/>
  <c r="AJ24" i="30" s="1"/>
  <c r="AE23" i="30"/>
  <c r="AH23" i="30" s="1"/>
  <c r="AJ23" i="30" s="1"/>
  <c r="AE22" i="30"/>
  <c r="AH22" i="30" s="1"/>
  <c r="AJ22" i="30" s="1"/>
  <c r="AE21" i="30"/>
  <c r="AH21" i="30" s="1"/>
  <c r="AJ21" i="30" s="1"/>
  <c r="AE20" i="30"/>
  <c r="AH20" i="30" s="1"/>
  <c r="AJ20" i="30" s="1"/>
  <c r="AE19" i="30"/>
  <c r="AH19" i="30" s="1"/>
  <c r="AJ19" i="30" s="1"/>
  <c r="AE18" i="30"/>
  <c r="AH18" i="30" s="1"/>
  <c r="AJ18" i="30" s="1"/>
  <c r="AE17" i="30"/>
  <c r="AH17" i="30" s="1"/>
  <c r="AJ17" i="30" s="1"/>
  <c r="AE16" i="30"/>
  <c r="AH16" i="30" s="1"/>
  <c r="AJ16" i="30" s="1"/>
  <c r="AE15" i="30"/>
  <c r="AH15" i="30" s="1"/>
  <c r="AJ15" i="30" s="1"/>
  <c r="AE14" i="30"/>
  <c r="AH14" i="30" s="1"/>
  <c r="AJ14" i="30" s="1"/>
  <c r="AE13" i="30"/>
  <c r="AH13" i="30" s="1"/>
  <c r="AJ13" i="30" s="1"/>
  <c r="AE12" i="30"/>
  <c r="AH12" i="30" s="1"/>
  <c r="AJ12" i="30" s="1"/>
  <c r="AE11" i="30"/>
  <c r="AH11" i="30" s="1"/>
  <c r="AJ11" i="30" s="1"/>
  <c r="AE10" i="30"/>
  <c r="AH10" i="30" s="1"/>
  <c r="AJ10" i="30" s="1"/>
  <c r="AE9" i="30"/>
  <c r="AH9" i="30" s="1"/>
  <c r="AJ9" i="30" s="1"/>
  <c r="AE8" i="30"/>
  <c r="AH8" i="30" s="1"/>
  <c r="AJ8" i="30" s="1"/>
  <c r="AE7" i="30"/>
  <c r="AH7" i="30" s="1"/>
  <c r="AJ7" i="30" s="1"/>
  <c r="AE6" i="30"/>
  <c r="AE5" i="30"/>
  <c r="AH5" i="30" s="1"/>
  <c r="A4" i="30"/>
  <c r="AG177" i="30" l="1"/>
  <c r="AH126" i="30"/>
  <c r="AJ126" i="30" s="1"/>
  <c r="Q177" i="30"/>
  <c r="Q178" i="30" s="1"/>
  <c r="E177" i="30"/>
  <c r="E266" i="30" s="1"/>
  <c r="B67" i="19" s="1"/>
  <c r="B68" i="19" s="1"/>
  <c r="I177" i="30"/>
  <c r="I266" i="30" s="1"/>
  <c r="F67" i="19" s="1"/>
  <c r="Z177" i="30"/>
  <c r="Z266" i="30" s="1"/>
  <c r="X67" i="19" s="1"/>
  <c r="X68" i="19" s="1"/>
  <c r="K177" i="30"/>
  <c r="H177" i="30"/>
  <c r="H266" i="30" s="1"/>
  <c r="E67" i="19" s="1"/>
  <c r="E68" i="19" s="1"/>
  <c r="P177" i="30"/>
  <c r="P266" i="30" s="1"/>
  <c r="N67" i="19" s="1"/>
  <c r="N68" i="19" s="1"/>
  <c r="T177" i="30"/>
  <c r="T266" i="30" s="1"/>
  <c r="R67" i="19" s="1"/>
  <c r="R68" i="19" s="1"/>
  <c r="X177" i="30"/>
  <c r="X178" i="30" s="1"/>
  <c r="AB177" i="30"/>
  <c r="AB266" i="30" s="1"/>
  <c r="Z67" i="19" s="1"/>
  <c r="Z68" i="19" s="1"/>
  <c r="Y177" i="30"/>
  <c r="Y266" i="30" s="1"/>
  <c r="W67" i="19" s="1"/>
  <c r="W68" i="19" s="1"/>
  <c r="AC177" i="30"/>
  <c r="AC266" i="30" s="1"/>
  <c r="AA67" i="19" s="1"/>
  <c r="AA68" i="19" s="1"/>
  <c r="F177" i="30"/>
  <c r="F178" i="30" s="1"/>
  <c r="J177" i="30"/>
  <c r="J178" i="30" s="1"/>
  <c r="N177" i="30"/>
  <c r="N266" i="30" s="1"/>
  <c r="L67" i="19" s="1"/>
  <c r="L68" i="19" s="1"/>
  <c r="R177" i="30"/>
  <c r="R266" i="30" s="1"/>
  <c r="P67" i="19" s="1"/>
  <c r="P68" i="19" s="1"/>
  <c r="G177" i="30"/>
  <c r="G266" i="30" s="1"/>
  <c r="D67" i="19" s="1"/>
  <c r="D68" i="19" s="1"/>
  <c r="S177" i="30"/>
  <c r="S178" i="30" s="1"/>
  <c r="W177" i="30"/>
  <c r="W266" i="30" s="1"/>
  <c r="U67" i="19" s="1"/>
  <c r="U68" i="19" s="1"/>
  <c r="AA177" i="30"/>
  <c r="AA178" i="30" s="1"/>
  <c r="V177" i="30"/>
  <c r="V178" i="30" s="1"/>
  <c r="O177" i="30"/>
  <c r="O178" i="30" s="1"/>
  <c r="M177" i="30"/>
  <c r="M266" i="30" s="1"/>
  <c r="K67" i="19" s="1"/>
  <c r="K68" i="19" s="1"/>
  <c r="AI177" i="30"/>
  <c r="AI266" i="30" s="1"/>
  <c r="AI267" i="30" s="1"/>
  <c r="AF177" i="30"/>
  <c r="AF266" i="30" s="1"/>
  <c r="AE142" i="30"/>
  <c r="AG178" i="30"/>
  <c r="AE167" i="30"/>
  <c r="AE175" i="30"/>
  <c r="AE151" i="30"/>
  <c r="AE72" i="30"/>
  <c r="AE158" i="30"/>
  <c r="AH170" i="30"/>
  <c r="AJ170" i="30" s="1"/>
  <c r="AJ175" i="30" s="1"/>
  <c r="AE93" i="30"/>
  <c r="AH146" i="30"/>
  <c r="AH151" i="30" s="1"/>
  <c r="AF257" i="30"/>
  <c r="K266" i="30"/>
  <c r="H67" i="19" s="1"/>
  <c r="H68" i="19" s="1"/>
  <c r="AH93" i="30"/>
  <c r="AE262" i="30"/>
  <c r="AE256" i="30"/>
  <c r="L173" i="19" s="1"/>
  <c r="AE257" i="30"/>
  <c r="AE38" i="30"/>
  <c r="AJ41" i="30"/>
  <c r="AE53" i="30"/>
  <c r="AH42" i="30"/>
  <c r="AJ42" i="30" s="1"/>
  <c r="AE4" i="30"/>
  <c r="W158" i="19" s="1"/>
  <c r="AJ5" i="30"/>
  <c r="AH6" i="30"/>
  <c r="AJ6" i="30" s="1"/>
  <c r="AJ4" i="30"/>
  <c r="AJ56" i="30"/>
  <c r="AH57" i="30"/>
  <c r="AJ57" i="30" s="1"/>
  <c r="AJ74" i="30"/>
  <c r="AJ93" i="30" s="1"/>
  <c r="AH117" i="30"/>
  <c r="AJ154" i="30"/>
  <c r="AH155" i="30"/>
  <c r="AJ155" i="30" s="1"/>
  <c r="AJ161" i="30"/>
  <c r="AH162" i="30"/>
  <c r="AJ162" i="30" s="1"/>
  <c r="AH182" i="30"/>
  <c r="AH260" i="30"/>
  <c r="D104" i="3"/>
  <c r="D108" i="2"/>
  <c r="D106" i="2"/>
  <c r="H178" i="30" l="1"/>
  <c r="P178" i="30"/>
  <c r="Y178" i="30"/>
  <c r="T178" i="30"/>
  <c r="N173" i="19"/>
  <c r="AI178" i="30"/>
  <c r="F68" i="19"/>
  <c r="AE177" i="30"/>
  <c r="Z178" i="30"/>
  <c r="W178" i="30"/>
  <c r="AC178" i="30"/>
  <c r="AA266" i="30"/>
  <c r="J266" i="30"/>
  <c r="G67" i="19" s="1"/>
  <c r="G68" i="19" s="1"/>
  <c r="R178" i="30"/>
  <c r="G178" i="30"/>
  <c r="X266" i="30"/>
  <c r="V67" i="19" s="1"/>
  <c r="K178" i="30"/>
  <c r="AB178" i="30"/>
  <c r="E178" i="30"/>
  <c r="N178" i="30"/>
  <c r="AH175" i="30"/>
  <c r="AJ146" i="30"/>
  <c r="AJ151" i="30" s="1"/>
  <c r="O266" i="30"/>
  <c r="M67" i="19" s="1"/>
  <c r="M68" i="19" s="1"/>
  <c r="V266" i="30"/>
  <c r="T67" i="19" s="1"/>
  <c r="T68" i="19" s="1"/>
  <c r="AF178" i="30"/>
  <c r="F266" i="30"/>
  <c r="I178" i="30"/>
  <c r="AJ72" i="30"/>
  <c r="S266" i="30"/>
  <c r="Q67" i="19" s="1"/>
  <c r="Q68" i="19" s="1"/>
  <c r="M178" i="30"/>
  <c r="AH72" i="30"/>
  <c r="Q266" i="30"/>
  <c r="O67" i="19" s="1"/>
  <c r="Y267" i="30"/>
  <c r="AB267" i="30"/>
  <c r="Z267" i="30"/>
  <c r="H267" i="30"/>
  <c r="W267" i="30"/>
  <c r="AC267" i="30"/>
  <c r="K267" i="30"/>
  <c r="T267" i="30"/>
  <c r="N267" i="30"/>
  <c r="P267" i="30"/>
  <c r="I267" i="30"/>
  <c r="G267" i="30"/>
  <c r="R267" i="30"/>
  <c r="AH256" i="30"/>
  <c r="AH257" i="30" s="1"/>
  <c r="AJ182" i="30"/>
  <c r="AJ256" i="30" s="1"/>
  <c r="AJ257" i="30" s="1"/>
  <c r="AH4" i="30"/>
  <c r="AH38" i="30"/>
  <c r="AH53" i="30"/>
  <c r="AJ260" i="30"/>
  <c r="AJ262" i="30" s="1"/>
  <c r="AH262" i="30"/>
  <c r="AJ117" i="30"/>
  <c r="AJ142" i="30" s="1"/>
  <c r="AH142" i="30"/>
  <c r="E267" i="30"/>
  <c r="AF267" i="30"/>
  <c r="AC275" i="30"/>
  <c r="M267" i="30"/>
  <c r="AJ167" i="30"/>
  <c r="AJ158" i="30"/>
  <c r="AH167" i="30"/>
  <c r="AJ38" i="30"/>
  <c r="AH158" i="30"/>
  <c r="AJ53" i="30"/>
  <c r="D94" i="1"/>
  <c r="C67" i="19" l="1"/>
  <c r="C68" i="19" s="1"/>
  <c r="B70" i="19" s="1"/>
  <c r="Y67" i="19"/>
  <c r="Y68" i="19" s="1"/>
  <c r="AJ177" i="30"/>
  <c r="AJ266" i="30" s="1"/>
  <c r="AJ267" i="30" s="1"/>
  <c r="O68" i="19"/>
  <c r="K70" i="19" s="1"/>
  <c r="K69" i="19"/>
  <c r="AH177" i="30"/>
  <c r="V68" i="19"/>
  <c r="AA267" i="30"/>
  <c r="X267" i="30"/>
  <c r="O267" i="30"/>
  <c r="V267" i="30"/>
  <c r="Q267" i="30"/>
  <c r="V269" i="30"/>
  <c r="S267" i="30"/>
  <c r="J267" i="30"/>
  <c r="F267" i="30"/>
  <c r="E269" i="30"/>
  <c r="M269" i="30"/>
  <c r="AE178" i="30"/>
  <c r="AE266" i="30"/>
  <c r="E288" i="7"/>
  <c r="AE286" i="7"/>
  <c r="AH286" i="7" s="1"/>
  <c r="AJ286" i="7" s="1"/>
  <c r="AE285" i="7"/>
  <c r="AH285" i="7" s="1"/>
  <c r="AJ285" i="7" s="1"/>
  <c r="AE284" i="7"/>
  <c r="AH284" i="7" s="1"/>
  <c r="AJ284" i="7" s="1"/>
  <c r="B69" i="19" l="1"/>
  <c r="AB67" i="19"/>
  <c r="M217" i="19" s="1"/>
  <c r="T70" i="19"/>
  <c r="AB68" i="19"/>
  <c r="V268" i="30"/>
  <c r="E268" i="30"/>
  <c r="M268" i="30"/>
  <c r="AJ178" i="30"/>
  <c r="AH266" i="30"/>
  <c r="AH267" i="30" s="1"/>
  <c r="AH178" i="30"/>
  <c r="AC273" i="30"/>
  <c r="AE267" i="30"/>
  <c r="E326" i="29"/>
  <c r="AF309" i="29"/>
  <c r="AI309" i="29" s="1"/>
  <c r="AK309" i="29" s="1"/>
  <c r="AF302" i="29"/>
  <c r="AI302" i="29" s="1"/>
  <c r="AK302" i="29" s="1"/>
  <c r="D91" i="1"/>
  <c r="AA326" i="29" l="1"/>
  <c r="AF300" i="29"/>
  <c r="AI300" i="29" s="1"/>
  <c r="AK300" i="29" s="1"/>
  <c r="AF299" i="29"/>
  <c r="AI299" i="29" s="1"/>
  <c r="AK299" i="29" s="1"/>
  <c r="AF298" i="29"/>
  <c r="AI298" i="29" s="1"/>
  <c r="AK298" i="29" s="1"/>
  <c r="AF297" i="29"/>
  <c r="AI297" i="29" s="1"/>
  <c r="AK297" i="29" s="1"/>
  <c r="AE110" i="7" l="1"/>
  <c r="AH110" i="7" s="1"/>
  <c r="AJ110" i="7" s="1"/>
  <c r="AE109" i="7"/>
  <c r="AH109" i="7" s="1"/>
  <c r="AJ109" i="7" s="1"/>
  <c r="AE108" i="7"/>
  <c r="AH108" i="7" s="1"/>
  <c r="AJ108" i="7" s="1"/>
  <c r="AE107" i="7"/>
  <c r="AH107" i="7" s="1"/>
  <c r="AJ107" i="7" s="1"/>
  <c r="D74" i="4"/>
  <c r="U204" i="10" l="1"/>
  <c r="U205" i="10"/>
  <c r="U206" i="10"/>
  <c r="U207" i="10"/>
  <c r="U208" i="10"/>
  <c r="U209" i="10"/>
  <c r="U210" i="10"/>
  <c r="U211" i="10"/>
  <c r="U212" i="10"/>
  <c r="U213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D93" i="4"/>
  <c r="D111" i="2"/>
  <c r="D81" i="2" l="1"/>
  <c r="F326" i="29" l="1"/>
  <c r="G326" i="29"/>
  <c r="H326" i="29"/>
  <c r="I326" i="29"/>
  <c r="J326" i="29"/>
  <c r="K326" i="29"/>
  <c r="L326" i="29"/>
  <c r="N326" i="29"/>
  <c r="O326" i="29"/>
  <c r="P326" i="29"/>
  <c r="Q326" i="29"/>
  <c r="R326" i="29"/>
  <c r="S326" i="29"/>
  <c r="T326" i="29"/>
  <c r="U326" i="29"/>
  <c r="W326" i="29"/>
  <c r="X326" i="29"/>
  <c r="Y326" i="29"/>
  <c r="Z326" i="29"/>
  <c r="AB326" i="29"/>
  <c r="AC326" i="29"/>
  <c r="AD326" i="29"/>
  <c r="AF301" i="29"/>
  <c r="AI301" i="29" s="1"/>
  <c r="AK301" i="29" s="1"/>
  <c r="AF296" i="29"/>
  <c r="AI296" i="29" s="1"/>
  <c r="AK296" i="29" s="1"/>
  <c r="AF293" i="29"/>
  <c r="AI293" i="29" s="1"/>
  <c r="AK293" i="29" s="1"/>
  <c r="AF295" i="29"/>
  <c r="AI295" i="29" s="1"/>
  <c r="AK295" i="29" s="1"/>
  <c r="D95" i="2"/>
  <c r="AF290" i="29"/>
  <c r="AI290" i="29" s="1"/>
  <c r="AK290" i="29" s="1"/>
  <c r="AF289" i="29"/>
  <c r="AI289" i="29" s="1"/>
  <c r="AK289" i="29" s="1"/>
  <c r="AF292" i="29"/>
  <c r="AI292" i="29" s="1"/>
  <c r="AK292" i="29" s="1"/>
  <c r="AF291" i="29"/>
  <c r="AI291" i="29" s="1"/>
  <c r="AK291" i="29" s="1"/>
  <c r="AF287" i="29"/>
  <c r="AI287" i="29" s="1"/>
  <c r="AK287" i="29" s="1"/>
  <c r="AF283" i="29"/>
  <c r="AI283" i="29" s="1"/>
  <c r="AK283" i="29" s="1"/>
  <c r="AF286" i="29"/>
  <c r="AI286" i="29" s="1"/>
  <c r="AK286" i="29" s="1"/>
  <c r="AF285" i="29"/>
  <c r="AI285" i="29" s="1"/>
  <c r="AK285" i="29" s="1"/>
  <c r="AF282" i="29"/>
  <c r="AI282" i="29" s="1"/>
  <c r="AK282" i="29" s="1"/>
  <c r="AX115" i="4"/>
  <c r="AY115" i="4"/>
  <c r="AZ115" i="4"/>
  <c r="AW115" i="4"/>
  <c r="AH115" i="4"/>
  <c r="C250" i="19" s="1"/>
  <c r="AJ115" i="4"/>
  <c r="C241" i="19" s="1"/>
  <c r="AK115" i="4"/>
  <c r="C245" i="19" s="1"/>
  <c r="AL115" i="4"/>
  <c r="C243" i="19" s="1"/>
  <c r="AM115" i="4"/>
  <c r="C246" i="19" s="1"/>
  <c r="AN115" i="4"/>
  <c r="C240" i="19" s="1"/>
  <c r="AO115" i="4"/>
  <c r="C237" i="19" s="1"/>
  <c r="AQ115" i="4"/>
  <c r="C248" i="19" s="1"/>
  <c r="AR115" i="4"/>
  <c r="C247" i="19" s="1"/>
  <c r="AT115" i="4"/>
  <c r="C254" i="19" s="1"/>
  <c r="AU115" i="4"/>
  <c r="C253" i="19" s="1"/>
  <c r="AV115" i="4"/>
  <c r="C256" i="19" s="1"/>
  <c r="AF288" i="29" l="1"/>
  <c r="AI288" i="29" s="1"/>
  <c r="AK288" i="29" s="1"/>
  <c r="B254" i="19" l="1"/>
  <c r="D254" i="19" s="1"/>
  <c r="L288" i="7" l="1"/>
  <c r="L289" i="7" s="1"/>
  <c r="L198" i="7"/>
  <c r="L182" i="7"/>
  <c r="L113" i="7"/>
  <c r="L85" i="7"/>
  <c r="D7" i="3"/>
  <c r="D85" i="2" l="1"/>
  <c r="D80" i="2"/>
  <c r="D70" i="2"/>
  <c r="R68" i="29" l="1"/>
  <c r="W68" i="29"/>
  <c r="AG68" i="29"/>
  <c r="AH68" i="29"/>
  <c r="AJ68" i="29"/>
  <c r="AJ331" i="29"/>
  <c r="AG332" i="29"/>
  <c r="AD332" i="29"/>
  <c r="AC332" i="29"/>
  <c r="AB332" i="29"/>
  <c r="AA332" i="29"/>
  <c r="Z332" i="29"/>
  <c r="Y332" i="29"/>
  <c r="X332" i="29"/>
  <c r="W332" i="29"/>
  <c r="U332" i="29"/>
  <c r="T332" i="29"/>
  <c r="S332" i="29"/>
  <c r="R332" i="29"/>
  <c r="Q332" i="29"/>
  <c r="P332" i="29"/>
  <c r="O332" i="29"/>
  <c r="N332" i="29"/>
  <c r="L332" i="29"/>
  <c r="K332" i="29"/>
  <c r="J332" i="29"/>
  <c r="I332" i="29"/>
  <c r="H332" i="29"/>
  <c r="G332" i="29"/>
  <c r="F332" i="29"/>
  <c r="E332" i="29"/>
  <c r="AF331" i="29"/>
  <c r="AI331" i="29" s="1"/>
  <c r="AK330" i="29" s="1"/>
  <c r="AF330" i="29"/>
  <c r="AI330" i="29" s="1"/>
  <c r="AJ325" i="29"/>
  <c r="AJ326" i="29" s="1"/>
  <c r="AH326" i="29"/>
  <c r="AH327" i="29" s="1"/>
  <c r="AG326" i="29"/>
  <c r="M183" i="19" s="1"/>
  <c r="AD327" i="29"/>
  <c r="AA327" i="29"/>
  <c r="Y327" i="29"/>
  <c r="X327" i="29"/>
  <c r="W327" i="29"/>
  <c r="U327" i="29"/>
  <c r="T327" i="29"/>
  <c r="S327" i="29"/>
  <c r="R327" i="29"/>
  <c r="Q327" i="29"/>
  <c r="P327" i="29"/>
  <c r="O327" i="29"/>
  <c r="N327" i="29"/>
  <c r="L327" i="29"/>
  <c r="K327" i="29"/>
  <c r="J327" i="29"/>
  <c r="I327" i="29"/>
  <c r="H327" i="29"/>
  <c r="G327" i="29"/>
  <c r="F327" i="29"/>
  <c r="E327" i="29"/>
  <c r="AF325" i="29"/>
  <c r="AI325" i="29" s="1"/>
  <c r="AK324" i="29" s="1"/>
  <c r="AF284" i="29"/>
  <c r="AI284" i="29" s="1"/>
  <c r="AK284" i="29" s="1"/>
  <c r="AF281" i="29"/>
  <c r="AI281" i="29" s="1"/>
  <c r="AK281" i="29" s="1"/>
  <c r="AF280" i="29"/>
  <c r="AI280" i="29" s="1"/>
  <c r="AK280" i="29" s="1"/>
  <c r="AF279" i="29"/>
  <c r="AI279" i="29" s="1"/>
  <c r="AK279" i="29" s="1"/>
  <c r="AF278" i="29"/>
  <c r="AI278" i="29" s="1"/>
  <c r="AK278" i="29" s="1"/>
  <c r="AF277" i="29"/>
  <c r="AI277" i="29" s="1"/>
  <c r="AK277" i="29" s="1"/>
  <c r="AF276" i="29"/>
  <c r="AI276" i="29" s="1"/>
  <c r="AK276" i="29" s="1"/>
  <c r="AF275" i="29"/>
  <c r="AI275" i="29" s="1"/>
  <c r="AK275" i="29" s="1"/>
  <c r="AF274" i="29"/>
  <c r="AI274" i="29" s="1"/>
  <c r="AK274" i="29" s="1"/>
  <c r="AF273" i="29"/>
  <c r="AI273" i="29" s="1"/>
  <c r="AK273" i="29" s="1"/>
  <c r="AF272" i="29"/>
  <c r="AI272" i="29" s="1"/>
  <c r="AK272" i="29" s="1"/>
  <c r="AF271" i="29"/>
  <c r="AI271" i="29" s="1"/>
  <c r="AK271" i="29" s="1"/>
  <c r="AF270" i="29"/>
  <c r="AI270" i="29" s="1"/>
  <c r="AK270" i="29" s="1"/>
  <c r="AF269" i="29"/>
  <c r="AI269" i="29" s="1"/>
  <c r="AK269" i="29" s="1"/>
  <c r="AF268" i="29"/>
  <c r="AI268" i="29" s="1"/>
  <c r="AK268" i="29" s="1"/>
  <c r="AF267" i="29"/>
  <c r="AI267" i="29" s="1"/>
  <c r="AK267" i="29" s="1"/>
  <c r="AF266" i="29"/>
  <c r="AI266" i="29" s="1"/>
  <c r="AK266" i="29" s="1"/>
  <c r="AF265" i="29"/>
  <c r="AI265" i="29" s="1"/>
  <c r="AK265" i="29" s="1"/>
  <c r="AF264" i="29"/>
  <c r="AI264" i="29" s="1"/>
  <c r="AK264" i="29" s="1"/>
  <c r="AF263" i="29"/>
  <c r="AI263" i="29" s="1"/>
  <c r="AK263" i="29" s="1"/>
  <c r="AF262" i="29"/>
  <c r="AI262" i="29" s="1"/>
  <c r="AK262" i="29" s="1"/>
  <c r="AF261" i="29"/>
  <c r="AI261" i="29" s="1"/>
  <c r="AK261" i="29" s="1"/>
  <c r="AF260" i="29"/>
  <c r="AI260" i="29" s="1"/>
  <c r="AK260" i="29" s="1"/>
  <c r="AF259" i="29"/>
  <c r="AI259" i="29" s="1"/>
  <c r="AK259" i="29" s="1"/>
  <c r="AF254" i="29"/>
  <c r="AI254" i="29" s="1"/>
  <c r="AK254" i="29" s="1"/>
  <c r="AF252" i="29"/>
  <c r="AI252" i="29" s="1"/>
  <c r="AK252" i="29" s="1"/>
  <c r="AF251" i="29"/>
  <c r="AI251" i="29" s="1"/>
  <c r="AK251" i="29" s="1"/>
  <c r="AF250" i="29"/>
  <c r="AI250" i="29" s="1"/>
  <c r="AK250" i="29" s="1"/>
  <c r="AF249" i="29"/>
  <c r="AI249" i="29" s="1"/>
  <c r="AK249" i="29" s="1"/>
  <c r="AF248" i="29"/>
  <c r="AI248" i="29" s="1"/>
  <c r="AK248" i="29" s="1"/>
  <c r="AF247" i="29"/>
  <c r="AI247" i="29" s="1"/>
  <c r="AK247" i="29" s="1"/>
  <c r="AF246" i="29"/>
  <c r="AI246" i="29" s="1"/>
  <c r="AK246" i="29" s="1"/>
  <c r="AB327" i="29"/>
  <c r="Z327" i="29"/>
  <c r="AF244" i="29"/>
  <c r="AI244" i="29" s="1"/>
  <c r="AK244" i="29" s="1"/>
  <c r="AF243" i="29"/>
  <c r="W241" i="29"/>
  <c r="N241" i="29"/>
  <c r="E241" i="29"/>
  <c r="AJ236" i="29"/>
  <c r="AG236" i="29"/>
  <c r="AD236" i="29"/>
  <c r="AC236" i="29"/>
  <c r="AB236" i="29"/>
  <c r="AA236" i="29"/>
  <c r="Z236" i="29"/>
  <c r="Y236" i="29"/>
  <c r="X236" i="29"/>
  <c r="W236" i="29"/>
  <c r="U236" i="29"/>
  <c r="T236" i="29"/>
  <c r="S236" i="29"/>
  <c r="R236" i="29"/>
  <c r="Q236" i="29"/>
  <c r="P236" i="29"/>
  <c r="O236" i="29"/>
  <c r="N236" i="29"/>
  <c r="L236" i="29"/>
  <c r="K236" i="29"/>
  <c r="J236" i="29"/>
  <c r="I236" i="29"/>
  <c r="H236" i="29"/>
  <c r="G236" i="29"/>
  <c r="F236" i="29"/>
  <c r="E236" i="29"/>
  <c r="AF235" i="29"/>
  <c r="AI235" i="29" s="1"/>
  <c r="AK235" i="29" s="1"/>
  <c r="AF234" i="29"/>
  <c r="AI234" i="29" s="1"/>
  <c r="AK234" i="29" s="1"/>
  <c r="AF233" i="29"/>
  <c r="AI233" i="29" s="1"/>
  <c r="AK233" i="29" s="1"/>
  <c r="AF232" i="29"/>
  <c r="AI232" i="29" s="1"/>
  <c r="AK232" i="29" s="1"/>
  <c r="AF231" i="29"/>
  <c r="AI231" i="29" s="1"/>
  <c r="AK231" i="29" s="1"/>
  <c r="AJ228" i="29"/>
  <c r="AH228" i="29"/>
  <c r="AG228" i="29"/>
  <c r="AD228" i="29"/>
  <c r="AC228" i="29"/>
  <c r="AB228" i="29"/>
  <c r="AA228" i="29"/>
  <c r="Z228" i="29"/>
  <c r="Y228" i="29"/>
  <c r="X228" i="29"/>
  <c r="W228" i="29"/>
  <c r="U228" i="29"/>
  <c r="T228" i="29"/>
  <c r="S228" i="29"/>
  <c r="R228" i="29"/>
  <c r="Q228" i="29"/>
  <c r="P228" i="29"/>
  <c r="O228" i="29"/>
  <c r="N228" i="29"/>
  <c r="L228" i="29"/>
  <c r="K228" i="29"/>
  <c r="J228" i="29"/>
  <c r="I228" i="29"/>
  <c r="H228" i="29"/>
  <c r="G228" i="29"/>
  <c r="F228" i="29"/>
  <c r="E228" i="29"/>
  <c r="AF227" i="29"/>
  <c r="AI227" i="29" s="1"/>
  <c r="AK227" i="29" s="1"/>
  <c r="AF226" i="29"/>
  <c r="AI226" i="29" s="1"/>
  <c r="AK226" i="29" s="1"/>
  <c r="AF225" i="29"/>
  <c r="AI225" i="29" s="1"/>
  <c r="AK225" i="29" s="1"/>
  <c r="AF224" i="29"/>
  <c r="AI224" i="29" s="1"/>
  <c r="AK224" i="29" s="1"/>
  <c r="AF223" i="29"/>
  <c r="AI223" i="29" s="1"/>
  <c r="AK223" i="29" s="1"/>
  <c r="AF222" i="29"/>
  <c r="AI222" i="29" s="1"/>
  <c r="AJ219" i="29"/>
  <c r="AG219" i="29"/>
  <c r="AD219" i="29"/>
  <c r="AC219" i="29"/>
  <c r="AB219" i="29"/>
  <c r="AA219" i="29"/>
  <c r="Z219" i="29"/>
  <c r="Y219" i="29"/>
  <c r="X219" i="29"/>
  <c r="W219" i="29"/>
  <c r="U219" i="29"/>
  <c r="T219" i="29"/>
  <c r="S219" i="29"/>
  <c r="R219" i="29"/>
  <c r="Q219" i="29"/>
  <c r="P219" i="29"/>
  <c r="O219" i="29"/>
  <c r="N219" i="29"/>
  <c r="L219" i="29"/>
  <c r="K219" i="29"/>
  <c r="J219" i="29"/>
  <c r="I219" i="29"/>
  <c r="H219" i="29"/>
  <c r="G219" i="29"/>
  <c r="F219" i="29"/>
  <c r="E219" i="29"/>
  <c r="AF218" i="29"/>
  <c r="AI218" i="29" s="1"/>
  <c r="AK218" i="29" s="1"/>
  <c r="AF217" i="29"/>
  <c r="AI217" i="29" s="1"/>
  <c r="AK217" i="29" s="1"/>
  <c r="AF216" i="29"/>
  <c r="AI216" i="29" s="1"/>
  <c r="AK216" i="29" s="1"/>
  <c r="AF215" i="29"/>
  <c r="AI215" i="29" s="1"/>
  <c r="AJ212" i="29"/>
  <c r="AH212" i="29"/>
  <c r="AG212" i="29"/>
  <c r="AD212" i="29"/>
  <c r="AC212" i="29"/>
  <c r="AB212" i="29"/>
  <c r="AA212" i="29"/>
  <c r="Z212" i="29"/>
  <c r="Y212" i="29"/>
  <c r="X212" i="29"/>
  <c r="W212" i="29"/>
  <c r="U212" i="29"/>
  <c r="T212" i="29"/>
  <c r="S212" i="29"/>
  <c r="R212" i="29"/>
  <c r="Q212" i="29"/>
  <c r="P212" i="29"/>
  <c r="O212" i="29"/>
  <c r="N212" i="29"/>
  <c r="L212" i="29"/>
  <c r="K212" i="29"/>
  <c r="J212" i="29"/>
  <c r="I212" i="29"/>
  <c r="H212" i="29"/>
  <c r="G212" i="29"/>
  <c r="F212" i="29"/>
  <c r="E212" i="29"/>
  <c r="AF211" i="29"/>
  <c r="AI211" i="29" s="1"/>
  <c r="AK211" i="29" s="1"/>
  <c r="AF210" i="29"/>
  <c r="AI210" i="29" s="1"/>
  <c r="AK210" i="29" s="1"/>
  <c r="AF209" i="29"/>
  <c r="AI209" i="29" s="1"/>
  <c r="AK209" i="29" s="1"/>
  <c r="AF208" i="29"/>
  <c r="AI208" i="29" s="1"/>
  <c r="AK208" i="29" s="1"/>
  <c r="AF207" i="29"/>
  <c r="AM201" i="29"/>
  <c r="AJ205" i="29"/>
  <c r="AH205" i="29"/>
  <c r="AG205" i="29"/>
  <c r="AD205" i="29"/>
  <c r="AC205" i="29"/>
  <c r="AB205" i="29"/>
  <c r="AA205" i="29"/>
  <c r="Z205" i="29"/>
  <c r="Y205" i="29"/>
  <c r="X205" i="29"/>
  <c r="W205" i="29"/>
  <c r="U205" i="29"/>
  <c r="T205" i="29"/>
  <c r="S205" i="29"/>
  <c r="R205" i="29"/>
  <c r="Q205" i="29"/>
  <c r="P205" i="29"/>
  <c r="O205" i="29"/>
  <c r="N205" i="29"/>
  <c r="L205" i="29"/>
  <c r="K205" i="29"/>
  <c r="J205" i="29"/>
  <c r="I205" i="29"/>
  <c r="H205" i="29"/>
  <c r="G205" i="29"/>
  <c r="F205" i="29"/>
  <c r="E205" i="29"/>
  <c r="AF204" i="29"/>
  <c r="AI204" i="29" s="1"/>
  <c r="AK204" i="29" s="1"/>
  <c r="AF203" i="29"/>
  <c r="AI203" i="29" s="1"/>
  <c r="AK203" i="29" s="1"/>
  <c r="AF202" i="29"/>
  <c r="AI202" i="29" s="1"/>
  <c r="AK202" i="29" s="1"/>
  <c r="AF201" i="29"/>
  <c r="AI201" i="29" s="1"/>
  <c r="AK201" i="29" s="1"/>
  <c r="AF200" i="29"/>
  <c r="AI200" i="29" s="1"/>
  <c r="AK200" i="29" s="1"/>
  <c r="AF199" i="29"/>
  <c r="AI199" i="29" s="1"/>
  <c r="AK199" i="29" s="1"/>
  <c r="AF198" i="29"/>
  <c r="AI198" i="29" s="1"/>
  <c r="AK198" i="29" s="1"/>
  <c r="AF197" i="29"/>
  <c r="AI197" i="29" s="1"/>
  <c r="AK197" i="29" s="1"/>
  <c r="AF196" i="29"/>
  <c r="AI196" i="29" s="1"/>
  <c r="AK196" i="29" s="1"/>
  <c r="AF195" i="29"/>
  <c r="AI195" i="29" s="1"/>
  <c r="AK195" i="29" s="1"/>
  <c r="AF194" i="29"/>
  <c r="AI194" i="29" s="1"/>
  <c r="AK194" i="29" s="1"/>
  <c r="AF193" i="29"/>
  <c r="AI193" i="29" s="1"/>
  <c r="AK193" i="29" s="1"/>
  <c r="AF192" i="29"/>
  <c r="AI192" i="29" s="1"/>
  <c r="AK192" i="29" s="1"/>
  <c r="AF191" i="29"/>
  <c r="AI191" i="29" s="1"/>
  <c r="AK191" i="29" s="1"/>
  <c r="AF190" i="29"/>
  <c r="AI190" i="29" s="1"/>
  <c r="AK190" i="29" s="1"/>
  <c r="AF189" i="29"/>
  <c r="AI189" i="29" s="1"/>
  <c r="AK189" i="29" s="1"/>
  <c r="AF188" i="29"/>
  <c r="AI188" i="29" s="1"/>
  <c r="AK188" i="29" s="1"/>
  <c r="AF187" i="29"/>
  <c r="AI187" i="29" s="1"/>
  <c r="AK187" i="29" s="1"/>
  <c r="AF186" i="29"/>
  <c r="AI186" i="29" s="1"/>
  <c r="AK186" i="29" s="1"/>
  <c r="AF185" i="29"/>
  <c r="AI185" i="29" s="1"/>
  <c r="AK185" i="29" s="1"/>
  <c r="AF184" i="29"/>
  <c r="AI184" i="29" s="1"/>
  <c r="AK184" i="29" s="1"/>
  <c r="AF183" i="29"/>
  <c r="AI183" i="29" s="1"/>
  <c r="AK183" i="29" s="1"/>
  <c r="AF182" i="29"/>
  <c r="AI182" i="29" s="1"/>
  <c r="AK182" i="29" s="1"/>
  <c r="AF181" i="29"/>
  <c r="AI181" i="29" s="1"/>
  <c r="AK181" i="29" s="1"/>
  <c r="AF180" i="29"/>
  <c r="AI180" i="29" s="1"/>
  <c r="AK180" i="29" s="1"/>
  <c r="AF179" i="29"/>
  <c r="AI179" i="29" s="1"/>
  <c r="AK179" i="29" s="1"/>
  <c r="AF178" i="29"/>
  <c r="AI178" i="29" s="1"/>
  <c r="AK178" i="29" s="1"/>
  <c r="AF177" i="29"/>
  <c r="AI177" i="29" s="1"/>
  <c r="AK177" i="29" s="1"/>
  <c r="AF176" i="29"/>
  <c r="AI176" i="29" s="1"/>
  <c r="AK176" i="29" s="1"/>
  <c r="AF175" i="29"/>
  <c r="AI175" i="29" s="1"/>
  <c r="AK175" i="29" s="1"/>
  <c r="AF174" i="29"/>
  <c r="AI174" i="29" s="1"/>
  <c r="AK174" i="29" s="1"/>
  <c r="AF173" i="29"/>
  <c r="AI173" i="29" s="1"/>
  <c r="AK173" i="29" s="1"/>
  <c r="AF172" i="29"/>
  <c r="AL133" i="29"/>
  <c r="AJ137" i="29"/>
  <c r="AH137" i="29"/>
  <c r="AG137" i="29"/>
  <c r="AD137" i="29"/>
  <c r="AC137" i="29"/>
  <c r="AA137" i="29"/>
  <c r="Y137" i="29"/>
  <c r="X137" i="29"/>
  <c r="W137" i="29"/>
  <c r="U137" i="29"/>
  <c r="T137" i="29"/>
  <c r="S137" i="29"/>
  <c r="R137" i="29"/>
  <c r="Q137" i="29"/>
  <c r="P137" i="29"/>
  <c r="O137" i="29"/>
  <c r="N137" i="29"/>
  <c r="L137" i="29"/>
  <c r="K137" i="29"/>
  <c r="J137" i="29"/>
  <c r="I137" i="29"/>
  <c r="H137" i="29"/>
  <c r="G137" i="29"/>
  <c r="F137" i="29"/>
  <c r="E137" i="29"/>
  <c r="AF136" i="29"/>
  <c r="AI136" i="29" s="1"/>
  <c r="AK136" i="29" s="1"/>
  <c r="AF135" i="29"/>
  <c r="AI135" i="29" s="1"/>
  <c r="AK135" i="29" s="1"/>
  <c r="AF134" i="29"/>
  <c r="AI134" i="29" s="1"/>
  <c r="AK134" i="29" s="1"/>
  <c r="AF133" i="29"/>
  <c r="AI133" i="29" s="1"/>
  <c r="AK133" i="29" s="1"/>
  <c r="AF132" i="29"/>
  <c r="AI132" i="29" s="1"/>
  <c r="AK132" i="29" s="1"/>
  <c r="AF131" i="29"/>
  <c r="AI131" i="29" s="1"/>
  <c r="AK131" i="29" s="1"/>
  <c r="AF130" i="29"/>
  <c r="AI130" i="29" s="1"/>
  <c r="AK130" i="29" s="1"/>
  <c r="AF129" i="29"/>
  <c r="AI129" i="29" s="1"/>
  <c r="AK129" i="29" s="1"/>
  <c r="AF128" i="29"/>
  <c r="AI128" i="29" s="1"/>
  <c r="AK128" i="29" s="1"/>
  <c r="AF127" i="29"/>
  <c r="AI127" i="29" s="1"/>
  <c r="AK127" i="29" s="1"/>
  <c r="AF126" i="29"/>
  <c r="AI126" i="29" s="1"/>
  <c r="AK126" i="29" s="1"/>
  <c r="AF125" i="29"/>
  <c r="AI125" i="29" s="1"/>
  <c r="AK125" i="29" s="1"/>
  <c r="AF124" i="29"/>
  <c r="AI124" i="29" s="1"/>
  <c r="AK124" i="29" s="1"/>
  <c r="AF123" i="29"/>
  <c r="AI123" i="29" s="1"/>
  <c r="AK123" i="29" s="1"/>
  <c r="AF122" i="29"/>
  <c r="AI122" i="29" s="1"/>
  <c r="AK122" i="29" s="1"/>
  <c r="AF121" i="29"/>
  <c r="AI121" i="29" s="1"/>
  <c r="AK121" i="29" s="1"/>
  <c r="AF120" i="29"/>
  <c r="AI120" i="29" s="1"/>
  <c r="AK120" i="29" s="1"/>
  <c r="AF119" i="29"/>
  <c r="AI119" i="29" s="1"/>
  <c r="AK119" i="29" s="1"/>
  <c r="AF118" i="29"/>
  <c r="AI118" i="29" s="1"/>
  <c r="AK118" i="29" s="1"/>
  <c r="AF117" i="29"/>
  <c r="AI117" i="29" s="1"/>
  <c r="AK117" i="29" s="1"/>
  <c r="AF116" i="29"/>
  <c r="AI116" i="29" s="1"/>
  <c r="AK116" i="29" s="1"/>
  <c r="AF115" i="29"/>
  <c r="AI115" i="29" s="1"/>
  <c r="AK115" i="29" s="1"/>
  <c r="AF114" i="29"/>
  <c r="AI114" i="29" s="1"/>
  <c r="AK114" i="29" s="1"/>
  <c r="AF113" i="29"/>
  <c r="AI113" i="29" s="1"/>
  <c r="AK113" i="29" s="1"/>
  <c r="AF112" i="29"/>
  <c r="AI112" i="29" s="1"/>
  <c r="AK112" i="29" s="1"/>
  <c r="AF111" i="29"/>
  <c r="AI111" i="29" s="1"/>
  <c r="AK111" i="29" s="1"/>
  <c r="AF110" i="29"/>
  <c r="AI110" i="29" s="1"/>
  <c r="AK110" i="29" s="1"/>
  <c r="AF109" i="29"/>
  <c r="AI109" i="29" s="1"/>
  <c r="AK109" i="29" s="1"/>
  <c r="AF108" i="29"/>
  <c r="AI108" i="29" s="1"/>
  <c r="AK108" i="29" s="1"/>
  <c r="Z137" i="29"/>
  <c r="AF106" i="29"/>
  <c r="AI106" i="29" s="1"/>
  <c r="AK106" i="29" s="1"/>
  <c r="AM100" i="29"/>
  <c r="AJ104" i="29"/>
  <c r="AH104" i="29"/>
  <c r="AG104" i="29"/>
  <c r="AD104" i="29"/>
  <c r="AC104" i="29"/>
  <c r="AB104" i="29"/>
  <c r="AA104" i="29"/>
  <c r="Z104" i="29"/>
  <c r="Y104" i="29"/>
  <c r="X104" i="29"/>
  <c r="W104" i="29"/>
  <c r="U104" i="29"/>
  <c r="T104" i="29"/>
  <c r="S104" i="29"/>
  <c r="R104" i="29"/>
  <c r="Q104" i="29"/>
  <c r="P104" i="29"/>
  <c r="O104" i="29"/>
  <c r="N104" i="29"/>
  <c r="L104" i="29"/>
  <c r="K104" i="29"/>
  <c r="J104" i="29"/>
  <c r="I104" i="29"/>
  <c r="H104" i="29"/>
  <c r="G104" i="29"/>
  <c r="F104" i="29"/>
  <c r="E104" i="29"/>
  <c r="AF103" i="29"/>
  <c r="AI103" i="29" s="1"/>
  <c r="AK103" i="29" s="1"/>
  <c r="AF102" i="29"/>
  <c r="AI102" i="29" s="1"/>
  <c r="AK102" i="29" s="1"/>
  <c r="AF101" i="29"/>
  <c r="AI101" i="29" s="1"/>
  <c r="AK101" i="29" s="1"/>
  <c r="AF100" i="29"/>
  <c r="AI100" i="29" s="1"/>
  <c r="AK100" i="29" s="1"/>
  <c r="AF99" i="29"/>
  <c r="AI99" i="29" s="1"/>
  <c r="AK99" i="29" s="1"/>
  <c r="AF98" i="29"/>
  <c r="AI98" i="29" s="1"/>
  <c r="AK98" i="29" s="1"/>
  <c r="AF97" i="29"/>
  <c r="AI97" i="29" s="1"/>
  <c r="AK97" i="29" s="1"/>
  <c r="AF96" i="29"/>
  <c r="AI96" i="29" s="1"/>
  <c r="AK96" i="29" s="1"/>
  <c r="AF95" i="29"/>
  <c r="AI95" i="29" s="1"/>
  <c r="AK95" i="29" s="1"/>
  <c r="AF94" i="29"/>
  <c r="AI94" i="29" s="1"/>
  <c r="AK94" i="29" s="1"/>
  <c r="AF93" i="29"/>
  <c r="AI93" i="29" s="1"/>
  <c r="AK93" i="29" s="1"/>
  <c r="AF92" i="29"/>
  <c r="AI92" i="29" s="1"/>
  <c r="AK92" i="29" s="1"/>
  <c r="AF91" i="29"/>
  <c r="AI91" i="29" s="1"/>
  <c r="AK91" i="29" s="1"/>
  <c r="AF90" i="29"/>
  <c r="AI90" i="29" s="1"/>
  <c r="AK90" i="29" s="1"/>
  <c r="AF89" i="29"/>
  <c r="AI89" i="29" s="1"/>
  <c r="AK89" i="29" s="1"/>
  <c r="AF88" i="29"/>
  <c r="AI88" i="29" s="1"/>
  <c r="AK88" i="29" s="1"/>
  <c r="AF87" i="29"/>
  <c r="AI87" i="29" s="1"/>
  <c r="AK87" i="29" s="1"/>
  <c r="AF86" i="29"/>
  <c r="AI86" i="29" s="1"/>
  <c r="AK86" i="29" s="1"/>
  <c r="AF85" i="29"/>
  <c r="AI85" i="29" s="1"/>
  <c r="AK85" i="29" s="1"/>
  <c r="AF84" i="29"/>
  <c r="AI84" i="29" s="1"/>
  <c r="AK84" i="29" s="1"/>
  <c r="AF83" i="29"/>
  <c r="AI83" i="29" s="1"/>
  <c r="AK83" i="29" s="1"/>
  <c r="AF82" i="29"/>
  <c r="AI82" i="29" s="1"/>
  <c r="AK82" i="29" s="1"/>
  <c r="AF81" i="29"/>
  <c r="AI81" i="29" s="1"/>
  <c r="AK81" i="29" s="1"/>
  <c r="AF80" i="29"/>
  <c r="AI80" i="29" s="1"/>
  <c r="AK80" i="29" s="1"/>
  <c r="AF79" i="29"/>
  <c r="AI79" i="29" s="1"/>
  <c r="AK79" i="29" s="1"/>
  <c r="AF78" i="29"/>
  <c r="AI78" i="29" s="1"/>
  <c r="AK78" i="29" s="1"/>
  <c r="AF77" i="29"/>
  <c r="AI77" i="29" s="1"/>
  <c r="AK77" i="29" s="1"/>
  <c r="AF76" i="29"/>
  <c r="AI76" i="29" s="1"/>
  <c r="AK76" i="29" s="1"/>
  <c r="AF75" i="29"/>
  <c r="AI75" i="29" s="1"/>
  <c r="AK75" i="29" s="1"/>
  <c r="AF74" i="29"/>
  <c r="AI74" i="29" s="1"/>
  <c r="AK74" i="29" s="1"/>
  <c r="AF73" i="29"/>
  <c r="AI73" i="29" s="1"/>
  <c r="AK73" i="29" s="1"/>
  <c r="AF72" i="29"/>
  <c r="AI72" i="29" s="1"/>
  <c r="AK72" i="29" s="1"/>
  <c r="AF71" i="29"/>
  <c r="AD68" i="29"/>
  <c r="AC68" i="29"/>
  <c r="AB68" i="29"/>
  <c r="AA68" i="29"/>
  <c r="Z68" i="29"/>
  <c r="Y68" i="29"/>
  <c r="X68" i="29"/>
  <c r="U68" i="29"/>
  <c r="T68" i="29"/>
  <c r="S68" i="29"/>
  <c r="Q68" i="29"/>
  <c r="P68" i="29"/>
  <c r="O68" i="29"/>
  <c r="N68" i="29"/>
  <c r="L68" i="29"/>
  <c r="K68" i="29"/>
  <c r="J68" i="29"/>
  <c r="I68" i="29"/>
  <c r="H68" i="29"/>
  <c r="G68" i="29"/>
  <c r="F68" i="29"/>
  <c r="AF67" i="29"/>
  <c r="AI67" i="29" s="1"/>
  <c r="AK67" i="29" s="1"/>
  <c r="AF66" i="29"/>
  <c r="AI66" i="29" s="1"/>
  <c r="AK66" i="29" s="1"/>
  <c r="AF65" i="29"/>
  <c r="AI65" i="29" s="1"/>
  <c r="AK65" i="29" s="1"/>
  <c r="AF64" i="29"/>
  <c r="AI64" i="29" s="1"/>
  <c r="AK64" i="29" s="1"/>
  <c r="AF63" i="29"/>
  <c r="AI63" i="29" s="1"/>
  <c r="AK63" i="29" s="1"/>
  <c r="AF62" i="29"/>
  <c r="AI62" i="29" s="1"/>
  <c r="AK62" i="29" s="1"/>
  <c r="AF61" i="29"/>
  <c r="AI61" i="29" s="1"/>
  <c r="AK61" i="29" s="1"/>
  <c r="AF60" i="29"/>
  <c r="AI60" i="29" s="1"/>
  <c r="AK60" i="29" s="1"/>
  <c r="AF59" i="29"/>
  <c r="AI59" i="29" s="1"/>
  <c r="AK59" i="29" s="1"/>
  <c r="AF58" i="29"/>
  <c r="AI58" i="29" s="1"/>
  <c r="AK58" i="29" s="1"/>
  <c r="AF57" i="29"/>
  <c r="AI57" i="29" s="1"/>
  <c r="AK57" i="29" s="1"/>
  <c r="AF56" i="29"/>
  <c r="AI56" i="29" s="1"/>
  <c r="AK56" i="29" s="1"/>
  <c r="AF55" i="29"/>
  <c r="AI55" i="29" s="1"/>
  <c r="AK55" i="29" s="1"/>
  <c r="AF54" i="29"/>
  <c r="AI54" i="29" s="1"/>
  <c r="AK54" i="29" s="1"/>
  <c r="AF53" i="29"/>
  <c r="AI53" i="29" s="1"/>
  <c r="AK53" i="29" s="1"/>
  <c r="AF52" i="29"/>
  <c r="AI52" i="29" s="1"/>
  <c r="AK52" i="29" s="1"/>
  <c r="AF51" i="29"/>
  <c r="AI51" i="29" s="1"/>
  <c r="AK51" i="29" s="1"/>
  <c r="AF50" i="29"/>
  <c r="AI50" i="29" s="1"/>
  <c r="AK50" i="29" s="1"/>
  <c r="AF49" i="29"/>
  <c r="AI49" i="29" s="1"/>
  <c r="AK49" i="29" s="1"/>
  <c r="AF48" i="29"/>
  <c r="AI48" i="29" s="1"/>
  <c r="AK48" i="29" s="1"/>
  <c r="AF47" i="29"/>
  <c r="AI47" i="29" s="1"/>
  <c r="AK47" i="29" s="1"/>
  <c r="AF46" i="29"/>
  <c r="AI46" i="29" s="1"/>
  <c r="AK46" i="29" s="1"/>
  <c r="AF45" i="29"/>
  <c r="AI45" i="29" s="1"/>
  <c r="AK45" i="29" s="1"/>
  <c r="AF44" i="29"/>
  <c r="AI44" i="29" s="1"/>
  <c r="AK44" i="29" s="1"/>
  <c r="AF43" i="29"/>
  <c r="AI43" i="29" s="1"/>
  <c r="AK43" i="29" s="1"/>
  <c r="AF42" i="29"/>
  <c r="AI42" i="29" s="1"/>
  <c r="AK42" i="29" s="1"/>
  <c r="AF41" i="29"/>
  <c r="AI41" i="29" s="1"/>
  <c r="AK41" i="29" s="1"/>
  <c r="AF40" i="29"/>
  <c r="AI40" i="29" s="1"/>
  <c r="AK40" i="29" s="1"/>
  <c r="AF39" i="29"/>
  <c r="AI39" i="29" s="1"/>
  <c r="AK39" i="29" s="1"/>
  <c r="AF38" i="29"/>
  <c r="AI38" i="29" s="1"/>
  <c r="AK38" i="29" s="1"/>
  <c r="AF37" i="29"/>
  <c r="AI37" i="29" s="1"/>
  <c r="AK37" i="29" s="1"/>
  <c r="AJ32" i="29"/>
  <c r="AH32" i="29"/>
  <c r="AH238" i="29" s="1"/>
  <c r="AG32" i="29"/>
  <c r="AE32" i="29"/>
  <c r="AD32" i="29"/>
  <c r="AC32" i="29"/>
  <c r="AB32" i="29"/>
  <c r="AA32" i="29"/>
  <c r="Z32" i="29"/>
  <c r="Y32" i="29"/>
  <c r="X32" i="29"/>
  <c r="W32" i="29"/>
  <c r="V32" i="29"/>
  <c r="V238" i="29" s="1"/>
  <c r="U32" i="29"/>
  <c r="T32" i="29"/>
  <c r="S32" i="29"/>
  <c r="R32" i="29"/>
  <c r="Q32" i="29"/>
  <c r="P32" i="29"/>
  <c r="O32" i="29"/>
  <c r="N32" i="29"/>
  <c r="M32" i="29"/>
  <c r="M238" i="29" s="1"/>
  <c r="L32" i="29"/>
  <c r="K32" i="29"/>
  <c r="J32" i="29"/>
  <c r="I32" i="29"/>
  <c r="H32" i="29"/>
  <c r="G32" i="29"/>
  <c r="F32" i="29"/>
  <c r="AF31" i="29"/>
  <c r="AI31" i="29" s="1"/>
  <c r="AK31" i="29" s="1"/>
  <c r="AF23" i="29"/>
  <c r="AI23" i="29" s="1"/>
  <c r="AK23" i="29" s="1"/>
  <c r="AF22" i="29"/>
  <c r="AI22" i="29" s="1"/>
  <c r="AK22" i="29" s="1"/>
  <c r="AF21" i="29"/>
  <c r="AI21" i="29" s="1"/>
  <c r="AK21" i="29" s="1"/>
  <c r="AF20" i="29"/>
  <c r="AI20" i="29" s="1"/>
  <c r="AK20" i="29" s="1"/>
  <c r="AF19" i="29"/>
  <c r="AI19" i="29" s="1"/>
  <c r="AK19" i="29" s="1"/>
  <c r="AF18" i="29"/>
  <c r="AI18" i="29" s="1"/>
  <c r="AK18" i="29" s="1"/>
  <c r="AF17" i="29"/>
  <c r="AI17" i="29" s="1"/>
  <c r="AK17" i="29" s="1"/>
  <c r="AF16" i="29"/>
  <c r="AI16" i="29" s="1"/>
  <c r="AK16" i="29" s="1"/>
  <c r="AF15" i="29"/>
  <c r="AI15" i="29" s="1"/>
  <c r="AK15" i="29" s="1"/>
  <c r="AF14" i="29"/>
  <c r="AI14" i="29" s="1"/>
  <c r="AK14" i="29" s="1"/>
  <c r="AF13" i="29"/>
  <c r="AI13" i="29" s="1"/>
  <c r="AK13" i="29" s="1"/>
  <c r="AF12" i="29"/>
  <c r="AI12" i="29" s="1"/>
  <c r="AK12" i="29" s="1"/>
  <c r="AF11" i="29"/>
  <c r="AI11" i="29" s="1"/>
  <c r="AK11" i="29" s="1"/>
  <c r="AF10" i="29"/>
  <c r="AI10" i="29" s="1"/>
  <c r="AK10" i="29" s="1"/>
  <c r="AF9" i="29"/>
  <c r="AI9" i="29" s="1"/>
  <c r="AK9" i="29" s="1"/>
  <c r="AF8" i="29"/>
  <c r="AI8" i="29" s="1"/>
  <c r="AK8" i="29" s="1"/>
  <c r="AF7" i="29"/>
  <c r="AI7" i="29" s="1"/>
  <c r="AK7" i="29" s="1"/>
  <c r="AF6" i="29"/>
  <c r="AI6" i="29" s="1"/>
  <c r="AK6" i="29" s="1"/>
  <c r="AF5" i="29"/>
  <c r="AI5" i="29" s="1"/>
  <c r="A4" i="29"/>
  <c r="I1" i="29"/>
  <c r="AG238" i="29" l="1"/>
  <c r="AG239" i="29" s="1"/>
  <c r="AJ238" i="29"/>
  <c r="AJ335" i="29" s="1"/>
  <c r="AJ336" i="29" s="1"/>
  <c r="H238" i="29"/>
  <c r="H239" i="29" s="1"/>
  <c r="L238" i="29"/>
  <c r="L239" i="29" s="1"/>
  <c r="Q238" i="29"/>
  <c r="U238" i="29"/>
  <c r="Z238" i="29"/>
  <c r="AD238" i="29"/>
  <c r="AD336" i="29" s="1"/>
  <c r="AA32" i="19" s="1"/>
  <c r="AA33" i="19" s="1"/>
  <c r="I238" i="29"/>
  <c r="I336" i="29" s="1"/>
  <c r="F32" i="19" s="1"/>
  <c r="F33" i="19" s="1"/>
  <c r="N238" i="29"/>
  <c r="R238" i="29"/>
  <c r="R336" i="29" s="1"/>
  <c r="O32" i="19" s="1"/>
  <c r="O33" i="19" s="1"/>
  <c r="W238" i="29"/>
  <c r="W239" i="29" s="1"/>
  <c r="AA238" i="29"/>
  <c r="AA336" i="29" s="1"/>
  <c r="X32" i="19" s="1"/>
  <c r="F238" i="29"/>
  <c r="F336" i="29" s="1"/>
  <c r="C32" i="19" s="1"/>
  <c r="C33" i="19" s="1"/>
  <c r="J238" i="29"/>
  <c r="J239" i="29" s="1"/>
  <c r="O238" i="29"/>
  <c r="S238" i="29"/>
  <c r="X238" i="29"/>
  <c r="X336" i="29" s="1"/>
  <c r="U32" i="19" s="1"/>
  <c r="U33" i="19" s="1"/>
  <c r="G238" i="29"/>
  <c r="G336" i="29" s="1"/>
  <c r="D32" i="19" s="1"/>
  <c r="D33" i="19" s="1"/>
  <c r="K238" i="29"/>
  <c r="K336" i="29" s="1"/>
  <c r="H32" i="19" s="1"/>
  <c r="H33" i="19" s="1"/>
  <c r="P238" i="29"/>
  <c r="P336" i="29" s="1"/>
  <c r="M32" i="19" s="1"/>
  <c r="T238" i="29"/>
  <c r="T336" i="29" s="1"/>
  <c r="Q32" i="19" s="1"/>
  <c r="Q33" i="19" s="1"/>
  <c r="Y238" i="29"/>
  <c r="Y336" i="29" s="1"/>
  <c r="V32" i="19" s="1"/>
  <c r="V33" i="19" s="1"/>
  <c r="AC238" i="29"/>
  <c r="AC239" i="29" s="1"/>
  <c r="AF212" i="29"/>
  <c r="AG327" i="29"/>
  <c r="AH239" i="29"/>
  <c r="AI243" i="29"/>
  <c r="AK243" i="29" s="1"/>
  <c r="AF36" i="29"/>
  <c r="AI36" i="29" s="1"/>
  <c r="AK36" i="29" s="1"/>
  <c r="E68" i="29"/>
  <c r="E238" i="29" s="1"/>
  <c r="AF35" i="29"/>
  <c r="AI32" i="29"/>
  <c r="AF104" i="29"/>
  <c r="AI71" i="29"/>
  <c r="AI219" i="29"/>
  <c r="AK215" i="29"/>
  <c r="AK219" i="29" s="1"/>
  <c r="AI228" i="29"/>
  <c r="AK222" i="29"/>
  <c r="AK228" i="29" s="1"/>
  <c r="AI332" i="29"/>
  <c r="AK329" i="29"/>
  <c r="AK331" i="29" s="1"/>
  <c r="AF205" i="29"/>
  <c r="AI172" i="29"/>
  <c r="AF32" i="29"/>
  <c r="AF4" i="29"/>
  <c r="W177" i="19" s="1"/>
  <c r="AK5" i="29"/>
  <c r="AK32" i="29" s="1"/>
  <c r="AF107" i="29"/>
  <c r="AI107" i="29" s="1"/>
  <c r="AK107" i="29" s="1"/>
  <c r="AK137" i="29" s="1"/>
  <c r="AB137" i="29"/>
  <c r="AB238" i="29" s="1"/>
  <c r="AK236" i="29"/>
  <c r="AF219" i="29"/>
  <c r="AF228" i="29"/>
  <c r="AF236" i="29"/>
  <c r="AI236" i="29"/>
  <c r="AF245" i="29"/>
  <c r="AI245" i="29" s="1"/>
  <c r="AK245" i="29" s="1"/>
  <c r="AC327" i="29"/>
  <c r="AF327" i="29" s="1"/>
  <c r="AF332" i="29"/>
  <c r="AI207" i="29"/>
  <c r="AR118" i="2"/>
  <c r="C188" i="19" s="1"/>
  <c r="D188" i="19" s="1"/>
  <c r="AQ118" i="2"/>
  <c r="C187" i="19" s="1"/>
  <c r="AP118" i="2"/>
  <c r="C191" i="19" s="1"/>
  <c r="AO118" i="2"/>
  <c r="C185" i="19" s="1"/>
  <c r="AN118" i="2"/>
  <c r="C190" i="19" s="1"/>
  <c r="AM118" i="2"/>
  <c r="C189" i="19" s="1"/>
  <c r="AL118" i="2"/>
  <c r="C182" i="19" s="1"/>
  <c r="AK118" i="2"/>
  <c r="C183" i="19" s="1"/>
  <c r="AJ118" i="2"/>
  <c r="C176" i="19" s="1"/>
  <c r="AI118" i="2"/>
  <c r="AH118" i="2"/>
  <c r="C175" i="19" s="1"/>
  <c r="AG118" i="2"/>
  <c r="C181" i="19" s="1"/>
  <c r="AF118" i="2"/>
  <c r="C180" i="19" s="1"/>
  <c r="AE118" i="2"/>
  <c r="C179" i="19" s="1"/>
  <c r="AD118" i="2"/>
  <c r="C177" i="19" s="1"/>
  <c r="AC118" i="2"/>
  <c r="AB118" i="2"/>
  <c r="C174" i="19" s="1"/>
  <c r="AA118" i="2"/>
  <c r="C173" i="19" s="1"/>
  <c r="Z118" i="2"/>
  <c r="C172" i="19" s="1"/>
  <c r="U118" i="2"/>
  <c r="B185" i="19" s="1"/>
  <c r="P118" i="2"/>
  <c r="Q118" i="2"/>
  <c r="B183" i="19" s="1"/>
  <c r="R118" i="2"/>
  <c r="B182" i="19" s="1"/>
  <c r="S118" i="2"/>
  <c r="B189" i="19" s="1"/>
  <c r="T118" i="2"/>
  <c r="B190" i="19" s="1"/>
  <c r="V118" i="2"/>
  <c r="B191" i="19" s="1"/>
  <c r="W118" i="2"/>
  <c r="B187" i="19" s="1"/>
  <c r="O118" i="2"/>
  <c r="B176" i="19" s="1"/>
  <c r="D185" i="19" l="1"/>
  <c r="D191" i="19"/>
  <c r="D176" i="19"/>
  <c r="D183" i="19"/>
  <c r="D189" i="19"/>
  <c r="D182" i="19"/>
  <c r="D190" i="19"/>
  <c r="D187" i="19"/>
  <c r="B184" i="19"/>
  <c r="C184" i="19"/>
  <c r="M33" i="19"/>
  <c r="X33" i="19"/>
  <c r="H336" i="29"/>
  <c r="E32" i="19" s="1"/>
  <c r="E33" i="19" s="1"/>
  <c r="R239" i="29"/>
  <c r="X239" i="29"/>
  <c r="J336" i="29"/>
  <c r="G32" i="19" s="1"/>
  <c r="F239" i="29"/>
  <c r="AJ239" i="29"/>
  <c r="AI326" i="29"/>
  <c r="AI327" i="29" s="1"/>
  <c r="AK325" i="29"/>
  <c r="AK326" i="29" s="1"/>
  <c r="AF326" i="29"/>
  <c r="L183" i="19" s="1"/>
  <c r="N183" i="19" s="1"/>
  <c r="AG336" i="29"/>
  <c r="I239" i="29"/>
  <c r="N336" i="29"/>
  <c r="K32" i="19" s="1"/>
  <c r="K33" i="19" s="1"/>
  <c r="N239" i="29"/>
  <c r="AD239" i="29"/>
  <c r="L336" i="29"/>
  <c r="I32" i="19" s="1"/>
  <c r="I33" i="19" s="1"/>
  <c r="F337" i="29"/>
  <c r="AA337" i="29"/>
  <c r="T337" i="29"/>
  <c r="AD337" i="29"/>
  <c r="X337" i="29"/>
  <c r="Y337" i="29"/>
  <c r="K337" i="29"/>
  <c r="I337" i="29"/>
  <c r="G337" i="29"/>
  <c r="R337" i="29"/>
  <c r="AF68" i="29"/>
  <c r="E239" i="29"/>
  <c r="E336" i="29"/>
  <c r="B32" i="19" s="1"/>
  <c r="B33" i="19" s="1"/>
  <c r="W336" i="29"/>
  <c r="T32" i="19" s="1"/>
  <c r="T33" i="19" s="1"/>
  <c r="P337" i="29"/>
  <c r="AI35" i="29"/>
  <c r="Y239" i="29"/>
  <c r="K239" i="29"/>
  <c r="G239" i="29"/>
  <c r="T239" i="29"/>
  <c r="AA239" i="29"/>
  <c r="P239" i="29"/>
  <c r="S336" i="29"/>
  <c r="P32" i="19" s="1"/>
  <c r="P33" i="19" s="1"/>
  <c r="S239" i="29"/>
  <c r="O336" i="29"/>
  <c r="L32" i="19" s="1"/>
  <c r="L33" i="19" s="1"/>
  <c r="O239" i="29"/>
  <c r="AI4" i="29"/>
  <c r="AI205" i="29"/>
  <c r="AK172" i="29"/>
  <c r="AK205" i="29" s="1"/>
  <c r="AK71" i="29"/>
  <c r="AK104" i="29" s="1"/>
  <c r="AI104" i="29"/>
  <c r="AF137" i="29"/>
  <c r="AI212" i="29"/>
  <c r="AK207" i="29"/>
  <c r="AK212" i="29" s="1"/>
  <c r="U336" i="29"/>
  <c r="R32" i="19" s="1"/>
  <c r="R33" i="19" s="1"/>
  <c r="U239" i="29"/>
  <c r="Q336" i="29"/>
  <c r="N32" i="19" s="1"/>
  <c r="N33" i="19" s="1"/>
  <c r="Q239" i="29"/>
  <c r="AB336" i="29"/>
  <c r="Y32" i="19" s="1"/>
  <c r="Y33" i="19" s="1"/>
  <c r="AB239" i="29"/>
  <c r="Z336" i="29"/>
  <c r="W32" i="19" s="1"/>
  <c r="W33" i="19" s="1"/>
  <c r="Z239" i="29"/>
  <c r="AI137" i="29"/>
  <c r="AC336" i="29"/>
  <c r="Z32" i="19" s="1"/>
  <c r="Z33" i="19" s="1"/>
  <c r="D184" i="19" l="1"/>
  <c r="AF238" i="29"/>
  <c r="AF336" i="29" s="1"/>
  <c r="K34" i="19"/>
  <c r="K35" i="19"/>
  <c r="G33" i="19"/>
  <c r="B35" i="19" s="1"/>
  <c r="B34" i="19"/>
  <c r="AB32" i="19"/>
  <c r="M209" i="19" s="1"/>
  <c r="T34" i="19"/>
  <c r="T35" i="19"/>
  <c r="AG337" i="29"/>
  <c r="J337" i="29"/>
  <c r="N337" i="29"/>
  <c r="H337" i="29"/>
  <c r="L337" i="29"/>
  <c r="W337" i="29"/>
  <c r="AD345" i="29"/>
  <c r="E339" i="29"/>
  <c r="AC337" i="29"/>
  <c r="Z337" i="29"/>
  <c r="S337" i="29"/>
  <c r="AB337" i="29"/>
  <c r="U337" i="29"/>
  <c r="E337" i="29"/>
  <c r="Q337" i="29"/>
  <c r="AK35" i="29"/>
  <c r="AK68" i="29" s="1"/>
  <c r="AI68" i="29"/>
  <c r="AI238" i="29" s="1"/>
  <c r="W339" i="29"/>
  <c r="AK4" i="29"/>
  <c r="O337" i="29"/>
  <c r="N339" i="29"/>
  <c r="U60" i="24"/>
  <c r="X60" i="24" s="1"/>
  <c r="Z60" i="24" s="1"/>
  <c r="R288" i="7"/>
  <c r="X245" i="18"/>
  <c r="U184" i="24"/>
  <c r="X184" i="24" s="1"/>
  <c r="Z184" i="24" s="1"/>
  <c r="U59" i="24"/>
  <c r="X59" i="24" s="1"/>
  <c r="Z59" i="24" s="1"/>
  <c r="AE7" i="8"/>
  <c r="AH7" i="8" s="1"/>
  <c r="AJ7" i="8" s="1"/>
  <c r="AI39" i="8"/>
  <c r="AE219" i="7"/>
  <c r="AH219" i="7" s="1"/>
  <c r="AJ219" i="7" s="1"/>
  <c r="Y206" i="27"/>
  <c r="AA206" i="27" s="1"/>
  <c r="X208" i="10"/>
  <c r="Z208" i="10" s="1"/>
  <c r="AG140" i="9"/>
  <c r="Z140" i="9"/>
  <c r="AB140" i="9"/>
  <c r="AE5" i="8"/>
  <c r="X39" i="8"/>
  <c r="Z342" i="9"/>
  <c r="AE215" i="7"/>
  <c r="AH215" i="7" s="1"/>
  <c r="AJ215" i="7" s="1"/>
  <c r="AE209" i="25"/>
  <c r="AH209" i="25" s="1"/>
  <c r="AJ209" i="25" s="1"/>
  <c r="AC342" i="9"/>
  <c r="AA276" i="25"/>
  <c r="AI211" i="23"/>
  <c r="AF211" i="23"/>
  <c r="AC211" i="23"/>
  <c r="AB211" i="23"/>
  <c r="AA211" i="23"/>
  <c r="Z211" i="23"/>
  <c r="Y211" i="23"/>
  <c r="X211" i="23"/>
  <c r="W211" i="23"/>
  <c r="V211" i="23"/>
  <c r="T211" i="23"/>
  <c r="S211" i="23"/>
  <c r="R211" i="23"/>
  <c r="Q211" i="23"/>
  <c r="P211" i="23"/>
  <c r="O211" i="23"/>
  <c r="N211" i="23"/>
  <c r="M211" i="23"/>
  <c r="K211" i="23"/>
  <c r="J211" i="23"/>
  <c r="I211" i="23"/>
  <c r="H211" i="23"/>
  <c r="G211" i="23"/>
  <c r="F211" i="23"/>
  <c r="E211" i="23"/>
  <c r="AE210" i="23"/>
  <c r="AH210" i="23" s="1"/>
  <c r="AJ210" i="23" s="1"/>
  <c r="AE209" i="23"/>
  <c r="AI205" i="23"/>
  <c r="AI206" i="23" s="1"/>
  <c r="AG205" i="23"/>
  <c r="AG206" i="23" s="1"/>
  <c r="AF205" i="23"/>
  <c r="M176" i="19" s="1"/>
  <c r="AC205" i="23"/>
  <c r="AB205" i="23"/>
  <c r="AB206" i="23" s="1"/>
  <c r="AA205" i="23"/>
  <c r="Z205" i="23"/>
  <c r="Z206" i="23" s="1"/>
  <c r="Y205" i="23"/>
  <c r="X205" i="23"/>
  <c r="X206" i="23" s="1"/>
  <c r="W205" i="23"/>
  <c r="V205" i="23"/>
  <c r="V206" i="23" s="1"/>
  <c r="U205" i="23"/>
  <c r="T205" i="23"/>
  <c r="S205" i="23"/>
  <c r="R205" i="23"/>
  <c r="R206" i="23" s="1"/>
  <c r="Q205" i="23"/>
  <c r="Q206" i="23" s="1"/>
  <c r="P205" i="23"/>
  <c r="P206" i="23" s="1"/>
  <c r="O205" i="23"/>
  <c r="N205" i="23"/>
  <c r="M205" i="23"/>
  <c r="L205" i="23"/>
  <c r="K205" i="23"/>
  <c r="J205" i="23"/>
  <c r="I205" i="23"/>
  <c r="H205" i="23"/>
  <c r="H206" i="23" s="1"/>
  <c r="G205" i="23"/>
  <c r="F205" i="23"/>
  <c r="E205" i="23"/>
  <c r="AE204" i="23"/>
  <c r="AH204" i="23" s="1"/>
  <c r="AJ204" i="23" s="1"/>
  <c r="AE203" i="23"/>
  <c r="AH203" i="23" s="1"/>
  <c r="AJ203" i="23" s="1"/>
  <c r="AE202" i="23"/>
  <c r="AH202" i="23" s="1"/>
  <c r="AJ202" i="23" s="1"/>
  <c r="AE201" i="23"/>
  <c r="AH201" i="23" s="1"/>
  <c r="AJ201" i="23" s="1"/>
  <c r="AE200" i="23"/>
  <c r="AH200" i="23" s="1"/>
  <c r="AJ200" i="23" s="1"/>
  <c r="AE199" i="23"/>
  <c r="AH199" i="23" s="1"/>
  <c r="AJ199" i="23" s="1"/>
  <c r="AE198" i="23"/>
  <c r="AH198" i="23" s="1"/>
  <c r="AJ198" i="23" s="1"/>
  <c r="AE197" i="23"/>
  <c r="AH197" i="23" s="1"/>
  <c r="AJ197" i="23" s="1"/>
  <c r="AE196" i="23"/>
  <c r="AH196" i="23" s="1"/>
  <c r="AJ196" i="23" s="1"/>
  <c r="AE195" i="23"/>
  <c r="AH195" i="23" s="1"/>
  <c r="AJ195" i="23" s="1"/>
  <c r="AE194" i="23"/>
  <c r="AH194" i="23" s="1"/>
  <c r="AJ194" i="23" s="1"/>
  <c r="AE193" i="23"/>
  <c r="AH193" i="23" s="1"/>
  <c r="AJ193" i="23" s="1"/>
  <c r="AE192" i="23"/>
  <c r="AH192" i="23" s="1"/>
  <c r="AJ192" i="23" s="1"/>
  <c r="AE191" i="23"/>
  <c r="AH191" i="23" s="1"/>
  <c r="AJ191" i="23" s="1"/>
  <c r="AE190" i="23"/>
  <c r="AH190" i="23" s="1"/>
  <c r="AJ190" i="23" s="1"/>
  <c r="AE189" i="23"/>
  <c r="AH189" i="23" s="1"/>
  <c r="AJ189" i="23" s="1"/>
  <c r="AE188" i="23"/>
  <c r="AH188" i="23" s="1"/>
  <c r="AJ188" i="23" s="1"/>
  <c r="AE187" i="23"/>
  <c r="AH187" i="23" s="1"/>
  <c r="AJ187" i="23" s="1"/>
  <c r="AE186" i="23"/>
  <c r="AH186" i="23" s="1"/>
  <c r="AJ186" i="23" s="1"/>
  <c r="AE185" i="23"/>
  <c r="AH185" i="23" s="1"/>
  <c r="AJ185" i="23" s="1"/>
  <c r="AE184" i="23"/>
  <c r="AH184" i="23" s="1"/>
  <c r="AJ184" i="23" s="1"/>
  <c r="AE183" i="23"/>
  <c r="AH183" i="23" s="1"/>
  <c r="AJ183" i="23" s="1"/>
  <c r="AE182" i="23"/>
  <c r="AH182" i="23" s="1"/>
  <c r="AJ182" i="23" s="1"/>
  <c r="AE181" i="23"/>
  <c r="AH181" i="23" s="1"/>
  <c r="AJ181" i="23" s="1"/>
  <c r="AE180" i="23"/>
  <c r="AH180" i="23" s="1"/>
  <c r="AJ180" i="23" s="1"/>
  <c r="AE179" i="23"/>
  <c r="AH179" i="23" s="1"/>
  <c r="AJ179" i="23" s="1"/>
  <c r="AE178" i="23"/>
  <c r="AH178" i="23" s="1"/>
  <c r="AJ178" i="23" s="1"/>
  <c r="AE177" i="23"/>
  <c r="AH177" i="23" s="1"/>
  <c r="AJ177" i="23" s="1"/>
  <c r="AE176" i="23"/>
  <c r="AH176" i="23" s="1"/>
  <c r="AJ176" i="23" s="1"/>
  <c r="AE175" i="23"/>
  <c r="AH175" i="23" s="1"/>
  <c r="AJ175" i="23" s="1"/>
  <c r="AE174" i="23"/>
  <c r="AH174" i="23" s="1"/>
  <c r="AJ174" i="23" s="1"/>
  <c r="AE173" i="23"/>
  <c r="AH173" i="23" s="1"/>
  <c r="AJ173" i="23" s="1"/>
  <c r="AE172" i="23"/>
  <c r="AH172" i="23" s="1"/>
  <c r="AJ172" i="23" s="1"/>
  <c r="AE171" i="23"/>
  <c r="AH171" i="23" s="1"/>
  <c r="AJ171" i="23" s="1"/>
  <c r="AE170" i="23"/>
  <c r="AH170" i="23" s="1"/>
  <c r="AJ170" i="23" s="1"/>
  <c r="AE169" i="23"/>
  <c r="AH169" i="23" s="1"/>
  <c r="AJ169" i="23" s="1"/>
  <c r="AE168" i="23"/>
  <c r="AH168" i="23" s="1"/>
  <c r="AJ168" i="23" s="1"/>
  <c r="AE167" i="23"/>
  <c r="AH167" i="23" s="1"/>
  <c r="AJ167" i="23" s="1"/>
  <c r="AE166" i="23"/>
  <c r="AH166" i="23" s="1"/>
  <c r="AJ166" i="23" s="1"/>
  <c r="AE165" i="23"/>
  <c r="AH165" i="23" s="1"/>
  <c r="AJ165" i="23" s="1"/>
  <c r="AE164" i="23"/>
  <c r="AH164" i="23" s="1"/>
  <c r="AJ164" i="23" s="1"/>
  <c r="AE163" i="23"/>
  <c r="AH163" i="23" s="1"/>
  <c r="AJ163" i="23" s="1"/>
  <c r="AE162" i="23"/>
  <c r="AH162" i="23" s="1"/>
  <c r="AJ162" i="23" s="1"/>
  <c r="AE161" i="23"/>
  <c r="AH161" i="23" s="1"/>
  <c r="AJ161" i="23" s="1"/>
  <c r="AE160" i="23"/>
  <c r="AH160" i="23" s="1"/>
  <c r="AJ160" i="23" s="1"/>
  <c r="AE159" i="23"/>
  <c r="AH159" i="23" s="1"/>
  <c r="AJ159" i="23" s="1"/>
  <c r="AE158" i="23"/>
  <c r="AH158" i="23" s="1"/>
  <c r="AJ158" i="23" s="1"/>
  <c r="AE157" i="23"/>
  <c r="AH157" i="23" s="1"/>
  <c r="AJ157" i="23" s="1"/>
  <c r="AE156" i="23"/>
  <c r="AH156" i="23" s="1"/>
  <c r="AJ156" i="23" s="1"/>
  <c r="AE155" i="23"/>
  <c r="AH155" i="23" s="1"/>
  <c r="AJ155" i="23" s="1"/>
  <c r="AE154" i="23"/>
  <c r="AH154" i="23" s="1"/>
  <c r="AJ154" i="23" s="1"/>
  <c r="AE153" i="23"/>
  <c r="AH153" i="23" s="1"/>
  <c r="AJ153" i="23" s="1"/>
  <c r="AE152" i="23"/>
  <c r="AH152" i="23" s="1"/>
  <c r="AJ152" i="23" s="1"/>
  <c r="AE150" i="23"/>
  <c r="AH150" i="23" s="1"/>
  <c r="AJ150" i="23" s="1"/>
  <c r="AE148" i="23"/>
  <c r="AH148" i="23" s="1"/>
  <c r="AJ148" i="23" s="1"/>
  <c r="AE147" i="23"/>
  <c r="AH147" i="23" s="1"/>
  <c r="AJ147" i="23" s="1"/>
  <c r="AE146" i="23"/>
  <c r="AH146" i="23" s="1"/>
  <c r="AJ146" i="23" s="1"/>
  <c r="AE145" i="23"/>
  <c r="AH145" i="23" s="1"/>
  <c r="AJ145" i="23" s="1"/>
  <c r="AE144" i="23"/>
  <c r="AH144" i="23" s="1"/>
  <c r="AI137" i="23"/>
  <c r="AF137" i="23"/>
  <c r="AC137" i="23"/>
  <c r="AB137" i="23"/>
  <c r="AA137" i="23"/>
  <c r="Z137" i="23"/>
  <c r="Y137" i="23"/>
  <c r="X137" i="23"/>
  <c r="W137" i="23"/>
  <c r="V137" i="23"/>
  <c r="T137" i="23"/>
  <c r="S137" i="23"/>
  <c r="R137" i="23"/>
  <c r="Q137" i="23"/>
  <c r="P137" i="23"/>
  <c r="O137" i="23"/>
  <c r="N137" i="23"/>
  <c r="M137" i="23"/>
  <c r="K137" i="23"/>
  <c r="J137" i="23"/>
  <c r="I137" i="23"/>
  <c r="H137" i="23"/>
  <c r="G137" i="23"/>
  <c r="F137" i="23"/>
  <c r="E137" i="23"/>
  <c r="AE136" i="23"/>
  <c r="AH136" i="23" s="1"/>
  <c r="AJ136" i="23" s="1"/>
  <c r="AE135" i="23"/>
  <c r="AH135" i="23" s="1"/>
  <c r="AJ135" i="23" s="1"/>
  <c r="AE134" i="23"/>
  <c r="AH134" i="23" s="1"/>
  <c r="AJ134" i="23" s="1"/>
  <c r="AE133" i="23"/>
  <c r="AH133" i="23" s="1"/>
  <c r="AJ133" i="23" s="1"/>
  <c r="AE132" i="23"/>
  <c r="AI129" i="23"/>
  <c r="AF129" i="23"/>
  <c r="AC129" i="23"/>
  <c r="AB129" i="23"/>
  <c r="AA129" i="23"/>
  <c r="Z129" i="23"/>
  <c r="Y129" i="23"/>
  <c r="X129" i="23"/>
  <c r="W129" i="23"/>
  <c r="V129" i="23"/>
  <c r="T129" i="23"/>
  <c r="S129" i="23"/>
  <c r="R129" i="23"/>
  <c r="Q129" i="23"/>
  <c r="P129" i="23"/>
  <c r="O129" i="23"/>
  <c r="N129" i="23"/>
  <c r="M129" i="23"/>
  <c r="K129" i="23"/>
  <c r="J129" i="23"/>
  <c r="I129" i="23"/>
  <c r="H129" i="23"/>
  <c r="G129" i="23"/>
  <c r="F129" i="23"/>
  <c r="E129" i="23"/>
  <c r="AE128" i="23"/>
  <c r="AH128" i="23" s="1"/>
  <c r="AJ128" i="23" s="1"/>
  <c r="AE127" i="23"/>
  <c r="AH127" i="23" s="1"/>
  <c r="AJ127" i="23" s="1"/>
  <c r="AE126" i="23"/>
  <c r="AH126" i="23" s="1"/>
  <c r="AJ126" i="23" s="1"/>
  <c r="AE125" i="23"/>
  <c r="AH125" i="23" s="1"/>
  <c r="AJ125" i="23" s="1"/>
  <c r="AE124" i="23"/>
  <c r="AH124" i="23" s="1"/>
  <c r="AJ124" i="23" s="1"/>
  <c r="AE123" i="23"/>
  <c r="AI120" i="23"/>
  <c r="AF120" i="23"/>
  <c r="AC120" i="23"/>
  <c r="AB120" i="23"/>
  <c r="AA120" i="23"/>
  <c r="Z120" i="23"/>
  <c r="Y120" i="23"/>
  <c r="X120" i="23"/>
  <c r="W120" i="23"/>
  <c r="V120" i="23"/>
  <c r="T120" i="23"/>
  <c r="S120" i="23"/>
  <c r="R120" i="23"/>
  <c r="Q120" i="23"/>
  <c r="P120" i="23"/>
  <c r="O120" i="23"/>
  <c r="N120" i="23"/>
  <c r="M120" i="23"/>
  <c r="K120" i="23"/>
  <c r="J120" i="23"/>
  <c r="I120" i="23"/>
  <c r="H120" i="23"/>
  <c r="G120" i="23"/>
  <c r="F120" i="23"/>
  <c r="E120" i="23"/>
  <c r="AE119" i="23"/>
  <c r="AH119" i="23" s="1"/>
  <c r="AJ119" i="23" s="1"/>
  <c r="AE118" i="23"/>
  <c r="AH118" i="23" s="1"/>
  <c r="AJ118" i="23" s="1"/>
  <c r="AE117" i="23"/>
  <c r="AH117" i="23" s="1"/>
  <c r="AJ117" i="23" s="1"/>
  <c r="AE116" i="23"/>
  <c r="AI113" i="23"/>
  <c r="AG113" i="23"/>
  <c r="AF113" i="23"/>
  <c r="AC113" i="23"/>
  <c r="AB113" i="23"/>
  <c r="AA113" i="23"/>
  <c r="Z113" i="23"/>
  <c r="Y113" i="23"/>
  <c r="X113" i="23"/>
  <c r="W113" i="23"/>
  <c r="V113" i="23"/>
  <c r="T113" i="23"/>
  <c r="S113" i="23"/>
  <c r="R113" i="23"/>
  <c r="Q113" i="23"/>
  <c r="P113" i="23"/>
  <c r="O113" i="23"/>
  <c r="N113" i="23"/>
  <c r="M113" i="23"/>
  <c r="K113" i="23"/>
  <c r="J113" i="23"/>
  <c r="I113" i="23"/>
  <c r="H113" i="23"/>
  <c r="G113" i="23"/>
  <c r="F113" i="23"/>
  <c r="E113" i="23"/>
  <c r="AE112" i="23"/>
  <c r="AH112" i="23" s="1"/>
  <c r="AJ112" i="23" s="1"/>
  <c r="AE111" i="23"/>
  <c r="AH111" i="23" s="1"/>
  <c r="AJ111" i="23" s="1"/>
  <c r="AE110" i="23"/>
  <c r="AH110" i="23" s="1"/>
  <c r="AJ110" i="23" s="1"/>
  <c r="AE109" i="23"/>
  <c r="AH109" i="23" s="1"/>
  <c r="AJ109" i="23" s="1"/>
  <c r="AE108" i="23"/>
  <c r="AI104" i="23"/>
  <c r="AG104" i="23"/>
  <c r="AF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AE103" i="23"/>
  <c r="AH103" i="23" s="1"/>
  <c r="AJ103" i="23" s="1"/>
  <c r="AE102" i="23"/>
  <c r="AH102" i="23" s="1"/>
  <c r="AJ102" i="23" s="1"/>
  <c r="AE101" i="23"/>
  <c r="AH101" i="23" s="1"/>
  <c r="AJ101" i="23" s="1"/>
  <c r="AE100" i="23"/>
  <c r="AH100" i="23" s="1"/>
  <c r="AJ100" i="23" s="1"/>
  <c r="AE99" i="23"/>
  <c r="AH99" i="23" s="1"/>
  <c r="AJ99" i="23" s="1"/>
  <c r="AE98" i="23"/>
  <c r="AE97" i="23"/>
  <c r="AH97" i="23" s="1"/>
  <c r="AJ97" i="23" s="1"/>
  <c r="AE96" i="23"/>
  <c r="AH96" i="23" s="1"/>
  <c r="AJ96" i="23" s="1"/>
  <c r="AE95" i="23"/>
  <c r="AH95" i="23" s="1"/>
  <c r="AJ95" i="23" s="1"/>
  <c r="AE94" i="23"/>
  <c r="AH94" i="23" s="1"/>
  <c r="AJ94" i="23" s="1"/>
  <c r="AE93" i="23"/>
  <c r="AH93" i="23" s="1"/>
  <c r="AJ93" i="23" s="1"/>
  <c r="AE92" i="23"/>
  <c r="AH92" i="23" s="1"/>
  <c r="AJ92" i="23" s="1"/>
  <c r="AI90" i="23"/>
  <c r="AG90" i="23"/>
  <c r="AF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K90" i="23"/>
  <c r="J90" i="23"/>
  <c r="I90" i="23"/>
  <c r="H90" i="23"/>
  <c r="G90" i="23"/>
  <c r="F90" i="23"/>
  <c r="E90" i="23"/>
  <c r="AE89" i="23"/>
  <c r="AH89" i="23" s="1"/>
  <c r="AJ89" i="23" s="1"/>
  <c r="AE88" i="23"/>
  <c r="AH88" i="23" s="1"/>
  <c r="AJ88" i="23" s="1"/>
  <c r="AE83" i="23"/>
  <c r="AH83" i="23" s="1"/>
  <c r="AJ83" i="23" s="1"/>
  <c r="AE82" i="23"/>
  <c r="AH82" i="23" s="1"/>
  <c r="AJ82" i="23" s="1"/>
  <c r="AE81" i="23"/>
  <c r="AH81" i="23" s="1"/>
  <c r="AJ81" i="23" s="1"/>
  <c r="AE80" i="23"/>
  <c r="AH80" i="23" s="1"/>
  <c r="AJ80" i="23" s="1"/>
  <c r="AE79" i="23"/>
  <c r="AH79" i="23" s="1"/>
  <c r="AJ79" i="23" s="1"/>
  <c r="AE78" i="23"/>
  <c r="AH78" i="23" s="1"/>
  <c r="AJ78" i="23" s="1"/>
  <c r="AE77" i="23"/>
  <c r="AE76" i="23"/>
  <c r="AH76" i="23" s="1"/>
  <c r="AJ76" i="23" s="1"/>
  <c r="AE75" i="23"/>
  <c r="AH75" i="23" s="1"/>
  <c r="AJ75" i="23" s="1"/>
  <c r="AE74" i="23"/>
  <c r="AI72" i="23"/>
  <c r="AG72" i="23"/>
  <c r="AF72" i="23"/>
  <c r="AC72" i="23"/>
  <c r="AB72" i="23"/>
  <c r="AA72" i="23"/>
  <c r="Z72" i="23"/>
  <c r="Y72" i="23"/>
  <c r="X72" i="23"/>
  <c r="W72" i="23"/>
  <c r="V72" i="23"/>
  <c r="T72" i="23"/>
  <c r="S72" i="23"/>
  <c r="R72" i="23"/>
  <c r="Q72" i="23"/>
  <c r="P72" i="23"/>
  <c r="O72" i="23"/>
  <c r="N72" i="23"/>
  <c r="M72" i="23"/>
  <c r="K72" i="23"/>
  <c r="J72" i="23"/>
  <c r="I72" i="23"/>
  <c r="H72" i="23"/>
  <c r="G72" i="23"/>
  <c r="F72" i="23"/>
  <c r="E72" i="23"/>
  <c r="AE71" i="23"/>
  <c r="AH71" i="23" s="1"/>
  <c r="AJ71" i="23" s="1"/>
  <c r="AE67" i="23"/>
  <c r="AH67" i="23" s="1"/>
  <c r="AJ67" i="23" s="1"/>
  <c r="AE66" i="23"/>
  <c r="AH66" i="23" s="1"/>
  <c r="AJ66" i="23" s="1"/>
  <c r="AE65" i="23"/>
  <c r="AH65" i="23" s="1"/>
  <c r="AJ65" i="23" s="1"/>
  <c r="AE64" i="23"/>
  <c r="AH64" i="23" s="1"/>
  <c r="AJ64" i="23" s="1"/>
  <c r="AE63" i="23"/>
  <c r="AH63" i="23" s="1"/>
  <c r="AJ63" i="23" s="1"/>
  <c r="AE62" i="23"/>
  <c r="AH62" i="23" s="1"/>
  <c r="AJ62" i="23" s="1"/>
  <c r="AE61" i="23"/>
  <c r="AH61" i="23" s="1"/>
  <c r="AJ61" i="23" s="1"/>
  <c r="AE60" i="23"/>
  <c r="AH60" i="23" s="1"/>
  <c r="AJ60" i="23" s="1"/>
  <c r="AH59" i="23"/>
  <c r="AJ59" i="23" s="1"/>
  <c r="AE58" i="23"/>
  <c r="AH58" i="23" s="1"/>
  <c r="AJ58" i="23" s="1"/>
  <c r="AE57" i="23"/>
  <c r="AI54" i="23"/>
  <c r="AG54" i="23"/>
  <c r="AF54" i="23"/>
  <c r="AC54" i="23"/>
  <c r="AB54" i="23"/>
  <c r="AA54" i="23"/>
  <c r="Z54" i="23"/>
  <c r="Y54" i="23"/>
  <c r="X54" i="23"/>
  <c r="W54" i="23"/>
  <c r="V54" i="23"/>
  <c r="T54" i="23"/>
  <c r="S54" i="23"/>
  <c r="R54" i="23"/>
  <c r="Q54" i="23"/>
  <c r="P54" i="23"/>
  <c r="O54" i="23"/>
  <c r="N54" i="23"/>
  <c r="M54" i="23"/>
  <c r="K54" i="23"/>
  <c r="J54" i="23"/>
  <c r="I54" i="23"/>
  <c r="H54" i="23"/>
  <c r="G54" i="23"/>
  <c r="F54" i="23"/>
  <c r="E54" i="23"/>
  <c r="AE53" i="23"/>
  <c r="AH53" i="23" s="1"/>
  <c r="AJ53" i="23" s="1"/>
  <c r="AE52" i="23"/>
  <c r="AH52" i="23" s="1"/>
  <c r="AJ52" i="23" s="1"/>
  <c r="AE51" i="23"/>
  <c r="AH51" i="23" s="1"/>
  <c r="AJ51" i="23" s="1"/>
  <c r="AE50" i="23"/>
  <c r="AH50" i="23" s="1"/>
  <c r="AJ50" i="23" s="1"/>
  <c r="AE49" i="23"/>
  <c r="AH49" i="23" s="1"/>
  <c r="AJ49" i="23" s="1"/>
  <c r="AE48" i="23"/>
  <c r="AH48" i="23" s="1"/>
  <c r="AJ48" i="23" s="1"/>
  <c r="AE47" i="23"/>
  <c r="AH47" i="23" s="1"/>
  <c r="AJ47" i="23" s="1"/>
  <c r="AE46" i="23"/>
  <c r="AH46" i="23" s="1"/>
  <c r="AJ46" i="23" s="1"/>
  <c r="AE45" i="23"/>
  <c r="AH45" i="23" s="1"/>
  <c r="AJ45" i="23" s="1"/>
  <c r="AE44" i="23"/>
  <c r="AH44" i="23" s="1"/>
  <c r="AJ44" i="23" s="1"/>
  <c r="AE43" i="23"/>
  <c r="AH43" i="23" s="1"/>
  <c r="AJ43" i="23" s="1"/>
  <c r="AE42" i="23"/>
  <c r="AH42" i="23" s="1"/>
  <c r="AI39" i="23"/>
  <c r="AG39" i="23"/>
  <c r="AF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L139" i="23" s="1"/>
  <c r="K39" i="23"/>
  <c r="J39" i="23"/>
  <c r="I39" i="23"/>
  <c r="H39" i="23"/>
  <c r="G39" i="23"/>
  <c r="F39" i="23"/>
  <c r="E39" i="23"/>
  <c r="AE38" i="23"/>
  <c r="AH38" i="23" s="1"/>
  <c r="AJ38" i="23" s="1"/>
  <c r="AE37" i="23"/>
  <c r="AH37" i="23" s="1"/>
  <c r="AJ37" i="23" s="1"/>
  <c r="AE36" i="23"/>
  <c r="AH36" i="23" s="1"/>
  <c r="AJ36" i="23" s="1"/>
  <c r="AE35" i="23"/>
  <c r="AH35" i="23" s="1"/>
  <c r="AJ35" i="23" s="1"/>
  <c r="AE34" i="23"/>
  <c r="AH34" i="23" s="1"/>
  <c r="AJ34" i="23" s="1"/>
  <c r="AE33" i="23"/>
  <c r="AH33" i="23" s="1"/>
  <c r="AJ33" i="23" s="1"/>
  <c r="AE32" i="23"/>
  <c r="AH32" i="23" s="1"/>
  <c r="AJ32" i="23" s="1"/>
  <c r="AE31" i="23"/>
  <c r="AH31" i="23" s="1"/>
  <c r="AJ31" i="23" s="1"/>
  <c r="AE30" i="23"/>
  <c r="AH30" i="23" s="1"/>
  <c r="AJ30" i="23" s="1"/>
  <c r="AE29" i="23"/>
  <c r="AH29" i="23" s="1"/>
  <c r="AJ29" i="23" s="1"/>
  <c r="AE28" i="23"/>
  <c r="AH28" i="23" s="1"/>
  <c r="AJ28" i="23" s="1"/>
  <c r="AE27" i="23"/>
  <c r="AH27" i="23" s="1"/>
  <c r="AJ27" i="23" s="1"/>
  <c r="AE26" i="23"/>
  <c r="AH26" i="23" s="1"/>
  <c r="AJ26" i="23" s="1"/>
  <c r="AE25" i="23"/>
  <c r="AH25" i="23" s="1"/>
  <c r="AJ25" i="23" s="1"/>
  <c r="AE24" i="23"/>
  <c r="AH24" i="23" s="1"/>
  <c r="AJ24" i="23" s="1"/>
  <c r="AE23" i="23"/>
  <c r="AH23" i="23" s="1"/>
  <c r="AJ23" i="23" s="1"/>
  <c r="AE22" i="23"/>
  <c r="AH22" i="23" s="1"/>
  <c r="AJ22" i="23" s="1"/>
  <c r="AE21" i="23"/>
  <c r="AH21" i="23" s="1"/>
  <c r="AJ21" i="23" s="1"/>
  <c r="AE20" i="23"/>
  <c r="AH20" i="23" s="1"/>
  <c r="AJ20" i="23" s="1"/>
  <c r="AE19" i="23"/>
  <c r="AH19" i="23" s="1"/>
  <c r="AJ19" i="23" s="1"/>
  <c r="AE18" i="23"/>
  <c r="AH18" i="23" s="1"/>
  <c r="AJ18" i="23" s="1"/>
  <c r="AE17" i="23"/>
  <c r="AH17" i="23" s="1"/>
  <c r="AJ17" i="23" s="1"/>
  <c r="AE16" i="23"/>
  <c r="AH16" i="23" s="1"/>
  <c r="AJ16" i="23" s="1"/>
  <c r="AE15" i="23"/>
  <c r="AH15" i="23" s="1"/>
  <c r="AJ15" i="23" s="1"/>
  <c r="AE14" i="23"/>
  <c r="AH14" i="23" s="1"/>
  <c r="AJ14" i="23" s="1"/>
  <c r="AE13" i="23"/>
  <c r="AH13" i="23" s="1"/>
  <c r="AJ13" i="23" s="1"/>
  <c r="AE12" i="23"/>
  <c r="AH12" i="23" s="1"/>
  <c r="AJ12" i="23" s="1"/>
  <c r="AE11" i="23"/>
  <c r="AH11" i="23" s="1"/>
  <c r="AJ11" i="23" s="1"/>
  <c r="AE10" i="23"/>
  <c r="AH10" i="23" s="1"/>
  <c r="AJ10" i="23" s="1"/>
  <c r="AE9" i="23"/>
  <c r="AH9" i="23" s="1"/>
  <c r="AJ9" i="23" s="1"/>
  <c r="AE8" i="23"/>
  <c r="AH8" i="23" s="1"/>
  <c r="AJ8" i="23" s="1"/>
  <c r="AE7" i="23"/>
  <c r="AH7" i="23" s="1"/>
  <c r="AJ7" i="23" s="1"/>
  <c r="AE6" i="23"/>
  <c r="AH6" i="23" s="1"/>
  <c r="AJ6" i="23" s="1"/>
  <c r="AE5" i="23"/>
  <c r="A4" i="23"/>
  <c r="AI222" i="11"/>
  <c r="AF222" i="11"/>
  <c r="AC222" i="11"/>
  <c r="AB222" i="11"/>
  <c r="AA222" i="11"/>
  <c r="Z222" i="11"/>
  <c r="Y222" i="11"/>
  <c r="X222" i="11"/>
  <c r="W222" i="11"/>
  <c r="V222" i="11"/>
  <c r="T222" i="11"/>
  <c r="S222" i="11"/>
  <c r="R222" i="11"/>
  <c r="Q222" i="11"/>
  <c r="P222" i="11"/>
  <c r="O222" i="11"/>
  <c r="N222" i="11"/>
  <c r="M222" i="11"/>
  <c r="K222" i="11"/>
  <c r="J222" i="11"/>
  <c r="I222" i="11"/>
  <c r="H222" i="11"/>
  <c r="G222" i="11"/>
  <c r="F222" i="11"/>
  <c r="E222" i="11"/>
  <c r="AE221" i="11"/>
  <c r="AH221" i="11" s="1"/>
  <c r="AJ221" i="11" s="1"/>
  <c r="AE220" i="11"/>
  <c r="AC219" i="11"/>
  <c r="AB219" i="11"/>
  <c r="AA219" i="11"/>
  <c r="Y219" i="11"/>
  <c r="W219" i="11"/>
  <c r="V219" i="11"/>
  <c r="AI216" i="11"/>
  <c r="AI217" i="11" s="1"/>
  <c r="AG216" i="11"/>
  <c r="AG217" i="11" s="1"/>
  <c r="AF216" i="11"/>
  <c r="M184" i="19" s="1"/>
  <c r="AD216" i="11"/>
  <c r="AD217" i="11" s="1"/>
  <c r="AC216" i="11"/>
  <c r="AC217" i="11" s="1"/>
  <c r="AB216" i="11"/>
  <c r="AB217" i="11" s="1"/>
  <c r="AA216" i="11"/>
  <c r="AA217" i="11" s="1"/>
  <c r="Z216" i="11"/>
  <c r="Z217" i="11" s="1"/>
  <c r="Y216" i="11"/>
  <c r="Y217" i="11" s="1"/>
  <c r="X216" i="11"/>
  <c r="X217" i="11" s="1"/>
  <c r="W216" i="11"/>
  <c r="W217" i="11" s="1"/>
  <c r="V216" i="11"/>
  <c r="V217" i="11" s="1"/>
  <c r="U216" i="11"/>
  <c r="U217" i="11" s="1"/>
  <c r="T216" i="11"/>
  <c r="T217" i="11" s="1"/>
  <c r="S216" i="11"/>
  <c r="S217" i="11" s="1"/>
  <c r="R216" i="11"/>
  <c r="R217" i="11" s="1"/>
  <c r="Q216" i="11"/>
  <c r="Q217" i="11" s="1"/>
  <c r="P216" i="11"/>
  <c r="P217" i="11" s="1"/>
  <c r="O216" i="11"/>
  <c r="O217" i="11" s="1"/>
  <c r="N216" i="11"/>
  <c r="N217" i="11" s="1"/>
  <c r="M216" i="11"/>
  <c r="M217" i="11" s="1"/>
  <c r="K216" i="11"/>
  <c r="K217" i="11" s="1"/>
  <c r="J216" i="11"/>
  <c r="I216" i="11"/>
  <c r="I217" i="11" s="1"/>
  <c r="H216" i="11"/>
  <c r="H217" i="11" s="1"/>
  <c r="G216" i="11"/>
  <c r="F216" i="11"/>
  <c r="F217" i="11" s="1"/>
  <c r="E216" i="11"/>
  <c r="AE215" i="11"/>
  <c r="AH215" i="11" s="1"/>
  <c r="AJ215" i="11" s="1"/>
  <c r="AE214" i="11"/>
  <c r="AH214" i="11" s="1"/>
  <c r="AJ214" i="11" s="1"/>
  <c r="AE213" i="11"/>
  <c r="AH213" i="11" s="1"/>
  <c r="AJ213" i="11" s="1"/>
  <c r="AE212" i="11"/>
  <c r="AH212" i="11" s="1"/>
  <c r="AJ212" i="11" s="1"/>
  <c r="AE211" i="11"/>
  <c r="AH211" i="11" s="1"/>
  <c r="AJ211" i="11" s="1"/>
  <c r="AE210" i="11"/>
  <c r="AH210" i="11" s="1"/>
  <c r="AJ210" i="11" s="1"/>
  <c r="AE209" i="11"/>
  <c r="AH209" i="11" s="1"/>
  <c r="AJ209" i="11" s="1"/>
  <c r="AE208" i="11"/>
  <c r="AH208" i="11" s="1"/>
  <c r="AJ208" i="11" s="1"/>
  <c r="AE207" i="11"/>
  <c r="AH207" i="11" s="1"/>
  <c r="AJ207" i="11" s="1"/>
  <c r="AE206" i="11"/>
  <c r="AH206" i="11" s="1"/>
  <c r="AJ206" i="11" s="1"/>
  <c r="AE205" i="11"/>
  <c r="AH205" i="11" s="1"/>
  <c r="AJ205" i="11" s="1"/>
  <c r="AE204" i="11"/>
  <c r="AH204" i="11" s="1"/>
  <c r="AJ204" i="11" s="1"/>
  <c r="AE203" i="11"/>
  <c r="AH203" i="11" s="1"/>
  <c r="AJ203" i="11" s="1"/>
  <c r="AE202" i="11"/>
  <c r="AH202" i="11" s="1"/>
  <c r="AJ202" i="11" s="1"/>
  <c r="AE201" i="11"/>
  <c r="AH201" i="11" s="1"/>
  <c r="AJ201" i="11" s="1"/>
  <c r="AE200" i="11"/>
  <c r="AH200" i="11" s="1"/>
  <c r="AJ200" i="11" s="1"/>
  <c r="AE199" i="11"/>
  <c r="AH199" i="11" s="1"/>
  <c r="AJ199" i="11" s="1"/>
  <c r="AE198" i="11"/>
  <c r="AH198" i="11" s="1"/>
  <c r="AJ198" i="11" s="1"/>
  <c r="AE197" i="11"/>
  <c r="AH197" i="11" s="1"/>
  <c r="AJ197" i="11" s="1"/>
  <c r="AE196" i="11"/>
  <c r="AH196" i="11" s="1"/>
  <c r="AJ196" i="11" s="1"/>
  <c r="AE195" i="11"/>
  <c r="AH195" i="11" s="1"/>
  <c r="AJ195" i="11" s="1"/>
  <c r="AE194" i="11"/>
  <c r="AH194" i="11" s="1"/>
  <c r="AJ194" i="11" s="1"/>
  <c r="AE193" i="11"/>
  <c r="AH193" i="11" s="1"/>
  <c r="AJ193" i="11" s="1"/>
  <c r="AE192" i="11"/>
  <c r="AH192" i="11" s="1"/>
  <c r="AJ192" i="11" s="1"/>
  <c r="AE191" i="11"/>
  <c r="AH191" i="11" s="1"/>
  <c r="AJ191" i="11" s="1"/>
  <c r="AE190" i="11"/>
  <c r="AH190" i="11" s="1"/>
  <c r="AJ190" i="11" s="1"/>
  <c r="AE189" i="11"/>
  <c r="AH189" i="11" s="1"/>
  <c r="AJ189" i="11" s="1"/>
  <c r="AE188" i="11"/>
  <c r="AH188" i="11" s="1"/>
  <c r="AJ188" i="11" s="1"/>
  <c r="AE187" i="11"/>
  <c r="AH187" i="11" s="1"/>
  <c r="AJ187" i="11" s="1"/>
  <c r="AE186" i="11"/>
  <c r="AH186" i="11" s="1"/>
  <c r="AJ186" i="11" s="1"/>
  <c r="AE185" i="11"/>
  <c r="AH185" i="11" s="1"/>
  <c r="AJ185" i="11" s="1"/>
  <c r="AE184" i="11"/>
  <c r="AH184" i="11" s="1"/>
  <c r="AJ184" i="11" s="1"/>
  <c r="AE183" i="11"/>
  <c r="AH183" i="11" s="1"/>
  <c r="AJ183" i="11" s="1"/>
  <c r="AE182" i="11"/>
  <c r="AH182" i="11" s="1"/>
  <c r="AJ182" i="11" s="1"/>
  <c r="AE181" i="11"/>
  <c r="AH181" i="11" s="1"/>
  <c r="AJ181" i="11" s="1"/>
  <c r="AE180" i="11"/>
  <c r="AH180" i="11" s="1"/>
  <c r="AJ180" i="11" s="1"/>
  <c r="AE179" i="11"/>
  <c r="AH179" i="11" s="1"/>
  <c r="AJ179" i="11" s="1"/>
  <c r="AE178" i="11"/>
  <c r="AH178" i="11" s="1"/>
  <c r="AJ178" i="11" s="1"/>
  <c r="AE177" i="11"/>
  <c r="AH177" i="11" s="1"/>
  <c r="AJ177" i="11" s="1"/>
  <c r="AE176" i="11"/>
  <c r="AH176" i="11" s="1"/>
  <c r="AJ176" i="11" s="1"/>
  <c r="AE175" i="11"/>
  <c r="AH175" i="11" s="1"/>
  <c r="AJ175" i="11" s="1"/>
  <c r="AE174" i="11"/>
  <c r="AH174" i="11" s="1"/>
  <c r="AJ174" i="11" s="1"/>
  <c r="AE173" i="11"/>
  <c r="AH173" i="11" s="1"/>
  <c r="AJ173" i="11" s="1"/>
  <c r="AE172" i="11"/>
  <c r="AH172" i="11" s="1"/>
  <c r="AJ172" i="11" s="1"/>
  <c r="AE171" i="11"/>
  <c r="AH171" i="11" s="1"/>
  <c r="AJ171" i="11" s="1"/>
  <c r="AE170" i="11"/>
  <c r="AH170" i="11" s="1"/>
  <c r="AJ170" i="11" s="1"/>
  <c r="AE169" i="11"/>
  <c r="AH169" i="11" s="1"/>
  <c r="AJ169" i="11" s="1"/>
  <c r="AE168" i="11"/>
  <c r="AH168" i="11" s="1"/>
  <c r="AJ168" i="11" s="1"/>
  <c r="AE167" i="11"/>
  <c r="AH167" i="11" s="1"/>
  <c r="AJ167" i="11" s="1"/>
  <c r="AE166" i="11"/>
  <c r="AH166" i="11" s="1"/>
  <c r="AJ166" i="11" s="1"/>
  <c r="AE165" i="11"/>
  <c r="AH165" i="11" s="1"/>
  <c r="AJ165" i="11" s="1"/>
  <c r="AE164" i="11"/>
  <c r="AC163" i="11"/>
  <c r="Z163" i="11"/>
  <c r="Y163" i="11"/>
  <c r="W163" i="11"/>
  <c r="V163" i="11"/>
  <c r="AI157" i="11"/>
  <c r="AF157" i="11"/>
  <c r="AC157" i="11"/>
  <c r="AB157" i="11"/>
  <c r="AA157" i="11"/>
  <c r="Z157" i="11"/>
  <c r="Y157" i="11"/>
  <c r="X157" i="11"/>
  <c r="W157" i="11"/>
  <c r="V157" i="11"/>
  <c r="T157" i="11"/>
  <c r="S157" i="11"/>
  <c r="R157" i="11"/>
  <c r="Q157" i="11"/>
  <c r="P157" i="11"/>
  <c r="O157" i="11"/>
  <c r="N157" i="11"/>
  <c r="M157" i="11"/>
  <c r="K157" i="11"/>
  <c r="J157" i="11"/>
  <c r="I157" i="11"/>
  <c r="H157" i="11"/>
  <c r="G157" i="11"/>
  <c r="F157" i="11"/>
  <c r="E157" i="11"/>
  <c r="AE156" i="11"/>
  <c r="AH156" i="11" s="1"/>
  <c r="AJ156" i="11" s="1"/>
  <c r="AE155" i="11"/>
  <c r="AH155" i="11" s="1"/>
  <c r="AJ155" i="11" s="1"/>
  <c r="AE154" i="11"/>
  <c r="AH154" i="11" s="1"/>
  <c r="AJ154" i="11" s="1"/>
  <c r="AE153" i="11"/>
  <c r="AH153" i="11" s="1"/>
  <c r="AJ153" i="11" s="1"/>
  <c r="AE152" i="11"/>
  <c r="AH152" i="11" s="1"/>
  <c r="AI149" i="11"/>
  <c r="AF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AE148" i="11"/>
  <c r="AH148" i="11" s="1"/>
  <c r="AJ148" i="11" s="1"/>
  <c r="AE147" i="11"/>
  <c r="AH147" i="11" s="1"/>
  <c r="AJ147" i="11" s="1"/>
  <c r="AE146" i="11"/>
  <c r="AH146" i="11" s="1"/>
  <c r="AJ146" i="11" s="1"/>
  <c r="AE145" i="11"/>
  <c r="AH145" i="11" s="1"/>
  <c r="AJ145" i="11" s="1"/>
  <c r="AE144" i="11"/>
  <c r="AH144" i="11" s="1"/>
  <c r="AJ144" i="11" s="1"/>
  <c r="AE143" i="11"/>
  <c r="AI140" i="11"/>
  <c r="AF140" i="11"/>
  <c r="AC140" i="11"/>
  <c r="AB140" i="11"/>
  <c r="AA140" i="11"/>
  <c r="Z140" i="11"/>
  <c r="Y140" i="11"/>
  <c r="X140" i="11"/>
  <c r="W140" i="11"/>
  <c r="V140" i="11"/>
  <c r="T140" i="11"/>
  <c r="S140" i="11"/>
  <c r="R140" i="11"/>
  <c r="Q140" i="11"/>
  <c r="P140" i="11"/>
  <c r="O140" i="11"/>
  <c r="N140" i="11"/>
  <c r="M140" i="11"/>
  <c r="K140" i="11"/>
  <c r="J140" i="11"/>
  <c r="I140" i="11"/>
  <c r="H140" i="11"/>
  <c r="G140" i="11"/>
  <c r="F140" i="11"/>
  <c r="E140" i="11"/>
  <c r="AE139" i="11"/>
  <c r="AH139" i="11" s="1"/>
  <c r="AJ139" i="11" s="1"/>
  <c r="AE138" i="11"/>
  <c r="AH138" i="11" s="1"/>
  <c r="AJ138" i="11" s="1"/>
  <c r="AE137" i="11"/>
  <c r="AH137" i="11" s="1"/>
  <c r="AJ137" i="11" s="1"/>
  <c r="AE136" i="11"/>
  <c r="AH136" i="11" s="1"/>
  <c r="AJ136" i="11" s="1"/>
  <c r="Z135" i="11"/>
  <c r="Z142" i="11" s="1"/>
  <c r="Z151" i="11" s="1"/>
  <c r="Y135" i="11"/>
  <c r="Y142" i="11" s="1"/>
  <c r="Y151" i="11" s="1"/>
  <c r="AI133" i="11"/>
  <c r="AG133" i="11"/>
  <c r="AF133" i="11"/>
  <c r="AC133" i="11"/>
  <c r="AB133" i="11"/>
  <c r="AA133" i="11"/>
  <c r="Z133" i="11"/>
  <c r="Y133" i="11"/>
  <c r="X133" i="11"/>
  <c r="W133" i="11"/>
  <c r="V133" i="11"/>
  <c r="T133" i="11"/>
  <c r="S133" i="11"/>
  <c r="R133" i="11"/>
  <c r="Q133" i="11"/>
  <c r="P133" i="11"/>
  <c r="O133" i="11"/>
  <c r="N133" i="11"/>
  <c r="M133" i="11"/>
  <c r="K133" i="11"/>
  <c r="J133" i="11"/>
  <c r="I133" i="11"/>
  <c r="H133" i="11"/>
  <c r="G133" i="11"/>
  <c r="F133" i="11"/>
  <c r="E133" i="11"/>
  <c r="AE132" i="11"/>
  <c r="AH132" i="11" s="1"/>
  <c r="AJ132" i="11" s="1"/>
  <c r="AE131" i="11"/>
  <c r="AH131" i="11" s="1"/>
  <c r="AJ131" i="11" s="1"/>
  <c r="AE130" i="11"/>
  <c r="AH130" i="11" s="1"/>
  <c r="AJ130" i="11" s="1"/>
  <c r="AE129" i="11"/>
  <c r="AH129" i="11" s="1"/>
  <c r="AJ129" i="11" s="1"/>
  <c r="AE128" i="11"/>
  <c r="AC127" i="11"/>
  <c r="AC135" i="11" s="1"/>
  <c r="AC142" i="11" s="1"/>
  <c r="AC151" i="11" s="1"/>
  <c r="AB127" i="11"/>
  <c r="AB135" i="11" s="1"/>
  <c r="AB142" i="11" s="1"/>
  <c r="AB151" i="11" s="1"/>
  <c r="AI125" i="11"/>
  <c r="AG125" i="11"/>
  <c r="AF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AE124" i="11"/>
  <c r="AH124" i="11" s="1"/>
  <c r="AJ124" i="11" s="1"/>
  <c r="AE123" i="11"/>
  <c r="AH123" i="11" s="1"/>
  <c r="AJ123" i="11" s="1"/>
  <c r="AE122" i="11"/>
  <c r="AH122" i="11" s="1"/>
  <c r="AJ122" i="11" s="1"/>
  <c r="AE121" i="11"/>
  <c r="AH121" i="11" s="1"/>
  <c r="AJ121" i="11" s="1"/>
  <c r="AE120" i="11"/>
  <c r="AH120" i="11" s="1"/>
  <c r="AJ120" i="11" s="1"/>
  <c r="AE119" i="11"/>
  <c r="AH119" i="11" s="1"/>
  <c r="AJ119" i="11" s="1"/>
  <c r="AE118" i="11"/>
  <c r="AH118" i="11" s="1"/>
  <c r="AJ118" i="11" s="1"/>
  <c r="AE117" i="11"/>
  <c r="AH117" i="11" s="1"/>
  <c r="AJ117" i="11" s="1"/>
  <c r="AE116" i="11"/>
  <c r="AH116" i="11" s="1"/>
  <c r="AJ116" i="11" s="1"/>
  <c r="AE115" i="11"/>
  <c r="AH115" i="11" s="1"/>
  <c r="AJ115" i="11" s="1"/>
  <c r="AE114" i="11"/>
  <c r="AH114" i="11" s="1"/>
  <c r="AJ114" i="11" s="1"/>
  <c r="AE113" i="11"/>
  <c r="AH113" i="11" s="1"/>
  <c r="AJ113" i="11" s="1"/>
  <c r="AE112" i="11"/>
  <c r="AH112" i="11" s="1"/>
  <c r="AJ112" i="11" s="1"/>
  <c r="AE111" i="11"/>
  <c r="AH111" i="11" s="1"/>
  <c r="AJ111" i="11" s="1"/>
  <c r="AE110" i="11"/>
  <c r="AH110" i="11" s="1"/>
  <c r="AJ110" i="11" s="1"/>
  <c r="AE109" i="11"/>
  <c r="AH109" i="11" s="1"/>
  <c r="AJ109" i="11" s="1"/>
  <c r="AL107" i="11"/>
  <c r="AI107" i="11"/>
  <c r="AG107" i="11"/>
  <c r="AF107" i="11"/>
  <c r="AC107" i="11"/>
  <c r="AB107" i="11"/>
  <c r="AA107" i="11"/>
  <c r="Z107" i="11"/>
  <c r="Y107" i="11"/>
  <c r="X107" i="11"/>
  <c r="W107" i="11"/>
  <c r="V107" i="11"/>
  <c r="T107" i="11"/>
  <c r="S107" i="11"/>
  <c r="R107" i="11"/>
  <c r="Q107" i="11"/>
  <c r="P107" i="11"/>
  <c r="O107" i="11"/>
  <c r="N107" i="11"/>
  <c r="M107" i="11"/>
  <c r="K107" i="11"/>
  <c r="J107" i="11"/>
  <c r="I107" i="11"/>
  <c r="H107" i="11"/>
  <c r="G107" i="11"/>
  <c r="F107" i="11"/>
  <c r="E107" i="11"/>
  <c r="AE106" i="11"/>
  <c r="AH106" i="11" s="1"/>
  <c r="AJ106" i="11" s="1"/>
  <c r="AE105" i="11"/>
  <c r="AH105" i="11" s="1"/>
  <c r="AJ105" i="11" s="1"/>
  <c r="AE104" i="11"/>
  <c r="AH104" i="11" s="1"/>
  <c r="AJ104" i="11" s="1"/>
  <c r="AE103" i="11"/>
  <c r="AH103" i="11" s="1"/>
  <c r="AJ103" i="11" s="1"/>
  <c r="AE102" i="11"/>
  <c r="AH102" i="11" s="1"/>
  <c r="AJ102" i="11" s="1"/>
  <c r="AE101" i="11"/>
  <c r="AH101" i="11" s="1"/>
  <c r="AJ101" i="11" s="1"/>
  <c r="AE100" i="11"/>
  <c r="AH100" i="11" s="1"/>
  <c r="AJ100" i="11" s="1"/>
  <c r="AE99" i="11"/>
  <c r="AH99" i="11" s="1"/>
  <c r="AJ99" i="11" s="1"/>
  <c r="AE98" i="11"/>
  <c r="AH98" i="11" s="1"/>
  <c r="AJ98" i="11" s="1"/>
  <c r="AE97" i="11"/>
  <c r="AH97" i="11" s="1"/>
  <c r="AJ97" i="11" s="1"/>
  <c r="AE96" i="11"/>
  <c r="AH96" i="11" s="1"/>
  <c r="AJ96" i="11" s="1"/>
  <c r="AE95" i="11"/>
  <c r="AH95" i="11" s="1"/>
  <c r="AJ95" i="11" s="1"/>
  <c r="AE94" i="11"/>
  <c r="AH94" i="11" s="1"/>
  <c r="AJ94" i="11" s="1"/>
  <c r="AE93" i="11"/>
  <c r="AH93" i="11" s="1"/>
  <c r="AJ93" i="11" s="1"/>
  <c r="AE92" i="11"/>
  <c r="AH92" i="11" s="1"/>
  <c r="AJ92" i="11" s="1"/>
  <c r="AE91" i="11"/>
  <c r="AI89" i="11"/>
  <c r="AG89" i="11"/>
  <c r="AF89" i="11"/>
  <c r="AC89" i="11"/>
  <c r="AB89" i="11"/>
  <c r="AA89" i="11"/>
  <c r="Z89" i="11"/>
  <c r="Y89" i="11"/>
  <c r="X89" i="11"/>
  <c r="W89" i="11"/>
  <c r="V89" i="11"/>
  <c r="T89" i="11"/>
  <c r="S89" i="11"/>
  <c r="R89" i="11"/>
  <c r="Q89" i="11"/>
  <c r="P89" i="11"/>
  <c r="O89" i="11"/>
  <c r="N89" i="11"/>
  <c r="M89" i="11"/>
  <c r="K89" i="11"/>
  <c r="J89" i="11"/>
  <c r="I89" i="11"/>
  <c r="H89" i="11"/>
  <c r="G89" i="11"/>
  <c r="F89" i="11"/>
  <c r="E89" i="11"/>
  <c r="AE88" i="11"/>
  <c r="AH88" i="11" s="1"/>
  <c r="AJ88" i="11" s="1"/>
  <c r="AE87" i="11"/>
  <c r="AH87" i="11" s="1"/>
  <c r="AJ87" i="11" s="1"/>
  <c r="AE86" i="11"/>
  <c r="AH86" i="11" s="1"/>
  <c r="AJ86" i="11" s="1"/>
  <c r="AE85" i="11"/>
  <c r="AH85" i="11" s="1"/>
  <c r="AJ85" i="11" s="1"/>
  <c r="AE84" i="11"/>
  <c r="AH84" i="11" s="1"/>
  <c r="AJ84" i="11" s="1"/>
  <c r="AE83" i="11"/>
  <c r="AH83" i="11" s="1"/>
  <c r="AJ83" i="11" s="1"/>
  <c r="AE82" i="11"/>
  <c r="AH82" i="11" s="1"/>
  <c r="AJ82" i="11" s="1"/>
  <c r="AE81" i="11"/>
  <c r="AH81" i="11" s="1"/>
  <c r="AJ81" i="11" s="1"/>
  <c r="AE80" i="11"/>
  <c r="AH80" i="11" s="1"/>
  <c r="AJ80" i="11" s="1"/>
  <c r="AE79" i="11"/>
  <c r="AH79" i="11" s="1"/>
  <c r="AJ79" i="11" s="1"/>
  <c r="AE78" i="11"/>
  <c r="AH78" i="11" s="1"/>
  <c r="AJ78" i="11" s="1"/>
  <c r="AE77" i="11"/>
  <c r="AH77" i="11" s="1"/>
  <c r="AJ77" i="11" s="1"/>
  <c r="AE76" i="11"/>
  <c r="AH76" i="11" s="1"/>
  <c r="AJ76" i="11" s="1"/>
  <c r="AE75" i="11"/>
  <c r="AH75" i="11" s="1"/>
  <c r="AJ75" i="11" s="1"/>
  <c r="AE74" i="11"/>
  <c r="AH74" i="11" s="1"/>
  <c r="AJ74" i="11" s="1"/>
  <c r="AE73" i="11"/>
  <c r="AH73" i="11" s="1"/>
  <c r="AI70" i="11"/>
  <c r="AG70" i="11"/>
  <c r="AF70" i="11"/>
  <c r="AC70" i="11"/>
  <c r="AB70" i="11"/>
  <c r="AA70" i="11"/>
  <c r="Z70" i="11"/>
  <c r="Y70" i="11"/>
  <c r="X70" i="11"/>
  <c r="W70" i="11"/>
  <c r="V70" i="11"/>
  <c r="T70" i="11"/>
  <c r="S70" i="11"/>
  <c r="R70" i="11"/>
  <c r="Q70" i="11"/>
  <c r="P70" i="11"/>
  <c r="O70" i="11"/>
  <c r="N70" i="11"/>
  <c r="M70" i="11"/>
  <c r="K70" i="11"/>
  <c r="J70" i="11"/>
  <c r="I70" i="11"/>
  <c r="H70" i="11"/>
  <c r="G70" i="11"/>
  <c r="F70" i="11"/>
  <c r="E70" i="11"/>
  <c r="AE69" i="11"/>
  <c r="AH69" i="11" s="1"/>
  <c r="AJ69" i="11" s="1"/>
  <c r="AE68" i="11"/>
  <c r="AH68" i="11" s="1"/>
  <c r="AJ68" i="11" s="1"/>
  <c r="AE67" i="11"/>
  <c r="AH67" i="11" s="1"/>
  <c r="AJ67" i="11" s="1"/>
  <c r="AE66" i="11"/>
  <c r="AH66" i="11" s="1"/>
  <c r="AJ66" i="11" s="1"/>
  <c r="AE65" i="11"/>
  <c r="AH65" i="11" s="1"/>
  <c r="AJ65" i="11" s="1"/>
  <c r="AE64" i="11"/>
  <c r="AH64" i="11" s="1"/>
  <c r="AJ64" i="11" s="1"/>
  <c r="AE63" i="11"/>
  <c r="AH63" i="11" s="1"/>
  <c r="AJ63" i="11" s="1"/>
  <c r="AE62" i="11"/>
  <c r="AH62" i="11" s="1"/>
  <c r="AJ62" i="11" s="1"/>
  <c r="AE61" i="11"/>
  <c r="AH61" i="11" s="1"/>
  <c r="AJ61" i="11" s="1"/>
  <c r="AE60" i="11"/>
  <c r="AH60" i="11" s="1"/>
  <c r="AJ60" i="11" s="1"/>
  <c r="AE59" i="11"/>
  <c r="AH59" i="11" s="1"/>
  <c r="AJ59" i="11" s="1"/>
  <c r="AE58" i="11"/>
  <c r="AH58" i="11" s="1"/>
  <c r="AJ58" i="11" s="1"/>
  <c r="AE57" i="11"/>
  <c r="AH57" i="11" s="1"/>
  <c r="AJ57" i="11" s="1"/>
  <c r="AE56" i="11"/>
  <c r="AH56" i="11" s="1"/>
  <c r="AJ56" i="11" s="1"/>
  <c r="AE55" i="11"/>
  <c r="AH55" i="11" s="1"/>
  <c r="AJ55" i="11" s="1"/>
  <c r="AE54" i="11"/>
  <c r="AH54" i="11" s="1"/>
  <c r="AJ54" i="11" s="1"/>
  <c r="AE53" i="11"/>
  <c r="AH53" i="11" s="1"/>
  <c r="AJ53" i="11" s="1"/>
  <c r="AE52" i="11"/>
  <c r="AH52" i="11" s="1"/>
  <c r="AJ52" i="11" s="1"/>
  <c r="AE51" i="11"/>
  <c r="AH51" i="11" s="1"/>
  <c r="AJ51" i="11" s="1"/>
  <c r="AE50" i="11"/>
  <c r="AH50" i="11" s="1"/>
  <c r="AJ50" i="11" s="1"/>
  <c r="AE49" i="11"/>
  <c r="AH49" i="11" s="1"/>
  <c r="AJ49" i="11" s="1"/>
  <c r="AE48" i="11"/>
  <c r="AH48" i="11" s="1"/>
  <c r="AJ48" i="11" s="1"/>
  <c r="AE47" i="11"/>
  <c r="AH47" i="11" s="1"/>
  <c r="AJ47" i="11" s="1"/>
  <c r="AE46" i="11"/>
  <c r="AH46" i="11" s="1"/>
  <c r="AJ46" i="11" s="1"/>
  <c r="AE45" i="11"/>
  <c r="AH45" i="11" s="1"/>
  <c r="AJ45" i="11" s="1"/>
  <c r="AE44" i="11"/>
  <c r="AH44" i="11" s="1"/>
  <c r="AJ44" i="11" s="1"/>
  <c r="AE43" i="11"/>
  <c r="AH43" i="11" s="1"/>
  <c r="AC42" i="11"/>
  <c r="AB42" i="11"/>
  <c r="AA42" i="11"/>
  <c r="AA127" i="11" s="1"/>
  <c r="Z42" i="11"/>
  <c r="Y42" i="11"/>
  <c r="X42" i="11"/>
  <c r="X127" i="11" s="1"/>
  <c r="X135" i="11" s="1"/>
  <c r="X142" i="11" s="1"/>
  <c r="X151" i="11" s="1"/>
  <c r="W42" i="11"/>
  <c r="W127" i="11" s="1"/>
  <c r="W135" i="11" s="1"/>
  <c r="W142" i="11" s="1"/>
  <c r="W151" i="11" s="1"/>
  <c r="V42" i="11"/>
  <c r="V127" i="11" s="1"/>
  <c r="V135" i="11" s="1"/>
  <c r="V142" i="11" s="1"/>
  <c r="V151" i="11" s="1"/>
  <c r="AI40" i="11"/>
  <c r="AG40" i="11"/>
  <c r="AF40" i="11"/>
  <c r="AD40" i="11"/>
  <c r="AD159" i="11" s="1"/>
  <c r="AD160" i="11" s="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AE39" i="11"/>
  <c r="AH39" i="11" s="1"/>
  <c r="AJ39" i="11" s="1"/>
  <c r="AE38" i="11"/>
  <c r="AH38" i="11" s="1"/>
  <c r="AJ38" i="11" s="1"/>
  <c r="AE37" i="11"/>
  <c r="AH37" i="11" s="1"/>
  <c r="AJ37" i="11" s="1"/>
  <c r="AE36" i="11"/>
  <c r="AH36" i="11" s="1"/>
  <c r="AJ36" i="11" s="1"/>
  <c r="AE35" i="11"/>
  <c r="AH35" i="11" s="1"/>
  <c r="AJ35" i="11" s="1"/>
  <c r="AE34" i="11"/>
  <c r="AH34" i="11" s="1"/>
  <c r="AJ34" i="11" s="1"/>
  <c r="AE33" i="11"/>
  <c r="AH33" i="11" s="1"/>
  <c r="AJ33" i="11" s="1"/>
  <c r="AE32" i="11"/>
  <c r="AH32" i="11" s="1"/>
  <c r="AJ32" i="11" s="1"/>
  <c r="AE31" i="11"/>
  <c r="AH31" i="11" s="1"/>
  <c r="AJ31" i="11" s="1"/>
  <c r="AE30" i="11"/>
  <c r="AH30" i="11" s="1"/>
  <c r="AJ30" i="11" s="1"/>
  <c r="AE29" i="11"/>
  <c r="AH29" i="11" s="1"/>
  <c r="AJ29" i="11" s="1"/>
  <c r="AE28" i="11"/>
  <c r="AH28" i="11" s="1"/>
  <c r="AJ28" i="11" s="1"/>
  <c r="AE27" i="11"/>
  <c r="AH27" i="11" s="1"/>
  <c r="AJ27" i="11" s="1"/>
  <c r="AE26" i="11"/>
  <c r="AH26" i="11" s="1"/>
  <c r="AJ26" i="11" s="1"/>
  <c r="AE25" i="11"/>
  <c r="AH25" i="11" s="1"/>
  <c r="AJ25" i="11" s="1"/>
  <c r="AE24" i="11"/>
  <c r="AH24" i="11" s="1"/>
  <c r="AJ24" i="11" s="1"/>
  <c r="AE23" i="11"/>
  <c r="AH23" i="11" s="1"/>
  <c r="AJ23" i="11" s="1"/>
  <c r="AE22" i="11"/>
  <c r="AH22" i="11" s="1"/>
  <c r="AJ22" i="11" s="1"/>
  <c r="AE21" i="11"/>
  <c r="AH21" i="11" s="1"/>
  <c r="AJ21" i="11" s="1"/>
  <c r="AE20" i="11"/>
  <c r="AH20" i="11" s="1"/>
  <c r="AJ20" i="11" s="1"/>
  <c r="AE19" i="11"/>
  <c r="AH19" i="11" s="1"/>
  <c r="AJ19" i="11" s="1"/>
  <c r="AE18" i="11"/>
  <c r="AH18" i="11" s="1"/>
  <c r="AJ18" i="11" s="1"/>
  <c r="AE17" i="11"/>
  <c r="AH17" i="11" s="1"/>
  <c r="AJ17" i="11" s="1"/>
  <c r="AE16" i="11"/>
  <c r="AH16" i="11" s="1"/>
  <c r="AJ16" i="11" s="1"/>
  <c r="AE15" i="11"/>
  <c r="AH15" i="11" s="1"/>
  <c r="AJ15" i="11" s="1"/>
  <c r="AE14" i="11"/>
  <c r="AH14" i="11" s="1"/>
  <c r="AJ14" i="11" s="1"/>
  <c r="AE13" i="11"/>
  <c r="AH13" i="11" s="1"/>
  <c r="AJ13" i="11" s="1"/>
  <c r="AE12" i="11"/>
  <c r="AH12" i="11" s="1"/>
  <c r="AJ12" i="11" s="1"/>
  <c r="AE11" i="11"/>
  <c r="AH11" i="11" s="1"/>
  <c r="AJ11" i="11" s="1"/>
  <c r="AE10" i="11"/>
  <c r="AH10" i="11" s="1"/>
  <c r="AJ10" i="11" s="1"/>
  <c r="AE9" i="11"/>
  <c r="AH9" i="11" s="1"/>
  <c r="AJ9" i="11" s="1"/>
  <c r="AE8" i="11"/>
  <c r="AH8" i="11" s="1"/>
  <c r="AJ8" i="11" s="1"/>
  <c r="AE7" i="11"/>
  <c r="AH7" i="11" s="1"/>
  <c r="AJ7" i="11" s="1"/>
  <c r="AE6" i="11"/>
  <c r="AH6" i="11" s="1"/>
  <c r="AJ6" i="11" s="1"/>
  <c r="AE5" i="11"/>
  <c r="AH4" i="11"/>
  <c r="AJ4" i="11" s="1"/>
  <c r="A4" i="11"/>
  <c r="AI226" i="15"/>
  <c r="AF226" i="15"/>
  <c r="AC226" i="15"/>
  <c r="AB226" i="15"/>
  <c r="AA226" i="15"/>
  <c r="Z226" i="15"/>
  <c r="Y226" i="15"/>
  <c r="X226" i="15"/>
  <c r="W226" i="15"/>
  <c r="V226" i="15"/>
  <c r="T226" i="15"/>
  <c r="S226" i="15"/>
  <c r="R226" i="15"/>
  <c r="Q226" i="15"/>
  <c r="P226" i="15"/>
  <c r="O226" i="15"/>
  <c r="N226" i="15"/>
  <c r="M226" i="15"/>
  <c r="K226" i="15"/>
  <c r="J226" i="15"/>
  <c r="I226" i="15"/>
  <c r="H226" i="15"/>
  <c r="G226" i="15"/>
  <c r="F226" i="15"/>
  <c r="E226" i="15"/>
  <c r="AE225" i="15"/>
  <c r="AH225" i="15" s="1"/>
  <c r="AJ225" i="15" s="1"/>
  <c r="AE224" i="15"/>
  <c r="AI220" i="15"/>
  <c r="AI221" i="15" s="1"/>
  <c r="AG220" i="15"/>
  <c r="AG221" i="15" s="1"/>
  <c r="AF220" i="15"/>
  <c r="M189" i="19" s="1"/>
  <c r="AC220" i="15"/>
  <c r="AB220" i="15"/>
  <c r="AA220" i="15"/>
  <c r="Z220" i="15"/>
  <c r="Y220" i="15"/>
  <c r="X220" i="15"/>
  <c r="W220" i="15"/>
  <c r="V220" i="15"/>
  <c r="T220" i="15"/>
  <c r="S220" i="15"/>
  <c r="S221" i="15" s="1"/>
  <c r="R220" i="15"/>
  <c r="R221" i="15" s="1"/>
  <c r="Q220" i="15"/>
  <c r="P220" i="15"/>
  <c r="O220" i="15"/>
  <c r="N220" i="15"/>
  <c r="M220" i="15"/>
  <c r="M221" i="15" s="1"/>
  <c r="K220" i="15"/>
  <c r="K221" i="15" s="1"/>
  <c r="J220" i="15"/>
  <c r="J221" i="15" s="1"/>
  <c r="I220" i="15"/>
  <c r="H220" i="15"/>
  <c r="G220" i="15"/>
  <c r="F220" i="15"/>
  <c r="E220" i="15"/>
  <c r="AE219" i="15"/>
  <c r="AH219" i="15" s="1"/>
  <c r="AJ219" i="15" s="1"/>
  <c r="AE218" i="15"/>
  <c r="AH218" i="15" s="1"/>
  <c r="AJ218" i="15" s="1"/>
  <c r="AE217" i="15"/>
  <c r="AH217" i="15" s="1"/>
  <c r="AJ217" i="15" s="1"/>
  <c r="AE216" i="15"/>
  <c r="AH216" i="15" s="1"/>
  <c r="AJ216" i="15" s="1"/>
  <c r="AE215" i="15"/>
  <c r="AH215" i="15" s="1"/>
  <c r="AJ215" i="15" s="1"/>
  <c r="AE214" i="15"/>
  <c r="AH214" i="15" s="1"/>
  <c r="AJ214" i="15" s="1"/>
  <c r="AE213" i="15"/>
  <c r="AH213" i="15" s="1"/>
  <c r="AJ213" i="15" s="1"/>
  <c r="AE212" i="15"/>
  <c r="AH212" i="15" s="1"/>
  <c r="AJ212" i="15" s="1"/>
  <c r="AE211" i="15"/>
  <c r="AH211" i="15" s="1"/>
  <c r="AJ211" i="15" s="1"/>
  <c r="AE210" i="15"/>
  <c r="AH210" i="15" s="1"/>
  <c r="AJ210" i="15" s="1"/>
  <c r="AE209" i="15"/>
  <c r="AH209" i="15" s="1"/>
  <c r="AJ209" i="15" s="1"/>
  <c r="AE208" i="15"/>
  <c r="AH208" i="15" s="1"/>
  <c r="AJ208" i="15" s="1"/>
  <c r="AE207" i="15"/>
  <c r="AH207" i="15" s="1"/>
  <c r="AJ207" i="15" s="1"/>
  <c r="AE206" i="15"/>
  <c r="AH206" i="15" s="1"/>
  <c r="AJ206" i="15" s="1"/>
  <c r="AE205" i="15"/>
  <c r="AH205" i="15" s="1"/>
  <c r="AJ205" i="15" s="1"/>
  <c r="AE204" i="15"/>
  <c r="AH204" i="15" s="1"/>
  <c r="AJ204" i="15" s="1"/>
  <c r="AE203" i="15"/>
  <c r="AH203" i="15" s="1"/>
  <c r="AJ203" i="15" s="1"/>
  <c r="AE202" i="15"/>
  <c r="AH202" i="15" s="1"/>
  <c r="AJ202" i="15" s="1"/>
  <c r="AE201" i="15"/>
  <c r="AH201" i="15" s="1"/>
  <c r="AJ201" i="15" s="1"/>
  <c r="AE200" i="15"/>
  <c r="AH200" i="15" s="1"/>
  <c r="AJ200" i="15" s="1"/>
  <c r="AE199" i="15"/>
  <c r="AH199" i="15" s="1"/>
  <c r="AJ199" i="15" s="1"/>
  <c r="AE198" i="15"/>
  <c r="AH198" i="15" s="1"/>
  <c r="AJ198" i="15" s="1"/>
  <c r="AE197" i="15"/>
  <c r="AH197" i="15" s="1"/>
  <c r="AJ197" i="15" s="1"/>
  <c r="AE196" i="15"/>
  <c r="AH196" i="15" s="1"/>
  <c r="AJ196" i="15" s="1"/>
  <c r="AE195" i="15"/>
  <c r="AH195" i="15" s="1"/>
  <c r="AJ195" i="15" s="1"/>
  <c r="AE194" i="15"/>
  <c r="AH194" i="15" s="1"/>
  <c r="AJ194" i="15" s="1"/>
  <c r="AE193" i="15"/>
  <c r="AH193" i="15" s="1"/>
  <c r="AJ193" i="15" s="1"/>
  <c r="AE192" i="15"/>
  <c r="AH192" i="15" s="1"/>
  <c r="AJ192" i="15" s="1"/>
  <c r="AE191" i="15"/>
  <c r="AH191" i="15" s="1"/>
  <c r="AJ191" i="15" s="1"/>
  <c r="AE190" i="15"/>
  <c r="AH190" i="15" s="1"/>
  <c r="AJ190" i="15" s="1"/>
  <c r="AE189" i="15"/>
  <c r="AH189" i="15" s="1"/>
  <c r="AJ189" i="15" s="1"/>
  <c r="AE188" i="15"/>
  <c r="AH188" i="15" s="1"/>
  <c r="AJ188" i="15" s="1"/>
  <c r="AE187" i="15"/>
  <c r="AH187" i="15" s="1"/>
  <c r="AJ187" i="15" s="1"/>
  <c r="AE186" i="15"/>
  <c r="AH186" i="15" s="1"/>
  <c r="AJ186" i="15" s="1"/>
  <c r="AE185" i="15"/>
  <c r="AH185" i="15" s="1"/>
  <c r="AJ185" i="15" s="1"/>
  <c r="AE184" i="15"/>
  <c r="AH184" i="15" s="1"/>
  <c r="AJ184" i="15" s="1"/>
  <c r="AE183" i="15"/>
  <c r="AH183" i="15" s="1"/>
  <c r="AJ183" i="15" s="1"/>
  <c r="AE182" i="15"/>
  <c r="AH182" i="15" s="1"/>
  <c r="AJ182" i="15" s="1"/>
  <c r="AE181" i="15"/>
  <c r="AH181" i="15" s="1"/>
  <c r="AJ181" i="15" s="1"/>
  <c r="AE180" i="15"/>
  <c r="AH180" i="15" s="1"/>
  <c r="AJ180" i="15" s="1"/>
  <c r="AE179" i="15"/>
  <c r="AH179" i="15" s="1"/>
  <c r="AJ179" i="15" s="1"/>
  <c r="AE178" i="15"/>
  <c r="AH178" i="15" s="1"/>
  <c r="AJ178" i="15" s="1"/>
  <c r="AE177" i="15"/>
  <c r="AH177" i="15" s="1"/>
  <c r="AJ177" i="15" s="1"/>
  <c r="AE176" i="15"/>
  <c r="AH176" i="15" s="1"/>
  <c r="AJ176" i="15" s="1"/>
  <c r="AE175" i="15"/>
  <c r="AH175" i="15" s="1"/>
  <c r="AJ175" i="15" s="1"/>
  <c r="AE174" i="15"/>
  <c r="AH174" i="15" s="1"/>
  <c r="AJ174" i="15" s="1"/>
  <c r="AE173" i="15"/>
  <c r="AH173" i="15" s="1"/>
  <c r="AJ173" i="15" s="1"/>
  <c r="AE172" i="15"/>
  <c r="AH172" i="15" s="1"/>
  <c r="AJ172" i="15" s="1"/>
  <c r="AE171" i="15"/>
  <c r="AH171" i="15" s="1"/>
  <c r="AJ171" i="15" s="1"/>
  <c r="AE170" i="15"/>
  <c r="AH170" i="15" s="1"/>
  <c r="AJ170" i="15" s="1"/>
  <c r="AE169" i="15"/>
  <c r="AH169" i="15" s="1"/>
  <c r="AJ169" i="15" s="1"/>
  <c r="AE168" i="15"/>
  <c r="AH168" i="15" s="1"/>
  <c r="AJ168" i="15" s="1"/>
  <c r="AE167" i="15"/>
  <c r="AH167" i="15" s="1"/>
  <c r="AJ167" i="15" s="1"/>
  <c r="AE164" i="15"/>
  <c r="AH164" i="15" s="1"/>
  <c r="AJ164" i="15" s="1"/>
  <c r="AE163" i="15"/>
  <c r="AH163" i="15" s="1"/>
  <c r="AJ163" i="15" s="1"/>
  <c r="AE162" i="15"/>
  <c r="AH162" i="15" s="1"/>
  <c r="AJ162" i="15" s="1"/>
  <c r="AE161" i="15"/>
  <c r="AH161" i="15" s="1"/>
  <c r="AJ161" i="15" s="1"/>
  <c r="AE160" i="15"/>
  <c r="AH160" i="15" s="1"/>
  <c r="AJ160" i="15" s="1"/>
  <c r="AE158" i="15"/>
  <c r="AH158" i="15" s="1"/>
  <c r="AJ158" i="15" s="1"/>
  <c r="AE157" i="15"/>
  <c r="AH157" i="15" s="1"/>
  <c r="AJ157" i="15" s="1"/>
  <c r="AE155" i="15"/>
  <c r="AH155" i="15" s="1"/>
  <c r="AJ155" i="15" s="1"/>
  <c r="AE154" i="15"/>
  <c r="AH154" i="15" s="1"/>
  <c r="AJ154" i="15" s="1"/>
  <c r="AE153" i="15"/>
  <c r="AH153" i="15" s="1"/>
  <c r="AJ153" i="15" s="1"/>
  <c r="AE152" i="15"/>
  <c r="AH152" i="15" s="1"/>
  <c r="AJ152" i="15" s="1"/>
  <c r="AE151" i="15"/>
  <c r="AI144" i="15"/>
  <c r="AF144" i="15"/>
  <c r="AC144" i="15"/>
  <c r="AB144" i="15"/>
  <c r="AA144" i="15"/>
  <c r="Z144" i="15"/>
  <c r="Y144" i="15"/>
  <c r="X144" i="15"/>
  <c r="W144" i="15"/>
  <c r="V144" i="15"/>
  <c r="T144" i="15"/>
  <c r="S144" i="15"/>
  <c r="R144" i="15"/>
  <c r="Q144" i="15"/>
  <c r="P144" i="15"/>
  <c r="O144" i="15"/>
  <c r="N144" i="15"/>
  <c r="M144" i="15"/>
  <c r="K144" i="15"/>
  <c r="J144" i="15"/>
  <c r="I144" i="15"/>
  <c r="H144" i="15"/>
  <c r="G144" i="15"/>
  <c r="F144" i="15"/>
  <c r="E144" i="15"/>
  <c r="AE143" i="15"/>
  <c r="AH143" i="15" s="1"/>
  <c r="AJ143" i="15" s="1"/>
  <c r="AE142" i="15"/>
  <c r="AH142" i="15" s="1"/>
  <c r="AJ142" i="15" s="1"/>
  <c r="AE141" i="15"/>
  <c r="AH141" i="15" s="1"/>
  <c r="AJ141" i="15" s="1"/>
  <c r="AE140" i="15"/>
  <c r="AH140" i="15" s="1"/>
  <c r="AJ140" i="15" s="1"/>
  <c r="AE139" i="15"/>
  <c r="AI136" i="15"/>
  <c r="AF136" i="15"/>
  <c r="AC136" i="15"/>
  <c r="AB136" i="15"/>
  <c r="AA136" i="15"/>
  <c r="Z136" i="15"/>
  <c r="Y136" i="15"/>
  <c r="X136" i="15"/>
  <c r="W136" i="15"/>
  <c r="V136" i="15"/>
  <c r="T136" i="15"/>
  <c r="S136" i="15"/>
  <c r="R136" i="15"/>
  <c r="Q136" i="15"/>
  <c r="P136" i="15"/>
  <c r="O136" i="15"/>
  <c r="N136" i="15"/>
  <c r="M136" i="15"/>
  <c r="K136" i="15"/>
  <c r="J136" i="15"/>
  <c r="I136" i="15"/>
  <c r="H136" i="15"/>
  <c r="G136" i="15"/>
  <c r="F136" i="15"/>
  <c r="E136" i="15"/>
  <c r="AE135" i="15"/>
  <c r="AH135" i="15" s="1"/>
  <c r="AJ135" i="15" s="1"/>
  <c r="AE134" i="15"/>
  <c r="AH134" i="15" s="1"/>
  <c r="AJ134" i="15" s="1"/>
  <c r="AE133" i="15"/>
  <c r="AH133" i="15" s="1"/>
  <c r="AJ133" i="15" s="1"/>
  <c r="AE132" i="15"/>
  <c r="AH132" i="15" s="1"/>
  <c r="AJ132" i="15" s="1"/>
  <c r="AE131" i="15"/>
  <c r="AH131" i="15" s="1"/>
  <c r="AJ131" i="15" s="1"/>
  <c r="AE130" i="15"/>
  <c r="AI127" i="15"/>
  <c r="AF127" i="15"/>
  <c r="AC127" i="15"/>
  <c r="AB127" i="15"/>
  <c r="AA127" i="15"/>
  <c r="Z127" i="15"/>
  <c r="Y127" i="15"/>
  <c r="X127" i="15"/>
  <c r="W127" i="15"/>
  <c r="V127" i="15"/>
  <c r="T127" i="15"/>
  <c r="S127" i="15"/>
  <c r="R127" i="15"/>
  <c r="Q127" i="15"/>
  <c r="P127" i="15"/>
  <c r="O127" i="15"/>
  <c r="N127" i="15"/>
  <c r="M127" i="15"/>
  <c r="K127" i="15"/>
  <c r="J127" i="15"/>
  <c r="I127" i="15"/>
  <c r="H127" i="15"/>
  <c r="G127" i="15"/>
  <c r="F127" i="15"/>
  <c r="E127" i="15"/>
  <c r="AE126" i="15"/>
  <c r="AH126" i="15" s="1"/>
  <c r="AJ126" i="15" s="1"/>
  <c r="AE125" i="15"/>
  <c r="AH125" i="15" s="1"/>
  <c r="AJ125" i="15" s="1"/>
  <c r="AE124" i="15"/>
  <c r="AH124" i="15" s="1"/>
  <c r="AJ124" i="15" s="1"/>
  <c r="AE123" i="15"/>
  <c r="AI120" i="15"/>
  <c r="AG120" i="15"/>
  <c r="AF120" i="15"/>
  <c r="AC120" i="15"/>
  <c r="AB120" i="15"/>
  <c r="AA120" i="15"/>
  <c r="Z120" i="15"/>
  <c r="Y120" i="15"/>
  <c r="X120" i="15"/>
  <c r="W120" i="15"/>
  <c r="V120" i="15"/>
  <c r="T120" i="15"/>
  <c r="S120" i="15"/>
  <c r="R120" i="15"/>
  <c r="Q120" i="15"/>
  <c r="P120" i="15"/>
  <c r="O120" i="15"/>
  <c r="N120" i="15"/>
  <c r="M120" i="15"/>
  <c r="K120" i="15"/>
  <c r="J120" i="15"/>
  <c r="I120" i="15"/>
  <c r="H120" i="15"/>
  <c r="G120" i="15"/>
  <c r="F120" i="15"/>
  <c r="E120" i="15"/>
  <c r="AE119" i="15"/>
  <c r="AH119" i="15" s="1"/>
  <c r="AJ119" i="15" s="1"/>
  <c r="AE118" i="15"/>
  <c r="AH118" i="15" s="1"/>
  <c r="AJ118" i="15" s="1"/>
  <c r="AE117" i="15"/>
  <c r="AH117" i="15" s="1"/>
  <c r="AJ117" i="15" s="1"/>
  <c r="AE116" i="15"/>
  <c r="AH116" i="15" s="1"/>
  <c r="AJ116" i="15" s="1"/>
  <c r="AE115" i="15"/>
  <c r="AI111" i="15"/>
  <c r="AG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AE110" i="15"/>
  <c r="AH110" i="15" s="1"/>
  <c r="AJ110" i="15" s="1"/>
  <c r="AE109" i="15"/>
  <c r="AH109" i="15" s="1"/>
  <c r="AJ109" i="15" s="1"/>
  <c r="AE108" i="15"/>
  <c r="AH108" i="15" s="1"/>
  <c r="AJ108" i="15" s="1"/>
  <c r="AE107" i="15"/>
  <c r="AH107" i="15" s="1"/>
  <c r="AJ107" i="15" s="1"/>
  <c r="AE106" i="15"/>
  <c r="AH106" i="15" s="1"/>
  <c r="AJ106" i="15" s="1"/>
  <c r="AE105" i="15"/>
  <c r="AH105" i="15" s="1"/>
  <c r="AJ105" i="15" s="1"/>
  <c r="AE104" i="15"/>
  <c r="AH104" i="15" s="1"/>
  <c r="AJ104" i="15" s="1"/>
  <c r="AE103" i="15"/>
  <c r="AH103" i="15" s="1"/>
  <c r="AJ103" i="15" s="1"/>
  <c r="AE102" i="15"/>
  <c r="AE101" i="15"/>
  <c r="AH101" i="15" s="1"/>
  <c r="AJ101" i="15" s="1"/>
  <c r="AE100" i="15"/>
  <c r="AH100" i="15" s="1"/>
  <c r="AJ100" i="15" s="1"/>
  <c r="AE99" i="15"/>
  <c r="AH99" i="15" s="1"/>
  <c r="AI83" i="15"/>
  <c r="AG83" i="15"/>
  <c r="AF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AE82" i="15"/>
  <c r="AH82" i="15" s="1"/>
  <c r="AJ82" i="15" s="1"/>
  <c r="AE81" i="15"/>
  <c r="AH81" i="15" s="1"/>
  <c r="AJ81" i="15" s="1"/>
  <c r="AE80" i="15"/>
  <c r="AH80" i="15" s="1"/>
  <c r="AJ80" i="15" s="1"/>
  <c r="AE79" i="15"/>
  <c r="AH79" i="15" s="1"/>
  <c r="AJ79" i="15" s="1"/>
  <c r="AE78" i="15"/>
  <c r="AH78" i="15" s="1"/>
  <c r="AJ78" i="15" s="1"/>
  <c r="AE77" i="15"/>
  <c r="AH77" i="15" s="1"/>
  <c r="AJ77" i="15" s="1"/>
  <c r="AE76" i="15"/>
  <c r="AH76" i="15" s="1"/>
  <c r="AJ76" i="15" s="1"/>
  <c r="AE75" i="15"/>
  <c r="AH75" i="15" s="1"/>
  <c r="AJ75" i="15" s="1"/>
  <c r="AE74" i="15"/>
  <c r="AH74" i="15" s="1"/>
  <c r="AJ74" i="15" s="1"/>
  <c r="AE73" i="15"/>
  <c r="AH73" i="15" s="1"/>
  <c r="AJ73" i="15" s="1"/>
  <c r="AE72" i="15"/>
  <c r="AH72" i="15" s="1"/>
  <c r="AJ72" i="15" s="1"/>
  <c r="AE71" i="15"/>
  <c r="AH71" i="15" s="1"/>
  <c r="AI69" i="15"/>
  <c r="AG69" i="15"/>
  <c r="AC69" i="15"/>
  <c r="AB69" i="15"/>
  <c r="AA69" i="15"/>
  <c r="Z69" i="15"/>
  <c r="Y69" i="15"/>
  <c r="X69" i="15"/>
  <c r="W69" i="15"/>
  <c r="V69" i="15"/>
  <c r="T69" i="15"/>
  <c r="S69" i="15"/>
  <c r="R69" i="15"/>
  <c r="Q69" i="15"/>
  <c r="P69" i="15"/>
  <c r="O69" i="15"/>
  <c r="N69" i="15"/>
  <c r="M69" i="15"/>
  <c r="K69" i="15"/>
  <c r="J69" i="15"/>
  <c r="I69" i="15"/>
  <c r="H69" i="15"/>
  <c r="G69" i="15"/>
  <c r="F69" i="15"/>
  <c r="E69" i="15"/>
  <c r="AE68" i="15"/>
  <c r="AH68" i="15" s="1"/>
  <c r="AJ68" i="15" s="1"/>
  <c r="AE67" i="15"/>
  <c r="AH67" i="15" s="1"/>
  <c r="AJ67" i="15" s="1"/>
  <c r="AE66" i="15"/>
  <c r="AH66" i="15" s="1"/>
  <c r="AJ66" i="15" s="1"/>
  <c r="AE65" i="15"/>
  <c r="AH65" i="15" s="1"/>
  <c r="AJ65" i="15" s="1"/>
  <c r="AE64" i="15"/>
  <c r="AH64" i="15" s="1"/>
  <c r="AJ64" i="15" s="1"/>
  <c r="AE63" i="15"/>
  <c r="AH63" i="15" s="1"/>
  <c r="AJ63" i="15" s="1"/>
  <c r="AE62" i="15"/>
  <c r="AH62" i="15" s="1"/>
  <c r="AJ62" i="15" s="1"/>
  <c r="AE61" i="15"/>
  <c r="AH61" i="15" s="1"/>
  <c r="AJ61" i="15" s="1"/>
  <c r="AE60" i="15"/>
  <c r="AH60" i="15" s="1"/>
  <c r="AJ60" i="15" s="1"/>
  <c r="AE59" i="15"/>
  <c r="AH59" i="15" s="1"/>
  <c r="AJ59" i="15" s="1"/>
  <c r="AE58" i="15"/>
  <c r="AH58" i="15" s="1"/>
  <c r="AJ58" i="15" s="1"/>
  <c r="AE57" i="15"/>
  <c r="AI54" i="15"/>
  <c r="AG54" i="15"/>
  <c r="AF54" i="15"/>
  <c r="AC54" i="15"/>
  <c r="AB54" i="15"/>
  <c r="AA54" i="15"/>
  <c r="Z54" i="15"/>
  <c r="Y54" i="15"/>
  <c r="X54" i="15"/>
  <c r="W54" i="15"/>
  <c r="V54" i="15"/>
  <c r="T54" i="15"/>
  <c r="S54" i="15"/>
  <c r="R54" i="15"/>
  <c r="Q54" i="15"/>
  <c r="P54" i="15"/>
  <c r="O54" i="15"/>
  <c r="N54" i="15"/>
  <c r="M54" i="15"/>
  <c r="K54" i="15"/>
  <c r="J54" i="15"/>
  <c r="I54" i="15"/>
  <c r="H54" i="15"/>
  <c r="G54" i="15"/>
  <c r="F54" i="15"/>
  <c r="E54" i="15"/>
  <c r="AE53" i="15"/>
  <c r="AH53" i="15" s="1"/>
  <c r="AJ53" i="15" s="1"/>
  <c r="AE52" i="15"/>
  <c r="AH52" i="15" s="1"/>
  <c r="AJ52" i="15" s="1"/>
  <c r="AE51" i="15"/>
  <c r="AH51" i="15" s="1"/>
  <c r="AJ51" i="15" s="1"/>
  <c r="AE50" i="15"/>
  <c r="AH50" i="15" s="1"/>
  <c r="AJ50" i="15" s="1"/>
  <c r="AE49" i="15"/>
  <c r="AH49" i="15" s="1"/>
  <c r="AJ49" i="15" s="1"/>
  <c r="AE48" i="15"/>
  <c r="AH48" i="15" s="1"/>
  <c r="AJ48" i="15" s="1"/>
  <c r="AE47" i="15"/>
  <c r="AH47" i="15" s="1"/>
  <c r="AJ47" i="15" s="1"/>
  <c r="AE46" i="15"/>
  <c r="AH46" i="15" s="1"/>
  <c r="AJ46" i="15" s="1"/>
  <c r="AE45" i="15"/>
  <c r="AH45" i="15" s="1"/>
  <c r="AJ45" i="15" s="1"/>
  <c r="AE44" i="15"/>
  <c r="AH44" i="15" s="1"/>
  <c r="AJ44" i="15" s="1"/>
  <c r="AE43" i="15"/>
  <c r="AH43" i="15" s="1"/>
  <c r="AJ43" i="15" s="1"/>
  <c r="AE42" i="15"/>
  <c r="AH42" i="15" s="1"/>
  <c r="AJ42" i="15" s="1"/>
  <c r="AE41" i="15"/>
  <c r="AH41" i="15" s="1"/>
  <c r="AJ41" i="15" s="1"/>
  <c r="AI38" i="15"/>
  <c r="AG38" i="15"/>
  <c r="AF38" i="15"/>
  <c r="AD38" i="15"/>
  <c r="AD146" i="15" s="1"/>
  <c r="AD147" i="15" s="1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L146" i="15" s="1"/>
  <c r="K38" i="15"/>
  <c r="J38" i="15"/>
  <c r="I38" i="15"/>
  <c r="H38" i="15"/>
  <c r="G38" i="15"/>
  <c r="F38" i="15"/>
  <c r="E38" i="15"/>
  <c r="AE37" i="15"/>
  <c r="AH37" i="15" s="1"/>
  <c r="AJ37" i="15" s="1"/>
  <c r="AE36" i="15"/>
  <c r="AH36" i="15" s="1"/>
  <c r="AJ36" i="15" s="1"/>
  <c r="AE35" i="15"/>
  <c r="AH35" i="15" s="1"/>
  <c r="AJ35" i="15" s="1"/>
  <c r="AE34" i="15"/>
  <c r="AH34" i="15" s="1"/>
  <c r="AJ34" i="15" s="1"/>
  <c r="AE33" i="15"/>
  <c r="AH33" i="15" s="1"/>
  <c r="AJ33" i="15" s="1"/>
  <c r="AE32" i="15"/>
  <c r="AH32" i="15" s="1"/>
  <c r="AJ32" i="15" s="1"/>
  <c r="AE31" i="15"/>
  <c r="AH31" i="15" s="1"/>
  <c r="AJ31" i="15" s="1"/>
  <c r="AE30" i="15"/>
  <c r="AH30" i="15" s="1"/>
  <c r="AJ30" i="15" s="1"/>
  <c r="AE29" i="15"/>
  <c r="AH29" i="15" s="1"/>
  <c r="AJ29" i="15" s="1"/>
  <c r="AE28" i="15"/>
  <c r="AH28" i="15" s="1"/>
  <c r="AJ28" i="15" s="1"/>
  <c r="AE27" i="15"/>
  <c r="AH27" i="15" s="1"/>
  <c r="AJ27" i="15" s="1"/>
  <c r="AE26" i="15"/>
  <c r="AH26" i="15" s="1"/>
  <c r="AJ26" i="15" s="1"/>
  <c r="AE25" i="15"/>
  <c r="AH25" i="15" s="1"/>
  <c r="AJ25" i="15" s="1"/>
  <c r="AE24" i="15"/>
  <c r="AH24" i="15" s="1"/>
  <c r="AJ24" i="15" s="1"/>
  <c r="AE23" i="15"/>
  <c r="AH23" i="15" s="1"/>
  <c r="AJ23" i="15" s="1"/>
  <c r="AE22" i="15"/>
  <c r="AH22" i="15" s="1"/>
  <c r="AJ22" i="15" s="1"/>
  <c r="AE21" i="15"/>
  <c r="AH21" i="15" s="1"/>
  <c r="AJ21" i="15" s="1"/>
  <c r="AE20" i="15"/>
  <c r="AE19" i="15"/>
  <c r="AE18" i="15"/>
  <c r="AE17" i="15"/>
  <c r="AE16" i="15"/>
  <c r="AE15" i="15"/>
  <c r="AE14" i="15"/>
  <c r="AE13" i="15"/>
  <c r="AE12" i="15"/>
  <c r="AE11" i="15"/>
  <c r="AE10" i="15"/>
  <c r="AE9" i="15"/>
  <c r="AE8" i="15"/>
  <c r="AE7" i="15"/>
  <c r="AE6" i="15"/>
  <c r="AE5" i="15"/>
  <c r="AH5" i="15" s="1"/>
  <c r="AE4" i="15"/>
  <c r="AH4" i="15" s="1"/>
  <c r="AI215" i="14"/>
  <c r="AF215" i="14"/>
  <c r="AC215" i="14"/>
  <c r="AB215" i="14"/>
  <c r="AA215" i="14"/>
  <c r="Z215" i="14"/>
  <c r="Y215" i="14"/>
  <c r="X215" i="14"/>
  <c r="W215" i="14"/>
  <c r="V215" i="14"/>
  <c r="T215" i="14"/>
  <c r="S215" i="14"/>
  <c r="R215" i="14"/>
  <c r="Q215" i="14"/>
  <c r="P215" i="14"/>
  <c r="O215" i="14"/>
  <c r="N215" i="14"/>
  <c r="M215" i="14"/>
  <c r="K215" i="14"/>
  <c r="J215" i="14"/>
  <c r="I215" i="14"/>
  <c r="H215" i="14"/>
  <c r="G215" i="14"/>
  <c r="F215" i="14"/>
  <c r="E215" i="14"/>
  <c r="AE214" i="14"/>
  <c r="AH214" i="14" s="1"/>
  <c r="AJ214" i="14" s="1"/>
  <c r="AE213" i="14"/>
  <c r="AC212" i="14"/>
  <c r="AB212" i="14"/>
  <c r="AA212" i="14"/>
  <c r="Z212" i="14"/>
  <c r="Y212" i="14"/>
  <c r="X212" i="14"/>
  <c r="W212" i="14"/>
  <c r="V212" i="14"/>
  <c r="AI209" i="14"/>
  <c r="AI210" i="14" s="1"/>
  <c r="AG209" i="14"/>
  <c r="AG210" i="14" s="1"/>
  <c r="AF209" i="14"/>
  <c r="M169" i="19" s="1"/>
  <c r="AC209" i="14"/>
  <c r="AC210" i="14" s="1"/>
  <c r="AB209" i="14"/>
  <c r="AA209" i="14"/>
  <c r="AA210" i="14" s="1"/>
  <c r="Z209" i="14"/>
  <c r="Y209" i="14"/>
  <c r="X209" i="14"/>
  <c r="W209" i="14"/>
  <c r="V209" i="14"/>
  <c r="T209" i="14"/>
  <c r="T210" i="14" s="1"/>
  <c r="S209" i="14"/>
  <c r="R209" i="14"/>
  <c r="Q209" i="14"/>
  <c r="P209" i="14"/>
  <c r="O209" i="14"/>
  <c r="N209" i="14"/>
  <c r="M209" i="14"/>
  <c r="K209" i="14"/>
  <c r="J209" i="14"/>
  <c r="I209" i="14"/>
  <c r="H209" i="14"/>
  <c r="G209" i="14"/>
  <c r="F209" i="14"/>
  <c r="E209" i="14"/>
  <c r="AE208" i="14"/>
  <c r="AH208" i="14" s="1"/>
  <c r="AJ208" i="14" s="1"/>
  <c r="AE207" i="14"/>
  <c r="AH207" i="14" s="1"/>
  <c r="AJ207" i="14" s="1"/>
  <c r="AE206" i="14"/>
  <c r="AH206" i="14" s="1"/>
  <c r="AJ206" i="14" s="1"/>
  <c r="AE205" i="14"/>
  <c r="AH205" i="14" s="1"/>
  <c r="AJ205" i="14" s="1"/>
  <c r="AE204" i="14"/>
  <c r="AH204" i="14" s="1"/>
  <c r="AJ204" i="14" s="1"/>
  <c r="AE203" i="14"/>
  <c r="AH203" i="14" s="1"/>
  <c r="AJ203" i="14" s="1"/>
  <c r="AE202" i="14"/>
  <c r="AH202" i="14" s="1"/>
  <c r="AJ202" i="14" s="1"/>
  <c r="AE201" i="14"/>
  <c r="AH201" i="14" s="1"/>
  <c r="AJ201" i="14" s="1"/>
  <c r="AE200" i="14"/>
  <c r="AH200" i="14" s="1"/>
  <c r="AJ200" i="14" s="1"/>
  <c r="AE199" i="14"/>
  <c r="AH199" i="14" s="1"/>
  <c r="AJ199" i="14" s="1"/>
  <c r="AE198" i="14"/>
  <c r="AH198" i="14" s="1"/>
  <c r="AJ198" i="14" s="1"/>
  <c r="AE197" i="14"/>
  <c r="AH197" i="14" s="1"/>
  <c r="AJ197" i="14" s="1"/>
  <c r="AE196" i="14"/>
  <c r="AH196" i="14" s="1"/>
  <c r="AJ196" i="14" s="1"/>
  <c r="AE195" i="14"/>
  <c r="AH195" i="14" s="1"/>
  <c r="AJ195" i="14" s="1"/>
  <c r="AE194" i="14"/>
  <c r="AH194" i="14" s="1"/>
  <c r="AJ194" i="14" s="1"/>
  <c r="AE193" i="14"/>
  <c r="AH193" i="14" s="1"/>
  <c r="AJ193" i="14" s="1"/>
  <c r="AE192" i="14"/>
  <c r="AH192" i="14" s="1"/>
  <c r="AJ192" i="14" s="1"/>
  <c r="AE191" i="14"/>
  <c r="AH191" i="14" s="1"/>
  <c r="AJ191" i="14" s="1"/>
  <c r="AE190" i="14"/>
  <c r="AH190" i="14" s="1"/>
  <c r="AJ190" i="14" s="1"/>
  <c r="AE189" i="14"/>
  <c r="AH189" i="14" s="1"/>
  <c r="AJ189" i="14" s="1"/>
  <c r="AE188" i="14"/>
  <c r="AH188" i="14" s="1"/>
  <c r="AJ188" i="14" s="1"/>
  <c r="AE187" i="14"/>
  <c r="AH187" i="14" s="1"/>
  <c r="AJ187" i="14" s="1"/>
  <c r="AE186" i="14"/>
  <c r="AH186" i="14" s="1"/>
  <c r="AJ186" i="14" s="1"/>
  <c r="AE185" i="14"/>
  <c r="AH185" i="14" s="1"/>
  <c r="AJ185" i="14" s="1"/>
  <c r="AE184" i="14"/>
  <c r="AH184" i="14" s="1"/>
  <c r="AJ184" i="14" s="1"/>
  <c r="AE183" i="14"/>
  <c r="AH183" i="14" s="1"/>
  <c r="AJ183" i="14" s="1"/>
  <c r="AE182" i="14"/>
  <c r="AH182" i="14" s="1"/>
  <c r="AJ182" i="14" s="1"/>
  <c r="AE181" i="14"/>
  <c r="AH181" i="14" s="1"/>
  <c r="AJ181" i="14" s="1"/>
  <c r="AE180" i="14"/>
  <c r="AH180" i="14" s="1"/>
  <c r="AJ180" i="14" s="1"/>
  <c r="AE179" i="14"/>
  <c r="AH179" i="14" s="1"/>
  <c r="AJ179" i="14" s="1"/>
  <c r="AE178" i="14"/>
  <c r="AH178" i="14" s="1"/>
  <c r="AJ178" i="14" s="1"/>
  <c r="AE177" i="14"/>
  <c r="AH177" i="14" s="1"/>
  <c r="AJ177" i="14" s="1"/>
  <c r="AE176" i="14"/>
  <c r="AH176" i="14" s="1"/>
  <c r="AJ176" i="14" s="1"/>
  <c r="AE175" i="14"/>
  <c r="AH175" i="14" s="1"/>
  <c r="AJ175" i="14" s="1"/>
  <c r="AE174" i="14"/>
  <c r="AH174" i="14" s="1"/>
  <c r="AJ174" i="14" s="1"/>
  <c r="AE173" i="14"/>
  <c r="AH173" i="14" s="1"/>
  <c r="AJ173" i="14" s="1"/>
  <c r="AE172" i="14"/>
  <c r="AH172" i="14" s="1"/>
  <c r="AJ172" i="14" s="1"/>
  <c r="AE171" i="14"/>
  <c r="AH171" i="14" s="1"/>
  <c r="AJ171" i="14" s="1"/>
  <c r="AE170" i="14"/>
  <c r="AH170" i="14" s="1"/>
  <c r="AJ170" i="14" s="1"/>
  <c r="AE169" i="14"/>
  <c r="AH169" i="14" s="1"/>
  <c r="AJ169" i="14" s="1"/>
  <c r="AE168" i="14"/>
  <c r="AH168" i="14" s="1"/>
  <c r="AJ168" i="14" s="1"/>
  <c r="AE167" i="14"/>
  <c r="AH167" i="14" s="1"/>
  <c r="AJ167" i="14" s="1"/>
  <c r="AE166" i="14"/>
  <c r="AH166" i="14" s="1"/>
  <c r="AJ166" i="14" s="1"/>
  <c r="AE165" i="14"/>
  <c r="AH165" i="14" s="1"/>
  <c r="AJ165" i="14" s="1"/>
  <c r="AE164" i="14"/>
  <c r="AH164" i="14" s="1"/>
  <c r="AJ164" i="14" s="1"/>
  <c r="AE163" i="14"/>
  <c r="AH163" i="14" s="1"/>
  <c r="AJ163" i="14" s="1"/>
  <c r="AE162" i="14"/>
  <c r="AH162" i="14" s="1"/>
  <c r="AJ162" i="14" s="1"/>
  <c r="AE161" i="14"/>
  <c r="AH161" i="14" s="1"/>
  <c r="AJ161" i="14" s="1"/>
  <c r="AE160" i="14"/>
  <c r="AH160" i="14" s="1"/>
  <c r="AJ160" i="14" s="1"/>
  <c r="AE159" i="14"/>
  <c r="AH159" i="14" s="1"/>
  <c r="AJ159" i="14" s="1"/>
  <c r="AE158" i="14"/>
  <c r="AH158" i="14" s="1"/>
  <c r="AJ158" i="14" s="1"/>
  <c r="AE157" i="14"/>
  <c r="AH157" i="14" s="1"/>
  <c r="AJ157" i="14" s="1"/>
  <c r="AE156" i="14"/>
  <c r="AH156" i="14" s="1"/>
  <c r="AJ156" i="14" s="1"/>
  <c r="AE154" i="14"/>
  <c r="AH154" i="14" s="1"/>
  <c r="AJ154" i="14" s="1"/>
  <c r="AE153" i="14"/>
  <c r="AH153" i="14" s="1"/>
  <c r="AJ153" i="14" s="1"/>
  <c r="AE152" i="14"/>
  <c r="AH152" i="14" s="1"/>
  <c r="AJ152" i="14" s="1"/>
  <c r="AE151" i="14"/>
  <c r="AH151" i="14" s="1"/>
  <c r="AJ151" i="14" s="1"/>
  <c r="AE150" i="14"/>
  <c r="AH150" i="14" s="1"/>
  <c r="AC149" i="14"/>
  <c r="AB149" i="14"/>
  <c r="W149" i="14"/>
  <c r="V149" i="14"/>
  <c r="AI143" i="14"/>
  <c r="AF143" i="14"/>
  <c r="AC143" i="14"/>
  <c r="AB143" i="14"/>
  <c r="AA143" i="14"/>
  <c r="Z143" i="14"/>
  <c r="Y143" i="14"/>
  <c r="X143" i="14"/>
  <c r="W143" i="14"/>
  <c r="V143" i="14"/>
  <c r="T143" i="14"/>
  <c r="S143" i="14"/>
  <c r="R143" i="14"/>
  <c r="Q143" i="14"/>
  <c r="P143" i="14"/>
  <c r="O143" i="14"/>
  <c r="N143" i="14"/>
  <c r="M143" i="14"/>
  <c r="K143" i="14"/>
  <c r="J143" i="14"/>
  <c r="I143" i="14"/>
  <c r="H143" i="14"/>
  <c r="G143" i="14"/>
  <c r="F143" i="14"/>
  <c r="E143" i="14"/>
  <c r="AE142" i="14"/>
  <c r="AH142" i="14" s="1"/>
  <c r="AJ142" i="14" s="1"/>
  <c r="AE141" i="14"/>
  <c r="AH141" i="14" s="1"/>
  <c r="AJ141" i="14" s="1"/>
  <c r="AE140" i="14"/>
  <c r="AH140" i="14" s="1"/>
  <c r="AJ140" i="14" s="1"/>
  <c r="AE139" i="14"/>
  <c r="AH139" i="14" s="1"/>
  <c r="AJ139" i="14" s="1"/>
  <c r="AE138" i="14"/>
  <c r="AH138" i="14" s="1"/>
  <c r="AI135" i="14"/>
  <c r="AF135" i="14"/>
  <c r="AC135" i="14"/>
  <c r="AB135" i="14"/>
  <c r="AA135" i="14"/>
  <c r="Z135" i="14"/>
  <c r="Y135" i="14"/>
  <c r="X135" i="14"/>
  <c r="W135" i="14"/>
  <c r="V135" i="14"/>
  <c r="T135" i="14"/>
  <c r="S135" i="14"/>
  <c r="R135" i="14"/>
  <c r="Q135" i="14"/>
  <c r="P135" i="14"/>
  <c r="O135" i="14"/>
  <c r="N135" i="14"/>
  <c r="M135" i="14"/>
  <c r="K135" i="14"/>
  <c r="J135" i="14"/>
  <c r="I135" i="14"/>
  <c r="H135" i="14"/>
  <c r="G135" i="14"/>
  <c r="F135" i="14"/>
  <c r="E135" i="14"/>
  <c r="AE134" i="14"/>
  <c r="AH134" i="14" s="1"/>
  <c r="AJ134" i="14" s="1"/>
  <c r="AE133" i="14"/>
  <c r="AH133" i="14" s="1"/>
  <c r="AJ133" i="14" s="1"/>
  <c r="AE132" i="14"/>
  <c r="AH132" i="14" s="1"/>
  <c r="AJ132" i="14" s="1"/>
  <c r="AE131" i="14"/>
  <c r="AH131" i="14" s="1"/>
  <c r="AJ131" i="14" s="1"/>
  <c r="AE130" i="14"/>
  <c r="AH130" i="14" s="1"/>
  <c r="AJ130" i="14" s="1"/>
  <c r="AE129" i="14"/>
  <c r="AI126" i="14"/>
  <c r="AF126" i="14"/>
  <c r="AC126" i="14"/>
  <c r="AB126" i="14"/>
  <c r="AA126" i="14"/>
  <c r="Z126" i="14"/>
  <c r="Y126" i="14"/>
  <c r="X126" i="14"/>
  <c r="W126" i="14"/>
  <c r="V126" i="14"/>
  <c r="T126" i="14"/>
  <c r="S126" i="14"/>
  <c r="R126" i="14"/>
  <c r="Q126" i="14"/>
  <c r="P126" i="14"/>
  <c r="O126" i="14"/>
  <c r="N126" i="14"/>
  <c r="M126" i="14"/>
  <c r="K126" i="14"/>
  <c r="J126" i="14"/>
  <c r="I126" i="14"/>
  <c r="H126" i="14"/>
  <c r="G126" i="14"/>
  <c r="F126" i="14"/>
  <c r="E126" i="14"/>
  <c r="AE125" i="14"/>
  <c r="AH125" i="14" s="1"/>
  <c r="AJ125" i="14" s="1"/>
  <c r="AE124" i="14"/>
  <c r="AH124" i="14" s="1"/>
  <c r="AJ124" i="14" s="1"/>
  <c r="AE123" i="14"/>
  <c r="AH123" i="14" s="1"/>
  <c r="AJ123" i="14" s="1"/>
  <c r="AE122" i="14"/>
  <c r="AH122" i="14" s="1"/>
  <c r="AI119" i="14"/>
  <c r="AG119" i="14"/>
  <c r="AF119" i="14"/>
  <c r="AC119" i="14"/>
  <c r="AB119" i="14"/>
  <c r="AA119" i="14"/>
  <c r="Z119" i="14"/>
  <c r="Y119" i="14"/>
  <c r="X119" i="14"/>
  <c r="W119" i="14"/>
  <c r="V119" i="14"/>
  <c r="T119" i="14"/>
  <c r="S119" i="14"/>
  <c r="R119" i="14"/>
  <c r="Q119" i="14"/>
  <c r="P119" i="14"/>
  <c r="O119" i="14"/>
  <c r="N119" i="14"/>
  <c r="M119" i="14"/>
  <c r="K119" i="14"/>
  <c r="J119" i="14"/>
  <c r="I119" i="14"/>
  <c r="H119" i="14"/>
  <c r="G119" i="14"/>
  <c r="F119" i="14"/>
  <c r="E119" i="14"/>
  <c r="AE118" i="14"/>
  <c r="AH118" i="14" s="1"/>
  <c r="AJ118" i="14" s="1"/>
  <c r="AE117" i="14"/>
  <c r="AH117" i="14" s="1"/>
  <c r="AJ117" i="14" s="1"/>
  <c r="AE116" i="14"/>
  <c r="AH116" i="14" s="1"/>
  <c r="AJ116" i="14" s="1"/>
  <c r="AE115" i="14"/>
  <c r="AH115" i="14" s="1"/>
  <c r="AJ115" i="14" s="1"/>
  <c r="AE114" i="14"/>
  <c r="AC113" i="14"/>
  <c r="AC121" i="14" s="1"/>
  <c r="AC128" i="14" s="1"/>
  <c r="AC137" i="14" s="1"/>
  <c r="AB113" i="14"/>
  <c r="AB121" i="14" s="1"/>
  <c r="AB128" i="14" s="1"/>
  <c r="AB137" i="14" s="1"/>
  <c r="AA113" i="14"/>
  <c r="AA149" i="14" s="1"/>
  <c r="AI110" i="14"/>
  <c r="AG110" i="14"/>
  <c r="AF110" i="14"/>
  <c r="AD110" i="14"/>
  <c r="AC110" i="14"/>
  <c r="AB110" i="14"/>
  <c r="AA110" i="14"/>
  <c r="Z110" i="14"/>
  <c r="Y110" i="14"/>
  <c r="X110" i="14"/>
  <c r="W110" i="14"/>
  <c r="V110" i="14"/>
  <c r="T110" i="14"/>
  <c r="S110" i="14"/>
  <c r="R110" i="14"/>
  <c r="Q110" i="14"/>
  <c r="P110" i="14"/>
  <c r="O110" i="14"/>
  <c r="N110" i="14"/>
  <c r="M110" i="14"/>
  <c r="K110" i="14"/>
  <c r="J110" i="14"/>
  <c r="I110" i="14"/>
  <c r="H110" i="14"/>
  <c r="G110" i="14"/>
  <c r="F110" i="14"/>
  <c r="E110" i="14"/>
  <c r="AE109" i="14"/>
  <c r="AH109" i="14" s="1"/>
  <c r="AJ109" i="14" s="1"/>
  <c r="AE108" i="14"/>
  <c r="AH108" i="14" s="1"/>
  <c r="AJ108" i="14" s="1"/>
  <c r="AE107" i="14"/>
  <c r="AH107" i="14" s="1"/>
  <c r="AJ107" i="14" s="1"/>
  <c r="AE106" i="14"/>
  <c r="AH106" i="14" s="1"/>
  <c r="AJ106" i="14" s="1"/>
  <c r="AE105" i="14"/>
  <c r="AH105" i="14" s="1"/>
  <c r="AJ105" i="14" s="1"/>
  <c r="AE104" i="14"/>
  <c r="AH104" i="14" s="1"/>
  <c r="AJ104" i="14" s="1"/>
  <c r="AE103" i="14"/>
  <c r="AH103" i="14" s="1"/>
  <c r="AJ103" i="14" s="1"/>
  <c r="AE102" i="14"/>
  <c r="AH102" i="14" s="1"/>
  <c r="AJ102" i="14" s="1"/>
  <c r="AE101" i="14"/>
  <c r="AH101" i="14" s="1"/>
  <c r="AJ101" i="14" s="1"/>
  <c r="AE100" i="14"/>
  <c r="AH100" i="14" s="1"/>
  <c r="AJ100" i="14" s="1"/>
  <c r="AE99" i="14"/>
  <c r="AH99" i="14" s="1"/>
  <c r="AJ99" i="14" s="1"/>
  <c r="AE98" i="14"/>
  <c r="AH98" i="14" s="1"/>
  <c r="AJ98" i="14" s="1"/>
  <c r="AI82" i="14"/>
  <c r="AG82" i="14"/>
  <c r="AF82" i="14"/>
  <c r="AD82" i="14"/>
  <c r="AC82" i="14"/>
  <c r="AB82" i="14"/>
  <c r="AA82" i="14"/>
  <c r="Z82" i="14"/>
  <c r="Y82" i="14"/>
  <c r="X82" i="14"/>
  <c r="W82" i="14"/>
  <c r="V82" i="14"/>
  <c r="T82" i="14"/>
  <c r="S82" i="14"/>
  <c r="R82" i="14"/>
  <c r="Q82" i="14"/>
  <c r="P82" i="14"/>
  <c r="O82" i="14"/>
  <c r="N82" i="14"/>
  <c r="M82" i="14"/>
  <c r="K82" i="14"/>
  <c r="J82" i="14"/>
  <c r="I82" i="14"/>
  <c r="H82" i="14"/>
  <c r="G82" i="14"/>
  <c r="F82" i="14"/>
  <c r="E82" i="14"/>
  <c r="AE81" i="14"/>
  <c r="AH81" i="14" s="1"/>
  <c r="AJ81" i="14" s="1"/>
  <c r="AE80" i="14"/>
  <c r="AH80" i="14" s="1"/>
  <c r="AJ80" i="14" s="1"/>
  <c r="AE79" i="14"/>
  <c r="AH79" i="14" s="1"/>
  <c r="AJ79" i="14" s="1"/>
  <c r="AE78" i="14"/>
  <c r="AH78" i="14" s="1"/>
  <c r="AJ78" i="14" s="1"/>
  <c r="AE77" i="14"/>
  <c r="AH77" i="14" s="1"/>
  <c r="AJ77" i="14" s="1"/>
  <c r="AE76" i="14"/>
  <c r="AH76" i="14" s="1"/>
  <c r="AJ76" i="14" s="1"/>
  <c r="AE75" i="14"/>
  <c r="AH75" i="14" s="1"/>
  <c r="AJ75" i="14" s="1"/>
  <c r="AE74" i="14"/>
  <c r="AH74" i="14" s="1"/>
  <c r="AJ74" i="14" s="1"/>
  <c r="AE73" i="14"/>
  <c r="AH73" i="14" s="1"/>
  <c r="AJ73" i="14" s="1"/>
  <c r="AE72" i="14"/>
  <c r="AH72" i="14" s="1"/>
  <c r="AJ72" i="14" s="1"/>
  <c r="AE71" i="14"/>
  <c r="AH71" i="14" s="1"/>
  <c r="AJ71" i="14" s="1"/>
  <c r="AE70" i="14"/>
  <c r="AI68" i="14"/>
  <c r="AG68" i="14"/>
  <c r="AF68" i="14"/>
  <c r="AC68" i="14"/>
  <c r="AB68" i="14"/>
  <c r="AA68" i="14"/>
  <c r="Z68" i="14"/>
  <c r="Y68" i="14"/>
  <c r="X68" i="14"/>
  <c r="W68" i="14"/>
  <c r="V68" i="14"/>
  <c r="T68" i="14"/>
  <c r="S68" i="14"/>
  <c r="R68" i="14"/>
  <c r="Q68" i="14"/>
  <c r="P68" i="14"/>
  <c r="O68" i="14"/>
  <c r="N68" i="14"/>
  <c r="M68" i="14"/>
  <c r="K68" i="14"/>
  <c r="J68" i="14"/>
  <c r="I68" i="14"/>
  <c r="H68" i="14"/>
  <c r="G68" i="14"/>
  <c r="F68" i="14"/>
  <c r="E68" i="14"/>
  <c r="AE67" i="14"/>
  <c r="AH67" i="14" s="1"/>
  <c r="AJ67" i="14" s="1"/>
  <c r="AE66" i="14"/>
  <c r="AH66" i="14" s="1"/>
  <c r="AJ66" i="14" s="1"/>
  <c r="AE65" i="14"/>
  <c r="AH65" i="14" s="1"/>
  <c r="AJ65" i="14" s="1"/>
  <c r="AE64" i="14"/>
  <c r="AH64" i="14" s="1"/>
  <c r="AJ64" i="14" s="1"/>
  <c r="AE63" i="14"/>
  <c r="AH63" i="14" s="1"/>
  <c r="AJ63" i="14" s="1"/>
  <c r="AE62" i="14"/>
  <c r="AH62" i="14" s="1"/>
  <c r="AJ62" i="14" s="1"/>
  <c r="AE61" i="14"/>
  <c r="AH61" i="14" s="1"/>
  <c r="AJ61" i="14" s="1"/>
  <c r="AE60" i="14"/>
  <c r="AH60" i="14" s="1"/>
  <c r="AJ60" i="14" s="1"/>
  <c r="AE59" i="14"/>
  <c r="AH59" i="14" s="1"/>
  <c r="AJ59" i="14" s="1"/>
  <c r="AE58" i="14"/>
  <c r="AH58" i="14" s="1"/>
  <c r="AJ58" i="14" s="1"/>
  <c r="AE57" i="14"/>
  <c r="AH57" i="14" s="1"/>
  <c r="AJ57" i="14" s="1"/>
  <c r="AE56" i="14"/>
  <c r="AH56" i="14" s="1"/>
  <c r="AI53" i="14"/>
  <c r="AG53" i="14"/>
  <c r="AF53" i="14"/>
  <c r="AC53" i="14"/>
  <c r="AB53" i="14"/>
  <c r="AA53" i="14"/>
  <c r="Z53" i="14"/>
  <c r="Y53" i="14"/>
  <c r="X53" i="14"/>
  <c r="W53" i="14"/>
  <c r="V53" i="14"/>
  <c r="T53" i="14"/>
  <c r="S53" i="14"/>
  <c r="R53" i="14"/>
  <c r="Q53" i="14"/>
  <c r="P53" i="14"/>
  <c r="O53" i="14"/>
  <c r="N53" i="14"/>
  <c r="M53" i="14"/>
  <c r="K53" i="14"/>
  <c r="J53" i="14"/>
  <c r="I53" i="14"/>
  <c r="H53" i="14"/>
  <c r="G53" i="14"/>
  <c r="F53" i="14"/>
  <c r="E53" i="14"/>
  <c r="AE52" i="14"/>
  <c r="AH52" i="14" s="1"/>
  <c r="AJ52" i="14" s="1"/>
  <c r="AE51" i="14"/>
  <c r="AH51" i="14" s="1"/>
  <c r="AJ51" i="14" s="1"/>
  <c r="AE50" i="14"/>
  <c r="AH50" i="14" s="1"/>
  <c r="AJ50" i="14" s="1"/>
  <c r="AE49" i="14"/>
  <c r="AH49" i="14" s="1"/>
  <c r="AJ49" i="14" s="1"/>
  <c r="AE48" i="14"/>
  <c r="AH48" i="14" s="1"/>
  <c r="AJ48" i="14" s="1"/>
  <c r="AE47" i="14"/>
  <c r="AH47" i="14" s="1"/>
  <c r="AJ47" i="14" s="1"/>
  <c r="AE46" i="14"/>
  <c r="AH46" i="14" s="1"/>
  <c r="AJ46" i="14" s="1"/>
  <c r="AE45" i="14"/>
  <c r="AH45" i="14" s="1"/>
  <c r="AJ45" i="14" s="1"/>
  <c r="AE44" i="14"/>
  <c r="AH44" i="14" s="1"/>
  <c r="AJ44" i="14" s="1"/>
  <c r="AE43" i="14"/>
  <c r="AH43" i="14" s="1"/>
  <c r="AJ43" i="14" s="1"/>
  <c r="AE42" i="14"/>
  <c r="AE41" i="14"/>
  <c r="AH41" i="14" s="1"/>
  <c r="AC40" i="14"/>
  <c r="AB40" i="14"/>
  <c r="Z40" i="14"/>
  <c r="Z113" i="14" s="1"/>
  <c r="Y40" i="14"/>
  <c r="Y113" i="14" s="1"/>
  <c r="Y149" i="14" s="1"/>
  <c r="X40" i="14"/>
  <c r="X113" i="14" s="1"/>
  <c r="X121" i="14" s="1"/>
  <c r="X128" i="14" s="1"/>
  <c r="X137" i="14" s="1"/>
  <c r="W40" i="14"/>
  <c r="W113" i="14" s="1"/>
  <c r="W121" i="14" s="1"/>
  <c r="W128" i="14" s="1"/>
  <c r="W137" i="14" s="1"/>
  <c r="V40" i="14"/>
  <c r="V113" i="14" s="1"/>
  <c r="V121" i="14" s="1"/>
  <c r="V128" i="14" s="1"/>
  <c r="V137" i="14" s="1"/>
  <c r="AI38" i="14"/>
  <c r="AG38" i="14"/>
  <c r="AF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L145" i="14" s="1"/>
  <c r="K38" i="14"/>
  <c r="J38" i="14"/>
  <c r="I38" i="14"/>
  <c r="H38" i="14"/>
  <c r="G38" i="14"/>
  <c r="F38" i="14"/>
  <c r="E38" i="14"/>
  <c r="AE37" i="14"/>
  <c r="AH37" i="14" s="1"/>
  <c r="AJ37" i="14" s="1"/>
  <c r="AE36" i="14"/>
  <c r="AH36" i="14" s="1"/>
  <c r="AJ36" i="14" s="1"/>
  <c r="AE35" i="14"/>
  <c r="AH35" i="14" s="1"/>
  <c r="AJ35" i="14" s="1"/>
  <c r="AE34" i="14"/>
  <c r="AH34" i="14" s="1"/>
  <c r="AJ34" i="14" s="1"/>
  <c r="AE33" i="14"/>
  <c r="AH33" i="14" s="1"/>
  <c r="AJ33" i="14" s="1"/>
  <c r="AE32" i="14"/>
  <c r="AH32" i="14" s="1"/>
  <c r="AJ32" i="14" s="1"/>
  <c r="AE31" i="14"/>
  <c r="AH31" i="14" s="1"/>
  <c r="AJ31" i="14" s="1"/>
  <c r="AE30" i="14"/>
  <c r="AH30" i="14" s="1"/>
  <c r="AJ30" i="14" s="1"/>
  <c r="AE29" i="14"/>
  <c r="AH29" i="14" s="1"/>
  <c r="AJ29" i="14" s="1"/>
  <c r="AE28" i="14"/>
  <c r="AH28" i="14" s="1"/>
  <c r="AJ28" i="14" s="1"/>
  <c r="AE27" i="14"/>
  <c r="AH27" i="14" s="1"/>
  <c r="AJ27" i="14" s="1"/>
  <c r="AE26" i="14"/>
  <c r="AH26" i="14" s="1"/>
  <c r="AJ26" i="14" s="1"/>
  <c r="AE25" i="14"/>
  <c r="AH25" i="14" s="1"/>
  <c r="AJ25" i="14" s="1"/>
  <c r="AE24" i="14"/>
  <c r="AH24" i="14" s="1"/>
  <c r="AJ24" i="14" s="1"/>
  <c r="AE23" i="14"/>
  <c r="AH23" i="14" s="1"/>
  <c r="AJ23" i="14" s="1"/>
  <c r="AE22" i="14"/>
  <c r="AH22" i="14" s="1"/>
  <c r="AJ22" i="14" s="1"/>
  <c r="AE21" i="14"/>
  <c r="AH21" i="14" s="1"/>
  <c r="AJ21" i="14" s="1"/>
  <c r="AE20" i="14"/>
  <c r="AH20" i="14" s="1"/>
  <c r="AJ20" i="14" s="1"/>
  <c r="AE19" i="14"/>
  <c r="AH19" i="14" s="1"/>
  <c r="AJ19" i="14" s="1"/>
  <c r="AE18" i="14"/>
  <c r="AH18" i="14" s="1"/>
  <c r="AJ18" i="14" s="1"/>
  <c r="AE17" i="14"/>
  <c r="AH17" i="14" s="1"/>
  <c r="AJ17" i="14" s="1"/>
  <c r="AE16" i="14"/>
  <c r="AH16" i="14" s="1"/>
  <c r="AJ16" i="14" s="1"/>
  <c r="AE15" i="14"/>
  <c r="AH15" i="14" s="1"/>
  <c r="AJ15" i="14" s="1"/>
  <c r="AE14" i="14"/>
  <c r="AH14" i="14" s="1"/>
  <c r="AJ14" i="14" s="1"/>
  <c r="AE13" i="14"/>
  <c r="AH13" i="14" s="1"/>
  <c r="AJ13" i="14" s="1"/>
  <c r="AE12" i="14"/>
  <c r="AH12" i="14" s="1"/>
  <c r="AJ12" i="14" s="1"/>
  <c r="AE11" i="14"/>
  <c r="AH11" i="14" s="1"/>
  <c r="AJ11" i="14" s="1"/>
  <c r="AE10" i="14"/>
  <c r="AH10" i="14" s="1"/>
  <c r="AJ10" i="14" s="1"/>
  <c r="AE9" i="14"/>
  <c r="AH9" i="14" s="1"/>
  <c r="AJ9" i="14" s="1"/>
  <c r="AE8" i="14"/>
  <c r="AH8" i="14" s="1"/>
  <c r="AJ8" i="14" s="1"/>
  <c r="AE7" i="14"/>
  <c r="AH7" i="14" s="1"/>
  <c r="AJ7" i="14" s="1"/>
  <c r="AE6" i="14"/>
  <c r="AH6" i="14" s="1"/>
  <c r="AJ6" i="14" s="1"/>
  <c r="AE5" i="14"/>
  <c r="AE4" i="14"/>
  <c r="A4" i="14"/>
  <c r="AI251" i="18"/>
  <c r="AF251" i="18"/>
  <c r="AC251" i="18"/>
  <c r="AB251" i="18"/>
  <c r="AA251" i="18"/>
  <c r="Z251" i="18"/>
  <c r="Y251" i="18"/>
  <c r="X251" i="18"/>
  <c r="W251" i="18"/>
  <c r="V251" i="18"/>
  <c r="T251" i="18"/>
  <c r="S251" i="18"/>
  <c r="R251" i="18"/>
  <c r="Q251" i="18"/>
  <c r="P251" i="18"/>
  <c r="O251" i="18"/>
  <c r="N251" i="18"/>
  <c r="M251" i="18"/>
  <c r="L251" i="18"/>
  <c r="K251" i="18"/>
  <c r="J251" i="18"/>
  <c r="I251" i="18"/>
  <c r="H251" i="18"/>
  <c r="G251" i="18"/>
  <c r="F251" i="18"/>
  <c r="E251" i="18"/>
  <c r="AE250" i="18"/>
  <c r="AE249" i="18"/>
  <c r="AH249" i="18" s="1"/>
  <c r="AJ249" i="18" s="1"/>
  <c r="AI245" i="18"/>
  <c r="AI246" i="18" s="1"/>
  <c r="AG245" i="18"/>
  <c r="AG246" i="18" s="1"/>
  <c r="AF245" i="18"/>
  <c r="M171" i="19" s="1"/>
  <c r="AC245" i="18"/>
  <c r="AB245" i="18"/>
  <c r="AB246" i="18" s="1"/>
  <c r="AA245" i="18"/>
  <c r="Z245" i="18"/>
  <c r="Z246" i="18" s="1"/>
  <c r="Y245" i="18"/>
  <c r="W245" i="18"/>
  <c r="W246" i="18" s="1"/>
  <c r="V245" i="18"/>
  <c r="U245" i="18"/>
  <c r="U253" i="18" s="1"/>
  <c r="U254" i="18" s="1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E246" i="18" s="1"/>
  <c r="AE244" i="18"/>
  <c r="AH244" i="18" s="1"/>
  <c r="AJ244" i="18" s="1"/>
  <c r="AE243" i="18"/>
  <c r="AH243" i="18" s="1"/>
  <c r="AJ243" i="18" s="1"/>
  <c r="AE242" i="18"/>
  <c r="AH242" i="18" s="1"/>
  <c r="AJ242" i="18" s="1"/>
  <c r="AE241" i="18"/>
  <c r="AH241" i="18" s="1"/>
  <c r="AJ241" i="18" s="1"/>
  <c r="AE240" i="18"/>
  <c r="AH240" i="18" s="1"/>
  <c r="AJ240" i="18" s="1"/>
  <c r="AE239" i="18"/>
  <c r="AH239" i="18" s="1"/>
  <c r="AJ239" i="18" s="1"/>
  <c r="AE238" i="18"/>
  <c r="AH238" i="18" s="1"/>
  <c r="AJ238" i="18" s="1"/>
  <c r="AE237" i="18"/>
  <c r="AH237" i="18" s="1"/>
  <c r="AJ237" i="18" s="1"/>
  <c r="AE236" i="18"/>
  <c r="AH236" i="18" s="1"/>
  <c r="AJ236" i="18" s="1"/>
  <c r="AE235" i="18"/>
  <c r="AH235" i="18" s="1"/>
  <c r="AJ235" i="18" s="1"/>
  <c r="AE234" i="18"/>
  <c r="AH234" i="18" s="1"/>
  <c r="AJ234" i="18" s="1"/>
  <c r="AE233" i="18"/>
  <c r="AH233" i="18" s="1"/>
  <c r="AJ233" i="18" s="1"/>
  <c r="AE232" i="18"/>
  <c r="AH232" i="18" s="1"/>
  <c r="AJ232" i="18" s="1"/>
  <c r="AE231" i="18"/>
  <c r="AH231" i="18" s="1"/>
  <c r="AJ231" i="18" s="1"/>
  <c r="AE230" i="18"/>
  <c r="AH230" i="18" s="1"/>
  <c r="AJ230" i="18" s="1"/>
  <c r="AE229" i="18"/>
  <c r="AH229" i="18" s="1"/>
  <c r="AJ229" i="18" s="1"/>
  <c r="AE228" i="18"/>
  <c r="AH228" i="18" s="1"/>
  <c r="AJ228" i="18" s="1"/>
  <c r="AE227" i="18"/>
  <c r="AH227" i="18" s="1"/>
  <c r="AJ227" i="18" s="1"/>
  <c r="AE226" i="18"/>
  <c r="AH226" i="18" s="1"/>
  <c r="AJ226" i="18" s="1"/>
  <c r="AE225" i="18"/>
  <c r="AH225" i="18" s="1"/>
  <c r="AJ225" i="18" s="1"/>
  <c r="AE224" i="18"/>
  <c r="AH224" i="18" s="1"/>
  <c r="AJ224" i="18" s="1"/>
  <c r="AE223" i="18"/>
  <c r="AH223" i="18" s="1"/>
  <c r="AJ223" i="18" s="1"/>
  <c r="AE222" i="18"/>
  <c r="AH222" i="18" s="1"/>
  <c r="AJ222" i="18" s="1"/>
  <c r="AE221" i="18"/>
  <c r="AH221" i="18" s="1"/>
  <c r="AJ221" i="18" s="1"/>
  <c r="AE220" i="18"/>
  <c r="AH220" i="18" s="1"/>
  <c r="AJ220" i="18" s="1"/>
  <c r="AE219" i="18"/>
  <c r="AH219" i="18" s="1"/>
  <c r="AJ219" i="18" s="1"/>
  <c r="AE218" i="18"/>
  <c r="AH218" i="18" s="1"/>
  <c r="AJ218" i="18" s="1"/>
  <c r="AE217" i="18"/>
  <c r="AH217" i="18" s="1"/>
  <c r="AJ217" i="18" s="1"/>
  <c r="AE216" i="18"/>
  <c r="AH216" i="18" s="1"/>
  <c r="AJ216" i="18" s="1"/>
  <c r="AE215" i="18"/>
  <c r="AH215" i="18" s="1"/>
  <c r="AJ215" i="18" s="1"/>
  <c r="AE214" i="18"/>
  <c r="AH214" i="18" s="1"/>
  <c r="AJ214" i="18" s="1"/>
  <c r="AE213" i="18"/>
  <c r="AH213" i="18" s="1"/>
  <c r="AJ213" i="18" s="1"/>
  <c r="AE212" i="18"/>
  <c r="AH212" i="18" s="1"/>
  <c r="AJ212" i="18" s="1"/>
  <c r="AE211" i="18"/>
  <c r="AH211" i="18" s="1"/>
  <c r="AJ211" i="18" s="1"/>
  <c r="AE209" i="18"/>
  <c r="AH209" i="18" s="1"/>
  <c r="AJ209" i="18" s="1"/>
  <c r="AE208" i="18"/>
  <c r="AH208" i="18" s="1"/>
  <c r="AJ208" i="18" s="1"/>
  <c r="AE207" i="18"/>
  <c r="AH207" i="18" s="1"/>
  <c r="AJ207" i="18" s="1"/>
  <c r="AE206" i="18"/>
  <c r="AH206" i="18" s="1"/>
  <c r="AJ206" i="18" s="1"/>
  <c r="AE205" i="18"/>
  <c r="AH205" i="18" s="1"/>
  <c r="AJ205" i="18" s="1"/>
  <c r="AE204" i="18"/>
  <c r="AH204" i="18" s="1"/>
  <c r="AJ204" i="18" s="1"/>
  <c r="AE203" i="18"/>
  <c r="AH203" i="18" s="1"/>
  <c r="AJ203" i="18" s="1"/>
  <c r="AE202" i="18"/>
  <c r="AH202" i="18" s="1"/>
  <c r="AJ202" i="18" s="1"/>
  <c r="AE201" i="18"/>
  <c r="AH201" i="18" s="1"/>
  <c r="AJ201" i="18" s="1"/>
  <c r="AE200" i="18"/>
  <c r="AH200" i="18" s="1"/>
  <c r="AJ200" i="18" s="1"/>
  <c r="AE199" i="18"/>
  <c r="AH199" i="18" s="1"/>
  <c r="AJ199" i="18" s="1"/>
  <c r="AE198" i="18"/>
  <c r="AH198" i="18" s="1"/>
  <c r="AJ198" i="18" s="1"/>
  <c r="AE197" i="18"/>
  <c r="AH197" i="18" s="1"/>
  <c r="AJ197" i="18" s="1"/>
  <c r="AE196" i="18"/>
  <c r="AH196" i="18" s="1"/>
  <c r="AJ196" i="18" s="1"/>
  <c r="AE195" i="18"/>
  <c r="AH195" i="18" s="1"/>
  <c r="AJ195" i="18" s="1"/>
  <c r="AE194" i="18"/>
  <c r="AH194" i="18" s="1"/>
  <c r="AJ194" i="18" s="1"/>
  <c r="AE193" i="18"/>
  <c r="AH193" i="18" s="1"/>
  <c r="AJ193" i="18" s="1"/>
  <c r="AE192" i="18"/>
  <c r="AH192" i="18" s="1"/>
  <c r="AJ192" i="18" s="1"/>
  <c r="AE190" i="18"/>
  <c r="AH190" i="18" s="1"/>
  <c r="AJ190" i="18" s="1"/>
  <c r="AE189" i="18"/>
  <c r="AH189" i="18" s="1"/>
  <c r="AJ189" i="18" s="1"/>
  <c r="AE188" i="18"/>
  <c r="AH188" i="18" s="1"/>
  <c r="AJ188" i="18" s="1"/>
  <c r="AE187" i="18"/>
  <c r="AH187" i="18" s="1"/>
  <c r="AJ187" i="18" s="1"/>
  <c r="AE186" i="18"/>
  <c r="AH186" i="18" s="1"/>
  <c r="AJ186" i="18" s="1"/>
  <c r="AE185" i="18"/>
  <c r="AH185" i="18" s="1"/>
  <c r="AJ185" i="18" s="1"/>
  <c r="AE183" i="18"/>
  <c r="AH183" i="18" s="1"/>
  <c r="AJ183" i="18" s="1"/>
  <c r="AE182" i="18"/>
  <c r="AH182" i="18" s="1"/>
  <c r="AJ182" i="18" s="1"/>
  <c r="AE181" i="18"/>
  <c r="AH181" i="18" s="1"/>
  <c r="AJ181" i="18" s="1"/>
  <c r="AE180" i="18"/>
  <c r="AH180" i="18" s="1"/>
  <c r="AJ180" i="18" s="1"/>
  <c r="AE179" i="18"/>
  <c r="AH179" i="18" s="1"/>
  <c r="AJ179" i="18" s="1"/>
  <c r="AE178" i="18"/>
  <c r="AH178" i="18" s="1"/>
  <c r="AJ178" i="18" s="1"/>
  <c r="AE177" i="18"/>
  <c r="AH177" i="18" s="1"/>
  <c r="AJ177" i="18" s="1"/>
  <c r="AE176" i="18"/>
  <c r="AH176" i="18" s="1"/>
  <c r="AJ176" i="18" s="1"/>
  <c r="AE175" i="18"/>
  <c r="AH175" i="18" s="1"/>
  <c r="AJ175" i="18" s="1"/>
  <c r="AE174" i="18"/>
  <c r="AH174" i="18" s="1"/>
  <c r="V172" i="18"/>
  <c r="AI167" i="18"/>
  <c r="AF167" i="18"/>
  <c r="AC167" i="18"/>
  <c r="AB167" i="18"/>
  <c r="AA167" i="18"/>
  <c r="Z167" i="18"/>
  <c r="Y167" i="18"/>
  <c r="X167" i="18"/>
  <c r="W167" i="18"/>
  <c r="V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AE166" i="18"/>
  <c r="AH166" i="18" s="1"/>
  <c r="AJ166" i="18" s="1"/>
  <c r="AE165" i="18"/>
  <c r="AH165" i="18" s="1"/>
  <c r="AJ165" i="18" s="1"/>
  <c r="AE164" i="18"/>
  <c r="AH164" i="18" s="1"/>
  <c r="AJ164" i="18" s="1"/>
  <c r="AE163" i="18"/>
  <c r="AH163" i="18" s="1"/>
  <c r="AJ163" i="18" s="1"/>
  <c r="AE162" i="18"/>
  <c r="AI159" i="18"/>
  <c r="AF159" i="18"/>
  <c r="AC159" i="18"/>
  <c r="AB159" i="18"/>
  <c r="AA159" i="18"/>
  <c r="Z159" i="18"/>
  <c r="Y159" i="18"/>
  <c r="X159" i="18"/>
  <c r="W159" i="18"/>
  <c r="V159" i="18"/>
  <c r="T159" i="18"/>
  <c r="S159" i="18"/>
  <c r="R159" i="18"/>
  <c r="Q159" i="18"/>
  <c r="P159" i="18"/>
  <c r="O159" i="18"/>
  <c r="N159" i="18"/>
  <c r="M159" i="18"/>
  <c r="K159" i="18"/>
  <c r="J159" i="18"/>
  <c r="I159" i="18"/>
  <c r="H159" i="18"/>
  <c r="G159" i="18"/>
  <c r="F159" i="18"/>
  <c r="E159" i="18"/>
  <c r="AE158" i="18"/>
  <c r="AH158" i="18" s="1"/>
  <c r="AJ158" i="18" s="1"/>
  <c r="AE157" i="18"/>
  <c r="AH157" i="18" s="1"/>
  <c r="AJ157" i="18" s="1"/>
  <c r="AE156" i="18"/>
  <c r="AH156" i="18" s="1"/>
  <c r="AJ156" i="18" s="1"/>
  <c r="AE155" i="18"/>
  <c r="AH155" i="18" s="1"/>
  <c r="AJ155" i="18" s="1"/>
  <c r="AE154" i="18"/>
  <c r="AE153" i="18"/>
  <c r="AH153" i="18" s="1"/>
  <c r="AJ153" i="18" s="1"/>
  <c r="AI150" i="18"/>
  <c r="AF150" i="18"/>
  <c r="AC150" i="18"/>
  <c r="AB150" i="18"/>
  <c r="AA150" i="18"/>
  <c r="Z150" i="18"/>
  <c r="Y150" i="18"/>
  <c r="X150" i="18"/>
  <c r="W150" i="18"/>
  <c r="V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AE149" i="18"/>
  <c r="AH149" i="18" s="1"/>
  <c r="AJ149" i="18" s="1"/>
  <c r="AE148" i="18"/>
  <c r="AH148" i="18" s="1"/>
  <c r="AJ148" i="18" s="1"/>
  <c r="AE147" i="18"/>
  <c r="AH147" i="18" s="1"/>
  <c r="AJ147" i="18" s="1"/>
  <c r="AE146" i="18"/>
  <c r="AI143" i="18"/>
  <c r="AG143" i="18"/>
  <c r="AF143" i="18"/>
  <c r="AC143" i="18"/>
  <c r="AB143" i="18"/>
  <c r="AA143" i="18"/>
  <c r="Z143" i="18"/>
  <c r="Y143" i="18"/>
  <c r="X143" i="18"/>
  <c r="W143" i="18"/>
  <c r="V143" i="18"/>
  <c r="T143" i="18"/>
  <c r="S143" i="18"/>
  <c r="R143" i="18"/>
  <c r="Q143" i="18"/>
  <c r="P143" i="18"/>
  <c r="O143" i="18"/>
  <c r="N143" i="18"/>
  <c r="M143" i="18"/>
  <c r="K143" i="18"/>
  <c r="J143" i="18"/>
  <c r="I143" i="18"/>
  <c r="H143" i="18"/>
  <c r="G143" i="18"/>
  <c r="F143" i="18"/>
  <c r="E143" i="18"/>
  <c r="AE142" i="18"/>
  <c r="AH142" i="18" s="1"/>
  <c r="AJ142" i="18" s="1"/>
  <c r="AE141" i="18"/>
  <c r="AH141" i="18" s="1"/>
  <c r="AJ141" i="18" s="1"/>
  <c r="AE140" i="18"/>
  <c r="AH140" i="18" s="1"/>
  <c r="AJ140" i="18" s="1"/>
  <c r="AE139" i="18"/>
  <c r="AH139" i="18" s="1"/>
  <c r="AJ139" i="18" s="1"/>
  <c r="AE138" i="18"/>
  <c r="AI135" i="18"/>
  <c r="AG135" i="18"/>
  <c r="AF135" i="18"/>
  <c r="AD135" i="18"/>
  <c r="AC135" i="18"/>
  <c r="AB135" i="18"/>
  <c r="AA135" i="18"/>
  <c r="Z135" i="18"/>
  <c r="Y135" i="18"/>
  <c r="X135" i="18"/>
  <c r="W135" i="18"/>
  <c r="V135" i="18"/>
  <c r="U135" i="18"/>
  <c r="T135" i="18"/>
  <c r="S135" i="18"/>
  <c r="R135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AE134" i="18"/>
  <c r="AH134" i="18" s="1"/>
  <c r="AJ134" i="18" s="1"/>
  <c r="AE133" i="18"/>
  <c r="AH133" i="18" s="1"/>
  <c r="AJ133" i="18" s="1"/>
  <c r="AE132" i="18"/>
  <c r="AH132" i="18" s="1"/>
  <c r="AJ132" i="18" s="1"/>
  <c r="AE131" i="18"/>
  <c r="AH131" i="18" s="1"/>
  <c r="AJ131" i="18" s="1"/>
  <c r="AE130" i="18"/>
  <c r="AH130" i="18" s="1"/>
  <c r="AJ130" i="18" s="1"/>
  <c r="AE129" i="18"/>
  <c r="AH129" i="18" s="1"/>
  <c r="AJ129" i="18" s="1"/>
  <c r="AE128" i="18"/>
  <c r="AH128" i="18" s="1"/>
  <c r="AJ128" i="18" s="1"/>
  <c r="AE127" i="18"/>
  <c r="AH127" i="18" s="1"/>
  <c r="AJ127" i="18" s="1"/>
  <c r="AE126" i="18"/>
  <c r="AH126" i="18" s="1"/>
  <c r="AJ126" i="18" s="1"/>
  <c r="AE125" i="18"/>
  <c r="AH125" i="18" s="1"/>
  <c r="AJ125" i="18" s="1"/>
  <c r="AE124" i="18"/>
  <c r="AH124" i="18" s="1"/>
  <c r="AJ124" i="18" s="1"/>
  <c r="AE123" i="18"/>
  <c r="AH123" i="18" s="1"/>
  <c r="AJ123" i="18" s="1"/>
  <c r="AE122" i="18"/>
  <c r="AH122" i="18" s="1"/>
  <c r="AJ122" i="18" s="1"/>
  <c r="AE121" i="18"/>
  <c r="AH121" i="18" s="1"/>
  <c r="AJ121" i="18" s="1"/>
  <c r="AE120" i="18"/>
  <c r="AH120" i="18" s="1"/>
  <c r="AJ120" i="18" s="1"/>
  <c r="AE119" i="18"/>
  <c r="AH119" i="18" s="1"/>
  <c r="AJ119" i="18" s="1"/>
  <c r="AE118" i="18"/>
  <c r="AH118" i="18" s="1"/>
  <c r="AJ118" i="18" s="1"/>
  <c r="AE117" i="18"/>
  <c r="AH117" i="18" s="1"/>
  <c r="AJ117" i="18" s="1"/>
  <c r="AE116" i="18"/>
  <c r="AH116" i="18" s="1"/>
  <c r="AJ116" i="18" s="1"/>
  <c r="AE115" i="18"/>
  <c r="AH115" i="18" s="1"/>
  <c r="AJ115" i="18" s="1"/>
  <c r="AE114" i="18"/>
  <c r="AH114" i="18" s="1"/>
  <c r="AJ114" i="18" s="1"/>
  <c r="AE113" i="18"/>
  <c r="AH113" i="18" s="1"/>
  <c r="AJ113" i="18" s="1"/>
  <c r="AE112" i="18"/>
  <c r="AH112" i="18" s="1"/>
  <c r="AJ112" i="18" s="1"/>
  <c r="AE111" i="18"/>
  <c r="AH111" i="18" s="1"/>
  <c r="AJ111" i="18" s="1"/>
  <c r="AE110" i="18"/>
  <c r="AH110" i="18" s="1"/>
  <c r="AJ110" i="18" s="1"/>
  <c r="AE109" i="18"/>
  <c r="AH109" i="18" s="1"/>
  <c r="AJ109" i="18" s="1"/>
  <c r="AE108" i="18"/>
  <c r="AH108" i="18" s="1"/>
  <c r="AJ108" i="18" s="1"/>
  <c r="AE107" i="18"/>
  <c r="AI105" i="18"/>
  <c r="AG105" i="18"/>
  <c r="AF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AE104" i="18"/>
  <c r="AH104" i="18" s="1"/>
  <c r="AJ104" i="18" s="1"/>
  <c r="AE103" i="18"/>
  <c r="AH103" i="18" s="1"/>
  <c r="AJ103" i="18" s="1"/>
  <c r="AE102" i="18"/>
  <c r="AH102" i="18" s="1"/>
  <c r="AJ102" i="18" s="1"/>
  <c r="AE101" i="18"/>
  <c r="AH101" i="18" s="1"/>
  <c r="AJ101" i="18" s="1"/>
  <c r="AE100" i="18"/>
  <c r="AH100" i="18" s="1"/>
  <c r="AJ100" i="18" s="1"/>
  <c r="AE99" i="18"/>
  <c r="AH99" i="18" s="1"/>
  <c r="AJ99" i="18" s="1"/>
  <c r="AE98" i="18"/>
  <c r="AH98" i="18" s="1"/>
  <c r="AJ98" i="18" s="1"/>
  <c r="AE97" i="18"/>
  <c r="AH97" i="18" s="1"/>
  <c r="AJ97" i="18" s="1"/>
  <c r="AE96" i="18"/>
  <c r="AH96" i="18" s="1"/>
  <c r="AJ96" i="18" s="1"/>
  <c r="AE95" i="18"/>
  <c r="AH95" i="18" s="1"/>
  <c r="AJ95" i="18" s="1"/>
  <c r="AE94" i="18"/>
  <c r="AH94" i="18" s="1"/>
  <c r="AJ94" i="18" s="1"/>
  <c r="AE93" i="18"/>
  <c r="AH93" i="18" s="1"/>
  <c r="AJ93" i="18" s="1"/>
  <c r="AE92" i="18"/>
  <c r="AH92" i="18" s="1"/>
  <c r="AJ92" i="18" s="1"/>
  <c r="AE91" i="18"/>
  <c r="AH91" i="18" s="1"/>
  <c r="AJ91" i="18" s="1"/>
  <c r="AE90" i="18"/>
  <c r="AH90" i="18" s="1"/>
  <c r="AJ90" i="18" s="1"/>
  <c r="AE89" i="18"/>
  <c r="AH89" i="18" s="1"/>
  <c r="AJ89" i="18" s="1"/>
  <c r="AE88" i="18"/>
  <c r="AH88" i="18" s="1"/>
  <c r="AJ88" i="18" s="1"/>
  <c r="AE87" i="18"/>
  <c r="AI85" i="18"/>
  <c r="AG85" i="18"/>
  <c r="AF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AE84" i="18"/>
  <c r="AH84" i="18" s="1"/>
  <c r="AJ84" i="18" s="1"/>
  <c r="AE83" i="18"/>
  <c r="AH83" i="18" s="1"/>
  <c r="AJ83" i="18" s="1"/>
  <c r="AE82" i="18"/>
  <c r="AH82" i="18" s="1"/>
  <c r="AJ82" i="18" s="1"/>
  <c r="AE81" i="18"/>
  <c r="AH81" i="18" s="1"/>
  <c r="AJ81" i="18" s="1"/>
  <c r="AE80" i="18"/>
  <c r="AH80" i="18" s="1"/>
  <c r="AJ80" i="18" s="1"/>
  <c r="AE79" i="18"/>
  <c r="AH79" i="18" s="1"/>
  <c r="AJ79" i="18" s="1"/>
  <c r="AE78" i="18"/>
  <c r="AH78" i="18" s="1"/>
  <c r="AJ78" i="18" s="1"/>
  <c r="AE77" i="18"/>
  <c r="AH77" i="18" s="1"/>
  <c r="AJ77" i="18" s="1"/>
  <c r="AE76" i="18"/>
  <c r="AH76" i="18" s="1"/>
  <c r="AJ76" i="18" s="1"/>
  <c r="AE75" i="18"/>
  <c r="AH75" i="18" s="1"/>
  <c r="AJ75" i="18" s="1"/>
  <c r="AE74" i="18"/>
  <c r="AH74" i="18" s="1"/>
  <c r="AJ74" i="18" s="1"/>
  <c r="AE73" i="18"/>
  <c r="AH73" i="18" s="1"/>
  <c r="AJ73" i="18" s="1"/>
  <c r="AE72" i="18"/>
  <c r="AH72" i="18" s="1"/>
  <c r="AJ72" i="18" s="1"/>
  <c r="AE71" i="18"/>
  <c r="AH71" i="18" s="1"/>
  <c r="AJ71" i="18" s="1"/>
  <c r="AE70" i="18"/>
  <c r="AH70" i="18" s="1"/>
  <c r="AJ70" i="18" s="1"/>
  <c r="AE69" i="18"/>
  <c r="AH69" i="18" s="1"/>
  <c r="AJ69" i="18" s="1"/>
  <c r="AE68" i="18"/>
  <c r="AH68" i="18" s="1"/>
  <c r="AJ68" i="18" s="1"/>
  <c r="AE67" i="18"/>
  <c r="AH67" i="18" s="1"/>
  <c r="AJ67" i="18" s="1"/>
  <c r="AI64" i="18"/>
  <c r="AG64" i="18"/>
  <c r="AF64" i="18"/>
  <c r="AC64" i="18"/>
  <c r="AB64" i="18"/>
  <c r="AA64" i="18"/>
  <c r="Z64" i="18"/>
  <c r="Y64" i="18"/>
  <c r="X64" i="18"/>
  <c r="W64" i="18"/>
  <c r="V64" i="18"/>
  <c r="T64" i="18"/>
  <c r="S64" i="18"/>
  <c r="R64" i="18"/>
  <c r="Q64" i="18"/>
  <c r="P64" i="18"/>
  <c r="O64" i="18"/>
  <c r="N64" i="18"/>
  <c r="M64" i="18"/>
  <c r="K64" i="18"/>
  <c r="J64" i="18"/>
  <c r="I64" i="18"/>
  <c r="H64" i="18"/>
  <c r="G64" i="18"/>
  <c r="F64" i="18"/>
  <c r="E64" i="18"/>
  <c r="AE63" i="18"/>
  <c r="AH63" i="18" s="1"/>
  <c r="AJ63" i="18" s="1"/>
  <c r="AE62" i="18"/>
  <c r="AH62" i="18" s="1"/>
  <c r="AJ62" i="18" s="1"/>
  <c r="AE61" i="18"/>
  <c r="AH61" i="18" s="1"/>
  <c r="AJ61" i="18" s="1"/>
  <c r="AE60" i="18"/>
  <c r="AH60" i="18" s="1"/>
  <c r="AJ60" i="18" s="1"/>
  <c r="AE59" i="18"/>
  <c r="AH59" i="18" s="1"/>
  <c r="AJ59" i="18" s="1"/>
  <c r="AE58" i="18"/>
  <c r="AH58" i="18" s="1"/>
  <c r="AJ58" i="18" s="1"/>
  <c r="AE57" i="18"/>
  <c r="AH57" i="18" s="1"/>
  <c r="AJ57" i="18" s="1"/>
  <c r="AE56" i="18"/>
  <c r="AH56" i="18" s="1"/>
  <c r="AJ56" i="18" s="1"/>
  <c r="AE55" i="18"/>
  <c r="AH55" i="18" s="1"/>
  <c r="AJ55" i="18" s="1"/>
  <c r="AE54" i="18"/>
  <c r="AH54" i="18" s="1"/>
  <c r="AJ54" i="18" s="1"/>
  <c r="AE53" i="18"/>
  <c r="AH53" i="18" s="1"/>
  <c r="AJ53" i="18" s="1"/>
  <c r="AE52" i="18"/>
  <c r="AH52" i="18" s="1"/>
  <c r="AJ52" i="18" s="1"/>
  <c r="AE51" i="18"/>
  <c r="AH51" i="18" s="1"/>
  <c r="AJ51" i="18" s="1"/>
  <c r="AE50" i="18"/>
  <c r="AH50" i="18" s="1"/>
  <c r="AJ50" i="18" s="1"/>
  <c r="AE49" i="18"/>
  <c r="AH49" i="18" s="1"/>
  <c r="AJ49" i="18" s="1"/>
  <c r="AE48" i="18"/>
  <c r="AH48" i="18" s="1"/>
  <c r="AJ48" i="18" s="1"/>
  <c r="AE47" i="18"/>
  <c r="AH47" i="18" s="1"/>
  <c r="AJ47" i="18" s="1"/>
  <c r="AE46" i="18"/>
  <c r="AH46" i="18" s="1"/>
  <c r="AJ46" i="18" s="1"/>
  <c r="AE45" i="18"/>
  <c r="AH45" i="18" s="1"/>
  <c r="AJ45" i="18" s="1"/>
  <c r="AE44" i="18"/>
  <c r="AH44" i="18" s="1"/>
  <c r="AJ44" i="18" s="1"/>
  <c r="AE43" i="18"/>
  <c r="AH43" i="18" s="1"/>
  <c r="AJ43" i="18" s="1"/>
  <c r="AE42" i="18"/>
  <c r="AI39" i="18"/>
  <c r="AG39" i="18"/>
  <c r="AF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F39" i="18"/>
  <c r="E39" i="18"/>
  <c r="AE38" i="18"/>
  <c r="AH38" i="18" s="1"/>
  <c r="AJ38" i="18" s="1"/>
  <c r="AE37" i="18"/>
  <c r="AH37" i="18" s="1"/>
  <c r="AJ37" i="18" s="1"/>
  <c r="AE36" i="18"/>
  <c r="AH36" i="18" s="1"/>
  <c r="AJ36" i="18" s="1"/>
  <c r="AE35" i="18"/>
  <c r="AH35" i="18" s="1"/>
  <c r="AJ35" i="18" s="1"/>
  <c r="AE34" i="18"/>
  <c r="AH34" i="18" s="1"/>
  <c r="AJ34" i="18" s="1"/>
  <c r="AE33" i="18"/>
  <c r="AH33" i="18" s="1"/>
  <c r="AJ33" i="18" s="1"/>
  <c r="AE32" i="18"/>
  <c r="AH32" i="18" s="1"/>
  <c r="AJ32" i="18" s="1"/>
  <c r="AE31" i="18"/>
  <c r="AH31" i="18" s="1"/>
  <c r="AJ31" i="18" s="1"/>
  <c r="AE30" i="18"/>
  <c r="AH30" i="18" s="1"/>
  <c r="AJ30" i="18" s="1"/>
  <c r="AE29" i="18"/>
  <c r="AH29" i="18" s="1"/>
  <c r="AJ29" i="18" s="1"/>
  <c r="AE28" i="18"/>
  <c r="AH28" i="18" s="1"/>
  <c r="AJ28" i="18" s="1"/>
  <c r="AE27" i="18"/>
  <c r="AH27" i="18" s="1"/>
  <c r="AJ27" i="18" s="1"/>
  <c r="AE26" i="18"/>
  <c r="AH26" i="18" s="1"/>
  <c r="AJ26" i="18" s="1"/>
  <c r="AE25" i="18"/>
  <c r="AH25" i="18" s="1"/>
  <c r="AJ25" i="18" s="1"/>
  <c r="AE24" i="18"/>
  <c r="AH24" i="18" s="1"/>
  <c r="AJ24" i="18" s="1"/>
  <c r="AE23" i="18"/>
  <c r="AH23" i="18" s="1"/>
  <c r="AJ23" i="18" s="1"/>
  <c r="AE22" i="18"/>
  <c r="AH22" i="18" s="1"/>
  <c r="AJ22" i="18" s="1"/>
  <c r="AE21" i="18"/>
  <c r="AH21" i="18" s="1"/>
  <c r="AJ21" i="18" s="1"/>
  <c r="AE20" i="18"/>
  <c r="AH20" i="18" s="1"/>
  <c r="AJ20" i="18" s="1"/>
  <c r="AE19" i="18"/>
  <c r="AH19" i="18" s="1"/>
  <c r="AJ19" i="18" s="1"/>
  <c r="AE18" i="18"/>
  <c r="AH18" i="18" s="1"/>
  <c r="AJ18" i="18" s="1"/>
  <c r="AE17" i="18"/>
  <c r="AH17" i="18" s="1"/>
  <c r="AJ17" i="18" s="1"/>
  <c r="AE16" i="18"/>
  <c r="AH16" i="18" s="1"/>
  <c r="AJ16" i="18" s="1"/>
  <c r="AE15" i="18"/>
  <c r="AE14" i="18"/>
  <c r="AH14" i="18" s="1"/>
  <c r="AJ14" i="18" s="1"/>
  <c r="AE13" i="18"/>
  <c r="AH13" i="18" s="1"/>
  <c r="AJ13" i="18" s="1"/>
  <c r="AE12" i="18"/>
  <c r="AH12" i="18" s="1"/>
  <c r="AJ12" i="18" s="1"/>
  <c r="AE11" i="18"/>
  <c r="AH11" i="18" s="1"/>
  <c r="AJ11" i="18" s="1"/>
  <c r="AE10" i="18"/>
  <c r="AH10" i="18" s="1"/>
  <c r="AJ10" i="18" s="1"/>
  <c r="AE9" i="18"/>
  <c r="AH9" i="18" s="1"/>
  <c r="AJ9" i="18" s="1"/>
  <c r="AE8" i="18"/>
  <c r="AH8" i="18" s="1"/>
  <c r="AJ8" i="18" s="1"/>
  <c r="AE7" i="18"/>
  <c r="AH7" i="18" s="1"/>
  <c r="AJ7" i="18" s="1"/>
  <c r="AE6" i="18"/>
  <c r="AH6" i="18" s="1"/>
  <c r="AJ6" i="18" s="1"/>
  <c r="AE5" i="18"/>
  <c r="AH5" i="18" s="1"/>
  <c r="AJ5" i="18" s="1"/>
  <c r="AH4" i="18"/>
  <c r="AJ4" i="18" s="1"/>
  <c r="A4" i="18"/>
  <c r="AI246" i="13"/>
  <c r="AF246" i="13"/>
  <c r="AC246" i="13"/>
  <c r="AB246" i="13"/>
  <c r="AA246" i="13"/>
  <c r="Z246" i="13"/>
  <c r="Y246" i="13"/>
  <c r="X246" i="13"/>
  <c r="W246" i="13"/>
  <c r="V246" i="13"/>
  <c r="T246" i="13"/>
  <c r="S246" i="13"/>
  <c r="R246" i="13"/>
  <c r="Q246" i="13"/>
  <c r="P246" i="13"/>
  <c r="O246" i="13"/>
  <c r="N246" i="13"/>
  <c r="M246" i="13"/>
  <c r="K246" i="13"/>
  <c r="J246" i="13"/>
  <c r="I246" i="13"/>
  <c r="H246" i="13"/>
  <c r="G246" i="13"/>
  <c r="F246" i="13"/>
  <c r="E246" i="13"/>
  <c r="AE245" i="13"/>
  <c r="AH245" i="13" s="1"/>
  <c r="AJ245" i="13" s="1"/>
  <c r="AE244" i="13"/>
  <c r="AI240" i="13"/>
  <c r="AI241" i="13" s="1"/>
  <c r="AG240" i="13"/>
  <c r="AG241" i="13" s="1"/>
  <c r="AF240" i="13"/>
  <c r="M175" i="19" s="1"/>
  <c r="AC240" i="13"/>
  <c r="AC241" i="13" s="1"/>
  <c r="AB240" i="13"/>
  <c r="AB241" i="13" s="1"/>
  <c r="AA240" i="13"/>
  <c r="AA241" i="13" s="1"/>
  <c r="Z240" i="13"/>
  <c r="Z241" i="13" s="1"/>
  <c r="Y240" i="13"/>
  <c r="Y241" i="13" s="1"/>
  <c r="X240" i="13"/>
  <c r="X241" i="13" s="1"/>
  <c r="W240" i="13"/>
  <c r="W241" i="13" s="1"/>
  <c r="V240" i="13"/>
  <c r="V241" i="13" s="1"/>
  <c r="T240" i="13"/>
  <c r="T241" i="13" s="1"/>
  <c r="S240" i="13"/>
  <c r="S241" i="13" s="1"/>
  <c r="R240" i="13"/>
  <c r="Q240" i="13"/>
  <c r="Q241" i="13" s="1"/>
  <c r="P240" i="13"/>
  <c r="O240" i="13"/>
  <c r="O241" i="13" s="1"/>
  <c r="N240" i="13"/>
  <c r="N241" i="13" s="1"/>
  <c r="M240" i="13"/>
  <c r="M241" i="13" s="1"/>
  <c r="K240" i="13"/>
  <c r="K241" i="13" s="1"/>
  <c r="J240" i="13"/>
  <c r="J241" i="13" s="1"/>
  <c r="I240" i="13"/>
  <c r="I241" i="13" s="1"/>
  <c r="H240" i="13"/>
  <c r="H241" i="13" s="1"/>
  <c r="G240" i="13"/>
  <c r="G241" i="13" s="1"/>
  <c r="F240" i="13"/>
  <c r="F241" i="13" s="1"/>
  <c r="E240" i="13"/>
  <c r="E241" i="13" s="1"/>
  <c r="AE239" i="13"/>
  <c r="AH239" i="13" s="1"/>
  <c r="AJ239" i="13" s="1"/>
  <c r="AE238" i="13"/>
  <c r="AH238" i="13" s="1"/>
  <c r="AJ238" i="13" s="1"/>
  <c r="AE237" i="13"/>
  <c r="AH237" i="13" s="1"/>
  <c r="AJ237" i="13" s="1"/>
  <c r="AE236" i="13"/>
  <c r="AH236" i="13" s="1"/>
  <c r="AJ236" i="13" s="1"/>
  <c r="AE235" i="13"/>
  <c r="AH235" i="13" s="1"/>
  <c r="AJ235" i="13" s="1"/>
  <c r="AE234" i="13"/>
  <c r="AH234" i="13" s="1"/>
  <c r="AJ234" i="13" s="1"/>
  <c r="AE233" i="13"/>
  <c r="AH233" i="13" s="1"/>
  <c r="AJ233" i="13" s="1"/>
  <c r="AE232" i="13"/>
  <c r="AH232" i="13" s="1"/>
  <c r="CO171" i="6" s="1"/>
  <c r="CQ171" i="6" s="1"/>
  <c r="AE231" i="13"/>
  <c r="AH231" i="13" s="1"/>
  <c r="AJ231" i="13" s="1"/>
  <c r="AE230" i="13"/>
  <c r="AH230" i="13" s="1"/>
  <c r="AJ230" i="13" s="1"/>
  <c r="AE229" i="13"/>
  <c r="AH229" i="13" s="1"/>
  <c r="AJ229" i="13" s="1"/>
  <c r="AE228" i="13"/>
  <c r="AH228" i="13" s="1"/>
  <c r="AJ228" i="13" s="1"/>
  <c r="AE227" i="13"/>
  <c r="AH227" i="13" s="1"/>
  <c r="AJ227" i="13" s="1"/>
  <c r="AE226" i="13"/>
  <c r="AH226" i="13" s="1"/>
  <c r="AJ226" i="13" s="1"/>
  <c r="AE225" i="13"/>
  <c r="AH225" i="13" s="1"/>
  <c r="AJ225" i="13" s="1"/>
  <c r="AE224" i="13"/>
  <c r="AH224" i="13" s="1"/>
  <c r="AJ224" i="13" s="1"/>
  <c r="AE223" i="13"/>
  <c r="AH223" i="13" s="1"/>
  <c r="AJ223" i="13" s="1"/>
  <c r="AE222" i="13"/>
  <c r="AH222" i="13" s="1"/>
  <c r="AJ222" i="13" s="1"/>
  <c r="AE221" i="13"/>
  <c r="AH221" i="13" s="1"/>
  <c r="AJ221" i="13" s="1"/>
  <c r="AE220" i="13"/>
  <c r="AH220" i="13" s="1"/>
  <c r="AJ220" i="13" s="1"/>
  <c r="AE219" i="13"/>
  <c r="AH219" i="13" s="1"/>
  <c r="AJ219" i="13" s="1"/>
  <c r="AE218" i="13"/>
  <c r="AH218" i="13" s="1"/>
  <c r="AJ218" i="13" s="1"/>
  <c r="AE217" i="13"/>
  <c r="AH217" i="13" s="1"/>
  <c r="AJ217" i="13" s="1"/>
  <c r="AE216" i="13"/>
  <c r="AH216" i="13" s="1"/>
  <c r="AJ216" i="13" s="1"/>
  <c r="AE215" i="13"/>
  <c r="AH215" i="13" s="1"/>
  <c r="AJ215" i="13" s="1"/>
  <c r="AE214" i="13"/>
  <c r="AH214" i="13" s="1"/>
  <c r="AJ214" i="13" s="1"/>
  <c r="AE213" i="13"/>
  <c r="AH213" i="13" s="1"/>
  <c r="AJ213" i="13" s="1"/>
  <c r="AE212" i="13"/>
  <c r="AH212" i="13" s="1"/>
  <c r="AJ212" i="13" s="1"/>
  <c r="AE211" i="13"/>
  <c r="AH211" i="13" s="1"/>
  <c r="AJ211" i="13" s="1"/>
  <c r="AE210" i="13"/>
  <c r="AH210" i="13" s="1"/>
  <c r="AJ210" i="13" s="1"/>
  <c r="AE209" i="13"/>
  <c r="AH209" i="13" s="1"/>
  <c r="AJ209" i="13" s="1"/>
  <c r="AE208" i="13"/>
  <c r="AH208" i="13" s="1"/>
  <c r="AJ208" i="13" s="1"/>
  <c r="AE207" i="13"/>
  <c r="AH207" i="13" s="1"/>
  <c r="AJ207" i="13" s="1"/>
  <c r="AE206" i="13"/>
  <c r="AH206" i="13" s="1"/>
  <c r="AJ206" i="13" s="1"/>
  <c r="AE205" i="13"/>
  <c r="AH205" i="13" s="1"/>
  <c r="AJ205" i="13" s="1"/>
  <c r="AE204" i="13"/>
  <c r="AH204" i="13" s="1"/>
  <c r="AJ204" i="13" s="1"/>
  <c r="AE203" i="13"/>
  <c r="AH203" i="13" s="1"/>
  <c r="AJ203" i="13" s="1"/>
  <c r="AE202" i="13"/>
  <c r="AH202" i="13" s="1"/>
  <c r="AJ202" i="13" s="1"/>
  <c r="AE201" i="13"/>
  <c r="AH201" i="13" s="1"/>
  <c r="AJ201" i="13" s="1"/>
  <c r="AE200" i="13"/>
  <c r="AH200" i="13" s="1"/>
  <c r="AJ200" i="13" s="1"/>
  <c r="AE199" i="13"/>
  <c r="AH199" i="13" s="1"/>
  <c r="AJ199" i="13" s="1"/>
  <c r="AE198" i="13"/>
  <c r="AH198" i="13" s="1"/>
  <c r="AJ198" i="13" s="1"/>
  <c r="AE197" i="13"/>
  <c r="AH197" i="13" s="1"/>
  <c r="AE196" i="13"/>
  <c r="AH196" i="13" s="1"/>
  <c r="AJ196" i="13" s="1"/>
  <c r="AE195" i="13"/>
  <c r="AH195" i="13" s="1"/>
  <c r="AJ195" i="13" s="1"/>
  <c r="AE194" i="13"/>
  <c r="AH194" i="13" s="1"/>
  <c r="AJ194" i="13" s="1"/>
  <c r="AE193" i="13"/>
  <c r="AH193" i="13" s="1"/>
  <c r="AJ193" i="13" s="1"/>
  <c r="AE192" i="13"/>
  <c r="AH192" i="13" s="1"/>
  <c r="AJ192" i="13" s="1"/>
  <c r="AE191" i="13"/>
  <c r="AH191" i="13" s="1"/>
  <c r="AJ191" i="13" s="1"/>
  <c r="AE190" i="13"/>
  <c r="AH190" i="13" s="1"/>
  <c r="AJ190" i="13" s="1"/>
  <c r="AE189" i="13"/>
  <c r="AH189" i="13" s="1"/>
  <c r="AJ189" i="13" s="1"/>
  <c r="AE188" i="13"/>
  <c r="AH188" i="13" s="1"/>
  <c r="AJ188" i="13" s="1"/>
  <c r="AE187" i="13"/>
  <c r="AH187" i="13" s="1"/>
  <c r="AJ187" i="13" s="1"/>
  <c r="AE186" i="13"/>
  <c r="AH186" i="13" s="1"/>
  <c r="AJ186" i="13" s="1"/>
  <c r="AE185" i="13"/>
  <c r="AH185" i="13" s="1"/>
  <c r="AJ185" i="13" s="1"/>
  <c r="AE184" i="13"/>
  <c r="AH184" i="13" s="1"/>
  <c r="AJ184" i="13" s="1"/>
  <c r="AE183" i="13"/>
  <c r="AH183" i="13" s="1"/>
  <c r="AJ183" i="13" s="1"/>
  <c r="AE182" i="13"/>
  <c r="AH182" i="13" s="1"/>
  <c r="AJ182" i="13" s="1"/>
  <c r="AE181" i="13"/>
  <c r="AH181" i="13" s="1"/>
  <c r="AJ181" i="13" s="1"/>
  <c r="AE180" i="13"/>
  <c r="AH180" i="13" s="1"/>
  <c r="AJ180" i="13" s="1"/>
  <c r="AE178" i="13"/>
  <c r="AH178" i="13" s="1"/>
  <c r="AJ178" i="13" s="1"/>
  <c r="AE177" i="13"/>
  <c r="AH177" i="13" s="1"/>
  <c r="AJ177" i="13" s="1"/>
  <c r="AE176" i="13"/>
  <c r="AH176" i="13" s="1"/>
  <c r="AJ176" i="13" s="1"/>
  <c r="AE175" i="13"/>
  <c r="AH175" i="13" s="1"/>
  <c r="AJ175" i="13" s="1"/>
  <c r="AE174" i="13"/>
  <c r="AH174" i="13" s="1"/>
  <c r="AJ174" i="13" s="1"/>
  <c r="AE173" i="13"/>
  <c r="AH173" i="13" s="1"/>
  <c r="AJ173" i="13" s="1"/>
  <c r="AE172" i="13"/>
  <c r="AH172" i="13" s="1"/>
  <c r="AI165" i="13"/>
  <c r="AF165" i="13"/>
  <c r="AC165" i="13"/>
  <c r="AB165" i="13"/>
  <c r="AA165" i="13"/>
  <c r="Z165" i="13"/>
  <c r="Y165" i="13"/>
  <c r="X165" i="13"/>
  <c r="W165" i="13"/>
  <c r="V165" i="13"/>
  <c r="T165" i="13"/>
  <c r="S165" i="13"/>
  <c r="R165" i="13"/>
  <c r="Q165" i="13"/>
  <c r="P165" i="13"/>
  <c r="O165" i="13"/>
  <c r="N165" i="13"/>
  <c r="M165" i="13"/>
  <c r="K165" i="13"/>
  <c r="J165" i="13"/>
  <c r="I165" i="13"/>
  <c r="H165" i="13"/>
  <c r="G165" i="13"/>
  <c r="F165" i="13"/>
  <c r="E165" i="13"/>
  <c r="AE164" i="13"/>
  <c r="AH164" i="13" s="1"/>
  <c r="AJ164" i="13" s="1"/>
  <c r="AE163" i="13"/>
  <c r="AH163" i="13" s="1"/>
  <c r="AJ163" i="13" s="1"/>
  <c r="AE162" i="13"/>
  <c r="AH162" i="13" s="1"/>
  <c r="AJ162" i="13" s="1"/>
  <c r="AE161" i="13"/>
  <c r="AH161" i="13" s="1"/>
  <c r="AJ161" i="13" s="1"/>
  <c r="AE160" i="13"/>
  <c r="AH160" i="13" s="1"/>
  <c r="AI157" i="13"/>
  <c r="AF157" i="13"/>
  <c r="AC157" i="13"/>
  <c r="AB157" i="13"/>
  <c r="AA157" i="13"/>
  <c r="Z157" i="13"/>
  <c r="Y157" i="13"/>
  <c r="X157" i="13"/>
  <c r="W157" i="13"/>
  <c r="V157" i="13"/>
  <c r="T157" i="13"/>
  <c r="S157" i="13"/>
  <c r="R157" i="13"/>
  <c r="Q157" i="13"/>
  <c r="P157" i="13"/>
  <c r="O157" i="13"/>
  <c r="N157" i="13"/>
  <c r="M157" i="13"/>
  <c r="K157" i="13"/>
  <c r="J157" i="13"/>
  <c r="I157" i="13"/>
  <c r="H157" i="13"/>
  <c r="G157" i="13"/>
  <c r="F157" i="13"/>
  <c r="E157" i="13"/>
  <c r="AE156" i="13"/>
  <c r="AH156" i="13" s="1"/>
  <c r="AJ156" i="13" s="1"/>
  <c r="AE155" i="13"/>
  <c r="AH155" i="13" s="1"/>
  <c r="AJ155" i="13" s="1"/>
  <c r="AE154" i="13"/>
  <c r="AH154" i="13" s="1"/>
  <c r="AJ154" i="13" s="1"/>
  <c r="AE153" i="13"/>
  <c r="AH153" i="13" s="1"/>
  <c r="AJ153" i="13" s="1"/>
  <c r="AE152" i="13"/>
  <c r="AH152" i="13" s="1"/>
  <c r="AJ152" i="13" s="1"/>
  <c r="AE151" i="13"/>
  <c r="AI148" i="13"/>
  <c r="AF148" i="13"/>
  <c r="AC148" i="13"/>
  <c r="AB148" i="13"/>
  <c r="AA148" i="13"/>
  <c r="Z148" i="13"/>
  <c r="Y148" i="13"/>
  <c r="X148" i="13"/>
  <c r="W148" i="13"/>
  <c r="V148" i="13"/>
  <c r="T148" i="13"/>
  <c r="S148" i="13"/>
  <c r="R148" i="13"/>
  <c r="Q148" i="13"/>
  <c r="P148" i="13"/>
  <c r="O148" i="13"/>
  <c r="N148" i="13"/>
  <c r="M148" i="13"/>
  <c r="K148" i="13"/>
  <c r="J148" i="13"/>
  <c r="I148" i="13"/>
  <c r="H148" i="13"/>
  <c r="G148" i="13"/>
  <c r="F148" i="13"/>
  <c r="E148" i="13"/>
  <c r="AE147" i="13"/>
  <c r="AH147" i="13" s="1"/>
  <c r="AJ147" i="13" s="1"/>
  <c r="AE146" i="13"/>
  <c r="AH146" i="13" s="1"/>
  <c r="AJ146" i="13" s="1"/>
  <c r="AE145" i="13"/>
  <c r="AH145" i="13" s="1"/>
  <c r="AE144" i="13"/>
  <c r="AI141" i="13"/>
  <c r="AG141" i="13"/>
  <c r="AF141" i="13"/>
  <c r="C227" i="19" s="1"/>
  <c r="AC141" i="13"/>
  <c r="AB141" i="13"/>
  <c r="AA141" i="13"/>
  <c r="Z141" i="13"/>
  <c r="Y141" i="13"/>
  <c r="X141" i="13"/>
  <c r="W141" i="13"/>
  <c r="V141" i="13"/>
  <c r="T141" i="13"/>
  <c r="S141" i="13"/>
  <c r="R141" i="13"/>
  <c r="Q141" i="13"/>
  <c r="P141" i="13"/>
  <c r="O141" i="13"/>
  <c r="N141" i="13"/>
  <c r="M141" i="13"/>
  <c r="K141" i="13"/>
  <c r="J141" i="13"/>
  <c r="I141" i="13"/>
  <c r="H141" i="13"/>
  <c r="G141" i="13"/>
  <c r="F141" i="13"/>
  <c r="E141" i="13"/>
  <c r="AE140" i="13"/>
  <c r="AH140" i="13" s="1"/>
  <c r="AJ140" i="13" s="1"/>
  <c r="AE139" i="13"/>
  <c r="AH139" i="13" s="1"/>
  <c r="AJ139" i="13" s="1"/>
  <c r="AE138" i="13"/>
  <c r="AH138" i="13" s="1"/>
  <c r="AJ138" i="13" s="1"/>
  <c r="AE137" i="13"/>
  <c r="AH137" i="13" s="1"/>
  <c r="AJ137" i="13" s="1"/>
  <c r="AE136" i="13"/>
  <c r="AH136" i="13" s="1"/>
  <c r="AJ136" i="13" s="1"/>
  <c r="AI113" i="13"/>
  <c r="AG113" i="13"/>
  <c r="AF113" i="13"/>
  <c r="AC113" i="13"/>
  <c r="AB113" i="13"/>
  <c r="AA113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AE112" i="13"/>
  <c r="AH112" i="13" s="1"/>
  <c r="AJ112" i="13" s="1"/>
  <c r="AE111" i="13"/>
  <c r="AH111" i="13" s="1"/>
  <c r="AJ111" i="13" s="1"/>
  <c r="AE110" i="13"/>
  <c r="AH110" i="13" s="1"/>
  <c r="AJ110" i="13" s="1"/>
  <c r="AE109" i="13"/>
  <c r="AH109" i="13" s="1"/>
  <c r="AJ109" i="13" s="1"/>
  <c r="AE108" i="13"/>
  <c r="AH108" i="13" s="1"/>
  <c r="AJ108" i="13" s="1"/>
  <c r="AE107" i="13"/>
  <c r="AH107" i="13" s="1"/>
  <c r="AJ107" i="13" s="1"/>
  <c r="AE106" i="13"/>
  <c r="AH106" i="13" s="1"/>
  <c r="AJ106" i="13" s="1"/>
  <c r="AE105" i="13"/>
  <c r="AH105" i="13" s="1"/>
  <c r="AJ105" i="13" s="1"/>
  <c r="AE104" i="13"/>
  <c r="AH104" i="13" s="1"/>
  <c r="AJ104" i="13" s="1"/>
  <c r="AE103" i="13"/>
  <c r="AH103" i="13" s="1"/>
  <c r="AJ103" i="13" s="1"/>
  <c r="AE102" i="13"/>
  <c r="AH102" i="13" s="1"/>
  <c r="AJ102" i="13" s="1"/>
  <c r="AE101" i="13"/>
  <c r="AH101" i="13" s="1"/>
  <c r="AJ101" i="13" s="1"/>
  <c r="AE100" i="13"/>
  <c r="AH100" i="13" s="1"/>
  <c r="AJ100" i="13" s="1"/>
  <c r="AE99" i="13"/>
  <c r="AH99" i="13" s="1"/>
  <c r="AJ99" i="13" s="1"/>
  <c r="AE98" i="13"/>
  <c r="AH98" i="13" s="1"/>
  <c r="AJ98" i="13" s="1"/>
  <c r="AE97" i="13"/>
  <c r="AH97" i="13" s="1"/>
  <c r="AJ97" i="13" s="1"/>
  <c r="AE96" i="13"/>
  <c r="AH96" i="13" s="1"/>
  <c r="AJ96" i="13" s="1"/>
  <c r="AI93" i="13"/>
  <c r="AG93" i="13"/>
  <c r="AF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K93" i="13"/>
  <c r="J93" i="13"/>
  <c r="I93" i="13"/>
  <c r="H93" i="13"/>
  <c r="G93" i="13"/>
  <c r="F93" i="13"/>
  <c r="E93" i="13"/>
  <c r="AE92" i="13"/>
  <c r="AH92" i="13" s="1"/>
  <c r="AJ92" i="13" s="1"/>
  <c r="AE91" i="13"/>
  <c r="AH91" i="13" s="1"/>
  <c r="AJ91" i="13" s="1"/>
  <c r="AE90" i="13"/>
  <c r="AH90" i="13" s="1"/>
  <c r="AJ90" i="13" s="1"/>
  <c r="AE89" i="13"/>
  <c r="AH89" i="13" s="1"/>
  <c r="AJ89" i="13" s="1"/>
  <c r="AE88" i="13"/>
  <c r="AH88" i="13" s="1"/>
  <c r="AJ88" i="13" s="1"/>
  <c r="AE87" i="13"/>
  <c r="AH87" i="13" s="1"/>
  <c r="AJ87" i="13" s="1"/>
  <c r="AE86" i="13"/>
  <c r="AH86" i="13" s="1"/>
  <c r="AJ86" i="13" s="1"/>
  <c r="AE85" i="13"/>
  <c r="AH85" i="13" s="1"/>
  <c r="AJ85" i="13" s="1"/>
  <c r="AE84" i="13"/>
  <c r="AH84" i="13" s="1"/>
  <c r="AJ84" i="13" s="1"/>
  <c r="AE83" i="13"/>
  <c r="AH83" i="13" s="1"/>
  <c r="AJ83" i="13" s="1"/>
  <c r="AE82" i="13"/>
  <c r="AH82" i="13" s="1"/>
  <c r="AJ82" i="13" s="1"/>
  <c r="AE81" i="13"/>
  <c r="AH81" i="13" s="1"/>
  <c r="AJ81" i="13" s="1"/>
  <c r="AE80" i="13"/>
  <c r="AH80" i="13" s="1"/>
  <c r="AJ80" i="13" s="1"/>
  <c r="AE79" i="13"/>
  <c r="AH79" i="13" s="1"/>
  <c r="AJ79" i="13" s="1"/>
  <c r="AE78" i="13"/>
  <c r="AH78" i="13" s="1"/>
  <c r="AJ78" i="13" s="1"/>
  <c r="AE77" i="13"/>
  <c r="AH77" i="13" s="1"/>
  <c r="AJ77" i="13" s="1"/>
  <c r="AE76" i="13"/>
  <c r="AH76" i="13" s="1"/>
  <c r="AJ76" i="13" s="1"/>
  <c r="AE75" i="13"/>
  <c r="AH75" i="13" s="1"/>
  <c r="AJ75" i="13" s="1"/>
  <c r="AE74" i="13"/>
  <c r="AI72" i="13"/>
  <c r="AG72" i="13"/>
  <c r="AF72" i="13"/>
  <c r="AC72" i="13"/>
  <c r="AB72" i="13"/>
  <c r="AA72" i="13"/>
  <c r="Z72" i="13"/>
  <c r="Y72" i="13"/>
  <c r="X72" i="13"/>
  <c r="W72" i="13"/>
  <c r="V72" i="13"/>
  <c r="T72" i="13"/>
  <c r="S72" i="13"/>
  <c r="R72" i="13"/>
  <c r="Q72" i="13"/>
  <c r="P72" i="13"/>
  <c r="O72" i="13"/>
  <c r="N72" i="13"/>
  <c r="M72" i="13"/>
  <c r="K72" i="13"/>
  <c r="J72" i="13"/>
  <c r="I72" i="13"/>
  <c r="H72" i="13"/>
  <c r="G72" i="13"/>
  <c r="F72" i="13"/>
  <c r="E72" i="13"/>
  <c r="AE71" i="13"/>
  <c r="AH71" i="13" s="1"/>
  <c r="AJ71" i="13" s="1"/>
  <c r="AE70" i="13"/>
  <c r="AH70" i="13" s="1"/>
  <c r="AJ70" i="13" s="1"/>
  <c r="AE69" i="13"/>
  <c r="AH69" i="13" s="1"/>
  <c r="AJ69" i="13" s="1"/>
  <c r="AE68" i="13"/>
  <c r="AH68" i="13" s="1"/>
  <c r="AJ68" i="13" s="1"/>
  <c r="AE67" i="13"/>
  <c r="AH67" i="13" s="1"/>
  <c r="AJ67" i="13" s="1"/>
  <c r="AE66" i="13"/>
  <c r="AH66" i="13" s="1"/>
  <c r="AJ66" i="13" s="1"/>
  <c r="AE65" i="13"/>
  <c r="AH65" i="13" s="1"/>
  <c r="AJ65" i="13" s="1"/>
  <c r="AE64" i="13"/>
  <c r="AH64" i="13" s="1"/>
  <c r="AJ64" i="13" s="1"/>
  <c r="AE63" i="13"/>
  <c r="AH63" i="13" s="1"/>
  <c r="AJ63" i="13" s="1"/>
  <c r="AE62" i="13"/>
  <c r="AH62" i="13" s="1"/>
  <c r="AJ62" i="13" s="1"/>
  <c r="AE61" i="13"/>
  <c r="AH61" i="13" s="1"/>
  <c r="AJ61" i="13" s="1"/>
  <c r="AE60" i="13"/>
  <c r="AH60" i="13" s="1"/>
  <c r="AJ60" i="13" s="1"/>
  <c r="AE59" i="13"/>
  <c r="AH59" i="13" s="1"/>
  <c r="AJ59" i="13" s="1"/>
  <c r="AE58" i="13"/>
  <c r="AH58" i="13" s="1"/>
  <c r="AJ58" i="13" s="1"/>
  <c r="AE57" i="13"/>
  <c r="AH57" i="13" s="1"/>
  <c r="AJ57" i="13" s="1"/>
  <c r="AE56" i="13"/>
  <c r="AI53" i="13"/>
  <c r="AG53" i="13"/>
  <c r="AF53" i="13"/>
  <c r="AC53" i="13"/>
  <c r="AB53" i="13"/>
  <c r="AA53" i="13"/>
  <c r="Z53" i="13"/>
  <c r="Y53" i="13"/>
  <c r="X53" i="13"/>
  <c r="W53" i="13"/>
  <c r="V53" i="13"/>
  <c r="T53" i="13"/>
  <c r="S53" i="13"/>
  <c r="R53" i="13"/>
  <c r="Q53" i="13"/>
  <c r="P53" i="13"/>
  <c r="O53" i="13"/>
  <c r="N53" i="13"/>
  <c r="M53" i="13"/>
  <c r="K53" i="13"/>
  <c r="J53" i="13"/>
  <c r="I53" i="13"/>
  <c r="H53" i="13"/>
  <c r="G53" i="13"/>
  <c r="F53" i="13"/>
  <c r="E53" i="13"/>
  <c r="AE52" i="13"/>
  <c r="AH52" i="13" s="1"/>
  <c r="AJ52" i="13" s="1"/>
  <c r="AE51" i="13"/>
  <c r="AH51" i="13" s="1"/>
  <c r="AJ51" i="13" s="1"/>
  <c r="AE50" i="13"/>
  <c r="AH50" i="13" s="1"/>
  <c r="AJ50" i="13" s="1"/>
  <c r="AE49" i="13"/>
  <c r="AH49" i="13" s="1"/>
  <c r="AJ49" i="13" s="1"/>
  <c r="AE48" i="13"/>
  <c r="AH48" i="13" s="1"/>
  <c r="AJ48" i="13" s="1"/>
  <c r="AE47" i="13"/>
  <c r="AH47" i="13" s="1"/>
  <c r="AJ47" i="13" s="1"/>
  <c r="AE46" i="13"/>
  <c r="AH46" i="13" s="1"/>
  <c r="AJ46" i="13" s="1"/>
  <c r="AE45" i="13"/>
  <c r="AH45" i="13" s="1"/>
  <c r="AJ45" i="13" s="1"/>
  <c r="AE44" i="13"/>
  <c r="AH44" i="13" s="1"/>
  <c r="AJ44" i="13" s="1"/>
  <c r="AE43" i="13"/>
  <c r="AH43" i="13" s="1"/>
  <c r="AJ43" i="13" s="1"/>
  <c r="AE42" i="13"/>
  <c r="AH42" i="13" s="1"/>
  <c r="AJ42" i="13" s="1"/>
  <c r="AE41" i="13"/>
  <c r="AI38" i="13"/>
  <c r="AG38" i="13"/>
  <c r="AF38" i="13"/>
  <c r="AD38" i="13"/>
  <c r="AC38" i="13"/>
  <c r="AB38" i="13"/>
  <c r="AA38" i="13"/>
  <c r="Z38" i="13"/>
  <c r="Z167" i="13" s="1"/>
  <c r="Y38" i="13"/>
  <c r="X38" i="13"/>
  <c r="W38" i="13"/>
  <c r="V38" i="13"/>
  <c r="V167" i="13" s="1"/>
  <c r="U38" i="13"/>
  <c r="T38" i="13"/>
  <c r="S38" i="13"/>
  <c r="R38" i="13"/>
  <c r="R167" i="13" s="1"/>
  <c r="Q38" i="13"/>
  <c r="P38" i="13"/>
  <c r="O38" i="13"/>
  <c r="N38" i="13"/>
  <c r="N167" i="13" s="1"/>
  <c r="M38" i="13"/>
  <c r="L38" i="13"/>
  <c r="K38" i="13"/>
  <c r="J38" i="13"/>
  <c r="J167" i="13" s="1"/>
  <c r="I38" i="13"/>
  <c r="H38" i="13"/>
  <c r="G38" i="13"/>
  <c r="F38" i="13"/>
  <c r="F167" i="13" s="1"/>
  <c r="E38" i="13"/>
  <c r="AE37" i="13"/>
  <c r="AH37" i="13" s="1"/>
  <c r="AJ37" i="13" s="1"/>
  <c r="AE36" i="13"/>
  <c r="AH36" i="13" s="1"/>
  <c r="AJ36" i="13" s="1"/>
  <c r="AE35" i="13"/>
  <c r="AH35" i="13" s="1"/>
  <c r="AJ35" i="13" s="1"/>
  <c r="AE34" i="13"/>
  <c r="AH34" i="13" s="1"/>
  <c r="AJ34" i="13" s="1"/>
  <c r="AE33" i="13"/>
  <c r="AH33" i="13" s="1"/>
  <c r="AJ33" i="13" s="1"/>
  <c r="AE32" i="13"/>
  <c r="AH32" i="13" s="1"/>
  <c r="AJ32" i="13" s="1"/>
  <c r="AE31" i="13"/>
  <c r="AH31" i="13" s="1"/>
  <c r="AJ31" i="13" s="1"/>
  <c r="AE30" i="13"/>
  <c r="AH30" i="13" s="1"/>
  <c r="AJ30" i="13" s="1"/>
  <c r="AE29" i="13"/>
  <c r="AH29" i="13" s="1"/>
  <c r="AJ29" i="13" s="1"/>
  <c r="AE28" i="13"/>
  <c r="AH28" i="13" s="1"/>
  <c r="AJ28" i="13" s="1"/>
  <c r="AE27" i="13"/>
  <c r="AH27" i="13" s="1"/>
  <c r="AJ27" i="13" s="1"/>
  <c r="AE26" i="13"/>
  <c r="AH26" i="13" s="1"/>
  <c r="AE25" i="13"/>
  <c r="AH25" i="13" s="1"/>
  <c r="AJ25" i="13" s="1"/>
  <c r="AE24" i="13"/>
  <c r="AH24" i="13" s="1"/>
  <c r="AJ24" i="13" s="1"/>
  <c r="AE23" i="13"/>
  <c r="AH23" i="13" s="1"/>
  <c r="AJ23" i="13" s="1"/>
  <c r="AE22" i="13"/>
  <c r="AH22" i="13" s="1"/>
  <c r="AJ22" i="13" s="1"/>
  <c r="AE21" i="13"/>
  <c r="AH21" i="13" s="1"/>
  <c r="AJ21" i="13" s="1"/>
  <c r="AE20" i="13"/>
  <c r="AH20" i="13" s="1"/>
  <c r="AJ20" i="13" s="1"/>
  <c r="AE19" i="13"/>
  <c r="AH19" i="13" s="1"/>
  <c r="AJ19" i="13" s="1"/>
  <c r="AE18" i="13"/>
  <c r="AH18" i="13" s="1"/>
  <c r="AJ18" i="13" s="1"/>
  <c r="AE17" i="13"/>
  <c r="AH17" i="13" s="1"/>
  <c r="AJ17" i="13" s="1"/>
  <c r="AE16" i="13"/>
  <c r="AH16" i="13" s="1"/>
  <c r="AJ16" i="13" s="1"/>
  <c r="AE15" i="13"/>
  <c r="AH15" i="13" s="1"/>
  <c r="AJ15" i="13" s="1"/>
  <c r="AE14" i="13"/>
  <c r="AH14" i="13" s="1"/>
  <c r="AJ14" i="13" s="1"/>
  <c r="AE13" i="13"/>
  <c r="AH13" i="13" s="1"/>
  <c r="AJ13" i="13" s="1"/>
  <c r="AE12" i="13"/>
  <c r="AH12" i="13" s="1"/>
  <c r="AJ12" i="13" s="1"/>
  <c r="AE11" i="13"/>
  <c r="AH11" i="13" s="1"/>
  <c r="AJ11" i="13" s="1"/>
  <c r="AE10" i="13"/>
  <c r="AH10" i="13" s="1"/>
  <c r="AJ10" i="13" s="1"/>
  <c r="AE9" i="13"/>
  <c r="AH9" i="13" s="1"/>
  <c r="AJ9" i="13" s="1"/>
  <c r="AE8" i="13"/>
  <c r="AH8" i="13" s="1"/>
  <c r="AJ8" i="13" s="1"/>
  <c r="AE7" i="13"/>
  <c r="AH7" i="13" s="1"/>
  <c r="AJ7" i="13" s="1"/>
  <c r="AE6" i="13"/>
  <c r="AH6" i="13" s="1"/>
  <c r="AJ6" i="13" s="1"/>
  <c r="AE5" i="13"/>
  <c r="AH5" i="13" s="1"/>
  <c r="AJ4" i="13"/>
  <c r="A4" i="13"/>
  <c r="Z281" i="27"/>
  <c r="W281" i="27"/>
  <c r="T281" i="27"/>
  <c r="R281" i="27"/>
  <c r="Q281" i="27"/>
  <c r="P281" i="27"/>
  <c r="O281" i="27"/>
  <c r="N281" i="27"/>
  <c r="L281" i="27"/>
  <c r="K281" i="27"/>
  <c r="J281" i="27"/>
  <c r="I281" i="27"/>
  <c r="H281" i="27"/>
  <c r="G281" i="27"/>
  <c r="F281" i="27"/>
  <c r="E281" i="27"/>
  <c r="V280" i="27"/>
  <c r="Y280" i="27" s="1"/>
  <c r="AA280" i="27" s="1"/>
  <c r="V279" i="27"/>
  <c r="Z275" i="27"/>
  <c r="Z276" i="27" s="1"/>
  <c r="X275" i="27"/>
  <c r="X276" i="27" s="1"/>
  <c r="W275" i="27"/>
  <c r="M187" i="19" s="1"/>
  <c r="R275" i="27"/>
  <c r="Q275" i="27"/>
  <c r="Q276" i="27" s="1"/>
  <c r="P275" i="27"/>
  <c r="O275" i="27"/>
  <c r="O276" i="27" s="1"/>
  <c r="N275" i="27"/>
  <c r="L275" i="27"/>
  <c r="K275" i="27"/>
  <c r="K276" i="27" s="1"/>
  <c r="J275" i="27"/>
  <c r="I275" i="27"/>
  <c r="I276" i="27" s="1"/>
  <c r="H275" i="27"/>
  <c r="G275" i="27"/>
  <c r="G276" i="27" s="1"/>
  <c r="F275" i="27"/>
  <c r="E275" i="27"/>
  <c r="V274" i="27"/>
  <c r="Y274" i="27" s="1"/>
  <c r="AA274" i="27" s="1"/>
  <c r="V273" i="27"/>
  <c r="Y273" i="27" s="1"/>
  <c r="AA273" i="27" s="1"/>
  <c r="V272" i="27"/>
  <c r="Y272" i="27" s="1"/>
  <c r="AA272" i="27" s="1"/>
  <c r="V271" i="27"/>
  <c r="Y271" i="27" s="1"/>
  <c r="AA271" i="27" s="1"/>
  <c r="V270" i="27"/>
  <c r="Y270" i="27" s="1"/>
  <c r="AA270" i="27" s="1"/>
  <c r="V269" i="27"/>
  <c r="Y269" i="27" s="1"/>
  <c r="AA269" i="27" s="1"/>
  <c r="V268" i="27"/>
  <c r="Y268" i="27" s="1"/>
  <c r="AA268" i="27" s="1"/>
  <c r="V267" i="27"/>
  <c r="Y267" i="27" s="1"/>
  <c r="AA267" i="27" s="1"/>
  <c r="V266" i="27"/>
  <c r="Y266" i="27" s="1"/>
  <c r="AA266" i="27" s="1"/>
  <c r="V265" i="27"/>
  <c r="Y265" i="27" s="1"/>
  <c r="AA265" i="27" s="1"/>
  <c r="V264" i="27"/>
  <c r="Y264" i="27" s="1"/>
  <c r="AA264" i="27" s="1"/>
  <c r="V263" i="27"/>
  <c r="Y263" i="27" s="1"/>
  <c r="AA263" i="27" s="1"/>
  <c r="V262" i="27"/>
  <c r="Y262" i="27" s="1"/>
  <c r="AA262" i="27" s="1"/>
  <c r="V261" i="27"/>
  <c r="Y261" i="27" s="1"/>
  <c r="AA261" i="27" s="1"/>
  <c r="V260" i="27"/>
  <c r="Y260" i="27" s="1"/>
  <c r="AA260" i="27" s="1"/>
  <c r="V259" i="27"/>
  <c r="Y259" i="27" s="1"/>
  <c r="AA259" i="27" s="1"/>
  <c r="V258" i="27"/>
  <c r="Y258" i="27" s="1"/>
  <c r="AA258" i="27" s="1"/>
  <c r="V257" i="27"/>
  <c r="Y257" i="27" s="1"/>
  <c r="AA257" i="27" s="1"/>
  <c r="V256" i="27"/>
  <c r="Y256" i="27" s="1"/>
  <c r="AA256" i="27" s="1"/>
  <c r="V255" i="27"/>
  <c r="Y255" i="27" s="1"/>
  <c r="AA255" i="27" s="1"/>
  <c r="V254" i="27"/>
  <c r="Y254" i="27" s="1"/>
  <c r="AA254" i="27" s="1"/>
  <c r="V253" i="27"/>
  <c r="Y253" i="27" s="1"/>
  <c r="AA253" i="27" s="1"/>
  <c r="V252" i="27"/>
  <c r="Y252" i="27" s="1"/>
  <c r="AA252" i="27" s="1"/>
  <c r="V251" i="27"/>
  <c r="Y251" i="27" s="1"/>
  <c r="AA251" i="27" s="1"/>
  <c r="V250" i="27"/>
  <c r="Y250" i="27" s="1"/>
  <c r="AA250" i="27" s="1"/>
  <c r="V249" i="27"/>
  <c r="Y249" i="27" s="1"/>
  <c r="AA249" i="27" s="1"/>
  <c r="V248" i="27"/>
  <c r="Y248" i="27" s="1"/>
  <c r="AA248" i="27" s="1"/>
  <c r="V247" i="27"/>
  <c r="Y247" i="27" s="1"/>
  <c r="AA247" i="27" s="1"/>
  <c r="V246" i="27"/>
  <c r="Y246" i="27" s="1"/>
  <c r="AA246" i="27" s="1"/>
  <c r="V245" i="27"/>
  <c r="Y245" i="27" s="1"/>
  <c r="AA245" i="27" s="1"/>
  <c r="V243" i="27"/>
  <c r="Y243" i="27" s="1"/>
  <c r="AA243" i="27" s="1"/>
  <c r="V242" i="27"/>
  <c r="Y242" i="27" s="1"/>
  <c r="AA242" i="27" s="1"/>
  <c r="V241" i="27"/>
  <c r="Y241" i="27" s="1"/>
  <c r="AA241" i="27" s="1"/>
  <c r="V240" i="27"/>
  <c r="Y240" i="27" s="1"/>
  <c r="AA240" i="27" s="1"/>
  <c r="V239" i="27"/>
  <c r="Y239" i="27" s="1"/>
  <c r="AA239" i="27" s="1"/>
  <c r="V238" i="27"/>
  <c r="Y238" i="27" s="1"/>
  <c r="AA238" i="27" s="1"/>
  <c r="V237" i="27"/>
  <c r="Y237" i="27" s="1"/>
  <c r="AA237" i="27" s="1"/>
  <c r="V236" i="27"/>
  <c r="Y236" i="27" s="1"/>
  <c r="AA236" i="27" s="1"/>
  <c r="V235" i="27"/>
  <c r="Y235" i="27" s="1"/>
  <c r="AA235" i="27" s="1"/>
  <c r="V234" i="27"/>
  <c r="Y234" i="27" s="1"/>
  <c r="AA234" i="27" s="1"/>
  <c r="V232" i="27"/>
  <c r="Y232" i="27" s="1"/>
  <c r="AA232" i="27" s="1"/>
  <c r="V231" i="27"/>
  <c r="Y231" i="27" s="1"/>
  <c r="AA231" i="27" s="1"/>
  <c r="V230" i="27"/>
  <c r="Y230" i="27" s="1"/>
  <c r="AA230" i="27" s="1"/>
  <c r="V229" i="27"/>
  <c r="Y229" i="27" s="1"/>
  <c r="AA229" i="27" s="1"/>
  <c r="V228" i="27"/>
  <c r="Y228" i="27" s="1"/>
  <c r="AA228" i="27" s="1"/>
  <c r="V227" i="27"/>
  <c r="Y227" i="27" s="1"/>
  <c r="AA227" i="27" s="1"/>
  <c r="V226" i="27"/>
  <c r="Y226" i="27" s="1"/>
  <c r="AA226" i="27" s="1"/>
  <c r="V225" i="27"/>
  <c r="Y225" i="27" s="1"/>
  <c r="AA225" i="27" s="1"/>
  <c r="V224" i="27"/>
  <c r="Y224" i="27" s="1"/>
  <c r="AA224" i="27" s="1"/>
  <c r="V223" i="27"/>
  <c r="Y223" i="27" s="1"/>
  <c r="AA223" i="27" s="1"/>
  <c r="V222" i="27"/>
  <c r="Y222" i="27" s="1"/>
  <c r="AA222" i="27" s="1"/>
  <c r="V221" i="27"/>
  <c r="Y221" i="27" s="1"/>
  <c r="AA221" i="27" s="1"/>
  <c r="V220" i="27"/>
  <c r="Y220" i="27" s="1"/>
  <c r="AA220" i="27" s="1"/>
  <c r="V219" i="27"/>
  <c r="Y219" i="27" s="1"/>
  <c r="AA219" i="27" s="1"/>
  <c r="V218" i="27"/>
  <c r="Y218" i="27" s="1"/>
  <c r="AA218" i="27" s="1"/>
  <c r="V217" i="27"/>
  <c r="Y217" i="27" s="1"/>
  <c r="AA217" i="27" s="1"/>
  <c r="V216" i="27"/>
  <c r="Y216" i="27" s="1"/>
  <c r="AA216" i="27" s="1"/>
  <c r="V215" i="27"/>
  <c r="Y215" i="27" s="1"/>
  <c r="AA215" i="27" s="1"/>
  <c r="V213" i="27"/>
  <c r="Y213" i="27" s="1"/>
  <c r="AA213" i="27" s="1"/>
  <c r="V212" i="27"/>
  <c r="Y212" i="27" s="1"/>
  <c r="AA212" i="27" s="1"/>
  <c r="V209" i="27"/>
  <c r="Y209" i="27" s="1"/>
  <c r="AA209" i="27" s="1"/>
  <c r="V208" i="27"/>
  <c r="Y208" i="27" s="1"/>
  <c r="AA208" i="27" s="1"/>
  <c r="V207" i="27"/>
  <c r="Y207" i="27" s="1"/>
  <c r="AA207" i="27" s="1"/>
  <c r="V205" i="27"/>
  <c r="Z198" i="27"/>
  <c r="W198" i="27"/>
  <c r="T198" i="27"/>
  <c r="R198" i="27"/>
  <c r="Q198" i="27"/>
  <c r="P198" i="27"/>
  <c r="O198" i="27"/>
  <c r="N198" i="27"/>
  <c r="L198" i="27"/>
  <c r="K198" i="27"/>
  <c r="J198" i="27"/>
  <c r="I198" i="27"/>
  <c r="H198" i="27"/>
  <c r="G198" i="27"/>
  <c r="F198" i="27"/>
  <c r="E198" i="27"/>
  <c r="V197" i="27"/>
  <c r="Y197" i="27" s="1"/>
  <c r="AA197" i="27" s="1"/>
  <c r="V196" i="27"/>
  <c r="Y196" i="27" s="1"/>
  <c r="AA196" i="27" s="1"/>
  <c r="V195" i="27"/>
  <c r="Y195" i="27" s="1"/>
  <c r="AA195" i="27" s="1"/>
  <c r="V194" i="27"/>
  <c r="Y194" i="27" s="1"/>
  <c r="AA194" i="27" s="1"/>
  <c r="Z190" i="27"/>
  <c r="W190" i="27"/>
  <c r="T190" i="27"/>
  <c r="R190" i="27"/>
  <c r="Q190" i="27"/>
  <c r="P190" i="27"/>
  <c r="O190" i="27"/>
  <c r="N190" i="27"/>
  <c r="L190" i="27"/>
  <c r="K190" i="27"/>
  <c r="J190" i="27"/>
  <c r="I190" i="27"/>
  <c r="H190" i="27"/>
  <c r="G190" i="27"/>
  <c r="F190" i="27"/>
  <c r="E190" i="27"/>
  <c r="V189" i="27"/>
  <c r="Y189" i="27" s="1"/>
  <c r="AA189" i="27" s="1"/>
  <c r="V188" i="27"/>
  <c r="Y188" i="27" s="1"/>
  <c r="AA188" i="27" s="1"/>
  <c r="V187" i="27"/>
  <c r="Y187" i="27" s="1"/>
  <c r="AA187" i="27" s="1"/>
  <c r="V186" i="27"/>
  <c r="Y186" i="27" s="1"/>
  <c r="AA186" i="27" s="1"/>
  <c r="V185" i="27"/>
  <c r="Y185" i="27" s="1"/>
  <c r="Z182" i="27"/>
  <c r="W182" i="27"/>
  <c r="T182" i="27"/>
  <c r="R182" i="27"/>
  <c r="Q182" i="27"/>
  <c r="P182" i="27"/>
  <c r="O182" i="27"/>
  <c r="N182" i="27"/>
  <c r="L182" i="27"/>
  <c r="K182" i="27"/>
  <c r="J182" i="27"/>
  <c r="I182" i="27"/>
  <c r="H182" i="27"/>
  <c r="G182" i="27"/>
  <c r="F182" i="27"/>
  <c r="E182" i="27"/>
  <c r="V181" i="27"/>
  <c r="Y181" i="27" s="1"/>
  <c r="AA181" i="27" s="1"/>
  <c r="V180" i="27"/>
  <c r="Y180" i="27" s="1"/>
  <c r="AA180" i="27" s="1"/>
  <c r="V179" i="27"/>
  <c r="Y179" i="27" s="1"/>
  <c r="AA179" i="27" s="1"/>
  <c r="V178" i="27"/>
  <c r="Y178" i="27" s="1"/>
  <c r="AA178" i="27" s="1"/>
  <c r="V177" i="27"/>
  <c r="Z174" i="27"/>
  <c r="W174" i="27"/>
  <c r="T174" i="27"/>
  <c r="R174" i="27"/>
  <c r="Q174" i="27"/>
  <c r="P174" i="27"/>
  <c r="O174" i="27"/>
  <c r="N174" i="27"/>
  <c r="L174" i="27"/>
  <c r="K174" i="27"/>
  <c r="J174" i="27"/>
  <c r="I174" i="27"/>
  <c r="H174" i="27"/>
  <c r="G174" i="27"/>
  <c r="F174" i="27"/>
  <c r="E174" i="27"/>
  <c r="V173" i="27"/>
  <c r="Y173" i="27" s="1"/>
  <c r="AA173" i="27" s="1"/>
  <c r="V172" i="27"/>
  <c r="Y172" i="27" s="1"/>
  <c r="AA172" i="27" s="1"/>
  <c r="V171" i="27"/>
  <c r="Y171" i="27" s="1"/>
  <c r="AA171" i="27" s="1"/>
  <c r="V170" i="27"/>
  <c r="Y170" i="27" s="1"/>
  <c r="AA170" i="27" s="1"/>
  <c r="V169" i="27"/>
  <c r="Z139" i="27"/>
  <c r="W139" i="27"/>
  <c r="T139" i="27"/>
  <c r="R139" i="27"/>
  <c r="Q139" i="27"/>
  <c r="P139" i="27"/>
  <c r="O139" i="27"/>
  <c r="N139" i="27"/>
  <c r="L139" i="27"/>
  <c r="K139" i="27"/>
  <c r="J139" i="27"/>
  <c r="I139" i="27"/>
  <c r="H139" i="27"/>
  <c r="G139" i="27"/>
  <c r="F139" i="27"/>
  <c r="E139" i="27"/>
  <c r="V138" i="27"/>
  <c r="Y138" i="27" s="1"/>
  <c r="AA138" i="27" s="1"/>
  <c r="V137" i="27"/>
  <c r="Y137" i="27" s="1"/>
  <c r="AA137" i="27" s="1"/>
  <c r="V136" i="27"/>
  <c r="Y136" i="27" s="1"/>
  <c r="AA136" i="27" s="1"/>
  <c r="V135" i="27"/>
  <c r="Y135" i="27" s="1"/>
  <c r="AA135" i="27" s="1"/>
  <c r="V134" i="27"/>
  <c r="Y134" i="27" s="1"/>
  <c r="AA134" i="27" s="1"/>
  <c r="V133" i="27"/>
  <c r="Y133" i="27" s="1"/>
  <c r="AA133" i="27" s="1"/>
  <c r="V132" i="27"/>
  <c r="Y132" i="27" s="1"/>
  <c r="AA132" i="27" s="1"/>
  <c r="V131" i="27"/>
  <c r="Y131" i="27" s="1"/>
  <c r="AA131" i="27" s="1"/>
  <c r="V130" i="27"/>
  <c r="Y130" i="27" s="1"/>
  <c r="AA130" i="27" s="1"/>
  <c r="V129" i="27"/>
  <c r="Y129" i="27" s="1"/>
  <c r="AA129" i="27" s="1"/>
  <c r="V128" i="27"/>
  <c r="Y128" i="27" s="1"/>
  <c r="AA128" i="27" s="1"/>
  <c r="V127" i="27"/>
  <c r="Y127" i="27" s="1"/>
  <c r="AA127" i="27" s="1"/>
  <c r="V126" i="27"/>
  <c r="Y126" i="27" s="1"/>
  <c r="AA126" i="27" s="1"/>
  <c r="V125" i="27"/>
  <c r="Y125" i="27" s="1"/>
  <c r="AA125" i="27" s="1"/>
  <c r="V124" i="27"/>
  <c r="Y124" i="27" s="1"/>
  <c r="AA124" i="27" s="1"/>
  <c r="V123" i="27"/>
  <c r="Y123" i="27" s="1"/>
  <c r="AA123" i="27" s="1"/>
  <c r="V122" i="27"/>
  <c r="Y122" i="27" s="1"/>
  <c r="AA122" i="27" s="1"/>
  <c r="V121" i="27"/>
  <c r="Y121" i="27" s="1"/>
  <c r="AA121" i="27" s="1"/>
  <c r="V120" i="27"/>
  <c r="Y120" i="27" s="1"/>
  <c r="AA120" i="27" s="1"/>
  <c r="V119" i="27"/>
  <c r="Y119" i="27" s="1"/>
  <c r="AA119" i="27" s="1"/>
  <c r="V118" i="27"/>
  <c r="Y118" i="27" s="1"/>
  <c r="AA118" i="27" s="1"/>
  <c r="V117" i="27"/>
  <c r="Y117" i="27" s="1"/>
  <c r="AA117" i="27" s="1"/>
  <c r="V116" i="27"/>
  <c r="Y116" i="27" s="1"/>
  <c r="AA116" i="27" s="1"/>
  <c r="V115" i="27"/>
  <c r="Y115" i="27" s="1"/>
  <c r="AA115" i="27" s="1"/>
  <c r="V114" i="27"/>
  <c r="Z112" i="27"/>
  <c r="W112" i="27"/>
  <c r="R112" i="27"/>
  <c r="Q112" i="27"/>
  <c r="P112" i="27"/>
  <c r="O112" i="27"/>
  <c r="N112" i="27"/>
  <c r="L112" i="27"/>
  <c r="K112" i="27"/>
  <c r="J112" i="27"/>
  <c r="I112" i="27"/>
  <c r="H112" i="27"/>
  <c r="G112" i="27"/>
  <c r="F112" i="27"/>
  <c r="E112" i="27"/>
  <c r="V111" i="27"/>
  <c r="Y111" i="27" s="1"/>
  <c r="AA111" i="27" s="1"/>
  <c r="V110" i="27"/>
  <c r="Y110" i="27" s="1"/>
  <c r="AA110" i="27" s="1"/>
  <c r="V109" i="27"/>
  <c r="Y109" i="27" s="1"/>
  <c r="AA109" i="27" s="1"/>
  <c r="V108" i="27"/>
  <c r="Y108" i="27" s="1"/>
  <c r="AA108" i="27" s="1"/>
  <c r="V107" i="27"/>
  <c r="Y107" i="27" s="1"/>
  <c r="AA107" i="27" s="1"/>
  <c r="V106" i="27"/>
  <c r="Y106" i="27" s="1"/>
  <c r="AA106" i="27" s="1"/>
  <c r="V105" i="27"/>
  <c r="Y105" i="27" s="1"/>
  <c r="AA105" i="27" s="1"/>
  <c r="V104" i="27"/>
  <c r="Y104" i="27" s="1"/>
  <c r="AA104" i="27" s="1"/>
  <c r="V103" i="27"/>
  <c r="Y103" i="27" s="1"/>
  <c r="AA103" i="27" s="1"/>
  <c r="V102" i="27"/>
  <c r="Y102" i="27" s="1"/>
  <c r="AA102" i="27" s="1"/>
  <c r="V101" i="27"/>
  <c r="Y101" i="27" s="1"/>
  <c r="AA101" i="27" s="1"/>
  <c r="V100" i="27"/>
  <c r="Y100" i="27" s="1"/>
  <c r="AA100" i="27" s="1"/>
  <c r="V99" i="27"/>
  <c r="Y99" i="27" s="1"/>
  <c r="AA99" i="27" s="1"/>
  <c r="V98" i="27"/>
  <c r="Y98" i="27" s="1"/>
  <c r="AA98" i="27" s="1"/>
  <c r="V97" i="27"/>
  <c r="Y97" i="27" s="1"/>
  <c r="AA97" i="27" s="1"/>
  <c r="V96" i="27"/>
  <c r="Y96" i="27" s="1"/>
  <c r="AA96" i="27" s="1"/>
  <c r="V95" i="27"/>
  <c r="Y95" i="27" s="1"/>
  <c r="AA95" i="27" s="1"/>
  <c r="V94" i="27"/>
  <c r="Y94" i="27" s="1"/>
  <c r="AA94" i="27" s="1"/>
  <c r="V93" i="27"/>
  <c r="Y93" i="27" s="1"/>
  <c r="AA93" i="27" s="1"/>
  <c r="V92" i="27"/>
  <c r="Y92" i="27" s="1"/>
  <c r="AA92" i="27" s="1"/>
  <c r="V91" i="27"/>
  <c r="Y91" i="27" s="1"/>
  <c r="AA91" i="27" s="1"/>
  <c r="V90" i="27"/>
  <c r="Y90" i="27" s="1"/>
  <c r="AA90" i="27" s="1"/>
  <c r="V89" i="27"/>
  <c r="Y89" i="27" s="1"/>
  <c r="AA89" i="27" s="1"/>
  <c r="V88" i="27"/>
  <c r="Y88" i="27" s="1"/>
  <c r="AA88" i="27" s="1"/>
  <c r="V87" i="27"/>
  <c r="Y87" i="27" s="1"/>
  <c r="Z85" i="27"/>
  <c r="W85" i="27"/>
  <c r="R85" i="27"/>
  <c r="Q85" i="27"/>
  <c r="P85" i="27"/>
  <c r="O85" i="27"/>
  <c r="N85" i="27"/>
  <c r="L85" i="27"/>
  <c r="K85" i="27"/>
  <c r="J85" i="27"/>
  <c r="I85" i="27"/>
  <c r="H85" i="27"/>
  <c r="G85" i="27"/>
  <c r="F85" i="27"/>
  <c r="E85" i="27"/>
  <c r="V84" i="27"/>
  <c r="Y84" i="27" s="1"/>
  <c r="AA84" i="27" s="1"/>
  <c r="V83" i="27"/>
  <c r="Y83" i="27" s="1"/>
  <c r="AA83" i="27" s="1"/>
  <c r="V82" i="27"/>
  <c r="Y82" i="27" s="1"/>
  <c r="AA82" i="27" s="1"/>
  <c r="V81" i="27"/>
  <c r="Y81" i="27" s="1"/>
  <c r="AA81" i="27" s="1"/>
  <c r="V80" i="27"/>
  <c r="Y80" i="27" s="1"/>
  <c r="AA80" i="27" s="1"/>
  <c r="V79" i="27"/>
  <c r="Y79" i="27" s="1"/>
  <c r="AA79" i="27" s="1"/>
  <c r="V78" i="27"/>
  <c r="Y78" i="27" s="1"/>
  <c r="AA78" i="27" s="1"/>
  <c r="V77" i="27"/>
  <c r="Y77" i="27" s="1"/>
  <c r="AA77" i="27" s="1"/>
  <c r="V76" i="27"/>
  <c r="Y76" i="27" s="1"/>
  <c r="AA76" i="27" s="1"/>
  <c r="V75" i="27"/>
  <c r="Y75" i="27" s="1"/>
  <c r="AA75" i="27" s="1"/>
  <c r="V74" i="27"/>
  <c r="Y74" i="27" s="1"/>
  <c r="AA74" i="27" s="1"/>
  <c r="V73" i="27"/>
  <c r="Y73" i="27" s="1"/>
  <c r="AA73" i="27" s="1"/>
  <c r="V72" i="27"/>
  <c r="Y72" i="27" s="1"/>
  <c r="AA72" i="27" s="1"/>
  <c r="V71" i="27"/>
  <c r="Y71" i="27" s="1"/>
  <c r="AA71" i="27" s="1"/>
  <c r="V70" i="27"/>
  <c r="Y70" i="27" s="1"/>
  <c r="AA70" i="27" s="1"/>
  <c r="V69" i="27"/>
  <c r="Y69" i="27" s="1"/>
  <c r="AA69" i="27" s="1"/>
  <c r="V68" i="27"/>
  <c r="Y68" i="27" s="1"/>
  <c r="AA68" i="27" s="1"/>
  <c r="V67" i="27"/>
  <c r="Y67" i="27" s="1"/>
  <c r="AA67" i="27" s="1"/>
  <c r="V66" i="27"/>
  <c r="Y66" i="27" s="1"/>
  <c r="AA66" i="27" s="1"/>
  <c r="V65" i="27"/>
  <c r="Y65" i="27" s="1"/>
  <c r="AA65" i="27" s="1"/>
  <c r="V64" i="27"/>
  <c r="Y64" i="27" s="1"/>
  <c r="AA64" i="27" s="1"/>
  <c r="V63" i="27"/>
  <c r="Y63" i="27" s="1"/>
  <c r="AA63" i="27" s="1"/>
  <c r="V62" i="27"/>
  <c r="Y62" i="27" s="1"/>
  <c r="AA62" i="27" s="1"/>
  <c r="V61" i="27"/>
  <c r="Y61" i="27" s="1"/>
  <c r="AA61" i="27" s="1"/>
  <c r="V60" i="27"/>
  <c r="Y60" i="27" s="1"/>
  <c r="Z58" i="27"/>
  <c r="W58" i="27"/>
  <c r="R58" i="27"/>
  <c r="Q58" i="27"/>
  <c r="P58" i="27"/>
  <c r="O58" i="27"/>
  <c r="N58" i="27"/>
  <c r="L58" i="27"/>
  <c r="K58" i="27"/>
  <c r="J58" i="27"/>
  <c r="I58" i="27"/>
  <c r="H58" i="27"/>
  <c r="G58" i="27"/>
  <c r="F58" i="27"/>
  <c r="E58" i="27"/>
  <c r="V57" i="27"/>
  <c r="Y57" i="27" s="1"/>
  <c r="AA57" i="27" s="1"/>
  <c r="V56" i="27"/>
  <c r="Y56" i="27" s="1"/>
  <c r="AA56" i="27" s="1"/>
  <c r="V55" i="27"/>
  <c r="Y55" i="27" s="1"/>
  <c r="AA55" i="27" s="1"/>
  <c r="V54" i="27"/>
  <c r="Y54" i="27" s="1"/>
  <c r="AA54" i="27" s="1"/>
  <c r="V53" i="27"/>
  <c r="Y53" i="27" s="1"/>
  <c r="AA53" i="27" s="1"/>
  <c r="V52" i="27"/>
  <c r="Y52" i="27" s="1"/>
  <c r="AA52" i="27" s="1"/>
  <c r="V51" i="27"/>
  <c r="Y51" i="27" s="1"/>
  <c r="AA51" i="27" s="1"/>
  <c r="V50" i="27"/>
  <c r="Y50" i="27" s="1"/>
  <c r="AA50" i="27" s="1"/>
  <c r="V49" i="27"/>
  <c r="Y49" i="27" s="1"/>
  <c r="AA49" i="27" s="1"/>
  <c r="V48" i="27"/>
  <c r="Y48" i="27" s="1"/>
  <c r="AA48" i="27" s="1"/>
  <c r="V47" i="27"/>
  <c r="Y47" i="27" s="1"/>
  <c r="AA47" i="27" s="1"/>
  <c r="V46" i="27"/>
  <c r="Y46" i="27" s="1"/>
  <c r="AA46" i="27" s="1"/>
  <c r="V45" i="27"/>
  <c r="Y45" i="27" s="1"/>
  <c r="AA45" i="27" s="1"/>
  <c r="V44" i="27"/>
  <c r="Y44" i="27" s="1"/>
  <c r="AA44" i="27" s="1"/>
  <c r="V43" i="27"/>
  <c r="Y43" i="27" s="1"/>
  <c r="AA43" i="27" s="1"/>
  <c r="V42" i="27"/>
  <c r="Y42" i="27" s="1"/>
  <c r="AA42" i="27" s="1"/>
  <c r="V41" i="27"/>
  <c r="Y41" i="27" s="1"/>
  <c r="AA41" i="27" s="1"/>
  <c r="V40" i="27"/>
  <c r="Y40" i="27" s="1"/>
  <c r="AA40" i="27" s="1"/>
  <c r="V39" i="27"/>
  <c r="Y39" i="27" s="1"/>
  <c r="AA39" i="27" s="1"/>
  <c r="V38" i="27"/>
  <c r="Y38" i="27" s="1"/>
  <c r="AA38" i="27" s="1"/>
  <c r="V37" i="27"/>
  <c r="Y37" i="27" s="1"/>
  <c r="AA37" i="27" s="1"/>
  <c r="V36" i="27"/>
  <c r="Y36" i="27" s="1"/>
  <c r="AA36" i="27" s="1"/>
  <c r="V35" i="27"/>
  <c r="Y35" i="27" s="1"/>
  <c r="AA35" i="27" s="1"/>
  <c r="Y34" i="27"/>
  <c r="AA34" i="27" s="1"/>
  <c r="V33" i="27"/>
  <c r="Y33" i="27" s="1"/>
  <c r="AA33" i="27" s="1"/>
  <c r="V32" i="27"/>
  <c r="Z29" i="27"/>
  <c r="X29" i="27"/>
  <c r="W29" i="27"/>
  <c r="R29" i="27"/>
  <c r="Q29" i="27"/>
  <c r="P29" i="27"/>
  <c r="O29" i="27"/>
  <c r="N29" i="27"/>
  <c r="L29" i="27"/>
  <c r="K29" i="27"/>
  <c r="J29" i="27"/>
  <c r="I29" i="27"/>
  <c r="H29" i="27"/>
  <c r="G29" i="27"/>
  <c r="F29" i="27"/>
  <c r="E29" i="27"/>
  <c r="V28" i="27"/>
  <c r="Y28" i="27" s="1"/>
  <c r="AA28" i="27" s="1"/>
  <c r="V27" i="27"/>
  <c r="Y27" i="27" s="1"/>
  <c r="AA27" i="27" s="1"/>
  <c r="V26" i="27"/>
  <c r="Y26" i="27" s="1"/>
  <c r="AA26" i="27" s="1"/>
  <c r="V25" i="27"/>
  <c r="Y25" i="27" s="1"/>
  <c r="AA25" i="27" s="1"/>
  <c r="V24" i="27"/>
  <c r="Y24" i="27" s="1"/>
  <c r="AA24" i="27" s="1"/>
  <c r="V23" i="27"/>
  <c r="Y23" i="27" s="1"/>
  <c r="AA23" i="27" s="1"/>
  <c r="V22" i="27"/>
  <c r="Y22" i="27" s="1"/>
  <c r="AA22" i="27" s="1"/>
  <c r="V21" i="27"/>
  <c r="Y21" i="27" s="1"/>
  <c r="AA21" i="27" s="1"/>
  <c r="V20" i="27"/>
  <c r="Y20" i="27" s="1"/>
  <c r="AA20" i="27" s="1"/>
  <c r="V19" i="27"/>
  <c r="Y19" i="27" s="1"/>
  <c r="AA19" i="27" s="1"/>
  <c r="V18" i="27"/>
  <c r="Y18" i="27" s="1"/>
  <c r="AA18" i="27" s="1"/>
  <c r="V17" i="27"/>
  <c r="Y17" i="27" s="1"/>
  <c r="AA17" i="27" s="1"/>
  <c r="V16" i="27"/>
  <c r="Y16" i="27" s="1"/>
  <c r="AA16" i="27" s="1"/>
  <c r="V15" i="27"/>
  <c r="Y15" i="27" s="1"/>
  <c r="AA15" i="27" s="1"/>
  <c r="V14" i="27"/>
  <c r="Y14" i="27" s="1"/>
  <c r="AA14" i="27" s="1"/>
  <c r="V13" i="27"/>
  <c r="Y13" i="27" s="1"/>
  <c r="AA13" i="27" s="1"/>
  <c r="V12" i="27"/>
  <c r="Y12" i="27" s="1"/>
  <c r="AA12" i="27" s="1"/>
  <c r="V11" i="27"/>
  <c r="Y11" i="27" s="1"/>
  <c r="AA11" i="27" s="1"/>
  <c r="V10" i="27"/>
  <c r="Y10" i="27" s="1"/>
  <c r="AA10" i="27" s="1"/>
  <c r="V9" i="27"/>
  <c r="Y9" i="27" s="1"/>
  <c r="AA9" i="27" s="1"/>
  <c r="V8" i="27"/>
  <c r="Y8" i="27" s="1"/>
  <c r="AA8" i="27" s="1"/>
  <c r="V7" i="27"/>
  <c r="Y7" i="27" s="1"/>
  <c r="AA7" i="27" s="1"/>
  <c r="V6" i="27"/>
  <c r="Y6" i="27" s="1"/>
  <c r="AA6" i="27" s="1"/>
  <c r="V5" i="27"/>
  <c r="V4" i="27"/>
  <c r="Y283" i="10"/>
  <c r="V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U282" i="10"/>
  <c r="X282" i="10" s="1"/>
  <c r="Z282" i="10" s="1"/>
  <c r="U281" i="10"/>
  <c r="X281" i="10" s="1"/>
  <c r="Y277" i="10"/>
  <c r="Y278" i="10" s="1"/>
  <c r="W277" i="10"/>
  <c r="W278" i="10" s="1"/>
  <c r="V277" i="10"/>
  <c r="M188" i="19" s="1"/>
  <c r="R277" i="10"/>
  <c r="Q277" i="10"/>
  <c r="Q278" i="10" s="1"/>
  <c r="P277" i="10"/>
  <c r="O277" i="10"/>
  <c r="O278" i="10" s="1"/>
  <c r="N277" i="10"/>
  <c r="M277" i="10"/>
  <c r="M278" i="10" s="1"/>
  <c r="L277" i="10"/>
  <c r="K277" i="10"/>
  <c r="J277" i="10"/>
  <c r="I277" i="10"/>
  <c r="I278" i="10" s="1"/>
  <c r="H277" i="10"/>
  <c r="G277" i="10"/>
  <c r="G278" i="10" s="1"/>
  <c r="F277" i="10"/>
  <c r="U276" i="10"/>
  <c r="X276" i="10" s="1"/>
  <c r="Z276" i="10" s="1"/>
  <c r="U272" i="10"/>
  <c r="X272" i="10" s="1"/>
  <c r="Z272" i="10" s="1"/>
  <c r="U271" i="10"/>
  <c r="X271" i="10" s="1"/>
  <c r="Z271" i="10" s="1"/>
  <c r="U270" i="10"/>
  <c r="X270" i="10" s="1"/>
  <c r="Z270" i="10" s="1"/>
  <c r="U269" i="10"/>
  <c r="X269" i="10" s="1"/>
  <c r="AM170" i="39" s="1"/>
  <c r="AN170" i="39" s="1"/>
  <c r="U268" i="10"/>
  <c r="X268" i="10" s="1"/>
  <c r="Z268" i="10" s="1"/>
  <c r="U267" i="10"/>
  <c r="X267" i="10" s="1"/>
  <c r="Z267" i="10" s="1"/>
  <c r="U266" i="10"/>
  <c r="X266" i="10" s="1"/>
  <c r="Z266" i="10" s="1"/>
  <c r="U265" i="10"/>
  <c r="X265" i="10" s="1"/>
  <c r="Z265" i="10" s="1"/>
  <c r="U264" i="10"/>
  <c r="X264" i="10" s="1"/>
  <c r="Z264" i="10" s="1"/>
  <c r="U263" i="10"/>
  <c r="X263" i="10" s="1"/>
  <c r="Z263" i="10" s="1"/>
  <c r="U262" i="10"/>
  <c r="X262" i="10" s="1"/>
  <c r="Z262" i="10" s="1"/>
  <c r="U261" i="10"/>
  <c r="X261" i="10" s="1"/>
  <c r="Z261" i="10" s="1"/>
  <c r="U260" i="10"/>
  <c r="X260" i="10" s="1"/>
  <c r="Z260" i="10" s="1"/>
  <c r="U259" i="10"/>
  <c r="X259" i="10" s="1"/>
  <c r="Z259" i="10" s="1"/>
  <c r="U258" i="10"/>
  <c r="X258" i="10" s="1"/>
  <c r="Z258" i="10" s="1"/>
  <c r="U257" i="10"/>
  <c r="X257" i="10" s="1"/>
  <c r="U256" i="10"/>
  <c r="X256" i="10" s="1"/>
  <c r="Z256" i="10" s="1"/>
  <c r="U255" i="10"/>
  <c r="X255" i="10" s="1"/>
  <c r="Z255" i="10" s="1"/>
  <c r="U254" i="10"/>
  <c r="X254" i="10" s="1"/>
  <c r="Z254" i="10" s="1"/>
  <c r="U253" i="10"/>
  <c r="X253" i="10" s="1"/>
  <c r="Z253" i="10" s="1"/>
  <c r="U252" i="10"/>
  <c r="X252" i="10" s="1"/>
  <c r="Z252" i="10" s="1"/>
  <c r="U251" i="10"/>
  <c r="X251" i="10" s="1"/>
  <c r="Z251" i="10" s="1"/>
  <c r="U250" i="10"/>
  <c r="X250" i="10" s="1"/>
  <c r="Z250" i="10" s="1"/>
  <c r="U249" i="10"/>
  <c r="X249" i="10" s="1"/>
  <c r="Z249" i="10" s="1"/>
  <c r="U248" i="10"/>
  <c r="X248" i="10" s="1"/>
  <c r="Z248" i="10" s="1"/>
  <c r="U247" i="10"/>
  <c r="X247" i="10" s="1"/>
  <c r="Z247" i="10" s="1"/>
  <c r="U246" i="10"/>
  <c r="X246" i="10" s="1"/>
  <c r="Z246" i="10" s="1"/>
  <c r="U245" i="10"/>
  <c r="X245" i="10" s="1"/>
  <c r="Z245" i="10" s="1"/>
  <c r="U244" i="10"/>
  <c r="X244" i="10" s="1"/>
  <c r="Z244" i="10" s="1"/>
  <c r="U243" i="10"/>
  <c r="X243" i="10" s="1"/>
  <c r="Z243" i="10" s="1"/>
  <c r="U242" i="10"/>
  <c r="X242" i="10" s="1"/>
  <c r="Z242" i="10" s="1"/>
  <c r="X241" i="10"/>
  <c r="Z241" i="10" s="1"/>
  <c r="X240" i="10"/>
  <c r="Z240" i="10" s="1"/>
  <c r="X239" i="10"/>
  <c r="Z239" i="10" s="1"/>
  <c r="X238" i="10"/>
  <c r="Z238" i="10" s="1"/>
  <c r="X237" i="10"/>
  <c r="Z237" i="10" s="1"/>
  <c r="X236" i="10"/>
  <c r="X235" i="10"/>
  <c r="Z235" i="10" s="1"/>
  <c r="X234" i="10"/>
  <c r="Z234" i="10" s="1"/>
  <c r="X233" i="10"/>
  <c r="X232" i="10"/>
  <c r="Z232" i="10" s="1"/>
  <c r="X231" i="10"/>
  <c r="Z231" i="10" s="1"/>
  <c r="X230" i="10"/>
  <c r="Z230" i="10" s="1"/>
  <c r="X229" i="10"/>
  <c r="Z229" i="10" s="1"/>
  <c r="X228" i="10"/>
  <c r="Z228" i="10" s="1"/>
  <c r="X227" i="10"/>
  <c r="Z227" i="10" s="1"/>
  <c r="X226" i="10"/>
  <c r="Z226" i="10" s="1"/>
  <c r="X225" i="10"/>
  <c r="Z225" i="10" s="1"/>
  <c r="X224" i="10"/>
  <c r="AL146" i="34" s="1"/>
  <c r="AM146" i="34" s="1"/>
  <c r="X223" i="10"/>
  <c r="Z223" i="10" s="1"/>
  <c r="X222" i="10"/>
  <c r="Z222" i="10" s="1"/>
  <c r="X221" i="10"/>
  <c r="Z221" i="10" s="1"/>
  <c r="X220" i="10"/>
  <c r="AL114" i="40" s="1"/>
  <c r="AM114" i="40" s="1"/>
  <c r="X219" i="10"/>
  <c r="Z219" i="10" s="1"/>
  <c r="X218" i="10"/>
  <c r="Z218" i="10" s="1"/>
  <c r="X213" i="10"/>
  <c r="Z213" i="10" s="1"/>
  <c r="X212" i="10"/>
  <c r="Z212" i="10" s="1"/>
  <c r="X211" i="10"/>
  <c r="X210" i="10"/>
  <c r="Z210" i="10" s="1"/>
  <c r="X209" i="10"/>
  <c r="X207" i="10"/>
  <c r="X206" i="10"/>
  <c r="Z206" i="10" s="1"/>
  <c r="X205" i="10"/>
  <c r="Z205" i="10" s="1"/>
  <c r="Y198" i="10"/>
  <c r="V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U197" i="10"/>
  <c r="X197" i="10" s="1"/>
  <c r="Z197" i="10" s="1"/>
  <c r="U196" i="10"/>
  <c r="X196" i="10" s="1"/>
  <c r="Z196" i="10" s="1"/>
  <c r="U195" i="10"/>
  <c r="X195" i="10" s="1"/>
  <c r="AL93" i="40" s="1"/>
  <c r="AM93" i="40" s="1"/>
  <c r="U194" i="10"/>
  <c r="X194" i="10" s="1"/>
  <c r="Z194" i="10" s="1"/>
  <c r="U193" i="10"/>
  <c r="X193" i="10" s="1"/>
  <c r="Y190" i="10"/>
  <c r="V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U189" i="10"/>
  <c r="X189" i="10" s="1"/>
  <c r="Z189" i="10" s="1"/>
  <c r="U188" i="10"/>
  <c r="X188" i="10" s="1"/>
  <c r="Z188" i="10" s="1"/>
  <c r="U187" i="10"/>
  <c r="X187" i="10" s="1"/>
  <c r="Z187" i="10" s="1"/>
  <c r="U186" i="10"/>
  <c r="X186" i="10" s="1"/>
  <c r="Z186" i="10" s="1"/>
  <c r="U185" i="10"/>
  <c r="X185" i="10" s="1"/>
  <c r="Y182" i="10"/>
  <c r="V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U181" i="10"/>
  <c r="X181" i="10" s="1"/>
  <c r="AL72" i="40" s="1"/>
  <c r="AM72" i="40" s="1"/>
  <c r="U180" i="10"/>
  <c r="X180" i="10" s="1"/>
  <c r="Z180" i="10" s="1"/>
  <c r="U179" i="10"/>
  <c r="X179" i="10" s="1"/>
  <c r="Z179" i="10" s="1"/>
  <c r="U178" i="10"/>
  <c r="X178" i="10" s="1"/>
  <c r="Z178" i="10" s="1"/>
  <c r="U177" i="10"/>
  <c r="X177" i="10" s="1"/>
  <c r="Z177" i="10" s="1"/>
  <c r="Y174" i="10"/>
  <c r="V174" i="10"/>
  <c r="C228" i="19" s="1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U173" i="10"/>
  <c r="X173" i="10" s="1"/>
  <c r="Z173" i="10" s="1"/>
  <c r="U172" i="10"/>
  <c r="X172" i="10" s="1"/>
  <c r="Z172" i="10" s="1"/>
  <c r="U171" i="10"/>
  <c r="X171" i="10" s="1"/>
  <c r="Z171" i="10" s="1"/>
  <c r="U170" i="10"/>
  <c r="X170" i="10" s="1"/>
  <c r="Z170" i="10" s="1"/>
  <c r="U169" i="10"/>
  <c r="Y139" i="10"/>
  <c r="V139" i="10"/>
  <c r="S139" i="10"/>
  <c r="R139" i="10"/>
  <c r="R200" i="10" s="1"/>
  <c r="Q139" i="10"/>
  <c r="P139" i="10"/>
  <c r="O139" i="10"/>
  <c r="N139" i="10"/>
  <c r="N200" i="10" s="1"/>
  <c r="M139" i="10"/>
  <c r="L139" i="10"/>
  <c r="K139" i="10"/>
  <c r="J139" i="10"/>
  <c r="J200" i="10" s="1"/>
  <c r="I139" i="10"/>
  <c r="H139" i="10"/>
  <c r="G139" i="10"/>
  <c r="F139" i="10"/>
  <c r="F200" i="10" s="1"/>
  <c r="E139" i="10"/>
  <c r="U138" i="10"/>
  <c r="X138" i="10" s="1"/>
  <c r="Z138" i="10" s="1"/>
  <c r="U137" i="10"/>
  <c r="X137" i="10" s="1"/>
  <c r="Z137" i="10" s="1"/>
  <c r="U136" i="10"/>
  <c r="X136" i="10" s="1"/>
  <c r="Z136" i="10" s="1"/>
  <c r="U135" i="10"/>
  <c r="X135" i="10" s="1"/>
  <c r="Z135" i="10" s="1"/>
  <c r="U134" i="10"/>
  <c r="X134" i="10" s="1"/>
  <c r="Z134" i="10" s="1"/>
  <c r="U133" i="10"/>
  <c r="X133" i="10" s="1"/>
  <c r="Z133" i="10" s="1"/>
  <c r="U132" i="10"/>
  <c r="X132" i="10" s="1"/>
  <c r="Z132" i="10" s="1"/>
  <c r="U131" i="10"/>
  <c r="X131" i="10" s="1"/>
  <c r="Z131" i="10" s="1"/>
  <c r="U130" i="10"/>
  <c r="X130" i="10" s="1"/>
  <c r="Z130" i="10" s="1"/>
  <c r="U129" i="10"/>
  <c r="X129" i="10" s="1"/>
  <c r="Z129" i="10" s="1"/>
  <c r="U128" i="10"/>
  <c r="X128" i="10" s="1"/>
  <c r="Z128" i="10" s="1"/>
  <c r="U127" i="10"/>
  <c r="X127" i="10" s="1"/>
  <c r="Z127" i="10" s="1"/>
  <c r="U126" i="10"/>
  <c r="X126" i="10" s="1"/>
  <c r="Z126" i="10" s="1"/>
  <c r="U125" i="10"/>
  <c r="X125" i="10" s="1"/>
  <c r="Z125" i="10" s="1"/>
  <c r="U124" i="10"/>
  <c r="X124" i="10" s="1"/>
  <c r="Z124" i="10" s="1"/>
  <c r="U123" i="10"/>
  <c r="X123" i="10" s="1"/>
  <c r="Z123" i="10" s="1"/>
  <c r="U122" i="10"/>
  <c r="X122" i="10" s="1"/>
  <c r="Z122" i="10" s="1"/>
  <c r="U121" i="10"/>
  <c r="X121" i="10" s="1"/>
  <c r="Z121" i="10" s="1"/>
  <c r="U120" i="10"/>
  <c r="X120" i="10" s="1"/>
  <c r="Z120" i="10" s="1"/>
  <c r="U119" i="10"/>
  <c r="X119" i="10" s="1"/>
  <c r="Z119" i="10" s="1"/>
  <c r="U118" i="10"/>
  <c r="X118" i="10" s="1"/>
  <c r="Z118" i="10" s="1"/>
  <c r="U117" i="10"/>
  <c r="X117" i="10" s="1"/>
  <c r="Z117" i="10" s="1"/>
  <c r="U116" i="10"/>
  <c r="X116" i="10" s="1"/>
  <c r="Z116" i="10" s="1"/>
  <c r="U115" i="10"/>
  <c r="X115" i="10" s="1"/>
  <c r="Z115" i="10" s="1"/>
  <c r="U114" i="10"/>
  <c r="X114" i="10" s="1"/>
  <c r="Y112" i="10"/>
  <c r="V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U111" i="10"/>
  <c r="X111" i="10" s="1"/>
  <c r="Z111" i="10" s="1"/>
  <c r="U110" i="10"/>
  <c r="X110" i="10" s="1"/>
  <c r="Z110" i="10" s="1"/>
  <c r="U109" i="10"/>
  <c r="X109" i="10" s="1"/>
  <c r="Z109" i="10" s="1"/>
  <c r="U108" i="10"/>
  <c r="X108" i="10" s="1"/>
  <c r="Z108" i="10" s="1"/>
  <c r="U107" i="10"/>
  <c r="X107" i="10" s="1"/>
  <c r="Z107" i="10" s="1"/>
  <c r="U106" i="10"/>
  <c r="X106" i="10" s="1"/>
  <c r="Z106" i="10" s="1"/>
  <c r="U105" i="10"/>
  <c r="X105" i="10" s="1"/>
  <c r="Z105" i="10" s="1"/>
  <c r="U104" i="10"/>
  <c r="X104" i="10" s="1"/>
  <c r="Z104" i="10" s="1"/>
  <c r="U103" i="10"/>
  <c r="X103" i="10" s="1"/>
  <c r="Z103" i="10" s="1"/>
  <c r="U102" i="10"/>
  <c r="X102" i="10" s="1"/>
  <c r="Z102" i="10" s="1"/>
  <c r="U101" i="10"/>
  <c r="X101" i="10" s="1"/>
  <c r="Z101" i="10" s="1"/>
  <c r="U100" i="10"/>
  <c r="X100" i="10" s="1"/>
  <c r="Z100" i="10" s="1"/>
  <c r="U99" i="10"/>
  <c r="X99" i="10" s="1"/>
  <c r="Z99" i="10" s="1"/>
  <c r="U98" i="10"/>
  <c r="X98" i="10" s="1"/>
  <c r="Z98" i="10" s="1"/>
  <c r="U97" i="10"/>
  <c r="X97" i="10" s="1"/>
  <c r="Z97" i="10" s="1"/>
  <c r="U96" i="10"/>
  <c r="X96" i="10" s="1"/>
  <c r="Z96" i="10" s="1"/>
  <c r="U95" i="10"/>
  <c r="X95" i="10" s="1"/>
  <c r="Z95" i="10" s="1"/>
  <c r="U94" i="10"/>
  <c r="X94" i="10" s="1"/>
  <c r="Z94" i="10" s="1"/>
  <c r="U93" i="10"/>
  <c r="X93" i="10" s="1"/>
  <c r="Z93" i="10" s="1"/>
  <c r="U92" i="10"/>
  <c r="X92" i="10" s="1"/>
  <c r="Z92" i="10" s="1"/>
  <c r="U91" i="10"/>
  <c r="X91" i="10" s="1"/>
  <c r="Z91" i="10" s="1"/>
  <c r="U90" i="10"/>
  <c r="X90" i="10" s="1"/>
  <c r="Z90" i="10" s="1"/>
  <c r="U89" i="10"/>
  <c r="X89" i="10" s="1"/>
  <c r="Z89" i="10" s="1"/>
  <c r="U88" i="10"/>
  <c r="X88" i="10" s="1"/>
  <c r="Z88" i="10" s="1"/>
  <c r="U87" i="10"/>
  <c r="X87" i="10" s="1"/>
  <c r="V85" i="10"/>
  <c r="U84" i="10"/>
  <c r="X84" i="10" s="1"/>
  <c r="Z84" i="10" s="1"/>
  <c r="U83" i="10"/>
  <c r="X83" i="10" s="1"/>
  <c r="Z83" i="10" s="1"/>
  <c r="U82" i="10"/>
  <c r="X82" i="10" s="1"/>
  <c r="Z82" i="10" s="1"/>
  <c r="U81" i="10"/>
  <c r="X81" i="10" s="1"/>
  <c r="Z81" i="10" s="1"/>
  <c r="U80" i="10"/>
  <c r="X80" i="10" s="1"/>
  <c r="Z80" i="10" s="1"/>
  <c r="U79" i="10"/>
  <c r="X79" i="10" s="1"/>
  <c r="Z79" i="10" s="1"/>
  <c r="U78" i="10"/>
  <c r="X78" i="10" s="1"/>
  <c r="Z78" i="10" s="1"/>
  <c r="U77" i="10"/>
  <c r="X77" i="10" s="1"/>
  <c r="Z77" i="10" s="1"/>
  <c r="U76" i="10"/>
  <c r="X76" i="10" s="1"/>
  <c r="Z76" i="10" s="1"/>
  <c r="U75" i="10"/>
  <c r="X75" i="10" s="1"/>
  <c r="Z75" i="10" s="1"/>
  <c r="U74" i="10"/>
  <c r="X74" i="10" s="1"/>
  <c r="Z74" i="10" s="1"/>
  <c r="U73" i="10"/>
  <c r="X73" i="10" s="1"/>
  <c r="Z73" i="10" s="1"/>
  <c r="U72" i="10"/>
  <c r="X72" i="10" s="1"/>
  <c r="Z72" i="10" s="1"/>
  <c r="U71" i="10"/>
  <c r="X71" i="10" s="1"/>
  <c r="Z71" i="10" s="1"/>
  <c r="U70" i="10"/>
  <c r="X70" i="10" s="1"/>
  <c r="Z70" i="10" s="1"/>
  <c r="U69" i="10"/>
  <c r="X69" i="10" s="1"/>
  <c r="Z69" i="10" s="1"/>
  <c r="U68" i="10"/>
  <c r="X68" i="10" s="1"/>
  <c r="Z68" i="10" s="1"/>
  <c r="U67" i="10"/>
  <c r="X67" i="10" s="1"/>
  <c r="Z67" i="10" s="1"/>
  <c r="U66" i="10"/>
  <c r="X66" i="10" s="1"/>
  <c r="Z66" i="10" s="1"/>
  <c r="U65" i="10"/>
  <c r="X65" i="10" s="1"/>
  <c r="Z65" i="10" s="1"/>
  <c r="U64" i="10"/>
  <c r="X64" i="10" s="1"/>
  <c r="Z64" i="10" s="1"/>
  <c r="U63" i="10"/>
  <c r="X63" i="10" s="1"/>
  <c r="Z63" i="10" s="1"/>
  <c r="U62" i="10"/>
  <c r="X62" i="10" s="1"/>
  <c r="Z62" i="10" s="1"/>
  <c r="U61" i="10"/>
  <c r="X61" i="10" s="1"/>
  <c r="Z61" i="10" s="1"/>
  <c r="U60" i="10"/>
  <c r="X60" i="10" s="1"/>
  <c r="Y58" i="10"/>
  <c r="V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U57" i="10"/>
  <c r="X57" i="10" s="1"/>
  <c r="Z57" i="10" s="1"/>
  <c r="U56" i="10"/>
  <c r="X56" i="10" s="1"/>
  <c r="Z56" i="10" s="1"/>
  <c r="U55" i="10"/>
  <c r="X55" i="10" s="1"/>
  <c r="Z55" i="10" s="1"/>
  <c r="U54" i="10"/>
  <c r="X54" i="10" s="1"/>
  <c r="Z54" i="10" s="1"/>
  <c r="U53" i="10"/>
  <c r="X53" i="10" s="1"/>
  <c r="Z53" i="10" s="1"/>
  <c r="U52" i="10"/>
  <c r="X52" i="10" s="1"/>
  <c r="Z52" i="10" s="1"/>
  <c r="U51" i="10"/>
  <c r="X51" i="10" s="1"/>
  <c r="Z51" i="10" s="1"/>
  <c r="U50" i="10"/>
  <c r="X50" i="10" s="1"/>
  <c r="Z50" i="10" s="1"/>
  <c r="U49" i="10"/>
  <c r="X49" i="10" s="1"/>
  <c r="Z49" i="10" s="1"/>
  <c r="U48" i="10"/>
  <c r="X48" i="10" s="1"/>
  <c r="Z48" i="10" s="1"/>
  <c r="U47" i="10"/>
  <c r="X47" i="10" s="1"/>
  <c r="Z47" i="10" s="1"/>
  <c r="U46" i="10"/>
  <c r="X46" i="10" s="1"/>
  <c r="Z46" i="10" s="1"/>
  <c r="U45" i="10"/>
  <c r="X45" i="10" s="1"/>
  <c r="Z45" i="10" s="1"/>
  <c r="U44" i="10"/>
  <c r="X44" i="10" s="1"/>
  <c r="Z44" i="10" s="1"/>
  <c r="U43" i="10"/>
  <c r="X43" i="10" s="1"/>
  <c r="Z43" i="10" s="1"/>
  <c r="U42" i="10"/>
  <c r="X42" i="10" s="1"/>
  <c r="Z42" i="10" s="1"/>
  <c r="U41" i="10"/>
  <c r="X41" i="10" s="1"/>
  <c r="Z41" i="10" s="1"/>
  <c r="U40" i="10"/>
  <c r="X40" i="10" s="1"/>
  <c r="Z40" i="10" s="1"/>
  <c r="U39" i="10"/>
  <c r="X39" i="10" s="1"/>
  <c r="Z39" i="10" s="1"/>
  <c r="U38" i="10"/>
  <c r="X38" i="10" s="1"/>
  <c r="Z38" i="10" s="1"/>
  <c r="U37" i="10"/>
  <c r="X37" i="10" s="1"/>
  <c r="Z37" i="10" s="1"/>
  <c r="U36" i="10"/>
  <c r="X36" i="10" s="1"/>
  <c r="Z36" i="10" s="1"/>
  <c r="U35" i="10"/>
  <c r="X35" i="10" s="1"/>
  <c r="Z35" i="10" s="1"/>
  <c r="U34" i="10"/>
  <c r="X34" i="10" s="1"/>
  <c r="Z34" i="10" s="1"/>
  <c r="U33" i="10"/>
  <c r="X33" i="10" s="1"/>
  <c r="Z33" i="10" s="1"/>
  <c r="U32" i="10"/>
  <c r="Y29" i="10"/>
  <c r="W29" i="10"/>
  <c r="W201" i="10" s="1"/>
  <c r="V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U28" i="10"/>
  <c r="X28" i="10" s="1"/>
  <c r="Z28" i="10" s="1"/>
  <c r="U27" i="10"/>
  <c r="X27" i="10" s="1"/>
  <c r="Z27" i="10" s="1"/>
  <c r="U26" i="10"/>
  <c r="X26" i="10" s="1"/>
  <c r="Z26" i="10" s="1"/>
  <c r="U25" i="10"/>
  <c r="X25" i="10" s="1"/>
  <c r="Z25" i="10" s="1"/>
  <c r="U24" i="10"/>
  <c r="X24" i="10" s="1"/>
  <c r="Z24" i="10" s="1"/>
  <c r="U23" i="10"/>
  <c r="X23" i="10" s="1"/>
  <c r="Z23" i="10" s="1"/>
  <c r="U22" i="10"/>
  <c r="X22" i="10" s="1"/>
  <c r="Z22" i="10" s="1"/>
  <c r="U21" i="10"/>
  <c r="X21" i="10" s="1"/>
  <c r="Z21" i="10" s="1"/>
  <c r="U20" i="10"/>
  <c r="X20" i="10" s="1"/>
  <c r="Z20" i="10" s="1"/>
  <c r="U19" i="10"/>
  <c r="X19" i="10" s="1"/>
  <c r="Z19" i="10" s="1"/>
  <c r="U18" i="10"/>
  <c r="X18" i="10" s="1"/>
  <c r="Z18" i="10" s="1"/>
  <c r="U17" i="10"/>
  <c r="X17" i="10" s="1"/>
  <c r="Z17" i="10" s="1"/>
  <c r="U16" i="10"/>
  <c r="X16" i="10" s="1"/>
  <c r="Z16" i="10" s="1"/>
  <c r="U15" i="10"/>
  <c r="X15" i="10" s="1"/>
  <c r="Z15" i="10" s="1"/>
  <c r="U14" i="10"/>
  <c r="X14" i="10" s="1"/>
  <c r="Z14" i="10" s="1"/>
  <c r="U13" i="10"/>
  <c r="X13" i="10" s="1"/>
  <c r="Z13" i="10" s="1"/>
  <c r="U12" i="10"/>
  <c r="X12" i="10" s="1"/>
  <c r="Z12" i="10" s="1"/>
  <c r="U11" i="10"/>
  <c r="X11" i="10" s="1"/>
  <c r="Z11" i="10" s="1"/>
  <c r="U10" i="10"/>
  <c r="X10" i="10" s="1"/>
  <c r="Z10" i="10" s="1"/>
  <c r="U9" i="10"/>
  <c r="X9" i="10" s="1"/>
  <c r="Z9" i="10" s="1"/>
  <c r="U8" i="10"/>
  <c r="X8" i="10" s="1"/>
  <c r="Z8" i="10" s="1"/>
  <c r="U7" i="10"/>
  <c r="X7" i="10" s="1"/>
  <c r="Z7" i="10" s="1"/>
  <c r="U6" i="10"/>
  <c r="X6" i="10" s="1"/>
  <c r="Z6" i="10" s="1"/>
  <c r="U5" i="10"/>
  <c r="U4" i="10"/>
  <c r="X4" i="10" s="1"/>
  <c r="Z4" i="10" s="1"/>
  <c r="AJ348" i="9"/>
  <c r="AG348" i="9"/>
  <c r="AD348" i="9"/>
  <c r="AC348" i="9"/>
  <c r="AB348" i="9"/>
  <c r="AA348" i="9"/>
  <c r="Z348" i="9"/>
  <c r="Y348" i="9"/>
  <c r="X348" i="9"/>
  <c r="W348" i="9"/>
  <c r="U348" i="9"/>
  <c r="T348" i="9"/>
  <c r="S348" i="9"/>
  <c r="R348" i="9"/>
  <c r="Q348" i="9"/>
  <c r="P348" i="9"/>
  <c r="O348" i="9"/>
  <c r="N348" i="9"/>
  <c r="L348" i="9"/>
  <c r="K348" i="9"/>
  <c r="J348" i="9"/>
  <c r="I348" i="9"/>
  <c r="H348" i="9"/>
  <c r="G348" i="9"/>
  <c r="F348" i="9"/>
  <c r="E348" i="9"/>
  <c r="AF347" i="9"/>
  <c r="AI347" i="9" s="1"/>
  <c r="AK347" i="9" s="1"/>
  <c r="AF346" i="9"/>
  <c r="AJ342" i="9"/>
  <c r="AJ343" i="9" s="1"/>
  <c r="AH342" i="9"/>
  <c r="AH343" i="9" s="1"/>
  <c r="AG342" i="9"/>
  <c r="M182" i="19" s="1"/>
  <c r="AE342" i="9"/>
  <c r="AD342" i="9"/>
  <c r="AD343" i="9" s="1"/>
  <c r="AB342" i="9"/>
  <c r="AA342" i="9"/>
  <c r="Y342" i="9"/>
  <c r="X342" i="9"/>
  <c r="X343" i="9" s="1"/>
  <c r="W342" i="9"/>
  <c r="V342" i="9"/>
  <c r="U342" i="9"/>
  <c r="U343" i="9" s="1"/>
  <c r="T342" i="9"/>
  <c r="S342" i="9"/>
  <c r="S343" i="9" s="1"/>
  <c r="R342" i="9"/>
  <c r="Q342" i="9"/>
  <c r="Q343" i="9" s="1"/>
  <c r="P342" i="9"/>
  <c r="O342" i="9"/>
  <c r="O343" i="9" s="1"/>
  <c r="N342" i="9"/>
  <c r="M342" i="9"/>
  <c r="L342" i="9"/>
  <c r="L343" i="9" s="1"/>
  <c r="K342" i="9"/>
  <c r="J342" i="9"/>
  <c r="J343" i="9" s="1"/>
  <c r="I342" i="9"/>
  <c r="H342" i="9"/>
  <c r="H343" i="9" s="1"/>
  <c r="G342" i="9"/>
  <c r="F342" i="9"/>
  <c r="F343" i="9" s="1"/>
  <c r="E342" i="9"/>
  <c r="AF341" i="9"/>
  <c r="AI341" i="9" s="1"/>
  <c r="AK341" i="9" s="1"/>
  <c r="AF332" i="9"/>
  <c r="AI332" i="9" s="1"/>
  <c r="AK332" i="9" s="1"/>
  <c r="AF331" i="9"/>
  <c r="AI331" i="9" s="1"/>
  <c r="AK331" i="9" s="1"/>
  <c r="AF330" i="9"/>
  <c r="AI330" i="9" s="1"/>
  <c r="AK330" i="9" s="1"/>
  <c r="AF319" i="9"/>
  <c r="AI319" i="9" s="1"/>
  <c r="AK319" i="9" s="1"/>
  <c r="AF318" i="9"/>
  <c r="AI318" i="9" s="1"/>
  <c r="AK318" i="9" s="1"/>
  <c r="AF317" i="9"/>
  <c r="AI317" i="9" s="1"/>
  <c r="AK317" i="9" s="1"/>
  <c r="AF315" i="9"/>
  <c r="AI315" i="9" s="1"/>
  <c r="AK315" i="9" s="1"/>
  <c r="AF314" i="9"/>
  <c r="AI314" i="9" s="1"/>
  <c r="AK314" i="9" s="1"/>
  <c r="AF313" i="9"/>
  <c r="AI313" i="9" s="1"/>
  <c r="AK313" i="9" s="1"/>
  <c r="AF312" i="9"/>
  <c r="AI312" i="9" s="1"/>
  <c r="AK312" i="9" s="1"/>
  <c r="AF311" i="9"/>
  <c r="AI311" i="9" s="1"/>
  <c r="AK311" i="9" s="1"/>
  <c r="AF309" i="9"/>
  <c r="AI309" i="9" s="1"/>
  <c r="AK309" i="9" s="1"/>
  <c r="AF308" i="9"/>
  <c r="AI308" i="9" s="1"/>
  <c r="AK308" i="9" s="1"/>
  <c r="AF307" i="9"/>
  <c r="AI307" i="9" s="1"/>
  <c r="AK307" i="9" s="1"/>
  <c r="AF306" i="9"/>
  <c r="AI306" i="9" s="1"/>
  <c r="AK306" i="9" s="1"/>
  <c r="AF305" i="9"/>
  <c r="AI305" i="9" s="1"/>
  <c r="AK305" i="9" s="1"/>
  <c r="AF304" i="9"/>
  <c r="AI304" i="9" s="1"/>
  <c r="AK304" i="9" s="1"/>
  <c r="AF303" i="9"/>
  <c r="AI303" i="9" s="1"/>
  <c r="AK303" i="9" s="1"/>
  <c r="AF302" i="9"/>
  <c r="AI302" i="9" s="1"/>
  <c r="AK302" i="9" s="1"/>
  <c r="AF301" i="9"/>
  <c r="AI301" i="9" s="1"/>
  <c r="AK301" i="9" s="1"/>
  <c r="AF300" i="9"/>
  <c r="AI300" i="9" s="1"/>
  <c r="AK300" i="9" s="1"/>
  <c r="AF299" i="9"/>
  <c r="AI299" i="9" s="1"/>
  <c r="AK299" i="9" s="1"/>
  <c r="AF298" i="9"/>
  <c r="AI298" i="9" s="1"/>
  <c r="AK298" i="9" s="1"/>
  <c r="AF297" i="9"/>
  <c r="AI297" i="9" s="1"/>
  <c r="AK297" i="9" s="1"/>
  <c r="AF296" i="9"/>
  <c r="AI296" i="9" s="1"/>
  <c r="AK296" i="9" s="1"/>
  <c r="AF295" i="9"/>
  <c r="AI295" i="9" s="1"/>
  <c r="AK295" i="9" s="1"/>
  <c r="AF294" i="9"/>
  <c r="AI294" i="9" s="1"/>
  <c r="AK294" i="9" s="1"/>
  <c r="AF293" i="9"/>
  <c r="AI293" i="9" s="1"/>
  <c r="AK293" i="9" s="1"/>
  <c r="AF292" i="9"/>
  <c r="AI292" i="9" s="1"/>
  <c r="AK292" i="9" s="1"/>
  <c r="AF287" i="9"/>
  <c r="AI287" i="9" s="1"/>
  <c r="AK287" i="9" s="1"/>
  <c r="AF286" i="9"/>
  <c r="AI286" i="9" s="1"/>
  <c r="AK286" i="9" s="1"/>
  <c r="AF284" i="9"/>
  <c r="AI284" i="9" s="1"/>
  <c r="AK284" i="9" s="1"/>
  <c r="AF282" i="9"/>
  <c r="AI282" i="9" s="1"/>
  <c r="AK282" i="9" s="1"/>
  <c r="AF281" i="9"/>
  <c r="AD280" i="9"/>
  <c r="AC280" i="9"/>
  <c r="AB280" i="9"/>
  <c r="AA280" i="9"/>
  <c r="Y280" i="9"/>
  <c r="W280" i="9"/>
  <c r="W279" i="9"/>
  <c r="N279" i="9"/>
  <c r="E279" i="9"/>
  <c r="AJ274" i="9"/>
  <c r="AG274" i="9"/>
  <c r="AD274" i="9"/>
  <c r="AC274" i="9"/>
  <c r="AB274" i="9"/>
  <c r="AA274" i="9"/>
  <c r="Z274" i="9"/>
  <c r="Y274" i="9"/>
  <c r="X274" i="9"/>
  <c r="W274" i="9"/>
  <c r="U274" i="9"/>
  <c r="T274" i="9"/>
  <c r="S274" i="9"/>
  <c r="R274" i="9"/>
  <c r="Q274" i="9"/>
  <c r="P274" i="9"/>
  <c r="O274" i="9"/>
  <c r="N274" i="9"/>
  <c r="L274" i="9"/>
  <c r="K274" i="9"/>
  <c r="J274" i="9"/>
  <c r="I274" i="9"/>
  <c r="H274" i="9"/>
  <c r="G274" i="9"/>
  <c r="F274" i="9"/>
  <c r="E274" i="9"/>
  <c r="AF273" i="9"/>
  <c r="AI273" i="9" s="1"/>
  <c r="AK273" i="9" s="1"/>
  <c r="AF272" i="9"/>
  <c r="AI272" i="9" s="1"/>
  <c r="AK272" i="9" s="1"/>
  <c r="AF271" i="9"/>
  <c r="AI271" i="9" s="1"/>
  <c r="AK271" i="9" s="1"/>
  <c r="AF270" i="9"/>
  <c r="AI270" i="9" s="1"/>
  <c r="AK270" i="9" s="1"/>
  <c r="AF269" i="9"/>
  <c r="AI269" i="9" s="1"/>
  <c r="AK269" i="9" s="1"/>
  <c r="AJ266" i="9"/>
  <c r="AH266" i="9"/>
  <c r="AG266" i="9"/>
  <c r="AD266" i="9"/>
  <c r="AC266" i="9"/>
  <c r="AB266" i="9"/>
  <c r="AA266" i="9"/>
  <c r="Z266" i="9"/>
  <c r="Y266" i="9"/>
  <c r="X266" i="9"/>
  <c r="W266" i="9"/>
  <c r="U266" i="9"/>
  <c r="T266" i="9"/>
  <c r="S266" i="9"/>
  <c r="R266" i="9"/>
  <c r="Q266" i="9"/>
  <c r="P266" i="9"/>
  <c r="O266" i="9"/>
  <c r="N266" i="9"/>
  <c r="L266" i="9"/>
  <c r="K266" i="9"/>
  <c r="J266" i="9"/>
  <c r="I266" i="9"/>
  <c r="H266" i="9"/>
  <c r="G266" i="9"/>
  <c r="F266" i="9"/>
  <c r="E266" i="9"/>
  <c r="AF265" i="9"/>
  <c r="AI265" i="9" s="1"/>
  <c r="AK265" i="9" s="1"/>
  <c r="AF264" i="9"/>
  <c r="AI264" i="9" s="1"/>
  <c r="AK264" i="9" s="1"/>
  <c r="AF263" i="9"/>
  <c r="AI263" i="9" s="1"/>
  <c r="AK263" i="9" s="1"/>
  <c r="AF262" i="9"/>
  <c r="AI262" i="9" s="1"/>
  <c r="AK262" i="9" s="1"/>
  <c r="AF261" i="9"/>
  <c r="AI261" i="9" s="1"/>
  <c r="AK261" i="9" s="1"/>
  <c r="AF260" i="9"/>
  <c r="AI260" i="9" s="1"/>
  <c r="AJ257" i="9"/>
  <c r="AG257" i="9"/>
  <c r="AD257" i="9"/>
  <c r="AC257" i="9"/>
  <c r="AB257" i="9"/>
  <c r="AA257" i="9"/>
  <c r="Z257" i="9"/>
  <c r="Y257" i="9"/>
  <c r="X257" i="9"/>
  <c r="W257" i="9"/>
  <c r="U257" i="9"/>
  <c r="T257" i="9"/>
  <c r="S257" i="9"/>
  <c r="R257" i="9"/>
  <c r="Q257" i="9"/>
  <c r="P257" i="9"/>
  <c r="O257" i="9"/>
  <c r="N257" i="9"/>
  <c r="L257" i="9"/>
  <c r="K257" i="9"/>
  <c r="J257" i="9"/>
  <c r="I257" i="9"/>
  <c r="H257" i="9"/>
  <c r="G257" i="9"/>
  <c r="F257" i="9"/>
  <c r="E257" i="9"/>
  <c r="AF256" i="9"/>
  <c r="AI256" i="9" s="1"/>
  <c r="AK256" i="9" s="1"/>
  <c r="AF255" i="9"/>
  <c r="AI255" i="9" s="1"/>
  <c r="AK255" i="9" s="1"/>
  <c r="AF254" i="9"/>
  <c r="AI254" i="9" s="1"/>
  <c r="AK254" i="9" s="1"/>
  <c r="AF253" i="9"/>
  <c r="AI253" i="9" s="1"/>
  <c r="AJ250" i="9"/>
  <c r="AH250" i="9"/>
  <c r="AG250" i="9"/>
  <c r="AD250" i="9"/>
  <c r="AC250" i="9"/>
  <c r="AB250" i="9"/>
  <c r="AA250" i="9"/>
  <c r="Z250" i="9"/>
  <c r="Y250" i="9"/>
  <c r="X250" i="9"/>
  <c r="W250" i="9"/>
  <c r="U250" i="9"/>
  <c r="T250" i="9"/>
  <c r="S250" i="9"/>
  <c r="R250" i="9"/>
  <c r="Q250" i="9"/>
  <c r="P250" i="9"/>
  <c r="O250" i="9"/>
  <c r="N250" i="9"/>
  <c r="L250" i="9"/>
  <c r="K250" i="9"/>
  <c r="J250" i="9"/>
  <c r="I250" i="9"/>
  <c r="H250" i="9"/>
  <c r="G250" i="9"/>
  <c r="F250" i="9"/>
  <c r="E250" i="9"/>
  <c r="AF249" i="9"/>
  <c r="AI249" i="9" s="1"/>
  <c r="AK249" i="9" s="1"/>
  <c r="AF248" i="9"/>
  <c r="AI248" i="9" s="1"/>
  <c r="AK248" i="9" s="1"/>
  <c r="AF247" i="9"/>
  <c r="AI247" i="9" s="1"/>
  <c r="AK247" i="9" s="1"/>
  <c r="AF246" i="9"/>
  <c r="AI246" i="9" s="1"/>
  <c r="AK246" i="9" s="1"/>
  <c r="AF245" i="9"/>
  <c r="AI245" i="9" s="1"/>
  <c r="AM205" i="9"/>
  <c r="AJ208" i="9"/>
  <c r="AH208" i="9"/>
  <c r="AG208" i="9"/>
  <c r="AD208" i="9"/>
  <c r="AC208" i="9"/>
  <c r="AB208" i="9"/>
  <c r="AA208" i="9"/>
  <c r="Z208" i="9"/>
  <c r="Y208" i="9"/>
  <c r="X208" i="9"/>
  <c r="W208" i="9"/>
  <c r="U208" i="9"/>
  <c r="T208" i="9"/>
  <c r="S208" i="9"/>
  <c r="R208" i="9"/>
  <c r="Q208" i="9"/>
  <c r="P208" i="9"/>
  <c r="O208" i="9"/>
  <c r="N208" i="9"/>
  <c r="L208" i="9"/>
  <c r="K208" i="9"/>
  <c r="J208" i="9"/>
  <c r="I208" i="9"/>
  <c r="H208" i="9"/>
  <c r="G208" i="9"/>
  <c r="F208" i="9"/>
  <c r="AF207" i="9"/>
  <c r="AI207" i="9" s="1"/>
  <c r="AK207" i="9" s="1"/>
  <c r="AF206" i="9"/>
  <c r="AI206" i="9" s="1"/>
  <c r="AK206" i="9" s="1"/>
  <c r="AF205" i="9"/>
  <c r="AI205" i="9" s="1"/>
  <c r="AK205" i="9" s="1"/>
  <c r="AF204" i="9"/>
  <c r="AI204" i="9" s="1"/>
  <c r="AK204" i="9" s="1"/>
  <c r="AF203" i="9"/>
  <c r="AI203" i="9" s="1"/>
  <c r="AK203" i="9" s="1"/>
  <c r="AF202" i="9"/>
  <c r="AI202" i="9" s="1"/>
  <c r="AK202" i="9" s="1"/>
  <c r="AF201" i="9"/>
  <c r="AI201" i="9" s="1"/>
  <c r="AK201" i="9" s="1"/>
  <c r="AF200" i="9"/>
  <c r="AI200" i="9" s="1"/>
  <c r="AK200" i="9" s="1"/>
  <c r="AF199" i="9"/>
  <c r="AI199" i="9" s="1"/>
  <c r="AK199" i="9" s="1"/>
  <c r="AF198" i="9"/>
  <c r="AI198" i="9" s="1"/>
  <c r="AK198" i="9" s="1"/>
  <c r="AF197" i="9"/>
  <c r="AI197" i="9" s="1"/>
  <c r="AK197" i="9" s="1"/>
  <c r="AF196" i="9"/>
  <c r="AI196" i="9" s="1"/>
  <c r="AK196" i="9" s="1"/>
  <c r="AF195" i="9"/>
  <c r="AI195" i="9" s="1"/>
  <c r="AK195" i="9" s="1"/>
  <c r="AF194" i="9"/>
  <c r="AI194" i="9" s="1"/>
  <c r="AK194" i="9" s="1"/>
  <c r="AF193" i="9"/>
  <c r="AI193" i="9" s="1"/>
  <c r="AK193" i="9" s="1"/>
  <c r="AF192" i="9"/>
  <c r="AI192" i="9" s="1"/>
  <c r="AK192" i="9" s="1"/>
  <c r="AF191" i="9"/>
  <c r="AI191" i="9" s="1"/>
  <c r="AK191" i="9" s="1"/>
  <c r="AF190" i="9"/>
  <c r="AI190" i="9" s="1"/>
  <c r="AK190" i="9" s="1"/>
  <c r="AF189" i="9"/>
  <c r="AI189" i="9" s="1"/>
  <c r="AK189" i="9" s="1"/>
  <c r="AF188" i="9"/>
  <c r="AI188" i="9" s="1"/>
  <c r="AK188" i="9" s="1"/>
  <c r="AF187" i="9"/>
  <c r="AI187" i="9" s="1"/>
  <c r="AK187" i="9" s="1"/>
  <c r="AF186" i="9"/>
  <c r="AI186" i="9" s="1"/>
  <c r="AK186" i="9" s="1"/>
  <c r="AF185" i="9"/>
  <c r="AI185" i="9" s="1"/>
  <c r="AK185" i="9" s="1"/>
  <c r="AF184" i="9"/>
  <c r="AI184" i="9" s="1"/>
  <c r="AK184" i="9" s="1"/>
  <c r="AF183" i="9"/>
  <c r="AI183" i="9" s="1"/>
  <c r="AK183" i="9" s="1"/>
  <c r="AF182" i="9"/>
  <c r="AI182" i="9" s="1"/>
  <c r="AK182" i="9" s="1"/>
  <c r="AF181" i="9"/>
  <c r="AI181" i="9" s="1"/>
  <c r="AK181" i="9" s="1"/>
  <c r="AF180" i="9"/>
  <c r="AI180" i="9" s="1"/>
  <c r="AK180" i="9" s="1"/>
  <c r="AF179" i="9"/>
  <c r="AI179" i="9" s="1"/>
  <c r="AK179" i="9" s="1"/>
  <c r="AF178" i="9"/>
  <c r="AI178" i="9" s="1"/>
  <c r="AK178" i="9" s="1"/>
  <c r="AF177" i="9"/>
  <c r="AI177" i="9" s="1"/>
  <c r="AK177" i="9" s="1"/>
  <c r="AF176" i="9"/>
  <c r="AI176" i="9" s="1"/>
  <c r="AK176" i="9" s="1"/>
  <c r="AF175" i="9"/>
  <c r="AI175" i="9" s="1"/>
  <c r="AL137" i="9"/>
  <c r="AJ140" i="9"/>
  <c r="AH140" i="9"/>
  <c r="AD140" i="9"/>
  <c r="AC140" i="9"/>
  <c r="AA140" i="9"/>
  <c r="Y140" i="9"/>
  <c r="X140" i="9"/>
  <c r="W140" i="9"/>
  <c r="U140" i="9"/>
  <c r="T140" i="9"/>
  <c r="S140" i="9"/>
  <c r="R140" i="9"/>
  <c r="Q140" i="9"/>
  <c r="P140" i="9"/>
  <c r="O140" i="9"/>
  <c r="N140" i="9"/>
  <c r="N277" i="9" s="1"/>
  <c r="L140" i="9"/>
  <c r="K140" i="9"/>
  <c r="J140" i="9"/>
  <c r="I140" i="9"/>
  <c r="H140" i="9"/>
  <c r="G140" i="9"/>
  <c r="F140" i="9"/>
  <c r="E140" i="9"/>
  <c r="AF139" i="9"/>
  <c r="AI139" i="9" s="1"/>
  <c r="AK139" i="9" s="1"/>
  <c r="AF138" i="9"/>
  <c r="AI138" i="9" s="1"/>
  <c r="AK138" i="9" s="1"/>
  <c r="AF137" i="9"/>
  <c r="AI137" i="9" s="1"/>
  <c r="AK137" i="9" s="1"/>
  <c r="AF136" i="9"/>
  <c r="AI136" i="9" s="1"/>
  <c r="AK136" i="9" s="1"/>
  <c r="AF135" i="9"/>
  <c r="AI135" i="9" s="1"/>
  <c r="AK135" i="9" s="1"/>
  <c r="AF134" i="9"/>
  <c r="AI134" i="9" s="1"/>
  <c r="AK134" i="9" s="1"/>
  <c r="AF133" i="9"/>
  <c r="AI133" i="9" s="1"/>
  <c r="AK133" i="9" s="1"/>
  <c r="AF132" i="9"/>
  <c r="AI132" i="9" s="1"/>
  <c r="AK132" i="9" s="1"/>
  <c r="AF131" i="9"/>
  <c r="AI131" i="9" s="1"/>
  <c r="AK131" i="9" s="1"/>
  <c r="AF130" i="9"/>
  <c r="AI130" i="9" s="1"/>
  <c r="AK130" i="9" s="1"/>
  <c r="AF129" i="9"/>
  <c r="AI129" i="9" s="1"/>
  <c r="AK129" i="9" s="1"/>
  <c r="AF128" i="9"/>
  <c r="AI128" i="9" s="1"/>
  <c r="AK128" i="9" s="1"/>
  <c r="AF127" i="9"/>
  <c r="AI127" i="9" s="1"/>
  <c r="AK127" i="9" s="1"/>
  <c r="AF126" i="9"/>
  <c r="AI126" i="9" s="1"/>
  <c r="AK126" i="9" s="1"/>
  <c r="AF125" i="9"/>
  <c r="AI125" i="9" s="1"/>
  <c r="AK125" i="9" s="1"/>
  <c r="AF124" i="9"/>
  <c r="AI124" i="9" s="1"/>
  <c r="AK124" i="9" s="1"/>
  <c r="AF123" i="9"/>
  <c r="AI123" i="9" s="1"/>
  <c r="AK123" i="9" s="1"/>
  <c r="AF122" i="9"/>
  <c r="AI122" i="9" s="1"/>
  <c r="AK122" i="9" s="1"/>
  <c r="AF121" i="9"/>
  <c r="AI121" i="9" s="1"/>
  <c r="AK121" i="9" s="1"/>
  <c r="AF120" i="9"/>
  <c r="AI120" i="9" s="1"/>
  <c r="AK120" i="9" s="1"/>
  <c r="AF119" i="9"/>
  <c r="AI119" i="9" s="1"/>
  <c r="AK119" i="9" s="1"/>
  <c r="AF118" i="9"/>
  <c r="AI118" i="9" s="1"/>
  <c r="AK118" i="9" s="1"/>
  <c r="AF117" i="9"/>
  <c r="AI117" i="9" s="1"/>
  <c r="AK117" i="9" s="1"/>
  <c r="AF116" i="9"/>
  <c r="AI116" i="9" s="1"/>
  <c r="AK116" i="9" s="1"/>
  <c r="AF115" i="9"/>
  <c r="AI115" i="9" s="1"/>
  <c r="AK115" i="9" s="1"/>
  <c r="AF114" i="9"/>
  <c r="AI114" i="9" s="1"/>
  <c r="AK114" i="9" s="1"/>
  <c r="AF113" i="9"/>
  <c r="AI113" i="9" s="1"/>
  <c r="AK113" i="9" s="1"/>
  <c r="AF112" i="9"/>
  <c r="AI112" i="9" s="1"/>
  <c r="AK112" i="9" s="1"/>
  <c r="AF111" i="9"/>
  <c r="AI111" i="9" s="1"/>
  <c r="AK111" i="9" s="1"/>
  <c r="AF110" i="9"/>
  <c r="AF109" i="9"/>
  <c r="AI109" i="9" s="1"/>
  <c r="AK109" i="9" s="1"/>
  <c r="AM104" i="9"/>
  <c r="AJ107" i="9"/>
  <c r="AH107" i="9"/>
  <c r="AG107" i="9"/>
  <c r="AD107" i="9"/>
  <c r="AC107" i="9"/>
  <c r="AB107" i="9"/>
  <c r="AA107" i="9"/>
  <c r="Z107" i="9"/>
  <c r="Y107" i="9"/>
  <c r="X107" i="9"/>
  <c r="W107" i="9"/>
  <c r="U107" i="9"/>
  <c r="T107" i="9"/>
  <c r="S107" i="9"/>
  <c r="R107" i="9"/>
  <c r="Q107" i="9"/>
  <c r="P107" i="9"/>
  <c r="O107" i="9"/>
  <c r="N107" i="9"/>
  <c r="L107" i="9"/>
  <c r="K107" i="9"/>
  <c r="J107" i="9"/>
  <c r="I107" i="9"/>
  <c r="H107" i="9"/>
  <c r="G107" i="9"/>
  <c r="F107" i="9"/>
  <c r="E107" i="9"/>
  <c r="AF106" i="9"/>
  <c r="AI106" i="9" s="1"/>
  <c r="AK106" i="9" s="1"/>
  <c r="AF105" i="9"/>
  <c r="AI105" i="9" s="1"/>
  <c r="AK105" i="9" s="1"/>
  <c r="AF104" i="9"/>
  <c r="AI104" i="9" s="1"/>
  <c r="AK104" i="9" s="1"/>
  <c r="AF103" i="9"/>
  <c r="AI103" i="9" s="1"/>
  <c r="AK103" i="9" s="1"/>
  <c r="AF102" i="9"/>
  <c r="AI102" i="9" s="1"/>
  <c r="AK102" i="9" s="1"/>
  <c r="AF101" i="9"/>
  <c r="AI101" i="9" s="1"/>
  <c r="AK101" i="9" s="1"/>
  <c r="AF100" i="9"/>
  <c r="AI100" i="9" s="1"/>
  <c r="AK100" i="9" s="1"/>
  <c r="AF99" i="9"/>
  <c r="AI99" i="9" s="1"/>
  <c r="AK99" i="9" s="1"/>
  <c r="AF98" i="9"/>
  <c r="AI98" i="9" s="1"/>
  <c r="AK98" i="9" s="1"/>
  <c r="AF97" i="9"/>
  <c r="AI97" i="9" s="1"/>
  <c r="AK97" i="9" s="1"/>
  <c r="AF96" i="9"/>
  <c r="AI96" i="9" s="1"/>
  <c r="AK96" i="9" s="1"/>
  <c r="AF95" i="9"/>
  <c r="AI95" i="9" s="1"/>
  <c r="AK95" i="9" s="1"/>
  <c r="AF94" i="9"/>
  <c r="AI94" i="9" s="1"/>
  <c r="AK94" i="9" s="1"/>
  <c r="AF93" i="9"/>
  <c r="AI93" i="9" s="1"/>
  <c r="AK93" i="9" s="1"/>
  <c r="AF92" i="9"/>
  <c r="AI92" i="9" s="1"/>
  <c r="AK92" i="9" s="1"/>
  <c r="AF91" i="9"/>
  <c r="AI91" i="9" s="1"/>
  <c r="AK91" i="9" s="1"/>
  <c r="AF90" i="9"/>
  <c r="AI90" i="9" s="1"/>
  <c r="AK90" i="9" s="1"/>
  <c r="AF89" i="9"/>
  <c r="AI89" i="9" s="1"/>
  <c r="AK89" i="9" s="1"/>
  <c r="AF88" i="9"/>
  <c r="AI88" i="9" s="1"/>
  <c r="AK88" i="9" s="1"/>
  <c r="AF87" i="9"/>
  <c r="AI87" i="9" s="1"/>
  <c r="AK87" i="9" s="1"/>
  <c r="AF86" i="9"/>
  <c r="AI86" i="9" s="1"/>
  <c r="AK86" i="9" s="1"/>
  <c r="AF85" i="9"/>
  <c r="AI85" i="9" s="1"/>
  <c r="AK85" i="9" s="1"/>
  <c r="AF84" i="9"/>
  <c r="AI84" i="9" s="1"/>
  <c r="AK84" i="9" s="1"/>
  <c r="AF83" i="9"/>
  <c r="AI83" i="9" s="1"/>
  <c r="AK83" i="9" s="1"/>
  <c r="AF82" i="9"/>
  <c r="AI82" i="9" s="1"/>
  <c r="AK82" i="9" s="1"/>
  <c r="AF81" i="9"/>
  <c r="AI81" i="9" s="1"/>
  <c r="AK81" i="9" s="1"/>
  <c r="AF80" i="9"/>
  <c r="AI80" i="9" s="1"/>
  <c r="AK80" i="9" s="1"/>
  <c r="AF79" i="9"/>
  <c r="AI79" i="9" s="1"/>
  <c r="AK79" i="9" s="1"/>
  <c r="AF78" i="9"/>
  <c r="AI78" i="9" s="1"/>
  <c r="AK78" i="9" s="1"/>
  <c r="AF77" i="9"/>
  <c r="AI77" i="9" s="1"/>
  <c r="AK77" i="9" s="1"/>
  <c r="AF76" i="9"/>
  <c r="AI76" i="9" s="1"/>
  <c r="AK76" i="9" s="1"/>
  <c r="AF75" i="9"/>
  <c r="AI75" i="9" s="1"/>
  <c r="AK75" i="9" s="1"/>
  <c r="AF74" i="9"/>
  <c r="AI74" i="9" s="1"/>
  <c r="AH71" i="9"/>
  <c r="AD71" i="9"/>
  <c r="AC71" i="9"/>
  <c r="AB71" i="9"/>
  <c r="AA71" i="9"/>
  <c r="Z71" i="9"/>
  <c r="Y71" i="9"/>
  <c r="X71" i="9"/>
  <c r="W71" i="9"/>
  <c r="U71" i="9"/>
  <c r="T71" i="9"/>
  <c r="S71" i="9"/>
  <c r="R71" i="9"/>
  <c r="Q71" i="9"/>
  <c r="P71" i="9"/>
  <c r="O71" i="9"/>
  <c r="N71" i="9"/>
  <c r="L71" i="9"/>
  <c r="J71" i="9"/>
  <c r="I71" i="9"/>
  <c r="H71" i="9"/>
  <c r="G71" i="9"/>
  <c r="F71" i="9"/>
  <c r="E71" i="9"/>
  <c r="AF70" i="9"/>
  <c r="AI70" i="9" s="1"/>
  <c r="AK70" i="9" s="1"/>
  <c r="AF69" i="9"/>
  <c r="AI69" i="9" s="1"/>
  <c r="AK69" i="9" s="1"/>
  <c r="AF68" i="9"/>
  <c r="AI68" i="9" s="1"/>
  <c r="AK68" i="9" s="1"/>
  <c r="AF67" i="9"/>
  <c r="AI67" i="9" s="1"/>
  <c r="AK67" i="9" s="1"/>
  <c r="AF66" i="9"/>
  <c r="AI66" i="9" s="1"/>
  <c r="AK66" i="9" s="1"/>
  <c r="AF65" i="9"/>
  <c r="AI65" i="9" s="1"/>
  <c r="AK65" i="9" s="1"/>
  <c r="AF64" i="9"/>
  <c r="AI64" i="9" s="1"/>
  <c r="AK64" i="9" s="1"/>
  <c r="AF63" i="9"/>
  <c r="AI63" i="9" s="1"/>
  <c r="AK63" i="9" s="1"/>
  <c r="AF62" i="9"/>
  <c r="AI62" i="9" s="1"/>
  <c r="AK62" i="9" s="1"/>
  <c r="AF61" i="9"/>
  <c r="AI61" i="9" s="1"/>
  <c r="AK61" i="9" s="1"/>
  <c r="AF60" i="9"/>
  <c r="AI60" i="9" s="1"/>
  <c r="AK60" i="9" s="1"/>
  <c r="AF59" i="9"/>
  <c r="AI59" i="9" s="1"/>
  <c r="AK59" i="9" s="1"/>
  <c r="AF58" i="9"/>
  <c r="AI58" i="9" s="1"/>
  <c r="AK58" i="9" s="1"/>
  <c r="AF57" i="9"/>
  <c r="AI57" i="9" s="1"/>
  <c r="AK57" i="9" s="1"/>
  <c r="AF56" i="9"/>
  <c r="AI56" i="9" s="1"/>
  <c r="AK56" i="9" s="1"/>
  <c r="AF55" i="9"/>
  <c r="AI55" i="9" s="1"/>
  <c r="AK55" i="9" s="1"/>
  <c r="AF54" i="9"/>
  <c r="AI54" i="9" s="1"/>
  <c r="AK54" i="9" s="1"/>
  <c r="AF53" i="9"/>
  <c r="AI53" i="9" s="1"/>
  <c r="AK53" i="9" s="1"/>
  <c r="AF52" i="9"/>
  <c r="AI52" i="9" s="1"/>
  <c r="AK52" i="9" s="1"/>
  <c r="AF51" i="9"/>
  <c r="AI51" i="9" s="1"/>
  <c r="AK51" i="9" s="1"/>
  <c r="AF50" i="9"/>
  <c r="AI50" i="9" s="1"/>
  <c r="AK50" i="9" s="1"/>
  <c r="AF49" i="9"/>
  <c r="AI49" i="9" s="1"/>
  <c r="AK49" i="9" s="1"/>
  <c r="AF48" i="9"/>
  <c r="AI48" i="9" s="1"/>
  <c r="AK48" i="9" s="1"/>
  <c r="AF47" i="9"/>
  <c r="AI47" i="9" s="1"/>
  <c r="AK47" i="9" s="1"/>
  <c r="AF46" i="9"/>
  <c r="AI46" i="9" s="1"/>
  <c r="AK46" i="9" s="1"/>
  <c r="AF45" i="9"/>
  <c r="AI45" i="9" s="1"/>
  <c r="AK45" i="9" s="1"/>
  <c r="AF44" i="9"/>
  <c r="AI44" i="9" s="1"/>
  <c r="AK44" i="9" s="1"/>
  <c r="AF43" i="9"/>
  <c r="AI43" i="9" s="1"/>
  <c r="AK43" i="9" s="1"/>
  <c r="AF42" i="9"/>
  <c r="AI42" i="9" s="1"/>
  <c r="AK42" i="9" s="1"/>
  <c r="AF41" i="9"/>
  <c r="AI41" i="9" s="1"/>
  <c r="AK41" i="9" s="1"/>
  <c r="AF40" i="9"/>
  <c r="AI40" i="9" s="1"/>
  <c r="AK40" i="9" s="1"/>
  <c r="AF39" i="9"/>
  <c r="AF38" i="9"/>
  <c r="L252" i="9"/>
  <c r="AJ35" i="9"/>
  <c r="AH35" i="9"/>
  <c r="AG35" i="9"/>
  <c r="AE35" i="9"/>
  <c r="AD35" i="9"/>
  <c r="AC35" i="9"/>
  <c r="AB35" i="9"/>
  <c r="AB276" i="9" s="1"/>
  <c r="AA35" i="9"/>
  <c r="Z35" i="9"/>
  <c r="Y35" i="9"/>
  <c r="X35" i="9"/>
  <c r="X276" i="9" s="1"/>
  <c r="W35" i="9"/>
  <c r="V35" i="9"/>
  <c r="U35" i="9"/>
  <c r="T35" i="9"/>
  <c r="T276" i="9" s="1"/>
  <c r="S35" i="9"/>
  <c r="R35" i="9"/>
  <c r="Q35" i="9"/>
  <c r="P35" i="9"/>
  <c r="P276" i="9" s="1"/>
  <c r="O35" i="9"/>
  <c r="N35" i="9"/>
  <c r="M35" i="9"/>
  <c r="L35" i="9"/>
  <c r="J35" i="9"/>
  <c r="I35" i="9"/>
  <c r="H35" i="9"/>
  <c r="G35" i="9"/>
  <c r="F35" i="9"/>
  <c r="E35" i="9"/>
  <c r="AF34" i="9"/>
  <c r="AI34" i="9" s="1"/>
  <c r="AK34" i="9" s="1"/>
  <c r="AF33" i="9"/>
  <c r="AI33" i="9" s="1"/>
  <c r="AK33" i="9" s="1"/>
  <c r="AF22" i="9"/>
  <c r="AI22" i="9" s="1"/>
  <c r="AK22" i="9" s="1"/>
  <c r="AF21" i="9"/>
  <c r="AI21" i="9" s="1"/>
  <c r="AK21" i="9" s="1"/>
  <c r="AF20" i="9"/>
  <c r="AI20" i="9" s="1"/>
  <c r="AK20" i="9" s="1"/>
  <c r="AF19" i="9"/>
  <c r="AI19" i="9" s="1"/>
  <c r="AK19" i="9" s="1"/>
  <c r="AF18" i="9"/>
  <c r="AI18" i="9" s="1"/>
  <c r="AK18" i="9" s="1"/>
  <c r="AF17" i="9"/>
  <c r="AI17" i="9" s="1"/>
  <c r="AK17" i="9" s="1"/>
  <c r="AF15" i="9"/>
  <c r="AI15" i="9" s="1"/>
  <c r="AK15" i="9" s="1"/>
  <c r="AF14" i="9"/>
  <c r="AI14" i="9" s="1"/>
  <c r="AK14" i="9" s="1"/>
  <c r="AF13" i="9"/>
  <c r="AI13" i="9" s="1"/>
  <c r="AK13" i="9" s="1"/>
  <c r="AF12" i="9"/>
  <c r="AI12" i="9" s="1"/>
  <c r="AK12" i="9" s="1"/>
  <c r="AF11" i="9"/>
  <c r="AI11" i="9" s="1"/>
  <c r="AK11" i="9" s="1"/>
  <c r="AF10" i="9"/>
  <c r="AI10" i="9" s="1"/>
  <c r="AK10" i="9" s="1"/>
  <c r="AF9" i="9"/>
  <c r="AI9" i="9" s="1"/>
  <c r="AK9" i="9" s="1"/>
  <c r="AF8" i="9"/>
  <c r="AI8" i="9" s="1"/>
  <c r="AK8" i="9" s="1"/>
  <c r="AF7" i="9"/>
  <c r="AI7" i="9" s="1"/>
  <c r="AK7" i="9" s="1"/>
  <c r="AF6" i="9"/>
  <c r="AI6" i="9" s="1"/>
  <c r="AK6" i="9" s="1"/>
  <c r="AF5" i="9"/>
  <c r="AF4" i="9"/>
  <c r="AI4" i="9" s="1"/>
  <c r="AK4" i="9" s="1"/>
  <c r="A4" i="9"/>
  <c r="I1" i="9"/>
  <c r="AI250" i="8"/>
  <c r="AF250" i="8"/>
  <c r="AC250" i="8"/>
  <c r="AB250" i="8"/>
  <c r="AA250" i="8"/>
  <c r="Z250" i="8"/>
  <c r="Y250" i="8"/>
  <c r="X250" i="8"/>
  <c r="W250" i="8"/>
  <c r="V250" i="8"/>
  <c r="T250" i="8"/>
  <c r="S250" i="8"/>
  <c r="R250" i="8"/>
  <c r="Q250" i="8"/>
  <c r="P250" i="8"/>
  <c r="O250" i="8"/>
  <c r="N250" i="8"/>
  <c r="M250" i="8"/>
  <c r="K250" i="8"/>
  <c r="J250" i="8"/>
  <c r="I250" i="8"/>
  <c r="H250" i="8"/>
  <c r="G250" i="8"/>
  <c r="F250" i="8"/>
  <c r="E250" i="8"/>
  <c r="AE249" i="8"/>
  <c r="AH249" i="8" s="1"/>
  <c r="AJ249" i="8" s="1"/>
  <c r="AE248" i="8"/>
  <c r="AH248" i="8" s="1"/>
  <c r="AB247" i="8"/>
  <c r="AA247" i="8"/>
  <c r="Z247" i="8"/>
  <c r="Y247" i="8"/>
  <c r="W247" i="8"/>
  <c r="V247" i="8"/>
  <c r="AI244" i="8"/>
  <c r="AI245" i="8" s="1"/>
  <c r="AG244" i="8"/>
  <c r="AG245" i="8" s="1"/>
  <c r="AF244" i="8"/>
  <c r="M162" i="19" s="1"/>
  <c r="AC244" i="8"/>
  <c r="AB244" i="8"/>
  <c r="AA244" i="8"/>
  <c r="Z244" i="8"/>
  <c r="Z245" i="8" s="1"/>
  <c r="Y244" i="8"/>
  <c r="X244" i="8"/>
  <c r="W244" i="8"/>
  <c r="V244" i="8"/>
  <c r="T244" i="8"/>
  <c r="S244" i="8"/>
  <c r="R244" i="8"/>
  <c r="Q244" i="8"/>
  <c r="P244" i="8"/>
  <c r="O244" i="8"/>
  <c r="N244" i="8"/>
  <c r="M244" i="8"/>
  <c r="K244" i="8"/>
  <c r="J244" i="8"/>
  <c r="I244" i="8"/>
  <c r="H244" i="8"/>
  <c r="G244" i="8"/>
  <c r="F244" i="8"/>
  <c r="E244" i="8"/>
  <c r="AE243" i="8"/>
  <c r="AH243" i="8" s="1"/>
  <c r="AJ243" i="8" s="1"/>
  <c r="AE242" i="8"/>
  <c r="AH242" i="8" s="1"/>
  <c r="AJ242" i="8" s="1"/>
  <c r="AE241" i="8"/>
  <c r="AH241" i="8" s="1"/>
  <c r="AJ241" i="8" s="1"/>
  <c r="AE240" i="8"/>
  <c r="AH240" i="8" s="1"/>
  <c r="AJ240" i="8" s="1"/>
  <c r="AE239" i="8"/>
  <c r="AH239" i="8" s="1"/>
  <c r="AJ239" i="8" s="1"/>
  <c r="AE238" i="8"/>
  <c r="AH238" i="8" s="1"/>
  <c r="AJ238" i="8" s="1"/>
  <c r="AE237" i="8"/>
  <c r="AH237" i="8" s="1"/>
  <c r="AJ237" i="8" s="1"/>
  <c r="AE236" i="8"/>
  <c r="AH236" i="8" s="1"/>
  <c r="AJ236" i="8" s="1"/>
  <c r="AE235" i="8"/>
  <c r="AH235" i="8" s="1"/>
  <c r="AJ235" i="8" s="1"/>
  <c r="AE234" i="8"/>
  <c r="AH234" i="8" s="1"/>
  <c r="AJ234" i="8" s="1"/>
  <c r="AE233" i="8"/>
  <c r="AH233" i="8" s="1"/>
  <c r="AJ233" i="8" s="1"/>
  <c r="AE232" i="8"/>
  <c r="AH232" i="8" s="1"/>
  <c r="AJ232" i="8" s="1"/>
  <c r="AE231" i="8"/>
  <c r="AH231" i="8" s="1"/>
  <c r="AJ231" i="8" s="1"/>
  <c r="AE230" i="8"/>
  <c r="AH230" i="8" s="1"/>
  <c r="AJ230" i="8" s="1"/>
  <c r="AE229" i="8"/>
  <c r="AH229" i="8" s="1"/>
  <c r="AJ229" i="8" s="1"/>
  <c r="AE228" i="8"/>
  <c r="AH228" i="8" s="1"/>
  <c r="AJ228" i="8" s="1"/>
  <c r="AE227" i="8"/>
  <c r="AH227" i="8" s="1"/>
  <c r="AJ227" i="8" s="1"/>
  <c r="AE226" i="8"/>
  <c r="AH226" i="8" s="1"/>
  <c r="AJ226" i="8" s="1"/>
  <c r="AE225" i="8"/>
  <c r="AH225" i="8" s="1"/>
  <c r="AJ225" i="8" s="1"/>
  <c r="AE224" i="8"/>
  <c r="AH224" i="8" s="1"/>
  <c r="AJ224" i="8" s="1"/>
  <c r="AE223" i="8"/>
  <c r="AH223" i="8" s="1"/>
  <c r="AJ223" i="8" s="1"/>
  <c r="AE222" i="8"/>
  <c r="AH222" i="8" s="1"/>
  <c r="AJ222" i="8" s="1"/>
  <c r="AE221" i="8"/>
  <c r="AH221" i="8" s="1"/>
  <c r="AJ221" i="8" s="1"/>
  <c r="AE220" i="8"/>
  <c r="AH220" i="8" s="1"/>
  <c r="AJ220" i="8" s="1"/>
  <c r="AE219" i="8"/>
  <c r="AH219" i="8" s="1"/>
  <c r="AJ219" i="8" s="1"/>
  <c r="AE218" i="8"/>
  <c r="AH218" i="8" s="1"/>
  <c r="AJ218" i="8" s="1"/>
  <c r="AE217" i="8"/>
  <c r="AH217" i="8" s="1"/>
  <c r="AJ217" i="8" s="1"/>
  <c r="AE216" i="8"/>
  <c r="AH216" i="8" s="1"/>
  <c r="AJ216" i="8" s="1"/>
  <c r="AE215" i="8"/>
  <c r="AH215" i="8" s="1"/>
  <c r="AJ215" i="8" s="1"/>
  <c r="AE214" i="8"/>
  <c r="AH214" i="8" s="1"/>
  <c r="AJ214" i="8" s="1"/>
  <c r="AE213" i="8"/>
  <c r="AH213" i="8" s="1"/>
  <c r="AJ213" i="8" s="1"/>
  <c r="AE212" i="8"/>
  <c r="AH212" i="8" s="1"/>
  <c r="AJ212" i="8" s="1"/>
  <c r="AE211" i="8"/>
  <c r="AH211" i="8" s="1"/>
  <c r="AJ211" i="8" s="1"/>
  <c r="AE210" i="8"/>
  <c r="AH210" i="8" s="1"/>
  <c r="AJ210" i="8" s="1"/>
  <c r="AE209" i="8"/>
  <c r="AH209" i="8" s="1"/>
  <c r="AJ209" i="8" s="1"/>
  <c r="AE208" i="8"/>
  <c r="AH208" i="8" s="1"/>
  <c r="AJ208" i="8" s="1"/>
  <c r="AE207" i="8"/>
  <c r="AH207" i="8" s="1"/>
  <c r="AJ207" i="8" s="1"/>
  <c r="AE206" i="8"/>
  <c r="AH206" i="8" s="1"/>
  <c r="AJ206" i="8" s="1"/>
  <c r="AE205" i="8"/>
  <c r="AH205" i="8" s="1"/>
  <c r="AJ205" i="8" s="1"/>
  <c r="AE204" i="8"/>
  <c r="AH204" i="8" s="1"/>
  <c r="AJ204" i="8" s="1"/>
  <c r="AE203" i="8"/>
  <c r="AH203" i="8" s="1"/>
  <c r="AJ203" i="8" s="1"/>
  <c r="AE202" i="8"/>
  <c r="AH202" i="8" s="1"/>
  <c r="AJ202" i="8" s="1"/>
  <c r="AE201" i="8"/>
  <c r="AH201" i="8" s="1"/>
  <c r="AJ201" i="8" s="1"/>
  <c r="AE200" i="8"/>
  <c r="AH200" i="8" s="1"/>
  <c r="AJ200" i="8" s="1"/>
  <c r="AE199" i="8"/>
  <c r="AH199" i="8" s="1"/>
  <c r="AJ199" i="8" s="1"/>
  <c r="AE198" i="8"/>
  <c r="AH198" i="8" s="1"/>
  <c r="AJ198" i="8" s="1"/>
  <c r="AE197" i="8"/>
  <c r="AH197" i="8" s="1"/>
  <c r="AJ197" i="8" s="1"/>
  <c r="AE196" i="8"/>
  <c r="AH196" i="8" s="1"/>
  <c r="AJ196" i="8" s="1"/>
  <c r="AE195" i="8"/>
  <c r="AH195" i="8" s="1"/>
  <c r="AJ195" i="8" s="1"/>
  <c r="AE194" i="8"/>
  <c r="AH194" i="8" s="1"/>
  <c r="AJ194" i="8" s="1"/>
  <c r="AE193" i="8"/>
  <c r="AH193" i="8" s="1"/>
  <c r="AJ193" i="8" s="1"/>
  <c r="AE192" i="8"/>
  <c r="AH192" i="8" s="1"/>
  <c r="AJ192" i="8" s="1"/>
  <c r="AE191" i="8"/>
  <c r="AH191" i="8" s="1"/>
  <c r="AJ191" i="8" s="1"/>
  <c r="AE190" i="8"/>
  <c r="AH190" i="8" s="1"/>
  <c r="AJ190" i="8" s="1"/>
  <c r="AE189" i="8"/>
  <c r="AH189" i="8" s="1"/>
  <c r="AJ189" i="8" s="1"/>
  <c r="AE188" i="8"/>
  <c r="AH188" i="8" s="1"/>
  <c r="AJ188" i="8" s="1"/>
  <c r="AE187" i="8"/>
  <c r="AH187" i="8" s="1"/>
  <c r="AJ187" i="8" s="1"/>
  <c r="AE186" i="8"/>
  <c r="AH186" i="8" s="1"/>
  <c r="AJ186" i="8" s="1"/>
  <c r="AE185" i="8"/>
  <c r="AH185" i="8" s="1"/>
  <c r="AJ185" i="8" s="1"/>
  <c r="AE184" i="8"/>
  <c r="AH184" i="8" s="1"/>
  <c r="AJ184" i="8" s="1"/>
  <c r="AE183" i="8"/>
  <c r="AH183" i="8" s="1"/>
  <c r="AJ183" i="8" s="1"/>
  <c r="AE182" i="8"/>
  <c r="AH182" i="8" s="1"/>
  <c r="AJ182" i="8" s="1"/>
  <c r="AE181" i="8"/>
  <c r="AH181" i="8" s="1"/>
  <c r="AJ181" i="8" s="1"/>
  <c r="AE179" i="8"/>
  <c r="AH179" i="8" s="1"/>
  <c r="AJ179" i="8" s="1"/>
  <c r="AE178" i="8"/>
  <c r="AH178" i="8" s="1"/>
  <c r="AJ178" i="8" s="1"/>
  <c r="AE176" i="8"/>
  <c r="AH176" i="8" s="1"/>
  <c r="AJ176" i="8" s="1"/>
  <c r="AE175" i="8"/>
  <c r="AB174" i="8"/>
  <c r="V174" i="8"/>
  <c r="V173" i="8"/>
  <c r="AI168" i="8"/>
  <c r="AF168" i="8"/>
  <c r="AC168" i="8"/>
  <c r="AB168" i="8"/>
  <c r="AA168" i="8"/>
  <c r="Z168" i="8"/>
  <c r="Y168" i="8"/>
  <c r="X168" i="8"/>
  <c r="W168" i="8"/>
  <c r="V168" i="8"/>
  <c r="T168" i="8"/>
  <c r="S168" i="8"/>
  <c r="R168" i="8"/>
  <c r="Q168" i="8"/>
  <c r="P168" i="8"/>
  <c r="O168" i="8"/>
  <c r="N168" i="8"/>
  <c r="M168" i="8"/>
  <c r="K168" i="8"/>
  <c r="J168" i="8"/>
  <c r="I168" i="8"/>
  <c r="H168" i="8"/>
  <c r="G168" i="8"/>
  <c r="F168" i="8"/>
  <c r="E168" i="8"/>
  <c r="AE167" i="8"/>
  <c r="AH167" i="8" s="1"/>
  <c r="AJ167" i="8" s="1"/>
  <c r="AE166" i="8"/>
  <c r="AH166" i="8" s="1"/>
  <c r="AJ166" i="8" s="1"/>
  <c r="AE165" i="8"/>
  <c r="AH165" i="8" s="1"/>
  <c r="AJ165" i="8" s="1"/>
  <c r="AE164" i="8"/>
  <c r="AH164" i="8" s="1"/>
  <c r="AJ164" i="8" s="1"/>
  <c r="AE163" i="8"/>
  <c r="AH163" i="8" s="1"/>
  <c r="AI160" i="8"/>
  <c r="AF160" i="8"/>
  <c r="AC160" i="8"/>
  <c r="AB160" i="8"/>
  <c r="AA160" i="8"/>
  <c r="Z160" i="8"/>
  <c r="Y160" i="8"/>
  <c r="X160" i="8"/>
  <c r="W160" i="8"/>
  <c r="V160" i="8"/>
  <c r="T160" i="8"/>
  <c r="S160" i="8"/>
  <c r="R160" i="8"/>
  <c r="Q160" i="8"/>
  <c r="P160" i="8"/>
  <c r="O160" i="8"/>
  <c r="N160" i="8"/>
  <c r="M160" i="8"/>
  <c r="K160" i="8"/>
  <c r="J160" i="8"/>
  <c r="I160" i="8"/>
  <c r="H160" i="8"/>
  <c r="G160" i="8"/>
  <c r="F160" i="8"/>
  <c r="E160" i="8"/>
  <c r="AE159" i="8"/>
  <c r="AH159" i="8" s="1"/>
  <c r="AJ159" i="8" s="1"/>
  <c r="AE158" i="8"/>
  <c r="AH158" i="8" s="1"/>
  <c r="AJ158" i="8" s="1"/>
  <c r="AE157" i="8"/>
  <c r="AH157" i="8" s="1"/>
  <c r="AJ157" i="8" s="1"/>
  <c r="AE156" i="8"/>
  <c r="AH156" i="8" s="1"/>
  <c r="AJ156" i="8" s="1"/>
  <c r="AE155" i="8"/>
  <c r="AH155" i="8" s="1"/>
  <c r="AJ155" i="8" s="1"/>
  <c r="AE154" i="8"/>
  <c r="AI151" i="8"/>
  <c r="AF151" i="8"/>
  <c r="AC151" i="8"/>
  <c r="AB151" i="8"/>
  <c r="AA151" i="8"/>
  <c r="Z151" i="8"/>
  <c r="Y151" i="8"/>
  <c r="X151" i="8"/>
  <c r="W151" i="8"/>
  <c r="V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AE150" i="8"/>
  <c r="AH150" i="8" s="1"/>
  <c r="AJ150" i="8" s="1"/>
  <c r="AE149" i="8"/>
  <c r="AH149" i="8" s="1"/>
  <c r="AJ149" i="8" s="1"/>
  <c r="AE148" i="8"/>
  <c r="AH148" i="8" s="1"/>
  <c r="AJ148" i="8" s="1"/>
  <c r="AE147" i="8"/>
  <c r="AH147" i="8" s="1"/>
  <c r="AC146" i="8"/>
  <c r="AC153" i="8" s="1"/>
  <c r="AC162" i="8" s="1"/>
  <c r="AI144" i="8"/>
  <c r="AG144" i="8"/>
  <c r="AF144" i="8"/>
  <c r="AC144" i="8"/>
  <c r="AB144" i="8"/>
  <c r="AA144" i="8"/>
  <c r="Z144" i="8"/>
  <c r="Y144" i="8"/>
  <c r="X144" i="8"/>
  <c r="W144" i="8"/>
  <c r="V144" i="8"/>
  <c r="T144" i="8"/>
  <c r="S144" i="8"/>
  <c r="R144" i="8"/>
  <c r="Q144" i="8"/>
  <c r="P144" i="8"/>
  <c r="O144" i="8"/>
  <c r="N144" i="8"/>
  <c r="M144" i="8"/>
  <c r="K144" i="8"/>
  <c r="J144" i="8"/>
  <c r="I144" i="8"/>
  <c r="H144" i="8"/>
  <c r="G144" i="8"/>
  <c r="F144" i="8"/>
  <c r="E144" i="8"/>
  <c r="AE143" i="8"/>
  <c r="AH143" i="8" s="1"/>
  <c r="AJ143" i="8" s="1"/>
  <c r="AE142" i="8"/>
  <c r="AH142" i="8" s="1"/>
  <c r="AJ142" i="8" s="1"/>
  <c r="AE141" i="8"/>
  <c r="AH141" i="8" s="1"/>
  <c r="AJ141" i="8" s="1"/>
  <c r="AE140" i="8"/>
  <c r="AH140" i="8" s="1"/>
  <c r="AJ140" i="8" s="1"/>
  <c r="AE139" i="8"/>
  <c r="AH139" i="8" s="1"/>
  <c r="AJ139" i="8" s="1"/>
  <c r="AB138" i="8"/>
  <c r="AB146" i="8" s="1"/>
  <c r="AB153" i="8" s="1"/>
  <c r="AB162" i="8" s="1"/>
  <c r="Y138" i="8"/>
  <c r="Y174" i="8" s="1"/>
  <c r="X138" i="8"/>
  <c r="X174" i="8" s="1"/>
  <c r="W138" i="8"/>
  <c r="W146" i="8" s="1"/>
  <c r="W153" i="8" s="1"/>
  <c r="AI136" i="8"/>
  <c r="AG136" i="8"/>
  <c r="AF136" i="8"/>
  <c r="AC136" i="8"/>
  <c r="AB136" i="8"/>
  <c r="AA136" i="8"/>
  <c r="Z136" i="8"/>
  <c r="Y136" i="8"/>
  <c r="X136" i="8"/>
  <c r="W136" i="8"/>
  <c r="V136" i="8"/>
  <c r="T136" i="8"/>
  <c r="S136" i="8"/>
  <c r="R136" i="8"/>
  <c r="Q136" i="8"/>
  <c r="P136" i="8"/>
  <c r="O136" i="8"/>
  <c r="N136" i="8"/>
  <c r="M136" i="8"/>
  <c r="K136" i="8"/>
  <c r="J136" i="8"/>
  <c r="I136" i="8"/>
  <c r="H136" i="8"/>
  <c r="G136" i="8"/>
  <c r="F136" i="8"/>
  <c r="E136" i="8"/>
  <c r="AE135" i="8"/>
  <c r="AH135" i="8" s="1"/>
  <c r="AJ135" i="8" s="1"/>
  <c r="AE134" i="8"/>
  <c r="AH134" i="8" s="1"/>
  <c r="AJ134" i="8" s="1"/>
  <c r="AE133" i="8"/>
  <c r="AH133" i="8" s="1"/>
  <c r="AJ133" i="8" s="1"/>
  <c r="AE132" i="8"/>
  <c r="AH132" i="8" s="1"/>
  <c r="AJ132" i="8" s="1"/>
  <c r="AE131" i="8"/>
  <c r="AH131" i="8" s="1"/>
  <c r="AJ131" i="8" s="1"/>
  <c r="AE130" i="8"/>
  <c r="AH130" i="8" s="1"/>
  <c r="AJ130" i="8" s="1"/>
  <c r="AE129" i="8"/>
  <c r="AH129" i="8" s="1"/>
  <c r="AJ129" i="8" s="1"/>
  <c r="AE128" i="8"/>
  <c r="AH128" i="8" s="1"/>
  <c r="AJ128" i="8" s="1"/>
  <c r="AE127" i="8"/>
  <c r="AH127" i="8" s="1"/>
  <c r="AJ127" i="8" s="1"/>
  <c r="AE126" i="8"/>
  <c r="AH126" i="8" s="1"/>
  <c r="AJ126" i="8" s="1"/>
  <c r="AE125" i="8"/>
  <c r="AH125" i="8" s="1"/>
  <c r="AJ125" i="8" s="1"/>
  <c r="AE124" i="8"/>
  <c r="AH124" i="8" s="1"/>
  <c r="AI108" i="8"/>
  <c r="AG108" i="8"/>
  <c r="AF108" i="8"/>
  <c r="AC108" i="8"/>
  <c r="AB108" i="8"/>
  <c r="AA108" i="8"/>
  <c r="Z108" i="8"/>
  <c r="Y108" i="8"/>
  <c r="X108" i="8"/>
  <c r="W108" i="8"/>
  <c r="V108" i="8"/>
  <c r="T108" i="8"/>
  <c r="S108" i="8"/>
  <c r="R108" i="8"/>
  <c r="Q108" i="8"/>
  <c r="P108" i="8"/>
  <c r="O108" i="8"/>
  <c r="N108" i="8"/>
  <c r="M108" i="8"/>
  <c r="K108" i="8"/>
  <c r="J108" i="8"/>
  <c r="I108" i="8"/>
  <c r="H108" i="8"/>
  <c r="G108" i="8"/>
  <c r="F108" i="8"/>
  <c r="E108" i="8"/>
  <c r="AE107" i="8"/>
  <c r="AH107" i="8" s="1"/>
  <c r="AJ107" i="8" s="1"/>
  <c r="AE106" i="8"/>
  <c r="AH106" i="8" s="1"/>
  <c r="AJ106" i="8" s="1"/>
  <c r="AE105" i="8"/>
  <c r="AH105" i="8" s="1"/>
  <c r="AJ105" i="8" s="1"/>
  <c r="AE104" i="8"/>
  <c r="AH104" i="8" s="1"/>
  <c r="AJ104" i="8" s="1"/>
  <c r="AE103" i="8"/>
  <c r="AH103" i="8" s="1"/>
  <c r="AJ103" i="8" s="1"/>
  <c r="AE102" i="8"/>
  <c r="AH102" i="8" s="1"/>
  <c r="AJ102" i="8" s="1"/>
  <c r="AE101" i="8"/>
  <c r="AH101" i="8" s="1"/>
  <c r="AJ101" i="8" s="1"/>
  <c r="AE100" i="8"/>
  <c r="AH100" i="8" s="1"/>
  <c r="AJ100" i="8" s="1"/>
  <c r="AE99" i="8"/>
  <c r="AH99" i="8" s="1"/>
  <c r="AJ99" i="8" s="1"/>
  <c r="AE98" i="8"/>
  <c r="AH98" i="8" s="1"/>
  <c r="AJ98" i="8" s="1"/>
  <c r="AE97" i="8"/>
  <c r="AH97" i="8" s="1"/>
  <c r="AJ97" i="8" s="1"/>
  <c r="AE96" i="8"/>
  <c r="AH96" i="8" s="1"/>
  <c r="AI94" i="8"/>
  <c r="AG94" i="8"/>
  <c r="AF94" i="8"/>
  <c r="AC94" i="8"/>
  <c r="AB94" i="8"/>
  <c r="AA94" i="8"/>
  <c r="Z94" i="8"/>
  <c r="Y94" i="8"/>
  <c r="X94" i="8"/>
  <c r="W94" i="8"/>
  <c r="V94" i="8"/>
  <c r="T94" i="8"/>
  <c r="S94" i="8"/>
  <c r="R94" i="8"/>
  <c r="Q94" i="8"/>
  <c r="P94" i="8"/>
  <c r="O94" i="8"/>
  <c r="N94" i="8"/>
  <c r="M94" i="8"/>
  <c r="K94" i="8"/>
  <c r="J94" i="8"/>
  <c r="I94" i="8"/>
  <c r="H94" i="8"/>
  <c r="G94" i="8"/>
  <c r="F94" i="8"/>
  <c r="E94" i="8"/>
  <c r="AE93" i="8"/>
  <c r="AH93" i="8" s="1"/>
  <c r="AJ93" i="8" s="1"/>
  <c r="AE92" i="8"/>
  <c r="AH92" i="8" s="1"/>
  <c r="AJ92" i="8" s="1"/>
  <c r="AE91" i="8"/>
  <c r="AH91" i="8" s="1"/>
  <c r="AJ91" i="8" s="1"/>
  <c r="AE90" i="8"/>
  <c r="AH90" i="8" s="1"/>
  <c r="AJ90" i="8" s="1"/>
  <c r="AE89" i="8"/>
  <c r="AH89" i="8" s="1"/>
  <c r="AJ89" i="8" s="1"/>
  <c r="AE88" i="8"/>
  <c r="AH88" i="8" s="1"/>
  <c r="AJ88" i="8" s="1"/>
  <c r="AE87" i="8"/>
  <c r="AH87" i="8" s="1"/>
  <c r="AJ87" i="8" s="1"/>
  <c r="AE86" i="8"/>
  <c r="AH86" i="8" s="1"/>
  <c r="AJ86" i="8" s="1"/>
  <c r="AE85" i="8"/>
  <c r="AH85" i="8" s="1"/>
  <c r="AJ85" i="8" s="1"/>
  <c r="AE84" i="8"/>
  <c r="AH84" i="8" s="1"/>
  <c r="AJ84" i="8" s="1"/>
  <c r="AE83" i="8"/>
  <c r="AH83" i="8" s="1"/>
  <c r="AJ83" i="8" s="1"/>
  <c r="AE82" i="8"/>
  <c r="AH82" i="8" s="1"/>
  <c r="AJ82" i="8" s="1"/>
  <c r="AE81" i="8"/>
  <c r="AH81" i="8" s="1"/>
  <c r="AJ81" i="8" s="1"/>
  <c r="AE80" i="8"/>
  <c r="AH80" i="8" s="1"/>
  <c r="AJ80" i="8" s="1"/>
  <c r="AE79" i="8"/>
  <c r="AH79" i="8" s="1"/>
  <c r="AI76" i="8"/>
  <c r="AG76" i="8"/>
  <c r="AF76" i="8"/>
  <c r="AC76" i="8"/>
  <c r="AB76" i="8"/>
  <c r="AA76" i="8"/>
  <c r="Z76" i="8"/>
  <c r="Y76" i="8"/>
  <c r="X76" i="8"/>
  <c r="W76" i="8"/>
  <c r="V76" i="8"/>
  <c r="T76" i="8"/>
  <c r="S76" i="8"/>
  <c r="R76" i="8"/>
  <c r="Q76" i="8"/>
  <c r="P76" i="8"/>
  <c r="O76" i="8"/>
  <c r="N76" i="8"/>
  <c r="M76" i="8"/>
  <c r="K76" i="8"/>
  <c r="J76" i="8"/>
  <c r="I76" i="8"/>
  <c r="H76" i="8"/>
  <c r="G76" i="8"/>
  <c r="F76" i="8"/>
  <c r="E76" i="8"/>
  <c r="AE75" i="8"/>
  <c r="AH75" i="8" s="1"/>
  <c r="AJ75" i="8" s="1"/>
  <c r="AE74" i="8"/>
  <c r="AH74" i="8" s="1"/>
  <c r="AJ74" i="8" s="1"/>
  <c r="AE73" i="8"/>
  <c r="AH73" i="8" s="1"/>
  <c r="AJ73" i="8" s="1"/>
  <c r="AE72" i="8"/>
  <c r="AH72" i="8" s="1"/>
  <c r="AJ72" i="8" s="1"/>
  <c r="AE71" i="8"/>
  <c r="AH71" i="8" s="1"/>
  <c r="AJ71" i="8" s="1"/>
  <c r="AE70" i="8"/>
  <c r="AH70" i="8" s="1"/>
  <c r="AJ70" i="8" s="1"/>
  <c r="AE69" i="8"/>
  <c r="AH69" i="8" s="1"/>
  <c r="AJ69" i="8" s="1"/>
  <c r="AE68" i="8"/>
  <c r="AH68" i="8" s="1"/>
  <c r="AJ68" i="8" s="1"/>
  <c r="AE67" i="8"/>
  <c r="AH67" i="8" s="1"/>
  <c r="AJ67" i="8" s="1"/>
  <c r="AE66" i="8"/>
  <c r="AH66" i="8" s="1"/>
  <c r="AJ66" i="8" s="1"/>
  <c r="AE65" i="8"/>
  <c r="AH65" i="8" s="1"/>
  <c r="AJ65" i="8" s="1"/>
  <c r="AE64" i="8"/>
  <c r="AH64" i="8" s="1"/>
  <c r="AJ64" i="8" s="1"/>
  <c r="AE63" i="8"/>
  <c r="AH63" i="8" s="1"/>
  <c r="AJ63" i="8" s="1"/>
  <c r="AE62" i="8"/>
  <c r="AH62" i="8" s="1"/>
  <c r="AJ62" i="8" s="1"/>
  <c r="AE61" i="8"/>
  <c r="AH61" i="8" s="1"/>
  <c r="AJ61" i="8" s="1"/>
  <c r="AE60" i="8"/>
  <c r="AH60" i="8" s="1"/>
  <c r="AJ60" i="8" s="1"/>
  <c r="AE59" i="8"/>
  <c r="AH59" i="8" s="1"/>
  <c r="AJ59" i="8" s="1"/>
  <c r="AE58" i="8"/>
  <c r="AH58" i="8" s="1"/>
  <c r="AJ58" i="8" s="1"/>
  <c r="AE57" i="8"/>
  <c r="AH57" i="8" s="1"/>
  <c r="AJ57" i="8" s="1"/>
  <c r="AE56" i="8"/>
  <c r="AH56" i="8" s="1"/>
  <c r="AJ56" i="8" s="1"/>
  <c r="AE55" i="8"/>
  <c r="AH55" i="8" s="1"/>
  <c r="AJ55" i="8" s="1"/>
  <c r="AE54" i="8"/>
  <c r="AH54" i="8" s="1"/>
  <c r="AJ54" i="8" s="1"/>
  <c r="AE53" i="8"/>
  <c r="AH53" i="8" s="1"/>
  <c r="AJ53" i="8" s="1"/>
  <c r="AE52" i="8"/>
  <c r="AH52" i="8" s="1"/>
  <c r="AJ52" i="8" s="1"/>
  <c r="AE51" i="8"/>
  <c r="AH51" i="8" s="1"/>
  <c r="AJ51" i="8" s="1"/>
  <c r="AE50" i="8"/>
  <c r="AH50" i="8" s="1"/>
  <c r="AJ50" i="8" s="1"/>
  <c r="AE49" i="8"/>
  <c r="AH49" i="8" s="1"/>
  <c r="AJ49" i="8" s="1"/>
  <c r="AE48" i="8"/>
  <c r="AH48" i="8" s="1"/>
  <c r="AJ48" i="8" s="1"/>
  <c r="AE47" i="8"/>
  <c r="AH47" i="8" s="1"/>
  <c r="AJ47" i="8" s="1"/>
  <c r="AE46" i="8"/>
  <c r="AH46" i="8" s="1"/>
  <c r="AJ46" i="8" s="1"/>
  <c r="AE45" i="8"/>
  <c r="AH45" i="8" s="1"/>
  <c r="AJ45" i="8" s="1"/>
  <c r="AE44" i="8"/>
  <c r="AH44" i="8" s="1"/>
  <c r="AJ44" i="8" s="1"/>
  <c r="AE43" i="8"/>
  <c r="AH43" i="8" s="1"/>
  <c r="AJ43" i="8" s="1"/>
  <c r="AE42" i="8"/>
  <c r="AB41" i="8"/>
  <c r="AA41" i="8"/>
  <c r="AA138" i="8" s="1"/>
  <c r="Z41" i="8"/>
  <c r="Z138" i="8" s="1"/>
  <c r="V41" i="8"/>
  <c r="V138" i="8" s="1"/>
  <c r="V146" i="8" s="1"/>
  <c r="V153" i="8" s="1"/>
  <c r="V162" i="8" s="1"/>
  <c r="AG39" i="8"/>
  <c r="AD39" i="8"/>
  <c r="AC39" i="8"/>
  <c r="AB39" i="8"/>
  <c r="AA39" i="8"/>
  <c r="Z39" i="8"/>
  <c r="Y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AE38" i="8"/>
  <c r="AH38" i="8" s="1"/>
  <c r="AJ38" i="8" s="1"/>
  <c r="AE37" i="8"/>
  <c r="AH37" i="8" s="1"/>
  <c r="AJ37" i="8" s="1"/>
  <c r="AE36" i="8"/>
  <c r="AH36" i="8" s="1"/>
  <c r="AJ36" i="8" s="1"/>
  <c r="AE35" i="8"/>
  <c r="AH35" i="8" s="1"/>
  <c r="AJ35" i="8" s="1"/>
  <c r="AE34" i="8"/>
  <c r="AH34" i="8" s="1"/>
  <c r="AJ34" i="8" s="1"/>
  <c r="AE33" i="8"/>
  <c r="AH33" i="8" s="1"/>
  <c r="AJ33" i="8" s="1"/>
  <c r="AE32" i="8"/>
  <c r="AH32" i="8" s="1"/>
  <c r="AJ32" i="8" s="1"/>
  <c r="AE31" i="8"/>
  <c r="AH31" i="8" s="1"/>
  <c r="AJ31" i="8" s="1"/>
  <c r="AE30" i="8"/>
  <c r="AH30" i="8" s="1"/>
  <c r="AJ30" i="8" s="1"/>
  <c r="AE29" i="8"/>
  <c r="AH29" i="8" s="1"/>
  <c r="AJ29" i="8" s="1"/>
  <c r="AE28" i="8"/>
  <c r="AH28" i="8" s="1"/>
  <c r="AJ28" i="8" s="1"/>
  <c r="AE27" i="8"/>
  <c r="AH27" i="8" s="1"/>
  <c r="AJ27" i="8" s="1"/>
  <c r="AE26" i="8"/>
  <c r="AH26" i="8" s="1"/>
  <c r="AJ26" i="8" s="1"/>
  <c r="AE25" i="8"/>
  <c r="AH25" i="8" s="1"/>
  <c r="AJ25" i="8" s="1"/>
  <c r="AE24" i="8"/>
  <c r="AH24" i="8" s="1"/>
  <c r="AJ24" i="8" s="1"/>
  <c r="AE23" i="8"/>
  <c r="AH23" i="8" s="1"/>
  <c r="AJ23" i="8" s="1"/>
  <c r="AE22" i="8"/>
  <c r="AH22" i="8" s="1"/>
  <c r="AJ22" i="8" s="1"/>
  <c r="AE21" i="8"/>
  <c r="AH21" i="8" s="1"/>
  <c r="AJ21" i="8" s="1"/>
  <c r="AE20" i="8"/>
  <c r="AH20" i="8" s="1"/>
  <c r="AJ20" i="8" s="1"/>
  <c r="AE19" i="8"/>
  <c r="AH19" i="8" s="1"/>
  <c r="AJ19" i="8" s="1"/>
  <c r="AE18" i="8"/>
  <c r="AH18" i="8" s="1"/>
  <c r="AJ18" i="8" s="1"/>
  <c r="AE17" i="8"/>
  <c r="AH17" i="8" s="1"/>
  <c r="AJ17" i="8" s="1"/>
  <c r="AE16" i="8"/>
  <c r="AH16" i="8" s="1"/>
  <c r="AJ16" i="8" s="1"/>
  <c r="AE15" i="8"/>
  <c r="AH15" i="8" s="1"/>
  <c r="AJ15" i="8" s="1"/>
  <c r="AE14" i="8"/>
  <c r="AH14" i="8" s="1"/>
  <c r="AJ14" i="8" s="1"/>
  <c r="AE13" i="8"/>
  <c r="AH13" i="8" s="1"/>
  <c r="AJ13" i="8" s="1"/>
  <c r="AE12" i="8"/>
  <c r="AH12" i="8" s="1"/>
  <c r="AJ12" i="8" s="1"/>
  <c r="AE11" i="8"/>
  <c r="AH11" i="8" s="1"/>
  <c r="AJ11" i="8" s="1"/>
  <c r="AE10" i="8"/>
  <c r="AH10" i="8" s="1"/>
  <c r="AJ10" i="8" s="1"/>
  <c r="AE9" i="8"/>
  <c r="AH9" i="8" s="1"/>
  <c r="AJ9" i="8" s="1"/>
  <c r="AE8" i="8"/>
  <c r="AH8" i="8" s="1"/>
  <c r="AJ8" i="8" s="1"/>
  <c r="AE6" i="8"/>
  <c r="AE4" i="8"/>
  <c r="AH4" i="8" s="1"/>
  <c r="AJ4" i="8" s="1"/>
  <c r="A4" i="8"/>
  <c r="AI238" i="12"/>
  <c r="AF238" i="12"/>
  <c r="AC238" i="12"/>
  <c r="AB238" i="12"/>
  <c r="AA238" i="12"/>
  <c r="Z238" i="12"/>
  <c r="Y238" i="12"/>
  <c r="X238" i="12"/>
  <c r="W238" i="12"/>
  <c r="V238" i="12"/>
  <c r="T238" i="12"/>
  <c r="S238" i="12"/>
  <c r="R238" i="12"/>
  <c r="Q238" i="12"/>
  <c r="P238" i="12"/>
  <c r="O238" i="12"/>
  <c r="N238" i="12"/>
  <c r="M238" i="12"/>
  <c r="K238" i="12"/>
  <c r="J238" i="12"/>
  <c r="I238" i="12"/>
  <c r="H238" i="12"/>
  <c r="G238" i="12"/>
  <c r="F238" i="12"/>
  <c r="E238" i="12"/>
  <c r="AE237" i="12"/>
  <c r="AH237" i="12" s="1"/>
  <c r="AJ237" i="12" s="1"/>
  <c r="AE236" i="12"/>
  <c r="AI232" i="12"/>
  <c r="AI233" i="12" s="1"/>
  <c r="AG232" i="12"/>
  <c r="AG233" i="12" s="1"/>
  <c r="AF232" i="12"/>
  <c r="M172" i="19" s="1"/>
  <c r="AC232" i="12"/>
  <c r="AB232" i="12"/>
  <c r="AA232" i="12"/>
  <c r="Z232" i="12"/>
  <c r="Y232" i="12"/>
  <c r="X232" i="12"/>
  <c r="W232" i="12"/>
  <c r="V232" i="12"/>
  <c r="T232" i="12"/>
  <c r="S232" i="12"/>
  <c r="R232" i="12"/>
  <c r="P232" i="12"/>
  <c r="O232" i="12"/>
  <c r="O233" i="12" s="1"/>
  <c r="N232" i="12"/>
  <c r="M232" i="12"/>
  <c r="K232" i="12"/>
  <c r="J232" i="12"/>
  <c r="I232" i="12"/>
  <c r="H232" i="12"/>
  <c r="G232" i="12"/>
  <c r="F232" i="12"/>
  <c r="E232" i="12"/>
  <c r="AE231" i="12"/>
  <c r="AH231" i="12" s="1"/>
  <c r="AJ231" i="12" s="1"/>
  <c r="AE230" i="12"/>
  <c r="AH230" i="12" s="1"/>
  <c r="AJ230" i="12" s="1"/>
  <c r="AE229" i="12"/>
  <c r="AH229" i="12" s="1"/>
  <c r="AJ229" i="12" s="1"/>
  <c r="AE228" i="12"/>
  <c r="AH228" i="12" s="1"/>
  <c r="AJ228" i="12" s="1"/>
  <c r="AE227" i="12"/>
  <c r="AH227" i="12" s="1"/>
  <c r="AJ227" i="12" s="1"/>
  <c r="AE226" i="12"/>
  <c r="AH226" i="12" s="1"/>
  <c r="AJ226" i="12" s="1"/>
  <c r="AE225" i="12"/>
  <c r="AH225" i="12" s="1"/>
  <c r="AJ225" i="12" s="1"/>
  <c r="AE224" i="12"/>
  <c r="AH224" i="12" s="1"/>
  <c r="AJ224" i="12" s="1"/>
  <c r="AE223" i="12"/>
  <c r="AH223" i="12" s="1"/>
  <c r="AJ223" i="12" s="1"/>
  <c r="AE222" i="12"/>
  <c r="AH222" i="12" s="1"/>
  <c r="AJ222" i="12" s="1"/>
  <c r="AE221" i="12"/>
  <c r="AH221" i="12" s="1"/>
  <c r="AJ221" i="12" s="1"/>
  <c r="AE220" i="12"/>
  <c r="AH220" i="12" s="1"/>
  <c r="AJ220" i="12" s="1"/>
  <c r="AE219" i="12"/>
  <c r="AH219" i="12" s="1"/>
  <c r="AJ219" i="12" s="1"/>
  <c r="AE218" i="12"/>
  <c r="AH218" i="12" s="1"/>
  <c r="AJ218" i="12" s="1"/>
  <c r="AE217" i="12"/>
  <c r="AH217" i="12" s="1"/>
  <c r="AJ217" i="12" s="1"/>
  <c r="AE216" i="12"/>
  <c r="AH216" i="12" s="1"/>
  <c r="AJ216" i="12" s="1"/>
  <c r="AE215" i="12"/>
  <c r="AH215" i="12" s="1"/>
  <c r="AJ215" i="12" s="1"/>
  <c r="AE214" i="12"/>
  <c r="AH214" i="12" s="1"/>
  <c r="AJ214" i="12" s="1"/>
  <c r="AE213" i="12"/>
  <c r="AH213" i="12" s="1"/>
  <c r="AJ213" i="12" s="1"/>
  <c r="AE212" i="12"/>
  <c r="AH212" i="12" s="1"/>
  <c r="AJ212" i="12" s="1"/>
  <c r="AE211" i="12"/>
  <c r="AH211" i="12" s="1"/>
  <c r="AJ211" i="12" s="1"/>
  <c r="AE210" i="12"/>
  <c r="AH210" i="12" s="1"/>
  <c r="AJ210" i="12" s="1"/>
  <c r="AE209" i="12"/>
  <c r="AH209" i="12" s="1"/>
  <c r="AJ209" i="12" s="1"/>
  <c r="AE208" i="12"/>
  <c r="AH208" i="12" s="1"/>
  <c r="AJ208" i="12" s="1"/>
  <c r="AE207" i="12"/>
  <c r="AH207" i="12" s="1"/>
  <c r="AJ207" i="12" s="1"/>
  <c r="AE206" i="12"/>
  <c r="AH206" i="12" s="1"/>
  <c r="AJ206" i="12" s="1"/>
  <c r="AE205" i="12"/>
  <c r="AH205" i="12" s="1"/>
  <c r="AJ205" i="12" s="1"/>
  <c r="AE204" i="12"/>
  <c r="AH204" i="12" s="1"/>
  <c r="AJ204" i="12" s="1"/>
  <c r="AE203" i="12"/>
  <c r="AH203" i="12" s="1"/>
  <c r="AJ203" i="12" s="1"/>
  <c r="AE202" i="12"/>
  <c r="AH202" i="12" s="1"/>
  <c r="AJ202" i="12" s="1"/>
  <c r="AE201" i="12"/>
  <c r="AH201" i="12" s="1"/>
  <c r="AJ201" i="12" s="1"/>
  <c r="AE200" i="12"/>
  <c r="AH200" i="12" s="1"/>
  <c r="AJ200" i="12" s="1"/>
  <c r="AE199" i="12"/>
  <c r="AH199" i="12" s="1"/>
  <c r="AJ199" i="12" s="1"/>
  <c r="AE198" i="12"/>
  <c r="AH198" i="12" s="1"/>
  <c r="AJ198" i="12" s="1"/>
  <c r="AE197" i="12"/>
  <c r="AH197" i="12" s="1"/>
  <c r="AJ197" i="12" s="1"/>
  <c r="AE196" i="12"/>
  <c r="AH196" i="12" s="1"/>
  <c r="AJ196" i="12" s="1"/>
  <c r="AE195" i="12"/>
  <c r="AH195" i="12" s="1"/>
  <c r="AJ195" i="12" s="1"/>
  <c r="AE194" i="12"/>
  <c r="AH194" i="12" s="1"/>
  <c r="AJ194" i="12" s="1"/>
  <c r="AE193" i="12"/>
  <c r="AH193" i="12" s="1"/>
  <c r="AJ193" i="12" s="1"/>
  <c r="AE192" i="12"/>
  <c r="AH192" i="12" s="1"/>
  <c r="AJ192" i="12" s="1"/>
  <c r="AE191" i="12"/>
  <c r="AH191" i="12" s="1"/>
  <c r="AJ191" i="12" s="1"/>
  <c r="AE190" i="12"/>
  <c r="AH190" i="12" s="1"/>
  <c r="AJ190" i="12" s="1"/>
  <c r="AE189" i="12"/>
  <c r="AH189" i="12" s="1"/>
  <c r="AJ189" i="12" s="1"/>
  <c r="AE188" i="12"/>
  <c r="AH188" i="12" s="1"/>
  <c r="AJ188" i="12" s="1"/>
  <c r="AE187" i="12"/>
  <c r="AH187" i="12" s="1"/>
  <c r="AJ187" i="12" s="1"/>
  <c r="AE186" i="12"/>
  <c r="AH186" i="12" s="1"/>
  <c r="AJ186" i="12" s="1"/>
  <c r="AE185" i="12"/>
  <c r="AH185" i="12" s="1"/>
  <c r="AJ185" i="12" s="1"/>
  <c r="AE184" i="12"/>
  <c r="AH184" i="12" s="1"/>
  <c r="AJ184" i="12" s="1"/>
  <c r="AE183" i="12"/>
  <c r="AH183" i="12" s="1"/>
  <c r="AJ183" i="12" s="1"/>
  <c r="AE182" i="12"/>
  <c r="AH182" i="12" s="1"/>
  <c r="AJ182" i="12" s="1"/>
  <c r="AE181" i="12"/>
  <c r="AH181" i="12" s="1"/>
  <c r="AJ181" i="12" s="1"/>
  <c r="AE179" i="12"/>
  <c r="AH179" i="12" s="1"/>
  <c r="AJ179" i="12" s="1"/>
  <c r="AE177" i="12"/>
  <c r="AH177" i="12" s="1"/>
  <c r="AJ177" i="12" s="1"/>
  <c r="AE176" i="12"/>
  <c r="AH176" i="12" s="1"/>
  <c r="AJ176" i="12" s="1"/>
  <c r="AE171" i="12"/>
  <c r="AH171" i="12" s="1"/>
  <c r="AJ171" i="12" s="1"/>
  <c r="AE170" i="12"/>
  <c r="AH170" i="12" s="1"/>
  <c r="AJ170" i="12" s="1"/>
  <c r="AE169" i="12"/>
  <c r="AC165" i="12"/>
  <c r="AI162" i="12"/>
  <c r="AF162" i="12"/>
  <c r="AC162" i="12"/>
  <c r="AB162" i="12"/>
  <c r="AA162" i="12"/>
  <c r="Z162" i="12"/>
  <c r="Y162" i="12"/>
  <c r="X162" i="12"/>
  <c r="W162" i="12"/>
  <c r="V162" i="12"/>
  <c r="T162" i="12"/>
  <c r="S162" i="12"/>
  <c r="R162" i="12"/>
  <c r="Q162" i="12"/>
  <c r="P162" i="12"/>
  <c r="O162" i="12"/>
  <c r="N162" i="12"/>
  <c r="M162" i="12"/>
  <c r="K162" i="12"/>
  <c r="J162" i="12"/>
  <c r="I162" i="12"/>
  <c r="H162" i="12"/>
  <c r="G162" i="12"/>
  <c r="F162" i="12"/>
  <c r="E162" i="12"/>
  <c r="AE161" i="12"/>
  <c r="AH161" i="12" s="1"/>
  <c r="AJ161" i="12" s="1"/>
  <c r="AE160" i="12"/>
  <c r="AH160" i="12" s="1"/>
  <c r="AJ160" i="12" s="1"/>
  <c r="AE159" i="12"/>
  <c r="AE158" i="12"/>
  <c r="AH158" i="12" s="1"/>
  <c r="AJ158" i="12" s="1"/>
  <c r="AE157" i="12"/>
  <c r="AH157" i="12" s="1"/>
  <c r="AJ157" i="12" s="1"/>
  <c r="AI154" i="12"/>
  <c r="AF154" i="12"/>
  <c r="AC154" i="12"/>
  <c r="AB154" i="12"/>
  <c r="AA154" i="12"/>
  <c r="Z154" i="12"/>
  <c r="Y154" i="12"/>
  <c r="X154" i="12"/>
  <c r="W154" i="12"/>
  <c r="V154" i="12"/>
  <c r="T154" i="12"/>
  <c r="S154" i="12"/>
  <c r="R154" i="12"/>
  <c r="Q154" i="12"/>
  <c r="P154" i="12"/>
  <c r="O154" i="12"/>
  <c r="N154" i="12"/>
  <c r="M154" i="12"/>
  <c r="K154" i="12"/>
  <c r="J154" i="12"/>
  <c r="I154" i="12"/>
  <c r="H154" i="12"/>
  <c r="G154" i="12"/>
  <c r="F154" i="12"/>
  <c r="E154" i="12"/>
  <c r="AE153" i="12"/>
  <c r="AH153" i="12" s="1"/>
  <c r="AJ153" i="12" s="1"/>
  <c r="AE152" i="12"/>
  <c r="AH152" i="12" s="1"/>
  <c r="AJ152" i="12" s="1"/>
  <c r="AE151" i="12"/>
  <c r="AH151" i="12" s="1"/>
  <c r="AJ151" i="12" s="1"/>
  <c r="AE150" i="12"/>
  <c r="AH150" i="12" s="1"/>
  <c r="AJ150" i="12" s="1"/>
  <c r="AE149" i="12"/>
  <c r="AH149" i="12" s="1"/>
  <c r="AJ149" i="12" s="1"/>
  <c r="AI145" i="12"/>
  <c r="AF145" i="12"/>
  <c r="AC145" i="12"/>
  <c r="AB145" i="12"/>
  <c r="AA145" i="12"/>
  <c r="Z145" i="12"/>
  <c r="Y145" i="12"/>
  <c r="X145" i="12"/>
  <c r="W145" i="12"/>
  <c r="V145" i="12"/>
  <c r="T145" i="12"/>
  <c r="S145" i="12"/>
  <c r="R145" i="12"/>
  <c r="Q145" i="12"/>
  <c r="P145" i="12"/>
  <c r="O145" i="12"/>
  <c r="N145" i="12"/>
  <c r="M145" i="12"/>
  <c r="K145" i="12"/>
  <c r="J145" i="12"/>
  <c r="I145" i="12"/>
  <c r="H145" i="12"/>
  <c r="G145" i="12"/>
  <c r="F145" i="12"/>
  <c r="E145" i="12"/>
  <c r="AE144" i="12"/>
  <c r="AH144" i="12" s="1"/>
  <c r="AJ144" i="12" s="1"/>
  <c r="AE143" i="12"/>
  <c r="AH143" i="12" s="1"/>
  <c r="AJ143" i="12" s="1"/>
  <c r="AE142" i="12"/>
  <c r="AH142" i="12" s="1"/>
  <c r="AJ142" i="12" s="1"/>
  <c r="AE141" i="12"/>
  <c r="AI138" i="12"/>
  <c r="AG138" i="12"/>
  <c r="AF138" i="12"/>
  <c r="AC138" i="12"/>
  <c r="AB138" i="12"/>
  <c r="AA138" i="12"/>
  <c r="Z138" i="12"/>
  <c r="Y138" i="12"/>
  <c r="X138" i="12"/>
  <c r="W138" i="12"/>
  <c r="V138" i="12"/>
  <c r="T138" i="12"/>
  <c r="S138" i="12"/>
  <c r="R138" i="12"/>
  <c r="Q138" i="12"/>
  <c r="P138" i="12"/>
  <c r="O138" i="12"/>
  <c r="N138" i="12"/>
  <c r="M138" i="12"/>
  <c r="K138" i="12"/>
  <c r="J138" i="12"/>
  <c r="I138" i="12"/>
  <c r="H138" i="12"/>
  <c r="G138" i="12"/>
  <c r="F138" i="12"/>
  <c r="E138" i="12"/>
  <c r="AE137" i="12"/>
  <c r="AH137" i="12" s="1"/>
  <c r="AJ137" i="12" s="1"/>
  <c r="AE136" i="12"/>
  <c r="AH136" i="12" s="1"/>
  <c r="AJ136" i="12" s="1"/>
  <c r="AE135" i="12"/>
  <c r="AH135" i="12" s="1"/>
  <c r="AJ135" i="12" s="1"/>
  <c r="AE134" i="12"/>
  <c r="AH134" i="12" s="1"/>
  <c r="AJ134" i="12" s="1"/>
  <c r="AE133" i="12"/>
  <c r="AI115" i="12"/>
  <c r="AG115" i="12"/>
  <c r="AF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AE114" i="12"/>
  <c r="AH114" i="12" s="1"/>
  <c r="AJ114" i="12" s="1"/>
  <c r="AE113" i="12"/>
  <c r="AH113" i="12" s="1"/>
  <c r="AJ113" i="12" s="1"/>
  <c r="AE112" i="12"/>
  <c r="AH112" i="12" s="1"/>
  <c r="AJ112" i="12" s="1"/>
  <c r="AE111" i="12"/>
  <c r="AH111" i="12" s="1"/>
  <c r="AJ111" i="12" s="1"/>
  <c r="AE110" i="12"/>
  <c r="AH110" i="12" s="1"/>
  <c r="AJ110" i="12" s="1"/>
  <c r="AE109" i="12"/>
  <c r="AH109" i="12" s="1"/>
  <c r="AJ109" i="12" s="1"/>
  <c r="AE108" i="12"/>
  <c r="AH108" i="12" s="1"/>
  <c r="AJ108" i="12" s="1"/>
  <c r="AE107" i="12"/>
  <c r="AH107" i="12" s="1"/>
  <c r="AJ107" i="12" s="1"/>
  <c r="AE106" i="12"/>
  <c r="AH106" i="12" s="1"/>
  <c r="AJ106" i="12" s="1"/>
  <c r="AE105" i="12"/>
  <c r="AH105" i="12" s="1"/>
  <c r="AJ105" i="12" s="1"/>
  <c r="AE104" i="12"/>
  <c r="AH104" i="12" s="1"/>
  <c r="AJ104" i="12" s="1"/>
  <c r="AE103" i="12"/>
  <c r="AI82" i="12"/>
  <c r="AG82" i="12"/>
  <c r="AF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AE81" i="12"/>
  <c r="AH81" i="12" s="1"/>
  <c r="AJ81" i="12" s="1"/>
  <c r="AE80" i="12"/>
  <c r="AH80" i="12" s="1"/>
  <c r="AJ80" i="12" s="1"/>
  <c r="AE79" i="12"/>
  <c r="AH79" i="12" s="1"/>
  <c r="AJ79" i="12" s="1"/>
  <c r="AE78" i="12"/>
  <c r="AH78" i="12" s="1"/>
  <c r="AJ78" i="12" s="1"/>
  <c r="AE77" i="12"/>
  <c r="AH77" i="12" s="1"/>
  <c r="AJ77" i="12" s="1"/>
  <c r="AE76" i="12"/>
  <c r="AH76" i="12" s="1"/>
  <c r="AJ76" i="12" s="1"/>
  <c r="AE75" i="12"/>
  <c r="AH75" i="12" s="1"/>
  <c r="AJ75" i="12" s="1"/>
  <c r="AE74" i="12"/>
  <c r="AH74" i="12" s="1"/>
  <c r="AJ74" i="12" s="1"/>
  <c r="AE73" i="12"/>
  <c r="AH73" i="12" s="1"/>
  <c r="AJ73" i="12" s="1"/>
  <c r="AE72" i="12"/>
  <c r="AH72" i="12" s="1"/>
  <c r="AJ72" i="12" s="1"/>
  <c r="AE71" i="12"/>
  <c r="AH71" i="12" s="1"/>
  <c r="AJ71" i="12" s="1"/>
  <c r="AE70" i="12"/>
  <c r="AH70" i="12" s="1"/>
  <c r="AJ70" i="12" s="1"/>
  <c r="AI68" i="12"/>
  <c r="AG68" i="12"/>
  <c r="AF68" i="12"/>
  <c r="AC68" i="12"/>
  <c r="AB68" i="12"/>
  <c r="AA68" i="12"/>
  <c r="Z68" i="12"/>
  <c r="Y68" i="12"/>
  <c r="X68" i="12"/>
  <c r="W68" i="12"/>
  <c r="V68" i="12"/>
  <c r="T68" i="12"/>
  <c r="S68" i="12"/>
  <c r="R68" i="12"/>
  <c r="Q68" i="12"/>
  <c r="P68" i="12"/>
  <c r="O68" i="12"/>
  <c r="N68" i="12"/>
  <c r="M68" i="12"/>
  <c r="K68" i="12"/>
  <c r="J68" i="12"/>
  <c r="I68" i="12"/>
  <c r="H68" i="12"/>
  <c r="G68" i="12"/>
  <c r="F68" i="12"/>
  <c r="E68" i="12"/>
  <c r="AE67" i="12"/>
  <c r="AH67" i="12" s="1"/>
  <c r="AJ67" i="12" s="1"/>
  <c r="AE66" i="12"/>
  <c r="AH66" i="12" s="1"/>
  <c r="AJ66" i="12" s="1"/>
  <c r="AE65" i="12"/>
  <c r="AH65" i="12" s="1"/>
  <c r="AJ65" i="12" s="1"/>
  <c r="AE64" i="12"/>
  <c r="AH64" i="12" s="1"/>
  <c r="AJ64" i="12" s="1"/>
  <c r="AE63" i="12"/>
  <c r="AH63" i="12" s="1"/>
  <c r="AJ63" i="12" s="1"/>
  <c r="AE62" i="12"/>
  <c r="AH62" i="12" s="1"/>
  <c r="AJ62" i="12" s="1"/>
  <c r="AE61" i="12"/>
  <c r="AH61" i="12" s="1"/>
  <c r="AJ61" i="12" s="1"/>
  <c r="AE60" i="12"/>
  <c r="AH60" i="12" s="1"/>
  <c r="AJ60" i="12" s="1"/>
  <c r="AE59" i="12"/>
  <c r="AH59" i="12" s="1"/>
  <c r="AJ59" i="12" s="1"/>
  <c r="AE58" i="12"/>
  <c r="AH58" i="12" s="1"/>
  <c r="AJ58" i="12" s="1"/>
  <c r="AE57" i="12"/>
  <c r="AH57" i="12" s="1"/>
  <c r="AJ57" i="12" s="1"/>
  <c r="AE56" i="12"/>
  <c r="AH56" i="12" s="1"/>
  <c r="AI53" i="12"/>
  <c r="AG53" i="12"/>
  <c r="AF53" i="12"/>
  <c r="AC53" i="12"/>
  <c r="AB53" i="12"/>
  <c r="AA53" i="12"/>
  <c r="Z53" i="12"/>
  <c r="Y53" i="12"/>
  <c r="X53" i="12"/>
  <c r="W53" i="12"/>
  <c r="V53" i="12"/>
  <c r="T53" i="12"/>
  <c r="S53" i="12"/>
  <c r="R53" i="12"/>
  <c r="Q53" i="12"/>
  <c r="P53" i="12"/>
  <c r="O53" i="12"/>
  <c r="N53" i="12"/>
  <c r="M53" i="12"/>
  <c r="K53" i="12"/>
  <c r="J53" i="12"/>
  <c r="I53" i="12"/>
  <c r="H53" i="12"/>
  <c r="G53" i="12"/>
  <c r="F53" i="12"/>
  <c r="E53" i="12"/>
  <c r="AE52" i="12"/>
  <c r="AH52" i="12" s="1"/>
  <c r="AJ52" i="12" s="1"/>
  <c r="AE51" i="12"/>
  <c r="AH51" i="12" s="1"/>
  <c r="AJ51" i="12" s="1"/>
  <c r="AE50" i="12"/>
  <c r="AH50" i="12" s="1"/>
  <c r="AJ50" i="12" s="1"/>
  <c r="AE49" i="12"/>
  <c r="AH49" i="12" s="1"/>
  <c r="AJ49" i="12" s="1"/>
  <c r="AE48" i="12"/>
  <c r="AH48" i="12" s="1"/>
  <c r="AJ48" i="12" s="1"/>
  <c r="AE47" i="12"/>
  <c r="AH47" i="12" s="1"/>
  <c r="AJ47" i="12" s="1"/>
  <c r="AE46" i="12"/>
  <c r="AH46" i="12" s="1"/>
  <c r="AJ46" i="12" s="1"/>
  <c r="AE45" i="12"/>
  <c r="AH45" i="12" s="1"/>
  <c r="AJ45" i="12" s="1"/>
  <c r="AE44" i="12"/>
  <c r="AH44" i="12" s="1"/>
  <c r="AJ44" i="12" s="1"/>
  <c r="AE43" i="12"/>
  <c r="AH43" i="12" s="1"/>
  <c r="AJ43" i="12" s="1"/>
  <c r="AE42" i="12"/>
  <c r="AH42" i="12" s="1"/>
  <c r="AJ42" i="12" s="1"/>
  <c r="AE41" i="12"/>
  <c r="AI38" i="12"/>
  <c r="AG38" i="12"/>
  <c r="AF38" i="12"/>
  <c r="AD38" i="12"/>
  <c r="AC38" i="12"/>
  <c r="AC164" i="12" s="1"/>
  <c r="AB38" i="12"/>
  <c r="AA38" i="12"/>
  <c r="AA164" i="12" s="1"/>
  <c r="Z38" i="12"/>
  <c r="Y38" i="12"/>
  <c r="Y164" i="12" s="1"/>
  <c r="X38" i="12"/>
  <c r="W38" i="12"/>
  <c r="W164" i="12" s="1"/>
  <c r="V38" i="12"/>
  <c r="U38" i="12"/>
  <c r="T38" i="12"/>
  <c r="T164" i="12" s="1"/>
  <c r="S38" i="12"/>
  <c r="S164" i="12" s="1"/>
  <c r="R38" i="12"/>
  <c r="R164" i="12" s="1"/>
  <c r="Q38" i="12"/>
  <c r="Q164" i="12" s="1"/>
  <c r="P38" i="12"/>
  <c r="P164" i="12" s="1"/>
  <c r="O38" i="12"/>
  <c r="O164" i="12" s="1"/>
  <c r="N38" i="12"/>
  <c r="N164" i="12" s="1"/>
  <c r="M38" i="12"/>
  <c r="L38" i="12"/>
  <c r="L164" i="12" s="1"/>
  <c r="K38" i="12"/>
  <c r="K164" i="12" s="1"/>
  <c r="J38" i="12"/>
  <c r="I38" i="12"/>
  <c r="I164" i="12" s="1"/>
  <c r="H38" i="12"/>
  <c r="G38" i="12"/>
  <c r="G164" i="12" s="1"/>
  <c r="F38" i="12"/>
  <c r="E38" i="12"/>
  <c r="E164" i="12" s="1"/>
  <c r="AE37" i="12"/>
  <c r="AH37" i="12" s="1"/>
  <c r="AJ37" i="12" s="1"/>
  <c r="AE36" i="12"/>
  <c r="AH36" i="12" s="1"/>
  <c r="AJ36" i="12" s="1"/>
  <c r="AE35" i="12"/>
  <c r="AH35" i="12" s="1"/>
  <c r="AJ35" i="12" s="1"/>
  <c r="AE34" i="12"/>
  <c r="AH34" i="12" s="1"/>
  <c r="AJ34" i="12" s="1"/>
  <c r="AE33" i="12"/>
  <c r="AH33" i="12" s="1"/>
  <c r="AJ33" i="12" s="1"/>
  <c r="AE32" i="12"/>
  <c r="AH32" i="12" s="1"/>
  <c r="AJ32" i="12" s="1"/>
  <c r="AE31" i="12"/>
  <c r="AH31" i="12" s="1"/>
  <c r="AJ31" i="12" s="1"/>
  <c r="AE30" i="12"/>
  <c r="AH30" i="12" s="1"/>
  <c r="AJ30" i="12" s="1"/>
  <c r="AE29" i="12"/>
  <c r="AH29" i="12" s="1"/>
  <c r="AJ29" i="12" s="1"/>
  <c r="AE28" i="12"/>
  <c r="AH28" i="12" s="1"/>
  <c r="AJ28" i="12" s="1"/>
  <c r="AE27" i="12"/>
  <c r="AH27" i="12" s="1"/>
  <c r="AJ27" i="12" s="1"/>
  <c r="AE26" i="12"/>
  <c r="AH26" i="12" s="1"/>
  <c r="AJ26" i="12" s="1"/>
  <c r="AE25" i="12"/>
  <c r="AH25" i="12" s="1"/>
  <c r="AJ25" i="12" s="1"/>
  <c r="AE24" i="12"/>
  <c r="AH24" i="12" s="1"/>
  <c r="AJ24" i="12" s="1"/>
  <c r="AE23" i="12"/>
  <c r="AH23" i="12" s="1"/>
  <c r="AJ23" i="12" s="1"/>
  <c r="AE22" i="12"/>
  <c r="AH22" i="12" s="1"/>
  <c r="AJ22" i="12" s="1"/>
  <c r="AE21" i="12"/>
  <c r="AH21" i="12" s="1"/>
  <c r="AJ21" i="12" s="1"/>
  <c r="AE20" i="12"/>
  <c r="AH20" i="12" s="1"/>
  <c r="AJ20" i="12" s="1"/>
  <c r="AE19" i="12"/>
  <c r="AH19" i="12" s="1"/>
  <c r="AJ19" i="12" s="1"/>
  <c r="AE18" i="12"/>
  <c r="AH18" i="12" s="1"/>
  <c r="AJ18" i="12" s="1"/>
  <c r="AE17" i="12"/>
  <c r="AH17" i="12" s="1"/>
  <c r="AJ17" i="12" s="1"/>
  <c r="AE16" i="12"/>
  <c r="AH16" i="12" s="1"/>
  <c r="AJ16" i="12" s="1"/>
  <c r="AE15" i="12"/>
  <c r="AH15" i="12" s="1"/>
  <c r="AJ15" i="12" s="1"/>
  <c r="AE14" i="12"/>
  <c r="AH14" i="12" s="1"/>
  <c r="AJ14" i="12" s="1"/>
  <c r="AE13" i="12"/>
  <c r="AH13" i="12" s="1"/>
  <c r="AJ13" i="12" s="1"/>
  <c r="AE12" i="12"/>
  <c r="AH12" i="12" s="1"/>
  <c r="AJ12" i="12" s="1"/>
  <c r="AE11" i="12"/>
  <c r="AH11" i="12" s="1"/>
  <c r="AJ11" i="12" s="1"/>
  <c r="AE10" i="12"/>
  <c r="AH10" i="12" s="1"/>
  <c r="AJ10" i="12" s="1"/>
  <c r="AE9" i="12"/>
  <c r="AH9" i="12" s="1"/>
  <c r="AJ9" i="12" s="1"/>
  <c r="AE8" i="12"/>
  <c r="AH8" i="12" s="1"/>
  <c r="AJ8" i="12" s="1"/>
  <c r="AE7" i="12"/>
  <c r="AH7" i="12" s="1"/>
  <c r="AJ7" i="12" s="1"/>
  <c r="AE6" i="12"/>
  <c r="AH6" i="12" s="1"/>
  <c r="AJ6" i="12" s="1"/>
  <c r="AE5" i="12"/>
  <c r="AE4" i="12"/>
  <c r="A4" i="12"/>
  <c r="AI294" i="7"/>
  <c r="AF294" i="7"/>
  <c r="AC294" i="7"/>
  <c r="AB294" i="7"/>
  <c r="AA294" i="7"/>
  <c r="Z294" i="7"/>
  <c r="Y294" i="7"/>
  <c r="X294" i="7"/>
  <c r="W294" i="7"/>
  <c r="V294" i="7"/>
  <c r="T294" i="7"/>
  <c r="S294" i="7"/>
  <c r="R294" i="7"/>
  <c r="Q294" i="7"/>
  <c r="P294" i="7"/>
  <c r="O294" i="7"/>
  <c r="N294" i="7"/>
  <c r="M294" i="7"/>
  <c r="K294" i="7"/>
  <c r="J294" i="7"/>
  <c r="I294" i="7"/>
  <c r="H294" i="7"/>
  <c r="G294" i="7"/>
  <c r="F294" i="7"/>
  <c r="E294" i="7"/>
  <c r="AE293" i="7"/>
  <c r="AH293" i="7" s="1"/>
  <c r="AJ293" i="7" s="1"/>
  <c r="AE292" i="7"/>
  <c r="AC291" i="7"/>
  <c r="AB291" i="7"/>
  <c r="AA291" i="7"/>
  <c r="Y291" i="7"/>
  <c r="W291" i="7"/>
  <c r="V291" i="7"/>
  <c r="AI288" i="7"/>
  <c r="AI289" i="7" s="1"/>
  <c r="AG288" i="7"/>
  <c r="AG289" i="7" s="1"/>
  <c r="AF288" i="7"/>
  <c r="M164" i="19" s="1"/>
  <c r="AC288" i="7"/>
  <c r="AB288" i="7"/>
  <c r="AB289" i="7" s="1"/>
  <c r="AA288" i="7"/>
  <c r="Z288" i="7"/>
  <c r="Z289" i="7" s="1"/>
  <c r="Y288" i="7"/>
  <c r="X288" i="7"/>
  <c r="W288" i="7"/>
  <c r="V288" i="7"/>
  <c r="V289" i="7" s="1"/>
  <c r="T288" i="7"/>
  <c r="T289" i="7" s="1"/>
  <c r="S288" i="7"/>
  <c r="S289" i="7" s="1"/>
  <c r="Q288" i="7"/>
  <c r="P288" i="7"/>
  <c r="P289" i="7" s="1"/>
  <c r="O288" i="7"/>
  <c r="N288" i="7"/>
  <c r="N289" i="7" s="1"/>
  <c r="M288" i="7"/>
  <c r="K288" i="7"/>
  <c r="K289" i="7" s="1"/>
  <c r="J288" i="7"/>
  <c r="I288" i="7"/>
  <c r="I289" i="7" s="1"/>
  <c r="H288" i="7"/>
  <c r="G288" i="7"/>
  <c r="G289" i="7" s="1"/>
  <c r="F288" i="7"/>
  <c r="F289" i="7" s="1"/>
  <c r="E289" i="7"/>
  <c r="AE287" i="7"/>
  <c r="AH287" i="7" s="1"/>
  <c r="AJ287" i="7" s="1"/>
  <c r="AE283" i="7"/>
  <c r="AH283" i="7" s="1"/>
  <c r="AJ283" i="7" s="1"/>
  <c r="AE282" i="7"/>
  <c r="AH282" i="7" s="1"/>
  <c r="AJ282" i="7" s="1"/>
  <c r="AE281" i="7"/>
  <c r="AH281" i="7" s="1"/>
  <c r="AJ281" i="7" s="1"/>
  <c r="AE280" i="7"/>
  <c r="AH280" i="7" s="1"/>
  <c r="AJ280" i="7" s="1"/>
  <c r="AE279" i="7"/>
  <c r="AH279" i="7" s="1"/>
  <c r="AJ279" i="7" s="1"/>
  <c r="AE278" i="7"/>
  <c r="AH278" i="7" s="1"/>
  <c r="AJ278" i="7" s="1"/>
  <c r="AE277" i="7"/>
  <c r="AH277" i="7" s="1"/>
  <c r="AJ277" i="7" s="1"/>
  <c r="AE276" i="7"/>
  <c r="AH276" i="7" s="1"/>
  <c r="AJ276" i="7" s="1"/>
  <c r="AE275" i="7"/>
  <c r="AH275" i="7" s="1"/>
  <c r="AJ275" i="7" s="1"/>
  <c r="AE274" i="7"/>
  <c r="AH274" i="7" s="1"/>
  <c r="AJ274" i="7" s="1"/>
  <c r="AE273" i="7"/>
  <c r="AH273" i="7" s="1"/>
  <c r="AJ273" i="7" s="1"/>
  <c r="AE272" i="7"/>
  <c r="AH272" i="7" s="1"/>
  <c r="AJ272" i="7" s="1"/>
  <c r="AE271" i="7"/>
  <c r="AH271" i="7" s="1"/>
  <c r="AJ271" i="7" s="1"/>
  <c r="AE270" i="7"/>
  <c r="AH270" i="7" s="1"/>
  <c r="AJ270" i="7" s="1"/>
  <c r="AE269" i="7"/>
  <c r="AH269" i="7" s="1"/>
  <c r="AJ269" i="7" s="1"/>
  <c r="AE268" i="7"/>
  <c r="AH268" i="7" s="1"/>
  <c r="AJ268" i="7" s="1"/>
  <c r="AE267" i="7"/>
  <c r="AH267" i="7" s="1"/>
  <c r="AJ267" i="7" s="1"/>
  <c r="AE266" i="7"/>
  <c r="AH266" i="7" s="1"/>
  <c r="AJ266" i="7" s="1"/>
  <c r="AE265" i="7"/>
  <c r="AH265" i="7" s="1"/>
  <c r="AJ265" i="7" s="1"/>
  <c r="AE264" i="7"/>
  <c r="AH264" i="7" s="1"/>
  <c r="AJ264" i="7" s="1"/>
  <c r="AE263" i="7"/>
  <c r="AH263" i="7" s="1"/>
  <c r="AJ263" i="7" s="1"/>
  <c r="AE262" i="7"/>
  <c r="AH262" i="7" s="1"/>
  <c r="AJ262" i="7" s="1"/>
  <c r="AE261" i="7"/>
  <c r="AH261" i="7" s="1"/>
  <c r="AJ261" i="7" s="1"/>
  <c r="AE260" i="7"/>
  <c r="AH260" i="7" s="1"/>
  <c r="AJ260" i="7" s="1"/>
  <c r="AE259" i="7"/>
  <c r="AH259" i="7" s="1"/>
  <c r="AJ259" i="7" s="1"/>
  <c r="AE258" i="7"/>
  <c r="AH258" i="7" s="1"/>
  <c r="AJ258" i="7" s="1"/>
  <c r="AE257" i="7"/>
  <c r="AH257" i="7" s="1"/>
  <c r="AJ257" i="7" s="1"/>
  <c r="AE256" i="7"/>
  <c r="AH256" i="7" s="1"/>
  <c r="AJ256" i="7" s="1"/>
  <c r="AE255" i="7"/>
  <c r="AH255" i="7" s="1"/>
  <c r="AJ255" i="7" s="1"/>
  <c r="AE254" i="7"/>
  <c r="AH254" i="7" s="1"/>
  <c r="AJ254" i="7" s="1"/>
  <c r="AE253" i="7"/>
  <c r="AH253" i="7" s="1"/>
  <c r="AJ253" i="7" s="1"/>
  <c r="AE252" i="7"/>
  <c r="AH252" i="7" s="1"/>
  <c r="AJ252" i="7" s="1"/>
  <c r="AE250" i="7"/>
  <c r="AH250" i="7" s="1"/>
  <c r="AJ250" i="7" s="1"/>
  <c r="AE249" i="7"/>
  <c r="AH249" i="7" s="1"/>
  <c r="AJ249" i="7" s="1"/>
  <c r="AE248" i="7"/>
  <c r="AH248" i="7" s="1"/>
  <c r="AJ248" i="7" s="1"/>
  <c r="AE247" i="7"/>
  <c r="AH247" i="7" s="1"/>
  <c r="AJ247" i="7" s="1"/>
  <c r="AH246" i="7"/>
  <c r="AJ246" i="7" s="1"/>
  <c r="AE245" i="7"/>
  <c r="AH245" i="7" s="1"/>
  <c r="AJ245" i="7" s="1"/>
  <c r="AH244" i="7"/>
  <c r="AJ244" i="7" s="1"/>
  <c r="AE243" i="7"/>
  <c r="AH243" i="7" s="1"/>
  <c r="AJ243" i="7" s="1"/>
  <c r="AE242" i="7"/>
  <c r="AH242" i="7" s="1"/>
  <c r="AJ242" i="7" s="1"/>
  <c r="AE241" i="7"/>
  <c r="AH241" i="7" s="1"/>
  <c r="AJ241" i="7" s="1"/>
  <c r="AE240" i="7"/>
  <c r="AH240" i="7" s="1"/>
  <c r="AJ240" i="7" s="1"/>
  <c r="AE239" i="7"/>
  <c r="AH239" i="7" s="1"/>
  <c r="AJ239" i="7" s="1"/>
  <c r="AE238" i="7"/>
  <c r="AH238" i="7" s="1"/>
  <c r="AJ238" i="7" s="1"/>
  <c r="AE237" i="7"/>
  <c r="AH237" i="7" s="1"/>
  <c r="AJ237" i="7" s="1"/>
  <c r="AE236" i="7"/>
  <c r="AH236" i="7" s="1"/>
  <c r="AJ236" i="7" s="1"/>
  <c r="AE235" i="7"/>
  <c r="AH235" i="7" s="1"/>
  <c r="AJ235" i="7" s="1"/>
  <c r="AE234" i="7"/>
  <c r="AH234" i="7" s="1"/>
  <c r="AJ234" i="7" s="1"/>
  <c r="AE233" i="7"/>
  <c r="AH233" i="7" s="1"/>
  <c r="AJ233" i="7" s="1"/>
  <c r="AE232" i="7"/>
  <c r="AH232" i="7" s="1"/>
  <c r="AJ232" i="7" s="1"/>
  <c r="AE231" i="7"/>
  <c r="AH231" i="7" s="1"/>
  <c r="AJ231" i="7" s="1"/>
  <c r="AE230" i="7"/>
  <c r="AH230" i="7" s="1"/>
  <c r="AJ230" i="7" s="1"/>
  <c r="AE229" i="7"/>
  <c r="AH229" i="7" s="1"/>
  <c r="AJ229" i="7" s="1"/>
  <c r="AE227" i="7"/>
  <c r="AH227" i="7" s="1"/>
  <c r="AJ227" i="7" s="1"/>
  <c r="AE226" i="7"/>
  <c r="AH226" i="7" s="1"/>
  <c r="AJ226" i="7" s="1"/>
  <c r="AE221" i="7"/>
  <c r="AH221" i="7" s="1"/>
  <c r="AJ221" i="7" s="1"/>
  <c r="AE220" i="7"/>
  <c r="AH220" i="7" s="1"/>
  <c r="AJ220" i="7" s="1"/>
  <c r="AE218" i="7"/>
  <c r="AH218" i="7" s="1"/>
  <c r="AJ218" i="7" s="1"/>
  <c r="AE217" i="7"/>
  <c r="AH217" i="7" s="1"/>
  <c r="AJ217" i="7" s="1"/>
  <c r="AE216" i="7"/>
  <c r="AH216" i="7" s="1"/>
  <c r="AJ216" i="7" s="1"/>
  <c r="AE214" i="7"/>
  <c r="AH214" i="7" s="1"/>
  <c r="AJ214" i="7" s="1"/>
  <c r="AE213" i="7"/>
  <c r="AH213" i="7" s="1"/>
  <c r="V211" i="7"/>
  <c r="AI206" i="7"/>
  <c r="AF206" i="7"/>
  <c r="AC206" i="7"/>
  <c r="AB206" i="7"/>
  <c r="AA206" i="7"/>
  <c r="Z206" i="7"/>
  <c r="Y206" i="7"/>
  <c r="X206" i="7"/>
  <c r="W206" i="7"/>
  <c r="V206" i="7"/>
  <c r="T206" i="7"/>
  <c r="S206" i="7"/>
  <c r="R206" i="7"/>
  <c r="Q206" i="7"/>
  <c r="P206" i="7"/>
  <c r="O206" i="7"/>
  <c r="N206" i="7"/>
  <c r="K206" i="7"/>
  <c r="J206" i="7"/>
  <c r="I206" i="7"/>
  <c r="H206" i="7"/>
  <c r="G206" i="7"/>
  <c r="F206" i="7"/>
  <c r="E206" i="7"/>
  <c r="AE205" i="7"/>
  <c r="AH205" i="7" s="1"/>
  <c r="AJ205" i="7" s="1"/>
  <c r="AE204" i="7"/>
  <c r="AH204" i="7" s="1"/>
  <c r="AJ204" i="7" s="1"/>
  <c r="AE203" i="7"/>
  <c r="AH203" i="7" s="1"/>
  <c r="AJ203" i="7" s="1"/>
  <c r="AE202" i="7"/>
  <c r="AH202" i="7" s="1"/>
  <c r="AJ202" i="7" s="1"/>
  <c r="AE201" i="7"/>
  <c r="AI198" i="7"/>
  <c r="AF198" i="7"/>
  <c r="AC198" i="7"/>
  <c r="AB198" i="7"/>
  <c r="AA198" i="7"/>
  <c r="Z198" i="7"/>
  <c r="Y198" i="7"/>
  <c r="X198" i="7"/>
  <c r="W198" i="7"/>
  <c r="V198" i="7"/>
  <c r="T198" i="7"/>
  <c r="S198" i="7"/>
  <c r="R198" i="7"/>
  <c r="Q198" i="7"/>
  <c r="P198" i="7"/>
  <c r="O198" i="7"/>
  <c r="N198" i="7"/>
  <c r="M198" i="7"/>
  <c r="K198" i="7"/>
  <c r="J198" i="7"/>
  <c r="I198" i="7"/>
  <c r="H198" i="7"/>
  <c r="G198" i="7"/>
  <c r="F198" i="7"/>
  <c r="E198" i="7"/>
  <c r="AE197" i="7"/>
  <c r="AH197" i="7" s="1"/>
  <c r="AJ197" i="7" s="1"/>
  <c r="AE196" i="7"/>
  <c r="AH196" i="7" s="1"/>
  <c r="AJ196" i="7" s="1"/>
  <c r="AE195" i="7"/>
  <c r="AH195" i="7" s="1"/>
  <c r="AJ195" i="7" s="1"/>
  <c r="AE194" i="7"/>
  <c r="AH194" i="7" s="1"/>
  <c r="AJ194" i="7" s="1"/>
  <c r="AE193" i="7"/>
  <c r="AH193" i="7" s="1"/>
  <c r="AJ193" i="7" s="1"/>
  <c r="AE192" i="7"/>
  <c r="AI189" i="7"/>
  <c r="AF189" i="7"/>
  <c r="AC189" i="7"/>
  <c r="AB189" i="7"/>
  <c r="AA189" i="7"/>
  <c r="Z189" i="7"/>
  <c r="Y189" i="7"/>
  <c r="X189" i="7"/>
  <c r="W189" i="7"/>
  <c r="V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AE188" i="7"/>
  <c r="AH188" i="7" s="1"/>
  <c r="AJ188" i="7" s="1"/>
  <c r="AE187" i="7"/>
  <c r="AH187" i="7" s="1"/>
  <c r="AJ187" i="7" s="1"/>
  <c r="AE186" i="7"/>
  <c r="AH186" i="7" s="1"/>
  <c r="AJ186" i="7" s="1"/>
  <c r="AE185" i="7"/>
  <c r="AH185" i="7" s="1"/>
  <c r="AI182" i="7"/>
  <c r="AG182" i="7"/>
  <c r="AF182" i="7"/>
  <c r="AC182" i="7"/>
  <c r="AB182" i="7"/>
  <c r="AA182" i="7"/>
  <c r="Z182" i="7"/>
  <c r="Y182" i="7"/>
  <c r="X182" i="7"/>
  <c r="W182" i="7"/>
  <c r="V182" i="7"/>
  <c r="T182" i="7"/>
  <c r="S182" i="7"/>
  <c r="R182" i="7"/>
  <c r="Q182" i="7"/>
  <c r="P182" i="7"/>
  <c r="O182" i="7"/>
  <c r="N182" i="7"/>
  <c r="M182" i="7"/>
  <c r="K182" i="7"/>
  <c r="J182" i="7"/>
  <c r="I182" i="7"/>
  <c r="H182" i="7"/>
  <c r="G182" i="7"/>
  <c r="F182" i="7"/>
  <c r="E182" i="7"/>
  <c r="AE181" i="7"/>
  <c r="AH181" i="7" s="1"/>
  <c r="AJ181" i="7" s="1"/>
  <c r="AE180" i="7"/>
  <c r="AH180" i="7" s="1"/>
  <c r="AJ180" i="7" s="1"/>
  <c r="AE179" i="7"/>
  <c r="AH179" i="7" s="1"/>
  <c r="AJ179" i="7" s="1"/>
  <c r="AE178" i="7"/>
  <c r="AH178" i="7" s="1"/>
  <c r="AJ178" i="7" s="1"/>
  <c r="AE177" i="7"/>
  <c r="AH177" i="7" s="1"/>
  <c r="AI174" i="7"/>
  <c r="AG174" i="7"/>
  <c r="AF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AE173" i="7"/>
  <c r="AH173" i="7" s="1"/>
  <c r="AJ173" i="7" s="1"/>
  <c r="AE172" i="7"/>
  <c r="AH172" i="7" s="1"/>
  <c r="AJ172" i="7" s="1"/>
  <c r="AE171" i="7"/>
  <c r="AH171" i="7" s="1"/>
  <c r="AJ171" i="7" s="1"/>
  <c r="AE170" i="7"/>
  <c r="AH170" i="7" s="1"/>
  <c r="AJ170" i="7" s="1"/>
  <c r="AE169" i="7"/>
  <c r="AH169" i="7" s="1"/>
  <c r="AJ169" i="7" s="1"/>
  <c r="AE168" i="7"/>
  <c r="AH168" i="7" s="1"/>
  <c r="AJ168" i="7" s="1"/>
  <c r="AE167" i="7"/>
  <c r="AH167" i="7" s="1"/>
  <c r="AJ167" i="7" s="1"/>
  <c r="AE166" i="7"/>
  <c r="AH166" i="7" s="1"/>
  <c r="AJ166" i="7" s="1"/>
  <c r="AE165" i="7"/>
  <c r="AH165" i="7" s="1"/>
  <c r="AJ165" i="7" s="1"/>
  <c r="AE164" i="7"/>
  <c r="AH164" i="7" s="1"/>
  <c r="AJ164" i="7" s="1"/>
  <c r="AE163" i="7"/>
  <c r="AH163" i="7" s="1"/>
  <c r="AJ163" i="7" s="1"/>
  <c r="AE162" i="7"/>
  <c r="AH162" i="7" s="1"/>
  <c r="AJ162" i="7" s="1"/>
  <c r="AE161" i="7"/>
  <c r="AH161" i="7" s="1"/>
  <c r="AJ161" i="7" s="1"/>
  <c r="AE160" i="7"/>
  <c r="AH160" i="7" s="1"/>
  <c r="AJ160" i="7" s="1"/>
  <c r="AE159" i="7"/>
  <c r="AH159" i="7" s="1"/>
  <c r="AJ159" i="7" s="1"/>
  <c r="AE158" i="7"/>
  <c r="AH158" i="7" s="1"/>
  <c r="AJ158" i="7" s="1"/>
  <c r="AE157" i="7"/>
  <c r="AH157" i="7" s="1"/>
  <c r="AJ157" i="7" s="1"/>
  <c r="AE156" i="7"/>
  <c r="AH156" i="7" s="1"/>
  <c r="AJ156" i="7" s="1"/>
  <c r="AE155" i="7"/>
  <c r="AH155" i="7" s="1"/>
  <c r="AJ155" i="7" s="1"/>
  <c r="AE154" i="7"/>
  <c r="AH154" i="7" s="1"/>
  <c r="AJ154" i="7" s="1"/>
  <c r="AE153" i="7"/>
  <c r="AH153" i="7" s="1"/>
  <c r="AJ153" i="7" s="1"/>
  <c r="AE152" i="7"/>
  <c r="AH152" i="7" s="1"/>
  <c r="AJ152" i="7" s="1"/>
  <c r="AE151" i="7"/>
  <c r="AH151" i="7" s="1"/>
  <c r="AJ151" i="7" s="1"/>
  <c r="AE150" i="7"/>
  <c r="AH150" i="7" s="1"/>
  <c r="AJ150" i="7" s="1"/>
  <c r="AE149" i="7"/>
  <c r="AH149" i="7" s="1"/>
  <c r="AJ149" i="7" s="1"/>
  <c r="AE148" i="7"/>
  <c r="AH148" i="7" s="1"/>
  <c r="AJ148" i="7" s="1"/>
  <c r="AE147" i="7"/>
  <c r="AH147" i="7" s="1"/>
  <c r="AJ147" i="7" s="1"/>
  <c r="AE146" i="7"/>
  <c r="AH146" i="7" s="1"/>
  <c r="AJ146" i="7" s="1"/>
  <c r="AI113" i="7"/>
  <c r="AG113" i="7"/>
  <c r="AC113" i="7"/>
  <c r="AB113" i="7"/>
  <c r="AA113" i="7"/>
  <c r="Z113" i="7"/>
  <c r="Y113" i="7"/>
  <c r="X113" i="7"/>
  <c r="W113" i="7"/>
  <c r="V113" i="7"/>
  <c r="T113" i="7"/>
  <c r="S113" i="7"/>
  <c r="R113" i="7"/>
  <c r="Q113" i="7"/>
  <c r="P113" i="7"/>
  <c r="O113" i="7"/>
  <c r="N113" i="7"/>
  <c r="M113" i="7"/>
  <c r="K113" i="7"/>
  <c r="J113" i="7"/>
  <c r="I113" i="7"/>
  <c r="H113" i="7"/>
  <c r="G113" i="7"/>
  <c r="F113" i="7"/>
  <c r="E113" i="7"/>
  <c r="AE112" i="7"/>
  <c r="AH112" i="7" s="1"/>
  <c r="AJ112" i="7" s="1"/>
  <c r="AE111" i="7"/>
  <c r="AH111" i="7" s="1"/>
  <c r="AJ111" i="7" s="1"/>
  <c r="AE106" i="7"/>
  <c r="AH106" i="7" s="1"/>
  <c r="AJ106" i="7" s="1"/>
  <c r="AE105" i="7"/>
  <c r="AH105" i="7" s="1"/>
  <c r="AJ105" i="7" s="1"/>
  <c r="AE104" i="7"/>
  <c r="AH104" i="7" s="1"/>
  <c r="AJ104" i="7" s="1"/>
  <c r="AE103" i="7"/>
  <c r="AH103" i="7" s="1"/>
  <c r="AJ103" i="7" s="1"/>
  <c r="AE102" i="7"/>
  <c r="AH102" i="7" s="1"/>
  <c r="AJ102" i="7" s="1"/>
  <c r="AE101" i="7"/>
  <c r="AH101" i="7" s="1"/>
  <c r="AJ101" i="7" s="1"/>
  <c r="AE100" i="7"/>
  <c r="AH100" i="7" s="1"/>
  <c r="AJ100" i="7" s="1"/>
  <c r="AE99" i="7"/>
  <c r="AH99" i="7" s="1"/>
  <c r="AJ99" i="7" s="1"/>
  <c r="AE98" i="7"/>
  <c r="AH98" i="7" s="1"/>
  <c r="AJ98" i="7" s="1"/>
  <c r="AE97" i="7"/>
  <c r="AH97" i="7" s="1"/>
  <c r="AJ97" i="7" s="1"/>
  <c r="AE96" i="7"/>
  <c r="AH96" i="7" s="1"/>
  <c r="AJ96" i="7" s="1"/>
  <c r="AE95" i="7"/>
  <c r="AH95" i="7" s="1"/>
  <c r="AJ95" i="7" s="1"/>
  <c r="AE94" i="7"/>
  <c r="AH94" i="7" s="1"/>
  <c r="AJ94" i="7" s="1"/>
  <c r="AE93" i="7"/>
  <c r="AH93" i="7" s="1"/>
  <c r="AJ93" i="7" s="1"/>
  <c r="AE92" i="7"/>
  <c r="AH92" i="7" s="1"/>
  <c r="AJ92" i="7" s="1"/>
  <c r="AE91" i="7"/>
  <c r="AH91" i="7" s="1"/>
  <c r="AJ91" i="7" s="1"/>
  <c r="AE90" i="7"/>
  <c r="AH90" i="7" s="1"/>
  <c r="AJ90" i="7" s="1"/>
  <c r="AE89" i="7"/>
  <c r="AH89" i="7" s="1"/>
  <c r="AJ89" i="7" s="1"/>
  <c r="AE88" i="7"/>
  <c r="AH88" i="7" s="1"/>
  <c r="AJ88" i="7" s="1"/>
  <c r="AE87" i="7"/>
  <c r="AI85" i="7"/>
  <c r="AG85" i="7"/>
  <c r="AF85" i="7"/>
  <c r="AC85" i="7"/>
  <c r="AB85" i="7"/>
  <c r="AA85" i="7"/>
  <c r="Z85" i="7"/>
  <c r="Y85" i="7"/>
  <c r="X85" i="7"/>
  <c r="W85" i="7"/>
  <c r="V85" i="7"/>
  <c r="T85" i="7"/>
  <c r="S85" i="7"/>
  <c r="R85" i="7"/>
  <c r="Q85" i="7"/>
  <c r="P85" i="7"/>
  <c r="O85" i="7"/>
  <c r="N85" i="7"/>
  <c r="M85" i="7"/>
  <c r="K85" i="7"/>
  <c r="J85" i="7"/>
  <c r="I85" i="7"/>
  <c r="H85" i="7"/>
  <c r="G85" i="7"/>
  <c r="F85" i="7"/>
  <c r="E85" i="7"/>
  <c r="AE84" i="7"/>
  <c r="AH84" i="7" s="1"/>
  <c r="AJ84" i="7" s="1"/>
  <c r="AE83" i="7"/>
  <c r="AH83" i="7" s="1"/>
  <c r="AJ83" i="7" s="1"/>
  <c r="AE82" i="7"/>
  <c r="AH82" i="7" s="1"/>
  <c r="AJ82" i="7" s="1"/>
  <c r="AE81" i="7"/>
  <c r="AH81" i="7" s="1"/>
  <c r="AJ81" i="7" s="1"/>
  <c r="AE80" i="7"/>
  <c r="AH80" i="7" s="1"/>
  <c r="AJ80" i="7" s="1"/>
  <c r="AE79" i="7"/>
  <c r="AH79" i="7" s="1"/>
  <c r="AJ79" i="7" s="1"/>
  <c r="AE78" i="7"/>
  <c r="AH78" i="7" s="1"/>
  <c r="AJ78" i="7" s="1"/>
  <c r="AE77" i="7"/>
  <c r="AH77" i="7" s="1"/>
  <c r="AJ77" i="7" s="1"/>
  <c r="AE76" i="7"/>
  <c r="AH76" i="7" s="1"/>
  <c r="AJ76" i="7" s="1"/>
  <c r="AE75" i="7"/>
  <c r="AH75" i="7" s="1"/>
  <c r="AJ75" i="7" s="1"/>
  <c r="AE74" i="7"/>
  <c r="AH74" i="7" s="1"/>
  <c r="AJ74" i="7" s="1"/>
  <c r="AE73" i="7"/>
  <c r="AH73" i="7" s="1"/>
  <c r="AJ73" i="7" s="1"/>
  <c r="AE72" i="7"/>
  <c r="AH72" i="7" s="1"/>
  <c r="AJ72" i="7" s="1"/>
  <c r="AE71" i="7"/>
  <c r="AH71" i="7" s="1"/>
  <c r="AJ71" i="7" s="1"/>
  <c r="AE70" i="7"/>
  <c r="AH70" i="7" s="1"/>
  <c r="AJ70" i="7" s="1"/>
  <c r="AE69" i="7"/>
  <c r="AH69" i="7" s="1"/>
  <c r="AJ69" i="7" s="1"/>
  <c r="AE68" i="7"/>
  <c r="AH68" i="7" s="1"/>
  <c r="AJ68" i="7" s="1"/>
  <c r="AE67" i="7"/>
  <c r="AH67" i="7" s="1"/>
  <c r="AI64" i="7"/>
  <c r="AG64" i="7"/>
  <c r="AF64" i="7"/>
  <c r="AC64" i="7"/>
  <c r="AB64" i="7"/>
  <c r="AA64" i="7"/>
  <c r="Z64" i="7"/>
  <c r="Y64" i="7"/>
  <c r="X64" i="7"/>
  <c r="W64" i="7"/>
  <c r="V64" i="7"/>
  <c r="T64" i="7"/>
  <c r="S64" i="7"/>
  <c r="R64" i="7"/>
  <c r="Q64" i="7"/>
  <c r="P64" i="7"/>
  <c r="O64" i="7"/>
  <c r="N64" i="7"/>
  <c r="M64" i="7"/>
  <c r="K64" i="7"/>
  <c r="J64" i="7"/>
  <c r="I64" i="7"/>
  <c r="H64" i="7"/>
  <c r="G64" i="7"/>
  <c r="F64" i="7"/>
  <c r="E64" i="7"/>
  <c r="AE63" i="7"/>
  <c r="AH63" i="7" s="1"/>
  <c r="AJ63" i="7" s="1"/>
  <c r="AE62" i="7"/>
  <c r="AH62" i="7" s="1"/>
  <c r="AJ62" i="7" s="1"/>
  <c r="AE61" i="7"/>
  <c r="AH61" i="7" s="1"/>
  <c r="AJ61" i="7" s="1"/>
  <c r="AE60" i="7"/>
  <c r="AH60" i="7" s="1"/>
  <c r="AJ60" i="7" s="1"/>
  <c r="AE59" i="7"/>
  <c r="AH59" i="7" s="1"/>
  <c r="AJ59" i="7" s="1"/>
  <c r="AE58" i="7"/>
  <c r="AH58" i="7" s="1"/>
  <c r="AJ58" i="7" s="1"/>
  <c r="AE57" i="7"/>
  <c r="AH57" i="7" s="1"/>
  <c r="AJ57" i="7" s="1"/>
  <c r="AE56" i="7"/>
  <c r="AH56" i="7" s="1"/>
  <c r="AJ56" i="7" s="1"/>
  <c r="AE55" i="7"/>
  <c r="AH55" i="7" s="1"/>
  <c r="AJ55" i="7" s="1"/>
  <c r="AE54" i="7"/>
  <c r="AH54" i="7" s="1"/>
  <c r="AJ54" i="7" s="1"/>
  <c r="AE53" i="7"/>
  <c r="AH53" i="7" s="1"/>
  <c r="AJ53" i="7" s="1"/>
  <c r="AE52" i="7"/>
  <c r="AH52" i="7" s="1"/>
  <c r="AJ52" i="7" s="1"/>
  <c r="AE51" i="7"/>
  <c r="AH51" i="7" s="1"/>
  <c r="AJ51" i="7" s="1"/>
  <c r="AE50" i="7"/>
  <c r="AH50" i="7" s="1"/>
  <c r="AJ50" i="7" s="1"/>
  <c r="AE49" i="7"/>
  <c r="AH49" i="7" s="1"/>
  <c r="AJ49" i="7" s="1"/>
  <c r="AE48" i="7"/>
  <c r="AH48" i="7" s="1"/>
  <c r="AJ48" i="7" s="1"/>
  <c r="AE47" i="7"/>
  <c r="AH47" i="7" s="1"/>
  <c r="AJ47" i="7" s="1"/>
  <c r="AE46" i="7"/>
  <c r="AH46" i="7" s="1"/>
  <c r="AJ46" i="7" s="1"/>
  <c r="AE45" i="7"/>
  <c r="AH45" i="7" s="1"/>
  <c r="AJ45" i="7" s="1"/>
  <c r="AE44" i="7"/>
  <c r="AH44" i="7" s="1"/>
  <c r="AJ44" i="7" s="1"/>
  <c r="AE43" i="7"/>
  <c r="AH43" i="7" s="1"/>
  <c r="AJ43" i="7" s="1"/>
  <c r="AE42" i="7"/>
  <c r="AI39" i="7"/>
  <c r="AG39" i="7"/>
  <c r="AF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AE38" i="7"/>
  <c r="AH38" i="7" s="1"/>
  <c r="AJ38" i="7" s="1"/>
  <c r="AE37" i="7"/>
  <c r="AH37" i="7" s="1"/>
  <c r="AJ37" i="7" s="1"/>
  <c r="AE36" i="7"/>
  <c r="AH36" i="7" s="1"/>
  <c r="AJ36" i="7" s="1"/>
  <c r="AE35" i="7"/>
  <c r="AH35" i="7" s="1"/>
  <c r="AJ35" i="7" s="1"/>
  <c r="AE34" i="7"/>
  <c r="AH34" i="7" s="1"/>
  <c r="AJ34" i="7" s="1"/>
  <c r="AE33" i="7"/>
  <c r="AH33" i="7" s="1"/>
  <c r="AJ33" i="7" s="1"/>
  <c r="AE32" i="7"/>
  <c r="AH32" i="7" s="1"/>
  <c r="AJ32" i="7" s="1"/>
  <c r="AE31" i="7"/>
  <c r="AH31" i="7" s="1"/>
  <c r="AJ31" i="7" s="1"/>
  <c r="AE30" i="7"/>
  <c r="AH30" i="7" s="1"/>
  <c r="AJ30" i="7" s="1"/>
  <c r="AE29" i="7"/>
  <c r="AH29" i="7" s="1"/>
  <c r="AJ29" i="7" s="1"/>
  <c r="AE28" i="7"/>
  <c r="AH28" i="7" s="1"/>
  <c r="AJ28" i="7" s="1"/>
  <c r="AE27" i="7"/>
  <c r="AH27" i="7" s="1"/>
  <c r="AJ27" i="7" s="1"/>
  <c r="AE26" i="7"/>
  <c r="AH26" i="7" s="1"/>
  <c r="AJ26" i="7" s="1"/>
  <c r="AE25" i="7"/>
  <c r="AH25" i="7" s="1"/>
  <c r="AJ25" i="7" s="1"/>
  <c r="AE24" i="7"/>
  <c r="AH24" i="7" s="1"/>
  <c r="AJ24" i="7" s="1"/>
  <c r="AE23" i="7"/>
  <c r="AH23" i="7" s="1"/>
  <c r="AJ23" i="7" s="1"/>
  <c r="AE22" i="7"/>
  <c r="AH22" i="7" s="1"/>
  <c r="AJ22" i="7" s="1"/>
  <c r="AE21" i="7"/>
  <c r="AH21" i="7" s="1"/>
  <c r="AJ21" i="7" s="1"/>
  <c r="AE20" i="7"/>
  <c r="AH20" i="7" s="1"/>
  <c r="AJ20" i="7" s="1"/>
  <c r="AE19" i="7"/>
  <c r="AH19" i="7" s="1"/>
  <c r="AJ19" i="7" s="1"/>
  <c r="AE18" i="7"/>
  <c r="AH18" i="7" s="1"/>
  <c r="AJ18" i="7" s="1"/>
  <c r="AE17" i="7"/>
  <c r="AH17" i="7" s="1"/>
  <c r="AJ17" i="7" s="1"/>
  <c r="AE16" i="7"/>
  <c r="AH16" i="7" s="1"/>
  <c r="AJ16" i="7" s="1"/>
  <c r="AE15" i="7"/>
  <c r="AH15" i="7" s="1"/>
  <c r="AJ15" i="7" s="1"/>
  <c r="AE14" i="7"/>
  <c r="AH14" i="7" s="1"/>
  <c r="AJ14" i="7" s="1"/>
  <c r="AE13" i="7"/>
  <c r="AH13" i="7" s="1"/>
  <c r="AJ13" i="7" s="1"/>
  <c r="AE12" i="7"/>
  <c r="AH12" i="7" s="1"/>
  <c r="AJ12" i="7" s="1"/>
  <c r="AE11" i="7"/>
  <c r="AH11" i="7" s="1"/>
  <c r="AJ11" i="7" s="1"/>
  <c r="AE10" i="7"/>
  <c r="AH10" i="7" s="1"/>
  <c r="AJ10" i="7" s="1"/>
  <c r="AE9" i="7"/>
  <c r="AH9" i="7" s="1"/>
  <c r="AJ9" i="7" s="1"/>
  <c r="AE8" i="7"/>
  <c r="AH8" i="7" s="1"/>
  <c r="AJ8" i="7" s="1"/>
  <c r="AE7" i="7"/>
  <c r="AH7" i="7" s="1"/>
  <c r="AJ7" i="7" s="1"/>
  <c r="AE6" i="7"/>
  <c r="AH6" i="7" s="1"/>
  <c r="AJ6" i="7" s="1"/>
  <c r="AE5" i="7"/>
  <c r="AE4" i="7"/>
  <c r="AH4" i="7" s="1"/>
  <c r="AJ4" i="7" s="1"/>
  <c r="A4" i="7"/>
  <c r="Y250" i="24"/>
  <c r="V250" i="24"/>
  <c r="S250" i="24"/>
  <c r="R250" i="24"/>
  <c r="Q250" i="24"/>
  <c r="P250" i="24"/>
  <c r="O250" i="24"/>
  <c r="N250" i="24"/>
  <c r="M250" i="24"/>
  <c r="L250" i="24"/>
  <c r="K250" i="24"/>
  <c r="J250" i="24"/>
  <c r="I250" i="24"/>
  <c r="H250" i="24"/>
  <c r="G250" i="24"/>
  <c r="F250" i="24"/>
  <c r="E250" i="24"/>
  <c r="U249" i="24"/>
  <c r="X249" i="24" s="1"/>
  <c r="Z249" i="24" s="1"/>
  <c r="U248" i="24"/>
  <c r="Y244" i="24"/>
  <c r="Y245" i="24" s="1"/>
  <c r="W244" i="24"/>
  <c r="W245" i="24" s="1"/>
  <c r="V244" i="24"/>
  <c r="M168" i="19" s="1"/>
  <c r="T244" i="24"/>
  <c r="T245" i="24" s="1"/>
  <c r="S244" i="24"/>
  <c r="R244" i="24"/>
  <c r="Q244" i="24"/>
  <c r="Q245" i="24" s="1"/>
  <c r="P244" i="24"/>
  <c r="O244" i="24"/>
  <c r="N244" i="24"/>
  <c r="M244" i="24"/>
  <c r="M245" i="24" s="1"/>
  <c r="L244" i="24"/>
  <c r="K244" i="24"/>
  <c r="K245" i="24" s="1"/>
  <c r="J244" i="24"/>
  <c r="I244" i="24"/>
  <c r="H244" i="24"/>
  <c r="G244" i="24"/>
  <c r="F244" i="24"/>
  <c r="P170" i="19" s="1"/>
  <c r="E244" i="24"/>
  <c r="U243" i="24"/>
  <c r="X243" i="24" s="1"/>
  <c r="Z243" i="24" s="1"/>
  <c r="U242" i="24"/>
  <c r="X242" i="24" s="1"/>
  <c r="Z242" i="24" s="1"/>
  <c r="U241" i="24"/>
  <c r="X241" i="24" s="1"/>
  <c r="Z241" i="24" s="1"/>
  <c r="U240" i="24"/>
  <c r="X240" i="24" s="1"/>
  <c r="Z240" i="24" s="1"/>
  <c r="U239" i="24"/>
  <c r="X239" i="24" s="1"/>
  <c r="Z239" i="24" s="1"/>
  <c r="U238" i="24"/>
  <c r="X238" i="24" s="1"/>
  <c r="Z238" i="24" s="1"/>
  <c r="U237" i="24"/>
  <c r="X237" i="24" s="1"/>
  <c r="Z237" i="24" s="1"/>
  <c r="U236" i="24"/>
  <c r="X236" i="24" s="1"/>
  <c r="Z236" i="24" s="1"/>
  <c r="U235" i="24"/>
  <c r="X235" i="24" s="1"/>
  <c r="Z235" i="24" s="1"/>
  <c r="U234" i="24"/>
  <c r="X234" i="24" s="1"/>
  <c r="Z234" i="24" s="1"/>
  <c r="U233" i="24"/>
  <c r="X233" i="24" s="1"/>
  <c r="Z233" i="24" s="1"/>
  <c r="U232" i="24"/>
  <c r="X232" i="24" s="1"/>
  <c r="Z232" i="24" s="1"/>
  <c r="U231" i="24"/>
  <c r="X231" i="24" s="1"/>
  <c r="Z231" i="24" s="1"/>
  <c r="U230" i="24"/>
  <c r="X230" i="24" s="1"/>
  <c r="Z230" i="24" s="1"/>
  <c r="U229" i="24"/>
  <c r="X229" i="24" s="1"/>
  <c r="Z229" i="24" s="1"/>
  <c r="U228" i="24"/>
  <c r="X228" i="24" s="1"/>
  <c r="Z228" i="24" s="1"/>
  <c r="U227" i="24"/>
  <c r="X227" i="24" s="1"/>
  <c r="Z227" i="24" s="1"/>
  <c r="U226" i="24"/>
  <c r="X226" i="24" s="1"/>
  <c r="Z226" i="24" s="1"/>
  <c r="U225" i="24"/>
  <c r="X225" i="24" s="1"/>
  <c r="Z225" i="24" s="1"/>
  <c r="U224" i="24"/>
  <c r="X224" i="24" s="1"/>
  <c r="Z224" i="24" s="1"/>
  <c r="U223" i="24"/>
  <c r="X223" i="24" s="1"/>
  <c r="Z223" i="24" s="1"/>
  <c r="U222" i="24"/>
  <c r="X222" i="24" s="1"/>
  <c r="Z222" i="24" s="1"/>
  <c r="U221" i="24"/>
  <c r="X221" i="24" s="1"/>
  <c r="Z221" i="24" s="1"/>
  <c r="U220" i="24"/>
  <c r="X220" i="24" s="1"/>
  <c r="Z220" i="24" s="1"/>
  <c r="U219" i="24"/>
  <c r="X219" i="24" s="1"/>
  <c r="Z219" i="24" s="1"/>
  <c r="U218" i="24"/>
  <c r="X218" i="24" s="1"/>
  <c r="Z218" i="24" s="1"/>
  <c r="U217" i="24"/>
  <c r="X217" i="24" s="1"/>
  <c r="Z217" i="24" s="1"/>
  <c r="U216" i="24"/>
  <c r="X216" i="24" s="1"/>
  <c r="Z216" i="24" s="1"/>
  <c r="U215" i="24"/>
  <c r="X215" i="24" s="1"/>
  <c r="Z215" i="24" s="1"/>
  <c r="U214" i="24"/>
  <c r="X214" i="24" s="1"/>
  <c r="Z214" i="24" s="1"/>
  <c r="U213" i="24"/>
  <c r="X213" i="24" s="1"/>
  <c r="Z213" i="24" s="1"/>
  <c r="U212" i="24"/>
  <c r="X212" i="24" s="1"/>
  <c r="Z212" i="24" s="1"/>
  <c r="U211" i="24"/>
  <c r="X211" i="24" s="1"/>
  <c r="Z211" i="24" s="1"/>
  <c r="U210" i="24"/>
  <c r="X210" i="24" s="1"/>
  <c r="Z210" i="24" s="1"/>
  <c r="U209" i="24"/>
  <c r="X209" i="24" s="1"/>
  <c r="Z209" i="24" s="1"/>
  <c r="U208" i="24"/>
  <c r="X208" i="24" s="1"/>
  <c r="Z208" i="24" s="1"/>
  <c r="U207" i="24"/>
  <c r="X207" i="24" s="1"/>
  <c r="Z207" i="24" s="1"/>
  <c r="U206" i="24"/>
  <c r="X206" i="24" s="1"/>
  <c r="Z206" i="24" s="1"/>
  <c r="U205" i="24"/>
  <c r="X205" i="24" s="1"/>
  <c r="Z205" i="24" s="1"/>
  <c r="U204" i="24"/>
  <c r="X204" i="24" s="1"/>
  <c r="Z204" i="24" s="1"/>
  <c r="U203" i="24"/>
  <c r="X203" i="24" s="1"/>
  <c r="Z203" i="24" s="1"/>
  <c r="U202" i="24"/>
  <c r="X202" i="24" s="1"/>
  <c r="Z202" i="24" s="1"/>
  <c r="U201" i="24"/>
  <c r="X201" i="24" s="1"/>
  <c r="Z201" i="24" s="1"/>
  <c r="U200" i="24"/>
  <c r="X200" i="24" s="1"/>
  <c r="Z200" i="24" s="1"/>
  <c r="U199" i="24"/>
  <c r="X199" i="24" s="1"/>
  <c r="Z199" i="24" s="1"/>
  <c r="U198" i="24"/>
  <c r="X198" i="24" s="1"/>
  <c r="Z198" i="24" s="1"/>
  <c r="U197" i="24"/>
  <c r="X197" i="24" s="1"/>
  <c r="Z197" i="24" s="1"/>
  <c r="U196" i="24"/>
  <c r="X196" i="24" s="1"/>
  <c r="Z196" i="24" s="1"/>
  <c r="U195" i="24"/>
  <c r="X195" i="24" s="1"/>
  <c r="Z195" i="24" s="1"/>
  <c r="U194" i="24"/>
  <c r="X194" i="24" s="1"/>
  <c r="Z194" i="24" s="1"/>
  <c r="U193" i="24"/>
  <c r="X193" i="24" s="1"/>
  <c r="Z193" i="24" s="1"/>
  <c r="U192" i="24"/>
  <c r="X192" i="24" s="1"/>
  <c r="Z192" i="24" s="1"/>
  <c r="U191" i="24"/>
  <c r="X191" i="24" s="1"/>
  <c r="Z191" i="24" s="1"/>
  <c r="U190" i="24"/>
  <c r="X190" i="24" s="1"/>
  <c r="Z190" i="24" s="1"/>
  <c r="U189" i="24"/>
  <c r="X189" i="24" s="1"/>
  <c r="Z189" i="24" s="1"/>
  <c r="U188" i="24"/>
  <c r="X188" i="24" s="1"/>
  <c r="Z188" i="24" s="1"/>
  <c r="U186" i="24"/>
  <c r="X186" i="24" s="1"/>
  <c r="Z186" i="24" s="1"/>
  <c r="U185" i="24"/>
  <c r="X185" i="24" s="1"/>
  <c r="Z185" i="24" s="1"/>
  <c r="U183" i="24"/>
  <c r="X183" i="24" s="1"/>
  <c r="Z183" i="24" s="1"/>
  <c r="U182" i="24"/>
  <c r="X182" i="24" s="1"/>
  <c r="Z182" i="24" s="1"/>
  <c r="U181" i="24"/>
  <c r="X181" i="24" s="1"/>
  <c r="Z181" i="24" s="1"/>
  <c r="U180" i="24"/>
  <c r="X180" i="24" s="1"/>
  <c r="Z180" i="24" s="1"/>
  <c r="U179" i="24"/>
  <c r="X179" i="24" s="1"/>
  <c r="Z179" i="24" s="1"/>
  <c r="U176" i="24"/>
  <c r="X176" i="24" s="1"/>
  <c r="Z176" i="24" s="1"/>
  <c r="U175" i="24"/>
  <c r="Y169" i="24"/>
  <c r="V169" i="24"/>
  <c r="S169" i="24"/>
  <c r="R169" i="24"/>
  <c r="Q169" i="24"/>
  <c r="P169" i="24"/>
  <c r="O169" i="24"/>
  <c r="N169" i="24"/>
  <c r="M169" i="24"/>
  <c r="L169" i="24"/>
  <c r="K169" i="24"/>
  <c r="J169" i="24"/>
  <c r="I169" i="24"/>
  <c r="H169" i="24"/>
  <c r="G169" i="24"/>
  <c r="F169" i="24"/>
  <c r="E169" i="24"/>
  <c r="U168" i="24"/>
  <c r="X168" i="24" s="1"/>
  <c r="Z168" i="24" s="1"/>
  <c r="U167" i="24"/>
  <c r="X167" i="24" s="1"/>
  <c r="Z167" i="24" s="1"/>
  <c r="U166" i="24"/>
  <c r="X166" i="24" s="1"/>
  <c r="Z166" i="24" s="1"/>
  <c r="U165" i="24"/>
  <c r="X165" i="24" s="1"/>
  <c r="Z165" i="24" s="1"/>
  <c r="U164" i="24"/>
  <c r="X164" i="24" s="1"/>
  <c r="Y161" i="24"/>
  <c r="V161" i="24"/>
  <c r="S161" i="24"/>
  <c r="R161" i="24"/>
  <c r="Q161" i="24"/>
  <c r="P161" i="24"/>
  <c r="O161" i="24"/>
  <c r="N161" i="24"/>
  <c r="M161" i="24"/>
  <c r="L161" i="24"/>
  <c r="K161" i="24"/>
  <c r="J161" i="24"/>
  <c r="I161" i="24"/>
  <c r="H161" i="24"/>
  <c r="G161" i="24"/>
  <c r="F161" i="24"/>
  <c r="E161" i="24"/>
  <c r="U160" i="24"/>
  <c r="X160" i="24" s="1"/>
  <c r="Z160" i="24" s="1"/>
  <c r="U159" i="24"/>
  <c r="X159" i="24" s="1"/>
  <c r="Z159" i="24" s="1"/>
  <c r="U158" i="24"/>
  <c r="X158" i="24" s="1"/>
  <c r="Z158" i="24" s="1"/>
  <c r="U157" i="24"/>
  <c r="X157" i="24" s="1"/>
  <c r="Z157" i="24" s="1"/>
  <c r="U156" i="24"/>
  <c r="X156" i="24" s="1"/>
  <c r="Y153" i="24"/>
  <c r="V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U152" i="24"/>
  <c r="X152" i="24" s="1"/>
  <c r="Z152" i="24" s="1"/>
  <c r="U151" i="24"/>
  <c r="X151" i="24" s="1"/>
  <c r="Z151" i="24" s="1"/>
  <c r="U150" i="24"/>
  <c r="X150" i="24" s="1"/>
  <c r="Z150" i="24" s="1"/>
  <c r="U149" i="24"/>
  <c r="X149" i="24" s="1"/>
  <c r="Z149" i="24" s="1"/>
  <c r="U148" i="24"/>
  <c r="X148" i="24" s="1"/>
  <c r="Z148" i="24" s="1"/>
  <c r="Y145" i="24"/>
  <c r="V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U144" i="24"/>
  <c r="X144" i="24" s="1"/>
  <c r="Z144" i="24" s="1"/>
  <c r="U143" i="24"/>
  <c r="X143" i="24" s="1"/>
  <c r="Z143" i="24" s="1"/>
  <c r="U142" i="24"/>
  <c r="X142" i="24" s="1"/>
  <c r="Z142" i="24" s="1"/>
  <c r="U141" i="24"/>
  <c r="X141" i="24" s="1"/>
  <c r="Z141" i="24" s="1"/>
  <c r="U140" i="24"/>
  <c r="X140" i="24" s="1"/>
  <c r="Z140" i="24" s="1"/>
  <c r="Y137" i="24"/>
  <c r="V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U136" i="24"/>
  <c r="X136" i="24" s="1"/>
  <c r="Z136" i="24" s="1"/>
  <c r="U135" i="24"/>
  <c r="X135" i="24" s="1"/>
  <c r="Z135" i="24" s="1"/>
  <c r="U134" i="24"/>
  <c r="X134" i="24" s="1"/>
  <c r="Z134" i="24" s="1"/>
  <c r="U133" i="24"/>
  <c r="X133" i="24" s="1"/>
  <c r="Z133" i="24" s="1"/>
  <c r="U132" i="24"/>
  <c r="X132" i="24" s="1"/>
  <c r="Z132" i="24" s="1"/>
  <c r="U131" i="24"/>
  <c r="X131" i="24" s="1"/>
  <c r="Z131" i="24" s="1"/>
  <c r="U130" i="24"/>
  <c r="X130" i="24" s="1"/>
  <c r="Z130" i="24" s="1"/>
  <c r="U129" i="24"/>
  <c r="X129" i="24" s="1"/>
  <c r="Z129" i="24" s="1"/>
  <c r="U128" i="24"/>
  <c r="X128" i="24" s="1"/>
  <c r="Z128" i="24" s="1"/>
  <c r="U127" i="24"/>
  <c r="X127" i="24" s="1"/>
  <c r="Z127" i="24" s="1"/>
  <c r="U126" i="24"/>
  <c r="X126" i="24" s="1"/>
  <c r="Z126" i="24" s="1"/>
  <c r="U125" i="24"/>
  <c r="X125" i="24" s="1"/>
  <c r="Z125" i="24" s="1"/>
  <c r="U124" i="24"/>
  <c r="X124" i="24" s="1"/>
  <c r="Z124" i="24" s="1"/>
  <c r="U123" i="24"/>
  <c r="X123" i="24" s="1"/>
  <c r="Z123" i="24" s="1"/>
  <c r="U122" i="24"/>
  <c r="X122" i="24" s="1"/>
  <c r="Z122" i="24" s="1"/>
  <c r="U121" i="24"/>
  <c r="X121" i="24" s="1"/>
  <c r="Z121" i="24" s="1"/>
  <c r="U120" i="24"/>
  <c r="X120" i="24" s="1"/>
  <c r="Z120" i="24" s="1"/>
  <c r="U119" i="24"/>
  <c r="X119" i="24" s="1"/>
  <c r="Z119" i="24" s="1"/>
  <c r="U118" i="24"/>
  <c r="X118" i="24" s="1"/>
  <c r="Z118" i="24" s="1"/>
  <c r="U117" i="24"/>
  <c r="X117" i="24" s="1"/>
  <c r="Z117" i="24" s="1"/>
  <c r="U116" i="24"/>
  <c r="X116" i="24" s="1"/>
  <c r="Z116" i="24" s="1"/>
  <c r="U115" i="24"/>
  <c r="X115" i="24" s="1"/>
  <c r="Z115" i="24" s="1"/>
  <c r="U114" i="24"/>
  <c r="X114" i="24" s="1"/>
  <c r="Z114" i="24" s="1"/>
  <c r="U113" i="24"/>
  <c r="X113" i="24" s="1"/>
  <c r="Z113" i="24" s="1"/>
  <c r="U112" i="24"/>
  <c r="X112" i="24" s="1"/>
  <c r="Y110" i="24"/>
  <c r="V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U109" i="24"/>
  <c r="X109" i="24" s="1"/>
  <c r="Z109" i="24" s="1"/>
  <c r="U108" i="24"/>
  <c r="X108" i="24" s="1"/>
  <c r="Z108" i="24" s="1"/>
  <c r="U107" i="24"/>
  <c r="X107" i="24" s="1"/>
  <c r="Z107" i="24" s="1"/>
  <c r="U106" i="24"/>
  <c r="X106" i="24" s="1"/>
  <c r="Z106" i="24" s="1"/>
  <c r="U105" i="24"/>
  <c r="X105" i="24" s="1"/>
  <c r="Z105" i="24" s="1"/>
  <c r="U104" i="24"/>
  <c r="X104" i="24" s="1"/>
  <c r="Z104" i="24" s="1"/>
  <c r="U103" i="24"/>
  <c r="X103" i="24" s="1"/>
  <c r="Z103" i="24" s="1"/>
  <c r="U102" i="24"/>
  <c r="X102" i="24" s="1"/>
  <c r="Z102" i="24" s="1"/>
  <c r="U101" i="24"/>
  <c r="X101" i="24" s="1"/>
  <c r="Z101" i="24" s="1"/>
  <c r="U100" i="24"/>
  <c r="X100" i="24" s="1"/>
  <c r="Z100" i="24" s="1"/>
  <c r="U99" i="24"/>
  <c r="X99" i="24" s="1"/>
  <c r="Z99" i="24" s="1"/>
  <c r="U98" i="24"/>
  <c r="X98" i="24" s="1"/>
  <c r="Z98" i="24" s="1"/>
  <c r="U97" i="24"/>
  <c r="X97" i="24" s="1"/>
  <c r="Z97" i="24" s="1"/>
  <c r="U96" i="24"/>
  <c r="X96" i="24" s="1"/>
  <c r="Z96" i="24" s="1"/>
  <c r="U95" i="24"/>
  <c r="X95" i="24" s="1"/>
  <c r="Z95" i="24" s="1"/>
  <c r="U94" i="24"/>
  <c r="X94" i="24" s="1"/>
  <c r="Z94" i="24" s="1"/>
  <c r="U93" i="24"/>
  <c r="X93" i="24" s="1"/>
  <c r="Z93" i="24" s="1"/>
  <c r="U92" i="24"/>
  <c r="X92" i="24" s="1"/>
  <c r="Z92" i="24" s="1"/>
  <c r="U91" i="24"/>
  <c r="X91" i="24" s="1"/>
  <c r="Z91" i="24" s="1"/>
  <c r="U90" i="24"/>
  <c r="X90" i="24" s="1"/>
  <c r="Z90" i="24" s="1"/>
  <c r="U89" i="24"/>
  <c r="X89" i="24" s="1"/>
  <c r="Z89" i="24" s="1"/>
  <c r="U88" i="24"/>
  <c r="X88" i="24" s="1"/>
  <c r="Z88" i="24" s="1"/>
  <c r="U87" i="24"/>
  <c r="X87" i="24" s="1"/>
  <c r="Z87" i="24" s="1"/>
  <c r="U86" i="24"/>
  <c r="X86" i="24" s="1"/>
  <c r="Z86" i="24" s="1"/>
  <c r="U85" i="24"/>
  <c r="Y83" i="24"/>
  <c r="V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U82" i="24"/>
  <c r="X82" i="24" s="1"/>
  <c r="Z82" i="24" s="1"/>
  <c r="U81" i="24"/>
  <c r="X81" i="24" s="1"/>
  <c r="Z81" i="24" s="1"/>
  <c r="U80" i="24"/>
  <c r="X80" i="24" s="1"/>
  <c r="Z80" i="24" s="1"/>
  <c r="U79" i="24"/>
  <c r="X79" i="24" s="1"/>
  <c r="Z79" i="24" s="1"/>
  <c r="U78" i="24"/>
  <c r="X78" i="24" s="1"/>
  <c r="Z78" i="24" s="1"/>
  <c r="U77" i="24"/>
  <c r="X77" i="24" s="1"/>
  <c r="Z77" i="24" s="1"/>
  <c r="U76" i="24"/>
  <c r="X76" i="24" s="1"/>
  <c r="Z76" i="24" s="1"/>
  <c r="U75" i="24"/>
  <c r="X75" i="24" s="1"/>
  <c r="Z75" i="24" s="1"/>
  <c r="U74" i="24"/>
  <c r="X74" i="24" s="1"/>
  <c r="Z74" i="24" s="1"/>
  <c r="U73" i="24"/>
  <c r="X73" i="24" s="1"/>
  <c r="Z73" i="24" s="1"/>
  <c r="U72" i="24"/>
  <c r="X72" i="24" s="1"/>
  <c r="Z72" i="24" s="1"/>
  <c r="U71" i="24"/>
  <c r="X71" i="24" s="1"/>
  <c r="Z71" i="24" s="1"/>
  <c r="U70" i="24"/>
  <c r="X70" i="24" s="1"/>
  <c r="Z70" i="24" s="1"/>
  <c r="U69" i="24"/>
  <c r="X69" i="24" s="1"/>
  <c r="Z69" i="24" s="1"/>
  <c r="U68" i="24"/>
  <c r="X68" i="24" s="1"/>
  <c r="Z68" i="24" s="1"/>
  <c r="U67" i="24"/>
  <c r="X67" i="24" s="1"/>
  <c r="Z67" i="24" s="1"/>
  <c r="U66" i="24"/>
  <c r="X66" i="24" s="1"/>
  <c r="Z66" i="24" s="1"/>
  <c r="U65" i="24"/>
  <c r="X65" i="24" s="1"/>
  <c r="Z65" i="24" s="1"/>
  <c r="U64" i="24"/>
  <c r="X64" i="24" s="1"/>
  <c r="Z64" i="24" s="1"/>
  <c r="U63" i="24"/>
  <c r="X63" i="24" s="1"/>
  <c r="Z63" i="24" s="1"/>
  <c r="U62" i="24"/>
  <c r="X62" i="24" s="1"/>
  <c r="Z62" i="24" s="1"/>
  <c r="U61" i="24"/>
  <c r="X61" i="24" s="1"/>
  <c r="Z61" i="24" s="1"/>
  <c r="Y56" i="24"/>
  <c r="V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U55" i="24"/>
  <c r="X55" i="24" s="1"/>
  <c r="Z55" i="24" s="1"/>
  <c r="U54" i="24"/>
  <c r="X54" i="24" s="1"/>
  <c r="Z54" i="24" s="1"/>
  <c r="U53" i="24"/>
  <c r="X53" i="24" s="1"/>
  <c r="Z53" i="24" s="1"/>
  <c r="U52" i="24"/>
  <c r="X52" i="24" s="1"/>
  <c r="Z52" i="24" s="1"/>
  <c r="U51" i="24"/>
  <c r="X51" i="24" s="1"/>
  <c r="Z51" i="24" s="1"/>
  <c r="U50" i="24"/>
  <c r="X50" i="24" s="1"/>
  <c r="Z50" i="24" s="1"/>
  <c r="U49" i="24"/>
  <c r="X49" i="24" s="1"/>
  <c r="Z49" i="24" s="1"/>
  <c r="U48" i="24"/>
  <c r="X48" i="24" s="1"/>
  <c r="Z48" i="24" s="1"/>
  <c r="U47" i="24"/>
  <c r="X47" i="24" s="1"/>
  <c r="Z47" i="24" s="1"/>
  <c r="U46" i="24"/>
  <c r="X46" i="24" s="1"/>
  <c r="Z46" i="24" s="1"/>
  <c r="U45" i="24"/>
  <c r="X45" i="24" s="1"/>
  <c r="Z45" i="24" s="1"/>
  <c r="U44" i="24"/>
  <c r="X44" i="24" s="1"/>
  <c r="Z44" i="24" s="1"/>
  <c r="U43" i="24"/>
  <c r="X43" i="24" s="1"/>
  <c r="Z43" i="24" s="1"/>
  <c r="U42" i="24"/>
  <c r="X42" i="24" s="1"/>
  <c r="Z42" i="24" s="1"/>
  <c r="U41" i="24"/>
  <c r="X41" i="24" s="1"/>
  <c r="Z41" i="24" s="1"/>
  <c r="U40" i="24"/>
  <c r="X40" i="24" s="1"/>
  <c r="Z40" i="24" s="1"/>
  <c r="U39" i="24"/>
  <c r="X39" i="24" s="1"/>
  <c r="Z39" i="24" s="1"/>
  <c r="U38" i="24"/>
  <c r="X38" i="24" s="1"/>
  <c r="Z38" i="24" s="1"/>
  <c r="U37" i="24"/>
  <c r="X37" i="24" s="1"/>
  <c r="Z37" i="24" s="1"/>
  <c r="U36" i="24"/>
  <c r="X36" i="24" s="1"/>
  <c r="Z36" i="24" s="1"/>
  <c r="U35" i="24"/>
  <c r="X35" i="24" s="1"/>
  <c r="Z35" i="24" s="1"/>
  <c r="U34" i="24"/>
  <c r="X34" i="24" s="1"/>
  <c r="Z34" i="24" s="1"/>
  <c r="U33" i="24"/>
  <c r="X33" i="24" s="1"/>
  <c r="Z33" i="24" s="1"/>
  <c r="U32" i="24"/>
  <c r="X32" i="24" s="1"/>
  <c r="Z32" i="24" s="1"/>
  <c r="U31" i="24"/>
  <c r="X31" i="24" s="1"/>
  <c r="Z31" i="24" s="1"/>
  <c r="U30" i="24"/>
  <c r="Y27" i="24"/>
  <c r="W27" i="24"/>
  <c r="W171" i="24" s="1"/>
  <c r="W172" i="24" s="1"/>
  <c r="V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U26" i="24"/>
  <c r="X26" i="24" s="1"/>
  <c r="Z26" i="24" s="1"/>
  <c r="U25" i="24"/>
  <c r="X25" i="24" s="1"/>
  <c r="Z25" i="24" s="1"/>
  <c r="U24" i="24"/>
  <c r="X24" i="24" s="1"/>
  <c r="Z24" i="24" s="1"/>
  <c r="U23" i="24"/>
  <c r="X23" i="24" s="1"/>
  <c r="Z23" i="24" s="1"/>
  <c r="U22" i="24"/>
  <c r="X22" i="24" s="1"/>
  <c r="Z22" i="24" s="1"/>
  <c r="U21" i="24"/>
  <c r="X21" i="24" s="1"/>
  <c r="Z21" i="24" s="1"/>
  <c r="U20" i="24"/>
  <c r="X20" i="24" s="1"/>
  <c r="Z20" i="24" s="1"/>
  <c r="U19" i="24"/>
  <c r="X19" i="24" s="1"/>
  <c r="Z19" i="24" s="1"/>
  <c r="U18" i="24"/>
  <c r="X18" i="24" s="1"/>
  <c r="Z18" i="24" s="1"/>
  <c r="U17" i="24"/>
  <c r="X17" i="24" s="1"/>
  <c r="Z17" i="24" s="1"/>
  <c r="U16" i="24"/>
  <c r="X16" i="24" s="1"/>
  <c r="Z16" i="24" s="1"/>
  <c r="U15" i="24"/>
  <c r="X15" i="24" s="1"/>
  <c r="Z15" i="24" s="1"/>
  <c r="U14" i="24"/>
  <c r="X14" i="24" s="1"/>
  <c r="Z14" i="24" s="1"/>
  <c r="U13" i="24"/>
  <c r="X13" i="24" s="1"/>
  <c r="Z13" i="24" s="1"/>
  <c r="U12" i="24"/>
  <c r="X12" i="24" s="1"/>
  <c r="Z12" i="24" s="1"/>
  <c r="U11" i="24"/>
  <c r="X11" i="24" s="1"/>
  <c r="Z11" i="24" s="1"/>
  <c r="U10" i="24"/>
  <c r="X10" i="24" s="1"/>
  <c r="Z10" i="24" s="1"/>
  <c r="U9" i="24"/>
  <c r="X9" i="24" s="1"/>
  <c r="Z9" i="24" s="1"/>
  <c r="U8" i="24"/>
  <c r="X8" i="24" s="1"/>
  <c r="Z8" i="24" s="1"/>
  <c r="U7" i="24"/>
  <c r="X7" i="24" s="1"/>
  <c r="Z7" i="24" s="1"/>
  <c r="U6" i="24"/>
  <c r="X6" i="24" s="1"/>
  <c r="Z6" i="24" s="1"/>
  <c r="U5" i="24"/>
  <c r="U4" i="24"/>
  <c r="AI254" i="22"/>
  <c r="AF254" i="22"/>
  <c r="AC254" i="22"/>
  <c r="AB254" i="22"/>
  <c r="AA254" i="22"/>
  <c r="Z254" i="22"/>
  <c r="Y254" i="22"/>
  <c r="X254" i="22"/>
  <c r="W254" i="22"/>
  <c r="V254" i="22"/>
  <c r="T254" i="22"/>
  <c r="S254" i="22"/>
  <c r="R254" i="22"/>
  <c r="Q254" i="22"/>
  <c r="P254" i="22"/>
  <c r="O254" i="22"/>
  <c r="N254" i="22"/>
  <c r="M254" i="22"/>
  <c r="K254" i="22"/>
  <c r="J254" i="22"/>
  <c r="I254" i="22"/>
  <c r="H254" i="22"/>
  <c r="G254" i="22"/>
  <c r="F254" i="22"/>
  <c r="E254" i="22"/>
  <c r="AE253" i="22"/>
  <c r="AH253" i="22" s="1"/>
  <c r="AJ253" i="22" s="1"/>
  <c r="AE252" i="22"/>
  <c r="AI248" i="22"/>
  <c r="AI249" i="22" s="1"/>
  <c r="AG248" i="22"/>
  <c r="AG249" i="22" s="1"/>
  <c r="AF248" i="22"/>
  <c r="M166" i="19" s="1"/>
  <c r="AC248" i="22"/>
  <c r="AB248" i="22"/>
  <c r="AA248" i="22"/>
  <c r="Z248" i="22"/>
  <c r="Y248" i="22"/>
  <c r="X248" i="22"/>
  <c r="W248" i="22"/>
  <c r="V248" i="22"/>
  <c r="T248" i="22"/>
  <c r="S248" i="22"/>
  <c r="R248" i="22"/>
  <c r="R249" i="22" s="1"/>
  <c r="Q248" i="22"/>
  <c r="P248" i="22"/>
  <c r="O248" i="22"/>
  <c r="O249" i="22" s="1"/>
  <c r="N248" i="22"/>
  <c r="M248" i="22"/>
  <c r="M249" i="22" s="1"/>
  <c r="K248" i="22"/>
  <c r="J248" i="22"/>
  <c r="J249" i="22" s="1"/>
  <c r="I248" i="22"/>
  <c r="H248" i="22"/>
  <c r="H249" i="22" s="1"/>
  <c r="G248" i="22"/>
  <c r="F248" i="22"/>
  <c r="F249" i="22" s="1"/>
  <c r="E248" i="22"/>
  <c r="AE247" i="22"/>
  <c r="AH247" i="22" s="1"/>
  <c r="AJ247" i="22" s="1"/>
  <c r="AE246" i="22"/>
  <c r="AH246" i="22" s="1"/>
  <c r="AJ246" i="22" s="1"/>
  <c r="AE245" i="22"/>
  <c r="AH245" i="22" s="1"/>
  <c r="AJ245" i="22" s="1"/>
  <c r="AE244" i="22"/>
  <c r="AH244" i="22" s="1"/>
  <c r="AJ244" i="22" s="1"/>
  <c r="AE243" i="22"/>
  <c r="AH243" i="22" s="1"/>
  <c r="AJ243" i="22" s="1"/>
  <c r="AE242" i="22"/>
  <c r="AH242" i="22" s="1"/>
  <c r="AJ242" i="22" s="1"/>
  <c r="AE241" i="22"/>
  <c r="AH241" i="22" s="1"/>
  <c r="AJ241" i="22" s="1"/>
  <c r="AE240" i="22"/>
  <c r="AH240" i="22" s="1"/>
  <c r="AJ240" i="22" s="1"/>
  <c r="AE239" i="22"/>
  <c r="AH239" i="22" s="1"/>
  <c r="AJ239" i="22" s="1"/>
  <c r="AE238" i="22"/>
  <c r="AH238" i="22" s="1"/>
  <c r="AJ238" i="22" s="1"/>
  <c r="AE237" i="22"/>
  <c r="AH237" i="22" s="1"/>
  <c r="AJ237" i="22" s="1"/>
  <c r="AE236" i="22"/>
  <c r="AH236" i="22" s="1"/>
  <c r="AJ236" i="22" s="1"/>
  <c r="AE235" i="22"/>
  <c r="AH235" i="22" s="1"/>
  <c r="AJ235" i="22" s="1"/>
  <c r="AE234" i="22"/>
  <c r="AH234" i="22" s="1"/>
  <c r="AJ234" i="22" s="1"/>
  <c r="AE233" i="22"/>
  <c r="AH233" i="22" s="1"/>
  <c r="AJ233" i="22" s="1"/>
  <c r="AE232" i="22"/>
  <c r="AH232" i="22" s="1"/>
  <c r="AJ232" i="22" s="1"/>
  <c r="AE231" i="22"/>
  <c r="AH231" i="22" s="1"/>
  <c r="AJ231" i="22" s="1"/>
  <c r="AE230" i="22"/>
  <c r="AH230" i="22" s="1"/>
  <c r="AJ230" i="22" s="1"/>
  <c r="AE229" i="22"/>
  <c r="AH229" i="22" s="1"/>
  <c r="AJ229" i="22" s="1"/>
  <c r="AE228" i="22"/>
  <c r="AH228" i="22" s="1"/>
  <c r="AJ228" i="22" s="1"/>
  <c r="AE227" i="22"/>
  <c r="AH227" i="22" s="1"/>
  <c r="AJ227" i="22" s="1"/>
  <c r="AE226" i="22"/>
  <c r="AH226" i="22" s="1"/>
  <c r="AJ226" i="22" s="1"/>
  <c r="AE225" i="22"/>
  <c r="AH225" i="22" s="1"/>
  <c r="AJ225" i="22" s="1"/>
  <c r="AE224" i="22"/>
  <c r="AH224" i="22" s="1"/>
  <c r="AJ224" i="22" s="1"/>
  <c r="AE223" i="22"/>
  <c r="AH223" i="22" s="1"/>
  <c r="AJ223" i="22" s="1"/>
  <c r="AE222" i="22"/>
  <c r="AH222" i="22" s="1"/>
  <c r="AJ222" i="22" s="1"/>
  <c r="AE221" i="22"/>
  <c r="AH221" i="22" s="1"/>
  <c r="AJ221" i="22" s="1"/>
  <c r="AE220" i="22"/>
  <c r="AH220" i="22" s="1"/>
  <c r="AJ220" i="22" s="1"/>
  <c r="AE219" i="22"/>
  <c r="AH219" i="22" s="1"/>
  <c r="AJ219" i="22" s="1"/>
  <c r="AE218" i="22"/>
  <c r="AH218" i="22" s="1"/>
  <c r="AJ218" i="22" s="1"/>
  <c r="AE217" i="22"/>
  <c r="AH217" i="22" s="1"/>
  <c r="AJ217" i="22" s="1"/>
  <c r="AE216" i="22"/>
  <c r="AH216" i="22" s="1"/>
  <c r="AJ216" i="22" s="1"/>
  <c r="AE215" i="22"/>
  <c r="AH215" i="22" s="1"/>
  <c r="AJ215" i="22" s="1"/>
  <c r="AE214" i="22"/>
  <c r="AH214" i="22" s="1"/>
  <c r="AJ214" i="22" s="1"/>
  <c r="AE213" i="22"/>
  <c r="AH213" i="22" s="1"/>
  <c r="AJ213" i="22" s="1"/>
  <c r="AE212" i="22"/>
  <c r="AH212" i="22" s="1"/>
  <c r="AJ212" i="22" s="1"/>
  <c r="AE211" i="22"/>
  <c r="AH211" i="22" s="1"/>
  <c r="AJ211" i="22" s="1"/>
  <c r="AE210" i="22"/>
  <c r="AH210" i="22" s="1"/>
  <c r="AJ210" i="22" s="1"/>
  <c r="AE209" i="22"/>
  <c r="AH209" i="22" s="1"/>
  <c r="AJ209" i="22" s="1"/>
  <c r="AE208" i="22"/>
  <c r="AH208" i="22" s="1"/>
  <c r="AJ208" i="22" s="1"/>
  <c r="AE207" i="22"/>
  <c r="AH207" i="22" s="1"/>
  <c r="AJ207" i="22" s="1"/>
  <c r="AE206" i="22"/>
  <c r="AH206" i="22" s="1"/>
  <c r="AJ206" i="22" s="1"/>
  <c r="AE205" i="22"/>
  <c r="AH205" i="22" s="1"/>
  <c r="AJ205" i="22" s="1"/>
  <c r="AE204" i="22"/>
  <c r="AH204" i="22" s="1"/>
  <c r="AJ204" i="22" s="1"/>
  <c r="AE203" i="22"/>
  <c r="AH203" i="22" s="1"/>
  <c r="AJ203" i="22" s="1"/>
  <c r="AE202" i="22"/>
  <c r="AH202" i="22" s="1"/>
  <c r="AJ202" i="22" s="1"/>
  <c r="AE201" i="22"/>
  <c r="AH201" i="22" s="1"/>
  <c r="AJ201" i="22" s="1"/>
  <c r="AE200" i="22"/>
  <c r="AH200" i="22" s="1"/>
  <c r="AJ200" i="22" s="1"/>
  <c r="AE199" i="22"/>
  <c r="AH199" i="22" s="1"/>
  <c r="AJ199" i="22" s="1"/>
  <c r="AE198" i="22"/>
  <c r="AH198" i="22" s="1"/>
  <c r="AJ198" i="22" s="1"/>
  <c r="AE197" i="22"/>
  <c r="AH197" i="22" s="1"/>
  <c r="AJ197" i="22" s="1"/>
  <c r="AE196" i="22"/>
  <c r="AH196" i="22" s="1"/>
  <c r="AJ196" i="22" s="1"/>
  <c r="AE195" i="22"/>
  <c r="AH195" i="22" s="1"/>
  <c r="AJ195" i="22" s="1"/>
  <c r="AE194" i="22"/>
  <c r="AH194" i="22" s="1"/>
  <c r="AJ194" i="22" s="1"/>
  <c r="AE193" i="22"/>
  <c r="AH193" i="22" s="1"/>
  <c r="AJ193" i="22" s="1"/>
  <c r="AE192" i="22"/>
  <c r="AH192" i="22" s="1"/>
  <c r="AJ192" i="22" s="1"/>
  <c r="AE191" i="22"/>
  <c r="AH191" i="22" s="1"/>
  <c r="AJ191" i="22" s="1"/>
  <c r="AE190" i="22"/>
  <c r="AH190" i="22" s="1"/>
  <c r="AJ190" i="22" s="1"/>
  <c r="AE189" i="22"/>
  <c r="AH189" i="22" s="1"/>
  <c r="AJ189" i="22" s="1"/>
  <c r="AE188" i="22"/>
  <c r="AH188" i="22" s="1"/>
  <c r="AJ188" i="22" s="1"/>
  <c r="AE187" i="22"/>
  <c r="AH187" i="22" s="1"/>
  <c r="AJ187" i="22" s="1"/>
  <c r="AE186" i="22"/>
  <c r="AH186" i="22" s="1"/>
  <c r="AJ186" i="22" s="1"/>
  <c r="AE185" i="22"/>
  <c r="AH185" i="22" s="1"/>
  <c r="AJ185" i="22" s="1"/>
  <c r="AE184" i="22"/>
  <c r="AH184" i="22" s="1"/>
  <c r="AJ184" i="22" s="1"/>
  <c r="AE183" i="22"/>
  <c r="AH183" i="22" s="1"/>
  <c r="AJ183" i="22" s="1"/>
  <c r="AE182" i="22"/>
  <c r="AH182" i="22" s="1"/>
  <c r="AJ182" i="22" s="1"/>
  <c r="AE181" i="22"/>
  <c r="AH181" i="22" s="1"/>
  <c r="AJ181" i="22" s="1"/>
  <c r="AE180" i="22"/>
  <c r="AH180" i="22" s="1"/>
  <c r="AJ180" i="22" s="1"/>
  <c r="AE179" i="22"/>
  <c r="AH179" i="22" s="1"/>
  <c r="AJ179" i="22" s="1"/>
  <c r="AE178" i="22"/>
  <c r="AH178" i="22" s="1"/>
  <c r="AJ178" i="22" s="1"/>
  <c r="AE177" i="22"/>
  <c r="AH177" i="22" s="1"/>
  <c r="AJ177" i="22" s="1"/>
  <c r="AI170" i="22"/>
  <c r="AF170" i="22"/>
  <c r="AC170" i="22"/>
  <c r="AB170" i="22"/>
  <c r="AA170" i="22"/>
  <c r="Z170" i="22"/>
  <c r="Y170" i="22"/>
  <c r="X170" i="22"/>
  <c r="W170" i="22"/>
  <c r="V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AE169" i="22"/>
  <c r="AH169" i="22" s="1"/>
  <c r="AJ169" i="22" s="1"/>
  <c r="AE168" i="22"/>
  <c r="AH168" i="22" s="1"/>
  <c r="AJ168" i="22" s="1"/>
  <c r="AE167" i="22"/>
  <c r="AH167" i="22" s="1"/>
  <c r="AJ167" i="22" s="1"/>
  <c r="AE166" i="22"/>
  <c r="AH166" i="22" s="1"/>
  <c r="AJ166" i="22" s="1"/>
  <c r="AE165" i="22"/>
  <c r="AI162" i="22"/>
  <c r="AF162" i="22"/>
  <c r="AC162" i="22"/>
  <c r="AB162" i="22"/>
  <c r="AA162" i="22"/>
  <c r="Z162" i="22"/>
  <c r="Y162" i="22"/>
  <c r="X162" i="22"/>
  <c r="W162" i="22"/>
  <c r="V162" i="22"/>
  <c r="T162" i="22"/>
  <c r="S162" i="22"/>
  <c r="R162" i="22"/>
  <c r="Q162" i="22"/>
  <c r="P162" i="22"/>
  <c r="O162" i="22"/>
  <c r="N162" i="22"/>
  <c r="M162" i="22"/>
  <c r="K162" i="22"/>
  <c r="J162" i="22"/>
  <c r="I162" i="22"/>
  <c r="H162" i="22"/>
  <c r="G162" i="22"/>
  <c r="F162" i="22"/>
  <c r="E162" i="22"/>
  <c r="AE161" i="22"/>
  <c r="AH161" i="22" s="1"/>
  <c r="AJ161" i="22" s="1"/>
  <c r="AE160" i="22"/>
  <c r="AH160" i="22" s="1"/>
  <c r="AJ160" i="22" s="1"/>
  <c r="AE159" i="22"/>
  <c r="AH159" i="22" s="1"/>
  <c r="AJ159" i="22" s="1"/>
  <c r="AE158" i="22"/>
  <c r="AH158" i="22" s="1"/>
  <c r="AJ158" i="22" s="1"/>
  <c r="AE157" i="22"/>
  <c r="AE156" i="22"/>
  <c r="AH156" i="22" s="1"/>
  <c r="AJ156" i="22" s="1"/>
  <c r="AI153" i="22"/>
  <c r="AF153" i="22"/>
  <c r="AC153" i="22"/>
  <c r="AB153" i="22"/>
  <c r="AA153" i="22"/>
  <c r="Z153" i="22"/>
  <c r="Y153" i="22"/>
  <c r="X153" i="22"/>
  <c r="W153" i="22"/>
  <c r="V153" i="22"/>
  <c r="T153" i="22"/>
  <c r="S153" i="22"/>
  <c r="R153" i="22"/>
  <c r="Q153" i="22"/>
  <c r="P153" i="22"/>
  <c r="O153" i="22"/>
  <c r="N153" i="22"/>
  <c r="M153" i="22"/>
  <c r="L153" i="22"/>
  <c r="K153" i="22"/>
  <c r="J153" i="22"/>
  <c r="I153" i="22"/>
  <c r="H153" i="22"/>
  <c r="G153" i="22"/>
  <c r="F153" i="22"/>
  <c r="E153" i="22"/>
  <c r="AE152" i="22"/>
  <c r="AH152" i="22" s="1"/>
  <c r="AJ152" i="22" s="1"/>
  <c r="AE151" i="22"/>
  <c r="AH151" i="22" s="1"/>
  <c r="AJ151" i="22" s="1"/>
  <c r="AE150" i="22"/>
  <c r="AH150" i="22" s="1"/>
  <c r="AJ150" i="22" s="1"/>
  <c r="AE149" i="22"/>
  <c r="AH149" i="22" s="1"/>
  <c r="AI146" i="22"/>
  <c r="AG146" i="22"/>
  <c r="AF146" i="22"/>
  <c r="AC146" i="22"/>
  <c r="AB146" i="22"/>
  <c r="AA146" i="22"/>
  <c r="Z146" i="22"/>
  <c r="Y146" i="22"/>
  <c r="X146" i="22"/>
  <c r="W146" i="22"/>
  <c r="V146" i="22"/>
  <c r="T146" i="22"/>
  <c r="S146" i="22"/>
  <c r="R146" i="22"/>
  <c r="Q146" i="22"/>
  <c r="P146" i="22"/>
  <c r="O146" i="22"/>
  <c r="N146" i="22"/>
  <c r="M146" i="22"/>
  <c r="K146" i="22"/>
  <c r="J146" i="22"/>
  <c r="I146" i="22"/>
  <c r="H146" i="22"/>
  <c r="G146" i="22"/>
  <c r="F146" i="22"/>
  <c r="E146" i="22"/>
  <c r="AE145" i="22"/>
  <c r="AH145" i="22" s="1"/>
  <c r="AJ145" i="22" s="1"/>
  <c r="AE144" i="22"/>
  <c r="AH144" i="22" s="1"/>
  <c r="AJ144" i="22" s="1"/>
  <c r="AE143" i="22"/>
  <c r="AH143" i="22" s="1"/>
  <c r="AJ143" i="22" s="1"/>
  <c r="AE142" i="22"/>
  <c r="AH142" i="22" s="1"/>
  <c r="AJ142" i="22" s="1"/>
  <c r="AE141" i="22"/>
  <c r="AI138" i="22"/>
  <c r="AG138" i="22"/>
  <c r="AF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AE137" i="22"/>
  <c r="AH137" i="22" s="1"/>
  <c r="AJ137" i="22" s="1"/>
  <c r="AE136" i="22"/>
  <c r="AH136" i="22" s="1"/>
  <c r="AJ136" i="22" s="1"/>
  <c r="AE135" i="22"/>
  <c r="AH135" i="22" s="1"/>
  <c r="AJ135" i="22" s="1"/>
  <c r="AE134" i="22"/>
  <c r="AH134" i="22" s="1"/>
  <c r="AJ134" i="22" s="1"/>
  <c r="AE133" i="22"/>
  <c r="AH133" i="22" s="1"/>
  <c r="AJ133" i="22" s="1"/>
  <c r="AE132" i="22"/>
  <c r="AH132" i="22" s="1"/>
  <c r="AJ132" i="22" s="1"/>
  <c r="AE131" i="22"/>
  <c r="AH131" i="22" s="1"/>
  <c r="AJ131" i="22" s="1"/>
  <c r="AE130" i="22"/>
  <c r="AH130" i="22" s="1"/>
  <c r="AJ130" i="22" s="1"/>
  <c r="AE129" i="22"/>
  <c r="AH129" i="22" s="1"/>
  <c r="AJ129" i="22" s="1"/>
  <c r="AE128" i="22"/>
  <c r="AH128" i="22" s="1"/>
  <c r="AJ128" i="22" s="1"/>
  <c r="AE127" i="22"/>
  <c r="AH127" i="22" s="1"/>
  <c r="AJ127" i="22" s="1"/>
  <c r="AE126" i="22"/>
  <c r="AH126" i="22" s="1"/>
  <c r="AJ126" i="22" s="1"/>
  <c r="AE125" i="22"/>
  <c r="AH125" i="22" s="1"/>
  <c r="AJ125" i="22" s="1"/>
  <c r="AE124" i="22"/>
  <c r="AH124" i="22" s="1"/>
  <c r="AJ124" i="22" s="1"/>
  <c r="AE123" i="22"/>
  <c r="AH123" i="22" s="1"/>
  <c r="AJ123" i="22" s="1"/>
  <c r="AE122" i="22"/>
  <c r="AH122" i="22" s="1"/>
  <c r="AJ122" i="22" s="1"/>
  <c r="AE121" i="22"/>
  <c r="AH121" i="22" s="1"/>
  <c r="AJ121" i="22" s="1"/>
  <c r="AE120" i="22"/>
  <c r="AH120" i="22" s="1"/>
  <c r="AJ120" i="22" s="1"/>
  <c r="AE119" i="22"/>
  <c r="AH119" i="22" s="1"/>
  <c r="AJ119" i="22" s="1"/>
  <c r="AE118" i="22"/>
  <c r="AH118" i="22" s="1"/>
  <c r="AJ118" i="22" s="1"/>
  <c r="AE117" i="22"/>
  <c r="AH117" i="22" s="1"/>
  <c r="AJ117" i="22" s="1"/>
  <c r="AE116" i="22"/>
  <c r="AH116" i="22" s="1"/>
  <c r="AJ116" i="22" s="1"/>
  <c r="AE115" i="22"/>
  <c r="AH115" i="22" s="1"/>
  <c r="AJ115" i="22" s="1"/>
  <c r="AE114" i="22"/>
  <c r="AH114" i="22" s="1"/>
  <c r="AJ114" i="22" s="1"/>
  <c r="AE113" i="22"/>
  <c r="AH113" i="22" s="1"/>
  <c r="AJ113" i="22" s="1"/>
  <c r="AE112" i="22"/>
  <c r="AH112" i="22" s="1"/>
  <c r="AJ112" i="22" s="1"/>
  <c r="AE111" i="22"/>
  <c r="AH111" i="22" s="1"/>
  <c r="AJ111" i="22" s="1"/>
  <c r="AE110" i="22"/>
  <c r="AH110" i="22" s="1"/>
  <c r="AJ110" i="22" s="1"/>
  <c r="AE109" i="22"/>
  <c r="AH109" i="22" s="1"/>
  <c r="AJ109" i="22" s="1"/>
  <c r="AE108" i="22"/>
  <c r="AH108" i="22" s="1"/>
  <c r="AJ108" i="22" s="1"/>
  <c r="AE107" i="22"/>
  <c r="AH107" i="22" s="1"/>
  <c r="AI105" i="22"/>
  <c r="AG105" i="22"/>
  <c r="AF105" i="22"/>
  <c r="AC105" i="22"/>
  <c r="AB105" i="22"/>
  <c r="AA105" i="22"/>
  <c r="Z105" i="22"/>
  <c r="Y105" i="22"/>
  <c r="X105" i="22"/>
  <c r="W105" i="22"/>
  <c r="V105" i="22"/>
  <c r="T105" i="22"/>
  <c r="S105" i="22"/>
  <c r="R105" i="22"/>
  <c r="Q105" i="22"/>
  <c r="P105" i="22"/>
  <c r="O105" i="22"/>
  <c r="N105" i="22"/>
  <c r="M105" i="22"/>
  <c r="K105" i="22"/>
  <c r="J105" i="22"/>
  <c r="I105" i="22"/>
  <c r="H105" i="22"/>
  <c r="G105" i="22"/>
  <c r="F105" i="22"/>
  <c r="E105" i="22"/>
  <c r="AE104" i="22"/>
  <c r="AH104" i="22" s="1"/>
  <c r="AJ104" i="22" s="1"/>
  <c r="AE103" i="22"/>
  <c r="AH103" i="22" s="1"/>
  <c r="AJ103" i="22" s="1"/>
  <c r="AE102" i="22"/>
  <c r="AH102" i="22" s="1"/>
  <c r="AJ102" i="22" s="1"/>
  <c r="AE101" i="22"/>
  <c r="AH101" i="22" s="1"/>
  <c r="AJ101" i="22" s="1"/>
  <c r="AE100" i="22"/>
  <c r="AH100" i="22" s="1"/>
  <c r="AJ100" i="22" s="1"/>
  <c r="AE99" i="22"/>
  <c r="AH99" i="22" s="1"/>
  <c r="AJ99" i="22" s="1"/>
  <c r="AE98" i="22"/>
  <c r="AH98" i="22" s="1"/>
  <c r="AJ98" i="22" s="1"/>
  <c r="AE97" i="22"/>
  <c r="AH97" i="22" s="1"/>
  <c r="AJ97" i="22" s="1"/>
  <c r="AE96" i="22"/>
  <c r="AH96" i="22" s="1"/>
  <c r="AJ96" i="22" s="1"/>
  <c r="AE95" i="22"/>
  <c r="AH95" i="22" s="1"/>
  <c r="AJ95" i="22" s="1"/>
  <c r="AE94" i="22"/>
  <c r="AH94" i="22" s="1"/>
  <c r="AJ94" i="22" s="1"/>
  <c r="AE93" i="22"/>
  <c r="AH93" i="22" s="1"/>
  <c r="AJ93" i="22" s="1"/>
  <c r="AE92" i="22"/>
  <c r="AH92" i="22" s="1"/>
  <c r="AJ92" i="22" s="1"/>
  <c r="AE91" i="22"/>
  <c r="AH91" i="22" s="1"/>
  <c r="AJ91" i="22" s="1"/>
  <c r="AE90" i="22"/>
  <c r="AH90" i="22" s="1"/>
  <c r="AJ90" i="22" s="1"/>
  <c r="AE89" i="22"/>
  <c r="AH89" i="22" s="1"/>
  <c r="AJ89" i="22" s="1"/>
  <c r="AE88" i="22"/>
  <c r="AH88" i="22" s="1"/>
  <c r="AJ88" i="22" s="1"/>
  <c r="AE87" i="22"/>
  <c r="AI85" i="22"/>
  <c r="AG85" i="22"/>
  <c r="AF85" i="22"/>
  <c r="AC85" i="22"/>
  <c r="AB85" i="22"/>
  <c r="AA85" i="22"/>
  <c r="Z85" i="22"/>
  <c r="Y85" i="22"/>
  <c r="X85" i="22"/>
  <c r="W85" i="22"/>
  <c r="V85" i="22"/>
  <c r="T85" i="22"/>
  <c r="S85" i="22"/>
  <c r="R85" i="22"/>
  <c r="Q85" i="22"/>
  <c r="P85" i="22"/>
  <c r="O85" i="22"/>
  <c r="N85" i="22"/>
  <c r="M85" i="22"/>
  <c r="K85" i="22"/>
  <c r="J85" i="22"/>
  <c r="I85" i="22"/>
  <c r="H85" i="22"/>
  <c r="G85" i="22"/>
  <c r="F85" i="22"/>
  <c r="E85" i="22"/>
  <c r="AE84" i="22"/>
  <c r="AH84" i="22" s="1"/>
  <c r="AJ84" i="22" s="1"/>
  <c r="AE83" i="22"/>
  <c r="AH83" i="22" s="1"/>
  <c r="AJ83" i="22" s="1"/>
  <c r="AE82" i="22"/>
  <c r="AH82" i="22" s="1"/>
  <c r="AJ82" i="22" s="1"/>
  <c r="AE81" i="22"/>
  <c r="AH81" i="22" s="1"/>
  <c r="AJ81" i="22" s="1"/>
  <c r="AE80" i="22"/>
  <c r="AH80" i="22" s="1"/>
  <c r="AJ80" i="22" s="1"/>
  <c r="AE79" i="22"/>
  <c r="AH79" i="22" s="1"/>
  <c r="AJ79" i="22" s="1"/>
  <c r="AE78" i="22"/>
  <c r="AH78" i="22" s="1"/>
  <c r="AJ78" i="22" s="1"/>
  <c r="AE77" i="22"/>
  <c r="AH77" i="22" s="1"/>
  <c r="AJ77" i="22" s="1"/>
  <c r="AE76" i="22"/>
  <c r="AH76" i="22" s="1"/>
  <c r="AJ76" i="22" s="1"/>
  <c r="AE75" i="22"/>
  <c r="AH75" i="22" s="1"/>
  <c r="AJ75" i="22" s="1"/>
  <c r="AE74" i="22"/>
  <c r="AH74" i="22" s="1"/>
  <c r="AJ74" i="22" s="1"/>
  <c r="AE73" i="22"/>
  <c r="AH73" i="22" s="1"/>
  <c r="AJ73" i="22" s="1"/>
  <c r="AE72" i="22"/>
  <c r="AH72" i="22" s="1"/>
  <c r="AJ72" i="22" s="1"/>
  <c r="AE71" i="22"/>
  <c r="AH71" i="22" s="1"/>
  <c r="AJ71" i="22" s="1"/>
  <c r="AE70" i="22"/>
  <c r="AH70" i="22" s="1"/>
  <c r="AJ70" i="22" s="1"/>
  <c r="AE69" i="22"/>
  <c r="AH69" i="22" s="1"/>
  <c r="AJ69" i="22" s="1"/>
  <c r="AE68" i="22"/>
  <c r="AH68" i="22" s="1"/>
  <c r="AJ68" i="22" s="1"/>
  <c r="AE67" i="22"/>
  <c r="AH67" i="22" s="1"/>
  <c r="AI64" i="22"/>
  <c r="AG64" i="22"/>
  <c r="AF64" i="22"/>
  <c r="AC64" i="22"/>
  <c r="AB64" i="22"/>
  <c r="AA64" i="22"/>
  <c r="Z64" i="22"/>
  <c r="Y64" i="22"/>
  <c r="X64" i="22"/>
  <c r="W64" i="22"/>
  <c r="V64" i="22"/>
  <c r="T64" i="22"/>
  <c r="S64" i="22"/>
  <c r="R64" i="22"/>
  <c r="Q64" i="22"/>
  <c r="P64" i="22"/>
  <c r="O64" i="22"/>
  <c r="N64" i="22"/>
  <c r="M64" i="22"/>
  <c r="K64" i="22"/>
  <c r="J64" i="22"/>
  <c r="I64" i="22"/>
  <c r="H64" i="22"/>
  <c r="G64" i="22"/>
  <c r="F64" i="22"/>
  <c r="E64" i="22"/>
  <c r="AE63" i="22"/>
  <c r="AH63" i="22" s="1"/>
  <c r="AJ63" i="22" s="1"/>
  <c r="AE62" i="22"/>
  <c r="AH62" i="22" s="1"/>
  <c r="AJ62" i="22" s="1"/>
  <c r="AE61" i="22"/>
  <c r="AH61" i="22" s="1"/>
  <c r="AJ61" i="22" s="1"/>
  <c r="AE60" i="22"/>
  <c r="AH60" i="22" s="1"/>
  <c r="AJ60" i="22" s="1"/>
  <c r="AE59" i="22"/>
  <c r="AH59" i="22" s="1"/>
  <c r="AJ59" i="22" s="1"/>
  <c r="AE58" i="22"/>
  <c r="AH58" i="22" s="1"/>
  <c r="AJ58" i="22" s="1"/>
  <c r="AE57" i="22"/>
  <c r="AH57" i="22" s="1"/>
  <c r="AJ57" i="22" s="1"/>
  <c r="AE56" i="22"/>
  <c r="AH56" i="22" s="1"/>
  <c r="AJ56" i="22" s="1"/>
  <c r="AE55" i="22"/>
  <c r="AH55" i="22" s="1"/>
  <c r="AJ55" i="22" s="1"/>
  <c r="AE54" i="22"/>
  <c r="AH54" i="22" s="1"/>
  <c r="AJ54" i="22" s="1"/>
  <c r="AE53" i="22"/>
  <c r="AH53" i="22" s="1"/>
  <c r="AJ53" i="22" s="1"/>
  <c r="AE52" i="22"/>
  <c r="AH52" i="22" s="1"/>
  <c r="AJ52" i="22" s="1"/>
  <c r="AE51" i="22"/>
  <c r="AH51" i="22" s="1"/>
  <c r="AJ51" i="22" s="1"/>
  <c r="AE50" i="22"/>
  <c r="AH50" i="22" s="1"/>
  <c r="AJ50" i="22" s="1"/>
  <c r="AE49" i="22"/>
  <c r="AH49" i="22" s="1"/>
  <c r="AJ49" i="22" s="1"/>
  <c r="AE48" i="22"/>
  <c r="AH48" i="22" s="1"/>
  <c r="AJ48" i="22" s="1"/>
  <c r="AE47" i="22"/>
  <c r="AH47" i="22" s="1"/>
  <c r="AJ47" i="22" s="1"/>
  <c r="AE46" i="22"/>
  <c r="AH46" i="22" s="1"/>
  <c r="AJ46" i="22" s="1"/>
  <c r="AE45" i="22"/>
  <c r="AH45" i="22" s="1"/>
  <c r="AJ45" i="22" s="1"/>
  <c r="AE44" i="22"/>
  <c r="AH44" i="22" s="1"/>
  <c r="AJ44" i="22" s="1"/>
  <c r="AE43" i="22"/>
  <c r="AH43" i="22" s="1"/>
  <c r="AJ43" i="22" s="1"/>
  <c r="AE42" i="22"/>
  <c r="AI39" i="22"/>
  <c r="AG39" i="22"/>
  <c r="AF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L172" i="22" s="1"/>
  <c r="L173" i="22" s="1"/>
  <c r="K39" i="22"/>
  <c r="J39" i="22"/>
  <c r="I39" i="22"/>
  <c r="H39" i="22"/>
  <c r="G39" i="22"/>
  <c r="F39" i="22"/>
  <c r="E39" i="22"/>
  <c r="AE38" i="22"/>
  <c r="AH38" i="22" s="1"/>
  <c r="AJ38" i="22" s="1"/>
  <c r="AE37" i="22"/>
  <c r="AH37" i="22" s="1"/>
  <c r="AJ37" i="22" s="1"/>
  <c r="AE36" i="22"/>
  <c r="AH36" i="22" s="1"/>
  <c r="AJ36" i="22" s="1"/>
  <c r="AE35" i="22"/>
  <c r="AH35" i="22" s="1"/>
  <c r="AJ35" i="22" s="1"/>
  <c r="AE34" i="22"/>
  <c r="AH34" i="22" s="1"/>
  <c r="AJ34" i="22" s="1"/>
  <c r="AE33" i="22"/>
  <c r="AH33" i="22" s="1"/>
  <c r="AJ33" i="22" s="1"/>
  <c r="AE32" i="22"/>
  <c r="AH32" i="22" s="1"/>
  <c r="AJ32" i="22" s="1"/>
  <c r="AE31" i="22"/>
  <c r="AH31" i="22" s="1"/>
  <c r="AJ31" i="22" s="1"/>
  <c r="AE30" i="22"/>
  <c r="AH30" i="22" s="1"/>
  <c r="AJ30" i="22" s="1"/>
  <c r="AE29" i="22"/>
  <c r="AH29" i="22" s="1"/>
  <c r="AJ29" i="22" s="1"/>
  <c r="AE28" i="22"/>
  <c r="AH28" i="22" s="1"/>
  <c r="AJ28" i="22" s="1"/>
  <c r="AE27" i="22"/>
  <c r="AH27" i="22" s="1"/>
  <c r="AJ27" i="22" s="1"/>
  <c r="AE26" i="22"/>
  <c r="AH26" i="22" s="1"/>
  <c r="AJ26" i="22" s="1"/>
  <c r="AE25" i="22"/>
  <c r="AH25" i="22" s="1"/>
  <c r="AJ25" i="22" s="1"/>
  <c r="AE24" i="22"/>
  <c r="AH24" i="22" s="1"/>
  <c r="AJ24" i="22" s="1"/>
  <c r="AE23" i="22"/>
  <c r="AH23" i="22" s="1"/>
  <c r="AJ23" i="22" s="1"/>
  <c r="AE22" i="22"/>
  <c r="AH22" i="22" s="1"/>
  <c r="AJ22" i="22" s="1"/>
  <c r="AE21" i="22"/>
  <c r="AH21" i="22" s="1"/>
  <c r="AJ21" i="22" s="1"/>
  <c r="AE20" i="22"/>
  <c r="AH20" i="22" s="1"/>
  <c r="AJ20" i="22" s="1"/>
  <c r="AE19" i="22"/>
  <c r="AH19" i="22" s="1"/>
  <c r="AJ19" i="22" s="1"/>
  <c r="AE18" i="22"/>
  <c r="AH18" i="22" s="1"/>
  <c r="AJ18" i="22" s="1"/>
  <c r="AE17" i="22"/>
  <c r="AH17" i="22" s="1"/>
  <c r="AJ17" i="22" s="1"/>
  <c r="AE16" i="22"/>
  <c r="AH16" i="22" s="1"/>
  <c r="AJ16" i="22" s="1"/>
  <c r="AE15" i="22"/>
  <c r="AE14" i="22"/>
  <c r="AH14" i="22" s="1"/>
  <c r="AJ14" i="22" s="1"/>
  <c r="AE13" i="22"/>
  <c r="AH13" i="22" s="1"/>
  <c r="AJ13" i="22" s="1"/>
  <c r="AE12" i="22"/>
  <c r="AH12" i="22" s="1"/>
  <c r="AJ12" i="22" s="1"/>
  <c r="AE11" i="22"/>
  <c r="AH11" i="22" s="1"/>
  <c r="AJ11" i="22" s="1"/>
  <c r="AE10" i="22"/>
  <c r="AH10" i="22" s="1"/>
  <c r="AJ10" i="22" s="1"/>
  <c r="AE9" i="22"/>
  <c r="AH9" i="22" s="1"/>
  <c r="AJ9" i="22" s="1"/>
  <c r="AE8" i="22"/>
  <c r="AH8" i="22" s="1"/>
  <c r="AJ8" i="22" s="1"/>
  <c r="AE7" i="22"/>
  <c r="AH7" i="22" s="1"/>
  <c r="AJ7" i="22" s="1"/>
  <c r="AE6" i="22"/>
  <c r="AH6" i="22" s="1"/>
  <c r="AJ6" i="22" s="1"/>
  <c r="AE5" i="22"/>
  <c r="AH5" i="22" s="1"/>
  <c r="AJ5" i="22" s="1"/>
  <c r="AE4" i="22"/>
  <c r="A4" i="22"/>
  <c r="AI282" i="25"/>
  <c r="AF282" i="25"/>
  <c r="AC282" i="25"/>
  <c r="AB282" i="25"/>
  <c r="AA282" i="25"/>
  <c r="Z282" i="25"/>
  <c r="Y282" i="25"/>
  <c r="X282" i="25"/>
  <c r="W282" i="25"/>
  <c r="V282" i="25"/>
  <c r="T282" i="25"/>
  <c r="S282" i="25"/>
  <c r="R282" i="25"/>
  <c r="Q282" i="25"/>
  <c r="P282" i="25"/>
  <c r="O282" i="25"/>
  <c r="N282" i="25"/>
  <c r="M282" i="25"/>
  <c r="K282" i="25"/>
  <c r="J282" i="25"/>
  <c r="I282" i="25"/>
  <c r="H282" i="25"/>
  <c r="G282" i="25"/>
  <c r="F282" i="25"/>
  <c r="E282" i="25"/>
  <c r="AE281" i="25"/>
  <c r="AH281" i="25" s="1"/>
  <c r="AE280" i="25"/>
  <c r="AI276" i="25"/>
  <c r="AI277" i="25" s="1"/>
  <c r="AG276" i="25"/>
  <c r="AG277" i="25" s="1"/>
  <c r="AF276" i="25"/>
  <c r="M163" i="19" s="1"/>
  <c r="AC276" i="25"/>
  <c r="AB276" i="25"/>
  <c r="Z276" i="25"/>
  <c r="Z277" i="25" s="1"/>
  <c r="Y276" i="25"/>
  <c r="X276" i="25"/>
  <c r="W276" i="25"/>
  <c r="W277" i="25" s="1"/>
  <c r="V276" i="25"/>
  <c r="T276" i="25"/>
  <c r="T277" i="25" s="1"/>
  <c r="S276" i="25"/>
  <c r="R276" i="25"/>
  <c r="Q276" i="25"/>
  <c r="Q277" i="25" s="1"/>
  <c r="P276" i="25"/>
  <c r="O276" i="25"/>
  <c r="O277" i="25" s="1"/>
  <c r="N276" i="25"/>
  <c r="M276" i="25"/>
  <c r="M277" i="25" s="1"/>
  <c r="K276" i="25"/>
  <c r="K277" i="25" s="1"/>
  <c r="J276" i="25"/>
  <c r="I276" i="25"/>
  <c r="I277" i="25" s="1"/>
  <c r="H276" i="25"/>
  <c r="G276" i="25"/>
  <c r="G277" i="25" s="1"/>
  <c r="F276" i="25"/>
  <c r="E276" i="25"/>
  <c r="E277" i="25" s="1"/>
  <c r="AE275" i="25"/>
  <c r="AH275" i="25" s="1"/>
  <c r="AJ275" i="25" s="1"/>
  <c r="AE274" i="25"/>
  <c r="AH274" i="25" s="1"/>
  <c r="AJ274" i="25" s="1"/>
  <c r="AE273" i="25"/>
  <c r="AH273" i="25" s="1"/>
  <c r="AJ273" i="25" s="1"/>
  <c r="AE272" i="25"/>
  <c r="AH272" i="25" s="1"/>
  <c r="AJ272" i="25" s="1"/>
  <c r="AE271" i="25"/>
  <c r="AH271" i="25" s="1"/>
  <c r="AJ271" i="25" s="1"/>
  <c r="AE270" i="25"/>
  <c r="AH270" i="25" s="1"/>
  <c r="AJ270" i="25" s="1"/>
  <c r="AE269" i="25"/>
  <c r="AH269" i="25" s="1"/>
  <c r="AJ269" i="25" s="1"/>
  <c r="AE268" i="25"/>
  <c r="AH268" i="25" s="1"/>
  <c r="AJ268" i="25" s="1"/>
  <c r="AE267" i="25"/>
  <c r="AH267" i="25" s="1"/>
  <c r="AJ267" i="25" s="1"/>
  <c r="AE266" i="25"/>
  <c r="AH266" i="25" s="1"/>
  <c r="AJ266" i="25" s="1"/>
  <c r="AE265" i="25"/>
  <c r="AH265" i="25" s="1"/>
  <c r="AJ265" i="25" s="1"/>
  <c r="AE264" i="25"/>
  <c r="AH264" i="25" s="1"/>
  <c r="AJ264" i="25" s="1"/>
  <c r="AE263" i="25"/>
  <c r="AH263" i="25" s="1"/>
  <c r="AJ263" i="25" s="1"/>
  <c r="AE262" i="25"/>
  <c r="AH262" i="25" s="1"/>
  <c r="AJ262" i="25" s="1"/>
  <c r="AE261" i="25"/>
  <c r="AH261" i="25" s="1"/>
  <c r="AJ261" i="25" s="1"/>
  <c r="AE260" i="25"/>
  <c r="AH260" i="25" s="1"/>
  <c r="AJ260" i="25" s="1"/>
  <c r="AE259" i="25"/>
  <c r="AH259" i="25" s="1"/>
  <c r="AJ259" i="25" s="1"/>
  <c r="AE258" i="25"/>
  <c r="AH258" i="25" s="1"/>
  <c r="AJ258" i="25" s="1"/>
  <c r="AE257" i="25"/>
  <c r="AH257" i="25" s="1"/>
  <c r="AJ257" i="25" s="1"/>
  <c r="AE256" i="25"/>
  <c r="AH256" i="25" s="1"/>
  <c r="AJ256" i="25" s="1"/>
  <c r="AE255" i="25"/>
  <c r="AH255" i="25" s="1"/>
  <c r="AJ255" i="25" s="1"/>
  <c r="AE254" i="25"/>
  <c r="AH254" i="25" s="1"/>
  <c r="AJ254" i="25" s="1"/>
  <c r="AE253" i="25"/>
  <c r="AH253" i="25" s="1"/>
  <c r="AJ253" i="25" s="1"/>
  <c r="AE252" i="25"/>
  <c r="AH252" i="25" s="1"/>
  <c r="AJ252" i="25" s="1"/>
  <c r="AE251" i="25"/>
  <c r="AH251" i="25" s="1"/>
  <c r="AJ251" i="25" s="1"/>
  <c r="AE250" i="25"/>
  <c r="AH250" i="25" s="1"/>
  <c r="AJ250" i="25" s="1"/>
  <c r="AE249" i="25"/>
  <c r="AH249" i="25" s="1"/>
  <c r="AJ249" i="25" s="1"/>
  <c r="AE248" i="25"/>
  <c r="AH248" i="25" s="1"/>
  <c r="AJ248" i="25" s="1"/>
  <c r="AE247" i="25"/>
  <c r="AH247" i="25" s="1"/>
  <c r="AJ247" i="25" s="1"/>
  <c r="AE245" i="25"/>
  <c r="AH245" i="25" s="1"/>
  <c r="AJ245" i="25" s="1"/>
  <c r="AE244" i="25"/>
  <c r="AH244" i="25" s="1"/>
  <c r="AJ244" i="25" s="1"/>
  <c r="AE243" i="25"/>
  <c r="AH243" i="25" s="1"/>
  <c r="AJ243" i="25" s="1"/>
  <c r="AE242" i="25"/>
  <c r="AH242" i="25" s="1"/>
  <c r="AJ242" i="25" s="1"/>
  <c r="AE241" i="25"/>
  <c r="AH241" i="25" s="1"/>
  <c r="AJ241" i="25" s="1"/>
  <c r="AE240" i="25"/>
  <c r="AH240" i="25" s="1"/>
  <c r="AJ240" i="25" s="1"/>
  <c r="AE239" i="25"/>
  <c r="AH239" i="25" s="1"/>
  <c r="AJ239" i="25" s="1"/>
  <c r="AE238" i="25"/>
  <c r="AH238" i="25" s="1"/>
  <c r="AJ238" i="25" s="1"/>
  <c r="AE237" i="25"/>
  <c r="AH237" i="25" s="1"/>
  <c r="AJ237" i="25" s="1"/>
  <c r="AE236" i="25"/>
  <c r="AH236" i="25" s="1"/>
  <c r="AJ236" i="25" s="1"/>
  <c r="AE235" i="25"/>
  <c r="AH235" i="25" s="1"/>
  <c r="AJ235" i="25" s="1"/>
  <c r="AE234" i="25"/>
  <c r="AH234" i="25" s="1"/>
  <c r="AJ234" i="25" s="1"/>
  <c r="AE233" i="25"/>
  <c r="AH233" i="25" s="1"/>
  <c r="AJ233" i="25" s="1"/>
  <c r="AE232" i="25"/>
  <c r="AH232" i="25" s="1"/>
  <c r="AJ232" i="25" s="1"/>
  <c r="AE231" i="25"/>
  <c r="AH231" i="25" s="1"/>
  <c r="AJ231" i="25" s="1"/>
  <c r="AE230" i="25"/>
  <c r="AH230" i="25" s="1"/>
  <c r="AJ230" i="25" s="1"/>
  <c r="AE229" i="25"/>
  <c r="AH229" i="25" s="1"/>
  <c r="AJ229" i="25" s="1"/>
  <c r="AE228" i="25"/>
  <c r="AH228" i="25" s="1"/>
  <c r="AJ228" i="25" s="1"/>
  <c r="AE227" i="25"/>
  <c r="AH227" i="25" s="1"/>
  <c r="AJ227" i="25" s="1"/>
  <c r="AE226" i="25"/>
  <c r="AH226" i="25" s="1"/>
  <c r="AJ226" i="25" s="1"/>
  <c r="AE225" i="25"/>
  <c r="AH225" i="25" s="1"/>
  <c r="AJ225" i="25" s="1"/>
  <c r="AE224" i="25"/>
  <c r="AH224" i="25" s="1"/>
  <c r="AJ224" i="25" s="1"/>
  <c r="AE223" i="25"/>
  <c r="AH223" i="25" s="1"/>
  <c r="AJ223" i="25" s="1"/>
  <c r="AE222" i="25"/>
  <c r="AH222" i="25" s="1"/>
  <c r="AJ222" i="25" s="1"/>
  <c r="AE220" i="25"/>
  <c r="AH220" i="25" s="1"/>
  <c r="AJ220" i="25" s="1"/>
  <c r="AE219" i="25"/>
  <c r="AH219" i="25" s="1"/>
  <c r="AJ219" i="25" s="1"/>
  <c r="AE218" i="25"/>
  <c r="AH218" i="25" s="1"/>
  <c r="AJ218" i="25" s="1"/>
  <c r="AE217" i="25"/>
  <c r="AH217" i="25" s="1"/>
  <c r="AJ217" i="25" s="1"/>
  <c r="AE216" i="25"/>
  <c r="AH216" i="25" s="1"/>
  <c r="AJ216" i="25" s="1"/>
  <c r="AE215" i="25"/>
  <c r="AH215" i="25" s="1"/>
  <c r="AJ215" i="25" s="1"/>
  <c r="AE214" i="25"/>
  <c r="AH214" i="25" s="1"/>
  <c r="AJ214" i="25" s="1"/>
  <c r="AE213" i="25"/>
  <c r="AH213" i="25" s="1"/>
  <c r="AJ213" i="25" s="1"/>
  <c r="AE212" i="25"/>
  <c r="AH212" i="25" s="1"/>
  <c r="AJ212" i="25" s="1"/>
  <c r="AE211" i="25"/>
  <c r="AH211" i="25" s="1"/>
  <c r="AJ211" i="25" s="1"/>
  <c r="AE210" i="25"/>
  <c r="AH210" i="25" s="1"/>
  <c r="AJ210" i="25" s="1"/>
  <c r="AE208" i="25"/>
  <c r="AH208" i="25" s="1"/>
  <c r="AJ208" i="25" s="1"/>
  <c r="AE207" i="25"/>
  <c r="AH207" i="25" s="1"/>
  <c r="V205" i="25"/>
  <c r="AI200" i="25"/>
  <c r="AF200" i="25"/>
  <c r="AC200" i="25"/>
  <c r="AB200" i="25"/>
  <c r="AA200" i="25"/>
  <c r="Z200" i="25"/>
  <c r="Y200" i="25"/>
  <c r="X200" i="25"/>
  <c r="W200" i="25"/>
  <c r="V200" i="25"/>
  <c r="T200" i="25"/>
  <c r="S200" i="25"/>
  <c r="R200" i="25"/>
  <c r="Q200" i="25"/>
  <c r="P200" i="25"/>
  <c r="O200" i="25"/>
  <c r="N200" i="25"/>
  <c r="M200" i="25"/>
  <c r="K200" i="25"/>
  <c r="J200" i="25"/>
  <c r="I200" i="25"/>
  <c r="H200" i="25"/>
  <c r="G200" i="25"/>
  <c r="F200" i="25"/>
  <c r="E200" i="25"/>
  <c r="AE199" i="25"/>
  <c r="AH199" i="25" s="1"/>
  <c r="AJ199" i="25" s="1"/>
  <c r="AE198" i="25"/>
  <c r="AH198" i="25" s="1"/>
  <c r="AJ198" i="25" s="1"/>
  <c r="AE197" i="25"/>
  <c r="AH197" i="25" s="1"/>
  <c r="AJ197" i="25" s="1"/>
  <c r="AE196" i="25"/>
  <c r="AH196" i="25" s="1"/>
  <c r="AJ196" i="25" s="1"/>
  <c r="AE195" i="25"/>
  <c r="AI192" i="25"/>
  <c r="AF192" i="25"/>
  <c r="AC192" i="25"/>
  <c r="AB192" i="25"/>
  <c r="AA192" i="25"/>
  <c r="Z192" i="25"/>
  <c r="Y192" i="25"/>
  <c r="X192" i="25"/>
  <c r="W192" i="25"/>
  <c r="V192" i="25"/>
  <c r="T192" i="25"/>
  <c r="S192" i="25"/>
  <c r="R192" i="25"/>
  <c r="Q192" i="25"/>
  <c r="P192" i="25"/>
  <c r="O192" i="25"/>
  <c r="N192" i="25"/>
  <c r="M192" i="25"/>
  <c r="K192" i="25"/>
  <c r="J192" i="25"/>
  <c r="I192" i="25"/>
  <c r="H192" i="25"/>
  <c r="G192" i="25"/>
  <c r="F192" i="25"/>
  <c r="E192" i="25"/>
  <c r="AE191" i="25"/>
  <c r="AH191" i="25" s="1"/>
  <c r="AJ191" i="25" s="1"/>
  <c r="AE190" i="25"/>
  <c r="AH190" i="25" s="1"/>
  <c r="AJ190" i="25" s="1"/>
  <c r="AE189" i="25"/>
  <c r="AH189" i="25" s="1"/>
  <c r="AJ189" i="25" s="1"/>
  <c r="AE188" i="25"/>
  <c r="AH188" i="25" s="1"/>
  <c r="AJ188" i="25" s="1"/>
  <c r="AE187" i="25"/>
  <c r="AH187" i="25" s="1"/>
  <c r="AJ187" i="25" s="1"/>
  <c r="AE186" i="25"/>
  <c r="AI183" i="25"/>
  <c r="AF183" i="25"/>
  <c r="AC183" i="25"/>
  <c r="AB183" i="25"/>
  <c r="AA183" i="25"/>
  <c r="Z183" i="25"/>
  <c r="Y183" i="25"/>
  <c r="X183" i="25"/>
  <c r="W183" i="25"/>
  <c r="V183" i="25"/>
  <c r="T183" i="25"/>
  <c r="S183" i="25"/>
  <c r="R183" i="25"/>
  <c r="Q183" i="25"/>
  <c r="P183" i="25"/>
  <c r="O183" i="25"/>
  <c r="N183" i="25"/>
  <c r="M183" i="25"/>
  <c r="L183" i="25"/>
  <c r="K183" i="25"/>
  <c r="J183" i="25"/>
  <c r="I183" i="25"/>
  <c r="H183" i="25"/>
  <c r="G183" i="25"/>
  <c r="F183" i="25"/>
  <c r="E183" i="25"/>
  <c r="AE182" i="25"/>
  <c r="AH182" i="25" s="1"/>
  <c r="AJ182" i="25" s="1"/>
  <c r="AE181" i="25"/>
  <c r="AH181" i="25" s="1"/>
  <c r="AJ181" i="25" s="1"/>
  <c r="AE180" i="25"/>
  <c r="AH180" i="25" s="1"/>
  <c r="AJ180" i="25" s="1"/>
  <c r="AE179" i="25"/>
  <c r="AH179" i="25" s="1"/>
  <c r="AI176" i="25"/>
  <c r="AG176" i="25"/>
  <c r="AF176" i="25"/>
  <c r="AC176" i="25"/>
  <c r="AB176" i="25"/>
  <c r="AA176" i="25"/>
  <c r="Z176" i="25"/>
  <c r="Y176" i="25"/>
  <c r="X176" i="25"/>
  <c r="W176" i="25"/>
  <c r="V176" i="25"/>
  <c r="T176" i="25"/>
  <c r="S176" i="25"/>
  <c r="R176" i="25"/>
  <c r="Q176" i="25"/>
  <c r="P176" i="25"/>
  <c r="O176" i="25"/>
  <c r="N176" i="25"/>
  <c r="M176" i="25"/>
  <c r="K176" i="25"/>
  <c r="J176" i="25"/>
  <c r="I176" i="25"/>
  <c r="H176" i="25"/>
  <c r="G176" i="25"/>
  <c r="F176" i="25"/>
  <c r="E176" i="25"/>
  <c r="AE175" i="25"/>
  <c r="AH175" i="25" s="1"/>
  <c r="AJ175" i="25" s="1"/>
  <c r="AE174" i="25"/>
  <c r="AH174" i="25" s="1"/>
  <c r="AJ174" i="25" s="1"/>
  <c r="AE173" i="25"/>
  <c r="AH173" i="25" s="1"/>
  <c r="AJ173" i="25" s="1"/>
  <c r="AE172" i="25"/>
  <c r="AH172" i="25" s="1"/>
  <c r="AJ172" i="25" s="1"/>
  <c r="AE171" i="25"/>
  <c r="AI168" i="25"/>
  <c r="AG168" i="25"/>
  <c r="AF168" i="25"/>
  <c r="AC168" i="25"/>
  <c r="AB168" i="25"/>
  <c r="AA168" i="25"/>
  <c r="Z168" i="25"/>
  <c r="Y168" i="25"/>
  <c r="X168" i="25"/>
  <c r="W168" i="25"/>
  <c r="V168" i="25"/>
  <c r="T168" i="25"/>
  <c r="S168" i="25"/>
  <c r="R168" i="25"/>
  <c r="Q168" i="25"/>
  <c r="P168" i="25"/>
  <c r="O168" i="25"/>
  <c r="N168" i="25"/>
  <c r="M168" i="25"/>
  <c r="K168" i="25"/>
  <c r="J168" i="25"/>
  <c r="I168" i="25"/>
  <c r="H168" i="25"/>
  <c r="G168" i="25"/>
  <c r="F168" i="25"/>
  <c r="E168" i="25"/>
  <c r="AE167" i="25"/>
  <c r="AH167" i="25" s="1"/>
  <c r="AJ167" i="25" s="1"/>
  <c r="AE166" i="25"/>
  <c r="AH166" i="25" s="1"/>
  <c r="AJ166" i="25" s="1"/>
  <c r="AE156" i="25"/>
  <c r="AH156" i="25" s="1"/>
  <c r="AJ156" i="25" s="1"/>
  <c r="AE155" i="25"/>
  <c r="AH155" i="25" s="1"/>
  <c r="AJ155" i="25" s="1"/>
  <c r="AE154" i="25"/>
  <c r="AH154" i="25" s="1"/>
  <c r="AJ154" i="25" s="1"/>
  <c r="AE153" i="25"/>
  <c r="AH153" i="25" s="1"/>
  <c r="AJ153" i="25" s="1"/>
  <c r="AE152" i="25"/>
  <c r="AH152" i="25" s="1"/>
  <c r="AJ152" i="25" s="1"/>
  <c r="AE151" i="25"/>
  <c r="AH151" i="25" s="1"/>
  <c r="AJ151" i="25" s="1"/>
  <c r="AE150" i="25"/>
  <c r="AH150" i="25" s="1"/>
  <c r="AJ150" i="25" s="1"/>
  <c r="AE149" i="25"/>
  <c r="AH149" i="25" s="1"/>
  <c r="AJ149" i="25" s="1"/>
  <c r="AE148" i="25"/>
  <c r="AH148" i="25" s="1"/>
  <c r="AJ148" i="25" s="1"/>
  <c r="AE147" i="25"/>
  <c r="AH147" i="25" s="1"/>
  <c r="AJ147" i="25" s="1"/>
  <c r="AE146" i="25"/>
  <c r="AH146" i="25" s="1"/>
  <c r="AJ146" i="25" s="1"/>
  <c r="AE145" i="25"/>
  <c r="AH145" i="25" s="1"/>
  <c r="AJ145" i="25" s="1"/>
  <c r="AE144" i="25"/>
  <c r="AH144" i="25" s="1"/>
  <c r="AI119" i="25"/>
  <c r="AG119" i="25"/>
  <c r="AF119" i="25"/>
  <c r="AC119" i="25"/>
  <c r="AB119" i="25"/>
  <c r="AA119" i="25"/>
  <c r="Z119" i="25"/>
  <c r="Y119" i="25"/>
  <c r="X119" i="25"/>
  <c r="W119" i="25"/>
  <c r="V119" i="25"/>
  <c r="T119" i="25"/>
  <c r="S119" i="25"/>
  <c r="R119" i="25"/>
  <c r="Q119" i="25"/>
  <c r="P119" i="25"/>
  <c r="O119" i="25"/>
  <c r="N119" i="25"/>
  <c r="M119" i="25"/>
  <c r="K119" i="25"/>
  <c r="J119" i="25"/>
  <c r="I119" i="25"/>
  <c r="H119" i="25"/>
  <c r="G119" i="25"/>
  <c r="F119" i="25"/>
  <c r="E119" i="25"/>
  <c r="AE118" i="25"/>
  <c r="AH118" i="25" s="1"/>
  <c r="AJ118" i="25" s="1"/>
  <c r="AE117" i="25"/>
  <c r="AH117" i="25" s="1"/>
  <c r="AJ117" i="25" s="1"/>
  <c r="AE107" i="25"/>
  <c r="AH107" i="25" s="1"/>
  <c r="AJ107" i="25" s="1"/>
  <c r="AE106" i="25"/>
  <c r="AH106" i="25" s="1"/>
  <c r="AJ106" i="25" s="1"/>
  <c r="AE105" i="25"/>
  <c r="AH105" i="25" s="1"/>
  <c r="AJ105" i="25" s="1"/>
  <c r="AE104" i="25"/>
  <c r="AH104" i="25" s="1"/>
  <c r="AJ104" i="25" s="1"/>
  <c r="AE103" i="25"/>
  <c r="AH103" i="25" s="1"/>
  <c r="AJ103" i="25" s="1"/>
  <c r="AE102" i="25"/>
  <c r="AH102" i="25" s="1"/>
  <c r="AJ102" i="25" s="1"/>
  <c r="AE101" i="25"/>
  <c r="AH101" i="25" s="1"/>
  <c r="AJ101" i="25" s="1"/>
  <c r="AE100" i="25"/>
  <c r="AH100" i="25" s="1"/>
  <c r="AJ100" i="25" s="1"/>
  <c r="AE99" i="25"/>
  <c r="AH99" i="25" s="1"/>
  <c r="AJ99" i="25" s="1"/>
  <c r="AE98" i="25"/>
  <c r="AH98" i="25" s="1"/>
  <c r="AJ98" i="25" s="1"/>
  <c r="AE97" i="25"/>
  <c r="AH97" i="25" s="1"/>
  <c r="AJ97" i="25" s="1"/>
  <c r="AE96" i="25"/>
  <c r="AH96" i="25" s="1"/>
  <c r="AI94" i="25"/>
  <c r="AG94" i="25"/>
  <c r="AF94" i="25"/>
  <c r="AC94" i="25"/>
  <c r="AB94" i="25"/>
  <c r="AA94" i="25"/>
  <c r="Z94" i="25"/>
  <c r="Y94" i="25"/>
  <c r="X94" i="25"/>
  <c r="W94" i="25"/>
  <c r="V94" i="25"/>
  <c r="T94" i="25"/>
  <c r="S94" i="25"/>
  <c r="R94" i="25"/>
  <c r="Q94" i="25"/>
  <c r="P94" i="25"/>
  <c r="O94" i="25"/>
  <c r="N94" i="25"/>
  <c r="M94" i="25"/>
  <c r="K94" i="25"/>
  <c r="J94" i="25"/>
  <c r="I94" i="25"/>
  <c r="H94" i="25"/>
  <c r="G94" i="25"/>
  <c r="F94" i="25"/>
  <c r="E94" i="25"/>
  <c r="AE93" i="25"/>
  <c r="AH93" i="25" s="1"/>
  <c r="AJ93" i="25" s="1"/>
  <c r="AE92" i="25"/>
  <c r="AH92" i="25" s="1"/>
  <c r="AJ92" i="25" s="1"/>
  <c r="AE91" i="25"/>
  <c r="AH91" i="25" s="1"/>
  <c r="AJ91" i="25" s="1"/>
  <c r="AE90" i="25"/>
  <c r="AH90" i="25" s="1"/>
  <c r="AJ90" i="25" s="1"/>
  <c r="AE89" i="25"/>
  <c r="AH89" i="25" s="1"/>
  <c r="AJ89" i="25" s="1"/>
  <c r="AE88" i="25"/>
  <c r="AH88" i="25" s="1"/>
  <c r="AJ88" i="25" s="1"/>
  <c r="AE87" i="25"/>
  <c r="AH87" i="25" s="1"/>
  <c r="AJ87" i="25" s="1"/>
  <c r="AE86" i="25"/>
  <c r="AH86" i="25" s="1"/>
  <c r="AJ86" i="25" s="1"/>
  <c r="AE85" i="25"/>
  <c r="AH85" i="25" s="1"/>
  <c r="AJ85" i="25" s="1"/>
  <c r="AE84" i="25"/>
  <c r="AH84" i="25" s="1"/>
  <c r="AJ84" i="25" s="1"/>
  <c r="AE83" i="25"/>
  <c r="AH83" i="25" s="1"/>
  <c r="AJ83" i="25" s="1"/>
  <c r="AE82" i="25"/>
  <c r="AH82" i="25" s="1"/>
  <c r="AJ82" i="25" s="1"/>
  <c r="AE81" i="25"/>
  <c r="AH81" i="25" s="1"/>
  <c r="AJ81" i="25" s="1"/>
  <c r="AE80" i="25"/>
  <c r="AH80" i="25" s="1"/>
  <c r="AJ80" i="25" s="1"/>
  <c r="AE79" i="25"/>
  <c r="AH79" i="25" s="1"/>
  <c r="AI76" i="25"/>
  <c r="AG76" i="25"/>
  <c r="AF76" i="25"/>
  <c r="AC76" i="25"/>
  <c r="AB76" i="25"/>
  <c r="AA76" i="25"/>
  <c r="Z76" i="25"/>
  <c r="Y76" i="25"/>
  <c r="X76" i="25"/>
  <c r="W76" i="25"/>
  <c r="V76" i="25"/>
  <c r="T76" i="25"/>
  <c r="S76" i="25"/>
  <c r="R76" i="25"/>
  <c r="Q76" i="25"/>
  <c r="P76" i="25"/>
  <c r="O76" i="25"/>
  <c r="N76" i="25"/>
  <c r="M76" i="25"/>
  <c r="K76" i="25"/>
  <c r="J76" i="25"/>
  <c r="I76" i="25"/>
  <c r="H76" i="25"/>
  <c r="G76" i="25"/>
  <c r="F76" i="25"/>
  <c r="E76" i="25"/>
  <c r="AE75" i="25"/>
  <c r="AH75" i="25" s="1"/>
  <c r="AJ75" i="25" s="1"/>
  <c r="AE74" i="25"/>
  <c r="AH74" i="25" s="1"/>
  <c r="AJ74" i="25" s="1"/>
  <c r="AE73" i="25"/>
  <c r="AH73" i="25" s="1"/>
  <c r="AJ73" i="25" s="1"/>
  <c r="AE72" i="25"/>
  <c r="AH72" i="25" s="1"/>
  <c r="AJ72" i="25" s="1"/>
  <c r="AE71" i="25"/>
  <c r="AH71" i="25" s="1"/>
  <c r="AJ71" i="25" s="1"/>
  <c r="AE70" i="25"/>
  <c r="AH70" i="25" s="1"/>
  <c r="AJ70" i="25" s="1"/>
  <c r="AE69" i="25"/>
  <c r="AH69" i="25" s="1"/>
  <c r="AJ69" i="25" s="1"/>
  <c r="AE68" i="25"/>
  <c r="AH68" i="25" s="1"/>
  <c r="AJ68" i="25" s="1"/>
  <c r="AE67" i="25"/>
  <c r="AH67" i="25" s="1"/>
  <c r="AJ67" i="25" s="1"/>
  <c r="AE66" i="25"/>
  <c r="AH66" i="25" s="1"/>
  <c r="AJ66" i="25" s="1"/>
  <c r="AE65" i="25"/>
  <c r="AH65" i="25" s="1"/>
  <c r="AJ65" i="25" s="1"/>
  <c r="AE64" i="25"/>
  <c r="AH64" i="25" s="1"/>
  <c r="AJ64" i="25" s="1"/>
  <c r="AE63" i="25"/>
  <c r="AH63" i="25" s="1"/>
  <c r="AJ63" i="25" s="1"/>
  <c r="AE62" i="25"/>
  <c r="AH62" i="25" s="1"/>
  <c r="AJ62" i="25" s="1"/>
  <c r="AE61" i="25"/>
  <c r="AH61" i="25" s="1"/>
  <c r="AJ61" i="25" s="1"/>
  <c r="AE60" i="25"/>
  <c r="AH60" i="25" s="1"/>
  <c r="AJ60" i="25" s="1"/>
  <c r="AE59" i="25"/>
  <c r="AH59" i="25" s="1"/>
  <c r="AJ59" i="25" s="1"/>
  <c r="AE58" i="25"/>
  <c r="AH58" i="25" s="1"/>
  <c r="AJ58" i="25" s="1"/>
  <c r="AE57" i="25"/>
  <c r="AH57" i="25" s="1"/>
  <c r="AJ57" i="25" s="1"/>
  <c r="AE56" i="25"/>
  <c r="AH56" i="25" s="1"/>
  <c r="AJ56" i="25" s="1"/>
  <c r="AE55" i="25"/>
  <c r="AH55" i="25" s="1"/>
  <c r="AJ55" i="25" s="1"/>
  <c r="AE54" i="25"/>
  <c r="AH54" i="25" s="1"/>
  <c r="AJ54" i="25" s="1"/>
  <c r="AE53" i="25"/>
  <c r="AH53" i="25" s="1"/>
  <c r="AJ53" i="25" s="1"/>
  <c r="AE52" i="25"/>
  <c r="AH52" i="25" s="1"/>
  <c r="AJ52" i="25" s="1"/>
  <c r="AE51" i="25"/>
  <c r="AH51" i="25" s="1"/>
  <c r="AJ51" i="25" s="1"/>
  <c r="AE50" i="25"/>
  <c r="AH50" i="25" s="1"/>
  <c r="AJ50" i="25" s="1"/>
  <c r="AE49" i="25"/>
  <c r="AH49" i="25" s="1"/>
  <c r="AJ49" i="25" s="1"/>
  <c r="AE48" i="25"/>
  <c r="AH48" i="25" s="1"/>
  <c r="AJ48" i="25" s="1"/>
  <c r="AE47" i="25"/>
  <c r="AH47" i="25" s="1"/>
  <c r="AJ47" i="25" s="1"/>
  <c r="AE46" i="25"/>
  <c r="AH46" i="25" s="1"/>
  <c r="AJ46" i="25" s="1"/>
  <c r="AE45" i="25"/>
  <c r="AH45" i="25" s="1"/>
  <c r="AJ45" i="25" s="1"/>
  <c r="AE44" i="25"/>
  <c r="AH44" i="25" s="1"/>
  <c r="AJ44" i="25" s="1"/>
  <c r="AE43" i="25"/>
  <c r="AH43" i="25" s="1"/>
  <c r="AJ43" i="25" s="1"/>
  <c r="AE42" i="25"/>
  <c r="AI39" i="25"/>
  <c r="AG39" i="25"/>
  <c r="AF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AE38" i="25"/>
  <c r="AH38" i="25" s="1"/>
  <c r="AJ38" i="25" s="1"/>
  <c r="AE37" i="25"/>
  <c r="AH37" i="25" s="1"/>
  <c r="AJ37" i="25" s="1"/>
  <c r="AE36" i="25"/>
  <c r="AH36" i="25" s="1"/>
  <c r="AJ36" i="25" s="1"/>
  <c r="AE35" i="25"/>
  <c r="AH35" i="25" s="1"/>
  <c r="AJ35" i="25" s="1"/>
  <c r="AE34" i="25"/>
  <c r="AH34" i="25" s="1"/>
  <c r="AJ34" i="25" s="1"/>
  <c r="AE33" i="25"/>
  <c r="AH33" i="25" s="1"/>
  <c r="AJ33" i="25" s="1"/>
  <c r="AE32" i="25"/>
  <c r="AH32" i="25" s="1"/>
  <c r="AJ32" i="25" s="1"/>
  <c r="AE31" i="25"/>
  <c r="AH31" i="25" s="1"/>
  <c r="AJ31" i="25" s="1"/>
  <c r="AE30" i="25"/>
  <c r="AH30" i="25" s="1"/>
  <c r="AJ30" i="25" s="1"/>
  <c r="AE29" i="25"/>
  <c r="AH29" i="25" s="1"/>
  <c r="AJ29" i="25" s="1"/>
  <c r="AE28" i="25"/>
  <c r="AH28" i="25" s="1"/>
  <c r="AJ28" i="25" s="1"/>
  <c r="AE27" i="25"/>
  <c r="AH27" i="25" s="1"/>
  <c r="AJ27" i="25" s="1"/>
  <c r="AE26" i="25"/>
  <c r="AH26" i="25" s="1"/>
  <c r="AJ26" i="25" s="1"/>
  <c r="AE25" i="25"/>
  <c r="AH25" i="25" s="1"/>
  <c r="AJ25" i="25" s="1"/>
  <c r="AE24" i="25"/>
  <c r="AH24" i="25" s="1"/>
  <c r="AJ24" i="25" s="1"/>
  <c r="AE23" i="25"/>
  <c r="AH23" i="25" s="1"/>
  <c r="AJ23" i="25" s="1"/>
  <c r="AE22" i="25"/>
  <c r="AH22" i="25" s="1"/>
  <c r="AJ22" i="25" s="1"/>
  <c r="AE21" i="25"/>
  <c r="AH21" i="25" s="1"/>
  <c r="AJ21" i="25" s="1"/>
  <c r="AE20" i="25"/>
  <c r="AH20" i="25" s="1"/>
  <c r="AJ20" i="25" s="1"/>
  <c r="AE19" i="25"/>
  <c r="AH19" i="25" s="1"/>
  <c r="AJ19" i="25" s="1"/>
  <c r="AE18" i="25"/>
  <c r="AH18" i="25" s="1"/>
  <c r="AJ18" i="25" s="1"/>
  <c r="AE17" i="25"/>
  <c r="AH17" i="25" s="1"/>
  <c r="AJ17" i="25" s="1"/>
  <c r="AE16" i="25"/>
  <c r="AH16" i="25" s="1"/>
  <c r="AJ16" i="25" s="1"/>
  <c r="AE15" i="25"/>
  <c r="AH15" i="25" s="1"/>
  <c r="AJ15" i="25" s="1"/>
  <c r="AE14" i="25"/>
  <c r="AH14" i="25" s="1"/>
  <c r="AJ14" i="25" s="1"/>
  <c r="AE13" i="25"/>
  <c r="AH13" i="25" s="1"/>
  <c r="AJ13" i="25" s="1"/>
  <c r="AE12" i="25"/>
  <c r="AH12" i="25" s="1"/>
  <c r="AJ12" i="25" s="1"/>
  <c r="AE11" i="25"/>
  <c r="AH11" i="25" s="1"/>
  <c r="AJ11" i="25" s="1"/>
  <c r="AE10" i="25"/>
  <c r="AH10" i="25" s="1"/>
  <c r="AJ10" i="25" s="1"/>
  <c r="AE9" i="25"/>
  <c r="AH9" i="25" s="1"/>
  <c r="AJ9" i="25" s="1"/>
  <c r="AE8" i="25"/>
  <c r="AH8" i="25" s="1"/>
  <c r="AJ8" i="25" s="1"/>
  <c r="AE7" i="25"/>
  <c r="AH7" i="25" s="1"/>
  <c r="AJ7" i="25" s="1"/>
  <c r="AE6" i="25"/>
  <c r="AH6" i="25" s="1"/>
  <c r="AJ6" i="25" s="1"/>
  <c r="AE5" i="25"/>
  <c r="AE4" i="25"/>
  <c r="W162" i="19" s="1"/>
  <c r="A4" i="25"/>
  <c r="AL201" i="29"/>
  <c r="AN201" i="29" s="1"/>
  <c r="AK125" i="11"/>
  <c r="AK110" i="31"/>
  <c r="G285" i="19"/>
  <c r="B288" i="19"/>
  <c r="D288" i="19" s="1"/>
  <c r="B265" i="19"/>
  <c r="D273" i="19"/>
  <c r="B284" i="19"/>
  <c r="D284" i="19" s="1"/>
  <c r="B286" i="19"/>
  <c r="D286" i="19" s="1"/>
  <c r="B264" i="19"/>
  <c r="D264" i="19" s="1"/>
  <c r="B263" i="19"/>
  <c r="D263" i="19" s="1"/>
  <c r="B262" i="19"/>
  <c r="D262" i="19" s="1"/>
  <c r="B261" i="19"/>
  <c r="D261" i="19" s="1"/>
  <c r="F285" i="19"/>
  <c r="AW119" i="4"/>
  <c r="G256" i="19" s="1"/>
  <c r="AA119" i="4"/>
  <c r="B258" i="19"/>
  <c r="AG115" i="4"/>
  <c r="C251" i="19" s="1"/>
  <c r="D252" i="19" s="1"/>
  <c r="AD115" i="4"/>
  <c r="C239" i="19" s="1"/>
  <c r="AC115" i="4"/>
  <c r="C236" i="19" s="1"/>
  <c r="AB115" i="4"/>
  <c r="C235" i="19" s="1"/>
  <c r="AA115" i="4"/>
  <c r="C234" i="19" s="1"/>
  <c r="B256" i="19"/>
  <c r="D256" i="19" s="1"/>
  <c r="B253" i="19"/>
  <c r="D253" i="19" s="1"/>
  <c r="B247" i="19"/>
  <c r="D247" i="19" s="1"/>
  <c r="B248" i="19"/>
  <c r="D248" i="19" s="1"/>
  <c r="B237" i="19"/>
  <c r="D237" i="19" s="1"/>
  <c r="B240" i="19"/>
  <c r="D240" i="19" s="1"/>
  <c r="B246" i="19"/>
  <c r="D246" i="19" s="1"/>
  <c r="B243" i="19"/>
  <c r="D243" i="19" s="1"/>
  <c r="B245" i="19"/>
  <c r="D245" i="19" s="1"/>
  <c r="B241" i="19"/>
  <c r="D241" i="19" s="1"/>
  <c r="B250" i="19"/>
  <c r="D250" i="19" s="1"/>
  <c r="B251" i="19"/>
  <c r="B239" i="19"/>
  <c r="B236" i="19"/>
  <c r="B235" i="19"/>
  <c r="B234" i="19"/>
  <c r="D114" i="4"/>
  <c r="D113" i="4"/>
  <c r="BB112" i="4"/>
  <c r="BA112" i="4"/>
  <c r="D112" i="4"/>
  <c r="D111" i="4"/>
  <c r="D110" i="4"/>
  <c r="BB109" i="4"/>
  <c r="BA109" i="4"/>
  <c r="D109" i="4"/>
  <c r="D108" i="4"/>
  <c r="BB107" i="4"/>
  <c r="BA107" i="4"/>
  <c r="D107" i="4"/>
  <c r="D106" i="4"/>
  <c r="BB104" i="4"/>
  <c r="BA104" i="4"/>
  <c r="D104" i="4"/>
  <c r="D103" i="4"/>
  <c r="D102" i="4"/>
  <c r="D101" i="4"/>
  <c r="BB100" i="4"/>
  <c r="BA100" i="4"/>
  <c r="D100" i="4"/>
  <c r="D99" i="4"/>
  <c r="D97" i="4"/>
  <c r="BB96" i="4"/>
  <c r="BA96" i="4"/>
  <c r="D96" i="4"/>
  <c r="D95" i="4"/>
  <c r="BB92" i="4"/>
  <c r="BA92" i="4"/>
  <c r="D92" i="4"/>
  <c r="D91" i="4"/>
  <c r="D90" i="4"/>
  <c r="D89" i="4"/>
  <c r="BB88" i="4"/>
  <c r="BA88" i="4"/>
  <c r="D88" i="4"/>
  <c r="D87" i="4"/>
  <c r="D86" i="4"/>
  <c r="D85" i="4"/>
  <c r="BB84" i="4"/>
  <c r="D84" i="4"/>
  <c r="D83" i="4"/>
  <c r="D81" i="4"/>
  <c r="BA80" i="4"/>
  <c r="D80" i="4"/>
  <c r="D79" i="4"/>
  <c r="D78" i="4"/>
  <c r="D77" i="4"/>
  <c r="BB76" i="4"/>
  <c r="BA76" i="4"/>
  <c r="D76" i="4"/>
  <c r="D75" i="4"/>
  <c r="D73" i="4"/>
  <c r="BB72" i="4"/>
  <c r="BA72" i="4"/>
  <c r="D72" i="4"/>
  <c r="D71" i="4"/>
  <c r="BB69" i="4"/>
  <c r="BA69" i="4"/>
  <c r="D69" i="4"/>
  <c r="D68" i="4"/>
  <c r="BB66" i="4"/>
  <c r="BA66" i="4"/>
  <c r="D66" i="4"/>
  <c r="D65" i="4"/>
  <c r="D64" i="4"/>
  <c r="BB63" i="4"/>
  <c r="BA63" i="4"/>
  <c r="D63" i="4"/>
  <c r="D62" i="4"/>
  <c r="D61" i="4"/>
  <c r="BB60" i="4"/>
  <c r="BA60" i="4"/>
  <c r="D60" i="4"/>
  <c r="D59" i="4"/>
  <c r="BB57" i="4"/>
  <c r="BA57" i="4"/>
  <c r="D57" i="4"/>
  <c r="D56" i="4"/>
  <c r="D55" i="4"/>
  <c r="BB54" i="4"/>
  <c r="BA54" i="4"/>
  <c r="D54" i="4"/>
  <c r="D53" i="4"/>
  <c r="BB50" i="4"/>
  <c r="BA50" i="4"/>
  <c r="D50" i="4"/>
  <c r="D49" i="4"/>
  <c r="BB46" i="4"/>
  <c r="BA46" i="4"/>
  <c r="D46" i="4"/>
  <c r="D45" i="4"/>
  <c r="BB43" i="4"/>
  <c r="BA43" i="4"/>
  <c r="D43" i="4"/>
  <c r="D42" i="4"/>
  <c r="BB40" i="4"/>
  <c r="BA40" i="4"/>
  <c r="D40" i="4"/>
  <c r="D39" i="4"/>
  <c r="BB37" i="4"/>
  <c r="BA37" i="4"/>
  <c r="D37" i="4"/>
  <c r="D32" i="4"/>
  <c r="BB30" i="4"/>
  <c r="BA30" i="4"/>
  <c r="D30" i="4"/>
  <c r="D29" i="4"/>
  <c r="BB27" i="4"/>
  <c r="BA27" i="4"/>
  <c r="D27" i="4"/>
  <c r="D26" i="4"/>
  <c r="BB23" i="4"/>
  <c r="BA23" i="4"/>
  <c r="D23" i="4"/>
  <c r="D22" i="4"/>
  <c r="BB19" i="4"/>
  <c r="BA19" i="4"/>
  <c r="D19" i="4"/>
  <c r="D18" i="4"/>
  <c r="D16" i="4"/>
  <c r="BB15" i="4"/>
  <c r="BA15" i="4"/>
  <c r="D15" i="4"/>
  <c r="D14" i="4"/>
  <c r="BB12" i="4"/>
  <c r="BA12" i="4"/>
  <c r="D12" i="4"/>
  <c r="D11" i="4"/>
  <c r="D9" i="4"/>
  <c r="BB8" i="4"/>
  <c r="BA8" i="4"/>
  <c r="D8" i="4"/>
  <c r="D7" i="4"/>
  <c r="BA5" i="4"/>
  <c r="D5" i="4"/>
  <c r="BD124" i="3"/>
  <c r="G220" i="19" s="1"/>
  <c r="AD124" i="3"/>
  <c r="C221" i="19" s="1"/>
  <c r="BG120" i="3"/>
  <c r="BF120" i="3"/>
  <c r="BE120" i="3"/>
  <c r="BD120" i="3"/>
  <c r="BC120" i="3"/>
  <c r="C200" i="19" s="1"/>
  <c r="BA120" i="3"/>
  <c r="C219" i="19" s="1"/>
  <c r="AZ120" i="3"/>
  <c r="C206" i="19" s="1"/>
  <c r="D206" i="19" s="1"/>
  <c r="AY120" i="3"/>
  <c r="C217" i="19" s="1"/>
  <c r="AW120" i="3"/>
  <c r="AV120" i="3"/>
  <c r="C211" i="19" s="1"/>
  <c r="AU120" i="3"/>
  <c r="C212" i="19" s="1"/>
  <c r="AT120" i="3"/>
  <c r="C214" i="19" s="1"/>
  <c r="AQ120" i="3"/>
  <c r="C201" i="19" s="1"/>
  <c r="AO120" i="3"/>
  <c r="C207" i="19" s="1"/>
  <c r="AN120" i="3"/>
  <c r="C209" i="19" s="1"/>
  <c r="AJ120" i="3"/>
  <c r="C202" i="19" s="1"/>
  <c r="AI120" i="3"/>
  <c r="C215" i="19" s="1"/>
  <c r="AH120" i="3"/>
  <c r="C199" i="19" s="1"/>
  <c r="AG120" i="3"/>
  <c r="AF120" i="3"/>
  <c r="C198" i="19" s="1"/>
  <c r="AE120" i="3"/>
  <c r="C197" i="19" s="1"/>
  <c r="AD120" i="3"/>
  <c r="C196" i="19" s="1"/>
  <c r="AC120" i="3"/>
  <c r="B200" i="19" s="1"/>
  <c r="AA120" i="3"/>
  <c r="B219" i="19" s="1"/>
  <c r="Z120" i="3"/>
  <c r="B217" i="19" s="1"/>
  <c r="X120" i="3"/>
  <c r="B211" i="19" s="1"/>
  <c r="W120" i="3"/>
  <c r="B212" i="19" s="1"/>
  <c r="D212" i="19" s="1"/>
  <c r="V120" i="3"/>
  <c r="B214" i="19" s="1"/>
  <c r="T120" i="3"/>
  <c r="B201" i="19" s="1"/>
  <c r="S120" i="3"/>
  <c r="B210" i="19" s="1"/>
  <c r="D210" i="19" s="1"/>
  <c r="Q120" i="3"/>
  <c r="B207" i="19" s="1"/>
  <c r="P120" i="3"/>
  <c r="B209" i="19" s="1"/>
  <c r="L120" i="3"/>
  <c r="B202" i="19" s="1"/>
  <c r="J120" i="3"/>
  <c r="B215" i="19" s="1"/>
  <c r="I120" i="3"/>
  <c r="B199" i="19" s="1"/>
  <c r="H120" i="3"/>
  <c r="G120" i="3"/>
  <c r="B198" i="19" s="1"/>
  <c r="F120" i="3"/>
  <c r="B197" i="19" s="1"/>
  <c r="E120" i="3"/>
  <c r="B196" i="19" s="1"/>
  <c r="D119" i="3"/>
  <c r="D118" i="3"/>
  <c r="D117" i="3"/>
  <c r="D116" i="3"/>
  <c r="BI115" i="3"/>
  <c r="BH115" i="3"/>
  <c r="D115" i="3"/>
  <c r="D108" i="3"/>
  <c r="D107" i="3"/>
  <c r="BI106" i="3"/>
  <c r="BH106" i="3"/>
  <c r="D106" i="3"/>
  <c r="D105" i="3"/>
  <c r="D103" i="3"/>
  <c r="BI102" i="3"/>
  <c r="BH102" i="3"/>
  <c r="D102" i="3"/>
  <c r="D101" i="3"/>
  <c r="D100" i="3"/>
  <c r="D99" i="3"/>
  <c r="BI98" i="3"/>
  <c r="BH98" i="3"/>
  <c r="D98" i="3"/>
  <c r="D97" i="3"/>
  <c r="D96" i="3"/>
  <c r="D95" i="3"/>
  <c r="BI94" i="3"/>
  <c r="BH94" i="3"/>
  <c r="D94" i="3"/>
  <c r="D93" i="3"/>
  <c r="D92" i="3"/>
  <c r="D91" i="3"/>
  <c r="BH90" i="3"/>
  <c r="D90" i="3"/>
  <c r="D89" i="3"/>
  <c r="D88" i="3"/>
  <c r="BI87" i="3"/>
  <c r="BH87" i="3"/>
  <c r="D87" i="3"/>
  <c r="D86" i="3"/>
  <c r="D85" i="3"/>
  <c r="BI84" i="3"/>
  <c r="D84" i="3"/>
  <c r="D83" i="3"/>
  <c r="D80" i="3"/>
  <c r="BI79" i="3"/>
  <c r="BH79" i="3"/>
  <c r="D79" i="3"/>
  <c r="D78" i="3"/>
  <c r="BI76" i="3"/>
  <c r="BH76" i="3"/>
  <c r="D76" i="3"/>
  <c r="D75" i="3"/>
  <c r="D73" i="3"/>
  <c r="BI72" i="3"/>
  <c r="BH72" i="3"/>
  <c r="D72" i="3"/>
  <c r="D71" i="3"/>
  <c r="BI69" i="3"/>
  <c r="BH69" i="3"/>
  <c r="D69" i="3"/>
  <c r="D68" i="3"/>
  <c r="D67" i="3"/>
  <c r="BI65" i="3"/>
  <c r="BH65" i="3"/>
  <c r="D65" i="3"/>
  <c r="D64" i="3"/>
  <c r="BI61" i="3"/>
  <c r="BH61" i="3"/>
  <c r="D61" i="3"/>
  <c r="D60" i="3"/>
  <c r="BI57" i="3"/>
  <c r="BH57" i="3"/>
  <c r="D57" i="3"/>
  <c r="D56" i="3"/>
  <c r="BI54" i="3"/>
  <c r="BH54" i="3"/>
  <c r="D54" i="3"/>
  <c r="D53" i="3"/>
  <c r="BI50" i="3"/>
  <c r="D50" i="3"/>
  <c r="D49" i="3"/>
  <c r="BI45" i="3"/>
  <c r="D45" i="3"/>
  <c r="D44" i="3"/>
  <c r="BI41" i="3"/>
  <c r="D41" i="3"/>
  <c r="D40" i="3"/>
  <c r="BI37" i="3"/>
  <c r="BH37" i="3"/>
  <c r="D37" i="3"/>
  <c r="BI34" i="3"/>
  <c r="BH34" i="3"/>
  <c r="D34" i="3"/>
  <c r="D33" i="3"/>
  <c r="BH31" i="3"/>
  <c r="D31" i="3"/>
  <c r="D30" i="3"/>
  <c r="BI27" i="3"/>
  <c r="BH27" i="3"/>
  <c r="D27" i="3"/>
  <c r="D24" i="3"/>
  <c r="BI23" i="3"/>
  <c r="BH23" i="3"/>
  <c r="D23" i="3"/>
  <c r="BI20" i="3"/>
  <c r="BH20" i="3"/>
  <c r="D20" i="3"/>
  <c r="C20" i="3" s="1"/>
  <c r="D19" i="3"/>
  <c r="BI15" i="3"/>
  <c r="BH15" i="3"/>
  <c r="D15" i="3"/>
  <c r="D14" i="3"/>
  <c r="BI11" i="3"/>
  <c r="BH11" i="3"/>
  <c r="D11" i="3"/>
  <c r="D10" i="3"/>
  <c r="BI8" i="3"/>
  <c r="D8" i="3"/>
  <c r="BI5" i="3"/>
  <c r="F123" i="3" s="1"/>
  <c r="F220" i="19" s="1"/>
  <c r="BH5" i="3"/>
  <c r="D5" i="3"/>
  <c r="AS122" i="2"/>
  <c r="G192" i="19" s="1"/>
  <c r="Y122" i="2"/>
  <c r="C193" i="19" s="1"/>
  <c r="F122" i="2"/>
  <c r="B193" i="19" s="1"/>
  <c r="AV118" i="2"/>
  <c r="AU118" i="2"/>
  <c r="AT118" i="2"/>
  <c r="AS118" i="2"/>
  <c r="N118" i="2"/>
  <c r="B175" i="19" s="1"/>
  <c r="D175" i="19" s="1"/>
  <c r="M118" i="2"/>
  <c r="B181" i="19" s="1"/>
  <c r="D181" i="19" s="1"/>
  <c r="L118" i="2"/>
  <c r="B180" i="19" s="1"/>
  <c r="D180" i="19" s="1"/>
  <c r="K118" i="2"/>
  <c r="B179" i="19" s="1"/>
  <c r="D179" i="19" s="1"/>
  <c r="J118" i="2"/>
  <c r="B177" i="19" s="1"/>
  <c r="D177" i="19" s="1"/>
  <c r="I118" i="2"/>
  <c r="H118" i="2"/>
  <c r="B174" i="19" s="1"/>
  <c r="D174" i="19" s="1"/>
  <c r="G118" i="2"/>
  <c r="B173" i="19" s="1"/>
  <c r="D173" i="19" s="1"/>
  <c r="F118" i="2"/>
  <c r="B172" i="19" s="1"/>
  <c r="D172" i="19" s="1"/>
  <c r="E118" i="2"/>
  <c r="B171" i="19" s="1"/>
  <c r="D117" i="2"/>
  <c r="AX116" i="2"/>
  <c r="AW116" i="2"/>
  <c r="D116" i="2"/>
  <c r="D115" i="2"/>
  <c r="D114" i="2"/>
  <c r="AX113" i="2"/>
  <c r="AW113" i="2"/>
  <c r="D113" i="2"/>
  <c r="D112" i="2"/>
  <c r="AX110" i="2"/>
  <c r="AW110" i="2"/>
  <c r="D110" i="2"/>
  <c r="D109" i="2"/>
  <c r="AX104" i="2"/>
  <c r="AW104" i="2"/>
  <c r="D104" i="2"/>
  <c r="D103" i="2"/>
  <c r="D102" i="2"/>
  <c r="D101" i="2"/>
  <c r="AX100" i="2"/>
  <c r="AW100" i="2"/>
  <c r="D100" i="2"/>
  <c r="D99" i="2"/>
  <c r="D98" i="2"/>
  <c r="AX97" i="2"/>
  <c r="AW97" i="2"/>
  <c r="D97" i="2"/>
  <c r="D96" i="2"/>
  <c r="D94" i="2"/>
  <c r="AX93" i="2"/>
  <c r="AW93" i="2"/>
  <c r="D93" i="2"/>
  <c r="D92" i="2"/>
  <c r="D91" i="2"/>
  <c r="D90" i="2"/>
  <c r="AX89" i="2"/>
  <c r="D89" i="2"/>
  <c r="D88" i="2"/>
  <c r="AX84" i="2"/>
  <c r="AW84" i="2"/>
  <c r="D84" i="2"/>
  <c r="D83" i="2"/>
  <c r="AX79" i="2"/>
  <c r="AW79" i="2"/>
  <c r="D79" i="2"/>
  <c r="D78" i="2"/>
  <c r="D77" i="2"/>
  <c r="AX75" i="2"/>
  <c r="AW75" i="2"/>
  <c r="D75" i="2"/>
  <c r="D74" i="2"/>
  <c r="D73" i="2"/>
  <c r="AX72" i="2"/>
  <c r="AW72" i="2"/>
  <c r="D72" i="2"/>
  <c r="D71" i="2"/>
  <c r="AX69" i="2"/>
  <c r="AW69" i="2"/>
  <c r="D69" i="2"/>
  <c r="D68" i="2"/>
  <c r="AX66" i="2"/>
  <c r="F121" i="2" s="1"/>
  <c r="F192" i="19" s="1"/>
  <c r="AW66" i="2"/>
  <c r="D66" i="2"/>
  <c r="D65" i="2"/>
  <c r="AX63" i="2"/>
  <c r="AW63" i="2"/>
  <c r="D63" i="2"/>
  <c r="D62" i="2"/>
  <c r="AX60" i="2"/>
  <c r="AW60" i="2"/>
  <c r="D60" i="2"/>
  <c r="D59" i="2"/>
  <c r="AX56" i="2"/>
  <c r="AW56" i="2"/>
  <c r="D56" i="2"/>
  <c r="D55" i="2"/>
  <c r="AX52" i="2"/>
  <c r="AW52" i="2"/>
  <c r="D52" i="2"/>
  <c r="D51" i="2"/>
  <c r="AW49" i="2"/>
  <c r="D49" i="2"/>
  <c r="D48" i="2"/>
  <c r="AX46" i="2"/>
  <c r="AW46" i="2"/>
  <c r="D46" i="2"/>
  <c r="D45" i="2"/>
  <c r="AX43" i="2"/>
  <c r="AW43" i="2"/>
  <c r="D43" i="2"/>
  <c r="D42" i="2"/>
  <c r="AX38" i="2"/>
  <c r="AW38" i="2"/>
  <c r="D38" i="2"/>
  <c r="D37" i="2"/>
  <c r="AX34" i="2"/>
  <c r="AW34" i="2"/>
  <c r="D34" i="2"/>
  <c r="C34" i="2" s="1"/>
  <c r="D33" i="2"/>
  <c r="AX30" i="2"/>
  <c r="AW30" i="2"/>
  <c r="D30" i="2"/>
  <c r="D29" i="2"/>
  <c r="AW26" i="2"/>
  <c r="D26" i="2"/>
  <c r="D25" i="2"/>
  <c r="AX23" i="2"/>
  <c r="AW23" i="2"/>
  <c r="D23" i="2"/>
  <c r="D22" i="2"/>
  <c r="AX20" i="2"/>
  <c r="AW20" i="2"/>
  <c r="D19" i="2"/>
  <c r="AX15" i="2"/>
  <c r="AW15" i="2"/>
  <c r="D15" i="2"/>
  <c r="D14" i="2"/>
  <c r="AW12" i="2"/>
  <c r="D12" i="2"/>
  <c r="D11" i="2"/>
  <c r="AX8" i="2"/>
  <c r="AW8" i="2"/>
  <c r="D8" i="2"/>
  <c r="D7" i="2"/>
  <c r="AX5" i="2"/>
  <c r="AW5" i="2"/>
  <c r="D5" i="2"/>
  <c r="AW118" i="1"/>
  <c r="G167" i="19" s="1"/>
  <c r="AA118" i="1"/>
  <c r="C168" i="19" s="1"/>
  <c r="D168" i="19" s="1"/>
  <c r="D113" i="1"/>
  <c r="BB112" i="1"/>
  <c r="BA112" i="1"/>
  <c r="D112" i="1"/>
  <c r="D111" i="1"/>
  <c r="D110" i="1"/>
  <c r="D109" i="1"/>
  <c r="BB108" i="1"/>
  <c r="BA108" i="1"/>
  <c r="D108" i="1"/>
  <c r="D107" i="1"/>
  <c r="D104" i="1"/>
  <c r="BB103" i="1"/>
  <c r="BA103" i="1"/>
  <c r="D103" i="1"/>
  <c r="D102" i="1"/>
  <c r="D101" i="1"/>
  <c r="BB100" i="1"/>
  <c r="BA100" i="1"/>
  <c r="D100" i="1"/>
  <c r="D99" i="1"/>
  <c r="D98" i="1"/>
  <c r="BB97" i="1"/>
  <c r="BA97" i="1"/>
  <c r="D97" i="1"/>
  <c r="D96" i="1"/>
  <c r="BB93" i="1"/>
  <c r="BA93" i="1"/>
  <c r="D93" i="1"/>
  <c r="D92" i="1"/>
  <c r="D90" i="1"/>
  <c r="BB89" i="1"/>
  <c r="BA89" i="1"/>
  <c r="D89" i="1"/>
  <c r="D88" i="1"/>
  <c r="D87" i="1"/>
  <c r="BB86" i="1"/>
  <c r="BA86" i="1"/>
  <c r="D86" i="1"/>
  <c r="D85" i="1"/>
  <c r="D83" i="1"/>
  <c r="BA82" i="1"/>
  <c r="D82" i="1"/>
  <c r="D81" i="1"/>
  <c r="BB78" i="1"/>
  <c r="BA78" i="1"/>
  <c r="D78" i="1"/>
  <c r="D77" i="1"/>
  <c r="BA75" i="1"/>
  <c r="D75" i="1"/>
  <c r="D74" i="1"/>
  <c r="BB72" i="1"/>
  <c r="BA72" i="1"/>
  <c r="D72" i="1"/>
  <c r="D71" i="1"/>
  <c r="BB69" i="1"/>
  <c r="BA69" i="1"/>
  <c r="D69" i="1"/>
  <c r="D68" i="1"/>
  <c r="D66" i="1"/>
  <c r="BB65" i="1"/>
  <c r="BA65" i="1"/>
  <c r="D65" i="1"/>
  <c r="D64" i="1"/>
  <c r="D63" i="1"/>
  <c r="BB62" i="1"/>
  <c r="BA62" i="1"/>
  <c r="D62" i="1"/>
  <c r="D61" i="1"/>
  <c r="D59" i="1"/>
  <c r="BB58" i="1"/>
  <c r="BA58" i="1"/>
  <c r="D58" i="1"/>
  <c r="D57" i="1"/>
  <c r="BB55" i="1"/>
  <c r="BA55" i="1"/>
  <c r="D55" i="1"/>
  <c r="D54" i="1"/>
  <c r="BB51" i="1"/>
  <c r="BA51" i="1"/>
  <c r="D51" i="1"/>
  <c r="D50" i="1"/>
  <c r="BB47" i="1"/>
  <c r="BA47" i="1"/>
  <c r="D47" i="1"/>
  <c r="D46" i="1"/>
  <c r="BA44" i="1"/>
  <c r="D44" i="1"/>
  <c r="D43" i="1"/>
  <c r="BB40" i="1"/>
  <c r="BA40" i="1"/>
  <c r="D40" i="1"/>
  <c r="D39" i="1"/>
  <c r="BB36" i="1"/>
  <c r="BA36" i="1"/>
  <c r="D36" i="1"/>
  <c r="D35" i="1"/>
  <c r="BB33" i="1"/>
  <c r="F117" i="1" s="1"/>
  <c r="F167" i="19" s="1"/>
  <c r="BA33" i="1"/>
  <c r="D33" i="1"/>
  <c r="D32" i="1"/>
  <c r="BB29" i="1"/>
  <c r="BA29" i="1"/>
  <c r="D29" i="1"/>
  <c r="D28" i="1"/>
  <c r="BB25" i="1"/>
  <c r="BA25" i="1"/>
  <c r="D25" i="1"/>
  <c r="D24" i="1"/>
  <c r="D23" i="1"/>
  <c r="BA22" i="1"/>
  <c r="D22" i="1"/>
  <c r="D21" i="1"/>
  <c r="BB19" i="1"/>
  <c r="BA19" i="1"/>
  <c r="D18" i="1"/>
  <c r="BB15" i="1"/>
  <c r="BA15" i="1"/>
  <c r="D15" i="1"/>
  <c r="D14" i="1"/>
  <c r="BB11" i="1"/>
  <c r="BA11" i="1"/>
  <c r="D11" i="1"/>
  <c r="D10" i="1"/>
  <c r="BB7" i="1"/>
  <c r="BA7" i="1"/>
  <c r="D7" i="1"/>
  <c r="D6" i="1"/>
  <c r="BB5" i="1"/>
  <c r="BA5" i="1"/>
  <c r="D5" i="1"/>
  <c r="AQ4" i="1"/>
  <c r="AP4" i="1"/>
  <c r="AN4" i="1"/>
  <c r="AM137" i="39" l="1"/>
  <c r="AN137" i="39" s="1"/>
  <c r="AM137" i="44"/>
  <c r="AN137" i="44" s="1"/>
  <c r="F164" i="12"/>
  <c r="J164" i="12"/>
  <c r="V164" i="12"/>
  <c r="Z164" i="12"/>
  <c r="Z242" i="12" s="1"/>
  <c r="X95" i="19" s="1"/>
  <c r="X96" i="19" s="1"/>
  <c r="H164" i="12"/>
  <c r="H165" i="12" s="1"/>
  <c r="X164" i="12"/>
  <c r="AB164" i="12"/>
  <c r="M164" i="12"/>
  <c r="M165" i="12" s="1"/>
  <c r="AI164" i="12"/>
  <c r="AI165" i="12" s="1"/>
  <c r="AF164" i="12"/>
  <c r="AF165" i="12" s="1"/>
  <c r="AL136" i="40"/>
  <c r="AM136" i="40" s="1"/>
  <c r="AL98" i="43"/>
  <c r="AM98" i="43" s="1"/>
  <c r="AJ276" i="9"/>
  <c r="AJ352" i="9" s="1"/>
  <c r="AJ353" i="9" s="1"/>
  <c r="G200" i="10"/>
  <c r="G201" i="10" s="1"/>
  <c r="K200" i="10"/>
  <c r="O200" i="10"/>
  <c r="S200" i="10"/>
  <c r="S201" i="10" s="1"/>
  <c r="H200" i="10"/>
  <c r="L200" i="10"/>
  <c r="L201" i="10" s="1"/>
  <c r="P200" i="10"/>
  <c r="P201" i="10" s="1"/>
  <c r="I200" i="10"/>
  <c r="I201" i="10" s="1"/>
  <c r="M200" i="10"/>
  <c r="Q200" i="10"/>
  <c r="V200" i="10"/>
  <c r="V285" i="10" s="1"/>
  <c r="Y200" i="10"/>
  <c r="Y285" i="10" s="1"/>
  <c r="Y286" i="10" s="1"/>
  <c r="E200" i="10"/>
  <c r="E201" i="10" s="1"/>
  <c r="C26" i="2"/>
  <c r="X4" i="24"/>
  <c r="Z4" i="24" s="1"/>
  <c r="W180" i="19"/>
  <c r="X179" i="19" s="1"/>
  <c r="Y184" i="19" s="1"/>
  <c r="D239" i="19"/>
  <c r="AB136" i="42"/>
  <c r="AC136" i="42" s="1"/>
  <c r="C40" i="1"/>
  <c r="I276" i="9"/>
  <c r="I277" i="9" s="1"/>
  <c r="O276" i="9"/>
  <c r="O277" i="9" s="1"/>
  <c r="W276" i="9"/>
  <c r="W277" i="9" s="1"/>
  <c r="AA276" i="9"/>
  <c r="AA277" i="9" s="1"/>
  <c r="G276" i="9"/>
  <c r="G277" i="9" s="1"/>
  <c r="H276" i="9"/>
  <c r="H277" i="9" s="1"/>
  <c r="Q276" i="9"/>
  <c r="Q277" i="9" s="1"/>
  <c r="U276" i="9"/>
  <c r="U277" i="9" s="1"/>
  <c r="Y276" i="9"/>
  <c r="Y277" i="9" s="1"/>
  <c r="AC276" i="9"/>
  <c r="AH276" i="9"/>
  <c r="AH277" i="9" s="1"/>
  <c r="L276" i="9"/>
  <c r="L352" i="9" s="1"/>
  <c r="I26" i="19" s="1"/>
  <c r="I27" i="19" s="1"/>
  <c r="Z276" i="9"/>
  <c r="Z277" i="9" s="1"/>
  <c r="N276" i="9"/>
  <c r="N352" i="9" s="1"/>
  <c r="K26" i="19" s="1"/>
  <c r="K27" i="19" s="1"/>
  <c r="R276" i="9"/>
  <c r="R277" i="9" s="1"/>
  <c r="AD276" i="9"/>
  <c r="AD277" i="9" s="1"/>
  <c r="E276" i="9"/>
  <c r="E352" i="9" s="1"/>
  <c r="B26" i="19" s="1"/>
  <c r="AG276" i="9"/>
  <c r="AG352" i="9" s="1"/>
  <c r="F276" i="9"/>
  <c r="F277" i="9" s="1"/>
  <c r="J276" i="9"/>
  <c r="J277" i="9" s="1"/>
  <c r="S276" i="9"/>
  <c r="S277" i="9" s="1"/>
  <c r="C60" i="2"/>
  <c r="W200" i="27"/>
  <c r="W283" i="27" s="1"/>
  <c r="E200" i="27"/>
  <c r="I200" i="27"/>
  <c r="I201" i="27" s="1"/>
  <c r="N200" i="27"/>
  <c r="N201" i="27" s="1"/>
  <c r="R200" i="27"/>
  <c r="L200" i="27"/>
  <c r="L201" i="27" s="1"/>
  <c r="G200" i="27"/>
  <c r="G201" i="27" s="1"/>
  <c r="X200" i="27"/>
  <c r="X201" i="27" s="1"/>
  <c r="F200" i="27"/>
  <c r="F201" i="27" s="1"/>
  <c r="J200" i="27"/>
  <c r="J201" i="27" s="1"/>
  <c r="O200" i="27"/>
  <c r="O201" i="27" s="1"/>
  <c r="T200" i="27"/>
  <c r="T201" i="27" s="1"/>
  <c r="H200" i="27"/>
  <c r="H201" i="27" s="1"/>
  <c r="Q200" i="27"/>
  <c r="Q201" i="27" s="1"/>
  <c r="Z200" i="27"/>
  <c r="Z201" i="27" s="1"/>
  <c r="K200" i="27"/>
  <c r="K201" i="27" s="1"/>
  <c r="P200" i="27"/>
  <c r="P201" i="27" s="1"/>
  <c r="AC277" i="9"/>
  <c r="G167" i="13"/>
  <c r="G250" i="13" s="1"/>
  <c r="D74" i="19" s="1"/>
  <c r="D75" i="19" s="1"/>
  <c r="K167" i="13"/>
  <c r="K250" i="13" s="1"/>
  <c r="H74" i="19" s="1"/>
  <c r="H75" i="19" s="1"/>
  <c r="O167" i="13"/>
  <c r="O250" i="13" s="1"/>
  <c r="M74" i="19" s="1"/>
  <c r="M75" i="19" s="1"/>
  <c r="S167" i="13"/>
  <c r="S250" i="13" s="1"/>
  <c r="Q74" i="19" s="1"/>
  <c r="Q75" i="19" s="1"/>
  <c r="W167" i="13"/>
  <c r="W250" i="13" s="1"/>
  <c r="U74" i="19" s="1"/>
  <c r="U75" i="19" s="1"/>
  <c r="AA167" i="13"/>
  <c r="AA250" i="13" s="1"/>
  <c r="Y74" i="19" s="1"/>
  <c r="Y75" i="19" s="1"/>
  <c r="AF167" i="13"/>
  <c r="AF168" i="13" s="1"/>
  <c r="H167" i="13"/>
  <c r="H168" i="13" s="1"/>
  <c r="P167" i="13"/>
  <c r="P168" i="13" s="1"/>
  <c r="T167" i="13"/>
  <c r="T250" i="13" s="1"/>
  <c r="R74" i="19" s="1"/>
  <c r="R75" i="19" s="1"/>
  <c r="X167" i="13"/>
  <c r="X168" i="13" s="1"/>
  <c r="AB167" i="13"/>
  <c r="AG167" i="13"/>
  <c r="E167" i="13"/>
  <c r="E250" i="13" s="1"/>
  <c r="B74" i="19" s="1"/>
  <c r="I167" i="13"/>
  <c r="I250" i="13" s="1"/>
  <c r="F74" i="19" s="1"/>
  <c r="F75" i="19" s="1"/>
  <c r="M167" i="13"/>
  <c r="M168" i="13" s="1"/>
  <c r="Q167" i="13"/>
  <c r="Q250" i="13" s="1"/>
  <c r="O74" i="19" s="1"/>
  <c r="O75" i="19" s="1"/>
  <c r="Y167" i="13"/>
  <c r="Y250" i="13" s="1"/>
  <c r="W74" i="19" s="1"/>
  <c r="W75" i="19" s="1"/>
  <c r="AC167" i="13"/>
  <c r="AC250" i="13" s="1"/>
  <c r="AA74" i="19" s="1"/>
  <c r="AA75" i="19" s="1"/>
  <c r="AI167" i="13"/>
  <c r="AI168" i="13" s="1"/>
  <c r="AH77" i="23"/>
  <c r="AJ77" i="23" s="1"/>
  <c r="P139" i="23"/>
  <c r="P215" i="23" s="1"/>
  <c r="N122" i="19" s="1"/>
  <c r="N123" i="19" s="1"/>
  <c r="AG202" i="25"/>
  <c r="C23" i="2"/>
  <c r="C69" i="2"/>
  <c r="C100" i="2"/>
  <c r="C11" i="1"/>
  <c r="C12" i="2"/>
  <c r="C258" i="19"/>
  <c r="V120" i="4"/>
  <c r="F118" i="4"/>
  <c r="F256" i="19" s="1"/>
  <c r="F223" i="19" s="1"/>
  <c r="C65" i="1"/>
  <c r="C5" i="1"/>
  <c r="C72" i="4"/>
  <c r="C5" i="2"/>
  <c r="C7" i="1"/>
  <c r="AI39" i="9"/>
  <c r="AF71" i="9"/>
  <c r="AL101" i="12"/>
  <c r="AM101" i="12" s="1"/>
  <c r="AL96" i="31"/>
  <c r="AM96" i="31" s="1"/>
  <c r="D251" i="19"/>
  <c r="D193" i="19"/>
  <c r="B186" i="19"/>
  <c r="B192" i="19" s="1"/>
  <c r="C186" i="19"/>
  <c r="C192" i="19" s="1"/>
  <c r="AG165" i="12"/>
  <c r="D171" i="19"/>
  <c r="D235" i="19"/>
  <c r="D234" i="19"/>
  <c r="B257" i="19"/>
  <c r="AJ197" i="13"/>
  <c r="CO137" i="6"/>
  <c r="CQ137" i="6" s="1"/>
  <c r="AL68" i="31"/>
  <c r="AL68" i="37"/>
  <c r="AM68" i="37" s="1"/>
  <c r="AL68" i="36"/>
  <c r="AM68" i="36" s="1"/>
  <c r="AL85" i="34"/>
  <c r="AM85" i="34" s="1"/>
  <c r="AE294" i="7"/>
  <c r="AG146" i="15"/>
  <c r="AG147" i="15" s="1"/>
  <c r="AL82" i="37"/>
  <c r="AL82" i="36"/>
  <c r="AM82" i="36" s="1"/>
  <c r="C229" i="19"/>
  <c r="L184" i="19"/>
  <c r="N184" i="19" s="1"/>
  <c r="AG145" i="14"/>
  <c r="D265" i="19"/>
  <c r="D287" i="19" s="1"/>
  <c r="F284" i="19" s="1"/>
  <c r="B287" i="19"/>
  <c r="C257" i="19"/>
  <c r="D236" i="19"/>
  <c r="D196" i="19"/>
  <c r="D207" i="19"/>
  <c r="D201" i="19"/>
  <c r="G165" i="12"/>
  <c r="K165" i="12"/>
  <c r="O165" i="12"/>
  <c r="S165" i="12"/>
  <c r="W165" i="12"/>
  <c r="AA165" i="12"/>
  <c r="T165" i="12"/>
  <c r="X165" i="12"/>
  <c r="AB165" i="12"/>
  <c r="E165" i="12"/>
  <c r="I165" i="12"/>
  <c r="Q165" i="12"/>
  <c r="U164" i="12"/>
  <c r="Y165" i="12"/>
  <c r="AC242" i="12"/>
  <c r="AA95" i="19" s="1"/>
  <c r="AA96" i="19" s="1"/>
  <c r="F165" i="12"/>
  <c r="J165" i="12"/>
  <c r="N165" i="12"/>
  <c r="R165" i="12"/>
  <c r="V165" i="12"/>
  <c r="Z165" i="12"/>
  <c r="AF145" i="14"/>
  <c r="AF217" i="14" s="1"/>
  <c r="AF218" i="14" s="1"/>
  <c r="AI145" i="14"/>
  <c r="AI146" i="14" s="1"/>
  <c r="D205" i="19"/>
  <c r="D214" i="19"/>
  <c r="B224" i="19"/>
  <c r="Z269" i="10"/>
  <c r="AM166" i="29"/>
  <c r="AN166" i="29" s="1"/>
  <c r="AM170" i="9"/>
  <c r="AN170" i="9" s="1"/>
  <c r="AF202" i="25"/>
  <c r="AF203" i="25" s="1"/>
  <c r="AI202" i="25"/>
  <c r="AI286" i="25" s="1"/>
  <c r="AI287" i="25" s="1"/>
  <c r="AK238" i="29"/>
  <c r="AK335" i="29" s="1"/>
  <c r="AK336" i="29" s="1"/>
  <c r="D219" i="19"/>
  <c r="AF146" i="15"/>
  <c r="G223" i="19"/>
  <c r="D209" i="19"/>
  <c r="D197" i="19"/>
  <c r="D215" i="19"/>
  <c r="D200" i="19"/>
  <c r="F145" i="14"/>
  <c r="F146" i="14" s="1"/>
  <c r="J145" i="14"/>
  <c r="J146" i="14" s="1"/>
  <c r="O145" i="14"/>
  <c r="O146" i="14" s="1"/>
  <c r="S145" i="14"/>
  <c r="S146" i="14" s="1"/>
  <c r="X145" i="14"/>
  <c r="X146" i="14" s="1"/>
  <c r="AB145" i="14"/>
  <c r="AB146" i="14" s="1"/>
  <c r="G145" i="14"/>
  <c r="G146" i="14" s="1"/>
  <c r="K145" i="14"/>
  <c r="K146" i="14" s="1"/>
  <c r="P145" i="14"/>
  <c r="P146" i="14" s="1"/>
  <c r="T145" i="14"/>
  <c r="T146" i="14" s="1"/>
  <c r="Y145" i="14"/>
  <c r="Y146" i="14" s="1"/>
  <c r="AC145" i="14"/>
  <c r="AC146" i="14" s="1"/>
  <c r="H145" i="14"/>
  <c r="H146" i="14" s="1"/>
  <c r="M145" i="14"/>
  <c r="M146" i="14" s="1"/>
  <c r="Q145" i="14"/>
  <c r="Q146" i="14" s="1"/>
  <c r="V145" i="14"/>
  <c r="V146" i="14" s="1"/>
  <c r="Z145" i="14"/>
  <c r="Z146" i="14" s="1"/>
  <c r="E145" i="14"/>
  <c r="E146" i="14" s="1"/>
  <c r="I145" i="14"/>
  <c r="I146" i="14" s="1"/>
  <c r="N145" i="14"/>
  <c r="N146" i="14" s="1"/>
  <c r="R145" i="14"/>
  <c r="R146" i="14" s="1"/>
  <c r="W145" i="14"/>
  <c r="W146" i="14" s="1"/>
  <c r="AA145" i="14"/>
  <c r="AA146" i="14" s="1"/>
  <c r="X170" i="8"/>
  <c r="X171" i="8" s="1"/>
  <c r="D221" i="19"/>
  <c r="M190" i="19"/>
  <c r="AI170" i="8"/>
  <c r="AI171" i="8" s="1"/>
  <c r="D217" i="19"/>
  <c r="AL96" i="36"/>
  <c r="AM96" i="36" s="1"/>
  <c r="AL96" i="14"/>
  <c r="AM96" i="14" s="1"/>
  <c r="D199" i="19"/>
  <c r="D211" i="19"/>
  <c r="B220" i="19"/>
  <c r="D202" i="19"/>
  <c r="D198" i="19"/>
  <c r="C220" i="19"/>
  <c r="AI146" i="15"/>
  <c r="AI147" i="15" s="1"/>
  <c r="L168" i="19"/>
  <c r="N168" i="19" s="1"/>
  <c r="L182" i="19"/>
  <c r="N182" i="19" s="1"/>
  <c r="L162" i="19"/>
  <c r="N162" i="19" s="1"/>
  <c r="L166" i="19"/>
  <c r="N166" i="19" s="1"/>
  <c r="G210" i="14"/>
  <c r="L169" i="19"/>
  <c r="N169" i="19" s="1"/>
  <c r="L174" i="19"/>
  <c r="N174" i="19" s="1"/>
  <c r="L189" i="19"/>
  <c r="N189" i="19" s="1"/>
  <c r="N276" i="27"/>
  <c r="L187" i="19"/>
  <c r="L176" i="19"/>
  <c r="N176" i="19" s="1"/>
  <c r="L175" i="19"/>
  <c r="N175" i="19" s="1"/>
  <c r="L171" i="19"/>
  <c r="N171" i="19" s="1"/>
  <c r="AF208" i="7"/>
  <c r="AF296" i="7" s="1"/>
  <c r="AI208" i="7"/>
  <c r="AI296" i="7" s="1"/>
  <c r="AI297" i="7" s="1"/>
  <c r="T139" i="23"/>
  <c r="T215" i="23" s="1"/>
  <c r="R122" i="19" s="1"/>
  <c r="R123" i="19" s="1"/>
  <c r="M139" i="23"/>
  <c r="M215" i="23" s="1"/>
  <c r="K122" i="19" s="1"/>
  <c r="Q139" i="23"/>
  <c r="Q215" i="23" s="1"/>
  <c r="O122" i="19" s="1"/>
  <c r="O123" i="19" s="1"/>
  <c r="N139" i="23"/>
  <c r="N140" i="23" s="1"/>
  <c r="R139" i="23"/>
  <c r="R215" i="23" s="1"/>
  <c r="P122" i="19" s="1"/>
  <c r="P123" i="19" s="1"/>
  <c r="O139" i="23"/>
  <c r="O140" i="23" s="1"/>
  <c r="S139" i="23"/>
  <c r="S140" i="23" s="1"/>
  <c r="F146" i="15"/>
  <c r="F147" i="15" s="1"/>
  <c r="J146" i="15"/>
  <c r="J147" i="15" s="1"/>
  <c r="N146" i="15"/>
  <c r="N147" i="15" s="1"/>
  <c r="R146" i="15"/>
  <c r="R147" i="15" s="1"/>
  <c r="V146" i="15"/>
  <c r="V147" i="15" s="1"/>
  <c r="Z146" i="15"/>
  <c r="Z147" i="15" s="1"/>
  <c r="G146" i="15"/>
  <c r="G147" i="15" s="1"/>
  <c r="K146" i="15"/>
  <c r="K147" i="15" s="1"/>
  <c r="O146" i="15"/>
  <c r="O147" i="15" s="1"/>
  <c r="S146" i="15"/>
  <c r="S147" i="15" s="1"/>
  <c r="W146" i="15"/>
  <c r="W147" i="15" s="1"/>
  <c r="AA146" i="15"/>
  <c r="AA147" i="15" s="1"/>
  <c r="H146" i="15"/>
  <c r="H147" i="15" s="1"/>
  <c r="P146" i="15"/>
  <c r="P147" i="15" s="1"/>
  <c r="T146" i="15"/>
  <c r="X146" i="15"/>
  <c r="X147" i="15" s="1"/>
  <c r="AB146" i="15"/>
  <c r="AB147" i="15" s="1"/>
  <c r="E146" i="15"/>
  <c r="E147" i="15" s="1"/>
  <c r="I146" i="15"/>
  <c r="I147" i="15" s="1"/>
  <c r="M146" i="15"/>
  <c r="M230" i="15" s="1"/>
  <c r="K88" i="19" s="1"/>
  <c r="K89" i="19" s="1"/>
  <c r="Q146" i="15"/>
  <c r="Q147" i="15" s="1"/>
  <c r="Y146" i="15"/>
  <c r="Y147" i="15" s="1"/>
  <c r="AC146" i="15"/>
  <c r="AC147" i="15" s="1"/>
  <c r="AL97" i="15"/>
  <c r="AM97" i="15" s="1"/>
  <c r="AL96" i="37"/>
  <c r="AM96" i="37" s="1"/>
  <c r="X277" i="9"/>
  <c r="AB277" i="9"/>
  <c r="P277" i="9"/>
  <c r="T277" i="9"/>
  <c r="X156" i="19"/>
  <c r="AH102" i="15"/>
  <c r="AJ102" i="15" s="1"/>
  <c r="AE111" i="15"/>
  <c r="AF139" i="23"/>
  <c r="AF215" i="23" s="1"/>
  <c r="AS120" i="4"/>
  <c r="Z211" i="10"/>
  <c r="AL126" i="25"/>
  <c r="AM126" i="25" s="1"/>
  <c r="AL110" i="37"/>
  <c r="AM110" i="37" s="1"/>
  <c r="AL110" i="36"/>
  <c r="AM110" i="36" s="1"/>
  <c r="Z209" i="10"/>
  <c r="AL122" i="8"/>
  <c r="AM122" i="8" s="1"/>
  <c r="Z233" i="10"/>
  <c r="AL141" i="7"/>
  <c r="AM141" i="7" s="1"/>
  <c r="Z257" i="10"/>
  <c r="AL179" i="34"/>
  <c r="AM179" i="34" s="1"/>
  <c r="O170" i="8"/>
  <c r="O171" i="8" s="1"/>
  <c r="S170" i="8"/>
  <c r="S171" i="8" s="1"/>
  <c r="AB170" i="8"/>
  <c r="AB171" i="8" s="1"/>
  <c r="P170" i="8"/>
  <c r="P254" i="8" s="1"/>
  <c r="N39" i="19" s="1"/>
  <c r="N40" i="19" s="1"/>
  <c r="T170" i="8"/>
  <c r="T171" i="8" s="1"/>
  <c r="Y170" i="8"/>
  <c r="Y171" i="8" s="1"/>
  <c r="AC170" i="8"/>
  <c r="AC171" i="8" s="1"/>
  <c r="M170" i="8"/>
  <c r="M171" i="8" s="1"/>
  <c r="Q170" i="8"/>
  <c r="Q171" i="8" s="1"/>
  <c r="V170" i="8"/>
  <c r="V171" i="8" s="1"/>
  <c r="Z170" i="8"/>
  <c r="Z171" i="8" s="1"/>
  <c r="N170" i="8"/>
  <c r="N171" i="8" s="1"/>
  <c r="R170" i="8"/>
  <c r="R171" i="8" s="1"/>
  <c r="W170" i="8"/>
  <c r="W171" i="8" s="1"/>
  <c r="AA170" i="8"/>
  <c r="AA171" i="8" s="1"/>
  <c r="H170" i="8"/>
  <c r="H171" i="8" s="1"/>
  <c r="E170" i="8"/>
  <c r="E171" i="8" s="1"/>
  <c r="I170" i="8"/>
  <c r="I171" i="8" s="1"/>
  <c r="F170" i="8"/>
  <c r="F171" i="8" s="1"/>
  <c r="J170" i="8"/>
  <c r="J171" i="8" s="1"/>
  <c r="G170" i="8"/>
  <c r="G171" i="8" s="1"/>
  <c r="K170" i="8"/>
  <c r="K171" i="8" s="1"/>
  <c r="H208" i="7"/>
  <c r="H209" i="7" s="1"/>
  <c r="L208" i="7"/>
  <c r="L209" i="7" s="1"/>
  <c r="P208" i="7"/>
  <c r="P296" i="7" s="1"/>
  <c r="N53" i="19" s="1"/>
  <c r="N54" i="19" s="1"/>
  <c r="Y208" i="7"/>
  <c r="Y209" i="7" s="1"/>
  <c r="AC208" i="7"/>
  <c r="AC209" i="7" s="1"/>
  <c r="E208" i="7"/>
  <c r="E296" i="7" s="1"/>
  <c r="B53" i="19" s="1"/>
  <c r="B54" i="19" s="1"/>
  <c r="I208" i="7"/>
  <c r="I209" i="7" s="1"/>
  <c r="M208" i="7"/>
  <c r="M209" i="7" s="1"/>
  <c r="Q208" i="7"/>
  <c r="Q209" i="7" s="1"/>
  <c r="V208" i="7"/>
  <c r="V209" i="7" s="1"/>
  <c r="Z208" i="7"/>
  <c r="Z209" i="7" s="1"/>
  <c r="F208" i="7"/>
  <c r="F209" i="7" s="1"/>
  <c r="J208" i="7"/>
  <c r="J209" i="7" s="1"/>
  <c r="N208" i="7"/>
  <c r="N209" i="7" s="1"/>
  <c r="S208" i="7"/>
  <c r="S209" i="7" s="1"/>
  <c r="W208" i="7"/>
  <c r="W209" i="7" s="1"/>
  <c r="AA208" i="7"/>
  <c r="AA209" i="7" s="1"/>
  <c r="G208" i="7"/>
  <c r="G296" i="7" s="1"/>
  <c r="D53" i="19" s="1"/>
  <c r="D54" i="19" s="1"/>
  <c r="K208" i="7"/>
  <c r="K209" i="7" s="1"/>
  <c r="O208" i="7"/>
  <c r="O209" i="7" s="1"/>
  <c r="T208" i="7"/>
  <c r="T209" i="7" s="1"/>
  <c r="X208" i="7"/>
  <c r="X209" i="7" s="1"/>
  <c r="AB208" i="7"/>
  <c r="AB209" i="7" s="1"/>
  <c r="AC202" i="25"/>
  <c r="AC203" i="25" s="1"/>
  <c r="E202" i="25"/>
  <c r="E203" i="25" s="1"/>
  <c r="I202" i="25"/>
  <c r="I203" i="25" s="1"/>
  <c r="N202" i="25"/>
  <c r="N203" i="25" s="1"/>
  <c r="R202" i="25"/>
  <c r="R203" i="25" s="1"/>
  <c r="W202" i="25"/>
  <c r="W203" i="25" s="1"/>
  <c r="AA202" i="25"/>
  <c r="AA203" i="25" s="1"/>
  <c r="F202" i="25"/>
  <c r="F203" i="25" s="1"/>
  <c r="J202" i="25"/>
  <c r="J203" i="25" s="1"/>
  <c r="O202" i="25"/>
  <c r="O203" i="25" s="1"/>
  <c r="S202" i="25"/>
  <c r="S203" i="25" s="1"/>
  <c r="X202" i="25"/>
  <c r="X203" i="25" s="1"/>
  <c r="AB202" i="25"/>
  <c r="AB203" i="25" s="1"/>
  <c r="G202" i="25"/>
  <c r="G203" i="25" s="1"/>
  <c r="K202" i="25"/>
  <c r="K203" i="25" s="1"/>
  <c r="P202" i="25"/>
  <c r="P203" i="25" s="1"/>
  <c r="T202" i="25"/>
  <c r="T203" i="25" s="1"/>
  <c r="Y202" i="25"/>
  <c r="Y203" i="25" s="1"/>
  <c r="H202" i="25"/>
  <c r="H203" i="25" s="1"/>
  <c r="M202" i="25"/>
  <c r="M203" i="25" s="1"/>
  <c r="Q202" i="25"/>
  <c r="Q203" i="25" s="1"/>
  <c r="V202" i="25"/>
  <c r="V203" i="25" s="1"/>
  <c r="Z202" i="25"/>
  <c r="Z203" i="25" s="1"/>
  <c r="V58" i="27"/>
  <c r="Y205" i="27"/>
  <c r="AA205" i="27" s="1"/>
  <c r="V275" i="27"/>
  <c r="V276" i="27" s="1"/>
  <c r="AB33" i="19"/>
  <c r="H221" i="15"/>
  <c r="Z220" i="10"/>
  <c r="AL114" i="30"/>
  <c r="AM114" i="30" s="1"/>
  <c r="F221" i="15"/>
  <c r="G217" i="11"/>
  <c r="AH9" i="15"/>
  <c r="AJ9" i="15" s="1"/>
  <c r="AH13" i="15"/>
  <c r="AJ13" i="15" s="1"/>
  <c r="AH17" i="15"/>
  <c r="AJ17" i="15" s="1"/>
  <c r="AH6" i="15"/>
  <c r="AJ6" i="15" s="1"/>
  <c r="AH10" i="15"/>
  <c r="AJ10" i="15" s="1"/>
  <c r="AH14" i="15"/>
  <c r="AJ14" i="15" s="1"/>
  <c r="AH18" i="15"/>
  <c r="AJ18" i="15" s="1"/>
  <c r="AH7" i="15"/>
  <c r="AJ7" i="15" s="1"/>
  <c r="AH11" i="15"/>
  <c r="AJ11" i="15" s="1"/>
  <c r="AH15" i="15"/>
  <c r="AJ15" i="15" s="1"/>
  <c r="AH19" i="15"/>
  <c r="AJ19" i="15" s="1"/>
  <c r="AJ4" i="15"/>
  <c r="AH8" i="15"/>
  <c r="AJ8" i="15" s="1"/>
  <c r="AH12" i="15"/>
  <c r="AJ12" i="15" s="1"/>
  <c r="AH16" i="15"/>
  <c r="AJ16" i="15" s="1"/>
  <c r="AH20" i="15"/>
  <c r="AJ20" i="15" s="1"/>
  <c r="G171" i="24"/>
  <c r="G172" i="24" s="1"/>
  <c r="P172" i="22"/>
  <c r="P173" i="22" s="1"/>
  <c r="AE238" i="12"/>
  <c r="AL110" i="25"/>
  <c r="AL82" i="31"/>
  <c r="AE198" i="7"/>
  <c r="E217" i="11"/>
  <c r="AK72" i="30"/>
  <c r="AK68" i="31"/>
  <c r="AM68" i="31" s="1"/>
  <c r="AK93" i="30"/>
  <c r="AK82" i="31"/>
  <c r="P172" i="19"/>
  <c r="AL136" i="30"/>
  <c r="AL110" i="31"/>
  <c r="AM110" i="31" s="1"/>
  <c r="X172" i="22"/>
  <c r="X173" i="22" s="1"/>
  <c r="AL68" i="12"/>
  <c r="AL85" i="7"/>
  <c r="AL94" i="25"/>
  <c r="AL85" i="22"/>
  <c r="AL94" i="8"/>
  <c r="AG146" i="14"/>
  <c r="AE129" i="23"/>
  <c r="K171" i="24"/>
  <c r="K172" i="24" s="1"/>
  <c r="AE282" i="25"/>
  <c r="G172" i="22"/>
  <c r="G173" i="22" s="1"/>
  <c r="O172" i="22"/>
  <c r="O173" i="22" s="1"/>
  <c r="W172" i="22"/>
  <c r="W173" i="22" s="1"/>
  <c r="AF348" i="9"/>
  <c r="AB139" i="23"/>
  <c r="AB140" i="23" s="1"/>
  <c r="AE76" i="25"/>
  <c r="H172" i="22"/>
  <c r="H173" i="22" s="1"/>
  <c r="AE138" i="12"/>
  <c r="K172" i="22"/>
  <c r="K173" i="22" s="1"/>
  <c r="S172" i="22"/>
  <c r="S173" i="22" s="1"/>
  <c r="AA172" i="22"/>
  <c r="AA173" i="22" s="1"/>
  <c r="AE251" i="18"/>
  <c r="X139" i="23"/>
  <c r="X140" i="23" s="1"/>
  <c r="AE176" i="25"/>
  <c r="T172" i="22"/>
  <c r="T173" i="22" s="1"/>
  <c r="R201" i="27"/>
  <c r="AJ140" i="11"/>
  <c r="J172" i="22"/>
  <c r="J173" i="22" s="1"/>
  <c r="AG203" i="25"/>
  <c r="F172" i="22"/>
  <c r="F173" i="22" s="1"/>
  <c r="Z153" i="24"/>
  <c r="U159" i="11"/>
  <c r="U160" i="11" s="1"/>
  <c r="AH171" i="25"/>
  <c r="AJ171" i="25" s="1"/>
  <c r="AJ176" i="25" s="1"/>
  <c r="AE192" i="25"/>
  <c r="AE200" i="25"/>
  <c r="AH280" i="25"/>
  <c r="AJ280" i="25" s="1"/>
  <c r="AG172" i="22"/>
  <c r="AG173" i="22" s="1"/>
  <c r="U56" i="24"/>
  <c r="AE183" i="25"/>
  <c r="AE39" i="22"/>
  <c r="E172" i="22"/>
  <c r="E173" i="22" s="1"/>
  <c r="I172" i="22"/>
  <c r="I173" i="22" s="1"/>
  <c r="M172" i="22"/>
  <c r="M173" i="22" s="1"/>
  <c r="Q172" i="22"/>
  <c r="Q173" i="22" s="1"/>
  <c r="Y172" i="22"/>
  <c r="Y173" i="22" s="1"/>
  <c r="AE85" i="22"/>
  <c r="AE254" i="22"/>
  <c r="AH252" i="22"/>
  <c r="AJ252" i="22" s="1"/>
  <c r="AJ254" i="22" s="1"/>
  <c r="N172" i="22"/>
  <c r="N173" i="22" s="1"/>
  <c r="R172" i="22"/>
  <c r="R173" i="22" s="1"/>
  <c r="V172" i="22"/>
  <c r="V173" i="22" s="1"/>
  <c r="Z172" i="22"/>
  <c r="Z173" i="22" s="1"/>
  <c r="AE64" i="22"/>
  <c r="AH85" i="22"/>
  <c r="AL108" i="8"/>
  <c r="AL82" i="12"/>
  <c r="U283" i="10"/>
  <c r="AJ145" i="13"/>
  <c r="AB112" i="10"/>
  <c r="AC112" i="27"/>
  <c r="AD164" i="12"/>
  <c r="AD165" i="12" s="1"/>
  <c r="AE162" i="12"/>
  <c r="AG170" i="8"/>
  <c r="AG171" i="8" s="1"/>
  <c r="AE162" i="22"/>
  <c r="AE170" i="22"/>
  <c r="U110" i="24"/>
  <c r="U145" i="24"/>
  <c r="U250" i="24"/>
  <c r="AE115" i="12"/>
  <c r="AE145" i="12"/>
  <c r="AE154" i="12"/>
  <c r="AH236" i="12"/>
  <c r="AH238" i="12" s="1"/>
  <c r="AI346" i="9"/>
  <c r="AK346" i="9" s="1"/>
  <c r="AK348" i="9" s="1"/>
  <c r="AE93" i="13"/>
  <c r="AE138" i="22"/>
  <c r="AE146" i="22"/>
  <c r="AH165" i="22"/>
  <c r="AJ165" i="22" s="1"/>
  <c r="AJ170" i="22" s="1"/>
  <c r="E171" i="24"/>
  <c r="E172" i="24" s="1"/>
  <c r="M171" i="24"/>
  <c r="M172" i="24" s="1"/>
  <c r="X248" i="24"/>
  <c r="P165" i="12"/>
  <c r="AE141" i="13"/>
  <c r="B227" i="19" s="1"/>
  <c r="AE246" i="13"/>
  <c r="AE90" i="23"/>
  <c r="AH74" i="23"/>
  <c r="AJ74" i="23" s="1"/>
  <c r="AF257" i="9"/>
  <c r="V281" i="27"/>
  <c r="F250" i="13"/>
  <c r="C74" i="19" s="1"/>
  <c r="C75" i="19" s="1"/>
  <c r="J168" i="13"/>
  <c r="N250" i="13"/>
  <c r="L74" i="19" s="1"/>
  <c r="L75" i="19" s="1"/>
  <c r="AE53" i="13"/>
  <c r="AE105" i="18"/>
  <c r="AH87" i="18"/>
  <c r="AJ87" i="18" s="1"/>
  <c r="AJ105" i="18" s="1"/>
  <c r="AE167" i="18"/>
  <c r="AH162" i="18"/>
  <c r="AH167" i="18" s="1"/>
  <c r="E139" i="23"/>
  <c r="E140" i="23" s="1"/>
  <c r="Y139" i="23"/>
  <c r="Y140" i="23" s="1"/>
  <c r="AC139" i="23"/>
  <c r="AC140" i="23" s="1"/>
  <c r="AF274" i="9"/>
  <c r="U174" i="10"/>
  <c r="B228" i="19" s="1"/>
  <c r="D228" i="19" s="1"/>
  <c r="X283" i="10"/>
  <c r="V174" i="27"/>
  <c r="AE64" i="18"/>
  <c r="AE126" i="14"/>
  <c r="AE159" i="18"/>
  <c r="V139" i="23"/>
  <c r="V140" i="23" s="1"/>
  <c r="Z139" i="23"/>
  <c r="Z140" i="23" s="1"/>
  <c r="AE54" i="23"/>
  <c r="AE113" i="23"/>
  <c r="AE137" i="23"/>
  <c r="AE211" i="23"/>
  <c r="AD145" i="14"/>
  <c r="AD146" i="14" s="1"/>
  <c r="G139" i="23"/>
  <c r="G140" i="23" s="1"/>
  <c r="K139" i="23"/>
  <c r="K140" i="23" s="1"/>
  <c r="W139" i="23"/>
  <c r="W140" i="23" s="1"/>
  <c r="AA139" i="23"/>
  <c r="AA140" i="23" s="1"/>
  <c r="AH54" i="23"/>
  <c r="AH132" i="23"/>
  <c r="AJ132" i="23" s="1"/>
  <c r="AJ137" i="23" s="1"/>
  <c r="AE135" i="18"/>
  <c r="AE143" i="18"/>
  <c r="AE150" i="18"/>
  <c r="AE53" i="14"/>
  <c r="L159" i="11"/>
  <c r="L160" i="11" s="1"/>
  <c r="AG159" i="11"/>
  <c r="AG160" i="11" s="1"/>
  <c r="AH89" i="11"/>
  <c r="AE222" i="11"/>
  <c r="H139" i="23"/>
  <c r="H140" i="23" s="1"/>
  <c r="AG139" i="23"/>
  <c r="AG140" i="23" s="1"/>
  <c r="AE120" i="23"/>
  <c r="AE82" i="14"/>
  <c r="AE168" i="25"/>
  <c r="C109" i="4"/>
  <c r="C107" i="4"/>
  <c r="C104" i="4"/>
  <c r="C100" i="4"/>
  <c r="C116" i="2"/>
  <c r="AH168" i="25"/>
  <c r="AJ281" i="25"/>
  <c r="AH138" i="22"/>
  <c r="AH153" i="22"/>
  <c r="AJ149" i="22"/>
  <c r="AJ153" i="22" s="1"/>
  <c r="AH183" i="25"/>
  <c r="AJ144" i="25"/>
  <c r="AJ168" i="25" s="1"/>
  <c r="AH195" i="25"/>
  <c r="AF172" i="22"/>
  <c r="AF256" i="22" s="1"/>
  <c r="AF257" i="22" s="1"/>
  <c r="AE153" i="22"/>
  <c r="X137" i="24"/>
  <c r="Z112" i="24"/>
  <c r="Z137" i="24" s="1"/>
  <c r="AH15" i="22"/>
  <c r="AH42" i="22"/>
  <c r="AJ67" i="22"/>
  <c r="AJ85" i="22" s="1"/>
  <c r="AJ107" i="22"/>
  <c r="AJ138" i="22" s="1"/>
  <c r="AH141" i="22"/>
  <c r="AH157" i="22"/>
  <c r="Z145" i="24"/>
  <c r="X161" i="24"/>
  <c r="Z156" i="24"/>
  <c r="Z161" i="24" s="1"/>
  <c r="AJ179" i="25"/>
  <c r="AJ183" i="25" s="1"/>
  <c r="AH186" i="25"/>
  <c r="AI172" i="22"/>
  <c r="AI173" i="22" s="1"/>
  <c r="X169" i="24"/>
  <c r="Z164" i="24"/>
  <c r="Z169" i="24" s="1"/>
  <c r="AH42" i="25"/>
  <c r="X153" i="24"/>
  <c r="AH68" i="12"/>
  <c r="AJ56" i="12"/>
  <c r="AJ68" i="12" s="1"/>
  <c r="X85" i="24"/>
  <c r="U137" i="24"/>
  <c r="U169" i="24"/>
  <c r="AE68" i="12"/>
  <c r="AH103" i="12"/>
  <c r="AH133" i="12"/>
  <c r="AH141" i="12"/>
  <c r="AH148" i="12"/>
  <c r="AH159" i="12"/>
  <c r="AJ159" i="12" s="1"/>
  <c r="AJ162" i="12" s="1"/>
  <c r="AI38" i="9"/>
  <c r="AK38" i="9" s="1"/>
  <c r="AI257" i="9"/>
  <c r="AK260" i="9"/>
  <c r="AK266" i="9" s="1"/>
  <c r="AI266" i="9"/>
  <c r="X112" i="10"/>
  <c r="Z87" i="10"/>
  <c r="Z112" i="10" s="1"/>
  <c r="X190" i="10"/>
  <c r="Z185" i="10"/>
  <c r="Z190" i="10" s="1"/>
  <c r="V171" i="24"/>
  <c r="V252" i="24" s="1"/>
  <c r="X145" i="24"/>
  <c r="U161" i="24"/>
  <c r="AE108" i="8"/>
  <c r="AE151" i="8"/>
  <c r="AE160" i="8"/>
  <c r="AE250" i="8"/>
  <c r="AI274" i="9"/>
  <c r="X139" i="10"/>
  <c r="Z114" i="10"/>
  <c r="Z139" i="10" s="1"/>
  <c r="Y171" i="24"/>
  <c r="Y252" i="24" s="1"/>
  <c r="Y253" i="24" s="1"/>
  <c r="U153" i="24"/>
  <c r="AE206" i="7"/>
  <c r="AH108" i="8"/>
  <c r="AE136" i="8"/>
  <c r="AE144" i="8"/>
  <c r="AH151" i="8"/>
  <c r="AI250" i="9"/>
  <c r="AK245" i="9"/>
  <c r="AK250" i="9" s="1"/>
  <c r="AK274" i="9"/>
  <c r="X30" i="24"/>
  <c r="X198" i="10"/>
  <c r="Z193" i="10"/>
  <c r="U112" i="10"/>
  <c r="U139" i="10"/>
  <c r="X182" i="10"/>
  <c r="U198" i="10"/>
  <c r="E201" i="27"/>
  <c r="V139" i="27"/>
  <c r="Y190" i="27"/>
  <c r="V198" i="27"/>
  <c r="AJ141" i="13"/>
  <c r="AJ110" i="14"/>
  <c r="AF266" i="9"/>
  <c r="AL72" i="30"/>
  <c r="AL70" i="23"/>
  <c r="AL89" i="11"/>
  <c r="AL69" i="15"/>
  <c r="AL68" i="14"/>
  <c r="AL85" i="18"/>
  <c r="U190" i="10"/>
  <c r="AL93" i="30"/>
  <c r="AL84" i="23"/>
  <c r="AL83" i="15"/>
  <c r="AL82" i="14"/>
  <c r="V168" i="13"/>
  <c r="Z168" i="13"/>
  <c r="AL72" i="13"/>
  <c r="AL93" i="13"/>
  <c r="AF250" i="9"/>
  <c r="X169" i="10"/>
  <c r="Z181" i="10"/>
  <c r="Z182" i="10" s="1"/>
  <c r="U182" i="10"/>
  <c r="Z195" i="10"/>
  <c r="Z281" i="10"/>
  <c r="Z283" i="10" s="1"/>
  <c r="Y279" i="27"/>
  <c r="AA279" i="27" s="1"/>
  <c r="AA281" i="27" s="1"/>
  <c r="AE39" i="18"/>
  <c r="AH15" i="18"/>
  <c r="AH68" i="14"/>
  <c r="AJ56" i="14"/>
  <c r="AJ68" i="14" s="1"/>
  <c r="AK253" i="9"/>
  <c r="AK257" i="9" s="1"/>
  <c r="Y169" i="27"/>
  <c r="Y174" i="27" s="1"/>
  <c r="V182" i="27"/>
  <c r="V190" i="27"/>
  <c r="Z149" i="14"/>
  <c r="Z121" i="14"/>
  <c r="Z128" i="14" s="1"/>
  <c r="Z137" i="14" s="1"/>
  <c r="AH42" i="18"/>
  <c r="AH64" i="18" s="1"/>
  <c r="AH107" i="18"/>
  <c r="AH138" i="18"/>
  <c r="AH146" i="18"/>
  <c r="AH154" i="18"/>
  <c r="AH250" i="18"/>
  <c r="AJ250" i="18" s="1"/>
  <c r="AJ251" i="18" s="1"/>
  <c r="AH42" i="14"/>
  <c r="AJ42" i="14" s="1"/>
  <c r="AE68" i="14"/>
  <c r="AH70" i="14"/>
  <c r="AE119" i="14"/>
  <c r="AH114" i="14"/>
  <c r="AJ122" i="14"/>
  <c r="AJ126" i="14" s="1"/>
  <c r="AH126" i="14"/>
  <c r="AE215" i="14"/>
  <c r="AJ73" i="11"/>
  <c r="AJ89" i="11" s="1"/>
  <c r="AE125" i="11"/>
  <c r="AB168" i="13"/>
  <c r="Y121" i="14"/>
  <c r="Y128" i="14" s="1"/>
  <c r="Y137" i="14" s="1"/>
  <c r="AH143" i="14"/>
  <c r="AE144" i="15"/>
  <c r="AG169" i="18"/>
  <c r="AG170" i="18" s="1"/>
  <c r="AJ41" i="14"/>
  <c r="AE110" i="14"/>
  <c r="AJ138" i="14"/>
  <c r="AJ143" i="14" s="1"/>
  <c r="AE143" i="14"/>
  <c r="X149" i="14"/>
  <c r="AE107" i="11"/>
  <c r="AH91" i="11"/>
  <c r="AH125" i="11"/>
  <c r="AH110" i="14"/>
  <c r="AE135" i="14"/>
  <c r="AH129" i="14"/>
  <c r="AA163" i="11"/>
  <c r="AA135" i="11"/>
  <c r="AA142" i="11" s="1"/>
  <c r="AA151" i="11" s="1"/>
  <c r="AJ125" i="11"/>
  <c r="AE133" i="11"/>
  <c r="AH128" i="11"/>
  <c r="AE140" i="11"/>
  <c r="AE149" i="11"/>
  <c r="AE89" i="11"/>
  <c r="AA121" i="14"/>
  <c r="AA128" i="14" s="1"/>
  <c r="AA137" i="14" s="1"/>
  <c r="AH213" i="14"/>
  <c r="AE120" i="15"/>
  <c r="AE136" i="15"/>
  <c r="AE127" i="15"/>
  <c r="AE226" i="15"/>
  <c r="AF159" i="11"/>
  <c r="AH140" i="11"/>
  <c r="AH143" i="11"/>
  <c r="AH220" i="11"/>
  <c r="AH108" i="23"/>
  <c r="AH116" i="23"/>
  <c r="AH123" i="23"/>
  <c r="AF217" i="11"/>
  <c r="AI139" i="23"/>
  <c r="AI215" i="23" s="1"/>
  <c r="AI216" i="23" s="1"/>
  <c r="AJ42" i="23"/>
  <c r="AJ54" i="23" s="1"/>
  <c r="AH209" i="23"/>
  <c r="AF233" i="12"/>
  <c r="AJ232" i="13"/>
  <c r="AJ113" i="13"/>
  <c r="AB109" i="24"/>
  <c r="AH41" i="13"/>
  <c r="AJ41" i="13" s="1"/>
  <c r="AJ53" i="13" s="1"/>
  <c r="AH74" i="13"/>
  <c r="AJ74" i="13" s="1"/>
  <c r="AJ93" i="13" s="1"/>
  <c r="AE113" i="13"/>
  <c r="AH165" i="13"/>
  <c r="AI169" i="18"/>
  <c r="AI253" i="18" s="1"/>
  <c r="AI254" i="18" s="1"/>
  <c r="AF169" i="18"/>
  <c r="AF170" i="18" s="1"/>
  <c r="AA174" i="8"/>
  <c r="AA146" i="8"/>
  <c r="AA153" i="8" s="1"/>
  <c r="AA162" i="8" s="1"/>
  <c r="AH168" i="8"/>
  <c r="AJ163" i="8"/>
  <c r="AJ168" i="8" s="1"/>
  <c r="AH136" i="8"/>
  <c r="AJ144" i="8"/>
  <c r="Z174" i="8"/>
  <c r="Z146" i="8"/>
  <c r="Z153" i="8" s="1"/>
  <c r="Z162" i="8" s="1"/>
  <c r="AH250" i="8"/>
  <c r="AH144" i="8"/>
  <c r="Y146" i="8"/>
  <c r="Y153" i="8" s="1"/>
  <c r="Y162" i="8" s="1"/>
  <c r="AE168" i="8"/>
  <c r="AJ248" i="8"/>
  <c r="AJ250" i="8" s="1"/>
  <c r="AJ96" i="8"/>
  <c r="AJ108" i="8" s="1"/>
  <c r="AJ124" i="8"/>
  <c r="AJ136" i="8" s="1"/>
  <c r="X146" i="8"/>
  <c r="X153" i="8" s="1"/>
  <c r="X162" i="8" s="1"/>
  <c r="AJ147" i="8"/>
  <c r="AJ151" i="8" s="1"/>
  <c r="AH154" i="8"/>
  <c r="I171" i="24"/>
  <c r="I172" i="24" s="1"/>
  <c r="C106" i="3"/>
  <c r="AH94" i="25"/>
  <c r="AJ79" i="25"/>
  <c r="AJ94" i="25" s="1"/>
  <c r="AE94" i="25"/>
  <c r="AH94" i="8"/>
  <c r="AJ79" i="8"/>
  <c r="AJ94" i="8" s="1"/>
  <c r="AE94" i="8"/>
  <c r="AE39" i="23"/>
  <c r="N206" i="23"/>
  <c r="T206" i="23"/>
  <c r="O206" i="23"/>
  <c r="S206" i="23"/>
  <c r="AA116" i="4"/>
  <c r="AG208" i="7"/>
  <c r="AG209" i="7" s="1"/>
  <c r="AU119" i="1"/>
  <c r="C78" i="1"/>
  <c r="C112" i="1"/>
  <c r="J139" i="23"/>
  <c r="J140" i="23" s="1"/>
  <c r="F139" i="23"/>
  <c r="F140" i="23" s="1"/>
  <c r="BA114" i="1"/>
  <c r="AE72" i="23"/>
  <c r="Y125" i="3"/>
  <c r="BB114" i="1"/>
  <c r="C115" i="3"/>
  <c r="C112" i="4"/>
  <c r="AE104" i="23"/>
  <c r="AH57" i="23"/>
  <c r="AJ57" i="23" s="1"/>
  <c r="AJ72" i="23" s="1"/>
  <c r="AI159" i="11"/>
  <c r="AI224" i="11" s="1"/>
  <c r="AI225" i="11" s="1"/>
  <c r="E159" i="11"/>
  <c r="G159" i="11"/>
  <c r="I159" i="11"/>
  <c r="K159" i="11"/>
  <c r="N159" i="11"/>
  <c r="N224" i="11" s="1"/>
  <c r="L60" i="19" s="1"/>
  <c r="L61" i="19" s="1"/>
  <c r="P159" i="11"/>
  <c r="P224" i="11" s="1"/>
  <c r="N60" i="19" s="1"/>
  <c r="N61" i="19" s="1"/>
  <c r="R159" i="11"/>
  <c r="R224" i="11" s="1"/>
  <c r="P60" i="19" s="1"/>
  <c r="P61" i="19" s="1"/>
  <c r="T159" i="11"/>
  <c r="T224" i="11" s="1"/>
  <c r="R60" i="19" s="1"/>
  <c r="W159" i="11"/>
  <c r="W224" i="11" s="1"/>
  <c r="W225" i="11" s="1"/>
  <c r="Y159" i="11"/>
  <c r="Y224" i="11" s="1"/>
  <c r="Y225" i="11" s="1"/>
  <c r="AA159" i="11"/>
  <c r="AA224" i="11" s="1"/>
  <c r="AA225" i="11" s="1"/>
  <c r="AC159" i="11"/>
  <c r="AC224" i="11" s="1"/>
  <c r="AC225" i="11" s="1"/>
  <c r="F159" i="11"/>
  <c r="H159" i="11"/>
  <c r="H160" i="11" s="1"/>
  <c r="M159" i="11"/>
  <c r="O159" i="11"/>
  <c r="O224" i="11" s="1"/>
  <c r="M60" i="19" s="1"/>
  <c r="M61" i="19" s="1"/>
  <c r="Q159" i="11"/>
  <c r="S159" i="11"/>
  <c r="S224" i="11" s="1"/>
  <c r="Q60" i="19" s="1"/>
  <c r="Q61" i="19" s="1"/>
  <c r="V159" i="11"/>
  <c r="X159" i="11"/>
  <c r="X160" i="11" s="1"/>
  <c r="Z159" i="11"/>
  <c r="Z160" i="11" s="1"/>
  <c r="AB159" i="11"/>
  <c r="AB224" i="11" s="1"/>
  <c r="AB225" i="11" s="1"/>
  <c r="U27" i="24"/>
  <c r="C88" i="4"/>
  <c r="AH115" i="15"/>
  <c r="AH123" i="15"/>
  <c r="AH130" i="15"/>
  <c r="AH139" i="15"/>
  <c r="AH224" i="15"/>
  <c r="C108" i="1"/>
  <c r="AE40" i="11"/>
  <c r="AE216" i="11"/>
  <c r="AE217" i="11" s="1"/>
  <c r="AH5" i="11"/>
  <c r="J217" i="11"/>
  <c r="C89" i="1"/>
  <c r="AH70" i="11"/>
  <c r="AJ43" i="11"/>
  <c r="AJ70" i="11" s="1"/>
  <c r="AE70" i="11"/>
  <c r="J159" i="11"/>
  <c r="E338" i="29"/>
  <c r="AE53" i="12"/>
  <c r="AH41" i="12"/>
  <c r="L276" i="27"/>
  <c r="E276" i="27"/>
  <c r="P221" i="15"/>
  <c r="AK98" i="23"/>
  <c r="AK136" i="30"/>
  <c r="C34" i="3"/>
  <c r="K206" i="23"/>
  <c r="Y32" i="27"/>
  <c r="Y114" i="27"/>
  <c r="AA169" i="27"/>
  <c r="AA174" i="27" s="1"/>
  <c r="Y177" i="27"/>
  <c r="AA185" i="27"/>
  <c r="AA190" i="27" s="1"/>
  <c r="Y193" i="27"/>
  <c r="AE69" i="15"/>
  <c r="AH57" i="15"/>
  <c r="AF206" i="23"/>
  <c r="V29" i="27"/>
  <c r="AF245" i="8"/>
  <c r="C5" i="4"/>
  <c r="C69" i="4"/>
  <c r="C92" i="4"/>
  <c r="C94" i="3"/>
  <c r="C97" i="1"/>
  <c r="C103" i="1"/>
  <c r="C102" i="3"/>
  <c r="C100" i="1"/>
  <c r="Y85" i="27"/>
  <c r="AA60" i="27"/>
  <c r="AA85" i="27" s="1"/>
  <c r="V85" i="27"/>
  <c r="C98" i="3"/>
  <c r="C82" i="1"/>
  <c r="C76" i="4"/>
  <c r="C54" i="4"/>
  <c r="AF107" i="9"/>
  <c r="AI107" i="9"/>
  <c r="AE39" i="25"/>
  <c r="AK74" i="9"/>
  <c r="AK107" i="9" s="1"/>
  <c r="C96" i="4"/>
  <c r="C15" i="4"/>
  <c r="AE38" i="12"/>
  <c r="AF249" i="22"/>
  <c r="AC172" i="22"/>
  <c r="AC173" i="22" s="1"/>
  <c r="C23" i="4"/>
  <c r="C30" i="4"/>
  <c r="C57" i="4"/>
  <c r="C80" i="4"/>
  <c r="AE113" i="7"/>
  <c r="C84" i="4"/>
  <c r="C97" i="2"/>
  <c r="AF246" i="18"/>
  <c r="V278" i="10"/>
  <c r="AF221" i="15"/>
  <c r="AG343" i="9"/>
  <c r="V245" i="24"/>
  <c r="AF277" i="25"/>
  <c r="AF210" i="14"/>
  <c r="C69" i="1"/>
  <c r="C60" i="4"/>
  <c r="C50" i="4"/>
  <c r="C46" i="4"/>
  <c r="AE38" i="14"/>
  <c r="C25" i="1"/>
  <c r="C51" i="1"/>
  <c r="C86" i="1"/>
  <c r="C93" i="1"/>
  <c r="AH164" i="11"/>
  <c r="AH216" i="11" s="1"/>
  <c r="AH217" i="11" s="1"/>
  <c r="AE38" i="15"/>
  <c r="AH5" i="14"/>
  <c r="AH38" i="14" s="1"/>
  <c r="F169" i="18"/>
  <c r="F170" i="18" s="1"/>
  <c r="H169" i="18"/>
  <c r="H170" i="18" s="1"/>
  <c r="J169" i="18"/>
  <c r="J170" i="18" s="1"/>
  <c r="L169" i="18"/>
  <c r="L170" i="18" s="1"/>
  <c r="N169" i="18"/>
  <c r="N170" i="18" s="1"/>
  <c r="P169" i="18"/>
  <c r="P170" i="18" s="1"/>
  <c r="R169" i="18"/>
  <c r="R170" i="18" s="1"/>
  <c r="T169" i="18"/>
  <c r="T170" i="18" s="1"/>
  <c r="V169" i="18"/>
  <c r="V170" i="18" s="1"/>
  <c r="X169" i="18"/>
  <c r="X170" i="18" s="1"/>
  <c r="Z169" i="18"/>
  <c r="Z253" i="18" s="1"/>
  <c r="X81" i="19" s="1"/>
  <c r="X82" i="19" s="1"/>
  <c r="AB169" i="18"/>
  <c r="AB170" i="18" s="1"/>
  <c r="W276" i="27"/>
  <c r="U29" i="10"/>
  <c r="AE76" i="8"/>
  <c r="AB172" i="22"/>
  <c r="AB173" i="22" s="1"/>
  <c r="AH5" i="25"/>
  <c r="AJ5" i="25" s="1"/>
  <c r="AJ39" i="25" s="1"/>
  <c r="C40" i="4"/>
  <c r="C15" i="3"/>
  <c r="C23" i="3"/>
  <c r="C31" i="3"/>
  <c r="C65" i="3"/>
  <c r="C79" i="3"/>
  <c r="C87" i="3"/>
  <c r="W338" i="29"/>
  <c r="N338" i="29"/>
  <c r="C75" i="1"/>
  <c r="C66" i="4"/>
  <c r="C72" i="1"/>
  <c r="AE105" i="22"/>
  <c r="AH87" i="22"/>
  <c r="C43" i="4"/>
  <c r="Y112" i="27"/>
  <c r="AA87" i="27"/>
  <c r="AA112" i="27" s="1"/>
  <c r="V112" i="27"/>
  <c r="C37" i="4"/>
  <c r="AH42" i="8"/>
  <c r="AH76" i="8" s="1"/>
  <c r="C29" i="1"/>
  <c r="N201" i="10"/>
  <c r="AH83" i="15"/>
  <c r="AJ71" i="15"/>
  <c r="AJ83" i="15" s="1"/>
  <c r="AE83" i="15"/>
  <c r="AE54" i="15"/>
  <c r="AE82" i="12"/>
  <c r="AJ54" i="15"/>
  <c r="C15" i="1"/>
  <c r="AH54" i="15"/>
  <c r="AJ82" i="12"/>
  <c r="AH82" i="12"/>
  <c r="AE64" i="7"/>
  <c r="AH201" i="7"/>
  <c r="AH206" i="7" s="1"/>
  <c r="AF289" i="7"/>
  <c r="AH292" i="7"/>
  <c r="AJ292" i="7" s="1"/>
  <c r="AJ294" i="7" s="1"/>
  <c r="AH87" i="7"/>
  <c r="AH113" i="7" s="1"/>
  <c r="AH189" i="7"/>
  <c r="AJ185" i="7"/>
  <c r="AJ189" i="7" s="1"/>
  <c r="AH182" i="7"/>
  <c r="AJ177" i="7"/>
  <c r="AJ182" i="7" s="1"/>
  <c r="AE182" i="7"/>
  <c r="AE189" i="7"/>
  <c r="AE39" i="7"/>
  <c r="AH42" i="7"/>
  <c r="AH192" i="7"/>
  <c r="AH198" i="7" s="1"/>
  <c r="C8" i="2"/>
  <c r="C5" i="3"/>
  <c r="I139" i="23"/>
  <c r="I140" i="23" s="1"/>
  <c r="AH98" i="23"/>
  <c r="AH5" i="23"/>
  <c r="AH4" i="23"/>
  <c r="I206" i="23"/>
  <c r="W206" i="23"/>
  <c r="Y206" i="23"/>
  <c r="AA206" i="23"/>
  <c r="AC206" i="23"/>
  <c r="M206" i="23"/>
  <c r="O160" i="11"/>
  <c r="Q224" i="11"/>
  <c r="O60" i="19" s="1"/>
  <c r="O61" i="19" s="1"/>
  <c r="Q160" i="11"/>
  <c r="V160" i="11"/>
  <c r="V224" i="11"/>
  <c r="W160" i="11"/>
  <c r="AA160" i="11"/>
  <c r="AJ5" i="15"/>
  <c r="T147" i="15"/>
  <c r="AH4" i="14"/>
  <c r="E169" i="18"/>
  <c r="E170" i="18" s="1"/>
  <c r="G169" i="18"/>
  <c r="G170" i="18" s="1"/>
  <c r="I169" i="18"/>
  <c r="I170" i="18" s="1"/>
  <c r="K169" i="18"/>
  <c r="K170" i="18" s="1"/>
  <c r="M169" i="18"/>
  <c r="M170" i="18" s="1"/>
  <c r="O169" i="18"/>
  <c r="O170" i="18" s="1"/>
  <c r="Q169" i="18"/>
  <c r="Q170" i="18" s="1"/>
  <c r="S169" i="18"/>
  <c r="S170" i="18" s="1"/>
  <c r="W169" i="18"/>
  <c r="W253" i="18" s="1"/>
  <c r="U81" i="19" s="1"/>
  <c r="U82" i="19" s="1"/>
  <c r="Y169" i="18"/>
  <c r="Y170" i="18" s="1"/>
  <c r="AA169" i="18"/>
  <c r="AA170" i="18" s="1"/>
  <c r="AC169" i="18"/>
  <c r="AC170" i="18" s="1"/>
  <c r="F246" i="18"/>
  <c r="K246" i="18"/>
  <c r="M246" i="18"/>
  <c r="O246" i="18"/>
  <c r="Q246" i="18"/>
  <c r="S246" i="18"/>
  <c r="U246" i="18"/>
  <c r="Y246" i="18"/>
  <c r="AA246" i="18"/>
  <c r="G246" i="18"/>
  <c r="L246" i="18"/>
  <c r="N246" i="18"/>
  <c r="P246" i="18"/>
  <c r="R246" i="18"/>
  <c r="T246" i="18"/>
  <c r="Y5" i="27"/>
  <c r="Y4" i="27"/>
  <c r="F276" i="27"/>
  <c r="H276" i="27"/>
  <c r="J276" i="27"/>
  <c r="P276" i="27"/>
  <c r="X5" i="10"/>
  <c r="X29" i="10" s="1"/>
  <c r="R201" i="10"/>
  <c r="K201" i="10"/>
  <c r="M201" i="10"/>
  <c r="O285" i="10"/>
  <c r="O128" i="19" s="1"/>
  <c r="O129" i="19" s="1"/>
  <c r="Q201" i="10"/>
  <c r="F201" i="10"/>
  <c r="H201" i="10"/>
  <c r="J201" i="10"/>
  <c r="F278" i="10"/>
  <c r="H278" i="10"/>
  <c r="K278" i="10"/>
  <c r="AI5" i="9"/>
  <c r="E343" i="9"/>
  <c r="G343" i="9"/>
  <c r="I343" i="9"/>
  <c r="K343" i="9"/>
  <c r="N343" i="9"/>
  <c r="P343" i="9"/>
  <c r="R343" i="9"/>
  <c r="T343" i="9"/>
  <c r="W343" i="9"/>
  <c r="Y343" i="9"/>
  <c r="N254" i="8"/>
  <c r="L39" i="19" s="1"/>
  <c r="L40" i="19" s="1"/>
  <c r="E245" i="8"/>
  <c r="G245" i="8"/>
  <c r="I245" i="8"/>
  <c r="K245" i="8"/>
  <c r="N245" i="8"/>
  <c r="P245" i="8"/>
  <c r="R245" i="8"/>
  <c r="T245" i="8"/>
  <c r="Y245" i="8"/>
  <c r="AC245" i="8"/>
  <c r="F245" i="8"/>
  <c r="H245" i="8"/>
  <c r="J245" i="8"/>
  <c r="M245" i="8"/>
  <c r="O245" i="8"/>
  <c r="Q245" i="8"/>
  <c r="S245" i="8"/>
  <c r="W245" i="8"/>
  <c r="AH4" i="12"/>
  <c r="AH5" i="12"/>
  <c r="E233" i="12"/>
  <c r="G233" i="12"/>
  <c r="I233" i="12"/>
  <c r="K233" i="12"/>
  <c r="P233" i="12"/>
  <c r="R233" i="12"/>
  <c r="T233" i="12"/>
  <c r="W233" i="12"/>
  <c r="Y233" i="12"/>
  <c r="AA233" i="12"/>
  <c r="AC233" i="12"/>
  <c r="F233" i="12"/>
  <c r="H233" i="12"/>
  <c r="J233" i="12"/>
  <c r="M233" i="12"/>
  <c r="S233" i="12"/>
  <c r="V233" i="12"/>
  <c r="X233" i="12"/>
  <c r="Z233" i="12"/>
  <c r="AB233" i="12"/>
  <c r="O171" i="24"/>
  <c r="O172" i="24" s="1"/>
  <c r="Q171" i="24"/>
  <c r="Q172" i="24" s="1"/>
  <c r="X5" i="24"/>
  <c r="F171" i="24"/>
  <c r="F172" i="24" s="1"/>
  <c r="H171" i="24"/>
  <c r="H172" i="24" s="1"/>
  <c r="J171" i="24"/>
  <c r="J172" i="24" s="1"/>
  <c r="L171" i="24"/>
  <c r="L172" i="24" s="1"/>
  <c r="N171" i="24"/>
  <c r="N172" i="24" s="1"/>
  <c r="P171" i="24"/>
  <c r="P172" i="24" s="1"/>
  <c r="R171" i="24"/>
  <c r="R172" i="24" s="1"/>
  <c r="F245" i="24"/>
  <c r="H245" i="24"/>
  <c r="J245" i="24"/>
  <c r="L245" i="24"/>
  <c r="O245" i="24"/>
  <c r="R245" i="24"/>
  <c r="E245" i="24"/>
  <c r="G245" i="24"/>
  <c r="I245" i="24"/>
  <c r="AH5" i="7"/>
  <c r="H289" i="7"/>
  <c r="J289" i="7"/>
  <c r="M289" i="7"/>
  <c r="O289" i="7"/>
  <c r="W289" i="7"/>
  <c r="AA289" i="7"/>
  <c r="V256" i="22"/>
  <c r="T115" i="19" s="1"/>
  <c r="AH4" i="22"/>
  <c r="E249" i="22"/>
  <c r="G249" i="22"/>
  <c r="I249" i="22"/>
  <c r="K249" i="22"/>
  <c r="N249" i="22"/>
  <c r="P249" i="22"/>
  <c r="S249" i="22"/>
  <c r="V249" i="22"/>
  <c r="X249" i="22"/>
  <c r="Z249" i="22"/>
  <c r="AB249" i="22"/>
  <c r="H256" i="22"/>
  <c r="E115" i="19" s="1"/>
  <c r="E116" i="19" s="1"/>
  <c r="T249" i="22"/>
  <c r="W249" i="22"/>
  <c r="Y249" i="22"/>
  <c r="AA249" i="22"/>
  <c r="AC249" i="22"/>
  <c r="AH4" i="25"/>
  <c r="AJ4" i="25" s="1"/>
  <c r="F277" i="25"/>
  <c r="H277" i="25"/>
  <c r="J277" i="25"/>
  <c r="N277" i="25"/>
  <c r="P277" i="25"/>
  <c r="R277" i="25"/>
  <c r="V277" i="25"/>
  <c r="X277" i="25"/>
  <c r="AC277" i="25"/>
  <c r="C12" i="4"/>
  <c r="C19" i="4"/>
  <c r="C27" i="4"/>
  <c r="C45" i="3"/>
  <c r="C76" i="3"/>
  <c r="C84" i="3"/>
  <c r="C90" i="3"/>
  <c r="C56" i="2"/>
  <c r="C33" i="1"/>
  <c r="C36" i="1"/>
  <c r="C47" i="1"/>
  <c r="C58" i="1"/>
  <c r="C62" i="1"/>
  <c r="F210" i="14"/>
  <c r="K210" i="14"/>
  <c r="N210" i="14"/>
  <c r="P210" i="14"/>
  <c r="S210" i="14"/>
  <c r="W210" i="14"/>
  <c r="Y210" i="14"/>
  <c r="AB210" i="14"/>
  <c r="I210" i="14"/>
  <c r="M210" i="14"/>
  <c r="O210" i="14"/>
  <c r="R210" i="14"/>
  <c r="V210" i="14"/>
  <c r="X210" i="14"/>
  <c r="Z210" i="14"/>
  <c r="AH85" i="7"/>
  <c r="C72" i="3"/>
  <c r="AH38" i="13"/>
  <c r="AJ26" i="13"/>
  <c r="AC58" i="27"/>
  <c r="AB58" i="10"/>
  <c r="AB56" i="24"/>
  <c r="V250" i="13"/>
  <c r="T74" i="19" s="1"/>
  <c r="T75" i="19" s="1"/>
  <c r="AE157" i="13"/>
  <c r="AH151" i="13"/>
  <c r="AH4" i="13"/>
  <c r="AE38" i="13"/>
  <c r="AJ5" i="13"/>
  <c r="AG168" i="13"/>
  <c r="R168" i="13"/>
  <c r="AH113" i="13"/>
  <c r="AH141" i="13"/>
  <c r="AJ160" i="13"/>
  <c r="AJ165" i="13" s="1"/>
  <c r="AE165" i="13"/>
  <c r="AF241" i="13"/>
  <c r="AE148" i="13"/>
  <c r="AH144" i="13"/>
  <c r="AH244" i="13"/>
  <c r="P241" i="13"/>
  <c r="Q210" i="14"/>
  <c r="AM133" i="29"/>
  <c r="AN133" i="29" s="1"/>
  <c r="AM137" i="9"/>
  <c r="Z236" i="10"/>
  <c r="C84" i="2"/>
  <c r="C69" i="3"/>
  <c r="C50" i="3"/>
  <c r="C11" i="3"/>
  <c r="C27" i="3"/>
  <c r="C37" i="3"/>
  <c r="C57" i="3"/>
  <c r="AE119" i="25"/>
  <c r="AH119" i="25"/>
  <c r="N233" i="12"/>
  <c r="AJ192" i="7"/>
  <c r="AJ198" i="7" s="1"/>
  <c r="AF208" i="9"/>
  <c r="AI208" i="9"/>
  <c r="AJ96" i="25"/>
  <c r="AJ119" i="25" s="1"/>
  <c r="C63" i="4"/>
  <c r="AE85" i="7"/>
  <c r="AJ67" i="7"/>
  <c r="AJ85" i="7" s="1"/>
  <c r="U85" i="10"/>
  <c r="C61" i="3"/>
  <c r="AF239" i="29"/>
  <c r="AK175" i="9"/>
  <c r="AK208" i="9" s="1"/>
  <c r="AR120" i="4"/>
  <c r="X85" i="10"/>
  <c r="AK83" i="15"/>
  <c r="AK108" i="8"/>
  <c r="AK82" i="12"/>
  <c r="AK110" i="25"/>
  <c r="AK84" i="23"/>
  <c r="AK82" i="14"/>
  <c r="AK93" i="13"/>
  <c r="AK107" i="11"/>
  <c r="AK70" i="23"/>
  <c r="AK68" i="14"/>
  <c r="AK85" i="18"/>
  <c r="AK94" i="8"/>
  <c r="AK85" i="7"/>
  <c r="AK94" i="25"/>
  <c r="AK89" i="11"/>
  <c r="AM89" i="11" s="1"/>
  <c r="AK69" i="15"/>
  <c r="AK72" i="13"/>
  <c r="AK68" i="12"/>
  <c r="AK85" i="22"/>
  <c r="AK105" i="18"/>
  <c r="AK113" i="7"/>
  <c r="AK105" i="22"/>
  <c r="AB112" i="27"/>
  <c r="AA112" i="10"/>
  <c r="AA109" i="24"/>
  <c r="AB139" i="27"/>
  <c r="AK174" i="7"/>
  <c r="AK135" i="18"/>
  <c r="AA139" i="10"/>
  <c r="AA136" i="24"/>
  <c r="AK138" i="22"/>
  <c r="AB277" i="25"/>
  <c r="X245" i="8"/>
  <c r="Z60" i="10"/>
  <c r="Z85" i="10" s="1"/>
  <c r="AE85" i="18"/>
  <c r="C55" i="1"/>
  <c r="R278" i="10"/>
  <c r="AH111" i="15"/>
  <c r="C54" i="3"/>
  <c r="AI239" i="29"/>
  <c r="AD343" i="29"/>
  <c r="AF337" i="29"/>
  <c r="C63" i="2"/>
  <c r="C72" i="2"/>
  <c r="C79" i="2"/>
  <c r="AL123" i="2"/>
  <c r="C15" i="2"/>
  <c r="C20" i="2"/>
  <c r="C93" i="2"/>
  <c r="C104" i="2"/>
  <c r="C110" i="2"/>
  <c r="C113" i="2"/>
  <c r="AJ99" i="15"/>
  <c r="AJ111" i="15" s="1"/>
  <c r="AA343" i="9"/>
  <c r="C44" i="1"/>
  <c r="AH157" i="11"/>
  <c r="AJ152" i="11"/>
  <c r="AJ157" i="11" s="1"/>
  <c r="AE157" i="11"/>
  <c r="BD121" i="3"/>
  <c r="C41" i="3"/>
  <c r="AE72" i="13"/>
  <c r="AE248" i="22"/>
  <c r="AA245" i="8"/>
  <c r="AL135" i="18"/>
  <c r="Z224" i="10"/>
  <c r="AL174" i="7"/>
  <c r="AL138" i="22"/>
  <c r="J246" i="18"/>
  <c r="AC246" i="18"/>
  <c r="AH56" i="13"/>
  <c r="C52" i="2"/>
  <c r="AV119" i="1"/>
  <c r="AT119" i="1"/>
  <c r="U119" i="1"/>
  <c r="AJ85" i="18"/>
  <c r="C49" i="2"/>
  <c r="AH85" i="18"/>
  <c r="BH120" i="3"/>
  <c r="AE209" i="14"/>
  <c r="AL125" i="11"/>
  <c r="J210" i="14"/>
  <c r="AH209" i="14"/>
  <c r="AH210" i="14" s="1"/>
  <c r="E210" i="14"/>
  <c r="H210" i="14"/>
  <c r="C22" i="1"/>
  <c r="C30" i="2"/>
  <c r="C43" i="2"/>
  <c r="C46" i="2"/>
  <c r="C66" i="2"/>
  <c r="C75" i="2"/>
  <c r="C89" i="2"/>
  <c r="U58" i="10"/>
  <c r="X32" i="10"/>
  <c r="AS119" i="2"/>
  <c r="C38" i="2"/>
  <c r="AK38" i="31"/>
  <c r="C19" i="1"/>
  <c r="E221" i="15"/>
  <c r="G221" i="15"/>
  <c r="I221" i="15"/>
  <c r="O221" i="15"/>
  <c r="W221" i="15"/>
  <c r="Z221" i="15"/>
  <c r="AB221" i="15"/>
  <c r="N221" i="15"/>
  <c r="T221" i="15"/>
  <c r="Y221" i="15"/>
  <c r="AA221" i="15"/>
  <c r="AC221" i="15"/>
  <c r="AK143" i="25"/>
  <c r="AK136" i="8"/>
  <c r="AK110" i="14"/>
  <c r="AK111" i="15"/>
  <c r="AK115" i="12"/>
  <c r="AK113" i="13"/>
  <c r="Q289" i="7"/>
  <c r="P245" i="24"/>
  <c r="AJ248" i="22"/>
  <c r="Q249" i="22"/>
  <c r="BA115" i="4"/>
  <c r="AW118" i="2"/>
  <c r="AE228" i="7"/>
  <c r="AH228" i="7" s="1"/>
  <c r="AJ228" i="7" s="1"/>
  <c r="AL205" i="9"/>
  <c r="Y289" i="7"/>
  <c r="X289" i="7"/>
  <c r="H246" i="18"/>
  <c r="S277" i="10"/>
  <c r="L188" i="19" s="1"/>
  <c r="N188" i="19" s="1"/>
  <c r="E206" i="23"/>
  <c r="L278" i="10"/>
  <c r="J206" i="23"/>
  <c r="S83" i="24"/>
  <c r="S171" i="24" s="1"/>
  <c r="S172" i="24" s="1"/>
  <c r="C8" i="3"/>
  <c r="AD121" i="3"/>
  <c r="U58" i="24"/>
  <c r="AV125" i="3"/>
  <c r="BI120" i="3"/>
  <c r="BI125" i="3" s="1"/>
  <c r="E121" i="3"/>
  <c r="R174" i="7"/>
  <c r="AW116" i="4"/>
  <c r="BB115" i="4"/>
  <c r="BB120" i="4" s="1"/>
  <c r="AH6" i="8"/>
  <c r="AJ6" i="8" s="1"/>
  <c r="AF39" i="8"/>
  <c r="AF170" i="8" s="1"/>
  <c r="AW115" i="1"/>
  <c r="BI126" i="33" s="1"/>
  <c r="BL126" i="33" s="1"/>
  <c r="G206" i="23"/>
  <c r="R276" i="27"/>
  <c r="AL111" i="15"/>
  <c r="AL110" i="14"/>
  <c r="AL136" i="8"/>
  <c r="AL115" i="12"/>
  <c r="AL143" i="25"/>
  <c r="AL98" i="23"/>
  <c r="AL113" i="13"/>
  <c r="Z207" i="10"/>
  <c r="J278" i="10"/>
  <c r="AH248" i="22"/>
  <c r="AC289" i="7"/>
  <c r="U244" i="24"/>
  <c r="U245" i="24" s="1"/>
  <c r="AE244" i="8"/>
  <c r="AE245" i="8" s="1"/>
  <c r="I246" i="18"/>
  <c r="AH174" i="7"/>
  <c r="AJ174" i="7"/>
  <c r="AE174" i="7"/>
  <c r="AI110" i="9"/>
  <c r="AI140" i="9" s="1"/>
  <c r="AF140" i="9"/>
  <c r="C8" i="4"/>
  <c r="Y119" i="2"/>
  <c r="R123" i="2"/>
  <c r="AX118" i="2"/>
  <c r="AX123" i="2" s="1"/>
  <c r="E119" i="2"/>
  <c r="AH5" i="8"/>
  <c r="AE39" i="8"/>
  <c r="E115" i="1"/>
  <c r="AA115" i="1"/>
  <c r="V246" i="18"/>
  <c r="AE245" i="18"/>
  <c r="AH245" i="18"/>
  <c r="R241" i="13"/>
  <c r="AH240" i="13"/>
  <c r="AC139" i="27"/>
  <c r="AB139" i="10"/>
  <c r="AB136" i="24"/>
  <c r="AJ172" i="13"/>
  <c r="AE240" i="13"/>
  <c r="Y277" i="25"/>
  <c r="Q221" i="15"/>
  <c r="V221" i="15"/>
  <c r="AE220" i="15"/>
  <c r="X221" i="15"/>
  <c r="AJ150" i="14"/>
  <c r="AJ209" i="14" s="1"/>
  <c r="AF283" i="9"/>
  <c r="AI283" i="9" s="1"/>
  <c r="AK283" i="9" s="1"/>
  <c r="AB343" i="9"/>
  <c r="AC343" i="9"/>
  <c r="Y204" i="27"/>
  <c r="P278" i="10"/>
  <c r="V245" i="8"/>
  <c r="R289" i="7"/>
  <c r="AA277" i="25"/>
  <c r="AH276" i="25"/>
  <c r="AJ174" i="18"/>
  <c r="AJ245" i="18" s="1"/>
  <c r="X246" i="18"/>
  <c r="N278" i="10"/>
  <c r="AB245" i="8"/>
  <c r="AH175" i="8"/>
  <c r="AJ213" i="7"/>
  <c r="AE276" i="25"/>
  <c r="L163" i="19" s="1"/>
  <c r="N163" i="19" s="1"/>
  <c r="S277" i="25"/>
  <c r="AJ207" i="25"/>
  <c r="AJ276" i="25" s="1"/>
  <c r="X175" i="24"/>
  <c r="Z175" i="24" s="1"/>
  <c r="Z244" i="24" s="1"/>
  <c r="Z245" i="24" s="1"/>
  <c r="N245" i="24"/>
  <c r="S245" i="24"/>
  <c r="Z343" i="9"/>
  <c r="AI281" i="9"/>
  <c r="AH151" i="15"/>
  <c r="AJ151" i="15" s="1"/>
  <c r="AJ220" i="15" s="1"/>
  <c r="X204" i="10"/>
  <c r="Z204" i="10" s="1"/>
  <c r="E278" i="10"/>
  <c r="F206" i="23"/>
  <c r="AH205" i="23"/>
  <c r="AJ144" i="23"/>
  <c r="AJ205" i="23" s="1"/>
  <c r="AE205" i="23"/>
  <c r="AH169" i="12"/>
  <c r="AE164" i="12" l="1"/>
  <c r="AD363" i="44"/>
  <c r="AC226" i="43"/>
  <c r="U200" i="10"/>
  <c r="U201" i="10" s="1"/>
  <c r="AL38" i="40"/>
  <c r="AM38" i="40" s="1"/>
  <c r="AM32" i="44"/>
  <c r="AN32" i="44" s="1"/>
  <c r="X200" i="10"/>
  <c r="M256" i="22"/>
  <c r="K115" i="19" s="1"/>
  <c r="K116" i="19" s="1"/>
  <c r="E277" i="9"/>
  <c r="CO30" i="6"/>
  <c r="AB27" i="42"/>
  <c r="AC27" i="42" s="1"/>
  <c r="B223" i="19"/>
  <c r="M252" i="24"/>
  <c r="F132" i="19" s="1"/>
  <c r="F133" i="19" s="1"/>
  <c r="AA168" i="13"/>
  <c r="P160" i="11"/>
  <c r="AE167" i="13"/>
  <c r="AE168" i="13" s="1"/>
  <c r="V200" i="27"/>
  <c r="V201" i="27" s="1"/>
  <c r="AJ90" i="23"/>
  <c r="AH53" i="13"/>
  <c r="CO69" i="6" s="1"/>
  <c r="G254" i="8"/>
  <c r="D39" i="19" s="1"/>
  <c r="D40" i="19" s="1"/>
  <c r="R254" i="8"/>
  <c r="P39" i="19" s="1"/>
  <c r="P40" i="19" s="1"/>
  <c r="AL53" i="40"/>
  <c r="AM53" i="40" s="1"/>
  <c r="AM68" i="39"/>
  <c r="AN68" i="39" s="1"/>
  <c r="AD357" i="39"/>
  <c r="AC269" i="40"/>
  <c r="AM93" i="30"/>
  <c r="AM68" i="14"/>
  <c r="K254" i="8"/>
  <c r="H39" i="19" s="1"/>
  <c r="H40" i="19" s="1"/>
  <c r="W254" i="8"/>
  <c r="U39" i="19" s="1"/>
  <c r="U40" i="19" s="1"/>
  <c r="I254" i="8"/>
  <c r="F39" i="19" s="1"/>
  <c r="F40" i="19" s="1"/>
  <c r="AL38" i="13"/>
  <c r="AM32" i="39"/>
  <c r="AN32" i="39" s="1"/>
  <c r="D258" i="19"/>
  <c r="D224" i="19" s="1"/>
  <c r="AB215" i="23"/>
  <c r="Z122" i="19" s="1"/>
  <c r="Z123" i="19" s="1"/>
  <c r="N215" i="23"/>
  <c r="L122" i="19" s="1"/>
  <c r="L123" i="19" s="1"/>
  <c r="AF147" i="15"/>
  <c r="AF230" i="15"/>
  <c r="AK39" i="9"/>
  <c r="AK71" i="9" s="1"/>
  <c r="AI71" i="9"/>
  <c r="Y215" i="23"/>
  <c r="W122" i="19" s="1"/>
  <c r="W123" i="19" s="1"/>
  <c r="H215" i="23"/>
  <c r="E122" i="19" s="1"/>
  <c r="E123" i="19" s="1"/>
  <c r="J250" i="13"/>
  <c r="G74" i="19" s="1"/>
  <c r="G75" i="19" s="1"/>
  <c r="H250" i="13"/>
  <c r="E74" i="19" s="1"/>
  <c r="E75" i="19" s="1"/>
  <c r="Z5" i="10"/>
  <c r="Z29" i="10" s="1"/>
  <c r="Z200" i="10" s="1"/>
  <c r="T283" i="27"/>
  <c r="Q141" i="19" s="1"/>
  <c r="AF242" i="12"/>
  <c r="AF243" i="12" s="1"/>
  <c r="T242" i="12"/>
  <c r="R95" i="19" s="1"/>
  <c r="R96" i="19" s="1"/>
  <c r="Z254" i="8"/>
  <c r="X39" i="19" s="1"/>
  <c r="X40" i="19" s="1"/>
  <c r="P171" i="8"/>
  <c r="Q254" i="8"/>
  <c r="O39" i="19" s="1"/>
  <c r="O40" i="19" s="1"/>
  <c r="O256" i="22"/>
  <c r="M115" i="19" s="1"/>
  <c r="M116" i="19" s="1"/>
  <c r="E256" i="22"/>
  <c r="B115" i="19" s="1"/>
  <c r="B116" i="19" s="1"/>
  <c r="K256" i="22"/>
  <c r="H115" i="19" s="1"/>
  <c r="H116" i="19" s="1"/>
  <c r="G252" i="24"/>
  <c r="K132" i="19" s="1"/>
  <c r="K133" i="19" s="1"/>
  <c r="K252" i="24"/>
  <c r="O132" i="19" s="1"/>
  <c r="O133" i="19" s="1"/>
  <c r="D186" i="19"/>
  <c r="D192" i="19" s="1"/>
  <c r="X242" i="12"/>
  <c r="V95" i="19" s="1"/>
  <c r="V96" i="19" s="1"/>
  <c r="AJ236" i="12"/>
  <c r="AJ238" i="12" s="1"/>
  <c r="D257" i="19"/>
  <c r="F255" i="19" s="1"/>
  <c r="AM82" i="31"/>
  <c r="D227" i="19"/>
  <c r="D229" i="19" s="1"/>
  <c r="B229" i="19"/>
  <c r="AF171" i="8"/>
  <c r="M254" i="8"/>
  <c r="K39" i="19" s="1"/>
  <c r="K40" i="19" s="1"/>
  <c r="J254" i="8"/>
  <c r="G39" i="19" s="1"/>
  <c r="G40" i="19" s="1"/>
  <c r="AE165" i="12"/>
  <c r="N187" i="19"/>
  <c r="P217" i="14"/>
  <c r="N109" i="19" s="1"/>
  <c r="N110" i="19" s="1"/>
  <c r="X217" i="14"/>
  <c r="V109" i="19" s="1"/>
  <c r="V110" i="19" s="1"/>
  <c r="Q283" i="27"/>
  <c r="N141" i="19" s="1"/>
  <c r="N142" i="19" s="1"/>
  <c r="C224" i="19"/>
  <c r="M147" i="15"/>
  <c r="D220" i="19"/>
  <c r="F219" i="19" s="1"/>
  <c r="L277" i="9"/>
  <c r="AE145" i="14"/>
  <c r="AE146" i="14" s="1"/>
  <c r="E254" i="8"/>
  <c r="B39" i="19" s="1"/>
  <c r="B40" i="19" s="1"/>
  <c r="AE208" i="7"/>
  <c r="AE209" i="7" s="1"/>
  <c r="C223" i="19"/>
  <c r="C230" i="19" s="1"/>
  <c r="N251" i="13"/>
  <c r="AE146" i="15"/>
  <c r="AE147" i="15" s="1"/>
  <c r="AH38" i="15"/>
  <c r="Z215" i="23"/>
  <c r="X122" i="19" s="1"/>
  <c r="X123" i="19" s="1"/>
  <c r="X250" i="13"/>
  <c r="V74" i="19" s="1"/>
  <c r="V75" i="19" s="1"/>
  <c r="W251" i="13"/>
  <c r="F242" i="12"/>
  <c r="C95" i="19" s="1"/>
  <c r="C96" i="19" s="1"/>
  <c r="H283" i="27"/>
  <c r="E141" i="19" s="1"/>
  <c r="E142" i="19" s="1"/>
  <c r="P256" i="22"/>
  <c r="N115" i="19" s="1"/>
  <c r="N116" i="19" s="1"/>
  <c r="AB160" i="11"/>
  <c r="Y160" i="11"/>
  <c r="F224" i="11"/>
  <c r="C60" i="19" s="1"/>
  <c r="C61" i="19" s="1"/>
  <c r="F160" i="11"/>
  <c r="E224" i="11"/>
  <c r="E160" i="11"/>
  <c r="K224" i="11"/>
  <c r="H60" i="19" s="1"/>
  <c r="H61" i="19" s="1"/>
  <c r="K160" i="11"/>
  <c r="S160" i="11"/>
  <c r="M224" i="11"/>
  <c r="K60" i="19" s="1"/>
  <c r="K61" i="19" s="1"/>
  <c r="M160" i="11"/>
  <c r="G224" i="11"/>
  <c r="D60" i="19" s="1"/>
  <c r="D61" i="19" s="1"/>
  <c r="G160" i="11"/>
  <c r="M227" i="19"/>
  <c r="I224" i="11"/>
  <c r="I160" i="11"/>
  <c r="J224" i="11"/>
  <c r="G60" i="19" s="1"/>
  <c r="G61" i="19" s="1"/>
  <c r="J160" i="11"/>
  <c r="V215" i="23"/>
  <c r="T122" i="19" s="1"/>
  <c r="T123" i="19" s="1"/>
  <c r="E215" i="23"/>
  <c r="B122" i="19" s="1"/>
  <c r="B123" i="19" s="1"/>
  <c r="R140" i="23"/>
  <c r="K123" i="19"/>
  <c r="X224" i="11"/>
  <c r="X225" i="11" s="1"/>
  <c r="B75" i="19"/>
  <c r="F283" i="27"/>
  <c r="C141" i="19" s="1"/>
  <c r="C142" i="19" s="1"/>
  <c r="AC230" i="37"/>
  <c r="AC248" i="36"/>
  <c r="AL38" i="12"/>
  <c r="AL38" i="37"/>
  <c r="AM38" i="37" s="1"/>
  <c r="AL38" i="36"/>
  <c r="AM38" i="36" s="1"/>
  <c r="AL39" i="34"/>
  <c r="AM39" i="34" s="1"/>
  <c r="AL64" i="34"/>
  <c r="AM64" i="34" s="1"/>
  <c r="AL53" i="37"/>
  <c r="AM53" i="37" s="1"/>
  <c r="AL53" i="36"/>
  <c r="AM53" i="36" s="1"/>
  <c r="W242" i="12"/>
  <c r="U95" i="19" s="1"/>
  <c r="U96" i="19" s="1"/>
  <c r="B27" i="19"/>
  <c r="J256" i="22"/>
  <c r="G115" i="19" s="1"/>
  <c r="G116" i="19" s="1"/>
  <c r="I256" i="22"/>
  <c r="F115" i="19" s="1"/>
  <c r="F116" i="19" s="1"/>
  <c r="R256" i="22"/>
  <c r="P115" i="19" s="1"/>
  <c r="P116" i="19" s="1"/>
  <c r="T256" i="22"/>
  <c r="R115" i="19" s="1"/>
  <c r="R116" i="19" s="1"/>
  <c r="G256" i="22"/>
  <c r="D115" i="19" s="1"/>
  <c r="D116" i="19" s="1"/>
  <c r="AC256" i="22"/>
  <c r="AA115" i="19" s="1"/>
  <c r="AA116" i="19" s="1"/>
  <c r="T116" i="19"/>
  <c r="R208" i="7"/>
  <c r="R296" i="7" s="1"/>
  <c r="P53" i="19" s="1"/>
  <c r="AE202" i="25"/>
  <c r="AE286" i="25" s="1"/>
  <c r="J142" i="19"/>
  <c r="O283" i="27"/>
  <c r="J283" i="27"/>
  <c r="AE170" i="8"/>
  <c r="AE171" i="8" s="1"/>
  <c r="AC254" i="8"/>
  <c r="AA39" i="19" s="1"/>
  <c r="AA40" i="19" s="1"/>
  <c r="R61" i="19"/>
  <c r="CE370" i="6"/>
  <c r="AC313" i="34"/>
  <c r="AL39" i="8"/>
  <c r="AL38" i="14"/>
  <c r="AL39" i="22"/>
  <c r="AL40" i="11"/>
  <c r="AA215" i="23"/>
  <c r="Y122" i="19" s="1"/>
  <c r="Y123" i="19" s="1"/>
  <c r="AL38" i="31"/>
  <c r="AM38" i="31" s="1"/>
  <c r="CP30" i="6"/>
  <c r="AL53" i="31"/>
  <c r="CP69" i="6"/>
  <c r="AI160" i="11"/>
  <c r="AM72" i="30"/>
  <c r="AJ38" i="15"/>
  <c r="AM136" i="30"/>
  <c r="F168" i="13"/>
  <c r="N255" i="8"/>
  <c r="M296" i="7"/>
  <c r="K53" i="19" s="1"/>
  <c r="K54" i="19" s="1"/>
  <c r="J217" i="14"/>
  <c r="G109" i="19" s="1"/>
  <c r="G110" i="19" s="1"/>
  <c r="AI256" i="22"/>
  <c r="AI257" i="22" s="1"/>
  <c r="AB217" i="14"/>
  <c r="Z109" i="19" s="1"/>
  <c r="Z110" i="19" s="1"/>
  <c r="G215" i="23"/>
  <c r="D122" i="19" s="1"/>
  <c r="K168" i="13"/>
  <c r="J230" i="15"/>
  <c r="G88" i="19" s="1"/>
  <c r="G89" i="19" s="1"/>
  <c r="S230" i="15"/>
  <c r="Q88" i="19" s="1"/>
  <c r="Q89" i="19" s="1"/>
  <c r="V217" i="14"/>
  <c r="T109" i="19" s="1"/>
  <c r="W217" i="14"/>
  <c r="U109" i="19" s="1"/>
  <c r="U110" i="19" s="1"/>
  <c r="O217" i="14"/>
  <c r="M109" i="19" s="1"/>
  <c r="M110" i="19" s="1"/>
  <c r="T217" i="14"/>
  <c r="R109" i="19" s="1"/>
  <c r="R110" i="19" s="1"/>
  <c r="I217" i="14"/>
  <c r="F109" i="19" s="1"/>
  <c r="F110" i="19" s="1"/>
  <c r="W168" i="13"/>
  <c r="Y168" i="13"/>
  <c r="Y251" i="13"/>
  <c r="Z250" i="13"/>
  <c r="X74" i="19" s="1"/>
  <c r="X75" i="19" s="1"/>
  <c r="K253" i="18"/>
  <c r="H81" i="19" s="1"/>
  <c r="H82" i="19" s="1"/>
  <c r="X256" i="22"/>
  <c r="V115" i="19" s="1"/>
  <c r="V116" i="19" s="1"/>
  <c r="Q256" i="22"/>
  <c r="O115" i="19" s="1"/>
  <c r="O116" i="19" s="1"/>
  <c r="P286" i="25"/>
  <c r="N46" i="19" s="1"/>
  <c r="N47" i="19" s="1"/>
  <c r="AC233" i="31"/>
  <c r="AC230" i="31"/>
  <c r="J242" i="12"/>
  <c r="G95" i="19" s="1"/>
  <c r="G96" i="19" s="1"/>
  <c r="I215" i="23"/>
  <c r="F122" i="19" s="1"/>
  <c r="F123" i="19" s="1"/>
  <c r="I230" i="15"/>
  <c r="F88" i="19" s="1"/>
  <c r="F89" i="19" s="1"/>
  <c r="S168" i="13"/>
  <c r="O253" i="18"/>
  <c r="M81" i="19" s="1"/>
  <c r="M82" i="19" s="1"/>
  <c r="N286" i="25"/>
  <c r="L46" i="19" s="1"/>
  <c r="L47" i="19" s="1"/>
  <c r="G286" i="25"/>
  <c r="D46" i="19" s="1"/>
  <c r="D47" i="19" s="1"/>
  <c r="Q286" i="25"/>
  <c r="O46" i="19" s="1"/>
  <c r="O47" i="19" s="1"/>
  <c r="H217" i="14"/>
  <c r="E109" i="19" s="1"/>
  <c r="E110" i="19" s="1"/>
  <c r="G217" i="14"/>
  <c r="D109" i="19" s="1"/>
  <c r="D110" i="19" s="1"/>
  <c r="M242" i="12"/>
  <c r="K95" i="19" s="1"/>
  <c r="K96" i="19" s="1"/>
  <c r="K217" i="14"/>
  <c r="H109" i="19" s="1"/>
  <c r="H110" i="19" s="1"/>
  <c r="F217" i="14"/>
  <c r="C109" i="19" s="1"/>
  <c r="C110" i="19" s="1"/>
  <c r="AC217" i="14"/>
  <c r="AA109" i="19" s="1"/>
  <c r="AA110" i="19" s="1"/>
  <c r="AA251" i="13"/>
  <c r="W170" i="18"/>
  <c r="T253" i="18"/>
  <c r="R81" i="19" s="1"/>
  <c r="R82" i="19" s="1"/>
  <c r="K283" i="27"/>
  <c r="H141" i="19" s="1"/>
  <c r="W352" i="9"/>
  <c r="T26" i="19" s="1"/>
  <c r="T27" i="19" s="1"/>
  <c r="G352" i="9"/>
  <c r="D26" i="19" s="1"/>
  <c r="D27" i="19" s="1"/>
  <c r="AA256" i="22"/>
  <c r="Y115" i="19" s="1"/>
  <c r="Y116" i="19" s="1"/>
  <c r="E252" i="24"/>
  <c r="B132" i="19" s="1"/>
  <c r="B133" i="19" s="1"/>
  <c r="N296" i="7"/>
  <c r="L53" i="19" s="1"/>
  <c r="L54" i="19" s="1"/>
  <c r="F296" i="7"/>
  <c r="C53" i="19" s="1"/>
  <c r="C54" i="19" s="1"/>
  <c r="T286" i="25"/>
  <c r="R46" i="19" s="1"/>
  <c r="R47" i="19" s="1"/>
  <c r="X215" i="23"/>
  <c r="V122" i="19" s="1"/>
  <c r="V123" i="19" s="1"/>
  <c r="I242" i="12"/>
  <c r="F95" i="19" s="1"/>
  <c r="F96" i="19" s="1"/>
  <c r="Z170" i="18"/>
  <c r="M217" i="14"/>
  <c r="K109" i="19" s="1"/>
  <c r="AJ42" i="18"/>
  <c r="AJ64" i="18" s="1"/>
  <c r="AH176" i="25"/>
  <c r="T251" i="13"/>
  <c r="K286" i="25"/>
  <c r="H46" i="19" s="1"/>
  <c r="H47" i="19" s="1"/>
  <c r="F256" i="22"/>
  <c r="C115" i="19" s="1"/>
  <c r="C116" i="19" s="1"/>
  <c r="W256" i="22"/>
  <c r="U115" i="19" s="1"/>
  <c r="U116" i="19" s="1"/>
  <c r="V242" i="12"/>
  <c r="T95" i="19" s="1"/>
  <c r="H352" i="9"/>
  <c r="E26" i="19" s="1"/>
  <c r="E27" i="19" s="1"/>
  <c r="G168" i="13"/>
  <c r="AA254" i="8"/>
  <c r="Y39" i="19" s="1"/>
  <c r="Y40" i="19" s="1"/>
  <c r="R160" i="11"/>
  <c r="AJ162" i="18"/>
  <c r="AJ167" i="18" s="1"/>
  <c r="Y254" i="8"/>
  <c r="W39" i="19" s="1"/>
  <c r="W40" i="19" s="1"/>
  <c r="P283" i="27"/>
  <c r="M141" i="19" s="1"/>
  <c r="T168" i="13"/>
  <c r="N256" i="22"/>
  <c r="L115" i="19" s="1"/>
  <c r="L116" i="19" s="1"/>
  <c r="S254" i="8"/>
  <c r="Q39" i="19" s="1"/>
  <c r="Q40" i="19" s="1"/>
  <c r="Z217" i="14"/>
  <c r="X109" i="19" s="1"/>
  <c r="X110" i="19" s="1"/>
  <c r="AA230" i="15"/>
  <c r="Y88" i="19" s="1"/>
  <c r="Y89" i="19" s="1"/>
  <c r="AM108" i="8"/>
  <c r="P253" i="18"/>
  <c r="N81" i="19" s="1"/>
  <c r="N82" i="19" s="1"/>
  <c r="W230" i="15"/>
  <c r="U88" i="19" s="1"/>
  <c r="U89" i="19" s="1"/>
  <c r="Z254" i="18"/>
  <c r="R253" i="18"/>
  <c r="P81" i="19" s="1"/>
  <c r="Z224" i="11"/>
  <c r="Z225" i="11" s="1"/>
  <c r="O215" i="23"/>
  <c r="M122" i="19" s="1"/>
  <c r="M123" i="19" s="1"/>
  <c r="AI217" i="14"/>
  <c r="AI218" i="14" s="1"/>
  <c r="AJ282" i="25"/>
  <c r="H254" i="8"/>
  <c r="E39" i="19" s="1"/>
  <c r="E40" i="19" s="1"/>
  <c r="N160" i="11"/>
  <c r="X286" i="25"/>
  <c r="V46" i="19" s="1"/>
  <c r="V47" i="19" s="1"/>
  <c r="Y256" i="22"/>
  <c r="W115" i="19" s="1"/>
  <c r="W116" i="19" s="1"/>
  <c r="F254" i="8"/>
  <c r="C39" i="19" s="1"/>
  <c r="C40" i="19" s="1"/>
  <c r="P352" i="9"/>
  <c r="M26" i="19" s="1"/>
  <c r="M27" i="19" s="1"/>
  <c r="L253" i="18"/>
  <c r="I81" i="19" s="1"/>
  <c r="I82" i="19" s="1"/>
  <c r="W215" i="23"/>
  <c r="U122" i="19" s="1"/>
  <c r="U123" i="19" s="1"/>
  <c r="AH90" i="23"/>
  <c r="AM84" i="23" s="1"/>
  <c r="H286" i="25"/>
  <c r="E46" i="19" s="1"/>
  <c r="E47" i="19" s="1"/>
  <c r="Y242" i="12"/>
  <c r="W95" i="19" s="1"/>
  <c r="W96" i="19" s="1"/>
  <c r="U352" i="9"/>
  <c r="R26" i="19" s="1"/>
  <c r="R27" i="19" s="1"/>
  <c r="J253" i="18"/>
  <c r="G81" i="19" s="1"/>
  <c r="G82" i="19" s="1"/>
  <c r="Q352" i="9"/>
  <c r="N26" i="19" s="1"/>
  <c r="N27" i="19" s="1"/>
  <c r="R283" i="27"/>
  <c r="O141" i="19" s="1"/>
  <c r="S256" i="22"/>
  <c r="Q115" i="19" s="1"/>
  <c r="P255" i="8"/>
  <c r="G283" i="27"/>
  <c r="AE139" i="23"/>
  <c r="AE140" i="23" s="1"/>
  <c r="E209" i="7"/>
  <c r="AJ38" i="13"/>
  <c r="P242" i="12"/>
  <c r="N95" i="19" s="1"/>
  <c r="N96" i="19" s="1"/>
  <c r="Y253" i="18"/>
  <c r="W81" i="19" s="1"/>
  <c r="W82" i="19" s="1"/>
  <c r="AB253" i="18"/>
  <c r="Z81" i="19" s="1"/>
  <c r="Z82" i="19" s="1"/>
  <c r="T230" i="15"/>
  <c r="R88" i="19" s="1"/>
  <c r="R89" i="19" s="1"/>
  <c r="S215" i="23"/>
  <c r="Q122" i="19" s="1"/>
  <c r="Q123" i="19" s="1"/>
  <c r="AJ53" i="14"/>
  <c r="AH105" i="18"/>
  <c r="AM85" i="22"/>
  <c r="AE172" i="22"/>
  <c r="AE173" i="22" s="1"/>
  <c r="Y172" i="24"/>
  <c r="R230" i="15"/>
  <c r="P88" i="19" s="1"/>
  <c r="AF173" i="22"/>
  <c r="AF250" i="13"/>
  <c r="S217" i="14"/>
  <c r="Q109" i="19" s="1"/>
  <c r="Q110" i="19" s="1"/>
  <c r="Z230" i="15"/>
  <c r="X88" i="19" s="1"/>
  <c r="X89" i="19" s="1"/>
  <c r="G230" i="15"/>
  <c r="D88" i="19" s="1"/>
  <c r="D89" i="19" s="1"/>
  <c r="I285" i="10"/>
  <c r="L128" i="19" s="1"/>
  <c r="L129" i="19" s="1"/>
  <c r="R252" i="24"/>
  <c r="H132" i="19" s="1"/>
  <c r="H133" i="19" s="1"/>
  <c r="S296" i="7"/>
  <c r="Q53" i="19" s="1"/>
  <c r="Q54" i="19" s="1"/>
  <c r="AI140" i="23"/>
  <c r="AD352" i="9"/>
  <c r="AA26" i="19" s="1"/>
  <c r="AA27" i="19" s="1"/>
  <c r="V172" i="24"/>
  <c r="AC226" i="14"/>
  <c r="AC265" i="22"/>
  <c r="N230" i="15"/>
  <c r="L88" i="19" s="1"/>
  <c r="L89" i="19" s="1"/>
  <c r="K230" i="15"/>
  <c r="H88" i="19" s="1"/>
  <c r="H89" i="19" s="1"/>
  <c r="Q217" i="14"/>
  <c r="O109" i="19" s="1"/>
  <c r="O110" i="19" s="1"/>
  <c r="N217" i="14"/>
  <c r="L109" i="19" s="1"/>
  <c r="L110" i="19" s="1"/>
  <c r="E283" i="27"/>
  <c r="B141" i="19" s="1"/>
  <c r="E242" i="12"/>
  <c r="B95" i="19" s="1"/>
  <c r="H242" i="12"/>
  <c r="E95" i="19" s="1"/>
  <c r="E96" i="19" s="1"/>
  <c r="Y352" i="9"/>
  <c r="V26" i="19" s="1"/>
  <c r="V27" i="19" s="1"/>
  <c r="T216" i="23"/>
  <c r="R286" i="25"/>
  <c r="P46" i="19" s="1"/>
  <c r="P47" i="19" s="1"/>
  <c r="AM68" i="12"/>
  <c r="AC251" i="13"/>
  <c r="Q251" i="13"/>
  <c r="N168" i="13"/>
  <c r="AB250" i="13"/>
  <c r="Z74" i="19" s="1"/>
  <c r="Z75" i="19" s="1"/>
  <c r="I252" i="24"/>
  <c r="M132" i="19" s="1"/>
  <c r="M133" i="19" s="1"/>
  <c r="H252" i="24"/>
  <c r="L132" i="19" s="1"/>
  <c r="L133" i="19" s="1"/>
  <c r="AB242" i="12"/>
  <c r="Z95" i="19" s="1"/>
  <c r="Z96" i="19" s="1"/>
  <c r="S242" i="12"/>
  <c r="Q95" i="19" s="1"/>
  <c r="Q96" i="19" s="1"/>
  <c r="K242" i="12"/>
  <c r="H95" i="19" s="1"/>
  <c r="H96" i="19" s="1"/>
  <c r="O254" i="8"/>
  <c r="M39" i="19" s="1"/>
  <c r="M40" i="19" s="1"/>
  <c r="R217" i="14"/>
  <c r="P109" i="19" s="1"/>
  <c r="P110" i="19" s="1"/>
  <c r="AB230" i="15"/>
  <c r="Z88" i="19" s="1"/>
  <c r="Z89" i="19" s="1"/>
  <c r="T160" i="11"/>
  <c r="AC215" i="23"/>
  <c r="AA122" i="19" s="1"/>
  <c r="AA123" i="19" s="1"/>
  <c r="K215" i="23"/>
  <c r="H122" i="19" s="1"/>
  <c r="H123" i="19" s="1"/>
  <c r="T140" i="23"/>
  <c r="P140" i="23"/>
  <c r="AJ201" i="7"/>
  <c r="AJ206" i="7" s="1"/>
  <c r="L296" i="7"/>
  <c r="I53" i="19" s="1"/>
  <c r="I54" i="19" s="1"/>
  <c r="AH170" i="22"/>
  <c r="X250" i="24"/>
  <c r="Z248" i="24"/>
  <c r="Z250" i="24" s="1"/>
  <c r="AC112" i="10"/>
  <c r="E168" i="13"/>
  <c r="M250" i="13"/>
  <c r="K74" i="19" s="1"/>
  <c r="K75" i="19" s="1"/>
  <c r="Z256" i="22"/>
  <c r="X115" i="19" s="1"/>
  <c r="X116" i="19" s="1"/>
  <c r="R255" i="8"/>
  <c r="AA352" i="9"/>
  <c r="Z26" i="19" s="1"/>
  <c r="Z27" i="19" s="1"/>
  <c r="I283" i="27"/>
  <c r="F141" i="19" s="1"/>
  <c r="N253" i="18"/>
  <c r="L81" i="19" s="1"/>
  <c r="L82" i="19" s="1"/>
  <c r="AF146" i="14"/>
  <c r="Y230" i="15"/>
  <c r="W88" i="19" s="1"/>
  <c r="W89" i="19" s="1"/>
  <c r="Q140" i="23"/>
  <c r="AH137" i="23"/>
  <c r="AI348" i="9"/>
  <c r="AH254" i="22"/>
  <c r="I352" i="9"/>
  <c r="F26" i="19" s="1"/>
  <c r="F27" i="19" s="1"/>
  <c r="AJ240" i="13"/>
  <c r="AJ241" i="13" s="1"/>
  <c r="L283" i="27"/>
  <c r="I141" i="19" s="1"/>
  <c r="AM125" i="11"/>
  <c r="AE169" i="18"/>
  <c r="AE170" i="18" s="1"/>
  <c r="AA217" i="14"/>
  <c r="Y109" i="19" s="1"/>
  <c r="Y110" i="19" s="1"/>
  <c r="Q252" i="24"/>
  <c r="Q132" i="19" s="1"/>
  <c r="Q133" i="19" s="1"/>
  <c r="AA242" i="12"/>
  <c r="Y95" i="19" s="1"/>
  <c r="Y96" i="19" s="1"/>
  <c r="R242" i="12"/>
  <c r="P95" i="19" s="1"/>
  <c r="T254" i="8"/>
  <c r="R39" i="19" s="1"/>
  <c r="R40" i="19" s="1"/>
  <c r="Y217" i="14"/>
  <c r="W109" i="19" s="1"/>
  <c r="W110" i="19" s="1"/>
  <c r="AC160" i="11"/>
  <c r="Y281" i="27"/>
  <c r="AH282" i="25"/>
  <c r="F285" i="10"/>
  <c r="C128" i="19" s="1"/>
  <c r="C129" i="19" s="1"/>
  <c r="AJ87" i="7"/>
  <c r="AJ113" i="7" s="1"/>
  <c r="E217" i="14"/>
  <c r="B109" i="19" s="1"/>
  <c r="Z296" i="7"/>
  <c r="X53" i="19" s="1"/>
  <c r="X54" i="19" s="1"/>
  <c r="AH39" i="8"/>
  <c r="AF140" i="23"/>
  <c r="AJ116" i="23"/>
  <c r="AJ120" i="23" s="1"/>
  <c r="AH120" i="23"/>
  <c r="AH149" i="11"/>
  <c r="AJ143" i="11"/>
  <c r="AJ149" i="11" s="1"/>
  <c r="AJ213" i="14"/>
  <c r="AJ215" i="14" s="1"/>
  <c r="AH215" i="14"/>
  <c r="AJ129" i="14"/>
  <c r="AJ135" i="14" s="1"/>
  <c r="AH135" i="14"/>
  <c r="AH107" i="11"/>
  <c r="AM107" i="11" s="1"/>
  <c r="AJ91" i="11"/>
  <c r="AJ107" i="11" s="1"/>
  <c r="AJ114" i="14"/>
  <c r="AJ119" i="14" s="1"/>
  <c r="AH119" i="14"/>
  <c r="AJ138" i="18"/>
  <c r="AJ143" i="18" s="1"/>
  <c r="AH143" i="18"/>
  <c r="AJ15" i="18"/>
  <c r="AJ39" i="18" s="1"/>
  <c r="AH39" i="18"/>
  <c r="AJ133" i="12"/>
  <c r="AJ138" i="12" s="1"/>
  <c r="AH138" i="12"/>
  <c r="AJ141" i="22"/>
  <c r="AJ146" i="22" s="1"/>
  <c r="AH146" i="22"/>
  <c r="AJ15" i="22"/>
  <c r="AJ39" i="22" s="1"/>
  <c r="AH39" i="22"/>
  <c r="AH200" i="25"/>
  <c r="AJ195" i="25"/>
  <c r="AJ200" i="25" s="1"/>
  <c r="Z243" i="12"/>
  <c r="T352" i="9"/>
  <c r="Q26" i="19" s="1"/>
  <c r="O201" i="10"/>
  <c r="AC253" i="18"/>
  <c r="AA81" i="19" s="1"/>
  <c r="AA82" i="19" s="1"/>
  <c r="S253" i="18"/>
  <c r="Q81" i="19" s="1"/>
  <c r="Q82" i="19" s="1"/>
  <c r="O230" i="15"/>
  <c r="M88" i="19" s="1"/>
  <c r="M89" i="19" s="1"/>
  <c r="AJ108" i="23"/>
  <c r="AJ113" i="23" s="1"/>
  <c r="AH113" i="23"/>
  <c r="AJ107" i="18"/>
  <c r="AJ135" i="18" s="1"/>
  <c r="AH135" i="18"/>
  <c r="AM135" i="18" s="1"/>
  <c r="AH251" i="18"/>
  <c r="X56" i="24"/>
  <c r="Z30" i="24"/>
  <c r="Z56" i="24" s="1"/>
  <c r="AJ103" i="12"/>
  <c r="AJ115" i="12" s="1"/>
  <c r="AH115" i="12"/>
  <c r="AM115" i="12" s="1"/>
  <c r="X110" i="24"/>
  <c r="AC109" i="24" s="1"/>
  <c r="Z85" i="24"/>
  <c r="Z110" i="24" s="1"/>
  <c r="AJ186" i="25"/>
  <c r="AJ192" i="25" s="1"/>
  <c r="AH192" i="25"/>
  <c r="Y296" i="7"/>
  <c r="W53" i="19" s="1"/>
  <c r="W54" i="19" s="1"/>
  <c r="N353" i="9"/>
  <c r="R352" i="9"/>
  <c r="O26" i="19" s="1"/>
  <c r="O27" i="19" s="1"/>
  <c r="H285" i="10"/>
  <c r="K128" i="19" s="1"/>
  <c r="K129" i="19" s="1"/>
  <c r="E230" i="15"/>
  <c r="B88" i="19" s="1"/>
  <c r="AJ42" i="8"/>
  <c r="AJ76" i="8" s="1"/>
  <c r="AF224" i="11"/>
  <c r="AF160" i="11"/>
  <c r="AH82" i="14"/>
  <c r="AM82" i="14" s="1"/>
  <c r="AJ70" i="14"/>
  <c r="AJ82" i="14" s="1"/>
  <c r="AH159" i="18"/>
  <c r="AJ154" i="18"/>
  <c r="AJ159" i="18" s="1"/>
  <c r="Z198" i="10"/>
  <c r="AH154" i="12"/>
  <c r="AJ148" i="12"/>
  <c r="AJ154" i="12" s="1"/>
  <c r="AH294" i="7"/>
  <c r="AH211" i="23"/>
  <c r="AJ209" i="23"/>
  <c r="AJ211" i="23" s="1"/>
  <c r="AH129" i="23"/>
  <c r="AJ123" i="23"/>
  <c r="AJ129" i="23" s="1"/>
  <c r="AH222" i="11"/>
  <c r="AJ220" i="11"/>
  <c r="AJ222" i="11" s="1"/>
  <c r="AJ128" i="11"/>
  <c r="AJ133" i="11" s="1"/>
  <c r="AH133" i="11"/>
  <c r="AH150" i="18"/>
  <c r="AJ146" i="18"/>
  <c r="AJ150" i="18" s="1"/>
  <c r="AH53" i="14"/>
  <c r="Z169" i="10"/>
  <c r="Z174" i="10" s="1"/>
  <c r="X174" i="10"/>
  <c r="AJ141" i="12"/>
  <c r="AJ145" i="12" s="1"/>
  <c r="AH145" i="12"/>
  <c r="AH76" i="25"/>
  <c r="AJ42" i="25"/>
  <c r="AJ76" i="25" s="1"/>
  <c r="AH162" i="12"/>
  <c r="AJ157" i="22"/>
  <c r="AJ162" i="22" s="1"/>
  <c r="AH162" i="22"/>
  <c r="AJ42" i="22"/>
  <c r="AJ64" i="22" s="1"/>
  <c r="AH64" i="22"/>
  <c r="G251" i="13"/>
  <c r="AI170" i="18"/>
  <c r="AF253" i="18"/>
  <c r="Q168" i="13"/>
  <c r="I251" i="13"/>
  <c r="E251" i="13"/>
  <c r="AC168" i="13"/>
  <c r="I168" i="13"/>
  <c r="AH93" i="13"/>
  <c r="AM93" i="13" s="1"/>
  <c r="O168" i="13"/>
  <c r="P250" i="13"/>
  <c r="N74" i="19" s="1"/>
  <c r="N75" i="19" s="1"/>
  <c r="AH160" i="8"/>
  <c r="AJ154" i="8"/>
  <c r="AJ160" i="8" s="1"/>
  <c r="AC136" i="24"/>
  <c r="AH39" i="25"/>
  <c r="Y216" i="23"/>
  <c r="AM94" i="25"/>
  <c r="G242" i="12"/>
  <c r="D95" i="19" s="1"/>
  <c r="D96" i="19" s="1"/>
  <c r="J215" i="23"/>
  <c r="G122" i="19" s="1"/>
  <c r="G123" i="19" s="1"/>
  <c r="X244" i="24"/>
  <c r="X245" i="24" s="1"/>
  <c r="AJ5" i="14"/>
  <c r="AJ38" i="14" s="1"/>
  <c r="AM94" i="8"/>
  <c r="F215" i="23"/>
  <c r="C122" i="19" s="1"/>
  <c r="C123" i="19" s="1"/>
  <c r="G253" i="18"/>
  <c r="D81" i="19" s="1"/>
  <c r="D82" i="19" s="1"/>
  <c r="N283" i="27"/>
  <c r="K141" i="19" s="1"/>
  <c r="AC352" i="9"/>
  <c r="X26" i="19" s="1"/>
  <c r="AB254" i="8"/>
  <c r="Z39" i="19" s="1"/>
  <c r="M140" i="23"/>
  <c r="AC139" i="10"/>
  <c r="AC230" i="15"/>
  <c r="AA88" i="19" s="1"/>
  <c r="AA89" i="19" s="1"/>
  <c r="AH72" i="23"/>
  <c r="AM70" i="23" s="1"/>
  <c r="AJ164" i="11"/>
  <c r="AJ216" i="11" s="1"/>
  <c r="AJ217" i="11" s="1"/>
  <c r="N252" i="24"/>
  <c r="G132" i="19" s="1"/>
  <c r="G133" i="19" s="1"/>
  <c r="H224" i="11"/>
  <c r="E60" i="19" s="1"/>
  <c r="E61" i="19" s="1"/>
  <c r="P252" i="24"/>
  <c r="D132" i="19" s="1"/>
  <c r="D133" i="19" s="1"/>
  <c r="L285" i="10"/>
  <c r="Q128" i="19" s="1"/>
  <c r="AA253" i="18"/>
  <c r="Y81" i="19" s="1"/>
  <c r="Y82" i="19" s="1"/>
  <c r="E253" i="18"/>
  <c r="B81" i="19" s="1"/>
  <c r="B82" i="19" s="1"/>
  <c r="Q253" i="18"/>
  <c r="O81" i="19" s="1"/>
  <c r="O82" i="19" s="1"/>
  <c r="M253" i="18"/>
  <c r="K81" i="19" s="1"/>
  <c r="K82" i="19" s="1"/>
  <c r="K251" i="13"/>
  <c r="AM28" i="29"/>
  <c r="AL38" i="30"/>
  <c r="E353" i="9"/>
  <c r="V257" i="22"/>
  <c r="AH144" i="15"/>
  <c r="AJ139" i="15"/>
  <c r="AJ144" i="15" s="1"/>
  <c r="AJ123" i="15"/>
  <c r="AJ127" i="15" s="1"/>
  <c r="AH127" i="15"/>
  <c r="AH226" i="15"/>
  <c r="AJ224" i="15"/>
  <c r="AJ226" i="15" s="1"/>
  <c r="AJ130" i="15"/>
  <c r="AJ136" i="15" s="1"/>
  <c r="AH136" i="15"/>
  <c r="AJ115" i="15"/>
  <c r="AJ120" i="15" s="1"/>
  <c r="AH120" i="15"/>
  <c r="AE159" i="11"/>
  <c r="AE224" i="11" s="1"/>
  <c r="AH40" i="11"/>
  <c r="AJ5" i="11"/>
  <c r="AJ40" i="11" s="1"/>
  <c r="AM138" i="22"/>
  <c r="F253" i="18"/>
  <c r="C81" i="19" s="1"/>
  <c r="C82" i="19" s="1"/>
  <c r="AI336" i="29"/>
  <c r="AI337" i="29" s="1"/>
  <c r="O242" i="12"/>
  <c r="M95" i="19" s="1"/>
  <c r="M96" i="19" s="1"/>
  <c r="AI242" i="12"/>
  <c r="AI243" i="12" s="1"/>
  <c r="F230" i="15"/>
  <c r="C88" i="19" s="1"/>
  <c r="AH53" i="12"/>
  <c r="AJ41" i="12"/>
  <c r="AJ53" i="12" s="1"/>
  <c r="AK38" i="30"/>
  <c r="AC274" i="30"/>
  <c r="S278" i="10"/>
  <c r="AC277" i="30"/>
  <c r="V254" i="8"/>
  <c r="T39" i="19" s="1"/>
  <c r="T40" i="19" s="1"/>
  <c r="AE288" i="7"/>
  <c r="L164" i="19" s="1"/>
  <c r="AH288" i="7"/>
  <c r="AH289" i="7" s="1"/>
  <c r="AM64" i="29"/>
  <c r="AL53" i="30"/>
  <c r="Y198" i="27"/>
  <c r="AA193" i="27"/>
  <c r="AA198" i="27" s="1"/>
  <c r="Y182" i="27"/>
  <c r="AA177" i="27"/>
  <c r="AA182" i="27" s="1"/>
  <c r="Y139" i="27"/>
  <c r="AD139" i="27" s="1"/>
  <c r="AA114" i="27"/>
  <c r="AA139" i="27" s="1"/>
  <c r="AA32" i="27"/>
  <c r="AA58" i="27" s="1"/>
  <c r="Y58" i="27"/>
  <c r="AH69" i="15"/>
  <c r="AJ57" i="15"/>
  <c r="AJ69" i="15" s="1"/>
  <c r="W201" i="27"/>
  <c r="X254" i="8"/>
  <c r="V39" i="19" s="1"/>
  <c r="V40" i="19" s="1"/>
  <c r="AC296" i="7"/>
  <c r="AA53" i="19" s="1"/>
  <c r="AA54" i="19" s="1"/>
  <c r="V253" i="18"/>
  <c r="T81" i="19" s="1"/>
  <c r="T82" i="19" s="1"/>
  <c r="R250" i="13"/>
  <c r="P74" i="19" s="1"/>
  <c r="L252" i="24"/>
  <c r="E132" i="19" s="1"/>
  <c r="E133" i="19" s="1"/>
  <c r="O286" i="25"/>
  <c r="M46" i="19" s="1"/>
  <c r="M47" i="19" s="1"/>
  <c r="I286" i="25"/>
  <c r="F46" i="19" s="1"/>
  <c r="F47" i="19" s="1"/>
  <c r="E286" i="25"/>
  <c r="B46" i="19" s="1"/>
  <c r="J286" i="25"/>
  <c r="G46" i="19" s="1"/>
  <c r="G47" i="19" s="1"/>
  <c r="F286" i="25"/>
  <c r="C46" i="19" s="1"/>
  <c r="C47" i="19" s="1"/>
  <c r="Z283" i="27"/>
  <c r="Z284" i="27" s="1"/>
  <c r="W284" i="27"/>
  <c r="V294" i="27"/>
  <c r="AB296" i="7"/>
  <c r="Z53" i="19" s="1"/>
  <c r="Z54" i="19" s="1"/>
  <c r="O296" i="7"/>
  <c r="M53" i="19" s="1"/>
  <c r="M54" i="19" s="1"/>
  <c r="Z286" i="25"/>
  <c r="X46" i="19" s="1"/>
  <c r="X47" i="19" s="1"/>
  <c r="Y201" i="10"/>
  <c r="AF286" i="25"/>
  <c r="AF287" i="25" s="1"/>
  <c r="V286" i="25"/>
  <c r="T46" i="19" s="1"/>
  <c r="AL54" i="23"/>
  <c r="AI203" i="25"/>
  <c r="AG277" i="9"/>
  <c r="AI254" i="8"/>
  <c r="AI255" i="8" s="1"/>
  <c r="I296" i="7"/>
  <c r="F53" i="19" s="1"/>
  <c r="F54" i="19" s="1"/>
  <c r="H230" i="15"/>
  <c r="E88" i="19" s="1"/>
  <c r="E89" i="19" s="1"/>
  <c r="W286" i="25"/>
  <c r="U46" i="19" s="1"/>
  <c r="U47" i="19" s="1"/>
  <c r="P285" i="10"/>
  <c r="G128" i="19" s="1"/>
  <c r="G129" i="19" s="1"/>
  <c r="AK110" i="9"/>
  <c r="AK140" i="9" s="1"/>
  <c r="AC243" i="12"/>
  <c r="AB256" i="22"/>
  <c r="Z115" i="19" s="1"/>
  <c r="Z116" i="19" s="1"/>
  <c r="G209" i="7"/>
  <c r="P209" i="7"/>
  <c r="AJ277" i="9"/>
  <c r="H253" i="18"/>
  <c r="E81" i="19" s="1"/>
  <c r="V230" i="15"/>
  <c r="T88" i="19" s="1"/>
  <c r="T89" i="19" s="1"/>
  <c r="X230" i="15"/>
  <c r="V88" i="19" s="1"/>
  <c r="V89" i="19" s="1"/>
  <c r="Q230" i="15"/>
  <c r="O88" i="19" s="1"/>
  <c r="O89" i="19" s="1"/>
  <c r="Q296" i="7"/>
  <c r="O53" i="19" s="1"/>
  <c r="O54" i="19" s="1"/>
  <c r="AM83" i="15"/>
  <c r="N285" i="10"/>
  <c r="I128" i="19" s="1"/>
  <c r="I129" i="19" s="1"/>
  <c r="AF209" i="7"/>
  <c r="Q285" i="10"/>
  <c r="F128" i="19" s="1"/>
  <c r="F129" i="19" s="1"/>
  <c r="R285" i="10"/>
  <c r="E128" i="19" s="1"/>
  <c r="E129" i="19" s="1"/>
  <c r="E285" i="10"/>
  <c r="B128" i="19" s="1"/>
  <c r="X253" i="18"/>
  <c r="V81" i="19" s="1"/>
  <c r="Y286" i="25"/>
  <c r="W46" i="19" s="1"/>
  <c r="W47" i="19" s="1"/>
  <c r="AC286" i="25"/>
  <c r="AA46" i="19" s="1"/>
  <c r="AA47" i="19" s="1"/>
  <c r="J285" i="10"/>
  <c r="M128" i="19" s="1"/>
  <c r="M129" i="19" s="1"/>
  <c r="W254" i="18"/>
  <c r="AL39" i="7"/>
  <c r="AM32" i="9"/>
  <c r="AL39" i="18"/>
  <c r="AL39" i="25"/>
  <c r="AL38" i="15"/>
  <c r="AL39" i="23"/>
  <c r="M285" i="10"/>
  <c r="D128" i="19" s="1"/>
  <c r="D129" i="19" s="1"/>
  <c r="AH105" i="22"/>
  <c r="AJ87" i="22"/>
  <c r="AJ105" i="22" s="1"/>
  <c r="BE123" i="3"/>
  <c r="BH123" i="3" s="1"/>
  <c r="AX118" i="4"/>
  <c r="BA118" i="4" s="1"/>
  <c r="T296" i="7"/>
  <c r="R53" i="19" s="1"/>
  <c r="AD112" i="27"/>
  <c r="AE249" i="22"/>
  <c r="AE241" i="13"/>
  <c r="AI230" i="15"/>
  <c r="AI231" i="15" s="1"/>
  <c r="AJ288" i="7"/>
  <c r="AJ289" i="7" s="1"/>
  <c r="C116" i="4"/>
  <c r="AI209" i="7"/>
  <c r="N242" i="12"/>
  <c r="L95" i="19" s="1"/>
  <c r="L96" i="19" s="1"/>
  <c r="AM82" i="12"/>
  <c r="H296" i="7"/>
  <c r="E53" i="19" s="1"/>
  <c r="E54" i="19" s="1"/>
  <c r="AH64" i="7"/>
  <c r="AJ42" i="7"/>
  <c r="AJ64" i="7" s="1"/>
  <c r="K296" i="7"/>
  <c r="H53" i="19" s="1"/>
  <c r="J296" i="7"/>
  <c r="G53" i="19" s="1"/>
  <c r="G54" i="19" s="1"/>
  <c r="U277" i="10"/>
  <c r="X277" i="10"/>
  <c r="X278" i="10" s="1"/>
  <c r="G297" i="7"/>
  <c r="AM85" i="7"/>
  <c r="E297" i="7"/>
  <c r="O252" i="24"/>
  <c r="P132" i="19" s="1"/>
  <c r="P133" i="19" s="1"/>
  <c r="M231" i="15"/>
  <c r="P230" i="15"/>
  <c r="N88" i="19" s="1"/>
  <c r="N89" i="19" s="1"/>
  <c r="AB352" i="9"/>
  <c r="Y26" i="19" s="1"/>
  <c r="Y27" i="19" s="1"/>
  <c r="V296" i="7"/>
  <c r="T53" i="19" s="1"/>
  <c r="I253" i="18"/>
  <c r="F81" i="19" s="1"/>
  <c r="F82" i="19" s="1"/>
  <c r="AA286" i="25"/>
  <c r="Y46" i="19" s="1"/>
  <c r="Y47" i="19" s="1"/>
  <c r="AB286" i="25"/>
  <c r="Z46" i="19" s="1"/>
  <c r="Z47" i="19" s="1"/>
  <c r="M286" i="25"/>
  <c r="K46" i="19" s="1"/>
  <c r="K47" i="19" s="1"/>
  <c r="S286" i="25"/>
  <c r="Q46" i="19" s="1"/>
  <c r="AH104" i="23"/>
  <c r="AM98" i="23" s="1"/>
  <c r="AJ98" i="23"/>
  <c r="AJ104" i="23" s="1"/>
  <c r="AC224" i="23"/>
  <c r="AF216" i="23"/>
  <c r="AJ4" i="23"/>
  <c r="AJ5" i="23"/>
  <c r="AJ39" i="23" s="1"/>
  <c r="AH39" i="23"/>
  <c r="Q216" i="23"/>
  <c r="M216" i="23"/>
  <c r="S225" i="11"/>
  <c r="Q225" i="11"/>
  <c r="O225" i="11"/>
  <c r="T225" i="11"/>
  <c r="R225" i="11"/>
  <c r="P225" i="11"/>
  <c r="N225" i="11"/>
  <c r="V225" i="11"/>
  <c r="V226" i="11" s="1"/>
  <c r="V227" i="11"/>
  <c r="AJ4" i="14"/>
  <c r="AI250" i="13"/>
  <c r="AI251" i="13" s="1"/>
  <c r="AA4" i="27"/>
  <c r="Y29" i="27"/>
  <c r="AA5" i="27"/>
  <c r="AA29" i="27" s="1"/>
  <c r="AL76" i="8"/>
  <c r="AM68" i="9"/>
  <c r="O286" i="10"/>
  <c r="G285" i="10"/>
  <c r="P128" i="19" s="1"/>
  <c r="P129" i="19" s="1"/>
  <c r="K285" i="10"/>
  <c r="N128" i="19" s="1"/>
  <c r="N129" i="19" s="1"/>
  <c r="AK5" i="9"/>
  <c r="X352" i="9"/>
  <c r="U26" i="19" s="1"/>
  <c r="U27" i="19" s="1"/>
  <c r="S352" i="9"/>
  <c r="P26" i="19" s="1"/>
  <c r="P27" i="19" s="1"/>
  <c r="O352" i="9"/>
  <c r="L26" i="19" s="1"/>
  <c r="L27" i="19" s="1"/>
  <c r="J352" i="9"/>
  <c r="G26" i="19" s="1"/>
  <c r="G27" i="19" s="1"/>
  <c r="F352" i="9"/>
  <c r="C26" i="19" s="1"/>
  <c r="C27" i="19" s="1"/>
  <c r="L353" i="9"/>
  <c r="AJ5" i="8"/>
  <c r="AJ39" i="8" s="1"/>
  <c r="AF254" i="8"/>
  <c r="AJ4" i="12"/>
  <c r="AH38" i="12"/>
  <c r="AJ5" i="12"/>
  <c r="AJ38" i="12" s="1"/>
  <c r="X27" i="24"/>
  <c r="Z5" i="24"/>
  <c r="Z27" i="24" s="1"/>
  <c r="J252" i="24"/>
  <c r="N132" i="19" s="1"/>
  <c r="N133" i="19" s="1"/>
  <c r="F252" i="24"/>
  <c r="C132" i="19" s="1"/>
  <c r="C133" i="19" s="1"/>
  <c r="S252" i="24"/>
  <c r="I132" i="19" s="1"/>
  <c r="I133" i="19" s="1"/>
  <c r="AJ5" i="7"/>
  <c r="AJ39" i="7" s="1"/>
  <c r="AH39" i="7"/>
  <c r="AA296" i="7"/>
  <c r="Y53" i="19" s="1"/>
  <c r="Y54" i="19" s="1"/>
  <c r="W296" i="7"/>
  <c r="U53" i="19" s="1"/>
  <c r="U54" i="19" s="1"/>
  <c r="X296" i="7"/>
  <c r="V53" i="19" s="1"/>
  <c r="V54" i="19" s="1"/>
  <c r="AJ4" i="22"/>
  <c r="H257" i="22"/>
  <c r="AM113" i="13"/>
  <c r="AM143" i="25"/>
  <c r="C115" i="1"/>
  <c r="AN205" i="9"/>
  <c r="AC85" i="27"/>
  <c r="AB85" i="10"/>
  <c r="AB82" i="24"/>
  <c r="AH157" i="13"/>
  <c r="AJ151" i="13"/>
  <c r="AJ157" i="13" s="1"/>
  <c r="Y187" i="19" s="1"/>
  <c r="V251" i="13"/>
  <c r="F251" i="13"/>
  <c r="AC29" i="27"/>
  <c r="AB29" i="10"/>
  <c r="AB27" i="24"/>
  <c r="AJ244" i="13"/>
  <c r="AJ246" i="13" s="1"/>
  <c r="AH246" i="13"/>
  <c r="AH148" i="13"/>
  <c r="AJ144" i="13"/>
  <c r="AJ148" i="13" s="1"/>
  <c r="Y188" i="19" s="1"/>
  <c r="S251" i="13"/>
  <c r="O251" i="13"/>
  <c r="C121" i="3"/>
  <c r="AM110" i="25"/>
  <c r="Z352" i="9"/>
  <c r="W26" i="19" s="1"/>
  <c r="W27" i="19" s="1"/>
  <c r="AL53" i="14"/>
  <c r="AL64" i="7"/>
  <c r="AL70" i="11"/>
  <c r="AL76" i="25"/>
  <c r="AL53" i="13"/>
  <c r="AL54" i="15"/>
  <c r="AL64" i="22"/>
  <c r="AL53" i="12"/>
  <c r="AL64" i="18"/>
  <c r="AK239" i="29"/>
  <c r="AM110" i="14"/>
  <c r="AD347" i="29"/>
  <c r="AD344" i="29"/>
  <c r="AE277" i="25"/>
  <c r="C119" i="2"/>
  <c r="AK39" i="23"/>
  <c r="AL28" i="29"/>
  <c r="S285" i="10"/>
  <c r="H128" i="19" s="1"/>
  <c r="H129" i="19" s="1"/>
  <c r="F225" i="11"/>
  <c r="G225" i="11"/>
  <c r="V201" i="10"/>
  <c r="AJ249" i="22"/>
  <c r="Z277" i="10"/>
  <c r="Z278" i="10" s="1"/>
  <c r="AE210" i="14"/>
  <c r="AH72" i="13"/>
  <c r="AJ56" i="13"/>
  <c r="AJ72" i="13" s="1"/>
  <c r="AK39" i="7"/>
  <c r="P297" i="7"/>
  <c r="AM85" i="18"/>
  <c r="AH246" i="18"/>
  <c r="AB29" i="27"/>
  <c r="AK38" i="13"/>
  <c r="AA27" i="24"/>
  <c r="AK40" i="11"/>
  <c r="AK39" i="8"/>
  <c r="AK38" i="15"/>
  <c r="AT121" i="2"/>
  <c r="AW121" i="2" s="1"/>
  <c r="X58" i="10"/>
  <c r="Z32" i="10"/>
  <c r="Z58" i="10" s="1"/>
  <c r="AK39" i="22"/>
  <c r="AL32" i="9"/>
  <c r="AK38" i="14"/>
  <c r="AK39" i="25"/>
  <c r="AK38" i="12"/>
  <c r="AA29" i="10"/>
  <c r="AK39" i="18"/>
  <c r="AM136" i="8"/>
  <c r="AM111" i="15"/>
  <c r="AE221" i="15"/>
  <c r="AC226" i="23"/>
  <c r="AC264" i="18"/>
  <c r="U296" i="10"/>
  <c r="AD363" i="9"/>
  <c r="AC307" i="7"/>
  <c r="AC267" i="22"/>
  <c r="AC235" i="11"/>
  <c r="AC241" i="15"/>
  <c r="AC228" i="14"/>
  <c r="AC261" i="13"/>
  <c r="V286" i="10"/>
  <c r="AC265" i="8"/>
  <c r="AC253" i="12"/>
  <c r="AC297" i="25"/>
  <c r="AE206" i="23"/>
  <c r="U263" i="24"/>
  <c r="V253" i="24"/>
  <c r="U83" i="24"/>
  <c r="U171" i="24" s="1"/>
  <c r="X58" i="24"/>
  <c r="AC223" i="23"/>
  <c r="AC238" i="15"/>
  <c r="AC225" i="14"/>
  <c r="AC261" i="18"/>
  <c r="AD360" i="9"/>
  <c r="AC262" i="8"/>
  <c r="AC304" i="7"/>
  <c r="AC264" i="22"/>
  <c r="AC294" i="25"/>
  <c r="AC232" i="11"/>
  <c r="AC258" i="13"/>
  <c r="V291" i="27"/>
  <c r="U293" i="10"/>
  <c r="AC250" i="12"/>
  <c r="U260" i="24"/>
  <c r="AB58" i="27"/>
  <c r="AA56" i="24"/>
  <c r="AA58" i="10"/>
  <c r="AH249" i="22"/>
  <c r="AF343" i="9"/>
  <c r="AC305" i="7"/>
  <c r="AF297" i="7"/>
  <c r="AM174" i="7"/>
  <c r="AD361" i="9"/>
  <c r="AG353" i="9"/>
  <c r="AN137" i="9"/>
  <c r="AK53" i="31"/>
  <c r="AE246" i="18"/>
  <c r="AH241" i="13"/>
  <c r="AH277" i="25"/>
  <c r="AJ210" i="14"/>
  <c r="AF342" i="9"/>
  <c r="Y275" i="27"/>
  <c r="AA204" i="27"/>
  <c r="AA275" i="27" s="1"/>
  <c r="AJ246" i="18"/>
  <c r="AH244" i="8"/>
  <c r="AJ175" i="8"/>
  <c r="AJ244" i="8" s="1"/>
  <c r="AJ277" i="25"/>
  <c r="AI342" i="9"/>
  <c r="AK281" i="9"/>
  <c r="AK342" i="9" s="1"/>
  <c r="AJ221" i="15"/>
  <c r="AH220" i="15"/>
  <c r="AH206" i="23"/>
  <c r="AJ206" i="23"/>
  <c r="AJ169" i="12"/>
  <c r="B129" i="19" l="1"/>
  <c r="K257" i="22"/>
  <c r="M253" i="24"/>
  <c r="AH164" i="12"/>
  <c r="AH165" i="12" s="1"/>
  <c r="M257" i="22"/>
  <c r="CQ30" i="6"/>
  <c r="AJ164" i="12"/>
  <c r="AJ165" i="12" s="1"/>
  <c r="U261" i="42"/>
  <c r="H251" i="13"/>
  <c r="E257" i="22"/>
  <c r="Q255" i="8"/>
  <c r="AJ167" i="13"/>
  <c r="AJ168" i="13" s="1"/>
  <c r="K253" i="24"/>
  <c r="AC56" i="24"/>
  <c r="CQ69" i="6"/>
  <c r="AH167" i="13"/>
  <c r="CO103" i="6" s="1"/>
  <c r="Z255" i="8"/>
  <c r="Y200" i="27"/>
  <c r="Y201" i="27" s="1"/>
  <c r="AA200" i="27"/>
  <c r="AA201" i="27" s="1"/>
  <c r="F191" i="19"/>
  <c r="D223" i="19"/>
  <c r="G255" i="8"/>
  <c r="I255" i="8"/>
  <c r="O257" i="22"/>
  <c r="G253" i="24"/>
  <c r="X243" i="12"/>
  <c r="J251" i="13"/>
  <c r="G287" i="25"/>
  <c r="V216" i="23"/>
  <c r="K255" i="8"/>
  <c r="W255" i="8"/>
  <c r="AH145" i="14"/>
  <c r="AH146" i="14" s="1"/>
  <c r="X218" i="14"/>
  <c r="AM38" i="13"/>
  <c r="AB216" i="23"/>
  <c r="N216" i="23"/>
  <c r="H216" i="23"/>
  <c r="M255" i="8"/>
  <c r="B230" i="19"/>
  <c r="AM39" i="8"/>
  <c r="T243" i="12"/>
  <c r="AM38" i="14"/>
  <c r="Q284" i="27"/>
  <c r="AD353" i="9"/>
  <c r="Y189" i="19"/>
  <c r="M226" i="19"/>
  <c r="M225" i="11"/>
  <c r="M227" i="11"/>
  <c r="M225" i="19"/>
  <c r="B77" i="19"/>
  <c r="B76" i="19"/>
  <c r="E253" i="13"/>
  <c r="AH208" i="7"/>
  <c r="AH296" i="7" s="1"/>
  <c r="AH297" i="7" s="1"/>
  <c r="M224" i="19"/>
  <c r="AC251" i="12"/>
  <c r="AA216" i="23"/>
  <c r="W218" i="14"/>
  <c r="X251" i="13"/>
  <c r="Z251" i="13"/>
  <c r="I284" i="27"/>
  <c r="W243" i="12"/>
  <c r="J257" i="22"/>
  <c r="G257" i="22"/>
  <c r="I257" i="22"/>
  <c r="M297" i="7"/>
  <c r="AM39" i="22"/>
  <c r="CP103" i="6"/>
  <c r="F257" i="22"/>
  <c r="E259" i="22"/>
  <c r="AJ202" i="25"/>
  <c r="AJ203" i="25" s="1"/>
  <c r="AH146" i="15"/>
  <c r="AH230" i="15" s="1"/>
  <c r="AH231" i="15" s="1"/>
  <c r="Y186" i="19"/>
  <c r="X216" i="23"/>
  <c r="J255" i="8"/>
  <c r="AJ146" i="15"/>
  <c r="AJ147" i="15" s="1"/>
  <c r="AC255" i="8"/>
  <c r="M251" i="13"/>
  <c r="I216" i="23"/>
  <c r="P353" i="9"/>
  <c r="AH202" i="25"/>
  <c r="AH203" i="25" s="1"/>
  <c r="P218" i="14"/>
  <c r="AJ145" i="14"/>
  <c r="AJ146" i="14" s="1"/>
  <c r="V243" i="12"/>
  <c r="K284" i="27"/>
  <c r="Z216" i="23"/>
  <c r="E255" i="8"/>
  <c r="P257" i="22"/>
  <c r="AB254" i="18"/>
  <c r="F297" i="7"/>
  <c r="F243" i="12"/>
  <c r="E216" i="23"/>
  <c r="K225" i="11"/>
  <c r="M254" i="18"/>
  <c r="H284" i="27"/>
  <c r="AC257" i="22"/>
  <c r="N164" i="19"/>
  <c r="K63" i="19"/>
  <c r="K62" i="19"/>
  <c r="AJ208" i="7"/>
  <c r="AJ209" i="7" s="1"/>
  <c r="J225" i="11"/>
  <c r="T124" i="19"/>
  <c r="B60" i="19"/>
  <c r="B61" i="19" s="1"/>
  <c r="E225" i="11"/>
  <c r="B89" i="19"/>
  <c r="AB88" i="19"/>
  <c r="M202" i="19" s="1"/>
  <c r="Y254" i="18"/>
  <c r="P254" i="18"/>
  <c r="AH170" i="8"/>
  <c r="AH171" i="8" s="1"/>
  <c r="L297" i="7"/>
  <c r="P284" i="27"/>
  <c r="F60" i="19"/>
  <c r="F61" i="19" s="1"/>
  <c r="I225" i="11"/>
  <c r="AH159" i="11"/>
  <c r="AH224" i="11" s="1"/>
  <c r="AH225" i="11" s="1"/>
  <c r="F284" i="27"/>
  <c r="V218" i="23"/>
  <c r="W216" i="23"/>
  <c r="T77" i="19"/>
  <c r="S231" i="15"/>
  <c r="AE256" i="22"/>
  <c r="AC263" i="22" s="1"/>
  <c r="R257" i="22"/>
  <c r="K125" i="19"/>
  <c r="O216" i="23"/>
  <c r="S216" i="23"/>
  <c r="T125" i="19"/>
  <c r="K124" i="19"/>
  <c r="B110" i="19"/>
  <c r="B111" i="19"/>
  <c r="AB109" i="19"/>
  <c r="M205" i="19" s="1"/>
  <c r="K110" i="19"/>
  <c r="K112" i="19" s="1"/>
  <c r="K111" i="19"/>
  <c r="T110" i="19"/>
  <c r="T112" i="19" s="1"/>
  <c r="T111" i="19"/>
  <c r="O284" i="27"/>
  <c r="L141" i="19"/>
  <c r="L142" i="19" s="1"/>
  <c r="H353" i="9"/>
  <c r="K28" i="19"/>
  <c r="AJ170" i="8"/>
  <c r="AJ171" i="8" s="1"/>
  <c r="T257" i="22"/>
  <c r="AA257" i="22"/>
  <c r="T117" i="19"/>
  <c r="T118" i="19"/>
  <c r="B118" i="19"/>
  <c r="B117" i="19"/>
  <c r="R209" i="7"/>
  <c r="J284" i="27"/>
  <c r="G141" i="19"/>
  <c r="G142" i="19" s="1"/>
  <c r="G284" i="27"/>
  <c r="D141" i="19"/>
  <c r="D142" i="19" s="1"/>
  <c r="Q142" i="19"/>
  <c r="M142" i="19"/>
  <c r="F142" i="19"/>
  <c r="I142" i="19"/>
  <c r="B142" i="19"/>
  <c r="H142" i="19"/>
  <c r="O142" i="19"/>
  <c r="K142" i="19"/>
  <c r="P287" i="25"/>
  <c r="B47" i="19"/>
  <c r="B49" i="19" s="1"/>
  <c r="B48" i="19"/>
  <c r="AD58" i="27"/>
  <c r="K42" i="19"/>
  <c r="B42" i="19"/>
  <c r="AA255" i="8"/>
  <c r="M257" i="8"/>
  <c r="B41" i="19"/>
  <c r="K41" i="19"/>
  <c r="T91" i="19"/>
  <c r="K48" i="19"/>
  <c r="AJ159" i="11"/>
  <c r="AJ160" i="11" s="1"/>
  <c r="P75" i="19"/>
  <c r="K77" i="19" s="1"/>
  <c r="K76" i="19"/>
  <c r="P89" i="19"/>
  <c r="K91" i="19" s="1"/>
  <c r="K90" i="19"/>
  <c r="M221" i="19" s="1"/>
  <c r="P82" i="19"/>
  <c r="K84" i="19" s="1"/>
  <c r="K83" i="19"/>
  <c r="P54" i="19"/>
  <c r="K55" i="19"/>
  <c r="P96" i="19"/>
  <c r="Q116" i="19"/>
  <c r="K118" i="19" s="1"/>
  <c r="K117" i="19"/>
  <c r="B96" i="19"/>
  <c r="B98" i="19" s="1"/>
  <c r="B97" i="19"/>
  <c r="T96" i="19"/>
  <c r="T97" i="19"/>
  <c r="T254" i="18"/>
  <c r="O254" i="18"/>
  <c r="Q27" i="19"/>
  <c r="K29" i="19" s="1"/>
  <c r="R132" i="19"/>
  <c r="M203" i="19" s="1"/>
  <c r="R133" i="19"/>
  <c r="AB74" i="19"/>
  <c r="T54" i="19"/>
  <c r="T56" i="19" s="1"/>
  <c r="T55" i="19"/>
  <c r="X27" i="19"/>
  <c r="T28" i="19"/>
  <c r="Q257" i="22"/>
  <c r="H54" i="19"/>
  <c r="B56" i="19" s="1"/>
  <c r="B55" i="19"/>
  <c r="D123" i="19"/>
  <c r="B125" i="19" s="1"/>
  <c r="B124" i="19"/>
  <c r="AB122" i="19"/>
  <c r="E82" i="19"/>
  <c r="B84" i="19" s="1"/>
  <c r="B83" i="19"/>
  <c r="P142" i="19"/>
  <c r="R54" i="19"/>
  <c r="AB53" i="19"/>
  <c r="M196" i="19" s="1"/>
  <c r="T48" i="19"/>
  <c r="T47" i="19"/>
  <c r="T49" i="19" s="1"/>
  <c r="Q47" i="19"/>
  <c r="K49" i="19" s="1"/>
  <c r="AB46" i="19"/>
  <c r="M198" i="19" s="1"/>
  <c r="AB115" i="19"/>
  <c r="M201" i="19" s="1"/>
  <c r="Q129" i="19"/>
  <c r="R128" i="19"/>
  <c r="M223" i="19" s="1"/>
  <c r="C89" i="19"/>
  <c r="B90" i="19"/>
  <c r="Z40" i="19"/>
  <c r="AB39" i="19"/>
  <c r="M197" i="19" s="1"/>
  <c r="T41" i="19"/>
  <c r="V82" i="19"/>
  <c r="T84" i="19" s="1"/>
  <c r="T83" i="19"/>
  <c r="AB81" i="19"/>
  <c r="M213" i="19" s="1"/>
  <c r="I286" i="10"/>
  <c r="E227" i="11"/>
  <c r="T231" i="15"/>
  <c r="AB218" i="14"/>
  <c r="AC259" i="13"/>
  <c r="CE368" i="6"/>
  <c r="W353" i="9"/>
  <c r="N297" i="7"/>
  <c r="N287" i="25"/>
  <c r="AM53" i="31"/>
  <c r="AM39" i="23"/>
  <c r="I231" i="15"/>
  <c r="AJ169" i="18"/>
  <c r="AJ170" i="18" s="1"/>
  <c r="I218" i="14"/>
  <c r="O218" i="14"/>
  <c r="V218" i="14"/>
  <c r="T287" i="25"/>
  <c r="K287" i="25"/>
  <c r="X287" i="25"/>
  <c r="J218" i="14"/>
  <c r="M259" i="22"/>
  <c r="AE215" i="23"/>
  <c r="AC222" i="23" s="1"/>
  <c r="J231" i="15"/>
  <c r="AA218" i="14"/>
  <c r="T218" i="14"/>
  <c r="AC218" i="14"/>
  <c r="G218" i="14"/>
  <c r="K218" i="14"/>
  <c r="V220" i="14"/>
  <c r="H218" i="14"/>
  <c r="V253" i="13"/>
  <c r="AB251" i="13"/>
  <c r="K254" i="18"/>
  <c r="E254" i="18"/>
  <c r="L254" i="18"/>
  <c r="AM38" i="30"/>
  <c r="V245" i="12"/>
  <c r="M243" i="12"/>
  <c r="J243" i="12"/>
  <c r="AB243" i="12"/>
  <c r="Y243" i="12"/>
  <c r="I353" i="9"/>
  <c r="O255" i="8"/>
  <c r="S255" i="8"/>
  <c r="F255" i="8"/>
  <c r="X257" i="22"/>
  <c r="E253" i="24"/>
  <c r="Q253" i="24"/>
  <c r="Q287" i="25"/>
  <c r="R287" i="25"/>
  <c r="AM39" i="25"/>
  <c r="Y297" i="7"/>
  <c r="N284" i="27"/>
  <c r="AC239" i="15"/>
  <c r="AC262" i="18"/>
  <c r="V255" i="8"/>
  <c r="G254" i="18"/>
  <c r="AA231" i="15"/>
  <c r="Q218" i="14"/>
  <c r="K216" i="23"/>
  <c r="I253" i="24"/>
  <c r="M218" i="23"/>
  <c r="K243" i="12"/>
  <c r="Q353" i="9"/>
  <c r="G353" i="9"/>
  <c r="H255" i="8"/>
  <c r="I287" i="25"/>
  <c r="Z218" i="14"/>
  <c r="H243" i="12"/>
  <c r="Y353" i="9"/>
  <c r="O231" i="15"/>
  <c r="E218" i="14"/>
  <c r="F218" i="14"/>
  <c r="E220" i="14"/>
  <c r="AF251" i="13"/>
  <c r="V292" i="27"/>
  <c r="J254" i="18"/>
  <c r="M256" i="18"/>
  <c r="Q254" i="18"/>
  <c r="AC254" i="18"/>
  <c r="R284" i="27"/>
  <c r="AN28" i="29"/>
  <c r="R353" i="9"/>
  <c r="AA353" i="9"/>
  <c r="Y257" i="22"/>
  <c r="H253" i="24"/>
  <c r="R253" i="24"/>
  <c r="S297" i="7"/>
  <c r="AB297" i="7"/>
  <c r="E287" i="25"/>
  <c r="G231" i="15"/>
  <c r="T353" i="9"/>
  <c r="Y255" i="8"/>
  <c r="W257" i="22"/>
  <c r="I243" i="12"/>
  <c r="M218" i="14"/>
  <c r="AC29" i="10"/>
  <c r="AA254" i="18"/>
  <c r="V259" i="22"/>
  <c r="R254" i="18"/>
  <c r="W231" i="15"/>
  <c r="N257" i="22"/>
  <c r="AJ172" i="22"/>
  <c r="AJ173" i="22" s="1"/>
  <c r="S257" i="22"/>
  <c r="AH172" i="22"/>
  <c r="AH173" i="22" s="1"/>
  <c r="AH169" i="18"/>
  <c r="AH170" i="18" s="1"/>
  <c r="N218" i="14"/>
  <c r="AM38" i="15"/>
  <c r="E257" i="8"/>
  <c r="P243" i="12"/>
  <c r="H287" i="25"/>
  <c r="U353" i="9"/>
  <c r="AM39" i="18"/>
  <c r="R218" i="14"/>
  <c r="AF231" i="15"/>
  <c r="R231" i="15"/>
  <c r="AE253" i="18"/>
  <c r="AE254" i="18" s="1"/>
  <c r="U294" i="10"/>
  <c r="U261" i="24"/>
  <c r="S218" i="14"/>
  <c r="Z231" i="15"/>
  <c r="P251" i="13"/>
  <c r="P253" i="24"/>
  <c r="L284" i="27"/>
  <c r="E284" i="27"/>
  <c r="N231" i="15"/>
  <c r="H286" i="10"/>
  <c r="F286" i="10"/>
  <c r="M220" i="14"/>
  <c r="K231" i="15"/>
  <c r="E243" i="12"/>
  <c r="Z297" i="7"/>
  <c r="AB255" i="8"/>
  <c r="AE217" i="14"/>
  <c r="AE218" i="14" s="1"/>
  <c r="AC297" i="7"/>
  <c r="R243" i="12"/>
  <c r="AB231" i="15"/>
  <c r="AA243" i="12"/>
  <c r="N254" i="18"/>
  <c r="Z257" i="22"/>
  <c r="AC216" i="23"/>
  <c r="S243" i="12"/>
  <c r="Y218" i="14"/>
  <c r="T255" i="8"/>
  <c r="Y231" i="15"/>
  <c r="S254" i="18"/>
  <c r="W287" i="25"/>
  <c r="AE203" i="25"/>
  <c r="AF254" i="18"/>
  <c r="F353" i="9"/>
  <c r="AC233" i="11"/>
  <c r="AF225" i="11"/>
  <c r="M286" i="10"/>
  <c r="AM69" i="15"/>
  <c r="E231" i="15"/>
  <c r="E289" i="25"/>
  <c r="O287" i="25"/>
  <c r="H297" i="7"/>
  <c r="G243" i="12"/>
  <c r="E245" i="12"/>
  <c r="O297" i="7"/>
  <c r="F216" i="23"/>
  <c r="E218" i="23"/>
  <c r="AC353" i="9"/>
  <c r="H231" i="15"/>
  <c r="AC231" i="15"/>
  <c r="L286" i="10"/>
  <c r="N253" i="24"/>
  <c r="AH139" i="23"/>
  <c r="AH215" i="23" s="1"/>
  <c r="AH216" i="23" s="1"/>
  <c r="H225" i="11"/>
  <c r="V283" i="27"/>
  <c r="V293" i="27" s="1"/>
  <c r="O243" i="12"/>
  <c r="AC27" i="24"/>
  <c r="AD29" i="27"/>
  <c r="P286" i="10"/>
  <c r="X353" i="9"/>
  <c r="Q297" i="7"/>
  <c r="AM40" i="11"/>
  <c r="AE160" i="11"/>
  <c r="S253" i="24"/>
  <c r="F254" i="18"/>
  <c r="F231" i="15"/>
  <c r="E233" i="15"/>
  <c r="AC228" i="31"/>
  <c r="V231" i="15"/>
  <c r="R251" i="13"/>
  <c r="Z287" i="25"/>
  <c r="AE230" i="15"/>
  <c r="AE231" i="15" s="1"/>
  <c r="E286" i="10"/>
  <c r="AB353" i="9"/>
  <c r="X255" i="8"/>
  <c r="Q231" i="15"/>
  <c r="AL64" i="29"/>
  <c r="AN64" i="29" s="1"/>
  <c r="AK53" i="30"/>
  <c r="AM53" i="30" s="1"/>
  <c r="E286" i="27"/>
  <c r="T297" i="7"/>
  <c r="AE289" i="7"/>
  <c r="V257" i="8"/>
  <c r="M253" i="13"/>
  <c r="AC263" i="8"/>
  <c r="I297" i="7"/>
  <c r="V254" i="18"/>
  <c r="V256" i="18"/>
  <c r="L253" i="24"/>
  <c r="F287" i="25"/>
  <c r="J287" i="25"/>
  <c r="AC295" i="25"/>
  <c r="AE287" i="25"/>
  <c r="V287" i="25"/>
  <c r="M289" i="25"/>
  <c r="AE254" i="8"/>
  <c r="AC261" i="8" s="1"/>
  <c r="AE250" i="13"/>
  <c r="AB257" i="22"/>
  <c r="H254" i="18"/>
  <c r="T284" i="27"/>
  <c r="V233" i="15"/>
  <c r="X231" i="15"/>
  <c r="X254" i="18"/>
  <c r="N286" i="10"/>
  <c r="Q286" i="10"/>
  <c r="R286" i="10"/>
  <c r="Y287" i="25"/>
  <c r="AC287" i="25"/>
  <c r="J286" i="10"/>
  <c r="G286" i="10"/>
  <c r="J353" i="9"/>
  <c r="S353" i="9"/>
  <c r="AM38" i="12"/>
  <c r="V289" i="25"/>
  <c r="Z353" i="9"/>
  <c r="N243" i="12"/>
  <c r="AA287" i="25"/>
  <c r="M287" i="25"/>
  <c r="U285" i="10"/>
  <c r="P231" i="15"/>
  <c r="M233" i="15"/>
  <c r="K297" i="7"/>
  <c r="E299" i="7"/>
  <c r="AM39" i="7"/>
  <c r="J297" i="7"/>
  <c r="U278" i="10"/>
  <c r="W355" i="9"/>
  <c r="O253" i="24"/>
  <c r="O353" i="9"/>
  <c r="N355" i="9"/>
  <c r="E255" i="24"/>
  <c r="V297" i="7"/>
  <c r="I254" i="18"/>
  <c r="E256" i="18"/>
  <c r="AB287" i="25"/>
  <c r="S287" i="25"/>
  <c r="AJ139" i="23"/>
  <c r="M226" i="11"/>
  <c r="K286" i="10"/>
  <c r="AF255" i="8"/>
  <c r="J253" i="24"/>
  <c r="F253" i="24"/>
  <c r="X297" i="7"/>
  <c r="AA297" i="7"/>
  <c r="W297" i="7"/>
  <c r="V299" i="7"/>
  <c r="AE296" i="7"/>
  <c r="AC303" i="7" s="1"/>
  <c r="E288" i="10"/>
  <c r="S286" i="10"/>
  <c r="M299" i="7"/>
  <c r="AC231" i="11"/>
  <c r="AE225" i="11"/>
  <c r="AM72" i="13"/>
  <c r="R297" i="7"/>
  <c r="AC58" i="10"/>
  <c r="Z201" i="10"/>
  <c r="Z285" i="10"/>
  <c r="Z286" i="10" s="1"/>
  <c r="U172" i="24"/>
  <c r="U252" i="24"/>
  <c r="U262" i="24" s="1"/>
  <c r="Z58" i="24"/>
  <c r="Z83" i="24" s="1"/>
  <c r="Z171" i="24" s="1"/>
  <c r="X83" i="24"/>
  <c r="X171" i="24" s="1"/>
  <c r="AL100" i="29"/>
  <c r="AN100" i="29" s="1"/>
  <c r="AK54" i="23"/>
  <c r="AM54" i="23" s="1"/>
  <c r="AK70" i="11"/>
  <c r="AM70" i="11" s="1"/>
  <c r="AK54" i="15"/>
  <c r="AM54" i="15" s="1"/>
  <c r="AK53" i="14"/>
  <c r="AM53" i="14" s="1"/>
  <c r="AK53" i="13"/>
  <c r="AM53" i="13" s="1"/>
  <c r="AA85" i="10"/>
  <c r="AC85" i="10" s="1"/>
  <c r="AK53" i="12"/>
  <c r="AM53" i="12" s="1"/>
  <c r="AK76" i="25"/>
  <c r="AM76" i="25" s="1"/>
  <c r="AK64" i="18"/>
  <c r="AM64" i="18" s="1"/>
  <c r="AB85" i="27"/>
  <c r="AD85" i="27" s="1"/>
  <c r="AL68" i="9"/>
  <c r="AN68" i="9" s="1"/>
  <c r="AK76" i="8"/>
  <c r="AM76" i="8" s="1"/>
  <c r="AK64" i="7"/>
  <c r="AM64" i="7" s="1"/>
  <c r="AA82" i="24"/>
  <c r="AK64" i="22"/>
  <c r="AM64" i="22" s="1"/>
  <c r="Y276" i="27"/>
  <c r="AA276" i="27"/>
  <c r="AH245" i="8"/>
  <c r="AJ245" i="8"/>
  <c r="AK343" i="9"/>
  <c r="AI343" i="9"/>
  <c r="AH221" i="15"/>
  <c r="R129" i="19" l="1"/>
  <c r="AD362" i="44"/>
  <c r="AD365" i="44" s="1"/>
  <c r="AC225" i="43"/>
  <c r="AC228" i="43" s="1"/>
  <c r="E252" i="13"/>
  <c r="U259" i="42"/>
  <c r="U265" i="42" s="1"/>
  <c r="N222" i="19"/>
  <c r="L150" i="19"/>
  <c r="L151" i="19" s="1"/>
  <c r="L153" i="19" s="1"/>
  <c r="AD356" i="39"/>
  <c r="AD359" i="39" s="1"/>
  <c r="AC268" i="40"/>
  <c r="AC271" i="40" s="1"/>
  <c r="E258" i="22"/>
  <c r="E226" i="11"/>
  <c r="AH209" i="7"/>
  <c r="AH147" i="15"/>
  <c r="V252" i="13"/>
  <c r="CQ103" i="6"/>
  <c r="X285" i="10"/>
  <c r="X286" i="10" s="1"/>
  <c r="X201" i="10"/>
  <c r="AL105" i="22" s="1"/>
  <c r="AM105" i="22" s="1"/>
  <c r="V217" i="23"/>
  <c r="D230" i="19"/>
  <c r="F222" i="19"/>
  <c r="M217" i="23"/>
  <c r="Y185" i="19"/>
  <c r="Z189" i="19" s="1"/>
  <c r="B63" i="19"/>
  <c r="AH254" i="8"/>
  <c r="AH255" i="8" s="1"/>
  <c r="AB60" i="19"/>
  <c r="M220" i="19" s="1"/>
  <c r="AB61" i="19"/>
  <c r="B62" i="19"/>
  <c r="M210" i="19"/>
  <c r="AJ224" i="11"/>
  <c r="AJ225" i="11" s="1"/>
  <c r="AH160" i="11"/>
  <c r="AB110" i="19"/>
  <c r="AE257" i="22"/>
  <c r="M256" i="8"/>
  <c r="R141" i="19"/>
  <c r="R142" i="19" s="1"/>
  <c r="Y283" i="27"/>
  <c r="Y284" i="27" s="1"/>
  <c r="E256" i="8"/>
  <c r="AC312" i="34"/>
  <c r="AC315" i="34" s="1"/>
  <c r="AC229" i="37"/>
  <c r="AC247" i="36"/>
  <c r="AC250" i="36" s="1"/>
  <c r="M200" i="19"/>
  <c r="K56" i="19"/>
  <c r="AB82" i="19"/>
  <c r="AB75" i="19"/>
  <c r="T29" i="19"/>
  <c r="AB54" i="19"/>
  <c r="B112" i="19"/>
  <c r="AB47" i="19"/>
  <c r="AB116" i="19"/>
  <c r="B91" i="19"/>
  <c r="AB89" i="19"/>
  <c r="T42" i="19"/>
  <c r="AB40" i="19"/>
  <c r="V219" i="14"/>
  <c r="AC257" i="13"/>
  <c r="CE366" i="6"/>
  <c r="AJ253" i="18"/>
  <c r="AJ254" i="18" s="1"/>
  <c r="AC232" i="31"/>
  <c r="AC235" i="31" s="1"/>
  <c r="CE369" i="6"/>
  <c r="M258" i="22"/>
  <c r="AE216" i="23"/>
  <c r="AB123" i="19" s="1"/>
  <c r="E219" i="14"/>
  <c r="V244" i="12"/>
  <c r="E217" i="23"/>
  <c r="AJ250" i="13"/>
  <c r="AJ251" i="13" s="1"/>
  <c r="AH253" i="18"/>
  <c r="AH254" i="18" s="1"/>
  <c r="AJ286" i="25"/>
  <c r="AJ287" i="25" s="1"/>
  <c r="AJ230" i="15"/>
  <c r="AJ231" i="15" s="1"/>
  <c r="AH286" i="25"/>
  <c r="AH287" i="25" s="1"/>
  <c r="AJ256" i="22"/>
  <c r="AJ257" i="22" s="1"/>
  <c r="AH256" i="22"/>
  <c r="AH257" i="22" s="1"/>
  <c r="V258" i="22"/>
  <c r="M219" i="14"/>
  <c r="M255" i="18"/>
  <c r="V255" i="18"/>
  <c r="N354" i="9"/>
  <c r="E244" i="12"/>
  <c r="AC260" i="18"/>
  <c r="AJ254" i="8"/>
  <c r="AJ255" i="8" s="1"/>
  <c r="AJ296" i="7"/>
  <c r="AJ297" i="7" s="1"/>
  <c r="M252" i="13"/>
  <c r="V256" i="8"/>
  <c r="V284" i="27"/>
  <c r="AC224" i="14"/>
  <c r="AH217" i="14"/>
  <c r="AH218" i="14" s="1"/>
  <c r="AJ217" i="14"/>
  <c r="AJ218" i="14" s="1"/>
  <c r="E232" i="15"/>
  <c r="AH140" i="23"/>
  <c r="V232" i="15"/>
  <c r="AE255" i="8"/>
  <c r="E288" i="25"/>
  <c r="AC237" i="15"/>
  <c r="M298" i="7"/>
  <c r="W354" i="9"/>
  <c r="M232" i="15"/>
  <c r="AD346" i="29"/>
  <c r="AC276" i="30"/>
  <c r="E255" i="18"/>
  <c r="AC293" i="25"/>
  <c r="E285" i="27"/>
  <c r="U292" i="10"/>
  <c r="AE251" i="13"/>
  <c r="E298" i="7"/>
  <c r="V298" i="7"/>
  <c r="V290" i="27"/>
  <c r="U259" i="24"/>
  <c r="E287" i="10"/>
  <c r="AC225" i="23"/>
  <c r="AC240" i="15"/>
  <c r="AC264" i="8"/>
  <c r="AC252" i="12"/>
  <c r="M288" i="25"/>
  <c r="AC260" i="13"/>
  <c r="AC266" i="22"/>
  <c r="AC263" i="18"/>
  <c r="AD362" i="9"/>
  <c r="AC227" i="14"/>
  <c r="AC296" i="25"/>
  <c r="AC306" i="7"/>
  <c r="U295" i="10"/>
  <c r="AC234" i="11"/>
  <c r="V288" i="25"/>
  <c r="E254" i="24"/>
  <c r="AA283" i="27"/>
  <c r="AA284" i="27" s="1"/>
  <c r="AJ140" i="23"/>
  <c r="AJ215" i="23"/>
  <c r="AJ216" i="23" s="1"/>
  <c r="U253" i="24"/>
  <c r="AE297" i="7"/>
  <c r="U286" i="10"/>
  <c r="AH168" i="13"/>
  <c r="AH250" i="13"/>
  <c r="AH251" i="13" s="1"/>
  <c r="AC82" i="24"/>
  <c r="Z172" i="24"/>
  <c r="Z252" i="24"/>
  <c r="Z253" i="24" s="1"/>
  <c r="X172" i="24"/>
  <c r="X252" i="24"/>
  <c r="AL104" i="9"/>
  <c r="AN104" i="9" s="1"/>
  <c r="AD366" i="44" l="1"/>
  <c r="AC229" i="43"/>
  <c r="U266" i="42"/>
  <c r="AD360" i="39"/>
  <c r="AC272" i="40"/>
  <c r="AL105" i="18"/>
  <c r="AM105" i="18" s="1"/>
  <c r="AL113" i="34"/>
  <c r="AM113" i="34" s="1"/>
  <c r="AL113" i="7"/>
  <c r="AM113" i="7" s="1"/>
  <c r="U288" i="10"/>
  <c r="M222" i="19"/>
  <c r="CE372" i="6"/>
  <c r="AC316" i="34"/>
  <c r="AC251" i="36"/>
  <c r="U287" i="10"/>
  <c r="CE373" i="6"/>
  <c r="AD342" i="29"/>
  <c r="AD349" i="29" s="1"/>
  <c r="AC272" i="30"/>
  <c r="AC279" i="30" s="1"/>
  <c r="AC259" i="18"/>
  <c r="AC266" i="18" s="1"/>
  <c r="AC223" i="14"/>
  <c r="AC230" i="14" s="1"/>
  <c r="AC292" i="25"/>
  <c r="AC299" i="25" s="1"/>
  <c r="AD358" i="9"/>
  <c r="U291" i="10"/>
  <c r="U298" i="10" s="1"/>
  <c r="AC248" i="12"/>
  <c r="AC260" i="8"/>
  <c r="AC267" i="8" s="1"/>
  <c r="U258" i="24"/>
  <c r="U265" i="24" s="1"/>
  <c r="AC221" i="23"/>
  <c r="AC228" i="23" s="1"/>
  <c r="AC302" i="7"/>
  <c r="AC309" i="7" s="1"/>
  <c r="AC256" i="13"/>
  <c r="AC263" i="13" s="1"/>
  <c r="AC236" i="31"/>
  <c r="AC230" i="11"/>
  <c r="AC237" i="11" s="1"/>
  <c r="AC262" i="22"/>
  <c r="AC269" i="22" s="1"/>
  <c r="V289" i="27"/>
  <c r="V296" i="27" s="1"/>
  <c r="AC236" i="15"/>
  <c r="AC243" i="15" s="1"/>
  <c r="V285" i="27"/>
  <c r="V286" i="27"/>
  <c r="X253" i="24"/>
  <c r="U254" i="24" s="1"/>
  <c r="U255" i="24"/>
  <c r="AC231" i="14" l="1"/>
  <c r="AC280" i="30"/>
  <c r="AC268" i="8"/>
  <c r="AC300" i="25"/>
  <c r="AC244" i="15"/>
  <c r="U299" i="10"/>
  <c r="V297" i="27"/>
  <c r="AC270" i="22"/>
  <c r="AD350" i="29"/>
  <c r="AC229" i="23"/>
  <c r="AC264" i="13"/>
  <c r="AC238" i="11"/>
  <c r="AC310" i="7"/>
  <c r="U266" i="24"/>
  <c r="AC267" i="18"/>
  <c r="M211" i="19"/>
  <c r="K35" i="9" l="1"/>
  <c r="K276" i="9" s="1"/>
  <c r="AF16" i="9"/>
  <c r="AF35" i="9" s="1"/>
  <c r="AF276" i="9" s="1"/>
  <c r="K277" i="9" l="1"/>
  <c r="AI16" i="9"/>
  <c r="AI35" i="9" s="1"/>
  <c r="AI276" i="9" s="1"/>
  <c r="AF277" i="9"/>
  <c r="AF352" i="9"/>
  <c r="AK16" i="9" l="1"/>
  <c r="AK35" i="9" s="1"/>
  <c r="K352" i="9"/>
  <c r="K353" i="9" s="1"/>
  <c r="E354" i="9" s="1"/>
  <c r="AI352" i="9"/>
  <c r="AI353" i="9" s="1"/>
  <c r="AN32" i="9"/>
  <c r="AD359" i="9"/>
  <c r="AD365" i="9" s="1"/>
  <c r="AF353" i="9"/>
  <c r="AD366" i="9" s="1"/>
  <c r="AK276" i="9" l="1"/>
  <c r="AK277" i="9" s="1"/>
  <c r="H26" i="19"/>
  <c r="AB26" i="19" s="1"/>
  <c r="E355" i="9"/>
  <c r="AI277" i="9"/>
  <c r="AK352" i="9" l="1"/>
  <c r="AK353" i="9" s="1"/>
  <c r="H27" i="19"/>
  <c r="B29" i="19" s="1"/>
  <c r="B28" i="19"/>
  <c r="M207" i="19"/>
  <c r="F82" i="37"/>
  <c r="F145" i="37"/>
  <c r="F146" i="37" s="1"/>
  <c r="AE76" i="37"/>
  <c r="AE82" i="37" s="1"/>
  <c r="AE145" i="37" s="1"/>
  <c r="AE219" i="37" s="1"/>
  <c r="AB27" i="19" l="1"/>
  <c r="AH76" i="37"/>
  <c r="AJ76" i="37" s="1"/>
  <c r="AJ82" i="37" s="1"/>
  <c r="AJ145" i="37" s="1"/>
  <c r="AJ219" i="37" s="1"/>
  <c r="AJ220" i="37" s="1"/>
  <c r="F219" i="37"/>
  <c r="AC226" i="37"/>
  <c r="AC232" i="37" s="1"/>
  <c r="AE220" i="37"/>
  <c r="AC233" i="37" s="1"/>
  <c r="AE146" i="37"/>
  <c r="F220" i="37" l="1"/>
  <c r="E221" i="37" s="1"/>
  <c r="C136" i="19"/>
  <c r="AH82" i="37"/>
  <c r="AM82" i="37" s="1"/>
  <c r="E222" i="37"/>
  <c r="AJ146" i="37"/>
  <c r="AH145" i="37"/>
  <c r="C137" i="19" l="1"/>
  <c r="AB137" i="19" s="1"/>
  <c r="B138" i="19"/>
  <c r="AB136" i="19"/>
  <c r="M206" i="19" s="1"/>
  <c r="C379" i="19"/>
  <c r="AB379" i="19" s="1"/>
  <c r="AB378" i="19"/>
  <c r="M215" i="19" s="1"/>
  <c r="AH146" i="37"/>
  <c r="AH219" i="37"/>
  <c r="AH220" i="37" s="1"/>
  <c r="AE180" i="12" l="1"/>
  <c r="AH180" i="12" s="1"/>
  <c r="Q232" i="12"/>
  <c r="Q242" i="12" s="1"/>
  <c r="O95" i="19" l="1"/>
  <c r="Q243" i="12"/>
  <c r="M244" i="12" s="1"/>
  <c r="M245" i="12"/>
  <c r="AH232" i="12"/>
  <c r="AJ180" i="12"/>
  <c r="AJ232" i="12" s="1"/>
  <c r="AE232" i="12"/>
  <c r="AE242" i="12" s="1"/>
  <c r="Q233" i="12"/>
  <c r="AE233" i="12" s="1"/>
  <c r="L172" i="19"/>
  <c r="AJ233" i="12" l="1"/>
  <c r="AJ242" i="12"/>
  <c r="AJ243" i="12" s="1"/>
  <c r="N172" i="19"/>
  <c r="N190" i="19" s="1"/>
  <c r="P171" i="19"/>
  <c r="L190" i="19"/>
  <c r="AH233" i="12"/>
  <c r="AH242" i="12"/>
  <c r="AH243" i="12" s="1"/>
  <c r="O96" i="19"/>
  <c r="AB95" i="19"/>
  <c r="K97" i="19"/>
  <c r="AC249" i="12"/>
  <c r="AC255" i="12" s="1"/>
  <c r="AE243" i="12"/>
  <c r="AC256" i="12" s="1"/>
  <c r="AB96" i="19" l="1"/>
  <c r="Y129" i="19" s="1"/>
  <c r="K98" i="19"/>
  <c r="N191" i="19"/>
  <c r="Y190" i="19"/>
  <c r="Z191" i="19" s="1"/>
  <c r="Z192" i="19" s="1"/>
  <c r="N150" i="19" s="1"/>
  <c r="N151" i="19" s="1"/>
  <c r="N153" i="19" s="1"/>
  <c r="N192" i="19"/>
  <c r="M150" i="19"/>
  <c r="Y128" i="19"/>
  <c r="M204" i="19"/>
  <c r="P169" i="19" l="1"/>
  <c r="P173" i="19" s="1"/>
  <c r="M151" i="19"/>
  <c r="K399" i="19" l="1"/>
  <c r="K400" i="19" s="1"/>
  <c r="AB397" i="19" l="1"/>
  <c r="M214" i="19" s="1"/>
  <c r="N218" i="19" s="1"/>
  <c r="O218" i="19" s="1"/>
  <c r="O220" i="19" s="1"/>
</calcChain>
</file>

<file path=xl/comments1.xml><?xml version="1.0" encoding="utf-8"?>
<comments xmlns="http://schemas.openxmlformats.org/spreadsheetml/2006/main">
  <authors>
    <author>mypc</author>
    <author>Dell</author>
    <author>Windowspc</author>
  </authors>
  <commentList>
    <comment ref="Y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5003</t>
        </r>
      </text>
    </comment>
    <comment ref="AD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5003</t>
        </r>
      </text>
    </comment>
    <comment ref="BF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Q5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S. BLACK</t>
        </r>
      </text>
    </comment>
    <comment ref="BF18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 2 BUNDLE</t>
        </r>
      </text>
    </comment>
    <comment ref="AR25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AY252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S.B</t>
        </r>
      </text>
    </comment>
    <comment ref="BF25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U25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P. GREEN</t>
        </r>
      </text>
    </comment>
    <comment ref="AY26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 BLACK</t>
        </r>
      </text>
    </comment>
    <comment ref="BU26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PAR GREEN</t>
        </r>
      </text>
    </comment>
    <comment ref="BF26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F27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Q27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S .B</t>
        </r>
      </text>
    </comment>
    <comment ref="BF27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Q28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S.B</t>
        </r>
      </text>
    </comment>
    <comment ref="BU283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p. green</t>
        </r>
      </text>
    </comment>
    <comment ref="BQ28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LUCKNOW</t>
        </r>
      </text>
    </comment>
    <comment ref="BB29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BLACK 6003</t>
        </r>
      </text>
    </comment>
    <comment ref="BF291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 H SARE</t>
        </r>
      </text>
    </comment>
    <comment ref="BB293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93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S.B</t>
        </r>
      </text>
    </comment>
    <comment ref="BF294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F296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F29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Q30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S.B</t>
        </r>
      </text>
    </comment>
    <comment ref="BV30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F335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BF336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2.xml><?xml version="1.0" encoding="utf-8"?>
<comments xmlns="http://schemas.openxmlformats.org/spreadsheetml/2006/main">
  <authors>
    <author>Windowspc</author>
  </authors>
  <commentList>
    <comment ref="I182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I188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I190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3.xml><?xml version="1.0" encoding="utf-8"?>
<comments xmlns="http://schemas.openxmlformats.org/spreadsheetml/2006/main">
  <authors>
    <author>Windowspc</author>
    <author>mypc</author>
    <author>dellpc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brown mix</t>
        </r>
      </text>
    </comment>
    <comment ref="P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=26*16  gold</t>
        </r>
      </text>
    </comment>
    <comment ref="P72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P117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P118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P221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P225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I228" authorId="2" shapeId="0">
      <text>
        <r>
          <rPr>
            <b/>
            <sz val="9"/>
            <color indexed="81"/>
            <rFont val="Tahoma"/>
            <charset val="1"/>
          </rPr>
          <t>dellpc:</t>
        </r>
        <r>
          <rPr>
            <sz val="9"/>
            <color indexed="81"/>
            <rFont val="Tahoma"/>
            <charset val="1"/>
          </rPr>
          <t xml:space="preserve">
BROWN MIX</t>
        </r>
      </text>
    </comment>
    <comment ref="K228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BROWN MIX</t>
        </r>
      </text>
    </comment>
    <comment ref="I236" authorId="2" shapeId="0">
      <text>
        <r>
          <rPr>
            <b/>
            <sz val="9"/>
            <color indexed="81"/>
            <rFont val="Tahoma"/>
            <family val="2"/>
          </rPr>
          <t>dellpc:</t>
        </r>
        <r>
          <rPr>
            <sz val="9"/>
            <color indexed="81"/>
            <rFont val="Tahoma"/>
            <family val="2"/>
          </rPr>
          <t xml:space="preserve">
BROWN MIX</t>
        </r>
      </text>
    </comment>
    <comment ref="I238" authorId="2" shapeId="0">
      <text>
        <r>
          <rPr>
            <b/>
            <sz val="9"/>
            <color indexed="81"/>
            <rFont val="Tahoma"/>
            <charset val="1"/>
          </rPr>
          <t>dellpc:</t>
        </r>
        <r>
          <rPr>
            <sz val="9"/>
            <color indexed="81"/>
            <rFont val="Tahoma"/>
            <charset val="1"/>
          </rPr>
          <t xml:space="preserve">
BROWN MIX</t>
        </r>
      </text>
    </comment>
    <comment ref="H250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BROWN MIX</t>
        </r>
      </text>
    </comment>
    <comment ref="P254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4.xml><?xml version="1.0" encoding="utf-8"?>
<comments xmlns="http://schemas.openxmlformats.org/spreadsheetml/2006/main">
  <authors>
    <author>mypc</author>
  </authors>
  <commentList>
    <comment ref="P4" authorId="0" shapeId="0">
      <text>
        <r>
          <rPr>
            <b/>
            <sz val="9"/>
            <color indexed="81"/>
            <rFont val="Tahoma"/>
            <family val="2"/>
          </rPr>
          <t>T WOOD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T.W</t>
        </r>
      </text>
    </comment>
    <comment ref="P6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TW</t>
        </r>
      </text>
    </comment>
    <comment ref="O71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D. GREEN</t>
        </r>
      </text>
    </comment>
    <comment ref="O72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GREEN</t>
        </r>
      </text>
    </comment>
  </commentList>
</comments>
</file>

<file path=xl/comments5.xml><?xml version="1.0" encoding="utf-8"?>
<comments xmlns="http://schemas.openxmlformats.org/spreadsheetml/2006/main">
  <authors>
    <author>mypc</author>
  </authors>
  <commentList>
    <comment ref="K17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blue</t>
        </r>
      </text>
    </comment>
    <comment ref="T191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YELLOW</t>
        </r>
      </text>
    </comment>
  </commentList>
</comments>
</file>

<file path=xl/comments6.xml><?xml version="1.0" encoding="utf-8"?>
<comments xmlns="http://schemas.openxmlformats.org/spreadsheetml/2006/main">
  <authors>
    <author>Windowspc</author>
    <author>mypc</author>
  </authors>
  <commentList>
    <comment ref="Q4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4001
</t>
        </r>
      </text>
    </comment>
    <comment ref="N96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 G</t>
        </r>
      </text>
    </comment>
    <comment ref="T96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4001</t>
        </r>
      </text>
    </comment>
    <comment ref="N97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N14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 G</t>
        </r>
      </text>
    </comment>
    <comment ref="T14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4001</t>
        </r>
      </text>
    </comment>
    <comment ref="N145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N149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 BLACK</t>
        </r>
      </text>
    </comment>
    <comment ref="AB149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 BLACK</t>
        </r>
      </text>
    </comment>
    <comment ref="F166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YELLOW</t>
        </r>
      </text>
    </comment>
    <comment ref="N208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4001 B.G</t>
        </r>
      </text>
    </comment>
    <comment ref="AB217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T218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T.W</t>
        </r>
      </text>
    </comment>
    <comment ref="AB220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H222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YELLOW</t>
        </r>
      </text>
    </comment>
    <comment ref="T222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T.W 4001</t>
        </r>
      </text>
    </comment>
    <comment ref="I22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BLUE</t>
        </r>
      </text>
    </comment>
    <comment ref="AB230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G.B</t>
        </r>
      </text>
    </comment>
    <comment ref="H232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PINK</t>
        </r>
      </text>
    </comment>
    <comment ref="H23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T240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4001</t>
        </r>
      </text>
    </comment>
    <comment ref="N241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G24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YELLOW</t>
        </r>
      </text>
    </comment>
    <comment ref="N254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B.G</t>
        </r>
      </text>
    </comment>
  </commentList>
</comments>
</file>

<file path=xl/comments7.xml><?xml version="1.0" encoding="utf-8"?>
<comments xmlns="http://schemas.openxmlformats.org/spreadsheetml/2006/main">
  <authors>
    <author>mypc</author>
    <author>DELL</author>
  </authors>
  <commentList>
    <comment ref="U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403</t>
        </r>
      </text>
    </comment>
    <comment ref="U1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403</t>
        </r>
      </text>
    </comment>
    <comment ref="J10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402 Yrllow
</t>
        </r>
      </text>
    </comment>
    <comment ref="N26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Yellow</t>
        </r>
      </text>
    </comment>
    <comment ref="O26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BLUE</t>
        </r>
      </text>
    </comment>
    <comment ref="U26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401</t>
        </r>
      </text>
    </comment>
  </commentList>
</comments>
</file>

<file path=xl/comments8.xml><?xml version="1.0" encoding="utf-8"?>
<comments xmlns="http://schemas.openxmlformats.org/spreadsheetml/2006/main">
  <authors>
    <author>mypc</author>
    <author>DELL</author>
    <author>Windowspc</author>
    <author>dellpc</author>
  </authors>
  <commentList>
    <comment ref="J4" authorId="0" shapeId="0">
      <text>
        <r>
          <rPr>
            <b/>
            <sz val="9"/>
            <color indexed="81"/>
            <rFont val="Tahoma"/>
            <family val="2"/>
          </rPr>
          <t>mypc:
WHITE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 GOLD</t>
        </r>
      </text>
    </comment>
    <comment ref="O10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201</t>
        </r>
      </text>
    </comment>
    <comment ref="R11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11 BUNDLE 201 GOLD</t>
        </r>
      </text>
    </comment>
    <comment ref="O11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201</t>
        </r>
      </text>
    </comment>
    <comment ref="R11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201</t>
        </r>
      </text>
    </comment>
    <comment ref="R14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D15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2012nd</t>
        </r>
      </text>
    </comment>
    <comment ref="J219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21" authorId="3" shapeId="0">
      <text>
        <r>
          <rPr>
            <b/>
            <sz val="9"/>
            <color indexed="81"/>
            <rFont val="Tahoma"/>
            <charset val="1"/>
          </rPr>
          <t>dellpc:</t>
        </r>
        <r>
          <rPr>
            <sz val="9"/>
            <color indexed="81"/>
            <rFont val="Tahoma"/>
            <charset val="1"/>
          </rPr>
          <t xml:space="preserve">
WHITE</t>
        </r>
      </text>
    </comment>
    <comment ref="J232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33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34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 </t>
        </r>
      </text>
    </comment>
    <comment ref="J235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38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39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41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4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4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47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5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52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5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63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  <comment ref="J267" authorId="2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WHITE</t>
        </r>
      </text>
    </comment>
  </commentList>
</comments>
</file>

<file path=xl/comments9.xml><?xml version="1.0" encoding="utf-8"?>
<comments xmlns="http://schemas.openxmlformats.org/spreadsheetml/2006/main">
  <authors>
    <author>Dell</author>
  </authors>
  <commentList>
    <comment ref="T28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103R WOOD</t>
        </r>
      </text>
    </comment>
  </commentList>
</comments>
</file>

<file path=xl/comments10.xml><?xml version="1.0" encoding="utf-8"?>
<comments xmlns="http://schemas.openxmlformats.org/spreadsheetml/2006/main">
  <authors>
    <author>mypc</author>
  </authors>
  <commentList>
    <comment ref="S15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P. GREEN</t>
        </r>
      </text>
    </comment>
  </commentList>
</comments>
</file>

<file path=xl/comments11.xml><?xml version="1.0" encoding="utf-8"?>
<comments xmlns="http://schemas.openxmlformats.org/spreadsheetml/2006/main">
  <authors>
    <author>mypc</author>
    <author>Windowspc</author>
  </authors>
  <commentList>
    <comment ref="O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  GOLD</t>
        </r>
      </text>
    </comment>
    <comment ref="W126" authorId="1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J185" authorId="1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501</t>
        </r>
      </text>
    </comment>
    <comment ref="R185" authorId="1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501</t>
        </r>
      </text>
    </comment>
    <comment ref="O19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12.xml><?xml version="1.0" encoding="utf-8"?>
<comments xmlns="http://schemas.openxmlformats.org/spreadsheetml/2006/main">
  <authors>
    <author>Windowspc</author>
    <author>mypc</author>
  </authors>
  <commentList>
    <comment ref="AA70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BROWN RED MIX</t>
        </r>
      </text>
    </comment>
    <comment ref="AF105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NEW MODEL TRAIL</t>
        </r>
      </text>
    </comment>
    <comment ref="AF119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NEW MODEL TRAIL</t>
        </r>
      </text>
    </comment>
    <comment ref="AA166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RED WHITE MIX</t>
        </r>
      </text>
    </comment>
    <comment ref="AA167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RED WHITE  MIX</t>
        </r>
      </text>
    </comment>
    <comment ref="AA176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RED MIX</t>
        </r>
      </text>
    </comment>
    <comment ref="AA179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RED MIX</t>
        </r>
      </text>
    </comment>
    <comment ref="AA186" authorId="0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RED MIX</t>
        </r>
      </text>
    </comment>
    <comment ref="R191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RED WHITE MIX</t>
        </r>
      </text>
    </comment>
  </commentList>
</comments>
</file>

<file path=xl/comments13.xml><?xml version="1.0" encoding="utf-8"?>
<comments xmlns="http://schemas.openxmlformats.org/spreadsheetml/2006/main">
  <authors>
    <author>Dell</author>
  </authors>
  <commentList>
    <comment ref="I16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WHITE</t>
        </r>
      </text>
    </comment>
  </commentList>
</comments>
</file>

<file path=xl/comments14.xml><?xml version="1.0" encoding="utf-8"?>
<comments xmlns="http://schemas.openxmlformats.org/spreadsheetml/2006/main">
  <authors>
    <author>mypc</author>
    <author>Windowspc</author>
  </authors>
  <commentList>
    <comment ref="Y17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BROWN</t>
        </r>
      </text>
    </comment>
    <comment ref="J178" authorId="1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B.G</t>
        </r>
      </text>
    </comment>
  </commentList>
</comments>
</file>

<file path=xl/comments15.xml><?xml version="1.0" encoding="utf-8"?>
<comments xmlns="http://schemas.openxmlformats.org/spreadsheetml/2006/main">
  <authors>
    <author>dellpc</author>
    <author>Windowspc</author>
  </authors>
  <commentList>
    <comment ref="J178" authorId="0" shapeId="0">
      <text>
        <r>
          <rPr>
            <b/>
            <sz val="9"/>
            <color indexed="81"/>
            <rFont val="Tahoma"/>
            <charset val="1"/>
          </rPr>
          <t>dellpc:</t>
        </r>
        <r>
          <rPr>
            <sz val="9"/>
            <color indexed="81"/>
            <rFont val="Tahoma"/>
            <charset val="1"/>
          </rPr>
          <t xml:space="preserve">
GOLD</t>
        </r>
      </text>
    </comment>
    <comment ref="J185" authorId="1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16.xml><?xml version="1.0" encoding="utf-8"?>
<comments xmlns="http://schemas.openxmlformats.org/spreadsheetml/2006/main">
  <authors>
    <author>mypc</author>
    <author>Windowspc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p. green</t>
        </r>
      </text>
    </comment>
    <comment ref="Z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 g </t>
        </r>
      </text>
    </comment>
    <comment ref="P16" authorId="1" shapeId="0">
      <text>
        <r>
          <rPr>
            <b/>
            <sz val="9"/>
            <color indexed="81"/>
            <rFont val="Tahoma"/>
            <family val="2"/>
          </rPr>
          <t>Windowspc:</t>
        </r>
        <r>
          <rPr>
            <sz val="9"/>
            <color indexed="81"/>
            <rFont val="Tahoma"/>
            <family val="2"/>
          </rPr>
          <t xml:space="preserve">
S.B 2</t>
        </r>
      </text>
    </comment>
    <comment ref="Z10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B.G</t>
        </r>
      </text>
    </comment>
    <comment ref="Z10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8 GOLD</t>
        </r>
      </text>
    </comment>
    <comment ref="Z10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Z11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Z11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BG</t>
        </r>
      </text>
    </comment>
    <comment ref="Z11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 B</t>
        </r>
      </text>
    </comment>
    <comment ref="Z312" authorId="0" shapeId="0">
      <text>
        <r>
          <rPr>
            <b/>
            <sz val="9"/>
            <color indexed="81"/>
            <rFont val="Tahoma"/>
            <family val="2"/>
          </rPr>
          <t>GOLD</t>
        </r>
      </text>
    </comment>
    <comment ref="Z313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Z316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A31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21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Z322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Z32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17.xml><?xml version="1.0" encoding="utf-8"?>
<comments xmlns="http://schemas.openxmlformats.org/spreadsheetml/2006/main">
  <authors>
    <author>mypc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GOLD</t>
        </r>
      </text>
    </comment>
  </commentList>
</comments>
</file>

<file path=xl/comments18.xml><?xml version="1.0" encoding="utf-8"?>
<comments xmlns="http://schemas.openxmlformats.org/spreadsheetml/2006/main">
  <authors>
    <author>Dell</author>
    <author>mypc</author>
  </authors>
  <commentList>
    <comment ref="T28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103R WOOD</t>
        </r>
      </text>
    </comment>
    <comment ref="F296" authorId="1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p. green</t>
        </r>
      </text>
    </comment>
  </commentList>
</comments>
</file>

<file path=xl/comments19.xml><?xml version="1.0" encoding="utf-8"?>
<comments xmlns="http://schemas.openxmlformats.org/spreadsheetml/2006/main">
  <authors>
    <author>mypc</author>
  </authors>
  <commentList>
    <comment ref="AA7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BLUE+WHITE</t>
        </r>
      </text>
    </comment>
  </commentList>
</comments>
</file>

<file path=xl/comments20.xml><?xml version="1.0" encoding="utf-8"?>
<comments xmlns="http://schemas.openxmlformats.org/spreadsheetml/2006/main">
  <authors>
    <author>mypc</author>
  </authors>
  <commentList>
    <comment ref="AA7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BLUE+WHITE</t>
        </r>
      </text>
    </comment>
  </commentList>
</comments>
</file>

<file path=xl/comments21.xml><?xml version="1.0" encoding="utf-8"?>
<comments xmlns="http://schemas.openxmlformats.org/spreadsheetml/2006/main">
  <authors>
    <author>mypc</author>
  </authors>
  <commentList>
    <comment ref="O117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TW</t>
        </r>
      </text>
    </comment>
    <comment ref="O11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TW</t>
        </r>
      </text>
    </comment>
    <comment ref="O11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TW</t>
        </r>
      </text>
    </comment>
    <comment ref="O128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TW</t>
        </r>
      </text>
    </comment>
    <comment ref="O130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T.W</t>
        </r>
      </text>
    </comment>
  </commentList>
</comments>
</file>

<file path=xl/comments22.xml><?xml version="1.0" encoding="utf-8"?>
<comments xmlns="http://schemas.openxmlformats.org/spreadsheetml/2006/main">
  <authors>
    <author>mypc</author>
    <author>Dell</author>
  </authors>
  <commentList>
    <comment ref="R8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T.W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S.B</t>
        </r>
      </text>
    </comment>
    <comment ref="AA15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B. Silver</t>
        </r>
      </text>
    </comment>
    <comment ref="AA16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B. Silver</t>
        </r>
      </text>
    </comment>
    <comment ref="R175" authorId="0" shapeId="0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T W</t>
        </r>
      </text>
    </comment>
  </commentList>
</comments>
</file>

<file path=xl/comments23.xml><?xml version="1.0" encoding="utf-8"?>
<comments xmlns="http://schemas.openxmlformats.org/spreadsheetml/2006/main">
  <authors>
    <author>Dell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green</t>
        </r>
      </text>
    </comment>
  </commentList>
</comments>
</file>

<file path=xl/sharedStrings.xml><?xml version="1.0" encoding="utf-8"?>
<sst xmlns="http://schemas.openxmlformats.org/spreadsheetml/2006/main" count="18235" uniqueCount="690">
  <si>
    <t>M-1</t>
  </si>
  <si>
    <t>Fresh Piece</t>
  </si>
  <si>
    <t>Colour Mix Piece</t>
  </si>
  <si>
    <t>Rejection Piece</t>
  </si>
  <si>
    <t xml:space="preserve"> </t>
  </si>
  <si>
    <t>DATE</t>
  </si>
  <si>
    <t>SHIFT</t>
  </si>
  <si>
    <t>TOTAL PIECE</t>
  </si>
  <si>
    <t>Big Chair</t>
  </si>
  <si>
    <t>Big Maharaja</t>
  </si>
  <si>
    <t>XUV</t>
  </si>
  <si>
    <t>Chota Heritage</t>
  </si>
  <si>
    <t>Activa</t>
  </si>
  <si>
    <t>Innova</t>
  </si>
  <si>
    <t>Stool</t>
  </si>
  <si>
    <t>Baby Chair</t>
  </si>
  <si>
    <t>Fridge Stand</t>
  </si>
  <si>
    <t>Jordan Chair</t>
  </si>
  <si>
    <t>Heritage</t>
  </si>
  <si>
    <t>J.New</t>
  </si>
  <si>
    <t>Fruit Crate</t>
  </si>
  <si>
    <t>ALess</t>
  </si>
  <si>
    <t>C.Table</t>
  </si>
  <si>
    <t>Table</t>
  </si>
  <si>
    <t>Garden Table</t>
  </si>
  <si>
    <t>Small Chair/Aless/CH</t>
  </si>
  <si>
    <t>Table/T.New</t>
  </si>
  <si>
    <t>Net Fresh Piece</t>
  </si>
  <si>
    <t>Net Usable Prod.</t>
  </si>
  <si>
    <t>MODEL</t>
  </si>
  <si>
    <t>COLOR</t>
  </si>
  <si>
    <t>REMARKS</t>
  </si>
  <si>
    <t>Day</t>
  </si>
  <si>
    <t>N/A</t>
  </si>
  <si>
    <t>Night</t>
  </si>
  <si>
    <t>TOTAL:-</t>
  </si>
  <si>
    <t>M-2</t>
  </si>
  <si>
    <t xml:space="preserve">D.Table </t>
  </si>
  <si>
    <t>D.Leg.Can.</t>
  </si>
  <si>
    <t>Aless</t>
  </si>
  <si>
    <t>Big Chair/Mj/Heritage/Act</t>
  </si>
  <si>
    <t>OK</t>
  </si>
  <si>
    <t>Total Pro.</t>
  </si>
  <si>
    <t>M-3</t>
  </si>
  <si>
    <t>Sumo</t>
  </si>
  <si>
    <t>Inv</t>
  </si>
  <si>
    <t xml:space="preserve">J.New </t>
  </si>
  <si>
    <t>D.Table Top</t>
  </si>
  <si>
    <t>C. Table</t>
  </si>
  <si>
    <t>D.T</t>
  </si>
  <si>
    <t>Big Chair/Mj/Heritage</t>
  </si>
  <si>
    <t>Jordan Chair/Aless/CH</t>
  </si>
  <si>
    <t>M-4</t>
  </si>
  <si>
    <t>Brown</t>
  </si>
  <si>
    <t>A</t>
  </si>
  <si>
    <t>M-5</t>
  </si>
  <si>
    <t>Jordan Chair/ Clip</t>
  </si>
  <si>
    <t>Finished Production of Big Chairs - Period on Dated</t>
  </si>
  <si>
    <t>2001(New)</t>
  </si>
  <si>
    <t>5001 (Maharaja)</t>
  </si>
  <si>
    <t>5002 (Maharaja) - Gold</t>
  </si>
  <si>
    <t>5003 (Flower)</t>
  </si>
  <si>
    <t>6001 (Goli)</t>
  </si>
  <si>
    <t>6002 (Chattai)</t>
  </si>
  <si>
    <t>6003 (Patti)</t>
  </si>
  <si>
    <t>2002(Gold)</t>
  </si>
  <si>
    <t xml:space="preserve">10001 New (Goli) </t>
  </si>
  <si>
    <t>Production M-1</t>
  </si>
  <si>
    <t>Name</t>
  </si>
  <si>
    <t>B.No.</t>
  </si>
  <si>
    <t>Date</t>
  </si>
  <si>
    <t>S-W</t>
  </si>
  <si>
    <t>C-W</t>
  </si>
  <si>
    <t>B.Silver</t>
  </si>
  <si>
    <t>KR</t>
  </si>
  <si>
    <t>M.Bz</t>
  </si>
  <si>
    <t>P.Silver</t>
  </si>
  <si>
    <t>R-W</t>
  </si>
  <si>
    <t>B-Silver</t>
  </si>
  <si>
    <t>BCM</t>
  </si>
  <si>
    <t>Mix</t>
  </si>
  <si>
    <t>Karara</t>
  </si>
  <si>
    <t>P-Silver</t>
  </si>
  <si>
    <t>Blue,5003</t>
  </si>
  <si>
    <t>5003, Orange</t>
  </si>
  <si>
    <t>P.Pink</t>
  </si>
  <si>
    <t>P.Green</t>
  </si>
  <si>
    <t>Red F</t>
  </si>
  <si>
    <t>S.Wood</t>
  </si>
  <si>
    <t>M.Pink</t>
  </si>
  <si>
    <t>P.White</t>
  </si>
  <si>
    <t>P.Yellow</t>
  </si>
  <si>
    <t>Orange</t>
  </si>
  <si>
    <t>S-Wood</t>
  </si>
  <si>
    <t>A.Gold</t>
  </si>
  <si>
    <t>Black</t>
  </si>
  <si>
    <t>White</t>
  </si>
  <si>
    <t>B.Gold</t>
  </si>
  <si>
    <t>B-Black</t>
  </si>
  <si>
    <t>T-Wood</t>
  </si>
  <si>
    <t>S-Black</t>
  </si>
  <si>
    <t>Red</t>
  </si>
  <si>
    <t xml:space="preserve">Mix </t>
  </si>
  <si>
    <t>2001OK</t>
  </si>
  <si>
    <t>Fresh</t>
  </si>
  <si>
    <t>C-Mix</t>
  </si>
  <si>
    <t>Total</t>
  </si>
  <si>
    <t>G.Rejn</t>
  </si>
  <si>
    <t>G.Total</t>
  </si>
  <si>
    <t xml:space="preserve">Opening Stock as on </t>
  </si>
  <si>
    <t>Production add M- 1</t>
  </si>
  <si>
    <t>Small</t>
  </si>
  <si>
    <t>Production</t>
  </si>
  <si>
    <r>
      <rPr>
        <b/>
        <i/>
        <sz val="14"/>
        <color rgb="FF7030A0"/>
        <rFont val="Arial"/>
        <family val="2"/>
      </rPr>
      <t xml:space="preserve">Production Machine - </t>
    </r>
    <r>
      <rPr>
        <b/>
        <i/>
        <sz val="16"/>
        <color rgb="FF7030A0"/>
        <rFont val="Arial"/>
        <family val="2"/>
      </rPr>
      <t>1</t>
    </r>
  </si>
  <si>
    <t>2001(Flower)</t>
  </si>
  <si>
    <t>5002 (Maharaja)</t>
  </si>
  <si>
    <t>10001 (Goli)/ Red 1001</t>
  </si>
  <si>
    <t>Production M-2</t>
  </si>
  <si>
    <t>Silver</t>
  </si>
  <si>
    <t>Pink</t>
  </si>
  <si>
    <t>Production add M- 2</t>
  </si>
  <si>
    <r>
      <rPr>
        <b/>
        <i/>
        <sz val="14"/>
        <color rgb="FF7030A0"/>
        <rFont val="Arial"/>
        <family val="2"/>
      </rPr>
      <t xml:space="preserve">Production Machine - </t>
    </r>
    <r>
      <rPr>
        <b/>
        <i/>
        <sz val="16"/>
        <color rgb="FF7030A0"/>
        <rFont val="Arial"/>
        <family val="2"/>
      </rPr>
      <t>2</t>
    </r>
  </si>
  <si>
    <t>Production M-3</t>
  </si>
  <si>
    <t>Blue</t>
  </si>
  <si>
    <t>Green</t>
  </si>
  <si>
    <t>Production add M- 3</t>
  </si>
  <si>
    <t>Production Machine - 3</t>
  </si>
  <si>
    <t>Production M-4</t>
  </si>
  <si>
    <t>Production add M- 4</t>
  </si>
  <si>
    <t>Production Machine - 4</t>
  </si>
  <si>
    <t>Production M-5</t>
  </si>
  <si>
    <t>Production add M- 5</t>
  </si>
  <si>
    <t>Production Machine - 5</t>
  </si>
  <si>
    <t>Sales - Return form Parties &amp; Others</t>
  </si>
  <si>
    <t>Return This Month</t>
  </si>
  <si>
    <t>Exchange agt Breakage</t>
  </si>
  <si>
    <t>T.Wood</t>
  </si>
  <si>
    <t>Exchange agt. Rejn.</t>
  </si>
  <si>
    <t>Exchange</t>
  </si>
  <si>
    <t>Exchange this month</t>
  </si>
  <si>
    <t>C-Mix Fresh agt. Breakage from Parties</t>
  </si>
  <si>
    <t>Breakager recd. Form parties</t>
  </si>
  <si>
    <t>Total Short fresh piece from breakage chair</t>
  </si>
  <si>
    <t>Adjustment Entries Passed</t>
  </si>
  <si>
    <t>Total Adjustment effect</t>
  </si>
  <si>
    <t>Total:-</t>
  </si>
  <si>
    <t>Boundles:-</t>
  </si>
  <si>
    <t>Separate detail of Sales,                                          Separate detail of Sales,                                   Separate detail of Sales</t>
  </si>
  <si>
    <t>Sales Detail</t>
  </si>
  <si>
    <t>Yellow</t>
  </si>
  <si>
    <t>N/C</t>
  </si>
  <si>
    <t>Total Piece:-</t>
  </si>
  <si>
    <r>
      <rPr>
        <b/>
        <sz val="14"/>
        <color rgb="FF000000"/>
        <rFont val="Arial"/>
        <family val="2"/>
      </rPr>
      <t>Boundles:-(20-</t>
    </r>
    <r>
      <rPr>
        <b/>
        <sz val="12"/>
        <color rgb="FF000000"/>
        <rFont val="Arial"/>
        <family val="2"/>
      </rPr>
      <t>Piece</t>
    </r>
    <r>
      <rPr>
        <b/>
        <sz val="14"/>
        <color rgb="FF000000"/>
        <rFont val="Arial"/>
        <family val="2"/>
      </rPr>
      <t>)</t>
    </r>
  </si>
  <si>
    <t>Over all impaction this month</t>
  </si>
  <si>
    <t>Stock Available of MB-Chairs</t>
  </si>
  <si>
    <t>Boundles:- (16 Piece)</t>
  </si>
  <si>
    <t>Total Boundles :-</t>
  </si>
  <si>
    <t>Grand Total of Chairs :-</t>
  </si>
  <si>
    <t>Total Big Chair</t>
  </si>
  <si>
    <t>Total Small Chair</t>
  </si>
  <si>
    <t>Total Mix-B-Chair</t>
  </si>
  <si>
    <t>Total Mix-S-Chair</t>
  </si>
  <si>
    <t>Total Table</t>
  </si>
  <si>
    <t>Total Mix Table</t>
  </si>
  <si>
    <t>Grand Total :-</t>
  </si>
  <si>
    <t>Bundle :-</t>
  </si>
  <si>
    <t xml:space="preserve">Finished Production of New Mould - Period on Dated </t>
  </si>
  <si>
    <t>4001 (Cushion)</t>
  </si>
  <si>
    <t>4002 (Y)</t>
  </si>
  <si>
    <t>4003 (Goli)</t>
  </si>
  <si>
    <t>Gold</t>
  </si>
  <si>
    <t>Sample</t>
  </si>
  <si>
    <t xml:space="preserve"> Fresh</t>
  </si>
  <si>
    <t>G.R.C.</t>
  </si>
  <si>
    <t>Total Pro</t>
  </si>
  <si>
    <t>Production Machine - 1</t>
  </si>
  <si>
    <r>
      <rPr>
        <b/>
        <sz val="11"/>
        <color rgb="FF0000FF"/>
        <rFont val="Arial"/>
        <family val="2"/>
      </rPr>
      <t>Production add M- 2</t>
    </r>
    <r>
      <rPr>
        <b/>
        <sz val="9"/>
        <color rgb="FF0000FF"/>
        <rFont val="Arial"/>
        <family val="2"/>
      </rPr>
      <t xml:space="preserve"> </t>
    </r>
  </si>
  <si>
    <t>Production Machine - 2</t>
  </si>
  <si>
    <t>Coloured</t>
  </si>
  <si>
    <t>Sales-Return from Parties &amp; Others</t>
  </si>
  <si>
    <t xml:space="preserve">C-Mix Recd from Parties </t>
  </si>
  <si>
    <t>Trf. Clr. Mix to Rejn. (Shortin C-M-Stock)</t>
  </si>
  <si>
    <t xml:space="preserve">Trf. Clr. Mix to Rejn. </t>
  </si>
  <si>
    <t>Diffrence as per reporting by Mishra Ji</t>
  </si>
  <si>
    <t xml:space="preserve">Accident Causing Adjustments </t>
  </si>
  <si>
    <t>Stock Available of MS-Chairs</t>
  </si>
  <si>
    <r>
      <rPr>
        <b/>
        <sz val="14"/>
        <color rgb="FF000000"/>
        <rFont val="Arial"/>
        <family val="2"/>
      </rPr>
      <t>Boundles:-(16-</t>
    </r>
    <r>
      <rPr>
        <b/>
        <sz val="12"/>
        <color rgb="FF000000"/>
        <rFont val="Arial"/>
        <family val="2"/>
      </rPr>
      <t>Piece</t>
    </r>
    <r>
      <rPr>
        <b/>
        <sz val="14"/>
        <color rgb="FF000000"/>
        <rFont val="Arial"/>
        <family val="2"/>
      </rPr>
      <t>)</t>
    </r>
  </si>
  <si>
    <t>Innova (3001)</t>
  </si>
  <si>
    <t>Innova (3002)</t>
  </si>
  <si>
    <t>Innova(3003)</t>
  </si>
  <si>
    <t>M.Beige</t>
  </si>
  <si>
    <t>Finished Production of Table - Period on Dated</t>
  </si>
  <si>
    <t>Sumo - 301</t>
  </si>
  <si>
    <t>P-Pink</t>
  </si>
  <si>
    <t>P-White</t>
  </si>
  <si>
    <t>Silver.B</t>
  </si>
  <si>
    <t>P. Silver</t>
  </si>
  <si>
    <t>Small Chair</t>
  </si>
  <si>
    <t>production add M-3</t>
  </si>
  <si>
    <t>Production add M-3</t>
  </si>
  <si>
    <t>Sales - Return from Parties &amp; TRF.</t>
  </si>
  <si>
    <t>Separate detail of Sales,              Separate detail of Sales,                     Separate detail of Sales</t>
  </si>
  <si>
    <t>Diff apr by Mishra Ji</t>
  </si>
  <si>
    <t>Stock Available of Tables</t>
  </si>
  <si>
    <t>8002 (Y)</t>
  </si>
  <si>
    <t>8001 (Pearl)</t>
  </si>
  <si>
    <t>S.Black</t>
  </si>
  <si>
    <t>B.Gold/Spl</t>
  </si>
  <si>
    <t>M.Beige F</t>
  </si>
  <si>
    <t xml:space="preserve">Finished Production of Fridge Stand - Period on Dated </t>
  </si>
  <si>
    <t>Stool 1</t>
  </si>
  <si>
    <t>Stool 2</t>
  </si>
  <si>
    <t>Jordan Chair Clip</t>
  </si>
  <si>
    <t>M.B</t>
  </si>
  <si>
    <t>M.Beize</t>
  </si>
  <si>
    <t>M.Beige Ist</t>
  </si>
  <si>
    <t>Production Machine -5</t>
  </si>
  <si>
    <t>7001 (Cushion)</t>
  </si>
  <si>
    <t>7002 (Y)</t>
  </si>
  <si>
    <t>7003 (Goli)</t>
  </si>
  <si>
    <t>C.W</t>
  </si>
  <si>
    <t>P Silver</t>
  </si>
  <si>
    <t>R.Wood</t>
  </si>
  <si>
    <t>Br-Black</t>
  </si>
  <si>
    <t xml:space="preserve">Finished Production of Arm Less - Period on Dated </t>
  </si>
  <si>
    <t>101(Chattai)</t>
  </si>
  <si>
    <t>102(Gold-P)</t>
  </si>
  <si>
    <t>103(Barfi)</t>
  </si>
  <si>
    <t>S. Black</t>
  </si>
  <si>
    <t xml:space="preserve">A.Gold </t>
  </si>
  <si>
    <t>Red 1</t>
  </si>
  <si>
    <t>A.Gold 1st</t>
  </si>
  <si>
    <t>Break recd from Mr. Nizamuddin</t>
  </si>
  <si>
    <t>Tea Table</t>
  </si>
  <si>
    <t xml:space="preserve">Finished Production of Small Chairs - Period on Dated </t>
  </si>
  <si>
    <t>9001(Patti Double)</t>
  </si>
  <si>
    <t>9002 (Goli)</t>
  </si>
  <si>
    <t>9003 (Plain)</t>
  </si>
  <si>
    <t>P.Orange</t>
  </si>
  <si>
    <t>A-Gold</t>
  </si>
  <si>
    <t>G.B/Br.Black</t>
  </si>
  <si>
    <t>1001 (Cushion)</t>
  </si>
  <si>
    <t>Baby Chair 201</t>
  </si>
  <si>
    <t>Baby Chair 2</t>
  </si>
  <si>
    <t>Baby Chair 3</t>
  </si>
  <si>
    <t>Red Ist</t>
  </si>
  <si>
    <t>Baby Chair 1</t>
  </si>
  <si>
    <t>Fridge Stand 1</t>
  </si>
  <si>
    <t xml:space="preserve">Coffee - Table </t>
  </si>
  <si>
    <t>Fridge Stand 3</t>
  </si>
  <si>
    <t>Red First</t>
  </si>
  <si>
    <t>White. F</t>
  </si>
  <si>
    <t>Cherry</t>
  </si>
  <si>
    <t>Fruit Crate (700)</t>
  </si>
  <si>
    <t>Blue &amp; Red( F )</t>
  </si>
  <si>
    <t>Grey</t>
  </si>
  <si>
    <t>B-Brown</t>
  </si>
  <si>
    <t>T-W</t>
  </si>
  <si>
    <t>Blue ( F )</t>
  </si>
  <si>
    <t>Production add M-2</t>
  </si>
  <si>
    <t>Silver-Black</t>
  </si>
  <si>
    <t>BLACK</t>
  </si>
  <si>
    <t>Break recd from Sardarji</t>
  </si>
  <si>
    <t>Fruit Crate  (500)</t>
  </si>
  <si>
    <t>Stock Available of Fruit Crates</t>
  </si>
  <si>
    <r>
      <rPr>
        <b/>
        <sz val="14"/>
        <color rgb="FF000000"/>
        <rFont val="Arial"/>
        <family val="2"/>
      </rPr>
      <t>Boundles:-(6-</t>
    </r>
    <r>
      <rPr>
        <b/>
        <sz val="12"/>
        <color rgb="FF000000"/>
        <rFont val="Arial"/>
        <family val="2"/>
      </rPr>
      <t>Piece</t>
    </r>
    <r>
      <rPr>
        <b/>
        <sz val="14"/>
        <color rgb="FF000000"/>
        <rFont val="Arial"/>
        <family val="2"/>
      </rPr>
      <t>)</t>
    </r>
  </si>
  <si>
    <t>Dining - Top Square</t>
  </si>
  <si>
    <t>Dining - Joint and Leg</t>
  </si>
  <si>
    <t xml:space="preserve">Dining Top - Round </t>
  </si>
  <si>
    <t>M.Beize F</t>
  </si>
  <si>
    <t xml:space="preserve">M.Beize </t>
  </si>
  <si>
    <t xml:space="preserve">Production add M- 1 </t>
  </si>
  <si>
    <t>R.wood</t>
  </si>
  <si>
    <t>10001(Goli)</t>
  </si>
  <si>
    <t>Heads</t>
  </si>
  <si>
    <t>5001(Karvin)&lt;Maharaja&gt;</t>
  </si>
  <si>
    <t>5002(Patti)&lt;Maharaja&gt; GOLD</t>
  </si>
  <si>
    <t>5003(Flower)&lt;Maharaja&gt;</t>
  </si>
  <si>
    <t>M-Beize</t>
  </si>
  <si>
    <t>Br.Black</t>
  </si>
  <si>
    <t>8002 (Chattai)</t>
  </si>
  <si>
    <t>8001 (Square) First</t>
  </si>
  <si>
    <t>Fruit Crate (500)</t>
  </si>
  <si>
    <t>Blue &amp; Red ( F )</t>
  </si>
  <si>
    <t xml:space="preserve">          </t>
  </si>
  <si>
    <t>Jordan (9001)</t>
  </si>
  <si>
    <t>Jordan (9002)</t>
  </si>
  <si>
    <t>Jordan (9003)</t>
  </si>
  <si>
    <t>Jordan New (1001)</t>
  </si>
  <si>
    <t>Jordan New (1002)</t>
  </si>
  <si>
    <t>Jordan New (1003)</t>
  </si>
  <si>
    <t>Coffee - Table</t>
  </si>
  <si>
    <t>Stool 1ST</t>
  </si>
  <si>
    <t>Stool 2ND</t>
  </si>
  <si>
    <t>Jordan Clip</t>
  </si>
  <si>
    <t>A.gold</t>
  </si>
  <si>
    <t>Baby Chair 1 (201)</t>
  </si>
  <si>
    <t>Baby Chair 2 (202)</t>
  </si>
  <si>
    <t xml:space="preserve"> Innova (3002)</t>
  </si>
  <si>
    <t xml:space="preserve"> Innova (3003)</t>
  </si>
  <si>
    <t>Dining Top Square</t>
  </si>
  <si>
    <t xml:space="preserve"> Dining Leg &amp; Joint</t>
  </si>
  <si>
    <t>Top Round</t>
  </si>
  <si>
    <t xml:space="preserve"> Tea Table</t>
  </si>
  <si>
    <t>P. Green</t>
  </si>
  <si>
    <t>Total Piece</t>
  </si>
  <si>
    <t>Total Bundle</t>
  </si>
  <si>
    <t xml:space="preserve"> Sumo 801</t>
  </si>
  <si>
    <t>Production this month - M*1</t>
  </si>
  <si>
    <t>Model</t>
  </si>
  <si>
    <t>Maharaja</t>
  </si>
  <si>
    <t>T-Pro.</t>
  </si>
  <si>
    <t>Sale</t>
  </si>
  <si>
    <t>Stock</t>
  </si>
  <si>
    <t>Sale this month</t>
  </si>
  <si>
    <t>Dining Top</t>
  </si>
  <si>
    <t>Jordan New</t>
  </si>
  <si>
    <t>Maharaja Chair</t>
  </si>
  <si>
    <t>Avg.</t>
  </si>
  <si>
    <t>Rejn.</t>
  </si>
  <si>
    <t>Last Prod.</t>
  </si>
  <si>
    <t>Pre Pro.</t>
  </si>
  <si>
    <r>
      <rPr>
        <b/>
        <sz val="14"/>
        <rFont val="AR ESSENCE"/>
        <charset val="134"/>
      </rPr>
      <t xml:space="preserve">Production this month - M </t>
    </r>
    <r>
      <rPr>
        <b/>
        <sz val="18"/>
        <rFont val="AR ESSENCE"/>
        <charset val="134"/>
      </rPr>
      <t>*</t>
    </r>
    <r>
      <rPr>
        <b/>
        <sz val="14"/>
        <rFont val="AR ESSENCE"/>
        <charset val="134"/>
      </rPr>
      <t xml:space="preserve"> 2</t>
    </r>
  </si>
  <si>
    <t>Total Sale</t>
  </si>
  <si>
    <t>S.Item</t>
  </si>
  <si>
    <t>A.L.Red</t>
  </si>
  <si>
    <t>Regular Chair</t>
  </si>
  <si>
    <t>Closing  Stock at the end of Mar, 2019</t>
  </si>
  <si>
    <t>Percentage of sale agt. Pro.</t>
  </si>
  <si>
    <t>Sales Return From Parties</t>
  </si>
  <si>
    <t xml:space="preserve">Found Fresh Piece in Rejection </t>
  </si>
  <si>
    <t>Sale Plus/Minus</t>
  </si>
  <si>
    <t>Exchange agt. Rejection</t>
  </si>
  <si>
    <t>D.Table</t>
  </si>
  <si>
    <t>Adjustment entry</t>
  </si>
  <si>
    <t>D.Leg, Cn.</t>
  </si>
  <si>
    <t>Sale This Month</t>
  </si>
  <si>
    <t>Balance Stock</t>
  </si>
  <si>
    <t>Current Balance of Finished Stock</t>
  </si>
  <si>
    <t>Production this month - M * 3</t>
  </si>
  <si>
    <t>Jordan Chair/Jordan Clip</t>
  </si>
  <si>
    <t>Jordan</t>
  </si>
  <si>
    <t xml:space="preserve">Jordan New </t>
  </si>
  <si>
    <t>Jordan Mix/ALess-Mix/Small Heritage Mix Jordan New</t>
  </si>
  <si>
    <r>
      <rPr>
        <b/>
        <i/>
        <sz val="11"/>
        <color rgb="FF0000FF"/>
        <rFont val="Calibri"/>
        <family val="2"/>
      </rPr>
      <t>Total Pr</t>
    </r>
    <r>
      <rPr>
        <b/>
        <i/>
        <sz val="8"/>
        <color rgb="FF0000FF"/>
        <rFont val="Calibri"/>
        <family val="2"/>
      </rPr>
      <t>od.</t>
    </r>
  </si>
  <si>
    <t>T.Last Pro.</t>
  </si>
  <si>
    <t>Grand Total of Piece</t>
  </si>
  <si>
    <t>B/R - S/R</t>
  </si>
  <si>
    <t>MB/MJ/Heritage</t>
  </si>
  <si>
    <t>PT</t>
  </si>
  <si>
    <t>G.Stock</t>
  </si>
  <si>
    <r>
      <t xml:space="preserve">Production this month - M </t>
    </r>
    <r>
      <rPr>
        <b/>
        <sz val="18"/>
        <rFont val="AR ESSENCE"/>
        <charset val="134"/>
      </rPr>
      <t>*</t>
    </r>
    <r>
      <rPr>
        <b/>
        <sz val="14"/>
        <rFont val="AR ESSENCE"/>
        <charset val="134"/>
      </rPr>
      <t xml:space="preserve"> 4</t>
    </r>
  </si>
  <si>
    <t>Production this month - M * 5</t>
  </si>
  <si>
    <t xml:space="preserve">Finished Production  - Period on Dated </t>
  </si>
  <si>
    <t>401(Flower)</t>
  </si>
  <si>
    <t>403(WIFI)</t>
  </si>
  <si>
    <t>402(Chattai)</t>
  </si>
  <si>
    <t>8003 ClipON</t>
  </si>
  <si>
    <t>Br.Blue</t>
  </si>
  <si>
    <t>Br.Orange</t>
  </si>
  <si>
    <t>Br.Green</t>
  </si>
  <si>
    <t>Br.Red</t>
  </si>
  <si>
    <t>8003 (Cushion)</t>
  </si>
  <si>
    <t>8003 (ClipOn)</t>
  </si>
  <si>
    <t>Black Red</t>
  </si>
  <si>
    <t>Black Green</t>
  </si>
  <si>
    <t>Black Blue</t>
  </si>
  <si>
    <t>Black Orange</t>
  </si>
  <si>
    <t>A.Gold Red/8003</t>
  </si>
  <si>
    <t>M.Beige Red</t>
  </si>
  <si>
    <t>PT-Mix/Jordan New/C.Table/Garden Table/Small Chair</t>
  </si>
  <si>
    <t>M.BZ</t>
  </si>
  <si>
    <t xml:space="preserve">T.Wood </t>
  </si>
  <si>
    <t>Singham</t>
  </si>
  <si>
    <t xml:space="preserve">Finished Production of SINGHAM - Period on Dated </t>
  </si>
  <si>
    <t xml:space="preserve">Production/Purchase this month </t>
  </si>
  <si>
    <t>D.Leg Cn</t>
  </si>
  <si>
    <t>D.Leg</t>
  </si>
  <si>
    <t>DT</t>
  </si>
  <si>
    <t>fs</t>
  </si>
  <si>
    <t>R,Wood</t>
  </si>
  <si>
    <t>Brown First</t>
  </si>
  <si>
    <t>Br.Gold</t>
  </si>
  <si>
    <t>M.P.Stool</t>
  </si>
  <si>
    <t xml:space="preserve">Finished Production of M.P.Stool - Period on Dated </t>
  </si>
  <si>
    <t>Fridge Stand/Stool</t>
  </si>
  <si>
    <t>PT-Mix/Sumo/D.Table/Garden Table/Small Chair/M.P.Stool</t>
  </si>
  <si>
    <t>M.P.Stool 1</t>
  </si>
  <si>
    <t>M-6</t>
  </si>
  <si>
    <t>Production this month - M * 6</t>
  </si>
  <si>
    <t>Blue F</t>
  </si>
  <si>
    <t>Blue First</t>
  </si>
  <si>
    <t>Production add M- 6</t>
  </si>
  <si>
    <t>Production M-6</t>
  </si>
  <si>
    <t xml:space="preserve">Yellow First </t>
  </si>
  <si>
    <t>Green First</t>
  </si>
  <si>
    <t>201new</t>
  </si>
  <si>
    <t>202new</t>
  </si>
  <si>
    <t>203new</t>
  </si>
  <si>
    <t xml:space="preserve">Red </t>
  </si>
  <si>
    <t>New Stool</t>
  </si>
  <si>
    <t>ALess-Mix/CH-Mix/Baby Chair Mix/Act -Mix/New Stool</t>
  </si>
  <si>
    <t>Baby Chair New</t>
  </si>
  <si>
    <t>Crate/Baby Chair/Fridge Stand/Stool Mix/C.Table/Baby Chair New</t>
  </si>
  <si>
    <t>Yodha</t>
  </si>
  <si>
    <t>Yoddha</t>
  </si>
  <si>
    <t>MB-Mix/Jordan Chair/Inv/XUV/Sumo/Yoddha</t>
  </si>
  <si>
    <t>P.Blue</t>
  </si>
  <si>
    <t>Baba Chair 1</t>
  </si>
  <si>
    <t>Baba Chair 601</t>
  </si>
  <si>
    <t>Baba Chair 602</t>
  </si>
  <si>
    <t>Baba Chair 603</t>
  </si>
  <si>
    <t>Yellow First</t>
  </si>
  <si>
    <t xml:space="preserve">Green First </t>
  </si>
  <si>
    <t>Karara First</t>
  </si>
  <si>
    <t>Production Machine - 6</t>
  </si>
  <si>
    <t>Orange First</t>
  </si>
  <si>
    <t>Baba Chair</t>
  </si>
  <si>
    <t>Crate Mix/Fridge Stand Mix/Stool Mix/M.PsTOOL/Baba Chair</t>
  </si>
  <si>
    <t>M.P.Stool 2</t>
  </si>
  <si>
    <t>T.Wood/M.B</t>
  </si>
  <si>
    <t>EV Chair</t>
  </si>
  <si>
    <t>MB/MJ-Mix/Inv/Act/Singham/EV Chair/New Stool</t>
  </si>
  <si>
    <t>EV.Chair</t>
  </si>
  <si>
    <t>EVChair</t>
  </si>
  <si>
    <t>Small Chair/Aless/CH/Act/J.D/SIGM/EV</t>
  </si>
  <si>
    <t>Production Machine -6</t>
  </si>
  <si>
    <t>E.V.Chair</t>
  </si>
  <si>
    <t>Baba Chair New</t>
  </si>
  <si>
    <t>Fridge Stand  2</t>
  </si>
  <si>
    <t>Actual</t>
  </si>
  <si>
    <t>EV .Chair</t>
  </si>
  <si>
    <t>Red Fist</t>
  </si>
  <si>
    <t>P.PinkWhite</t>
  </si>
  <si>
    <t>Fruit Crate/Yoddha</t>
  </si>
  <si>
    <t>Yoddha(501)</t>
  </si>
  <si>
    <t>Yoddha (502)</t>
  </si>
  <si>
    <t>Yoddha (503)</t>
  </si>
  <si>
    <t>Stool ClipOn</t>
  </si>
  <si>
    <t>Stool ClipON</t>
  </si>
  <si>
    <t>Stool CliopON</t>
  </si>
  <si>
    <t>Stoo ClipOn</t>
  </si>
  <si>
    <t>Br. CloN</t>
  </si>
  <si>
    <t>Sumo Baby Chair</t>
  </si>
  <si>
    <t>Pr.Green</t>
  </si>
  <si>
    <t>Fruit Crate/Stool/F.S</t>
  </si>
  <si>
    <t>P.Red</t>
  </si>
  <si>
    <t>F.Stand</t>
  </si>
  <si>
    <t>P.Green Sumo Baby</t>
  </si>
  <si>
    <t>M- 1</t>
  </si>
  <si>
    <t xml:space="preserve">Night </t>
  </si>
  <si>
    <t xml:space="preserve">Day </t>
  </si>
  <si>
    <t>Total -</t>
  </si>
  <si>
    <t>E.V/T.T</t>
  </si>
  <si>
    <t>Baba.B. chair</t>
  </si>
  <si>
    <t>ClipOn Stool</t>
  </si>
  <si>
    <t>G.Table</t>
  </si>
  <si>
    <t>D.Blue</t>
  </si>
  <si>
    <t xml:space="preserve"> Stool</t>
  </si>
  <si>
    <t>Yoddhaa</t>
  </si>
  <si>
    <t>.</t>
  </si>
  <si>
    <t>B.GLD/T.Wood</t>
  </si>
  <si>
    <t xml:space="preserve">Br/GoldBrown </t>
  </si>
  <si>
    <t>Br.g/Brown</t>
  </si>
  <si>
    <t>G.Black</t>
  </si>
  <si>
    <t>G-Black</t>
  </si>
  <si>
    <t>A.G</t>
  </si>
  <si>
    <t>T.Wod/Gold</t>
  </si>
  <si>
    <t>Black.Gold</t>
  </si>
  <si>
    <t>D.Green</t>
  </si>
  <si>
    <t>M.Bz First</t>
  </si>
  <si>
    <t>pushpanjli</t>
  </si>
  <si>
    <t>Pushpanjli</t>
  </si>
  <si>
    <t>Brown mix</t>
  </si>
  <si>
    <t>White mix</t>
  </si>
  <si>
    <t>PUSHPANJLI</t>
  </si>
  <si>
    <t>GOLD</t>
  </si>
  <si>
    <t>B - Silver</t>
  </si>
  <si>
    <t>S</t>
  </si>
  <si>
    <t>Red (1)</t>
  </si>
  <si>
    <t>P.Pink /White</t>
  </si>
  <si>
    <t>M.B.</t>
  </si>
  <si>
    <t>T.W</t>
  </si>
  <si>
    <t>P Green</t>
  </si>
  <si>
    <t>T.W.</t>
  </si>
  <si>
    <t>Silver black</t>
  </si>
  <si>
    <t>B Red</t>
  </si>
  <si>
    <t>B.Gold502</t>
  </si>
  <si>
    <t>red1</t>
  </si>
  <si>
    <t>P.Blue/D. Blue</t>
  </si>
  <si>
    <t>T.WOOD</t>
  </si>
  <si>
    <t>L.Blue</t>
  </si>
  <si>
    <t>High Cros</t>
  </si>
  <si>
    <t>Small Chair/Aless/CH/high cros</t>
  </si>
  <si>
    <t>601 (High Cros)</t>
  </si>
  <si>
    <t>s</t>
  </si>
  <si>
    <t xml:space="preserve">Gold </t>
  </si>
  <si>
    <t>BLUE</t>
  </si>
  <si>
    <t>Big / MJ/Heritage/XUV/Ev</t>
  </si>
  <si>
    <t>Brown mix2</t>
  </si>
  <si>
    <t xml:space="preserve"> D .Green First</t>
  </si>
  <si>
    <t>Chery</t>
  </si>
  <si>
    <t>B . Silver</t>
  </si>
  <si>
    <t>T . Wood</t>
  </si>
  <si>
    <t>B . Gold</t>
  </si>
  <si>
    <t>Orange 502</t>
  </si>
  <si>
    <t>Blue502</t>
  </si>
  <si>
    <t>M 3</t>
  </si>
  <si>
    <t>White MIX</t>
  </si>
  <si>
    <t>Blue 502</t>
  </si>
  <si>
    <t>WAB SAMPLEE</t>
  </si>
  <si>
    <t>Wab Chair</t>
  </si>
  <si>
    <t>Small Chair/Aless/CH/Act/Yodh/ Wab Char</t>
  </si>
  <si>
    <t xml:space="preserve">Brown </t>
  </si>
  <si>
    <t>A .G</t>
  </si>
  <si>
    <r>
      <t>Boundles:-(20-</t>
    </r>
    <r>
      <rPr>
        <b/>
        <sz val="12"/>
        <color rgb="FF000000"/>
        <rFont val="Arial"/>
        <family val="2"/>
      </rPr>
      <t>Piece</t>
    </r>
    <r>
      <rPr>
        <b/>
        <sz val="14"/>
        <color rgb="FF000000"/>
        <rFont val="Arial"/>
        <family val="2"/>
      </rPr>
      <t>)</t>
    </r>
  </si>
  <si>
    <r>
      <t>Boundles:-(6-</t>
    </r>
    <r>
      <rPr>
        <b/>
        <sz val="12"/>
        <color rgb="FF000000"/>
        <rFont val="Arial"/>
        <family val="2"/>
      </rPr>
      <t>Piece</t>
    </r>
    <r>
      <rPr>
        <b/>
        <sz val="14"/>
        <color rgb="FF000000"/>
        <rFont val="Arial"/>
        <family val="2"/>
      </rPr>
      <t>)</t>
    </r>
  </si>
  <si>
    <t>Wap Chair</t>
  </si>
  <si>
    <t>G . Black</t>
  </si>
  <si>
    <t>R.WOOD</t>
  </si>
  <si>
    <t>High Cross</t>
  </si>
  <si>
    <t>Gold 4001</t>
  </si>
  <si>
    <r>
      <t>Finished Production detail of Chairs &amp; Table period from</t>
    </r>
    <r>
      <rPr>
        <b/>
        <i/>
        <sz val="26"/>
        <color rgb="FF000000"/>
        <rFont val="AR CARTER"/>
        <charset val="134"/>
      </rPr>
      <t xml:space="preserve"> &lt;01*1*025&gt;  &lt;To&gt; &lt;31*1*025&gt;Morning</t>
    </r>
  </si>
  <si>
    <t>S.W</t>
  </si>
  <si>
    <t>S .B 2002</t>
  </si>
  <si>
    <t>S . BLACK</t>
  </si>
  <si>
    <t>R.W</t>
  </si>
  <si>
    <t>P. Green1</t>
  </si>
  <si>
    <t>S.B 4001</t>
  </si>
  <si>
    <t>M-7</t>
  </si>
  <si>
    <t>Production this month - M * 7</t>
  </si>
  <si>
    <t>SUMO</t>
  </si>
  <si>
    <t>BROWN</t>
  </si>
  <si>
    <t>G.B</t>
  </si>
  <si>
    <t>Production Machine - 7</t>
  </si>
  <si>
    <t>Production M-7</t>
  </si>
  <si>
    <t>Production add M- 7</t>
  </si>
  <si>
    <t>HIGH CROSS</t>
  </si>
  <si>
    <t>A .Gold</t>
  </si>
  <si>
    <t>S.B</t>
  </si>
  <si>
    <t>Jarden Chair</t>
  </si>
  <si>
    <t>S .Black</t>
  </si>
  <si>
    <t>P. BLUE</t>
  </si>
  <si>
    <t>S.Silver</t>
  </si>
  <si>
    <t>Web Chair</t>
  </si>
  <si>
    <t>White+red mix</t>
  </si>
  <si>
    <t>S.B First</t>
  </si>
  <si>
    <t>YELLOW</t>
  </si>
  <si>
    <t>B .Gold</t>
  </si>
  <si>
    <t>B.G</t>
  </si>
  <si>
    <t>Production Machine -7</t>
  </si>
  <si>
    <t>T.W 9002</t>
  </si>
  <si>
    <t xml:space="preserve">S.B </t>
  </si>
  <si>
    <t>RING TABLE</t>
  </si>
  <si>
    <t>Ring Table</t>
  </si>
  <si>
    <t>B.GLD</t>
  </si>
  <si>
    <t>GARDEN TABLE</t>
  </si>
  <si>
    <t>Gold 1</t>
  </si>
  <si>
    <t xml:space="preserve"> B .Silver</t>
  </si>
  <si>
    <t>S. Black 1</t>
  </si>
  <si>
    <t xml:space="preserve"> B .Gold</t>
  </si>
  <si>
    <t>blue</t>
  </si>
  <si>
    <t>INNOVA</t>
  </si>
  <si>
    <t>ARM LESS SUMO</t>
  </si>
  <si>
    <t>Aless SUMO</t>
  </si>
  <si>
    <t>CLIP ON Stool</t>
  </si>
  <si>
    <t>SMALL CHAIR</t>
  </si>
  <si>
    <t>M.P STOOL</t>
  </si>
  <si>
    <t>WEB CHAIR</t>
  </si>
  <si>
    <t>S. BLACK SECOND</t>
  </si>
  <si>
    <t>AL SUMO</t>
  </si>
  <si>
    <t>A L Sumo</t>
  </si>
  <si>
    <t>C TABLE</t>
  </si>
  <si>
    <t>high cross 601</t>
  </si>
  <si>
    <t>STOOL CLIPON</t>
  </si>
  <si>
    <t>B. GOLD</t>
  </si>
  <si>
    <t>Pink 4001</t>
  </si>
  <si>
    <t>S.B 2</t>
  </si>
  <si>
    <t>M.P Stool</t>
  </si>
  <si>
    <t>T.W 2002</t>
  </si>
  <si>
    <t>GREEN</t>
  </si>
  <si>
    <t>CLIPON STOOL</t>
  </si>
  <si>
    <t>B. Gold</t>
  </si>
  <si>
    <t>B .Silver</t>
  </si>
  <si>
    <t>SILVER</t>
  </si>
  <si>
    <t>M.B 1</t>
  </si>
  <si>
    <t>JIO TABLE</t>
  </si>
  <si>
    <t xml:space="preserve">JIO  - Top </t>
  </si>
  <si>
    <t>JIO - Joint and Leg</t>
  </si>
  <si>
    <t xml:space="preserve">JIO Top - Round </t>
  </si>
  <si>
    <t>JIO - Top Square</t>
  </si>
  <si>
    <t>JIO TOP JALI</t>
  </si>
  <si>
    <t>JIO LEG</t>
  </si>
  <si>
    <t>G.Gold</t>
  </si>
  <si>
    <t>S. BLACK 2</t>
  </si>
  <si>
    <t>B. Silver2</t>
  </si>
  <si>
    <t xml:space="preserve">EV </t>
  </si>
  <si>
    <t>jio top jali</t>
  </si>
  <si>
    <t xml:space="preserve">B. Gold </t>
  </si>
  <si>
    <t>Opening ( 1/4/25)</t>
  </si>
  <si>
    <t>JIO Top Square</t>
  </si>
  <si>
    <t xml:space="preserve"> JIO LEG  &amp; Joint</t>
  </si>
  <si>
    <t>JIO Top</t>
  </si>
  <si>
    <t>DINING Top</t>
  </si>
  <si>
    <t>Jio table</t>
  </si>
  <si>
    <t>RING Table</t>
  </si>
  <si>
    <t>ARL SUMO</t>
  </si>
  <si>
    <t>BABA Chair New</t>
  </si>
  <si>
    <t>BABA CHAIR</t>
  </si>
  <si>
    <t>FINAL</t>
  </si>
  <si>
    <t>A.G , BROWN</t>
  </si>
  <si>
    <t>T.W, G.B</t>
  </si>
  <si>
    <t>T.T</t>
  </si>
  <si>
    <t>BROWN , T.W</t>
  </si>
  <si>
    <t>C.T</t>
  </si>
  <si>
    <t>A.G, BROWN</t>
  </si>
  <si>
    <t>BROWN, A.G</t>
  </si>
  <si>
    <t>T.W , BROWN</t>
  </si>
  <si>
    <t>SALE - MAHMUDABAD</t>
  </si>
  <si>
    <t>SALE - BALRAMPUR</t>
  </si>
  <si>
    <t>SALE - DHANVAD</t>
  </si>
  <si>
    <t>SALE - BANARAS</t>
  </si>
  <si>
    <t>SALE - JABALPUR</t>
  </si>
  <si>
    <t>SALE - LUCKNOW</t>
  </si>
  <si>
    <t>SALE - SAHJAHANPUR</t>
  </si>
  <si>
    <t>SALE - RAMPUR</t>
  </si>
  <si>
    <t>SALE - RAMPUR DALA</t>
  </si>
  <si>
    <t>SALE - GORKHPUR</t>
  </si>
  <si>
    <t>SALE - JAGDISHPUR</t>
  </si>
  <si>
    <t>SALE - AKBARPUR</t>
  </si>
  <si>
    <t>SALE - DALJEET LUCKNOW</t>
  </si>
  <si>
    <t>SALE- DALTANGANJ</t>
  </si>
  <si>
    <t>SALE - BINDA BAZAR</t>
  </si>
  <si>
    <t>SALE - CHAPRA</t>
  </si>
  <si>
    <t>SALE - SITAPUR</t>
  </si>
  <si>
    <t>SALE - MIRZAPUR</t>
  </si>
  <si>
    <t>SALE - GWALIAR</t>
  </si>
  <si>
    <t>SALE - AZAMGARH</t>
  </si>
  <si>
    <t>14//4/26</t>
  </si>
  <si>
    <t>SALE - KANPUR</t>
  </si>
  <si>
    <t>BROWN , G.B</t>
  </si>
  <si>
    <t>R.W , S.B</t>
  </si>
  <si>
    <t>G.T</t>
  </si>
  <si>
    <t>SALE - DOODHI</t>
  </si>
  <si>
    <t>SALE - AGRA</t>
  </si>
  <si>
    <t>G.B , BROWN</t>
  </si>
  <si>
    <t>BROWN , A.G</t>
  </si>
  <si>
    <t>SALE - CHATARPUR</t>
  </si>
  <si>
    <t>18//26</t>
  </si>
  <si>
    <t>ORANGE</t>
  </si>
  <si>
    <t>G.B , T.W</t>
  </si>
  <si>
    <t>RED 1</t>
  </si>
  <si>
    <t xml:space="preserve">T.W  </t>
  </si>
  <si>
    <t>SALE - SAHARANPUR</t>
  </si>
  <si>
    <t>SALE - GAZIPUR</t>
  </si>
  <si>
    <t>SALE - SULTANPUR</t>
  </si>
  <si>
    <t>SALE - BASTI</t>
  </si>
  <si>
    <t>SALE - FAIZABAD</t>
  </si>
  <si>
    <t>SALE - LAKHISARAI</t>
  </si>
  <si>
    <t>SALE - ALLAHABAD</t>
  </si>
  <si>
    <t>SALE - INDORE</t>
  </si>
  <si>
    <t>SALE - BHOPAL</t>
  </si>
  <si>
    <t>A.G , T.W</t>
  </si>
  <si>
    <t xml:space="preserve"> T.W, A.G</t>
  </si>
  <si>
    <t>SALE - KORWA</t>
  </si>
  <si>
    <t>SALE - BALIA</t>
  </si>
  <si>
    <t>A.G , S.B</t>
  </si>
  <si>
    <t>RED 1 , BROWN</t>
  </si>
  <si>
    <t>SALE - RUDAULI</t>
  </si>
  <si>
    <t xml:space="preserve">T.W </t>
  </si>
  <si>
    <t>SALE - SATNA</t>
  </si>
  <si>
    <t>SALE - KHAGA</t>
  </si>
  <si>
    <t>SALE - ALIGARH</t>
  </si>
  <si>
    <t>SALE - SATANA</t>
  </si>
  <si>
    <t>SALE - AMROHA</t>
  </si>
  <si>
    <t>SALE - FARUKKHABAD</t>
  </si>
  <si>
    <t>SALE - JHANJHARPUR</t>
  </si>
  <si>
    <t>SALE - DALTANGANJ</t>
  </si>
  <si>
    <t>T.W , G.B</t>
  </si>
  <si>
    <t>SALE -SAJAHANPUR</t>
  </si>
  <si>
    <t>SALE - JAUNPUR</t>
  </si>
  <si>
    <t>S.B , R.W</t>
  </si>
  <si>
    <t>SALE - BADAU</t>
  </si>
  <si>
    <t>SALE - MADHUPURA</t>
  </si>
  <si>
    <t>SALE - BHAGALPUR</t>
  </si>
  <si>
    <t>SALE - LAKHIMPUR</t>
  </si>
  <si>
    <t>SALE - RANIGANJ</t>
  </si>
  <si>
    <t>SALE - BUXER</t>
  </si>
  <si>
    <t>A.G ,ORANGE</t>
  </si>
  <si>
    <t>SALE - PAHADPUR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</si>
</sst>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_(* #,##0_);_(* \(#,##0\);_(* &quot;-&quot;_);_(@_)"/>
    <numFmt numFmtId="165" formatCode="#,##0_ ;\-#,##0\ "/>
    <numFmt numFmtId="166" formatCode="d/m/yy;@"/>
    <numFmt numFmtId="167" formatCode="[$-409]d/mmm/yy;@"/>
    <numFmt numFmtId="168" formatCode="dd/mm/yy;@"/>
    <numFmt numFmtId="169" formatCode="_ * #,##0_ ;_ * \-#,##0_ ;_ * &quot;-&quot;??_ ;_ @_ "/>
    <numFmt numFmtId="170" formatCode="#,##0_ ;[Red]\-#,##0\ "/>
    <numFmt numFmtId="171" formatCode="dd\.mm\.yyyy;@"/>
    <numFmt numFmtId="172" formatCode="_(* #,##0_);_(* \(#,##0\);_(* &quot;-&quot;??_);_(@_)"/>
    <numFmt numFmtId="173" formatCode="[$-1010409]d\ mmmm\ yyyy;@"/>
    <numFmt numFmtId="174" formatCode="0_ ;\-0\ "/>
    <numFmt numFmtId="175" formatCode="[$-409]d/mmm/yyyy;@"/>
    <numFmt numFmtId="176" formatCode="dd/mm/yyyy;@"/>
    <numFmt numFmtId="177" formatCode="m/d/yyyy;@"/>
    <numFmt numFmtId="178" formatCode="_ * #,##0.0_ ;_ * \-#,##0.0_ ;_ * &quot;-&quot;??_ ;_ @_ "/>
  </numFmts>
  <fonts count="231">
    <font>
      <sz val="11"/>
      <name val="Calibri"/>
      <charset val="134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6"/>
      <color rgb="FF000000"/>
      <name val="AR CARTER"/>
      <charset val="134"/>
    </font>
    <font>
      <b/>
      <sz val="20"/>
      <color rgb="FF000000"/>
      <name val="Calibri"/>
      <family val="2"/>
    </font>
    <font>
      <b/>
      <sz val="24"/>
      <name val="Calibri"/>
      <family val="2"/>
    </font>
    <font>
      <b/>
      <sz val="11"/>
      <color rgb="FF000000"/>
      <name val="Calibri"/>
      <family val="2"/>
    </font>
    <font>
      <b/>
      <sz val="12"/>
      <color rgb="FF002060"/>
      <name val="Bookman Old Style"/>
      <family val="1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8"/>
      <name val="Calibri"/>
      <family val="2"/>
    </font>
    <font>
      <b/>
      <sz val="12"/>
      <name val="Bookman Old Style"/>
      <family val="1"/>
    </font>
    <font>
      <b/>
      <sz val="12"/>
      <color rgb="FFFF0000"/>
      <name val="Bookman Old Style"/>
      <family val="1"/>
    </font>
    <font>
      <b/>
      <sz val="12"/>
      <color rgb="FF000000"/>
      <name val="Bookman Old Style"/>
      <family val="1"/>
    </font>
    <font>
      <b/>
      <sz val="20"/>
      <name val="Calibri"/>
      <family val="2"/>
    </font>
    <font>
      <b/>
      <sz val="12"/>
      <color rgb="FF00B0F0"/>
      <name val="Bookman Old Style"/>
      <family val="1"/>
    </font>
    <font>
      <b/>
      <sz val="12"/>
      <color theme="1"/>
      <name val="Bookman Old Style"/>
      <family val="1"/>
    </font>
    <font>
      <b/>
      <sz val="11"/>
      <color rgb="FF002060"/>
      <name val="Calibri"/>
      <family val="2"/>
    </font>
    <font>
      <b/>
      <sz val="12"/>
      <color rgb="FF00B0F0"/>
      <name val="Arial"/>
      <family val="2"/>
    </font>
    <font>
      <b/>
      <sz val="12"/>
      <name val="Arial"/>
      <family val="2"/>
    </font>
    <font>
      <b/>
      <sz val="12"/>
      <color rgb="FF002060"/>
      <name val="Arial"/>
      <family val="2"/>
    </font>
    <font>
      <b/>
      <sz val="11"/>
      <name val="Bookman Old Style"/>
      <family val="1"/>
    </font>
    <font>
      <b/>
      <sz val="8"/>
      <name val="Bookman Old Style"/>
      <family val="1"/>
    </font>
    <font>
      <b/>
      <sz val="8"/>
      <color rgb="FF00B0F0"/>
      <name val="Bookman Old Style"/>
      <family val="1"/>
    </font>
    <font>
      <b/>
      <sz val="10"/>
      <color rgb="FF00B0F0"/>
      <name val="Bookman Old Style"/>
      <family val="1"/>
    </font>
    <font>
      <b/>
      <sz val="11"/>
      <color rgb="FF00B0F0"/>
      <name val="Bookman Old Style"/>
      <family val="1"/>
    </font>
    <font>
      <b/>
      <sz val="12"/>
      <color rgb="FF000000"/>
      <name val="Arial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i/>
      <sz val="26"/>
      <color rgb="FF000000"/>
      <name val="Calibri"/>
      <family val="2"/>
    </font>
    <font>
      <b/>
      <sz val="12"/>
      <color rgb="FF000000"/>
      <name val="Calibri"/>
      <family val="2"/>
    </font>
    <font>
      <b/>
      <sz val="18"/>
      <name val="Bookman Old Style"/>
      <family val="1"/>
    </font>
    <font>
      <b/>
      <sz val="20"/>
      <name val="Bookman Old Style"/>
      <family val="1"/>
    </font>
    <font>
      <b/>
      <i/>
      <sz val="22"/>
      <name val="Calibri"/>
      <family val="2"/>
    </font>
    <font>
      <b/>
      <i/>
      <sz val="14"/>
      <color rgb="FF000000"/>
      <name val="Calibri"/>
      <family val="2"/>
    </font>
    <font>
      <b/>
      <sz val="36"/>
      <name val="Calibri"/>
      <family val="2"/>
    </font>
    <font>
      <b/>
      <i/>
      <sz val="36"/>
      <name val="Calibri"/>
      <family val="2"/>
    </font>
    <font>
      <b/>
      <sz val="10"/>
      <name val="Bookman Old Style"/>
      <family val="1"/>
    </font>
    <font>
      <b/>
      <sz val="22"/>
      <color rgb="FF000000"/>
      <name val="Calibri"/>
      <family val="2"/>
    </font>
    <font>
      <b/>
      <sz val="10"/>
      <name val="Arial"/>
      <family val="2"/>
    </font>
    <font>
      <b/>
      <sz val="11"/>
      <color rgb="FF00B0F0"/>
      <name val="Arial"/>
      <family val="2"/>
    </font>
    <font>
      <b/>
      <i/>
      <u/>
      <sz val="10"/>
      <color rgb="FF000000"/>
      <name val="Calibri"/>
      <family val="2"/>
    </font>
    <font>
      <b/>
      <sz val="14"/>
      <name val="AR ESSENCE"/>
      <charset val="134"/>
    </font>
    <font>
      <b/>
      <sz val="16"/>
      <name val="Bookman Old Style"/>
      <family val="1"/>
    </font>
    <font>
      <b/>
      <sz val="12"/>
      <color rgb="FFFDE9D9"/>
      <name val="Bookman Old Style"/>
      <family val="1"/>
    </font>
    <font>
      <b/>
      <sz val="16"/>
      <name val="AR ESSENCE"/>
      <charset val="134"/>
    </font>
    <font>
      <b/>
      <u val="double"/>
      <sz val="18"/>
      <color rgb="FF0A0AD4"/>
      <name val="Calibri"/>
      <family val="2"/>
    </font>
    <font>
      <b/>
      <sz val="18"/>
      <color rgb="FF660033"/>
      <name val="Calibri"/>
      <family val="2"/>
    </font>
    <font>
      <b/>
      <i/>
      <u val="double"/>
      <sz val="18"/>
      <color rgb="FF660033"/>
      <name val="Calibri"/>
      <family val="2"/>
    </font>
    <font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i/>
      <sz val="11"/>
      <color rgb="FF0000FF"/>
      <name val="Calibri"/>
      <family val="2"/>
    </font>
    <font>
      <b/>
      <sz val="14"/>
      <color rgb="FF0000FF"/>
      <name val="Calibri"/>
      <family val="2"/>
    </font>
    <font>
      <b/>
      <sz val="22"/>
      <color rgb="FF0000FF"/>
      <name val="Calibri"/>
      <family val="2"/>
    </font>
    <font>
      <b/>
      <sz val="14"/>
      <color rgb="FF0A0AD4"/>
      <name val="Calibri"/>
      <family val="2"/>
    </font>
    <font>
      <b/>
      <i/>
      <sz val="11"/>
      <color rgb="FFC00000"/>
      <name val="Calibri"/>
      <family val="2"/>
    </font>
    <font>
      <b/>
      <i/>
      <sz val="14"/>
      <color rgb="FFC00000"/>
      <name val="Calibri"/>
      <family val="2"/>
    </font>
    <font>
      <b/>
      <i/>
      <sz val="22"/>
      <color rgb="FFC00000"/>
      <name val="Calibri"/>
      <family val="2"/>
    </font>
    <font>
      <b/>
      <sz val="18"/>
      <color rgb="FF0000FF"/>
      <name val="Calibri"/>
      <family val="2"/>
    </font>
    <font>
      <b/>
      <sz val="16"/>
      <color rgb="FF0000FF"/>
      <name val="Calibri"/>
      <family val="2"/>
    </font>
    <font>
      <b/>
      <sz val="16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</font>
    <font>
      <sz val="16"/>
      <name val="Calibri"/>
      <family val="2"/>
    </font>
    <font>
      <sz val="11"/>
      <color rgb="FF0000FF"/>
      <name val="Calibri"/>
      <family val="2"/>
    </font>
    <font>
      <b/>
      <sz val="10"/>
      <color rgb="FF000000"/>
      <name val="Calibri"/>
      <family val="2"/>
    </font>
    <font>
      <b/>
      <u val="double"/>
      <sz val="18"/>
      <color rgb="FF000000"/>
      <name val="Calibri"/>
      <family val="2"/>
    </font>
    <font>
      <sz val="14"/>
      <color rgb="FF000000"/>
      <name val="Calibri"/>
      <family val="2"/>
    </font>
    <font>
      <sz val="12"/>
      <name val="Calibri"/>
      <family val="2"/>
    </font>
    <font>
      <b/>
      <u val="double"/>
      <sz val="22"/>
      <color rgb="FF000000"/>
      <name val="Calibri"/>
      <family val="2"/>
    </font>
    <font>
      <sz val="18"/>
      <name val="Calibri"/>
      <family val="2"/>
    </font>
    <font>
      <b/>
      <i/>
      <sz val="20"/>
      <color rgb="FF000000"/>
      <name val="Calibri"/>
      <family val="2"/>
    </font>
    <font>
      <b/>
      <i/>
      <sz val="22"/>
      <color rgb="FF000000"/>
      <name val="Calibri"/>
      <family val="2"/>
    </font>
    <font>
      <b/>
      <i/>
      <u val="doubleAccounting"/>
      <sz val="24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sz val="11"/>
      <color rgb="FF002060"/>
      <name val="Calibri"/>
      <family val="2"/>
    </font>
    <font>
      <i/>
      <sz val="14"/>
      <color rgb="FF7030A0"/>
      <name val="Calibri"/>
      <family val="2"/>
    </font>
    <font>
      <b/>
      <sz val="20"/>
      <color rgb="FF000000"/>
      <name val="Arial"/>
      <family val="2"/>
    </font>
    <font>
      <sz val="18"/>
      <color rgb="FF000000"/>
      <name val="Arial"/>
      <family val="2"/>
    </font>
    <font>
      <b/>
      <sz val="18"/>
      <color rgb="FF000000"/>
      <name val="Arial"/>
      <family val="2"/>
    </font>
    <font>
      <b/>
      <sz val="18"/>
      <color rgb="FF00B0F0"/>
      <name val="Bookman Old Style"/>
      <family val="1"/>
    </font>
    <font>
      <b/>
      <sz val="12"/>
      <color rgb="FFFF0000"/>
      <name val="Arial"/>
      <family val="2"/>
    </font>
    <font>
      <b/>
      <sz val="10"/>
      <color rgb="FFFF0000"/>
      <name val="Bookman Old Style"/>
      <family val="1"/>
    </font>
    <font>
      <b/>
      <sz val="16"/>
      <color rgb="FFFF0000"/>
      <name val="Bookman Old Style"/>
      <family val="1"/>
    </font>
    <font>
      <b/>
      <sz val="11"/>
      <color rgb="FF002060"/>
      <name val="Arial"/>
      <family val="2"/>
    </font>
    <font>
      <b/>
      <sz val="12"/>
      <color rgb="FF0000FF"/>
      <name val="Arial"/>
      <family val="2"/>
    </font>
    <font>
      <b/>
      <sz val="16"/>
      <color rgb="FF002060"/>
      <name val="Bookman Old Style"/>
      <family val="1"/>
    </font>
    <font>
      <b/>
      <sz val="10"/>
      <color rgb="FF002060"/>
      <name val="Bookman Old Style"/>
      <family val="1"/>
    </font>
    <font>
      <b/>
      <i/>
      <sz val="14"/>
      <color rgb="FF7030A0"/>
      <name val="Arial"/>
      <family val="2"/>
    </font>
    <font>
      <b/>
      <i/>
      <sz val="14"/>
      <color rgb="FF7030A0"/>
      <name val="Bookman Old Style"/>
      <family val="1"/>
    </font>
    <font>
      <b/>
      <sz val="11"/>
      <color rgb="FF0000FF"/>
      <name val="Arial"/>
      <family val="2"/>
    </font>
    <font>
      <b/>
      <sz val="14"/>
      <color rgb="FF0000FF"/>
      <name val="Bookman Old Style"/>
      <family val="1"/>
    </font>
    <font>
      <b/>
      <sz val="10"/>
      <color rgb="FF0000FF"/>
      <name val="Bookman Old Style"/>
      <family val="1"/>
    </font>
    <font>
      <b/>
      <sz val="16"/>
      <color rgb="FF0000FF"/>
      <name val="Bookman Old Style"/>
      <family val="1"/>
    </font>
    <font>
      <b/>
      <i/>
      <sz val="14"/>
      <color rgb="FFFF0000"/>
      <name val="Calibri"/>
      <family val="2"/>
    </font>
    <font>
      <b/>
      <sz val="14"/>
      <color rgb="FF002060"/>
      <name val="Bookman Old Style"/>
      <family val="1"/>
    </font>
    <font>
      <b/>
      <sz val="14"/>
      <color rgb="FFFF0000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FF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Bookman Old Style"/>
      <family val="1"/>
    </font>
    <font>
      <b/>
      <sz val="18"/>
      <color rgb="FFFDE9D9"/>
      <name val="Arial"/>
      <family val="2"/>
    </font>
    <font>
      <b/>
      <sz val="24"/>
      <color rgb="FFFF0000"/>
      <name val="Bookman Old Style"/>
      <family val="1"/>
    </font>
    <font>
      <b/>
      <sz val="11"/>
      <color rgb="FFFF0000"/>
      <name val="Bookman Old Style"/>
      <family val="1"/>
    </font>
    <font>
      <b/>
      <sz val="11"/>
      <color rgb="FF0A0AD4"/>
      <name val="Arial"/>
      <family val="2"/>
    </font>
    <font>
      <b/>
      <sz val="16"/>
      <color rgb="FF0A100A"/>
      <name val="Bookman Old Style"/>
      <family val="1"/>
    </font>
    <font>
      <b/>
      <sz val="14"/>
      <color rgb="FF0A100A"/>
      <name val="Bookman Old Style"/>
      <family val="1"/>
    </font>
    <font>
      <b/>
      <sz val="10"/>
      <color rgb="FF0A100A"/>
      <name val="Bookman Old Style"/>
      <family val="1"/>
    </font>
    <font>
      <b/>
      <sz val="11"/>
      <color rgb="FFC00000"/>
      <name val="Arial"/>
      <family val="2"/>
    </font>
    <font>
      <b/>
      <sz val="14"/>
      <color rgb="FFC00000"/>
      <name val="Bookman Old Style"/>
      <family val="1"/>
    </font>
    <font>
      <b/>
      <sz val="11"/>
      <color rgb="FFC00000"/>
      <name val="Bookman Old Style"/>
      <family val="1"/>
    </font>
    <font>
      <b/>
      <sz val="16"/>
      <color rgb="FFC00000"/>
      <name val="Bookman Old Style"/>
      <family val="1"/>
    </font>
    <font>
      <b/>
      <sz val="14"/>
      <color rgb="FFFF0000"/>
      <name val="Bookman Old Style"/>
      <family val="1"/>
    </font>
    <font>
      <b/>
      <sz val="10"/>
      <color rgb="FFC00000"/>
      <name val="Bookman Old Style"/>
      <family val="1"/>
    </font>
    <font>
      <b/>
      <sz val="11"/>
      <color rgb="FFFF0000"/>
      <name val="Arial"/>
      <family val="2"/>
    </font>
    <font>
      <sz val="20"/>
      <color rgb="FFFF0000"/>
      <name val="Calibri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6"/>
      <color rgb="FF000000"/>
      <name val="Arial"/>
      <family val="2"/>
    </font>
    <font>
      <b/>
      <sz val="18"/>
      <color rgb="FF000000"/>
      <name val="Arial Black"/>
      <family val="2"/>
    </font>
    <font>
      <sz val="18"/>
      <color rgb="FF000000"/>
      <name val="Arial Black"/>
      <family val="2"/>
    </font>
    <font>
      <sz val="16"/>
      <color rgb="FF000000"/>
      <name val="Bookman Old Style"/>
      <family val="1"/>
    </font>
    <font>
      <b/>
      <sz val="11"/>
      <color rgb="FF000000"/>
      <name val="Arial"/>
      <family val="2"/>
    </font>
    <font>
      <b/>
      <sz val="14"/>
      <color rgb="FF0000FF"/>
      <name val="Arial"/>
      <family val="2"/>
    </font>
    <font>
      <b/>
      <sz val="9"/>
      <color rgb="FF00B0F0"/>
      <name val="Bookman Old Style"/>
      <family val="1"/>
    </font>
    <font>
      <b/>
      <sz val="10"/>
      <color rgb="FF00B0F0"/>
      <name val="Arial"/>
      <family val="2"/>
    </font>
    <font>
      <b/>
      <sz val="14"/>
      <name val="Bookman Old Style"/>
      <family val="1"/>
    </font>
    <font>
      <b/>
      <sz val="9"/>
      <color rgb="FFFF0000"/>
      <name val="Bookman Old Style"/>
      <family val="1"/>
    </font>
    <font>
      <b/>
      <sz val="10"/>
      <color rgb="FF4CACC6"/>
      <name val="Bookman Old Style"/>
      <family val="1"/>
    </font>
    <font>
      <b/>
      <sz val="14"/>
      <color rgb="FFFF0000"/>
      <name val="Calibri"/>
      <family val="2"/>
    </font>
    <font>
      <b/>
      <sz val="16"/>
      <color rgb="FF0000FF"/>
      <name val="Arial"/>
      <family val="2"/>
    </font>
    <font>
      <b/>
      <sz val="12"/>
      <color rgb="FF0000FF"/>
      <name val="Bookman Old Style"/>
      <family val="1"/>
    </font>
    <font>
      <b/>
      <sz val="16"/>
      <color rgb="FF002060"/>
      <name val="Arial"/>
      <family val="2"/>
    </font>
    <font>
      <i/>
      <sz val="11"/>
      <color rgb="FF7030A0"/>
      <name val="Calibri"/>
      <family val="2"/>
    </font>
    <font>
      <b/>
      <sz val="11"/>
      <color rgb="FFC00000"/>
      <name val="Calibri"/>
      <family val="2"/>
    </font>
    <font>
      <b/>
      <sz val="11"/>
      <color rgb="FF0000FF"/>
      <name val="Calibri"/>
      <family val="2"/>
    </font>
    <font>
      <b/>
      <sz val="20"/>
      <color rgb="FF000000"/>
      <name val="Bookman Old Style"/>
      <family val="1"/>
    </font>
    <font>
      <b/>
      <sz val="18"/>
      <color rgb="FF000000"/>
      <name val="Bookman Old Style"/>
      <family val="1"/>
    </font>
    <font>
      <b/>
      <sz val="14"/>
      <color rgb="FF00B0F0"/>
      <name val="Bookman Old Style"/>
      <family val="1"/>
    </font>
    <font>
      <b/>
      <sz val="18"/>
      <color rgb="FFFF0000"/>
      <name val="Calibri"/>
      <family val="2"/>
    </font>
    <font>
      <b/>
      <sz val="11"/>
      <color rgb="FFFF0000"/>
      <name val="Calibri"/>
      <family val="2"/>
    </font>
    <font>
      <b/>
      <sz val="16"/>
      <color rgb="FFFF0000"/>
      <name val="Calibri"/>
      <family val="2"/>
    </font>
    <font>
      <b/>
      <i/>
      <sz val="18"/>
      <color rgb="FF7030A0"/>
      <name val="Calibri"/>
      <family val="2"/>
    </font>
    <font>
      <b/>
      <i/>
      <sz val="11"/>
      <color rgb="FF7030A0"/>
      <name val="Calibri"/>
      <family val="2"/>
    </font>
    <font>
      <b/>
      <i/>
      <sz val="16"/>
      <color rgb="FF7030A0"/>
      <name val="Calibri"/>
      <family val="2"/>
    </font>
    <font>
      <b/>
      <sz val="16"/>
      <color rgb="FF0A0AD4"/>
      <name val="Calibri"/>
      <family val="2"/>
    </font>
    <font>
      <b/>
      <sz val="9"/>
      <color rgb="FFFF0000"/>
      <name val="Arial"/>
      <family val="2"/>
    </font>
    <font>
      <b/>
      <sz val="14"/>
      <color rgb="FF000000"/>
      <name val="Bookman Old Style"/>
      <family val="1"/>
    </font>
    <font>
      <b/>
      <sz val="18"/>
      <color rgb="FFFF0000"/>
      <name val="Bookman Old Style"/>
      <family val="1"/>
    </font>
    <font>
      <b/>
      <sz val="16"/>
      <color rgb="FFC00000"/>
      <name val="Calibri"/>
      <family val="2"/>
    </font>
    <font>
      <b/>
      <sz val="14"/>
      <color rgb="FF000000"/>
      <name val="Arial Black"/>
      <family val="2"/>
    </font>
    <font>
      <sz val="14"/>
      <color rgb="FF000000"/>
      <name val="Arial Black"/>
      <family val="2"/>
    </font>
    <font>
      <sz val="11"/>
      <color rgb="FFC00000"/>
      <name val="Calibri"/>
      <family val="2"/>
    </font>
    <font>
      <b/>
      <sz val="18"/>
      <color rgb="FF002060"/>
      <name val="Calibri"/>
      <family val="2"/>
    </font>
    <font>
      <b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6"/>
      <color theme="4" tint="-0.249977111117893"/>
      <name val="Bookman Old Style"/>
      <family val="1"/>
    </font>
    <font>
      <b/>
      <sz val="12"/>
      <color rgb="FF0000FF"/>
      <name val="Calibri"/>
      <family val="2"/>
    </font>
    <font>
      <sz val="12"/>
      <color rgb="FF000000"/>
      <name val="Calibri"/>
      <family val="2"/>
    </font>
    <font>
      <sz val="12"/>
      <color rgb="FF00B0F0"/>
      <name val="Calibri"/>
      <family val="2"/>
    </font>
    <font>
      <sz val="11"/>
      <color rgb="FF003366"/>
      <name val="Calibri"/>
      <family val="2"/>
    </font>
    <font>
      <b/>
      <i/>
      <sz val="11"/>
      <color rgb="FF00B0F0"/>
      <name val="Calibri"/>
      <family val="2"/>
    </font>
    <font>
      <i/>
      <sz val="11"/>
      <color rgb="FF00B0F0"/>
      <name val="Calibri"/>
      <family val="2"/>
    </font>
    <font>
      <sz val="11"/>
      <color rgb="FF0A0AD4"/>
      <name val="Calibri"/>
      <family val="2"/>
    </font>
    <font>
      <sz val="11"/>
      <color rgb="FF0A100A"/>
      <name val="Calibri"/>
      <family val="2"/>
    </font>
    <font>
      <sz val="11"/>
      <color rgb="FF33CC33"/>
      <name val="Calibri"/>
      <family val="2"/>
    </font>
    <font>
      <b/>
      <sz val="19"/>
      <color rgb="FF000000"/>
      <name val="Bookman Old Style"/>
      <family val="1"/>
    </font>
    <font>
      <b/>
      <sz val="14"/>
      <color rgb="FF003366"/>
      <name val="Bookman Old Style"/>
      <family val="1"/>
    </font>
    <font>
      <b/>
      <sz val="16"/>
      <color rgb="FF003366"/>
      <name val="Bookman Old Style"/>
      <family val="1"/>
    </font>
    <font>
      <b/>
      <sz val="16"/>
      <color rgb="FF0A0AD4"/>
      <name val="Bookman Old Style"/>
      <family val="1"/>
    </font>
    <font>
      <b/>
      <sz val="14"/>
      <color rgb="FF002060"/>
      <name val="Arial"/>
      <family val="2"/>
    </font>
    <font>
      <b/>
      <sz val="11"/>
      <color rgb="FF003366"/>
      <name val="Arial"/>
      <family val="2"/>
    </font>
    <font>
      <b/>
      <i/>
      <sz val="10"/>
      <color rgb="FF00B0F0"/>
      <name val="Bookman Old Style"/>
      <family val="1"/>
    </font>
    <font>
      <b/>
      <i/>
      <sz val="14"/>
      <color rgb="FF00B0F0"/>
      <name val="Bookman Old Style"/>
      <family val="1"/>
    </font>
    <font>
      <b/>
      <i/>
      <sz val="16"/>
      <color rgb="FF00B0F0"/>
      <name val="Bookman Old Style"/>
      <family val="1"/>
    </font>
    <font>
      <b/>
      <sz val="14"/>
      <color rgb="FF8019CD"/>
      <name val="Bookman Old Style"/>
      <family val="1"/>
    </font>
    <font>
      <b/>
      <sz val="14"/>
      <color rgb="FF0A0AD4"/>
      <name val="Bookman Old Style"/>
      <family val="1"/>
    </font>
    <font>
      <b/>
      <sz val="10"/>
      <color rgb="FF8019CD"/>
      <name val="Bookman Old Style"/>
      <family val="1"/>
    </font>
    <font>
      <b/>
      <sz val="12"/>
      <color rgb="FF002060"/>
      <name val="Calibri"/>
      <family val="2"/>
    </font>
    <font>
      <b/>
      <sz val="11"/>
      <color rgb="FF8019CD"/>
      <name val="Arial"/>
      <family val="2"/>
    </font>
    <font>
      <b/>
      <i/>
      <sz val="11"/>
      <color rgb="FF7030A0"/>
      <name val="Arial"/>
      <family val="2"/>
    </font>
    <font>
      <b/>
      <i/>
      <sz val="10"/>
      <color rgb="FF7030A0"/>
      <name val="Arial"/>
      <family val="2"/>
    </font>
    <font>
      <b/>
      <sz val="11"/>
      <color rgb="FF000000"/>
      <name val="Bookman Old Style"/>
      <family val="1"/>
    </font>
    <font>
      <b/>
      <sz val="20"/>
      <color rgb="FFFF0000"/>
      <name val="Bookman Old Style"/>
      <family val="1"/>
    </font>
    <font>
      <sz val="8"/>
      <color rgb="FF000000"/>
      <name val="Bookman Old Style"/>
      <family val="1"/>
    </font>
    <font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b/>
      <sz val="9"/>
      <color rgb="FF000000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0"/>
      <name val="Bookman Old Style"/>
      <family val="1"/>
    </font>
    <font>
      <b/>
      <sz val="11"/>
      <color theme="0"/>
      <name val="Bookman Old Style"/>
      <family val="1"/>
    </font>
    <font>
      <b/>
      <sz val="12"/>
      <color theme="0"/>
      <name val="Bookman Old Style"/>
      <family val="1"/>
    </font>
    <font>
      <b/>
      <sz val="8"/>
      <color rgb="FF000000"/>
      <name val="Bookman Old Style"/>
      <family val="1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b/>
      <i/>
      <sz val="26"/>
      <color rgb="FF000000"/>
      <name val="AR CARTER"/>
      <charset val="134"/>
    </font>
    <font>
      <b/>
      <sz val="18"/>
      <name val="AR ESSENCE"/>
      <charset val="134"/>
    </font>
    <font>
      <b/>
      <i/>
      <sz val="8"/>
      <color rgb="FF0000FF"/>
      <name val="Calibri"/>
      <family val="2"/>
    </font>
    <font>
      <b/>
      <sz val="9"/>
      <color rgb="FF0000FF"/>
      <name val="Arial"/>
      <family val="2"/>
    </font>
    <font>
      <b/>
      <i/>
      <sz val="16"/>
      <color rgb="FF7030A0"/>
      <name val="Arial"/>
      <family val="2"/>
    </font>
    <font>
      <sz val="11"/>
      <name val="Calibri"/>
      <family val="2"/>
    </font>
    <font>
      <b/>
      <i/>
      <sz val="14"/>
      <name val="Calibri"/>
      <family val="2"/>
    </font>
    <font>
      <b/>
      <i/>
      <sz val="36"/>
      <color rgb="FF000000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9"/>
      <name val="Bookman Old Style"/>
      <family val="1"/>
    </font>
    <font>
      <b/>
      <sz val="28"/>
      <name val="Calibri"/>
      <family val="2"/>
    </font>
    <font>
      <b/>
      <sz val="9"/>
      <color theme="0"/>
      <name val="Bookman Old Style"/>
      <family val="1"/>
    </font>
    <font>
      <b/>
      <sz val="10"/>
      <color theme="1"/>
      <name val="Bookman Old Style"/>
      <family val="1"/>
    </font>
    <font>
      <b/>
      <i/>
      <sz val="16"/>
      <color rgb="FF0000FF"/>
      <name val="Arial"/>
      <family val="2"/>
    </font>
    <font>
      <b/>
      <sz val="9"/>
      <color indexed="81"/>
      <name val="Tahoma"/>
      <family val="2"/>
    </font>
    <font>
      <b/>
      <i/>
      <sz val="14"/>
      <name val="Bookman Old Style"/>
      <family val="1"/>
    </font>
    <font>
      <sz val="9"/>
      <color indexed="81"/>
      <name val="Tahoma"/>
      <family val="2"/>
    </font>
    <font>
      <sz val="8"/>
      <name val="Calibri"/>
      <family val="2"/>
    </font>
    <font>
      <sz val="9"/>
      <color rgb="FF000000"/>
      <name val="Bookman Old Style"/>
      <family val="1"/>
    </font>
    <font>
      <sz val="14"/>
      <name val="Bookman Old Style"/>
      <family val="1"/>
    </font>
    <font>
      <b/>
      <sz val="16"/>
      <color theme="4"/>
      <name val="Calibri"/>
      <family val="2"/>
    </font>
    <font>
      <sz val="11"/>
      <color rgb="FF0000FF"/>
      <name val="Arial"/>
      <family val="2"/>
    </font>
    <font>
      <sz val="14"/>
      <color rgb="FF0A100A"/>
      <name val="Bookman Old Style"/>
      <family val="1"/>
    </font>
    <font>
      <b/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A100A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E36B09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0A0AD4"/>
        <bgColor indexed="64"/>
      </patternFill>
    </fill>
    <fill>
      <patternFill patternType="solid">
        <fgColor rgb="FF5F4979"/>
        <bgColor indexed="64"/>
      </patternFill>
    </fill>
    <fill>
      <patternFill patternType="solid">
        <fgColor theme="4" tint="0.39695425275429547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8019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21596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AF8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39BBD"/>
        <bgColor indexed="64"/>
      </patternFill>
    </fill>
    <fill>
      <patternFill patternType="solid">
        <fgColor rgb="FFD943B2"/>
        <bgColor indexed="64"/>
      </patternFill>
    </fill>
    <fill>
      <patternFill patternType="solid">
        <fgColor rgb="FFDAAA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30982"/>
        <bgColor indexed="64"/>
      </patternFill>
    </fill>
    <fill>
      <patternFill patternType="solid">
        <fgColor rgb="FF7B4C6C"/>
        <bgColor indexed="64"/>
      </patternFill>
    </fill>
    <fill>
      <patternFill patternType="solid">
        <fgColor rgb="FFAFFB69"/>
        <bgColor indexed="64"/>
      </patternFill>
    </fill>
    <fill>
      <patternFill patternType="solid">
        <fgColor rgb="FF7C507A"/>
        <bgColor indexed="64"/>
      </patternFill>
    </fill>
    <fill>
      <patternFill patternType="solid">
        <fgColor rgb="FFB30D31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7656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>
      <protection locked="0"/>
    </xf>
    <xf numFmtId="164" fontId="1" fillId="0" borderId="0">
      <protection locked="0"/>
    </xf>
    <xf numFmtId="9" fontId="212" fillId="0" borderId="0" applyFont="0" applyFill="0" applyBorder="0" applyAlignment="0" applyProtection="0"/>
  </cellStyleXfs>
  <cellXfs count="3959">
    <xf numFmtId="0" fontId="0" fillId="0" borderId="0" xfId="0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4" fillId="0" borderId="0" xfId="0" applyFont="1" applyAlignment="1"/>
    <xf numFmtId="0" fontId="1" fillId="0" borderId="1" xfId="0" applyFont="1" applyBorder="1" applyAlignment="1"/>
    <xf numFmtId="0" fontId="6" fillId="0" borderId="1" xfId="0" applyFont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8" fillId="0" borderId="3" xfId="1" applyNumberFormat="1" applyFont="1" applyBorder="1" applyAlignment="1" applyProtection="1">
      <alignment horizontal="center"/>
    </xf>
    <xf numFmtId="165" fontId="8" fillId="0" borderId="4" xfId="1" applyNumberFormat="1" applyFont="1" applyBorder="1" applyAlignment="1" applyProtection="1">
      <alignment horizontal="center"/>
    </xf>
    <xf numFmtId="0" fontId="8" fillId="0" borderId="4" xfId="0" applyFont="1" applyBorder="1" applyAlignment="1">
      <alignment horizontal="center"/>
    </xf>
    <xf numFmtId="165" fontId="9" fillId="0" borderId="7" xfId="1" applyNumberFormat="1" applyFont="1" applyBorder="1" applyAlignment="1" applyProtection="1">
      <alignment horizontal="center"/>
    </xf>
    <xf numFmtId="165" fontId="9" fillId="0" borderId="8" xfId="1" applyNumberFormat="1" applyFont="1" applyBorder="1" applyAlignment="1" applyProtection="1">
      <alignment horizontal="center"/>
    </xf>
    <xf numFmtId="165" fontId="9" fillId="2" borderId="8" xfId="1" applyNumberFormat="1" applyFont="1" applyFill="1" applyBorder="1" applyAlignment="1" applyProtection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4" borderId="0" xfId="0" applyFont="1" applyFill="1" applyAlignment="1"/>
    <xf numFmtId="165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165" fontId="8" fillId="2" borderId="11" xfId="1" applyNumberFormat="1" applyFont="1" applyFill="1" applyBorder="1" applyAlignment="1" applyProtection="1">
      <alignment horizontal="center"/>
    </xf>
    <xf numFmtId="165" fontId="9" fillId="0" borderId="3" xfId="1" applyNumberFormat="1" applyFont="1" applyBorder="1" applyAlignment="1" applyProtection="1">
      <alignment horizontal="center"/>
    </xf>
    <xf numFmtId="165" fontId="9" fillId="0" borderId="4" xfId="1" applyNumberFormat="1" applyFont="1" applyBorder="1" applyAlignment="1" applyProtection="1">
      <alignment horizontal="center"/>
    </xf>
    <xf numFmtId="165" fontId="11" fillId="0" borderId="4" xfId="1" applyNumberFormat="1" applyFont="1" applyBorder="1" applyAlignment="1" applyProtection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165" fontId="8" fillId="0" borderId="11" xfId="1" applyNumberFormat="1" applyFont="1" applyBorder="1" applyAlignment="1" applyProtection="1">
      <alignment horizontal="center"/>
    </xf>
    <xf numFmtId="165" fontId="8" fillId="0" borderId="12" xfId="1" applyNumberFormat="1" applyFont="1" applyBorder="1" applyAlignment="1" applyProtection="1">
      <alignment horizontal="center"/>
    </xf>
    <xf numFmtId="0" fontId="8" fillId="2" borderId="6" xfId="0" applyFont="1" applyFill="1" applyBorder="1" applyAlignment="1">
      <alignment horizontal="center"/>
    </xf>
    <xf numFmtId="165" fontId="9" fillId="2" borderId="11" xfId="1" applyNumberFormat="1" applyFont="1" applyFill="1" applyBorder="1" applyAlignment="1" applyProtection="1">
      <alignment horizontal="center"/>
    </xf>
    <xf numFmtId="165" fontId="9" fillId="2" borderId="12" xfId="1" applyNumberFormat="1" applyFont="1" applyFill="1" applyBorder="1" applyAlignment="1" applyProtection="1">
      <alignment horizontal="center"/>
    </xf>
    <xf numFmtId="0" fontId="8" fillId="0" borderId="9" xfId="0" applyFont="1" applyBorder="1" applyAlignment="1">
      <alignment horizontal="center"/>
    </xf>
    <xf numFmtId="0" fontId="4" fillId="0" borderId="10" xfId="0" applyFont="1" applyBorder="1" applyAlignment="1"/>
    <xf numFmtId="165" fontId="9" fillId="0" borderId="11" xfId="1" applyNumberFormat="1" applyFont="1" applyBorder="1" applyAlignment="1" applyProtection="1">
      <alignment horizont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5" fillId="4" borderId="0" xfId="0" applyFont="1" applyFill="1" applyAlignment="1"/>
    <xf numFmtId="165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6" fillId="3" borderId="14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1" applyNumberFormat="1" applyAlignment="1" applyProtection="1">
      <alignment horizontal="center"/>
    </xf>
    <xf numFmtId="0" fontId="8" fillId="2" borderId="7" xfId="1" applyNumberFormat="1" applyFont="1" applyFill="1" applyBorder="1" applyAlignment="1" applyProtection="1">
      <alignment horizontal="center"/>
    </xf>
    <xf numFmtId="0" fontId="9" fillId="2" borderId="17" xfId="1" applyNumberFormat="1" applyFont="1" applyFill="1" applyBorder="1" applyAlignment="1" applyProtection="1">
      <alignment horizontal="center"/>
    </xf>
    <xf numFmtId="0" fontId="9" fillId="2" borderId="0" xfId="1" applyNumberFormat="1" applyFont="1" applyFill="1" applyAlignment="1" applyProtection="1">
      <alignment horizontal="center"/>
    </xf>
    <xf numFmtId="0" fontId="9" fillId="2" borderId="7" xfId="1" applyNumberFormat="1" applyFont="1" applyFill="1" applyBorder="1" applyAlignment="1" applyProtection="1">
      <alignment horizontal="center"/>
    </xf>
    <xf numFmtId="0" fontId="9" fillId="0" borderId="8" xfId="1" applyNumberFormat="1" applyFont="1" applyBorder="1" applyAlignment="1" applyProtection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" fillId="2" borderId="0" xfId="1" applyNumberFormat="1" applyFill="1" applyAlignment="1" applyProtection="1">
      <alignment horizontal="center"/>
    </xf>
    <xf numFmtId="0" fontId="8" fillId="2" borderId="3" xfId="1" applyNumberFormat="1" applyFont="1" applyFill="1" applyBorder="1" applyAlignment="1" applyProtection="1">
      <alignment horizontal="center"/>
    </xf>
    <xf numFmtId="0" fontId="9" fillId="0" borderId="16" xfId="1" applyNumberFormat="1" applyFont="1" applyBorder="1" applyAlignment="1" applyProtection="1">
      <alignment horizontal="center"/>
    </xf>
    <xf numFmtId="0" fontId="9" fillId="0" borderId="0" xfId="1" applyNumberFormat="1" applyFont="1" applyAlignment="1" applyProtection="1">
      <alignment horizontal="center"/>
    </xf>
    <xf numFmtId="0" fontId="9" fillId="0" borderId="7" xfId="1" applyNumberFormat="1" applyFont="1" applyBorder="1" applyAlignment="1" applyProtection="1">
      <alignment horizontal="center"/>
    </xf>
    <xf numFmtId="1" fontId="9" fillId="0" borderId="8" xfId="1" applyNumberFormat="1" applyFont="1" applyBorder="1" applyAlignment="1" applyProtection="1">
      <alignment horizontal="center"/>
    </xf>
    <xf numFmtId="165" fontId="8" fillId="0" borderId="18" xfId="1" applyNumberFormat="1" applyFont="1" applyBorder="1" applyAlignment="1" applyProtection="1">
      <alignment horizontal="center"/>
    </xf>
    <xf numFmtId="43" fontId="1" fillId="0" borderId="0" xfId="1" applyAlignment="1" applyProtection="1">
      <alignment horizontal="center"/>
    </xf>
    <xf numFmtId="0" fontId="9" fillId="2" borderId="18" xfId="1" applyNumberFormat="1" applyFont="1" applyFill="1" applyBorder="1" applyAlignment="1" applyProtection="1">
      <alignment horizontal="center"/>
    </xf>
    <xf numFmtId="43" fontId="9" fillId="2" borderId="0" xfId="1" applyFont="1" applyFill="1" applyAlignment="1" applyProtection="1">
      <alignment horizontal="center"/>
    </xf>
    <xf numFmtId="165" fontId="9" fillId="2" borderId="19" xfId="1" applyNumberFormat="1" applyFont="1" applyFill="1" applyBorder="1" applyAlignment="1" applyProtection="1">
      <alignment horizontal="center"/>
    </xf>
    <xf numFmtId="165" fontId="9" fillId="2" borderId="20" xfId="1" applyNumberFormat="1" applyFont="1" applyFill="1" applyBorder="1" applyAlignment="1" applyProtection="1">
      <alignment horizontal="center"/>
    </xf>
    <xf numFmtId="43" fontId="9" fillId="0" borderId="21" xfId="1" applyFont="1" applyBorder="1" applyAlignment="1" applyProtection="1">
      <alignment horizontal="center"/>
    </xf>
    <xf numFmtId="0" fontId="1" fillId="0" borderId="22" xfId="0" applyFont="1" applyBorder="1" applyAlignment="1"/>
    <xf numFmtId="43" fontId="9" fillId="0" borderId="0" xfId="1" applyFont="1" applyAlignment="1" applyProtection="1">
      <alignment horizontal="center"/>
    </xf>
    <xf numFmtId="165" fontId="9" fillId="0" borderId="19" xfId="1" applyNumberFormat="1" applyFont="1" applyBorder="1" applyAlignment="1" applyProtection="1">
      <alignment horizontal="center"/>
    </xf>
    <xf numFmtId="0" fontId="19" fillId="3" borderId="14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0" fillId="4" borderId="0" xfId="0" applyFill="1" applyAlignment="1"/>
    <xf numFmtId="165" fontId="8" fillId="0" borderId="23" xfId="1" applyNumberFormat="1" applyFont="1" applyBorder="1" applyAlignment="1" applyProtection="1">
      <alignment horizontal="center"/>
    </xf>
    <xf numFmtId="0" fontId="7" fillId="3" borderId="1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9" fillId="0" borderId="17" xfId="1" applyNumberFormat="1" applyFont="1" applyBorder="1" applyAlignment="1" applyProtection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 vertical="center"/>
    </xf>
    <xf numFmtId="165" fontId="8" fillId="0" borderId="16" xfId="1" applyNumberFormat="1" applyFont="1" applyBorder="1" applyAlignment="1" applyProtection="1">
      <alignment horizontal="center"/>
    </xf>
    <xf numFmtId="0" fontId="9" fillId="2" borderId="24" xfId="1" applyNumberFormat="1" applyFont="1" applyFill="1" applyBorder="1" applyAlignment="1" applyProtection="1">
      <alignment horizontal="center"/>
    </xf>
    <xf numFmtId="0" fontId="9" fillId="2" borderId="12" xfId="1" applyNumberFormat="1" applyFont="1" applyFill="1" applyBorder="1" applyAlignment="1" applyProtection="1">
      <alignment horizontal="center"/>
    </xf>
    <xf numFmtId="0" fontId="21" fillId="3" borderId="18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165" fontId="11" fillId="0" borderId="11" xfId="1" applyNumberFormat="1" applyFont="1" applyBorder="1" applyAlignment="1" applyProtection="1">
      <alignment horizontal="center"/>
    </xf>
    <xf numFmtId="0" fontId="23" fillId="3" borderId="12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0" fillId="0" borderId="14" xfId="0" applyFont="1" applyBorder="1" applyAlignment="1"/>
    <xf numFmtId="0" fontId="10" fillId="0" borderId="0" xfId="0" applyFont="1" applyAlignment="1"/>
    <xf numFmtId="0" fontId="1" fillId="0" borderId="25" xfId="0" applyFont="1" applyBorder="1" applyAlignment="1"/>
    <xf numFmtId="165" fontId="9" fillId="0" borderId="15" xfId="0" applyNumberFormat="1" applyFont="1" applyBorder="1" applyAlignment="1"/>
    <xf numFmtId="165" fontId="9" fillId="0" borderId="14" xfId="0" applyNumberFormat="1" applyFont="1" applyBorder="1" applyAlignment="1"/>
    <xf numFmtId="0" fontId="12" fillId="3" borderId="2" xfId="0" applyFont="1" applyFill="1" applyBorder="1" applyAlignment="1">
      <alignment horizontal="center" vertical="center"/>
    </xf>
    <xf numFmtId="165" fontId="9" fillId="0" borderId="17" xfId="1" applyNumberFormat="1" applyFont="1" applyBorder="1" applyAlignment="1" applyProtection="1">
      <alignment horizontal="center"/>
    </xf>
    <xf numFmtId="0" fontId="12" fillId="3" borderId="18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165" fontId="8" fillId="0" borderId="14" xfId="1" applyNumberFormat="1" applyFont="1" applyBorder="1" applyAlignment="1" applyProtection="1">
      <alignment horizontal="center"/>
    </xf>
    <xf numFmtId="165" fontId="9" fillId="0" borderId="0" xfId="0" applyNumberFormat="1" applyFont="1" applyAlignment="1"/>
    <xf numFmtId="165" fontId="9" fillId="0" borderId="26" xfId="1" applyNumberFormat="1" applyFont="1" applyBorder="1" applyAlignment="1" applyProtection="1">
      <alignment horizontal="center"/>
    </xf>
    <xf numFmtId="165" fontId="9" fillId="0" borderId="10" xfId="1" applyNumberFormat="1" applyFont="1" applyBorder="1" applyAlignment="1" applyProtection="1">
      <alignment horizontal="center"/>
    </xf>
    <xf numFmtId="165" fontId="9" fillId="2" borderId="14" xfId="0" applyNumberFormat="1" applyFont="1" applyFill="1" applyBorder="1" applyAlignment="1"/>
    <xf numFmtId="0" fontId="2" fillId="2" borderId="0" xfId="0" applyFont="1" applyFill="1" applyAlignment="1">
      <alignment horizontal="center"/>
    </xf>
    <xf numFmtId="165" fontId="1" fillId="0" borderId="0" xfId="0" applyNumberFormat="1" applyFont="1" applyAlignment="1"/>
    <xf numFmtId="0" fontId="25" fillId="3" borderId="13" xfId="0" applyFont="1" applyFill="1" applyBorder="1" applyAlignment="1">
      <alignment horizontal="center" vertical="center"/>
    </xf>
    <xf numFmtId="0" fontId="27" fillId="0" borderId="0" xfId="0" applyFont="1" applyAlignment="1"/>
    <xf numFmtId="165" fontId="28" fillId="4" borderId="0" xfId="0" applyNumberFormat="1" applyFont="1" applyFill="1" applyAlignment="1"/>
    <xf numFmtId="0" fontId="29" fillId="0" borderId="0" xfId="0" applyFont="1" applyAlignment="1">
      <alignment horizontal="center"/>
    </xf>
    <xf numFmtId="165" fontId="28" fillId="0" borderId="27" xfId="1" applyNumberFormat="1" applyFont="1" applyBorder="1" applyAlignment="1" applyProtection="1">
      <alignment horizontal="center"/>
    </xf>
    <xf numFmtId="0" fontId="16" fillId="3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 vertical="center"/>
    </xf>
    <xf numFmtId="165" fontId="8" fillId="2" borderId="19" xfId="1" applyNumberFormat="1" applyFont="1" applyFill="1" applyBorder="1" applyAlignment="1" applyProtection="1">
      <alignment horizontal="center"/>
    </xf>
    <xf numFmtId="165" fontId="8" fillId="2" borderId="20" xfId="1" applyNumberFormat="1" applyFont="1" applyFill="1" applyBorder="1" applyAlignment="1" applyProtection="1">
      <alignment horizontal="center"/>
    </xf>
    <xf numFmtId="0" fontId="31" fillId="0" borderId="1" xfId="0" applyFont="1" applyBorder="1" applyAlignment="1">
      <alignment horizontal="left"/>
    </xf>
    <xf numFmtId="0" fontId="12" fillId="3" borderId="3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6" fillId="0" borderId="1" xfId="0" applyFont="1" applyBorder="1" applyAlignment="1"/>
    <xf numFmtId="0" fontId="31" fillId="0" borderId="14" xfId="0" applyFont="1" applyBorder="1" applyAlignment="1"/>
    <xf numFmtId="0" fontId="31" fillId="0" borderId="0" xfId="0" applyFont="1" applyAlignment="1"/>
    <xf numFmtId="0" fontId="4" fillId="0" borderId="0" xfId="0" applyFont="1" applyAlignment="1">
      <alignment horizontal="center"/>
    </xf>
    <xf numFmtId="10" fontId="31" fillId="0" borderId="0" xfId="0" applyNumberFormat="1" applyFont="1" applyAlignment="1"/>
    <xf numFmtId="10" fontId="8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28" fillId="0" borderId="11" xfId="1" applyNumberFormat="1" applyFont="1" applyBorder="1" applyAlignment="1" applyProtection="1">
      <alignment horizontal="center"/>
    </xf>
    <xf numFmtId="43" fontId="11" fillId="0" borderId="0" xfId="1" applyFont="1" applyAlignment="1" applyProtection="1">
      <alignment horizontal="center"/>
    </xf>
    <xf numFmtId="165" fontId="11" fillId="0" borderId="19" xfId="1" applyNumberFormat="1" applyFont="1" applyBorder="1" applyAlignment="1" applyProtection="1">
      <alignment horizontal="center"/>
    </xf>
    <xf numFmtId="0" fontId="0" fillId="0" borderId="9" xfId="0" applyBorder="1">
      <alignment vertical="center"/>
    </xf>
    <xf numFmtId="0" fontId="14" fillId="3" borderId="28" xfId="0" applyFont="1" applyFill="1" applyBorder="1" applyAlignment="1">
      <alignment horizontal="center" vertical="center"/>
    </xf>
    <xf numFmtId="165" fontId="8" fillId="2" borderId="29" xfId="1" applyNumberFormat="1" applyFont="1" applyFill="1" applyBorder="1" applyAlignment="1" applyProtection="1">
      <alignment horizontal="center"/>
    </xf>
    <xf numFmtId="0" fontId="0" fillId="0" borderId="30" xfId="0" applyBorder="1">
      <alignment vertical="center"/>
    </xf>
    <xf numFmtId="0" fontId="9" fillId="0" borderId="5" xfId="1" applyNumberFormat="1" applyFont="1" applyBorder="1" applyAlignment="1" applyProtection="1">
      <alignment horizontal="center"/>
    </xf>
    <xf numFmtId="0" fontId="0" fillId="0" borderId="10" xfId="0" applyBorder="1">
      <alignment vertical="center"/>
    </xf>
    <xf numFmtId="0" fontId="12" fillId="3" borderId="15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34" fillId="0" borderId="0" xfId="0" applyFont="1">
      <alignment vertical="center"/>
    </xf>
    <xf numFmtId="167" fontId="35" fillId="0" borderId="14" xfId="0" applyNumberFormat="1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169" fontId="36" fillId="0" borderId="15" xfId="0" applyNumberFormat="1" applyFont="1" applyBorder="1" applyAlignment="1">
      <alignment horizontal="center"/>
    </xf>
    <xf numFmtId="1" fontId="37" fillId="0" borderId="14" xfId="0" applyNumberFormat="1" applyFont="1" applyBorder="1" applyAlignment="1">
      <alignment horizontal="center"/>
    </xf>
    <xf numFmtId="0" fontId="38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165" fontId="9" fillId="0" borderId="5" xfId="1" applyNumberFormat="1" applyFont="1" applyBorder="1" applyAlignment="1" applyProtection="1">
      <alignment horizontal="center"/>
    </xf>
    <xf numFmtId="0" fontId="1" fillId="0" borderId="14" xfId="0" applyFont="1" applyBorder="1" applyAlignment="1"/>
    <xf numFmtId="165" fontId="9" fillId="0" borderId="10" xfId="0" applyNumberFormat="1" applyFont="1" applyBorder="1" applyAlignment="1"/>
    <xf numFmtId="0" fontId="39" fillId="0" borderId="0" xfId="0" applyFont="1" applyAlignment="1"/>
    <xf numFmtId="0" fontId="38" fillId="3" borderId="13" xfId="0" applyFont="1" applyFill="1" applyBorder="1" applyAlignment="1">
      <alignment horizontal="center" vertical="center"/>
    </xf>
    <xf numFmtId="0" fontId="40" fillId="3" borderId="5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/>
    </xf>
    <xf numFmtId="165" fontId="39" fillId="0" borderId="33" xfId="0" applyNumberFormat="1" applyFont="1" applyBorder="1" applyAlignment="1"/>
    <xf numFmtId="165" fontId="39" fillId="0" borderId="14" xfId="0" applyNumberFormat="1" applyFont="1" applyBorder="1" applyAlignment="1"/>
    <xf numFmtId="165" fontId="39" fillId="0" borderId="0" xfId="0" applyNumberFormat="1" applyFont="1" applyAlignment="1"/>
    <xf numFmtId="10" fontId="6" fillId="0" borderId="0" xfId="0" applyNumberFormat="1" applyFont="1" applyAlignment="1">
      <alignment horizontal="center"/>
    </xf>
    <xf numFmtId="1" fontId="39" fillId="0" borderId="0" xfId="0" applyNumberFormat="1" applyFont="1" applyAlignment="1"/>
    <xf numFmtId="0" fontId="31" fillId="0" borderId="1" xfId="0" applyFont="1" applyBorder="1" applyAlignment="1"/>
    <xf numFmtId="1" fontId="31" fillId="0" borderId="14" xfId="0" applyNumberFormat="1" applyFont="1" applyBorder="1" applyAlignment="1"/>
    <xf numFmtId="1" fontId="31" fillId="0" borderId="0" xfId="0" applyNumberFormat="1" applyFont="1" applyAlignment="1"/>
    <xf numFmtId="0" fontId="31" fillId="0" borderId="34" xfId="0" applyFont="1" applyBorder="1" applyAlignment="1"/>
    <xf numFmtId="1" fontId="31" fillId="0" borderId="30" xfId="0" applyNumberFormat="1" applyFont="1" applyBorder="1" applyAlignment="1"/>
    <xf numFmtId="0" fontId="31" fillId="0" borderId="10" xfId="0" applyFont="1" applyBorder="1" applyAlignment="1"/>
    <xf numFmtId="1" fontId="31" fillId="0" borderId="15" xfId="0" applyNumberFormat="1" applyFont="1" applyBorder="1" applyAlignment="1"/>
    <xf numFmtId="2" fontId="9" fillId="0" borderId="0" xfId="0" applyNumberFormat="1" applyFont="1" applyAlignment="1"/>
    <xf numFmtId="0" fontId="42" fillId="0" borderId="32" xfId="0" applyFont="1" applyBorder="1" applyAlignment="1"/>
    <xf numFmtId="1" fontId="31" fillId="0" borderId="10" xfId="0" applyNumberFormat="1" applyFont="1" applyBorder="1" applyAlignment="1"/>
    <xf numFmtId="2" fontId="31" fillId="0" borderId="10" xfId="0" applyNumberFormat="1" applyFont="1" applyBorder="1" applyAlignment="1"/>
    <xf numFmtId="1" fontId="31" fillId="0" borderId="35" xfId="0" applyNumberFormat="1" applyFont="1" applyBorder="1" applyAlignment="1"/>
    <xf numFmtId="0" fontId="43" fillId="0" borderId="0" xfId="0" applyFont="1" applyAlignment="1"/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/>
    <xf numFmtId="0" fontId="28" fillId="0" borderId="0" xfId="0" applyFont="1" applyAlignment="1"/>
    <xf numFmtId="1" fontId="8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0" fontId="48" fillId="0" borderId="0" xfId="0" applyFont="1" applyAlignment="1"/>
    <xf numFmtId="0" fontId="50" fillId="0" borderId="0" xfId="0" applyFont="1" applyAlignment="1"/>
    <xf numFmtId="0" fontId="51" fillId="0" borderId="0" xfId="0" applyFont="1" applyAlignment="1">
      <alignment horizontal="center"/>
    </xf>
    <xf numFmtId="0" fontId="51" fillId="0" borderId="0" xfId="0" applyFont="1" applyAlignment="1"/>
    <xf numFmtId="0" fontId="61" fillId="0" borderId="0" xfId="0" applyFont="1" applyAlignment="1"/>
    <xf numFmtId="0" fontId="62" fillId="0" borderId="0" xfId="0" applyFont="1" applyAlignment="1"/>
    <xf numFmtId="0" fontId="63" fillId="0" borderId="39" xfId="0" applyFont="1" applyBorder="1" applyAlignment="1"/>
    <xf numFmtId="0" fontId="65" fillId="0" borderId="43" xfId="0" applyFont="1" applyBorder="1" applyAlignment="1"/>
    <xf numFmtId="0" fontId="65" fillId="0" borderId="44" xfId="0" applyFont="1" applyBorder="1" applyAlignment="1"/>
    <xf numFmtId="0" fontId="65" fillId="0" borderId="45" xfId="0" applyFont="1" applyBorder="1" applyAlignment="1"/>
    <xf numFmtId="0" fontId="65" fillId="0" borderId="46" xfId="0" applyFont="1" applyBorder="1" applyAlignment="1"/>
    <xf numFmtId="0" fontId="2" fillId="0" borderId="0" xfId="0" applyFont="1" applyAlignment="1"/>
    <xf numFmtId="1" fontId="2" fillId="0" borderId="0" xfId="0" applyNumberFormat="1" applyFont="1" applyAlignment="1"/>
    <xf numFmtId="0" fontId="29" fillId="0" borderId="0" xfId="0" applyFont="1">
      <alignment vertical="center"/>
    </xf>
    <xf numFmtId="0" fontId="63" fillId="0" borderId="32" xfId="0" applyFont="1" applyBorder="1" applyAlignment="1"/>
    <xf numFmtId="1" fontId="65" fillId="0" borderId="22" xfId="0" applyNumberFormat="1" applyFont="1" applyBorder="1" applyAlignment="1"/>
    <xf numFmtId="1" fontId="65" fillId="0" borderId="45" xfId="0" applyNumberFormat="1" applyFont="1" applyBorder="1" applyAlignment="1"/>
    <xf numFmtId="0" fontId="64" fillId="0" borderId="14" xfId="0" applyFont="1" applyBorder="1" applyAlignment="1"/>
    <xf numFmtId="0" fontId="29" fillId="0" borderId="2" xfId="0" applyFont="1" applyBorder="1" applyAlignment="1"/>
    <xf numFmtId="0" fontId="65" fillId="0" borderId="14" xfId="0" applyFont="1" applyBorder="1" applyAlignment="1"/>
    <xf numFmtId="0" fontId="28" fillId="0" borderId="1" xfId="0" applyFont="1" applyBorder="1">
      <alignment vertical="center"/>
    </xf>
    <xf numFmtId="0" fontId="66" fillId="0" borderId="2" xfId="0" applyFont="1" applyBorder="1" applyAlignment="1"/>
    <xf numFmtId="0" fontId="0" fillId="0" borderId="15" xfId="0" applyBorder="1" applyAlignment="1"/>
    <xf numFmtId="9" fontId="29" fillId="0" borderId="15" xfId="0" applyNumberFormat="1" applyFont="1" applyBorder="1" applyAlignment="1"/>
    <xf numFmtId="0" fontId="15" fillId="0" borderId="1" xfId="0" applyFont="1" applyBorder="1" applyAlignment="1"/>
    <xf numFmtId="0" fontId="15" fillId="0" borderId="2" xfId="0" applyFont="1" applyBorder="1" applyAlignment="1"/>
    <xf numFmtId="0" fontId="29" fillId="0" borderId="15" xfId="0" applyFont="1" applyBorder="1" applyAlignment="1"/>
    <xf numFmtId="1" fontId="29" fillId="0" borderId="15" xfId="0" applyNumberFormat="1" applyFont="1" applyBorder="1" applyAlignment="1"/>
    <xf numFmtId="0" fontId="54" fillId="0" borderId="0" xfId="0" applyFont="1" applyAlignment="1"/>
    <xf numFmtId="0" fontId="67" fillId="0" borderId="0" xfId="0" applyFont="1" applyAlignment="1"/>
    <xf numFmtId="165" fontId="6" fillId="0" borderId="23" xfId="0" applyNumberFormat="1" applyFont="1" applyBorder="1" applyAlignment="1"/>
    <xf numFmtId="165" fontId="69" fillId="0" borderId="0" xfId="0" applyNumberFormat="1" applyFont="1" applyAlignment="1"/>
    <xf numFmtId="165" fontId="69" fillId="0" borderId="15" xfId="0" applyNumberFormat="1" applyFont="1" applyBorder="1" applyAlignment="1"/>
    <xf numFmtId="3" fontId="6" fillId="0" borderId="9" xfId="0" applyNumberFormat="1" applyFont="1" applyBorder="1" applyAlignment="1"/>
    <xf numFmtId="0" fontId="70" fillId="0" borderId="0" xfId="0" applyFont="1" applyAlignment="1"/>
    <xf numFmtId="0" fontId="71" fillId="0" borderId="0" xfId="0" applyFont="1" applyAlignment="1"/>
    <xf numFmtId="0" fontId="6" fillId="0" borderId="43" xfId="0" applyFont="1" applyBorder="1" applyAlignment="1"/>
    <xf numFmtId="3" fontId="2" fillId="0" borderId="0" xfId="0" applyNumberFormat="1" applyFont="1" applyAlignment="1"/>
    <xf numFmtId="0" fontId="6" fillId="0" borderId="10" xfId="0" applyFont="1" applyBorder="1" applyAlignment="1"/>
    <xf numFmtId="3" fontId="2" fillId="0" borderId="14" xfId="0" applyNumberFormat="1" applyFont="1" applyBorder="1" applyAlignment="1"/>
    <xf numFmtId="0" fontId="2" fillId="0" borderId="1" xfId="0" applyFont="1" applyBorder="1" applyAlignment="1"/>
    <xf numFmtId="0" fontId="1" fillId="0" borderId="2" xfId="0" applyFont="1" applyBorder="1" applyAlignment="1"/>
    <xf numFmtId="165" fontId="2" fillId="0" borderId="2" xfId="0" applyNumberFormat="1" applyFont="1" applyBorder="1" applyAlignment="1">
      <alignment horizontal="right"/>
    </xf>
    <xf numFmtId="165" fontId="2" fillId="0" borderId="15" xfId="0" applyNumberFormat="1" applyFont="1" applyBorder="1" applyAlignment="1">
      <alignment horizontal="right"/>
    </xf>
    <xf numFmtId="165" fontId="72" fillId="0" borderId="14" xfId="0" applyNumberFormat="1" applyFont="1" applyBorder="1" applyAlignment="1"/>
    <xf numFmtId="165" fontId="67" fillId="0" borderId="0" xfId="0" applyNumberFormat="1" applyFont="1" applyAlignment="1"/>
    <xf numFmtId="165" fontId="6" fillId="0" borderId="43" xfId="0" applyNumberFormat="1" applyFont="1" applyBorder="1" applyAlignment="1"/>
    <xf numFmtId="169" fontId="6" fillId="0" borderId="43" xfId="1" applyNumberFormat="1" applyFont="1" applyBorder="1" applyProtection="1"/>
    <xf numFmtId="169" fontId="1" fillId="0" borderId="0" xfId="0" applyNumberFormat="1" applyFont="1" applyAlignment="1"/>
    <xf numFmtId="3" fontId="2" fillId="0" borderId="15" xfId="0" applyNumberFormat="1" applyFont="1" applyBorder="1" applyAlignment="1"/>
    <xf numFmtId="0" fontId="4" fillId="0" borderId="6" xfId="0" applyFont="1" applyBorder="1" applyAlignment="1"/>
    <xf numFmtId="0" fontId="1" fillId="0" borderId="21" xfId="0" applyFont="1" applyBorder="1" applyAlignment="1"/>
    <xf numFmtId="0" fontId="8" fillId="0" borderId="1" xfId="0" applyFont="1" applyBorder="1" applyAlignment="1"/>
    <xf numFmtId="0" fontId="39" fillId="0" borderId="2" xfId="0" applyFont="1" applyBorder="1" applyAlignment="1"/>
    <xf numFmtId="0" fontId="9" fillId="0" borderId="1" xfId="0" applyFont="1" applyBorder="1" applyAlignment="1"/>
    <xf numFmtId="0" fontId="4" fillId="0" borderId="1" xfId="0" applyFont="1" applyBorder="1">
      <alignment vertical="center"/>
    </xf>
    <xf numFmtId="0" fontId="1" fillId="0" borderId="15" xfId="0" applyFont="1" applyBorder="1" applyAlignment="1"/>
    <xf numFmtId="0" fontId="1" fillId="0" borderId="34" xfId="0" applyFont="1" applyBorder="1" applyAlignment="1"/>
    <xf numFmtId="3" fontId="73" fillId="0" borderId="0" xfId="0" applyNumberFormat="1" applyFont="1" applyAlignment="1">
      <alignment horizontal="right"/>
    </xf>
    <xf numFmtId="165" fontId="0" fillId="0" borderId="0" xfId="0" applyNumberFormat="1">
      <alignment vertical="center"/>
    </xf>
    <xf numFmtId="3" fontId="29" fillId="0" borderId="0" xfId="0" applyNumberFormat="1" applyFont="1" applyAlignment="1"/>
    <xf numFmtId="0" fontId="29" fillId="0" borderId="0" xfId="0" applyFont="1" applyAlignment="1"/>
    <xf numFmtId="165" fontId="72" fillId="0" borderId="14" xfId="0" applyNumberFormat="1" applyFont="1" applyBorder="1" applyAlignment="1">
      <alignment horizontal="right"/>
    </xf>
    <xf numFmtId="169" fontId="74" fillId="0" borderId="9" xfId="1" applyNumberFormat="1" applyFont="1" applyBorder="1" applyProtection="1"/>
    <xf numFmtId="165" fontId="74" fillId="0" borderId="9" xfId="0" applyNumberFormat="1" applyFont="1" applyBorder="1" applyAlignment="1"/>
    <xf numFmtId="0" fontId="75" fillId="0" borderId="14" xfId="1" applyNumberFormat="1" applyFont="1" applyBorder="1" applyProtection="1"/>
    <xf numFmtId="0" fontId="75" fillId="0" borderId="14" xfId="0" applyFont="1" applyBorder="1" applyAlignment="1"/>
    <xf numFmtId="0" fontId="30" fillId="0" borderId="14" xfId="0" applyFont="1" applyBorder="1" applyAlignment="1"/>
    <xf numFmtId="169" fontId="74" fillId="0" borderId="10" xfId="1" applyNumberFormat="1" applyFont="1" applyBorder="1" applyProtection="1"/>
    <xf numFmtId="0" fontId="1" fillId="0" borderId="30" xfId="0" applyFont="1" applyBorder="1" applyAlignment="1"/>
    <xf numFmtId="0" fontId="61" fillId="0" borderId="0" xfId="0" applyFont="1" applyAlignment="1">
      <alignment horizontal="center"/>
    </xf>
    <xf numFmtId="0" fontId="77" fillId="0" borderId="0" xfId="0" applyFont="1" applyAlignment="1"/>
    <xf numFmtId="0" fontId="65" fillId="0" borderId="0" xfId="0" applyFont="1" applyAlignment="1">
      <alignment horizontal="center"/>
    </xf>
    <xf numFmtId="9" fontId="29" fillId="0" borderId="0" xfId="0" applyNumberFormat="1" applyFont="1" applyAlignment="1">
      <alignment horizontal="center"/>
    </xf>
    <xf numFmtId="169" fontId="28" fillId="0" borderId="0" xfId="0" applyNumberFormat="1" applyFont="1" applyAlignment="1"/>
    <xf numFmtId="169" fontId="11" fillId="0" borderId="0" xfId="0" applyNumberFormat="1" applyFont="1" applyAlignment="1"/>
    <xf numFmtId="169" fontId="15" fillId="0" borderId="0" xfId="0" applyNumberFormat="1" applyFont="1" applyAlignment="1"/>
    <xf numFmtId="0" fontId="78" fillId="0" borderId="0" xfId="0" applyFont="1" applyAlignment="1"/>
    <xf numFmtId="0" fontId="79" fillId="0" borderId="0" xfId="0" applyFont="1" applyAlignment="1"/>
    <xf numFmtId="0" fontId="80" fillId="0" borderId="0" xfId="0" applyFont="1" applyAlignment="1"/>
    <xf numFmtId="0" fontId="81" fillId="0" borderId="22" xfId="0" applyFont="1" applyBorder="1" applyAlignment="1"/>
    <xf numFmtId="0" fontId="84" fillId="0" borderId="3" xfId="0" applyFont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85" fillId="0" borderId="1" xfId="0" applyFont="1" applyBorder="1" applyAlignment="1">
      <alignment horizontal="left"/>
    </xf>
    <xf numFmtId="18" fontId="85" fillId="0" borderId="14" xfId="0" applyNumberFormat="1" applyFont="1" applyBorder="1" applyAlignment="1">
      <alignment horizontal="center"/>
    </xf>
    <xf numFmtId="173" fontId="86" fillId="0" borderId="14" xfId="0" applyNumberFormat="1" applyFont="1" applyBorder="1" applyAlignment="1">
      <alignment horizontal="center"/>
    </xf>
    <xf numFmtId="165" fontId="87" fillId="0" borderId="31" xfId="1" applyNumberFormat="1" applyFont="1" applyBorder="1" applyAlignment="1" applyProtection="1">
      <alignment horizontal="center" vertical="top"/>
    </xf>
    <xf numFmtId="170" fontId="87" fillId="0" borderId="4" xfId="1" applyNumberFormat="1" applyFont="1" applyBorder="1" applyAlignment="1" applyProtection="1">
      <alignment horizontal="center" vertical="top"/>
    </xf>
    <xf numFmtId="0" fontId="88" fillId="0" borderId="39" xfId="0" applyFont="1" applyBorder="1" applyAlignment="1">
      <alignment horizontal="left"/>
    </xf>
    <xf numFmtId="1" fontId="89" fillId="2" borderId="41" xfId="0" applyNumberFormat="1" applyFont="1" applyFill="1" applyBorder="1" applyAlignment="1">
      <alignment horizontal="center"/>
    </xf>
    <xf numFmtId="0" fontId="90" fillId="2" borderId="54" xfId="0" applyFont="1" applyFill="1" applyBorder="1" applyAlignment="1">
      <alignment horizontal="center"/>
    </xf>
    <xf numFmtId="0" fontId="90" fillId="2" borderId="55" xfId="0" applyFont="1" applyFill="1" applyBorder="1" applyAlignment="1">
      <alignment horizontal="center"/>
    </xf>
    <xf numFmtId="0" fontId="90" fillId="2" borderId="55" xfId="1" applyNumberFormat="1" applyFont="1" applyFill="1" applyBorder="1" applyAlignment="1" applyProtection="1">
      <alignment horizontal="center" vertical="top"/>
    </xf>
    <xf numFmtId="1" fontId="21" fillId="2" borderId="51" xfId="0" applyNumberFormat="1" applyFont="1" applyFill="1" applyBorder="1" applyAlignment="1">
      <alignment horizontal="center"/>
    </xf>
    <xf numFmtId="173" fontId="91" fillId="0" borderId="43" xfId="0" applyNumberFormat="1" applyFont="1" applyBorder="1" applyAlignment="1">
      <alignment horizontal="center"/>
    </xf>
    <xf numFmtId="14" fontId="91" fillId="0" borderId="56" xfId="0" applyNumberFormat="1" applyFont="1" applyBorder="1" applyAlignment="1">
      <alignment horizontal="center"/>
    </xf>
    <xf numFmtId="0" fontId="92" fillId="0" borderId="1" xfId="0" applyFont="1" applyBorder="1" applyAlignment="1">
      <alignment horizontal="left"/>
    </xf>
    <xf numFmtId="1" fontId="93" fillId="0" borderId="14" xfId="0" applyNumberFormat="1" applyFont="1" applyBorder="1" applyAlignment="1">
      <alignment horizontal="center"/>
    </xf>
    <xf numFmtId="14" fontId="93" fillId="0" borderId="10" xfId="0" applyNumberFormat="1" applyFont="1" applyBorder="1" applyAlignment="1">
      <alignment horizontal="center"/>
    </xf>
    <xf numFmtId="165" fontId="93" fillId="2" borderId="3" xfId="0" applyNumberFormat="1" applyFont="1" applyFill="1" applyBorder="1" applyAlignment="1">
      <alignment horizontal="center"/>
    </xf>
    <xf numFmtId="0" fontId="92" fillId="0" borderId="0" xfId="0" applyFont="1" applyAlignment="1">
      <alignment horizontal="left"/>
    </xf>
    <xf numFmtId="1" fontId="93" fillId="0" borderId="0" xfId="0" applyNumberFormat="1" applyFont="1" applyAlignment="1">
      <alignment horizontal="center"/>
    </xf>
    <xf numFmtId="14" fontId="93" fillId="0" borderId="0" xfId="0" applyNumberFormat="1" applyFont="1" applyAlignment="1">
      <alignment horizontal="center"/>
    </xf>
    <xf numFmtId="0" fontId="93" fillId="2" borderId="0" xfId="0" applyFont="1" applyFill="1" applyAlignment="1">
      <alignment horizontal="center"/>
    </xf>
    <xf numFmtId="0" fontId="94" fillId="0" borderId="27" xfId="0" applyFont="1" applyBorder="1" applyAlignment="1">
      <alignment horizontal="left"/>
    </xf>
    <xf numFmtId="1" fontId="95" fillId="0" borderId="38" xfId="0" applyNumberFormat="1" applyFont="1" applyBorder="1" applyAlignment="1">
      <alignment horizontal="center"/>
    </xf>
    <xf numFmtId="14" fontId="96" fillId="0" borderId="23" xfId="0" applyNumberFormat="1" applyFont="1" applyBorder="1" applyAlignment="1">
      <alignment horizontal="center"/>
    </xf>
    <xf numFmtId="0" fontId="97" fillId="2" borderId="27" xfId="0" applyFont="1" applyFill="1" applyBorder="1" applyAlignment="1">
      <alignment horizontal="center"/>
    </xf>
    <xf numFmtId="0" fontId="97" fillId="2" borderId="57" xfId="0" applyFont="1" applyFill="1" applyBorder="1" applyAlignment="1">
      <alignment horizontal="center"/>
    </xf>
    <xf numFmtId="0" fontId="97" fillId="2" borderId="57" xfId="1" applyNumberFormat="1" applyFont="1" applyFill="1" applyBorder="1" applyAlignment="1" applyProtection="1">
      <alignment horizontal="center" vertical="top"/>
    </xf>
    <xf numFmtId="0" fontId="94" fillId="0" borderId="40" xfId="0" applyFont="1" applyBorder="1" applyAlignment="1">
      <alignment horizontal="left"/>
    </xf>
    <xf numFmtId="1" fontId="95" fillId="0" borderId="41" xfId="0" applyNumberFormat="1" applyFont="1" applyBorder="1" applyAlignment="1">
      <alignment horizontal="center"/>
    </xf>
    <xf numFmtId="14" fontId="96" fillId="0" borderId="43" xfId="0" applyNumberFormat="1" applyFont="1" applyBorder="1" applyAlignment="1">
      <alignment horizontal="center"/>
    </xf>
    <xf numFmtId="0" fontId="97" fillId="2" borderId="40" xfId="0" applyFont="1" applyFill="1" applyBorder="1" applyAlignment="1">
      <alignment horizontal="center"/>
    </xf>
    <xf numFmtId="0" fontId="97" fillId="2" borderId="58" xfId="0" applyFont="1" applyFill="1" applyBorder="1" applyAlignment="1">
      <alignment horizontal="center"/>
    </xf>
    <xf numFmtId="0" fontId="97" fillId="2" borderId="58" xfId="1" applyNumberFormat="1" applyFont="1" applyFill="1" applyBorder="1" applyAlignment="1" applyProtection="1">
      <alignment horizontal="center" vertical="top"/>
    </xf>
    <xf numFmtId="0" fontId="88" fillId="0" borderId="52" xfId="0" applyFont="1" applyBorder="1" applyAlignment="1">
      <alignment horizontal="left"/>
    </xf>
    <xf numFmtId="1" fontId="21" fillId="2" borderId="53" xfId="0" applyNumberFormat="1" applyFont="1" applyFill="1" applyBorder="1" applyAlignment="1">
      <alignment horizontal="center"/>
    </xf>
    <xf numFmtId="14" fontId="91" fillId="0" borderId="46" xfId="0" applyNumberFormat="1" applyFont="1" applyBorder="1" applyAlignment="1">
      <alignment horizontal="center"/>
    </xf>
    <xf numFmtId="0" fontId="90" fillId="2" borderId="52" xfId="0" applyFont="1" applyFill="1" applyBorder="1" applyAlignment="1">
      <alignment horizontal="center"/>
    </xf>
    <xf numFmtId="0" fontId="92" fillId="0" borderId="3" xfId="0" applyFont="1" applyBorder="1" applyAlignment="1">
      <alignment horizontal="left"/>
    </xf>
    <xf numFmtId="1" fontId="93" fillId="0" borderId="5" xfId="0" applyNumberFormat="1" applyFont="1" applyBorder="1" applyAlignment="1">
      <alignment horizontal="center"/>
    </xf>
    <xf numFmtId="14" fontId="93" fillId="0" borderId="1" xfId="0" applyNumberFormat="1" applyFont="1" applyBorder="1" applyAlignment="1">
      <alignment horizontal="center"/>
    </xf>
    <xf numFmtId="0" fontId="93" fillId="2" borderId="3" xfId="0" applyFont="1" applyFill="1" applyBorder="1" applyAlignment="1">
      <alignment horizontal="center"/>
    </xf>
    <xf numFmtId="0" fontId="93" fillId="2" borderId="4" xfId="0" applyFont="1" applyFill="1" applyBorder="1" applyAlignment="1">
      <alignment horizontal="center"/>
    </xf>
    <xf numFmtId="14" fontId="96" fillId="0" borderId="45" xfId="0" applyNumberFormat="1" applyFont="1" applyBorder="1" applyAlignment="1">
      <alignment horizontal="center"/>
    </xf>
    <xf numFmtId="0" fontId="97" fillId="2" borderId="59" xfId="0" applyFont="1" applyFill="1" applyBorder="1" applyAlignment="1">
      <alignment horizontal="center"/>
    </xf>
    <xf numFmtId="0" fontId="97" fillId="2" borderId="61" xfId="0" applyFont="1" applyFill="1" applyBorder="1" applyAlignment="1">
      <alignment horizontal="center"/>
    </xf>
    <xf numFmtId="0" fontId="97" fillId="2" borderId="61" xfId="1" applyNumberFormat="1" applyFont="1" applyFill="1" applyBorder="1" applyAlignment="1" applyProtection="1">
      <alignment horizontal="center" vertical="top"/>
    </xf>
    <xf numFmtId="0" fontId="81" fillId="0" borderId="14" xfId="0" applyFont="1" applyBorder="1" applyAlignment="1">
      <alignment horizontal="center"/>
    </xf>
    <xf numFmtId="0" fontId="83" fillId="0" borderId="9" xfId="0" applyFont="1" applyBorder="1" applyAlignment="1"/>
    <xf numFmtId="165" fontId="87" fillId="0" borderId="4" xfId="1" applyNumberFormat="1" applyFont="1" applyBorder="1" applyAlignment="1" applyProtection="1">
      <alignment horizontal="center" vertical="top"/>
    </xf>
    <xf numFmtId="0" fontId="87" fillId="0" borderId="16" xfId="1" applyNumberFormat="1" applyFont="1" applyBorder="1" applyAlignment="1" applyProtection="1">
      <alignment horizontal="center" vertical="top"/>
    </xf>
    <xf numFmtId="43" fontId="87" fillId="0" borderId="2" xfId="1" applyFont="1" applyBorder="1" applyAlignment="1" applyProtection="1">
      <alignment horizontal="center" vertical="top"/>
    </xf>
    <xf numFmtId="165" fontId="87" fillId="0" borderId="3" xfId="1" applyNumberFormat="1" applyFont="1" applyBorder="1" applyAlignment="1" applyProtection="1">
      <alignment horizontal="center" vertical="top"/>
    </xf>
    <xf numFmtId="169" fontId="90" fillId="2" borderId="62" xfId="1" applyNumberFormat="1" applyFont="1" applyFill="1" applyBorder="1" applyAlignment="1" applyProtection="1">
      <alignment horizontal="center" vertical="top"/>
    </xf>
    <xf numFmtId="43" fontId="90" fillId="2" borderId="56" xfId="1" applyFont="1" applyFill="1" applyBorder="1" applyAlignment="1" applyProtection="1">
      <alignment horizontal="center" vertical="top"/>
    </xf>
    <xf numFmtId="0" fontId="90" fillId="2" borderId="52" xfId="1" applyNumberFormat="1" applyFont="1" applyFill="1" applyBorder="1" applyAlignment="1" applyProtection="1">
      <alignment horizontal="center" vertical="top"/>
    </xf>
    <xf numFmtId="43" fontId="90" fillId="2" borderId="62" xfId="1" applyFont="1" applyFill="1" applyBorder="1" applyAlignment="1" applyProtection="1">
      <alignment horizontal="center" vertical="top"/>
    </xf>
    <xf numFmtId="164" fontId="90" fillId="2" borderId="62" xfId="2" applyFont="1" applyFill="1" applyBorder="1" applyAlignment="1" applyProtection="1">
      <alignment horizontal="center" vertical="top"/>
    </xf>
    <xf numFmtId="43" fontId="93" fillId="2" borderId="0" xfId="1" applyFont="1" applyFill="1" applyAlignment="1" applyProtection="1">
      <alignment horizontal="center" vertical="top"/>
    </xf>
    <xf numFmtId="0" fontId="93" fillId="2" borderId="0" xfId="1" applyNumberFormat="1" applyFont="1" applyFill="1" applyAlignment="1" applyProtection="1">
      <alignment horizontal="center" vertical="top"/>
    </xf>
    <xf numFmtId="43" fontId="97" fillId="2" borderId="63" xfId="1" applyFont="1" applyFill="1" applyBorder="1" applyAlignment="1" applyProtection="1">
      <alignment horizontal="center" vertical="top"/>
    </xf>
    <xf numFmtId="43" fontId="97" fillId="2" borderId="42" xfId="1" applyFont="1" applyFill="1" applyBorder="1" applyAlignment="1" applyProtection="1">
      <alignment horizontal="center" vertical="top"/>
    </xf>
    <xf numFmtId="0" fontId="97" fillId="2" borderId="27" xfId="1" applyNumberFormat="1" applyFont="1" applyFill="1" applyBorder="1" applyAlignment="1" applyProtection="1">
      <alignment horizontal="center" vertical="top"/>
    </xf>
    <xf numFmtId="0" fontId="97" fillId="2" borderId="64" xfId="1" applyNumberFormat="1" applyFont="1" applyFill="1" applyBorder="1" applyAlignment="1" applyProtection="1">
      <alignment horizontal="center" vertical="top"/>
    </xf>
    <xf numFmtId="43" fontId="97" fillId="2" borderId="44" xfId="1" applyFont="1" applyFill="1" applyBorder="1" applyAlignment="1" applyProtection="1">
      <alignment horizontal="center" vertical="top"/>
    </xf>
    <xf numFmtId="0" fontId="97" fillId="2" borderId="40" xfId="1" applyNumberFormat="1" applyFont="1" applyFill="1" applyBorder="1" applyAlignment="1" applyProtection="1">
      <alignment horizontal="center" vertical="top"/>
    </xf>
    <xf numFmtId="43" fontId="97" fillId="2" borderId="64" xfId="1" applyFont="1" applyFill="1" applyBorder="1" applyAlignment="1" applyProtection="1">
      <alignment horizontal="center" vertical="top"/>
    </xf>
    <xf numFmtId="43" fontId="90" fillId="2" borderId="65" xfId="1" applyFont="1" applyFill="1" applyBorder="1" applyAlignment="1" applyProtection="1">
      <alignment horizontal="center" vertical="top"/>
    </xf>
    <xf numFmtId="0" fontId="93" fillId="2" borderId="16" xfId="0" applyFont="1" applyFill="1" applyBorder="1" applyAlignment="1">
      <alignment horizontal="center"/>
    </xf>
    <xf numFmtId="43" fontId="93" fillId="2" borderId="2" xfId="1" applyFont="1" applyFill="1" applyBorder="1" applyAlignment="1" applyProtection="1">
      <alignment horizontal="center" vertical="top"/>
    </xf>
    <xf numFmtId="0" fontId="93" fillId="2" borderId="3" xfId="1" applyNumberFormat="1" applyFont="1" applyFill="1" applyBorder="1" applyAlignment="1" applyProtection="1">
      <alignment horizontal="center" vertical="top"/>
    </xf>
    <xf numFmtId="0" fontId="93" fillId="2" borderId="4" xfId="1" applyNumberFormat="1" applyFont="1" applyFill="1" applyBorder="1" applyAlignment="1" applyProtection="1">
      <alignment horizontal="center" vertical="top"/>
    </xf>
    <xf numFmtId="43" fontId="97" fillId="2" borderId="66" xfId="1" applyFont="1" applyFill="1" applyBorder="1" applyAlignment="1" applyProtection="1">
      <alignment horizontal="center" vertical="top"/>
    </xf>
    <xf numFmtId="43" fontId="97" fillId="2" borderId="67" xfId="1" applyFont="1" applyFill="1" applyBorder="1" applyAlignment="1" applyProtection="1">
      <alignment horizontal="center" vertical="top"/>
    </xf>
    <xf numFmtId="0" fontId="97" fillId="2" borderId="59" xfId="1" applyNumberFormat="1" applyFont="1" applyFill="1" applyBorder="1" applyAlignment="1" applyProtection="1">
      <alignment horizontal="center" vertical="top"/>
    </xf>
    <xf numFmtId="169" fontId="97" fillId="2" borderId="64" xfId="1" applyNumberFormat="1" applyFont="1" applyFill="1" applyBorder="1" applyAlignment="1" applyProtection="1">
      <alignment horizontal="center" vertical="top"/>
    </xf>
    <xf numFmtId="0" fontId="83" fillId="0" borderId="14" xfId="0" applyFont="1" applyBorder="1" applyAlignment="1">
      <alignment horizontal="center"/>
    </xf>
    <xf numFmtId="174" fontId="87" fillId="0" borderId="5" xfId="1" applyNumberFormat="1" applyFont="1" applyBorder="1" applyAlignment="1" applyProtection="1">
      <alignment horizontal="center" vertical="top"/>
    </xf>
    <xf numFmtId="0" fontId="87" fillId="0" borderId="3" xfId="1" applyNumberFormat="1" applyFont="1" applyBorder="1" applyAlignment="1" applyProtection="1">
      <alignment horizontal="center" vertical="top"/>
    </xf>
    <xf numFmtId="0" fontId="90" fillId="2" borderId="62" xfId="1" applyNumberFormat="1" applyFont="1" applyFill="1" applyBorder="1" applyAlignment="1" applyProtection="1">
      <alignment horizontal="center" vertical="top"/>
    </xf>
    <xf numFmtId="169" fontId="97" fillId="2" borderId="63" xfId="1" applyNumberFormat="1" applyFont="1" applyFill="1" applyBorder="1" applyAlignment="1" applyProtection="1">
      <alignment vertical="top"/>
    </xf>
    <xf numFmtId="0" fontId="93" fillId="2" borderId="16" xfId="1" applyNumberFormat="1" applyFont="1" applyFill="1" applyBorder="1" applyAlignment="1" applyProtection="1">
      <alignment horizontal="center" vertical="top"/>
    </xf>
    <xf numFmtId="0" fontId="19" fillId="3" borderId="9" xfId="0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5" fontId="87" fillId="0" borderId="14" xfId="1" applyNumberFormat="1" applyFont="1" applyBorder="1" applyAlignment="1" applyProtection="1">
      <alignment horizontal="center" vertical="top"/>
    </xf>
    <xf numFmtId="165" fontId="87" fillId="0" borderId="2" xfId="1" applyNumberFormat="1" applyFont="1" applyBorder="1" applyAlignment="1" applyProtection="1">
      <alignment horizontal="center" vertical="top"/>
    </xf>
    <xf numFmtId="0" fontId="90" fillId="2" borderId="62" xfId="0" applyFont="1" applyFill="1" applyBorder="1" applyAlignment="1">
      <alignment horizontal="center"/>
    </xf>
    <xf numFmtId="0" fontId="90" fillId="2" borderId="39" xfId="1" applyNumberFormat="1" applyFont="1" applyFill="1" applyBorder="1" applyAlignment="1" applyProtection="1">
      <alignment horizontal="center" vertical="top"/>
    </xf>
    <xf numFmtId="0" fontId="90" fillId="2" borderId="51" xfId="1" applyNumberFormat="1" applyFont="1" applyFill="1" applyBorder="1" applyAlignment="1" applyProtection="1">
      <alignment horizontal="center" vertical="top"/>
    </xf>
    <xf numFmtId="0" fontId="97" fillId="2" borderId="63" xfId="0" applyFont="1" applyFill="1" applyBorder="1" applyAlignment="1">
      <alignment horizontal="center"/>
    </xf>
    <xf numFmtId="0" fontId="97" fillId="2" borderId="37" xfId="1" applyNumberFormat="1" applyFont="1" applyFill="1" applyBorder="1" applyAlignment="1" applyProtection="1">
      <alignment horizontal="center" vertical="top"/>
    </xf>
    <xf numFmtId="0" fontId="97" fillId="2" borderId="64" xfId="0" applyFont="1" applyFill="1" applyBorder="1" applyAlignment="1">
      <alignment horizontal="center"/>
    </xf>
    <xf numFmtId="0" fontId="97" fillId="2" borderId="39" xfId="1" applyNumberFormat="1" applyFont="1" applyFill="1" applyBorder="1" applyAlignment="1" applyProtection="1">
      <alignment horizontal="center" vertical="top"/>
    </xf>
    <xf numFmtId="0" fontId="93" fillId="2" borderId="1" xfId="1" applyNumberFormat="1" applyFont="1" applyFill="1" applyBorder="1" applyAlignment="1" applyProtection="1">
      <alignment horizontal="center" vertical="top"/>
    </xf>
    <xf numFmtId="0" fontId="97" fillId="2" borderId="66" xfId="0" applyFont="1" applyFill="1" applyBorder="1" applyAlignment="1">
      <alignment horizontal="center"/>
    </xf>
    <xf numFmtId="0" fontId="97" fillId="2" borderId="68" xfId="1" applyNumberFormat="1" applyFont="1" applyFill="1" applyBorder="1" applyAlignment="1" applyProtection="1">
      <alignment horizontal="center" vertical="top"/>
    </xf>
    <xf numFmtId="0" fontId="19" fillId="3" borderId="14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65" fontId="87" fillId="2" borderId="2" xfId="1" applyNumberFormat="1" applyFont="1" applyFill="1" applyBorder="1" applyAlignment="1" applyProtection="1">
      <alignment horizontal="center" vertical="top"/>
    </xf>
    <xf numFmtId="170" fontId="87" fillId="0" borderId="14" xfId="1" applyNumberFormat="1" applyFont="1" applyBorder="1" applyAlignment="1" applyProtection="1">
      <alignment horizontal="center" vertical="top"/>
    </xf>
    <xf numFmtId="165" fontId="87" fillId="0" borderId="15" xfId="0" applyNumberFormat="1" applyFont="1" applyBorder="1" applyAlignment="1">
      <alignment horizontal="center"/>
    </xf>
    <xf numFmtId="0" fontId="90" fillId="2" borderId="46" xfId="1" applyNumberFormat="1" applyFont="1" applyFill="1" applyBorder="1" applyAlignment="1" applyProtection="1">
      <alignment horizontal="center" vertical="top"/>
    </xf>
    <xf numFmtId="0" fontId="90" fillId="2" borderId="44" xfId="1" applyNumberFormat="1" applyFont="1" applyFill="1" applyBorder="1" applyAlignment="1" applyProtection="1">
      <alignment horizontal="center" vertical="top"/>
    </xf>
    <xf numFmtId="0" fontId="90" fillId="2" borderId="51" xfId="1" applyNumberFormat="1" applyFont="1" applyFill="1" applyBorder="1" applyAlignment="1" applyProtection="1">
      <alignment horizontal="center"/>
    </xf>
    <xf numFmtId="165" fontId="90" fillId="0" borderId="43" xfId="0" applyNumberFormat="1" applyFont="1" applyBorder="1" applyAlignment="1">
      <alignment horizontal="center"/>
    </xf>
    <xf numFmtId="0" fontId="18" fillId="0" borderId="0" xfId="0" applyFont="1" applyAlignment="1"/>
    <xf numFmtId="165" fontId="90" fillId="0" borderId="56" xfId="0" applyNumberFormat="1" applyFont="1" applyBorder="1" applyAlignment="1">
      <alignment horizontal="center"/>
    </xf>
    <xf numFmtId="0" fontId="18" fillId="0" borderId="2" xfId="0" applyFont="1" applyBorder="1" applyAlignment="1"/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/>
    <xf numFmtId="0" fontId="98" fillId="0" borderId="1" xfId="0" applyFont="1" applyBorder="1" applyAlignment="1">
      <alignment horizontal="center"/>
    </xf>
    <xf numFmtId="0" fontId="98" fillId="0" borderId="14" xfId="0" applyFont="1" applyBorder="1" applyAlignment="1">
      <alignment horizontal="center"/>
    </xf>
    <xf numFmtId="0" fontId="98" fillId="0" borderId="15" xfId="0" applyFont="1" applyBorder="1" applyAlignment="1">
      <alignment horizontal="center"/>
    </xf>
    <xf numFmtId="165" fontId="93" fillId="2" borderId="0" xfId="1" applyNumberFormat="1" applyFont="1" applyFill="1" applyAlignment="1" applyProtection="1">
      <alignment horizontal="center" vertical="top"/>
    </xf>
    <xf numFmtId="0" fontId="98" fillId="0" borderId="0" xfId="0" applyFont="1" applyAlignment="1">
      <alignment horizontal="center"/>
    </xf>
    <xf numFmtId="0" fontId="97" fillId="2" borderId="23" xfId="1" applyNumberFormat="1" applyFont="1" applyFill="1" applyBorder="1" applyAlignment="1" applyProtection="1">
      <alignment horizontal="center" vertical="top"/>
    </xf>
    <xf numFmtId="0" fontId="97" fillId="2" borderId="42" xfId="1" applyNumberFormat="1" applyFont="1" applyFill="1" applyBorder="1" applyAlignment="1" applyProtection="1">
      <alignment horizontal="center" vertical="top"/>
    </xf>
    <xf numFmtId="0" fontId="97" fillId="2" borderId="23" xfId="1" applyNumberFormat="1" applyFont="1" applyFill="1" applyBorder="1" applyAlignment="1" applyProtection="1">
      <alignment horizontal="center"/>
    </xf>
    <xf numFmtId="165" fontId="97" fillId="0" borderId="33" xfId="0" applyNumberFormat="1" applyFont="1" applyBorder="1" applyAlignment="1">
      <alignment horizontal="center"/>
    </xf>
    <xf numFmtId="0" fontId="97" fillId="2" borderId="43" xfId="1" applyNumberFormat="1" applyFont="1" applyFill="1" applyBorder="1" applyAlignment="1" applyProtection="1">
      <alignment horizontal="center" vertical="top"/>
    </xf>
    <xf numFmtId="0" fontId="97" fillId="2" borderId="44" xfId="1" applyNumberFormat="1" applyFont="1" applyFill="1" applyBorder="1" applyAlignment="1" applyProtection="1">
      <alignment horizontal="center" vertical="top"/>
    </xf>
    <xf numFmtId="0" fontId="97" fillId="2" borderId="43" xfId="1" applyNumberFormat="1" applyFont="1" applyFill="1" applyBorder="1" applyAlignment="1" applyProtection="1">
      <alignment horizontal="center"/>
    </xf>
    <xf numFmtId="165" fontId="97" fillId="0" borderId="47" xfId="0" applyNumberFormat="1" applyFont="1" applyBorder="1" applyAlignment="1">
      <alignment horizontal="center"/>
    </xf>
    <xf numFmtId="0" fontId="90" fillId="2" borderId="46" xfId="1" applyNumberFormat="1" applyFont="1" applyFill="1" applyBorder="1" applyAlignment="1" applyProtection="1">
      <alignment horizontal="center"/>
    </xf>
    <xf numFmtId="165" fontId="90" fillId="0" borderId="47" xfId="0" applyNumberFormat="1" applyFont="1" applyBorder="1" applyAlignment="1">
      <alignment horizontal="center"/>
    </xf>
    <xf numFmtId="0" fontId="18" fillId="0" borderId="6" xfId="0" applyFont="1" applyBorder="1" applyAlignment="1"/>
    <xf numFmtId="0" fontId="18" fillId="0" borderId="25" xfId="0" applyFont="1" applyBorder="1" applyAlignment="1"/>
    <xf numFmtId="0" fontId="93" fillId="2" borderId="14" xfId="1" applyNumberFormat="1" applyFont="1" applyFill="1" applyBorder="1" applyAlignment="1" applyProtection="1">
      <alignment horizontal="center" vertical="top"/>
    </xf>
    <xf numFmtId="0" fontId="93" fillId="2" borderId="2" xfId="1" applyNumberFormat="1" applyFont="1" applyFill="1" applyBorder="1" applyAlignment="1" applyProtection="1">
      <alignment horizontal="center" vertical="top"/>
    </xf>
    <xf numFmtId="165" fontId="93" fillId="2" borderId="1" xfId="1" applyNumberFormat="1" applyFont="1" applyFill="1" applyBorder="1" applyAlignment="1" applyProtection="1">
      <alignment horizontal="center" vertical="top"/>
    </xf>
    <xf numFmtId="0" fontId="97" fillId="2" borderId="45" xfId="1" applyNumberFormat="1" applyFont="1" applyFill="1" applyBorder="1" applyAlignment="1" applyProtection="1">
      <alignment horizontal="center" vertical="top"/>
    </xf>
    <xf numFmtId="0" fontId="97" fillId="2" borderId="67" xfId="1" applyNumberFormat="1" applyFont="1" applyFill="1" applyBorder="1" applyAlignment="1" applyProtection="1">
      <alignment horizontal="center" vertical="top"/>
    </xf>
    <xf numFmtId="0" fontId="97" fillId="2" borderId="45" xfId="1" applyNumberFormat="1" applyFont="1" applyFill="1" applyBorder="1" applyAlignment="1" applyProtection="1">
      <alignment horizontal="center"/>
    </xf>
    <xf numFmtId="165" fontId="97" fillId="0" borderId="69" xfId="0" applyNumberFormat="1" applyFont="1" applyBorder="1" applyAlignment="1">
      <alignment horizontal="center"/>
    </xf>
    <xf numFmtId="0" fontId="84" fillId="0" borderId="11" xfId="0" applyFont="1" applyBorder="1" applyAlignment="1">
      <alignment horizontal="left"/>
    </xf>
    <xf numFmtId="0" fontId="94" fillId="0" borderId="58" xfId="0" applyFont="1" applyBorder="1" applyAlignment="1">
      <alignment horizontal="left"/>
    </xf>
    <xf numFmtId="0" fontId="92" fillId="5" borderId="0" xfId="0" applyFont="1" applyFill="1" applyAlignment="1">
      <alignment horizontal="left"/>
    </xf>
    <xf numFmtId="1" fontId="93" fillId="5" borderId="0" xfId="0" applyNumberFormat="1" applyFont="1" applyFill="1" applyAlignment="1">
      <alignment horizontal="center"/>
    </xf>
    <xf numFmtId="14" fontId="93" fillId="5" borderId="0" xfId="0" applyNumberFormat="1" applyFont="1" applyFill="1" applyAlignment="1">
      <alignment horizontal="center"/>
    </xf>
    <xf numFmtId="0" fontId="93" fillId="5" borderId="0" xfId="0" applyFont="1" applyFill="1" applyAlignment="1">
      <alignment horizontal="center"/>
    </xf>
    <xf numFmtId="0" fontId="86" fillId="0" borderId="3" xfId="0" applyFont="1" applyBorder="1" applyAlignment="1">
      <alignment horizontal="left"/>
    </xf>
    <xf numFmtId="0" fontId="88" fillId="0" borderId="40" xfId="0" applyFont="1" applyBorder="1" applyAlignment="1">
      <alignment horizontal="left"/>
    </xf>
    <xf numFmtId="1" fontId="99" fillId="0" borderId="58" xfId="0" applyNumberFormat="1" applyFont="1" applyBorder="1" applyAlignment="1">
      <alignment horizontal="center"/>
    </xf>
    <xf numFmtId="14" fontId="91" fillId="0" borderId="41" xfId="0" applyNumberFormat="1" applyFont="1" applyBorder="1" applyAlignment="1">
      <alignment horizontal="center"/>
    </xf>
    <xf numFmtId="0" fontId="90" fillId="2" borderId="19" xfId="0" applyFont="1" applyFill="1" applyBorder="1" applyAlignment="1">
      <alignment horizontal="center"/>
    </xf>
    <xf numFmtId="0" fontId="90" fillId="2" borderId="20" xfId="0" applyFont="1" applyFill="1" applyBorder="1" applyAlignment="1">
      <alignment horizontal="center"/>
    </xf>
    <xf numFmtId="0" fontId="90" fillId="2" borderId="20" xfId="1" applyNumberFormat="1" applyFont="1" applyFill="1" applyBorder="1" applyAlignment="1" applyProtection="1">
      <alignment horizontal="center" vertical="top"/>
    </xf>
    <xf numFmtId="0" fontId="88" fillId="0" borderId="3" xfId="0" applyFont="1" applyBorder="1" applyAlignment="1">
      <alignment horizontal="left"/>
    </xf>
    <xf numFmtId="1" fontId="21" fillId="2" borderId="5" xfId="0" applyNumberFormat="1" applyFont="1" applyFill="1" applyBorder="1" applyAlignment="1">
      <alignment horizontal="center"/>
    </xf>
    <xf numFmtId="14" fontId="91" fillId="0" borderId="14" xfId="0" applyNumberFormat="1" applyFont="1" applyBorder="1" applyAlignment="1">
      <alignment horizontal="center"/>
    </xf>
    <xf numFmtId="0" fontId="90" fillId="2" borderId="3" xfId="0" applyFont="1" applyFill="1" applyBorder="1" applyAlignment="1">
      <alignment horizontal="center"/>
    </xf>
    <xf numFmtId="0" fontId="90" fillId="2" borderId="4" xfId="0" applyFont="1" applyFill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1" fillId="0" borderId="40" xfId="0" applyFont="1" applyBorder="1" applyAlignment="1">
      <alignment horizontal="left"/>
    </xf>
    <xf numFmtId="1" fontId="21" fillId="2" borderId="29" xfId="0" applyNumberFormat="1" applyFont="1" applyFill="1" applyBorder="1" applyAlignment="1">
      <alignment horizontal="center"/>
    </xf>
    <xf numFmtId="14" fontId="91" fillId="0" borderId="30" xfId="0" applyNumberFormat="1" applyFont="1" applyBorder="1" applyAlignment="1">
      <alignment horizontal="center"/>
    </xf>
    <xf numFmtId="0" fontId="102" fillId="0" borderId="40" xfId="0" applyFont="1" applyBorder="1" applyAlignment="1">
      <alignment horizontal="left"/>
    </xf>
    <xf numFmtId="0" fontId="103" fillId="0" borderId="6" xfId="0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02" fillId="0" borderId="27" xfId="0" applyFont="1" applyBorder="1" applyAlignment="1">
      <alignment horizontal="left"/>
    </xf>
    <xf numFmtId="1" fontId="21" fillId="2" borderId="38" xfId="0" applyNumberFormat="1" applyFont="1" applyFill="1" applyBorder="1" applyAlignment="1">
      <alignment horizontal="center"/>
    </xf>
    <xf numFmtId="14" fontId="91" fillId="0" borderId="37" xfId="0" applyNumberFormat="1" applyFont="1" applyBorder="1" applyAlignment="1">
      <alignment horizontal="center"/>
    </xf>
    <xf numFmtId="0" fontId="90" fillId="2" borderId="27" xfId="0" applyFont="1" applyFill="1" applyBorder="1" applyAlignment="1">
      <alignment horizontal="center"/>
    </xf>
    <xf numFmtId="0" fontId="90" fillId="2" borderId="57" xfId="0" applyFont="1" applyFill="1" applyBorder="1" applyAlignment="1">
      <alignment horizontal="center"/>
    </xf>
    <xf numFmtId="0" fontId="90" fillId="2" borderId="57" xfId="1" applyNumberFormat="1" applyFont="1" applyFill="1" applyBorder="1" applyAlignment="1" applyProtection="1">
      <alignment horizontal="center" vertical="top"/>
    </xf>
    <xf numFmtId="1" fontId="21" fillId="2" borderId="41" xfId="0" applyNumberFormat="1" applyFont="1" applyFill="1" applyBorder="1" applyAlignment="1">
      <alignment horizontal="center"/>
    </xf>
    <xf numFmtId="14" fontId="91" fillId="0" borderId="39" xfId="0" applyNumberFormat="1" applyFont="1" applyBorder="1" applyAlignment="1">
      <alignment horizontal="center"/>
    </xf>
    <xf numFmtId="0" fontId="90" fillId="2" borderId="40" xfId="0" applyFont="1" applyFill="1" applyBorder="1" applyAlignment="1">
      <alignment horizontal="center"/>
    </xf>
    <xf numFmtId="0" fontId="90" fillId="2" borderId="58" xfId="0" applyFont="1" applyFill="1" applyBorder="1" applyAlignment="1">
      <alignment horizontal="center"/>
    </xf>
    <xf numFmtId="0" fontId="90" fillId="2" borderId="58" xfId="1" applyNumberFormat="1" applyFont="1" applyFill="1" applyBorder="1" applyAlignment="1" applyProtection="1">
      <alignment horizontal="center" vertical="top"/>
    </xf>
    <xf numFmtId="0" fontId="88" fillId="0" borderId="70" xfId="0" applyFont="1" applyBorder="1" applyAlignment="1">
      <alignment horizontal="left"/>
    </xf>
    <xf numFmtId="1" fontId="21" fillId="2" borderId="71" xfId="0" applyNumberFormat="1" applyFont="1" applyFill="1" applyBorder="1" applyAlignment="1">
      <alignment horizontal="center"/>
    </xf>
    <xf numFmtId="14" fontId="91" fillId="0" borderId="49" xfId="0" applyNumberFormat="1" applyFont="1" applyBorder="1" applyAlignment="1">
      <alignment horizontal="center"/>
    </xf>
    <xf numFmtId="0" fontId="90" fillId="2" borderId="70" xfId="0" applyFont="1" applyFill="1" applyBorder="1" applyAlignment="1">
      <alignment horizontal="center"/>
    </xf>
    <xf numFmtId="0" fontId="90" fillId="2" borderId="72" xfId="0" applyFont="1" applyFill="1" applyBorder="1" applyAlignment="1">
      <alignment horizontal="center"/>
    </xf>
    <xf numFmtId="0" fontId="90" fillId="2" borderId="72" xfId="1" applyNumberFormat="1" applyFont="1" applyFill="1" applyBorder="1" applyAlignment="1" applyProtection="1">
      <alignment horizontal="center" vertical="top"/>
    </xf>
    <xf numFmtId="0" fontId="88" fillId="0" borderId="7" xfId="0" applyFont="1" applyBorder="1" applyAlignment="1">
      <alignment horizontal="left"/>
    </xf>
    <xf numFmtId="1" fontId="21" fillId="2" borderId="26" xfId="0" applyNumberFormat="1" applyFont="1" applyFill="1" applyBorder="1" applyAlignment="1">
      <alignment horizontal="center"/>
    </xf>
    <xf numFmtId="14" fontId="91" fillId="0" borderId="10" xfId="0" applyNumberFormat="1" applyFont="1" applyBorder="1" applyAlignment="1">
      <alignment horizontal="center"/>
    </xf>
    <xf numFmtId="0" fontId="90" fillId="2" borderId="7" xfId="0" applyFont="1" applyFill="1" applyBorder="1" applyAlignment="1">
      <alignment horizontal="center"/>
    </xf>
    <xf numFmtId="0" fontId="90" fillId="2" borderId="8" xfId="0" applyFont="1" applyFill="1" applyBorder="1" applyAlignment="1">
      <alignment horizontal="center"/>
    </xf>
    <xf numFmtId="0" fontId="101" fillId="6" borderId="40" xfId="0" applyFont="1" applyFill="1" applyBorder="1" applyAlignment="1">
      <alignment horizontal="left"/>
    </xf>
    <xf numFmtId="1" fontId="21" fillId="6" borderId="29" xfId="0" applyNumberFormat="1" applyFont="1" applyFill="1" applyBorder="1" applyAlignment="1">
      <alignment horizontal="center"/>
    </xf>
    <xf numFmtId="14" fontId="91" fillId="6" borderId="30" xfId="0" applyNumberFormat="1" applyFont="1" applyFill="1" applyBorder="1" applyAlignment="1">
      <alignment horizontal="center"/>
    </xf>
    <xf numFmtId="0" fontId="90" fillId="6" borderId="19" xfId="0" applyFont="1" applyFill="1" applyBorder="1" applyAlignment="1">
      <alignment horizontal="center"/>
    </xf>
    <xf numFmtId="0" fontId="90" fillId="6" borderId="20" xfId="0" applyFont="1" applyFill="1" applyBorder="1" applyAlignment="1">
      <alignment horizontal="center"/>
    </xf>
    <xf numFmtId="0" fontId="90" fillId="6" borderId="20" xfId="1" applyNumberFormat="1" applyFont="1" applyFill="1" applyBorder="1" applyAlignment="1" applyProtection="1">
      <alignment horizontal="center" vertical="top"/>
    </xf>
    <xf numFmtId="169" fontId="97" fillId="2" borderId="63" xfId="1" applyNumberFormat="1" applyFont="1" applyFill="1" applyBorder="1" applyAlignment="1" applyProtection="1">
      <alignment horizontal="center" vertical="top"/>
    </xf>
    <xf numFmtId="43" fontId="93" fillId="5" borderId="0" xfId="1" applyFont="1" applyFill="1" applyAlignment="1" applyProtection="1">
      <alignment horizontal="center" vertical="top"/>
    </xf>
    <xf numFmtId="0" fontId="93" fillId="5" borderId="0" xfId="1" applyNumberFormat="1" applyFont="1" applyFill="1" applyAlignment="1" applyProtection="1">
      <alignment horizontal="center" vertical="top"/>
    </xf>
    <xf numFmtId="43" fontId="90" fillId="2" borderId="24" xfId="1" applyFont="1" applyFill="1" applyBorder="1" applyAlignment="1" applyProtection="1">
      <alignment horizontal="center" vertical="top"/>
    </xf>
    <xf numFmtId="0" fontId="90" fillId="2" borderId="16" xfId="1" applyNumberFormat="1" applyFont="1" applyFill="1" applyBorder="1" applyAlignment="1" applyProtection="1">
      <alignment horizontal="center" vertical="top"/>
    </xf>
    <xf numFmtId="43" fontId="90" fillId="2" borderId="2" xfId="1" applyFont="1" applyFill="1" applyBorder="1" applyAlignment="1" applyProtection="1">
      <alignment horizontal="center" vertical="top"/>
    </xf>
    <xf numFmtId="43" fontId="90" fillId="2" borderId="0" xfId="1" applyFont="1" applyFill="1" applyAlignment="1" applyProtection="1">
      <alignment horizontal="center" vertical="top"/>
    </xf>
    <xf numFmtId="0" fontId="90" fillId="2" borderId="19" xfId="1" applyNumberFormat="1" applyFont="1" applyFill="1" applyBorder="1" applyAlignment="1" applyProtection="1">
      <alignment horizontal="center" vertical="top"/>
    </xf>
    <xf numFmtId="43" fontId="90" fillId="2" borderId="63" xfId="1" applyFont="1" applyFill="1" applyBorder="1" applyAlignment="1" applyProtection="1">
      <alignment horizontal="center" vertical="top"/>
    </xf>
    <xf numFmtId="43" fontId="90" fillId="2" borderId="64" xfId="1" applyFont="1" applyFill="1" applyBorder="1" applyAlignment="1" applyProtection="1">
      <alignment horizontal="center" vertical="top"/>
    </xf>
    <xf numFmtId="43" fontId="90" fillId="2" borderId="73" xfId="1" applyFont="1" applyFill="1" applyBorder="1" applyAlignment="1" applyProtection="1">
      <alignment horizontal="center" vertical="top"/>
    </xf>
    <xf numFmtId="0" fontId="90" fillId="2" borderId="17" xfId="1" applyNumberFormat="1" applyFont="1" applyFill="1" applyBorder="1" applyAlignment="1" applyProtection="1">
      <alignment horizontal="center" vertical="top"/>
    </xf>
    <xf numFmtId="43" fontId="90" fillId="6" borderId="24" xfId="1" applyFont="1" applyFill="1" applyBorder="1" applyAlignment="1" applyProtection="1">
      <alignment horizontal="center" vertical="top"/>
    </xf>
    <xf numFmtId="43" fontId="90" fillId="6" borderId="0" xfId="1" applyFont="1" applyFill="1" applyAlignment="1" applyProtection="1">
      <alignment horizontal="center" vertical="top"/>
    </xf>
    <xf numFmtId="0" fontId="90" fillId="6" borderId="19" xfId="1" applyNumberFormat="1" applyFont="1" applyFill="1" applyBorder="1" applyAlignment="1" applyProtection="1">
      <alignment horizontal="center" vertical="top"/>
    </xf>
    <xf numFmtId="0" fontId="90" fillId="2" borderId="24" xfId="1" applyNumberFormat="1" applyFont="1" applyFill="1" applyBorder="1" applyAlignment="1" applyProtection="1">
      <alignment horizontal="center" vertical="top"/>
    </xf>
    <xf numFmtId="0" fontId="90" fillId="6" borderId="24" xfId="1" applyNumberFormat="1" applyFont="1" applyFill="1" applyBorder="1" applyAlignment="1" applyProtection="1">
      <alignment horizontal="center" vertical="top"/>
    </xf>
    <xf numFmtId="0" fontId="90" fillId="2" borderId="1" xfId="1" applyNumberFormat="1" applyFont="1" applyFill="1" applyBorder="1" applyAlignment="1" applyProtection="1">
      <alignment horizontal="center" vertical="top"/>
    </xf>
    <xf numFmtId="0" fontId="90" fillId="2" borderId="24" xfId="0" applyFont="1" applyFill="1" applyBorder="1" applyAlignment="1">
      <alignment horizontal="center"/>
    </xf>
    <xf numFmtId="0" fontId="90" fillId="2" borderId="68" xfId="1" applyNumberFormat="1" applyFont="1" applyFill="1" applyBorder="1" applyAlignment="1" applyProtection="1">
      <alignment horizontal="center" vertical="top"/>
    </xf>
    <xf numFmtId="0" fontId="90" fillId="2" borderId="34" xfId="1" applyNumberFormat="1" applyFont="1" applyFill="1" applyBorder="1" applyAlignment="1" applyProtection="1">
      <alignment horizontal="center" vertical="top"/>
    </xf>
    <xf numFmtId="0" fontId="19" fillId="3" borderId="21" xfId="0" applyFont="1" applyFill="1" applyBorder="1" applyAlignment="1">
      <alignment horizontal="center" vertical="center"/>
    </xf>
    <xf numFmtId="0" fontId="90" fillId="2" borderId="23" xfId="1" applyNumberFormat="1" applyFont="1" applyFill="1" applyBorder="1" applyAlignment="1" applyProtection="1">
      <alignment horizontal="center" vertical="top"/>
    </xf>
    <xf numFmtId="0" fontId="90" fillId="2" borderId="43" xfId="1" applyNumberFormat="1" applyFont="1" applyFill="1" applyBorder="1" applyAlignment="1" applyProtection="1">
      <alignment horizontal="center" vertical="top"/>
    </xf>
    <xf numFmtId="0" fontId="90" fillId="2" borderId="56" xfId="1" applyNumberFormat="1" applyFont="1" applyFill="1" applyBorder="1" applyAlignment="1" applyProtection="1">
      <alignment horizontal="center" vertical="top"/>
    </xf>
    <xf numFmtId="0" fontId="90" fillId="2" borderId="32" xfId="1" applyNumberFormat="1" applyFont="1" applyFill="1" applyBorder="1" applyAlignment="1" applyProtection="1">
      <alignment horizontal="center" vertical="top"/>
    </xf>
    <xf numFmtId="0" fontId="90" fillId="6" borderId="24" xfId="0" applyFont="1" applyFill="1" applyBorder="1" applyAlignment="1">
      <alignment horizontal="center"/>
    </xf>
    <xf numFmtId="0" fontId="90" fillId="6" borderId="68" xfId="1" applyNumberFormat="1" applyFont="1" applyFill="1" applyBorder="1" applyAlignment="1" applyProtection="1">
      <alignment horizontal="center" vertical="top"/>
    </xf>
    <xf numFmtId="0" fontId="90" fillId="6" borderId="34" xfId="1" applyNumberFormat="1" applyFont="1" applyFill="1" applyBorder="1" applyAlignment="1" applyProtection="1">
      <alignment horizontal="center" vertical="top"/>
    </xf>
    <xf numFmtId="165" fontId="93" fillId="5" borderId="0" xfId="1" applyNumberFormat="1" applyFont="1" applyFill="1" applyAlignment="1" applyProtection="1">
      <alignment horizontal="center" vertical="top"/>
    </xf>
    <xf numFmtId="0" fontId="90" fillId="2" borderId="65" xfId="1" applyNumberFormat="1" applyFont="1" applyFill="1" applyBorder="1" applyAlignment="1" applyProtection="1">
      <alignment horizontal="center" vertical="top"/>
    </xf>
    <xf numFmtId="165" fontId="90" fillId="0" borderId="74" xfId="0" applyNumberFormat="1" applyFont="1" applyBorder="1" applyAlignment="1">
      <alignment horizontal="center"/>
    </xf>
    <xf numFmtId="0" fontId="90" fillId="2" borderId="14" xfId="1" applyNumberFormat="1" applyFont="1" applyFill="1" applyBorder="1" applyAlignment="1" applyProtection="1">
      <alignment horizontal="center" vertical="top"/>
    </xf>
    <xf numFmtId="0" fontId="90" fillId="2" borderId="30" xfId="1" applyNumberFormat="1" applyFont="1" applyFill="1" applyBorder="1" applyAlignment="1" applyProtection="1">
      <alignment horizontal="center" vertical="top"/>
    </xf>
    <xf numFmtId="0" fontId="90" fillId="2" borderId="67" xfId="1" applyNumberFormat="1" applyFont="1" applyFill="1" applyBorder="1" applyAlignment="1" applyProtection="1">
      <alignment horizontal="center" vertical="top"/>
    </xf>
    <xf numFmtId="0" fontId="90" fillId="2" borderId="30" xfId="1" applyNumberFormat="1" applyFont="1" applyFill="1" applyBorder="1" applyAlignment="1" applyProtection="1">
      <alignment horizontal="center"/>
    </xf>
    <xf numFmtId="165" fontId="90" fillId="0" borderId="69" xfId="0" applyNumberFormat="1" applyFont="1" applyBorder="1" applyAlignment="1">
      <alignment horizontal="center"/>
    </xf>
    <xf numFmtId="0" fontId="90" fillId="2" borderId="2" xfId="1" applyNumberFormat="1" applyFont="1" applyFill="1" applyBorder="1" applyAlignment="1" applyProtection="1">
      <alignment horizontal="center" vertical="top"/>
    </xf>
    <xf numFmtId="165" fontId="90" fillId="2" borderId="14" xfId="1" applyNumberFormat="1" applyFont="1" applyFill="1" applyBorder="1" applyAlignment="1" applyProtection="1">
      <alignment horizontal="center" vertical="top"/>
    </xf>
    <xf numFmtId="0" fontId="90" fillId="2" borderId="74" xfId="1" applyNumberFormat="1" applyFont="1" applyFill="1" applyBorder="1" applyAlignment="1" applyProtection="1">
      <alignment horizontal="center" vertical="top"/>
    </xf>
    <xf numFmtId="0" fontId="90" fillId="2" borderId="48" xfId="1" applyNumberFormat="1" applyFont="1" applyFill="1" applyBorder="1" applyAlignment="1" applyProtection="1">
      <alignment horizontal="center" vertical="top"/>
    </xf>
    <xf numFmtId="0" fontId="90" fillId="6" borderId="30" xfId="1" applyNumberFormat="1" applyFont="1" applyFill="1" applyBorder="1" applyAlignment="1" applyProtection="1">
      <alignment horizontal="center" vertical="top"/>
    </xf>
    <xf numFmtId="0" fontId="90" fillId="6" borderId="67" xfId="1" applyNumberFormat="1" applyFont="1" applyFill="1" applyBorder="1" applyAlignment="1" applyProtection="1">
      <alignment horizontal="center" vertical="top"/>
    </xf>
    <xf numFmtId="0" fontId="90" fillId="6" borderId="30" xfId="1" applyNumberFormat="1" applyFont="1" applyFill="1" applyBorder="1" applyAlignment="1" applyProtection="1">
      <alignment horizontal="center"/>
    </xf>
    <xf numFmtId="165" fontId="90" fillId="6" borderId="69" xfId="0" applyNumberFormat="1" applyFont="1" applyFill="1" applyBorder="1" applyAlignment="1">
      <alignment horizontal="center"/>
    </xf>
    <xf numFmtId="0" fontId="92" fillId="3" borderId="0" xfId="0" applyFont="1" applyFill="1" applyAlignment="1">
      <alignment horizontal="left"/>
    </xf>
    <xf numFmtId="1" fontId="93" fillId="3" borderId="0" xfId="0" applyNumberFormat="1" applyFont="1" applyFill="1" applyAlignment="1">
      <alignment horizontal="center"/>
    </xf>
    <xf numFmtId="14" fontId="93" fillId="3" borderId="0" xfId="0" applyNumberFormat="1" applyFont="1" applyFill="1" applyAlignment="1">
      <alignment horizontal="center"/>
    </xf>
    <xf numFmtId="0" fontId="93" fillId="3" borderId="0" xfId="0" applyFont="1" applyFill="1" applyAlignment="1">
      <alignment horizontal="center"/>
    </xf>
    <xf numFmtId="0" fontId="104" fillId="0" borderId="3" xfId="0" applyFont="1" applyBorder="1" applyAlignment="1"/>
    <xf numFmtId="0" fontId="100" fillId="0" borderId="5" xfId="0" applyFont="1" applyBorder="1" applyAlignment="1"/>
    <xf numFmtId="0" fontId="104" fillId="0" borderId="1" xfId="0" applyFont="1" applyBorder="1" applyAlignment="1"/>
    <xf numFmtId="165" fontId="105" fillId="0" borderId="3" xfId="1" applyNumberFormat="1" applyFont="1" applyBorder="1" applyAlignment="1" applyProtection="1">
      <alignment horizontal="center" vertical="top"/>
    </xf>
    <xf numFmtId="0" fontId="104" fillId="0" borderId="7" xfId="0" applyFont="1" applyBorder="1" applyAlignment="1">
      <alignment horizontal="left"/>
    </xf>
    <xf numFmtId="0" fontId="100" fillId="0" borderId="26" xfId="0" applyFont="1" applyBorder="1" applyAlignment="1">
      <alignment horizontal="left"/>
    </xf>
    <xf numFmtId="0" fontId="104" fillId="0" borderId="32" xfId="0" applyFont="1" applyBorder="1" applyAlignment="1">
      <alignment horizontal="left"/>
    </xf>
    <xf numFmtId="165" fontId="105" fillId="0" borderId="7" xfId="1" applyNumberFormat="1" applyFont="1" applyBorder="1" applyAlignment="1" applyProtection="1">
      <alignment horizontal="center" vertical="top"/>
    </xf>
    <xf numFmtId="165" fontId="105" fillId="0" borderId="8" xfId="1" applyNumberFormat="1" applyFont="1" applyBorder="1" applyAlignment="1" applyProtection="1">
      <alignment horizontal="center" vertical="top"/>
    </xf>
    <xf numFmtId="0" fontId="107" fillId="0" borderId="14" xfId="0" applyFont="1" applyBorder="1" applyAlignment="1">
      <alignment horizontal="left"/>
    </xf>
    <xf numFmtId="0" fontId="108" fillId="0" borderId="14" xfId="0" applyFont="1" applyBorder="1" applyAlignment="1">
      <alignment horizontal="center"/>
    </xf>
    <xf numFmtId="0" fontId="109" fillId="0" borderId="51" xfId="0" applyFont="1" applyBorder="1" applyAlignment="1">
      <alignment horizontal="left"/>
    </xf>
    <xf numFmtId="0" fontId="110" fillId="2" borderId="46" xfId="0" applyFont="1" applyFill="1" applyBorder="1" applyAlignment="1">
      <alignment horizontal="center"/>
    </xf>
    <xf numFmtId="0" fontId="111" fillId="2" borderId="65" xfId="0" applyFont="1" applyFill="1" applyBorder="1" applyAlignment="1">
      <alignment horizontal="center"/>
    </xf>
    <xf numFmtId="168" fontId="86" fillId="0" borderId="14" xfId="0" applyNumberFormat="1" applyFont="1" applyBorder="1" applyAlignment="1">
      <alignment horizontal="center"/>
    </xf>
    <xf numFmtId="0" fontId="87" fillId="2" borderId="40" xfId="0" applyFont="1" applyFill="1" applyBorder="1" applyAlignment="1">
      <alignment horizontal="center"/>
    </xf>
    <xf numFmtId="0" fontId="87" fillId="2" borderId="58" xfId="0" applyFont="1" applyFill="1" applyBorder="1" applyAlignment="1">
      <alignment horizontal="center"/>
    </xf>
    <xf numFmtId="0" fontId="87" fillId="2" borderId="58" xfId="1" applyNumberFormat="1" applyFont="1" applyFill="1" applyBorder="1" applyAlignment="1" applyProtection="1">
      <alignment horizontal="center" vertical="top"/>
    </xf>
    <xf numFmtId="167" fontId="112" fillId="2" borderId="46" xfId="0" applyNumberFormat="1" applyFont="1" applyFill="1" applyBorder="1" applyAlignment="1">
      <alignment horizontal="center"/>
    </xf>
    <xf numFmtId="0" fontId="111" fillId="2" borderId="46" xfId="0" applyFont="1" applyFill="1" applyBorder="1" applyAlignment="1">
      <alignment horizontal="center"/>
    </xf>
    <xf numFmtId="0" fontId="95" fillId="0" borderId="0" xfId="0" applyFont="1" applyAlignment="1">
      <alignment horizontal="center"/>
    </xf>
    <xf numFmtId="0" fontId="113" fillId="0" borderId="51" xfId="0" applyFont="1" applyBorder="1" applyAlignment="1">
      <alignment horizontal="left"/>
    </xf>
    <xf numFmtId="0" fontId="114" fillId="0" borderId="46" xfId="0" applyFont="1" applyBorder="1" applyAlignment="1">
      <alignment horizontal="center"/>
    </xf>
    <xf numFmtId="0" fontId="115" fillId="0" borderId="65" xfId="0" applyFont="1" applyBorder="1" applyAlignment="1">
      <alignment horizontal="center"/>
    </xf>
    <xf numFmtId="0" fontId="116" fillId="0" borderId="46" xfId="0" applyFont="1" applyBorder="1" applyAlignment="1">
      <alignment horizontal="center"/>
    </xf>
    <xf numFmtId="0" fontId="94" fillId="0" borderId="51" xfId="0" applyFont="1" applyBorder="1" applyAlignment="1">
      <alignment horizontal="left"/>
    </xf>
    <xf numFmtId="0" fontId="95" fillId="0" borderId="46" xfId="0" applyFont="1" applyBorder="1" applyAlignment="1">
      <alignment horizontal="center"/>
    </xf>
    <xf numFmtId="0" fontId="95" fillId="0" borderId="65" xfId="0" applyFont="1" applyBorder="1" applyAlignment="1">
      <alignment horizontal="center"/>
    </xf>
    <xf numFmtId="1" fontId="117" fillId="0" borderId="43" xfId="0" applyNumberFormat="1" applyFont="1" applyBorder="1" applyAlignment="1">
      <alignment horizontal="center"/>
    </xf>
    <xf numFmtId="175" fontId="86" fillId="0" borderId="43" xfId="0" applyNumberFormat="1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7" fillId="0" borderId="58" xfId="0" applyFont="1" applyBorder="1" applyAlignment="1">
      <alignment horizontal="center"/>
    </xf>
    <xf numFmtId="0" fontId="87" fillId="0" borderId="58" xfId="1" applyNumberFormat="1" applyFont="1" applyBorder="1" applyAlignment="1" applyProtection="1">
      <alignment horizontal="center" vertical="top"/>
    </xf>
    <xf numFmtId="167" fontId="118" fillId="2" borderId="46" xfId="0" applyNumberFormat="1" applyFont="1" applyFill="1" applyBorder="1" applyAlignment="1">
      <alignment horizontal="center"/>
    </xf>
    <xf numFmtId="0" fontId="109" fillId="0" borderId="39" xfId="0" applyFont="1" applyBorder="1" applyAlignment="1">
      <alignment horizontal="left"/>
    </xf>
    <xf numFmtId="0" fontId="119" fillId="0" borderId="39" xfId="0" applyFont="1" applyBorder="1" applyAlignment="1">
      <alignment horizontal="left"/>
    </xf>
    <xf numFmtId="0" fontId="9" fillId="0" borderId="43" xfId="0" applyFont="1" applyBorder="1" applyAlignment="1">
      <alignment horizontal="center"/>
    </xf>
    <xf numFmtId="0" fontId="95" fillId="0" borderId="43" xfId="0" applyFont="1" applyBorder="1" applyAlignment="1">
      <alignment horizontal="center"/>
    </xf>
    <xf numFmtId="0" fontId="119" fillId="0" borderId="40" xfId="0" applyFont="1" applyBorder="1" applyAlignment="1">
      <alignment horizontal="left"/>
    </xf>
    <xf numFmtId="1" fontId="117" fillId="0" borderId="58" xfId="0" applyNumberFormat="1" applyFont="1" applyBorder="1" applyAlignment="1">
      <alignment horizontal="center"/>
    </xf>
    <xf numFmtId="175" fontId="86" fillId="0" borderId="41" xfId="0" applyNumberFormat="1" applyFont="1" applyBorder="1" applyAlignment="1">
      <alignment horizontal="center"/>
    </xf>
    <xf numFmtId="0" fontId="95" fillId="0" borderId="55" xfId="0" applyFont="1" applyBorder="1" applyAlignment="1">
      <alignment horizontal="center"/>
    </xf>
    <xf numFmtId="14" fontId="96" fillId="0" borderId="46" xfId="0" applyNumberFormat="1" applyFont="1" applyBorder="1" applyAlignment="1">
      <alignment horizontal="center"/>
    </xf>
    <xf numFmtId="0" fontId="95" fillId="0" borderId="58" xfId="0" applyFont="1" applyBorder="1" applyAlignment="1">
      <alignment horizontal="center"/>
    </xf>
    <xf numFmtId="1" fontId="95" fillId="0" borderId="58" xfId="0" applyNumberFormat="1" applyFont="1" applyBorder="1" applyAlignment="1">
      <alignment horizontal="center"/>
    </xf>
    <xf numFmtId="175" fontId="96" fillId="0" borderId="41" xfId="0" applyNumberFormat="1" applyFont="1" applyBorder="1" applyAlignment="1">
      <alignment horizontal="center"/>
    </xf>
    <xf numFmtId="43" fontId="93" fillId="3" borderId="0" xfId="1" applyFont="1" applyFill="1" applyAlignment="1" applyProtection="1">
      <alignment horizontal="center" vertical="top"/>
    </xf>
    <xf numFmtId="0" fontId="93" fillId="3" borderId="0" xfId="1" applyNumberFormat="1" applyFont="1" applyFill="1" applyAlignment="1" applyProtection="1">
      <alignment horizontal="center" vertical="top"/>
    </xf>
    <xf numFmtId="165" fontId="105" fillId="0" borderId="2" xfId="1" applyNumberFormat="1" applyFont="1" applyBorder="1" applyAlignment="1" applyProtection="1">
      <alignment horizontal="center" vertical="top"/>
    </xf>
    <xf numFmtId="165" fontId="105" fillId="0" borderId="22" xfId="1" applyNumberFormat="1" applyFont="1" applyBorder="1" applyAlignment="1" applyProtection="1">
      <alignment horizontal="center" vertical="top"/>
    </xf>
    <xf numFmtId="0" fontId="105" fillId="0" borderId="7" xfId="1" applyNumberFormat="1" applyFont="1" applyBorder="1" applyAlignment="1" applyProtection="1">
      <alignment horizontal="center" vertical="top"/>
    </xf>
    <xf numFmtId="0" fontId="105" fillId="0" borderId="8" xfId="1" applyNumberFormat="1" applyFont="1" applyBorder="1" applyAlignment="1" applyProtection="1">
      <alignment horizontal="center" vertical="top"/>
    </xf>
    <xf numFmtId="0" fontId="85" fillId="3" borderId="14" xfId="0" applyFont="1" applyFill="1" applyBorder="1" applyAlignment="1">
      <alignment horizontal="center"/>
    </xf>
    <xf numFmtId="0" fontId="87" fillId="2" borderId="64" xfId="1" applyNumberFormat="1" applyFont="1" applyFill="1" applyBorder="1" applyAlignment="1" applyProtection="1">
      <alignment horizontal="center" vertical="top"/>
    </xf>
    <xf numFmtId="43" fontId="87" fillId="2" borderId="44" xfId="1" applyFont="1" applyFill="1" applyBorder="1" applyAlignment="1" applyProtection="1">
      <alignment horizontal="center" vertical="top"/>
    </xf>
    <xf numFmtId="0" fontId="87" fillId="2" borderId="40" xfId="1" applyNumberFormat="1" applyFont="1" applyFill="1" applyBorder="1" applyAlignment="1" applyProtection="1">
      <alignment horizontal="center" vertical="top"/>
    </xf>
    <xf numFmtId="0" fontId="97" fillId="0" borderId="58" xfId="1" applyNumberFormat="1" applyFont="1" applyBorder="1" applyAlignment="1" applyProtection="1">
      <alignment horizontal="center" vertical="top"/>
    </xf>
    <xf numFmtId="0" fontId="87" fillId="0" borderId="64" xfId="1" applyNumberFormat="1" applyFont="1" applyBorder="1" applyAlignment="1" applyProtection="1">
      <alignment horizontal="center" vertical="top"/>
    </xf>
    <xf numFmtId="43" fontId="87" fillId="0" borderId="44" xfId="1" applyFont="1" applyBorder="1" applyAlignment="1" applyProtection="1">
      <alignment horizontal="center" vertical="top"/>
    </xf>
    <xf numFmtId="0" fontId="87" fillId="0" borderId="40" xfId="1" applyNumberFormat="1" applyFont="1" applyBorder="1" applyAlignment="1" applyProtection="1">
      <alignment horizontal="center" vertical="top"/>
    </xf>
    <xf numFmtId="0" fontId="105" fillId="0" borderId="17" xfId="1" applyNumberFormat="1" applyFont="1" applyBorder="1" applyAlignment="1" applyProtection="1">
      <alignment horizontal="center" vertical="top"/>
    </xf>
    <xf numFmtId="43" fontId="87" fillId="2" borderId="64" xfId="1" applyFont="1" applyFill="1" applyBorder="1" applyAlignment="1" applyProtection="1">
      <alignment horizontal="center" vertical="top"/>
    </xf>
    <xf numFmtId="43" fontId="87" fillId="0" borderId="64" xfId="1" applyFont="1" applyBorder="1" applyAlignment="1" applyProtection="1">
      <alignment horizontal="center" vertical="top"/>
    </xf>
    <xf numFmtId="0" fontId="85" fillId="3" borderId="1" xfId="0" applyFont="1" applyFill="1" applyBorder="1" applyAlignment="1">
      <alignment horizontal="center"/>
    </xf>
    <xf numFmtId="0" fontId="85" fillId="2" borderId="14" xfId="0" applyFont="1" applyFill="1" applyBorder="1" applyAlignment="1">
      <alignment horizontal="center" vertical="center"/>
    </xf>
    <xf numFmtId="0" fontId="85" fillId="3" borderId="2" xfId="0" applyFont="1" applyFill="1" applyBorder="1" applyAlignment="1">
      <alignment horizontal="center" vertical="center"/>
    </xf>
    <xf numFmtId="0" fontId="87" fillId="2" borderId="64" xfId="0" applyFont="1" applyFill="1" applyBorder="1" applyAlignment="1">
      <alignment horizontal="center"/>
    </xf>
    <xf numFmtId="0" fontId="87" fillId="2" borderId="43" xfId="1" applyNumberFormat="1" applyFont="1" applyFill="1" applyBorder="1" applyAlignment="1" applyProtection="1">
      <alignment horizontal="center" vertical="top"/>
    </xf>
    <xf numFmtId="0" fontId="87" fillId="2" borderId="44" xfId="1" applyNumberFormat="1" applyFont="1" applyFill="1" applyBorder="1" applyAlignment="1" applyProtection="1">
      <alignment horizontal="center" vertical="top"/>
    </xf>
    <xf numFmtId="0" fontId="87" fillId="0" borderId="64" xfId="0" applyFont="1" applyBorder="1" applyAlignment="1">
      <alignment horizontal="center"/>
    </xf>
    <xf numFmtId="0" fontId="87" fillId="0" borderId="43" xfId="1" applyNumberFormat="1" applyFont="1" applyBorder="1" applyAlignment="1" applyProtection="1">
      <alignment horizontal="center" vertical="top"/>
    </xf>
    <xf numFmtId="0" fontId="87" fillId="0" borderId="44" xfId="1" applyNumberFormat="1" applyFont="1" applyBorder="1" applyAlignment="1" applyProtection="1">
      <alignment horizontal="center" vertical="top"/>
    </xf>
    <xf numFmtId="0" fontId="120" fillId="0" borderId="0" xfId="0" applyFont="1" applyAlignment="1">
      <alignment horizontal="center"/>
    </xf>
    <xf numFmtId="0" fontId="93" fillId="3" borderId="30" xfId="1" applyNumberFormat="1" applyFont="1" applyFill="1" applyBorder="1" applyAlignment="1" applyProtection="1">
      <alignment horizontal="center" vertical="top"/>
    </xf>
    <xf numFmtId="165" fontId="93" fillId="3" borderId="0" xfId="1" applyNumberFormat="1" applyFont="1" applyFill="1" applyAlignment="1" applyProtection="1">
      <alignment horizontal="center" vertical="top"/>
    </xf>
    <xf numFmtId="1" fontId="105" fillId="0" borderId="17" xfId="1" applyNumberFormat="1" applyFont="1" applyBorder="1" applyAlignment="1" applyProtection="1">
      <alignment horizontal="center" vertical="top"/>
    </xf>
    <xf numFmtId="0" fontId="85" fillId="3" borderId="14" xfId="0" applyFont="1" applyFill="1" applyBorder="1" applyAlignment="1">
      <alignment horizontal="center" vertical="center"/>
    </xf>
    <xf numFmtId="0" fontId="85" fillId="2" borderId="2" xfId="0" applyFont="1" applyFill="1" applyBorder="1" applyAlignment="1">
      <alignment horizontal="center" vertical="center"/>
    </xf>
    <xf numFmtId="0" fontId="85" fillId="2" borderId="15" xfId="0" applyFont="1" applyFill="1" applyBorder="1" applyAlignment="1">
      <alignment horizontal="center" vertical="center"/>
    </xf>
    <xf numFmtId="0" fontId="87" fillId="2" borderId="43" xfId="1" applyNumberFormat="1" applyFont="1" applyFill="1" applyBorder="1" applyAlignment="1" applyProtection="1">
      <alignment horizontal="center"/>
    </xf>
    <xf numFmtId="165" fontId="87" fillId="0" borderId="47" xfId="0" applyNumberFormat="1" applyFont="1" applyBorder="1" applyAlignment="1">
      <alignment horizontal="center"/>
    </xf>
    <xf numFmtId="0" fontId="87" fillId="0" borderId="43" xfId="1" applyNumberFormat="1" applyFont="1" applyBorder="1" applyAlignment="1" applyProtection="1">
      <alignment horizontal="center"/>
    </xf>
    <xf numFmtId="0" fontId="94" fillId="0" borderId="19" xfId="0" applyFont="1" applyBorder="1" applyAlignment="1">
      <alignment horizontal="left"/>
    </xf>
    <xf numFmtId="1" fontId="95" fillId="0" borderId="20" xfId="0" applyNumberFormat="1" applyFont="1" applyBorder="1" applyAlignment="1">
      <alignment horizontal="center"/>
    </xf>
    <xf numFmtId="175" fontId="96" fillId="0" borderId="29" xfId="0" applyNumberFormat="1" applyFont="1" applyBorder="1" applyAlignment="1">
      <alignment horizontal="center"/>
    </xf>
    <xf numFmtId="0" fontId="97" fillId="2" borderId="19" xfId="0" applyFont="1" applyFill="1" applyBorder="1" applyAlignment="1">
      <alignment horizontal="center"/>
    </xf>
    <xf numFmtId="0" fontId="97" fillId="2" borderId="20" xfId="0" applyFont="1" applyFill="1" applyBorder="1" applyAlignment="1">
      <alignment horizontal="center"/>
    </xf>
    <xf numFmtId="0" fontId="97" fillId="2" borderId="20" xfId="1" applyNumberFormat="1" applyFont="1" applyFill="1" applyBorder="1" applyAlignment="1" applyProtection="1">
      <alignment horizontal="center" vertical="top"/>
    </xf>
    <xf numFmtId="0" fontId="94" fillId="0" borderId="52" xfId="0" applyFont="1" applyBorder="1" applyAlignment="1">
      <alignment horizontal="left"/>
    </xf>
    <xf numFmtId="1" fontId="95" fillId="0" borderId="55" xfId="0" applyNumberFormat="1" applyFont="1" applyBorder="1" applyAlignment="1">
      <alignment horizontal="center"/>
    </xf>
    <xf numFmtId="175" fontId="96" fillId="0" borderId="53" xfId="0" applyNumberFormat="1" applyFont="1" applyBorder="1" applyAlignment="1">
      <alignment horizontal="center"/>
    </xf>
    <xf numFmtId="0" fontId="97" fillId="2" borderId="52" xfId="0" applyFont="1" applyFill="1" applyBorder="1" applyAlignment="1">
      <alignment horizontal="center"/>
    </xf>
    <xf numFmtId="0" fontId="97" fillId="2" borderId="55" xfId="0" applyFont="1" applyFill="1" applyBorder="1" applyAlignment="1">
      <alignment horizontal="center"/>
    </xf>
    <xf numFmtId="0" fontId="97" fillId="2" borderId="55" xfId="1" applyNumberFormat="1" applyFont="1" applyFill="1" applyBorder="1" applyAlignment="1" applyProtection="1">
      <alignment horizontal="center" vertical="top"/>
    </xf>
    <xf numFmtId="0" fontId="94" fillId="0" borderId="70" xfId="0" applyFont="1" applyBorder="1" applyAlignment="1">
      <alignment horizontal="left"/>
    </xf>
    <xf numFmtId="1" fontId="95" fillId="0" borderId="72" xfId="0" applyNumberFormat="1" applyFont="1" applyBorder="1" applyAlignment="1">
      <alignment horizontal="center"/>
    </xf>
    <xf numFmtId="175" fontId="96" fillId="0" borderId="71" xfId="0" applyNumberFormat="1" applyFont="1" applyBorder="1" applyAlignment="1">
      <alignment horizontal="center"/>
    </xf>
    <xf numFmtId="0" fontId="97" fillId="2" borderId="70" xfId="0" applyFont="1" applyFill="1" applyBorder="1" applyAlignment="1">
      <alignment horizontal="center"/>
    </xf>
    <xf numFmtId="0" fontId="97" fillId="2" borderId="72" xfId="0" applyFont="1" applyFill="1" applyBorder="1" applyAlignment="1">
      <alignment horizontal="center"/>
    </xf>
    <xf numFmtId="0" fontId="97" fillId="2" borderId="72" xfId="1" applyNumberFormat="1" applyFont="1" applyFill="1" applyBorder="1" applyAlignment="1" applyProtection="1">
      <alignment horizontal="center" vertical="top"/>
    </xf>
    <xf numFmtId="0" fontId="104" fillId="0" borderId="7" xfId="0" applyFont="1" applyBorder="1" applyAlignment="1"/>
    <xf numFmtId="0" fontId="100" fillId="0" borderId="17" xfId="0" applyFont="1" applyBorder="1" applyAlignment="1"/>
    <xf numFmtId="0" fontId="104" fillId="0" borderId="32" xfId="0" applyFont="1" applyBorder="1" applyAlignment="1"/>
    <xf numFmtId="165" fontId="105" fillId="0" borderId="28" xfId="1" applyNumberFormat="1" applyFont="1" applyBorder="1" applyAlignment="1" applyProtection="1">
      <alignment horizontal="center" vertical="top"/>
    </xf>
    <xf numFmtId="0" fontId="104" fillId="0" borderId="10" xfId="0" applyFont="1" applyBorder="1" applyAlignment="1">
      <alignment horizontal="left"/>
    </xf>
    <xf numFmtId="0" fontId="88" fillId="0" borderId="19" xfId="0" applyFont="1" applyBorder="1" applyAlignment="1">
      <alignment horizontal="left"/>
    </xf>
    <xf numFmtId="0" fontId="85" fillId="0" borderId="0" xfId="0" applyFont="1" applyAlignment="1"/>
    <xf numFmtId="165" fontId="105" fillId="0" borderId="0" xfId="1" applyNumberFormat="1" applyFont="1" applyAlignment="1" applyProtection="1">
      <alignment horizontal="center" wrapText="1"/>
    </xf>
    <xf numFmtId="0" fontId="121" fillId="0" borderId="0" xfId="0" applyFont="1" applyAlignment="1"/>
    <xf numFmtId="0" fontId="122" fillId="0" borderId="0" xfId="0" applyFont="1" applyAlignment="1">
      <alignment horizontal="center"/>
    </xf>
    <xf numFmtId="0" fontId="104" fillId="0" borderId="27" xfId="0" applyFont="1" applyBorder="1" applyAlignment="1"/>
    <xf numFmtId="0" fontId="100" fillId="0" borderId="38" xfId="0" applyFont="1" applyBorder="1" applyAlignment="1"/>
    <xf numFmtId="0" fontId="104" fillId="0" borderId="37" xfId="0" applyFont="1" applyBorder="1" applyAlignment="1"/>
    <xf numFmtId="165" fontId="105" fillId="0" borderId="4" xfId="1" applyNumberFormat="1" applyFont="1" applyBorder="1" applyAlignment="1" applyProtection="1">
      <alignment horizontal="center" vertical="top"/>
    </xf>
    <xf numFmtId="0" fontId="104" fillId="0" borderId="40" xfId="0" applyFont="1" applyBorder="1" applyAlignment="1">
      <alignment horizontal="left"/>
    </xf>
    <xf numFmtId="0" fontId="100" fillId="0" borderId="41" xfId="0" applyFont="1" applyBorder="1" applyAlignment="1">
      <alignment horizontal="left"/>
    </xf>
    <xf numFmtId="0" fontId="104" fillId="0" borderId="39" xfId="0" applyFont="1" applyBorder="1" applyAlignment="1">
      <alignment horizontal="left"/>
    </xf>
    <xf numFmtId="0" fontId="104" fillId="0" borderId="70" xfId="0" applyFont="1" applyBorder="1" applyAlignment="1">
      <alignment horizontal="left"/>
    </xf>
    <xf numFmtId="0" fontId="100" fillId="0" borderId="71" xfId="0" applyFont="1" applyBorder="1" applyAlignment="1">
      <alignment horizontal="left"/>
    </xf>
    <xf numFmtId="0" fontId="104" fillId="0" borderId="56" xfId="0" applyFont="1" applyBorder="1" applyAlignment="1">
      <alignment horizontal="left"/>
    </xf>
    <xf numFmtId="0" fontId="27" fillId="0" borderId="32" xfId="0" applyFont="1" applyBorder="1" applyAlignment="1"/>
    <xf numFmtId="0" fontId="85" fillId="0" borderId="22" xfId="0" applyFont="1" applyBorder="1" applyAlignment="1"/>
    <xf numFmtId="0" fontId="27" fillId="0" borderId="22" xfId="0" applyFont="1" applyBorder="1" applyAlignment="1"/>
    <xf numFmtId="0" fontId="121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97" fillId="2" borderId="24" xfId="1" applyNumberFormat="1" applyFont="1" applyFill="1" applyBorder="1" applyAlignment="1" applyProtection="1">
      <alignment horizontal="center" vertical="top"/>
    </xf>
    <xf numFmtId="43" fontId="97" fillId="2" borderId="0" xfId="1" applyFont="1" applyFill="1" applyAlignment="1" applyProtection="1">
      <alignment horizontal="center" vertical="top"/>
    </xf>
    <xf numFmtId="0" fontId="97" fillId="2" borderId="19" xfId="1" applyNumberFormat="1" applyFont="1" applyFill="1" applyBorder="1" applyAlignment="1" applyProtection="1">
      <alignment horizontal="center" vertical="top"/>
    </xf>
    <xf numFmtId="0" fontId="97" fillId="2" borderId="62" xfId="1" applyNumberFormat="1" applyFont="1" applyFill="1" applyBorder="1" applyAlignment="1" applyProtection="1">
      <alignment horizontal="center" vertical="top"/>
    </xf>
    <xf numFmtId="43" fontId="97" fillId="2" borderId="65" xfId="1" applyFont="1" applyFill="1" applyBorder="1" applyAlignment="1" applyProtection="1">
      <alignment horizontal="center" vertical="top"/>
    </xf>
    <xf numFmtId="0" fontId="97" fillId="2" borderId="52" xfId="1" applyNumberFormat="1" applyFont="1" applyFill="1" applyBorder="1" applyAlignment="1" applyProtection="1">
      <alignment horizontal="center" vertical="top"/>
    </xf>
    <xf numFmtId="0" fontId="97" fillId="2" borderId="73" xfId="1" applyNumberFormat="1" applyFont="1" applyFill="1" applyBorder="1" applyAlignment="1" applyProtection="1">
      <alignment horizontal="center" vertical="top"/>
    </xf>
    <xf numFmtId="43" fontId="97" fillId="2" borderId="75" xfId="1" applyFont="1" applyFill="1" applyBorder="1" applyAlignment="1" applyProtection="1">
      <alignment horizontal="center" vertical="top"/>
    </xf>
    <xf numFmtId="0" fontId="97" fillId="2" borderId="70" xfId="1" applyNumberFormat="1" applyFont="1" applyFill="1" applyBorder="1" applyAlignment="1" applyProtection="1">
      <alignment horizontal="center" vertical="top"/>
    </xf>
    <xf numFmtId="165" fontId="105" fillId="0" borderId="35" xfId="1" applyNumberFormat="1" applyFont="1" applyBorder="1" applyAlignment="1" applyProtection="1">
      <alignment horizontal="center" vertical="top"/>
    </xf>
    <xf numFmtId="165" fontId="105" fillId="0" borderId="0" xfId="0" applyNumberFormat="1" applyFont="1" applyAlignment="1">
      <alignment horizontal="center"/>
    </xf>
    <xf numFmtId="165" fontId="105" fillId="0" borderId="16" xfId="1" applyNumberFormat="1" applyFont="1" applyBorder="1" applyAlignment="1" applyProtection="1">
      <alignment horizontal="center" vertical="top"/>
    </xf>
    <xf numFmtId="165" fontId="105" fillId="0" borderId="11" xfId="1" applyNumberFormat="1" applyFont="1" applyBorder="1" applyAlignment="1" applyProtection="1">
      <alignment horizontal="center" vertical="top"/>
    </xf>
    <xf numFmtId="165" fontId="105" fillId="0" borderId="12" xfId="1" applyNumberFormat="1" applyFont="1" applyBorder="1" applyAlignment="1" applyProtection="1">
      <alignment horizontal="center" vertical="top"/>
    </xf>
    <xf numFmtId="165" fontId="105" fillId="0" borderId="75" xfId="1" applyNumberFormat="1" applyFont="1" applyBorder="1" applyAlignment="1" applyProtection="1">
      <alignment horizontal="center" vertical="center" wrapText="1"/>
    </xf>
    <xf numFmtId="165" fontId="105" fillId="0" borderId="32" xfId="1" applyNumberFormat="1" applyFont="1" applyBorder="1" applyAlignment="1" applyProtection="1">
      <alignment horizontal="center" vertical="top"/>
    </xf>
    <xf numFmtId="165" fontId="105" fillId="0" borderId="10" xfId="1" applyNumberFormat="1" applyFont="1" applyBorder="1" applyAlignment="1" applyProtection="1">
      <alignment horizontal="center" wrapText="1"/>
    </xf>
    <xf numFmtId="43" fontId="97" fillId="2" borderId="24" xfId="1" applyFont="1" applyFill="1" applyBorder="1" applyAlignment="1" applyProtection="1">
      <alignment horizontal="center" vertical="top"/>
    </xf>
    <xf numFmtId="43" fontId="97" fillId="2" borderId="62" xfId="1" applyFont="1" applyFill="1" applyBorder="1" applyAlignment="1" applyProtection="1">
      <alignment horizontal="center" vertical="top"/>
    </xf>
    <xf numFmtId="43" fontId="97" fillId="2" borderId="73" xfId="1" applyFont="1" applyFill="1" applyBorder="1" applyAlignment="1" applyProtection="1">
      <alignment horizontal="center" vertical="top"/>
    </xf>
    <xf numFmtId="165" fontId="105" fillId="0" borderId="0" xfId="1" applyNumberFormat="1" applyFont="1" applyAlignment="1" applyProtection="1">
      <alignment horizontal="center"/>
    </xf>
    <xf numFmtId="165" fontId="105" fillId="0" borderId="18" xfId="1" applyNumberFormat="1" applyFont="1" applyBorder="1" applyAlignment="1" applyProtection="1">
      <alignment horizontal="center" vertical="top"/>
    </xf>
    <xf numFmtId="165" fontId="105" fillId="0" borderId="49" xfId="1" applyNumberFormat="1" applyFont="1" applyBorder="1" applyAlignment="1" applyProtection="1">
      <alignment horizontal="center" vertical="top"/>
    </xf>
    <xf numFmtId="165" fontId="105" fillId="0" borderId="10" xfId="0" applyNumberFormat="1" applyFont="1" applyBorder="1" applyAlignment="1">
      <alignment horizontal="center"/>
    </xf>
    <xf numFmtId="0" fontId="125" fillId="0" borderId="0" xfId="0" applyFont="1" applyAlignment="1"/>
    <xf numFmtId="0" fontId="97" fillId="2" borderId="24" xfId="0" applyFont="1" applyFill="1" applyBorder="1" applyAlignment="1">
      <alignment horizontal="center"/>
    </xf>
    <xf numFmtId="0" fontId="97" fillId="2" borderId="30" xfId="1" applyNumberFormat="1" applyFont="1" applyFill="1" applyBorder="1" applyAlignment="1" applyProtection="1">
      <alignment horizontal="center" vertical="top"/>
    </xf>
    <xf numFmtId="0" fontId="97" fillId="2" borderId="0" xfId="1" applyNumberFormat="1" applyFont="1" applyFill="1" applyAlignment="1" applyProtection="1">
      <alignment horizontal="center" vertical="top"/>
    </xf>
    <xf numFmtId="0" fontId="97" fillId="2" borderId="62" xfId="0" applyFont="1" applyFill="1" applyBorder="1" applyAlignment="1">
      <alignment horizontal="center"/>
    </xf>
    <xf numFmtId="0" fontId="97" fillId="2" borderId="46" xfId="1" applyNumberFormat="1" applyFont="1" applyFill="1" applyBorder="1" applyAlignment="1" applyProtection="1">
      <alignment horizontal="center" vertical="top"/>
    </xf>
    <xf numFmtId="0" fontId="97" fillId="2" borderId="65" xfId="1" applyNumberFormat="1" applyFont="1" applyFill="1" applyBorder="1" applyAlignment="1" applyProtection="1">
      <alignment horizontal="center" vertical="top"/>
    </xf>
    <xf numFmtId="0" fontId="97" fillId="2" borderId="73" xfId="0" applyFont="1" applyFill="1" applyBorder="1" applyAlignment="1">
      <alignment horizontal="center"/>
    </xf>
    <xf numFmtId="0" fontId="97" fillId="2" borderId="56" xfId="1" applyNumberFormat="1" applyFont="1" applyFill="1" applyBorder="1" applyAlignment="1" applyProtection="1">
      <alignment horizontal="center" vertical="top"/>
    </xf>
    <xf numFmtId="0" fontId="97" fillId="2" borderId="75" xfId="1" applyNumberFormat="1" applyFont="1" applyFill="1" applyBorder="1" applyAlignment="1" applyProtection="1">
      <alignment horizontal="center" vertical="top"/>
    </xf>
    <xf numFmtId="165" fontId="105" fillId="0" borderId="10" xfId="1" applyNumberFormat="1" applyFont="1" applyBorder="1" applyAlignment="1" applyProtection="1">
      <alignment horizontal="center" vertical="top"/>
    </xf>
    <xf numFmtId="165" fontId="105" fillId="0" borderId="0" xfId="1" applyNumberFormat="1" applyFont="1" applyProtection="1"/>
    <xf numFmtId="0" fontId="128" fillId="0" borderId="0" xfId="0" applyFont="1" applyAlignment="1"/>
    <xf numFmtId="0" fontId="129" fillId="0" borderId="0" xfId="0" applyFont="1" applyAlignment="1">
      <alignment horizontal="center"/>
    </xf>
    <xf numFmtId="165" fontId="105" fillId="0" borderId="31" xfId="1" applyNumberFormat="1" applyFont="1" applyBorder="1" applyAlignment="1" applyProtection="1">
      <alignment horizontal="center" vertical="top"/>
    </xf>
    <xf numFmtId="165" fontId="105" fillId="0" borderId="74" xfId="1" applyNumberFormat="1" applyFont="1" applyBorder="1" applyAlignment="1" applyProtection="1">
      <alignment horizontal="center" vertical="top"/>
    </xf>
    <xf numFmtId="165" fontId="105" fillId="0" borderId="14" xfId="1" applyNumberFormat="1" applyFont="1" applyBorder="1" applyAlignment="1" applyProtection="1">
      <alignment horizontal="center" vertical="top"/>
    </xf>
    <xf numFmtId="165" fontId="105" fillId="0" borderId="0" xfId="1" applyNumberFormat="1" applyFont="1" applyAlignment="1" applyProtection="1">
      <alignment horizontal="center" vertical="top"/>
    </xf>
    <xf numFmtId="165" fontId="104" fillId="0" borderId="0" xfId="0" applyNumberFormat="1" applyFont="1" applyAlignment="1"/>
    <xf numFmtId="0" fontId="6" fillId="0" borderId="0" xfId="0" applyFont="1" applyAlignment="1">
      <alignment horizontal="center"/>
    </xf>
    <xf numFmtId="0" fontId="97" fillId="2" borderId="30" xfId="1" applyNumberFormat="1" applyFont="1" applyFill="1" applyBorder="1" applyAlignment="1" applyProtection="1">
      <alignment horizontal="center"/>
    </xf>
    <xf numFmtId="165" fontId="97" fillId="0" borderId="48" xfId="0" applyNumberFormat="1" applyFont="1" applyBorder="1" applyAlignment="1">
      <alignment horizontal="center"/>
    </xf>
    <xf numFmtId="0" fontId="97" fillId="2" borderId="46" xfId="1" applyNumberFormat="1" applyFont="1" applyFill="1" applyBorder="1" applyAlignment="1" applyProtection="1">
      <alignment horizontal="center"/>
    </xf>
    <xf numFmtId="165" fontId="97" fillId="0" borderId="74" xfId="0" applyNumberFormat="1" applyFont="1" applyBorder="1" applyAlignment="1">
      <alignment horizontal="center"/>
    </xf>
    <xf numFmtId="0" fontId="97" fillId="2" borderId="56" xfId="1" applyNumberFormat="1" applyFont="1" applyFill="1" applyBorder="1" applyAlignment="1" applyProtection="1">
      <alignment horizontal="center"/>
    </xf>
    <xf numFmtId="165" fontId="97" fillId="0" borderId="50" xfId="0" applyNumberFormat="1" applyFont="1" applyBorder="1" applyAlignment="1">
      <alignment horizontal="center"/>
    </xf>
    <xf numFmtId="165" fontId="44" fillId="0" borderId="69" xfId="0" applyNumberFormat="1" applyFont="1" applyBorder="1" applyAlignment="1">
      <alignment horizontal="center"/>
    </xf>
    <xf numFmtId="0" fontId="105" fillId="0" borderId="0" xfId="0" applyFont="1" applyAlignment="1">
      <alignment horizontal="center"/>
    </xf>
    <xf numFmtId="165" fontId="105" fillId="0" borderId="15" xfId="1" applyNumberFormat="1" applyFont="1" applyBorder="1" applyAlignment="1" applyProtection="1">
      <alignment horizontal="center" vertical="top"/>
    </xf>
    <xf numFmtId="0" fontId="105" fillId="0" borderId="14" xfId="1" applyNumberFormat="1" applyFont="1" applyBorder="1" applyAlignment="1" applyProtection="1">
      <alignment horizontal="center" vertical="top"/>
    </xf>
    <xf numFmtId="0" fontId="105" fillId="0" borderId="0" xfId="1" applyNumberFormat="1" applyFont="1" applyAlignment="1" applyProtection="1">
      <alignment horizontal="center" vertical="top"/>
    </xf>
    <xf numFmtId="174" fontId="121" fillId="0" borderId="0" xfId="0" applyNumberFormat="1" applyFont="1" applyAlignment="1"/>
    <xf numFmtId="173" fontId="91" fillId="0" borderId="45" xfId="0" applyNumberFormat="1" applyFont="1" applyBorder="1" applyAlignment="1">
      <alignment horizontal="center"/>
    </xf>
    <xf numFmtId="1" fontId="130" fillId="2" borderId="41" xfId="0" applyNumberFormat="1" applyFont="1" applyFill="1" applyBorder="1" applyAlignment="1">
      <alignment horizontal="center"/>
    </xf>
    <xf numFmtId="0" fontId="44" fillId="2" borderId="52" xfId="1" applyNumberFormat="1" applyFont="1" applyFill="1" applyBorder="1" applyAlignment="1" applyProtection="1">
      <alignment horizontal="center" vertical="top"/>
    </xf>
    <xf numFmtId="0" fontId="44" fillId="2" borderId="55" xfId="1" applyNumberFormat="1" applyFont="1" applyFill="1" applyBorder="1" applyAlignment="1" applyProtection="1">
      <alignment horizontal="center" vertical="top"/>
    </xf>
    <xf numFmtId="0" fontId="131" fillId="3" borderId="11" xfId="0" applyFont="1" applyFill="1" applyBorder="1" applyAlignment="1">
      <alignment horizontal="center" vertical="center"/>
    </xf>
    <xf numFmtId="0" fontId="131" fillId="3" borderId="12" xfId="0" applyFont="1" applyFill="1" applyBorder="1" applyAlignment="1">
      <alignment horizontal="center" vertical="center"/>
    </xf>
    <xf numFmtId="0" fontId="44" fillId="2" borderId="62" xfId="1" applyNumberFormat="1" applyFont="1" applyFill="1" applyBorder="1" applyAlignment="1" applyProtection="1">
      <alignment horizontal="center" vertical="top"/>
    </xf>
    <xf numFmtId="0" fontId="24" fillId="3" borderId="12" xfId="0" applyFont="1" applyFill="1" applyBorder="1" applyAlignment="1">
      <alignment horizontal="center" vertical="center"/>
    </xf>
    <xf numFmtId="0" fontId="132" fillId="3" borderId="5" xfId="0" applyFont="1" applyFill="1" applyBorder="1" applyAlignment="1">
      <alignment horizontal="center" vertical="center"/>
    </xf>
    <xf numFmtId="165" fontId="98" fillId="0" borderId="15" xfId="0" applyNumberFormat="1" applyFont="1" applyBorder="1" applyAlignment="1">
      <alignment horizontal="center"/>
    </xf>
    <xf numFmtId="165" fontId="97" fillId="0" borderId="23" xfId="0" applyNumberFormat="1" applyFont="1" applyBorder="1" applyAlignment="1">
      <alignment horizontal="center"/>
    </xf>
    <xf numFmtId="165" fontId="97" fillId="0" borderId="43" xfId="0" applyNumberFormat="1" applyFont="1" applyBorder="1" applyAlignment="1">
      <alignment horizontal="center"/>
    </xf>
    <xf numFmtId="0" fontId="84" fillId="0" borderId="14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94" fillId="0" borderId="23" xfId="0" applyFont="1" applyBorder="1" applyAlignment="1">
      <alignment horizontal="left"/>
    </xf>
    <xf numFmtId="1" fontId="95" fillId="0" borderId="23" xfId="0" applyNumberFormat="1" applyFont="1" applyBorder="1" applyAlignment="1">
      <alignment horizontal="center"/>
    </xf>
    <xf numFmtId="1" fontId="95" fillId="0" borderId="42" xfId="0" applyNumberFormat="1" applyFont="1" applyBorder="1" applyAlignment="1">
      <alignment horizontal="center"/>
    </xf>
    <xf numFmtId="0" fontId="94" fillId="0" borderId="43" xfId="0" applyFont="1" applyBorder="1" applyAlignment="1">
      <alignment horizontal="left"/>
    </xf>
    <xf numFmtId="1" fontId="95" fillId="0" borderId="43" xfId="0" applyNumberFormat="1" applyFont="1" applyBorder="1" applyAlignment="1">
      <alignment horizontal="center"/>
    </xf>
    <xf numFmtId="1" fontId="95" fillId="0" borderId="44" xfId="0" applyNumberFormat="1" applyFont="1" applyBorder="1" applyAlignment="1">
      <alignment horizontal="center"/>
    </xf>
    <xf numFmtId="1" fontId="89" fillId="2" borderId="43" xfId="0" applyNumberFormat="1" applyFont="1" applyFill="1" applyBorder="1" applyAlignment="1">
      <alignment horizontal="center"/>
    </xf>
    <xf numFmtId="1" fontId="89" fillId="2" borderId="44" xfId="0" applyNumberFormat="1" applyFont="1" applyFill="1" applyBorder="1" applyAlignment="1">
      <alignment horizontal="center"/>
    </xf>
    <xf numFmtId="1" fontId="21" fillId="2" borderId="46" xfId="0" applyNumberFormat="1" applyFont="1" applyFill="1" applyBorder="1" applyAlignment="1">
      <alignment horizontal="center"/>
    </xf>
    <xf numFmtId="1" fontId="21" fillId="2" borderId="65" xfId="0" applyNumberFormat="1" applyFont="1" applyFill="1" applyBorder="1" applyAlignment="1">
      <alignment horizontal="center"/>
    </xf>
    <xf numFmtId="0" fontId="92" fillId="0" borderId="10" xfId="0" applyFont="1" applyBorder="1" applyAlignment="1">
      <alignment horizontal="left"/>
    </xf>
    <xf numFmtId="1" fontId="93" fillId="0" borderId="2" xfId="0" applyNumberFormat="1" applyFont="1" applyBorder="1" applyAlignment="1">
      <alignment horizontal="center"/>
    </xf>
    <xf numFmtId="0" fontId="94" fillId="0" borderId="9" xfId="0" applyFont="1" applyBorder="1" applyAlignment="1">
      <alignment horizontal="left"/>
    </xf>
    <xf numFmtId="1" fontId="95" fillId="0" borderId="33" xfId="0" applyNumberFormat="1" applyFont="1" applyBorder="1" applyAlignment="1">
      <alignment horizontal="center"/>
    </xf>
    <xf numFmtId="1" fontId="95" fillId="0" borderId="47" xfId="0" applyNumberFormat="1" applyFont="1" applyBorder="1" applyAlignment="1">
      <alignment horizontal="center"/>
    </xf>
    <xf numFmtId="1" fontId="89" fillId="2" borderId="47" xfId="0" applyNumberFormat="1" applyFont="1" applyFill="1" applyBorder="1" applyAlignment="1">
      <alignment horizontal="center"/>
    </xf>
    <xf numFmtId="1" fontId="21" fillId="2" borderId="74" xfId="0" applyNumberFormat="1" applyFont="1" applyFill="1" applyBorder="1" applyAlignment="1">
      <alignment horizontal="center"/>
    </xf>
    <xf numFmtId="0" fontId="94" fillId="0" borderId="10" xfId="0" applyFont="1" applyBorder="1" applyAlignment="1">
      <alignment horizontal="left"/>
    </xf>
    <xf numFmtId="0" fontId="97" fillId="0" borderId="58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31" fillId="3" borderId="3" xfId="0" applyFont="1" applyFill="1" applyBorder="1" applyAlignment="1">
      <alignment horizontal="center" vertical="center"/>
    </xf>
    <xf numFmtId="0" fontId="131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175" fontId="96" fillId="0" borderId="64" xfId="0" applyNumberFormat="1" applyFont="1" applyBorder="1" applyAlignment="1">
      <alignment horizontal="center"/>
    </xf>
    <xf numFmtId="0" fontId="16" fillId="3" borderId="31" xfId="0" applyFont="1" applyFill="1" applyBorder="1" applyAlignment="1">
      <alignment horizontal="center" vertical="center"/>
    </xf>
    <xf numFmtId="0" fontId="90" fillId="2" borderId="40" xfId="1" applyNumberFormat="1" applyFont="1" applyFill="1" applyBorder="1" applyAlignment="1" applyProtection="1">
      <alignment horizontal="center" vertical="top"/>
    </xf>
    <xf numFmtId="0" fontId="90" fillId="2" borderId="26" xfId="0" applyFont="1" applyFill="1" applyBorder="1" applyAlignment="1">
      <alignment horizontal="center"/>
    </xf>
    <xf numFmtId="0" fontId="90" fillId="2" borderId="14" xfId="0" applyFont="1" applyFill="1" applyBorder="1" applyAlignment="1">
      <alignment horizontal="center"/>
    </xf>
    <xf numFmtId="0" fontId="13" fillId="3" borderId="31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90" fillId="2" borderId="64" xfId="1" applyNumberFormat="1" applyFont="1" applyFill="1" applyBorder="1" applyAlignment="1" applyProtection="1">
      <alignment horizontal="center" vertical="top"/>
    </xf>
    <xf numFmtId="0" fontId="90" fillId="2" borderId="22" xfId="0" applyFont="1" applyFill="1" applyBorder="1" applyAlignment="1">
      <alignment horizontal="center"/>
    </xf>
    <xf numFmtId="0" fontId="85" fillId="3" borderId="5" xfId="0" applyFont="1" applyFill="1" applyBorder="1" applyAlignment="1">
      <alignment horizontal="center" vertical="center"/>
    </xf>
    <xf numFmtId="0" fontId="134" fillId="3" borderId="3" xfId="0" applyFont="1" applyFill="1" applyBorder="1" applyAlignment="1">
      <alignment horizontal="center" vertical="center"/>
    </xf>
    <xf numFmtId="0" fontId="134" fillId="3" borderId="4" xfId="0" applyFont="1" applyFill="1" applyBorder="1" applyAlignment="1">
      <alignment horizontal="center" vertical="center"/>
    </xf>
    <xf numFmtId="0" fontId="86" fillId="3" borderId="4" xfId="0" applyFont="1" applyFill="1" applyBorder="1" applyAlignment="1">
      <alignment horizontal="center" vertical="center"/>
    </xf>
    <xf numFmtId="169" fontId="87" fillId="2" borderId="64" xfId="1" applyNumberFormat="1" applyFont="1" applyFill="1" applyBorder="1" applyAlignment="1" applyProtection="1">
      <alignment horizontal="center" vertical="top"/>
    </xf>
    <xf numFmtId="169" fontId="97" fillId="2" borderId="24" xfId="1" applyNumberFormat="1" applyFont="1" applyFill="1" applyBorder="1" applyAlignment="1" applyProtection="1">
      <alignment horizontal="center" vertical="top"/>
    </xf>
    <xf numFmtId="169" fontId="97" fillId="2" borderId="62" xfId="1" applyNumberFormat="1" applyFont="1" applyFill="1" applyBorder="1" applyAlignment="1" applyProtection="1">
      <alignment horizontal="center" vertical="top"/>
    </xf>
    <xf numFmtId="0" fontId="108" fillId="3" borderId="4" xfId="0" applyFont="1" applyFill="1" applyBorder="1" applyAlignment="1">
      <alignment horizontal="center" vertical="center"/>
    </xf>
    <xf numFmtId="0" fontId="108" fillId="3" borderId="5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43" fontId="97" fillId="2" borderId="43" xfId="1" applyFont="1" applyFill="1" applyBorder="1" applyAlignment="1" applyProtection="1">
      <alignment horizontal="center" vertical="top"/>
    </xf>
    <xf numFmtId="43" fontId="97" fillId="2" borderId="22" xfId="1" applyFont="1" applyFill="1" applyBorder="1" applyAlignment="1" applyProtection="1">
      <alignment horizontal="center" vertical="top"/>
    </xf>
    <xf numFmtId="43" fontId="97" fillId="2" borderId="68" xfId="1" applyFont="1" applyFill="1" applyBorder="1" applyAlignment="1" applyProtection="1">
      <alignment horizontal="center" vertical="top"/>
    </xf>
    <xf numFmtId="0" fontId="90" fillId="2" borderId="43" xfId="1" applyNumberFormat="1" applyFont="1" applyFill="1" applyBorder="1" applyAlignment="1" applyProtection="1">
      <alignment horizontal="center"/>
    </xf>
    <xf numFmtId="175" fontId="96" fillId="0" borderId="58" xfId="0" applyNumberFormat="1" applyFont="1" applyBorder="1" applyAlignment="1">
      <alignment horizontal="center"/>
    </xf>
    <xf numFmtId="0" fontId="97" fillId="2" borderId="54" xfId="0" applyFont="1" applyFill="1" applyBorder="1" applyAlignment="1">
      <alignment horizontal="center"/>
    </xf>
    <xf numFmtId="0" fontId="94" fillId="0" borderId="7" xfId="0" applyFont="1" applyBorder="1" applyAlignment="1">
      <alignment horizontal="left"/>
    </xf>
    <xf numFmtId="1" fontId="95" fillId="0" borderId="8" xfId="0" applyNumberFormat="1" applyFont="1" applyBorder="1" applyAlignment="1">
      <alignment horizontal="center"/>
    </xf>
    <xf numFmtId="175" fontId="96" fillId="0" borderId="26" xfId="0" applyNumberFormat="1" applyFont="1" applyBorder="1" applyAlignment="1">
      <alignment horizontal="center"/>
    </xf>
    <xf numFmtId="0" fontId="16" fillId="3" borderId="57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35" fillId="3" borderId="4" xfId="0" applyFont="1" applyFill="1" applyBorder="1" applyAlignment="1">
      <alignment horizontal="center" vertical="center"/>
    </xf>
    <xf numFmtId="0" fontId="97" fillId="2" borderId="10" xfId="1" applyNumberFormat="1" applyFont="1" applyFill="1" applyBorder="1" applyAlignment="1" applyProtection="1">
      <alignment horizontal="center" vertical="top"/>
    </xf>
    <xf numFmtId="0" fontId="97" fillId="2" borderId="22" xfId="1" applyNumberFormat="1" applyFont="1" applyFill="1" applyBorder="1" applyAlignment="1" applyProtection="1">
      <alignment horizontal="center" vertical="top"/>
    </xf>
    <xf numFmtId="0" fontId="131" fillId="3" borderId="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131" fillId="3" borderId="31" xfId="0" applyFont="1" applyFill="1" applyBorder="1" applyAlignment="1">
      <alignment horizontal="center" vertical="center"/>
    </xf>
    <xf numFmtId="0" fontId="97" fillId="2" borderId="10" xfId="1" applyNumberFormat="1" applyFont="1" applyFill="1" applyBorder="1" applyAlignment="1" applyProtection="1">
      <alignment horizontal="center"/>
    </xf>
    <xf numFmtId="165" fontId="97" fillId="0" borderId="35" xfId="0" applyNumberFormat="1" applyFont="1" applyBorder="1" applyAlignment="1">
      <alignment horizontal="center"/>
    </xf>
    <xf numFmtId="0" fontId="94" fillId="0" borderId="61" xfId="0" applyFont="1" applyBorder="1" applyAlignment="1">
      <alignment horizontal="left"/>
    </xf>
    <xf numFmtId="14" fontId="96" fillId="0" borderId="58" xfId="0" applyNumberFormat="1" applyFont="1" applyBorder="1" applyAlignment="1">
      <alignment horizontal="center"/>
    </xf>
    <xf numFmtId="0" fontId="97" fillId="2" borderId="82" xfId="0" applyFont="1" applyFill="1" applyBorder="1" applyAlignment="1">
      <alignment horizontal="center"/>
    </xf>
    <xf numFmtId="43" fontId="90" fillId="2" borderId="3" xfId="0" applyNumberFormat="1" applyFont="1" applyFill="1" applyBorder="1" applyAlignment="1">
      <alignment horizontal="center"/>
    </xf>
    <xf numFmtId="0" fontId="114" fillId="2" borderId="46" xfId="0" applyFont="1" applyFill="1" applyBorder="1" applyAlignment="1">
      <alignment horizontal="center"/>
    </xf>
    <xf numFmtId="0" fontId="114" fillId="2" borderId="65" xfId="0" applyFont="1" applyFill="1" applyBorder="1" applyAlignment="1">
      <alignment horizontal="center"/>
    </xf>
    <xf numFmtId="0" fontId="97" fillId="2" borderId="66" xfId="1" applyNumberFormat="1" applyFont="1" applyFill="1" applyBorder="1" applyAlignment="1" applyProtection="1">
      <alignment horizontal="center" vertical="top"/>
    </xf>
    <xf numFmtId="0" fontId="25" fillId="3" borderId="5" xfId="0" applyFont="1" applyFill="1" applyBorder="1" applyAlignment="1">
      <alignment horizontal="center" vertical="center"/>
    </xf>
    <xf numFmtId="1" fontId="95" fillId="0" borderId="46" xfId="0" applyNumberFormat="1" applyFont="1" applyBorder="1" applyAlignment="1">
      <alignment horizontal="center"/>
    </xf>
    <xf numFmtId="175" fontId="96" fillId="0" borderId="65" xfId="0" applyNumberFormat="1" applyFont="1" applyBorder="1" applyAlignment="1">
      <alignment horizontal="center"/>
    </xf>
    <xf numFmtId="0" fontId="94" fillId="0" borderId="49" xfId="0" applyFont="1" applyBorder="1" applyAlignment="1">
      <alignment horizontal="left"/>
    </xf>
    <xf numFmtId="1" fontId="95" fillId="0" borderId="56" xfId="0" applyNumberFormat="1" applyFont="1" applyBorder="1" applyAlignment="1">
      <alignment horizontal="center"/>
    </xf>
    <xf numFmtId="175" fontId="96" fillId="0" borderId="75" xfId="0" applyNumberFormat="1" applyFont="1" applyBorder="1" applyAlignment="1">
      <alignment horizontal="center"/>
    </xf>
    <xf numFmtId="0" fontId="19" fillId="3" borderId="16" xfId="0" applyFont="1" applyFill="1" applyBorder="1" applyAlignment="1">
      <alignment horizontal="center" vertical="center"/>
    </xf>
    <xf numFmtId="176" fontId="96" fillId="0" borderId="23" xfId="0" applyNumberFormat="1" applyFont="1" applyBorder="1" applyAlignment="1">
      <alignment horizontal="center"/>
    </xf>
    <xf numFmtId="176" fontId="96" fillId="0" borderId="43" xfId="0" applyNumberFormat="1" applyFont="1" applyBorder="1" applyAlignment="1">
      <alignment horizontal="center"/>
    </xf>
    <xf numFmtId="176" fontId="91" fillId="0" borderId="46" xfId="0" applyNumberFormat="1" applyFont="1" applyBorder="1" applyAlignment="1">
      <alignment horizontal="center"/>
    </xf>
    <xf numFmtId="176" fontId="93" fillId="0" borderId="1" xfId="0" applyNumberFormat="1" applyFont="1" applyBorder="1" applyAlignment="1">
      <alignment horizontal="center"/>
    </xf>
    <xf numFmtId="176" fontId="93" fillId="0" borderId="0" xfId="0" applyNumberFormat="1" applyFont="1" applyAlignment="1">
      <alignment horizontal="center"/>
    </xf>
    <xf numFmtId="176" fontId="16" fillId="0" borderId="14" xfId="0" applyNumberFormat="1" applyFont="1" applyBorder="1" applyAlignment="1">
      <alignment horizontal="center"/>
    </xf>
    <xf numFmtId="165" fontId="93" fillId="2" borderId="14" xfId="0" applyNumberFormat="1" applyFont="1" applyFill="1" applyBorder="1" applyAlignment="1">
      <alignment horizontal="center"/>
    </xf>
    <xf numFmtId="0" fontId="90" fillId="6" borderId="52" xfId="0" applyFont="1" applyFill="1" applyBorder="1" applyAlignment="1">
      <alignment horizontal="center"/>
    </xf>
    <xf numFmtId="0" fontId="90" fillId="6" borderId="55" xfId="0" applyFont="1" applyFill="1" applyBorder="1" applyAlignment="1">
      <alignment horizontal="center"/>
    </xf>
    <xf numFmtId="0" fontId="90" fillId="6" borderId="55" xfId="1" applyNumberFormat="1" applyFont="1" applyFill="1" applyBorder="1" applyAlignment="1" applyProtection="1">
      <alignment horizontal="center" vertical="top"/>
    </xf>
    <xf numFmtId="169" fontId="97" fillId="2" borderId="64" xfId="1" applyNumberFormat="1" applyFont="1" applyFill="1" applyBorder="1" applyAlignment="1" applyProtection="1">
      <alignment horizontal="left" vertical="top"/>
    </xf>
    <xf numFmtId="1" fontId="117" fillId="0" borderId="82" xfId="0" applyNumberFormat="1" applyFont="1" applyBorder="1" applyAlignment="1">
      <alignment horizontal="center"/>
    </xf>
    <xf numFmtId="169" fontId="97" fillId="2" borderId="66" xfId="1" applyNumberFormat="1" applyFont="1" applyFill="1" applyBorder="1" applyAlignment="1" applyProtection="1">
      <alignment horizontal="center" vertical="top"/>
    </xf>
    <xf numFmtId="169" fontId="87" fillId="0" borderId="64" xfId="1" applyNumberFormat="1" applyFont="1" applyBorder="1" applyAlignment="1" applyProtection="1">
      <alignment horizontal="center" vertical="top"/>
    </xf>
    <xf numFmtId="0" fontId="136" fillId="0" borderId="41" xfId="0" applyFont="1" applyBorder="1" applyAlignment="1">
      <alignment horizontal="left"/>
    </xf>
    <xf numFmtId="165" fontId="44" fillId="0" borderId="28" xfId="1" applyNumberFormat="1" applyFont="1" applyBorder="1" applyAlignment="1" applyProtection="1">
      <alignment horizontal="center" vertical="top"/>
    </xf>
    <xf numFmtId="1" fontId="137" fillId="2" borderId="41" xfId="0" applyNumberFormat="1" applyFont="1" applyFill="1" applyBorder="1" applyAlignment="1">
      <alignment horizontal="center"/>
    </xf>
    <xf numFmtId="1" fontId="138" fillId="0" borderId="41" xfId="0" applyNumberFormat="1" applyFont="1" applyBorder="1" applyAlignment="1">
      <alignment horizontal="center"/>
    </xf>
    <xf numFmtId="1" fontId="97" fillId="0" borderId="41" xfId="0" applyNumberFormat="1" applyFont="1" applyBorder="1" applyAlignment="1">
      <alignment horizontal="center"/>
    </xf>
    <xf numFmtId="0" fontId="67" fillId="0" borderId="58" xfId="0" applyFont="1" applyBorder="1" applyAlignment="1"/>
    <xf numFmtId="1" fontId="97" fillId="0" borderId="38" xfId="0" applyNumberFormat="1" applyFont="1" applyBorder="1" applyAlignment="1">
      <alignment horizontal="center"/>
    </xf>
    <xf numFmtId="1" fontId="139" fillId="2" borderId="53" xfId="0" applyNumberFormat="1" applyFont="1" applyFill="1" applyBorder="1" applyAlignment="1">
      <alignment horizontal="center"/>
    </xf>
    <xf numFmtId="0" fontId="92" fillId="0" borderId="7" xfId="0" applyFont="1" applyBorder="1" applyAlignment="1">
      <alignment horizontal="left"/>
    </xf>
    <xf numFmtId="0" fontId="97" fillId="0" borderId="40" xfId="0" applyFont="1" applyBorder="1" applyAlignment="1">
      <alignment horizontal="center"/>
    </xf>
    <xf numFmtId="43" fontId="97" fillId="0" borderId="44" xfId="1" applyFont="1" applyBorder="1" applyAlignment="1" applyProtection="1">
      <alignment horizontal="center" vertical="top"/>
    </xf>
    <xf numFmtId="0" fontId="97" fillId="0" borderId="40" xfId="1" applyNumberFormat="1" applyFont="1" applyBorder="1" applyAlignment="1" applyProtection="1">
      <alignment horizontal="center" vertical="top"/>
    </xf>
    <xf numFmtId="0" fontId="97" fillId="0" borderId="64" xfId="1" applyNumberFormat="1" applyFont="1" applyBorder="1" applyAlignment="1" applyProtection="1">
      <alignment horizontal="center" vertical="top"/>
    </xf>
    <xf numFmtId="0" fontId="97" fillId="0" borderId="64" xfId="0" applyFont="1" applyBorder="1" applyAlignment="1">
      <alignment horizontal="center"/>
    </xf>
    <xf numFmtId="169" fontId="97" fillId="0" borderId="64" xfId="1" applyNumberFormat="1" applyFont="1" applyBorder="1" applyAlignment="1" applyProtection="1">
      <alignment horizontal="center" vertical="top"/>
    </xf>
    <xf numFmtId="0" fontId="97" fillId="2" borderId="44" xfId="1" applyNumberFormat="1" applyFont="1" applyFill="1" applyBorder="1" applyAlignment="1" applyProtection="1">
      <alignment horizontal="center"/>
    </xf>
    <xf numFmtId="0" fontId="87" fillId="2" borderId="44" xfId="1" applyNumberFormat="1" applyFont="1" applyFill="1" applyBorder="1" applyAlignment="1" applyProtection="1">
      <alignment horizontal="center"/>
    </xf>
    <xf numFmtId="165" fontId="87" fillId="0" borderId="43" xfId="0" applyNumberFormat="1" applyFont="1" applyBorder="1" applyAlignment="1">
      <alignment horizontal="center"/>
    </xf>
    <xf numFmtId="14" fontId="96" fillId="0" borderId="55" xfId="0" applyNumberFormat="1" applyFont="1" applyBorder="1" applyAlignment="1">
      <alignment horizontal="center"/>
    </xf>
    <xf numFmtId="14" fontId="96" fillId="0" borderId="53" xfId="0" applyNumberFormat="1" applyFont="1" applyBorder="1" applyAlignment="1">
      <alignment horizontal="center"/>
    </xf>
    <xf numFmtId="0" fontId="100" fillId="0" borderId="16" xfId="0" applyFont="1" applyBorder="1" applyAlignment="1"/>
    <xf numFmtId="0" fontId="19" fillId="3" borderId="1" xfId="0" applyFont="1" applyFill="1" applyBorder="1" applyAlignment="1">
      <alignment horizontal="center" vertical="center"/>
    </xf>
    <xf numFmtId="43" fontId="97" fillId="2" borderId="58" xfId="1" applyFont="1" applyFill="1" applyBorder="1" applyAlignment="1" applyProtection="1">
      <alignment horizontal="center" vertical="top"/>
    </xf>
    <xf numFmtId="43" fontId="97" fillId="2" borderId="39" xfId="1" applyFont="1" applyFill="1" applyBorder="1" applyAlignment="1" applyProtection="1">
      <alignment horizontal="center" vertical="top"/>
    </xf>
    <xf numFmtId="0" fontId="132" fillId="3" borderId="16" xfId="0" applyFont="1" applyFill="1" applyBorder="1" applyAlignment="1">
      <alignment horizontal="center" vertical="center"/>
    </xf>
    <xf numFmtId="0" fontId="97" fillId="2" borderId="58" xfId="1" applyNumberFormat="1" applyFont="1" applyFill="1" applyBorder="1" applyAlignment="1" applyProtection="1">
      <alignment horizontal="center"/>
    </xf>
    <xf numFmtId="165" fontId="97" fillId="0" borderId="58" xfId="0" applyNumberFormat="1" applyFont="1" applyBorder="1" applyAlignment="1">
      <alignment horizontal="center"/>
    </xf>
    <xf numFmtId="0" fontId="97" fillId="2" borderId="65" xfId="1" applyNumberFormat="1" applyFont="1" applyFill="1" applyBorder="1" applyAlignment="1" applyProtection="1">
      <alignment horizontal="center"/>
    </xf>
    <xf numFmtId="165" fontId="97" fillId="0" borderId="46" xfId="0" applyNumberFormat="1" applyFont="1" applyBorder="1" applyAlignment="1">
      <alignment horizontal="center"/>
    </xf>
    <xf numFmtId="0" fontId="97" fillId="2" borderId="67" xfId="1" applyNumberFormat="1" applyFont="1" applyFill="1" applyBorder="1" applyAlignment="1" applyProtection="1">
      <alignment horizontal="center"/>
    </xf>
    <xf numFmtId="165" fontId="97" fillId="0" borderId="45" xfId="0" applyNumberFormat="1" applyFont="1" applyBorder="1" applyAlignment="1">
      <alignment horizontal="center"/>
    </xf>
    <xf numFmtId="165" fontId="105" fillId="0" borderId="15" xfId="1" applyNumberFormat="1" applyFont="1" applyBorder="1" applyAlignment="1" applyProtection="1">
      <alignment vertical="top"/>
    </xf>
    <xf numFmtId="0" fontId="93" fillId="0" borderId="3" xfId="0" applyFont="1" applyBorder="1" applyAlignment="1">
      <alignment horizontal="center"/>
    </xf>
    <xf numFmtId="0" fontId="92" fillId="0" borderId="11" xfId="0" applyFont="1" applyBorder="1" applyAlignment="1">
      <alignment horizontal="left"/>
    </xf>
    <xf numFmtId="0" fontId="93" fillId="2" borderId="11" xfId="0" applyFont="1" applyFill="1" applyBorder="1" applyAlignment="1">
      <alignment horizontal="center"/>
    </xf>
    <xf numFmtId="0" fontId="93" fillId="2" borderId="36" xfId="0" applyFont="1" applyFill="1" applyBorder="1" applyAlignment="1">
      <alignment horizontal="center"/>
    </xf>
    <xf numFmtId="0" fontId="93" fillId="2" borderId="21" xfId="0" applyFont="1" applyFill="1" applyBorder="1" applyAlignment="1">
      <alignment horizontal="center"/>
    </xf>
    <xf numFmtId="0" fontId="93" fillId="2" borderId="1" xfId="0" applyFont="1" applyFill="1" applyBorder="1" applyAlignment="1">
      <alignment horizontal="center"/>
    </xf>
    <xf numFmtId="0" fontId="93" fillId="2" borderId="2" xfId="0" applyFont="1" applyFill="1" applyBorder="1" applyAlignment="1">
      <alignment horizontal="center"/>
    </xf>
    <xf numFmtId="0" fontId="93" fillId="2" borderId="6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14" fillId="2" borderId="0" xfId="0" applyFont="1" applyFill="1" applyAlignment="1">
      <alignment horizontal="center"/>
    </xf>
    <xf numFmtId="14" fontId="115" fillId="0" borderId="46" xfId="0" applyNumberFormat="1" applyFont="1" applyBorder="1" applyAlignment="1">
      <alignment horizontal="center"/>
    </xf>
    <xf numFmtId="169" fontId="87" fillId="2" borderId="64" xfId="1" applyNumberFormat="1" applyFont="1" applyFill="1" applyBorder="1" applyAlignment="1" applyProtection="1">
      <alignment vertical="top"/>
    </xf>
    <xf numFmtId="0" fontId="120" fillId="0" borderId="58" xfId="0" applyFont="1" applyBorder="1" applyAlignment="1">
      <alignment horizontal="center"/>
    </xf>
    <xf numFmtId="14" fontId="96" fillId="0" borderId="41" xfId="0" applyNumberFormat="1" applyFont="1" applyBorder="1" applyAlignment="1">
      <alignment horizontal="center"/>
    </xf>
    <xf numFmtId="43" fontId="97" fillId="2" borderId="55" xfId="1" applyFont="1" applyFill="1" applyBorder="1" applyAlignment="1" applyProtection="1">
      <alignment horizontal="center" vertical="top"/>
    </xf>
    <xf numFmtId="0" fontId="97" fillId="2" borderId="55" xfId="1" applyNumberFormat="1" applyFont="1" applyFill="1" applyBorder="1" applyAlignment="1" applyProtection="1">
      <alignment horizontal="center"/>
    </xf>
    <xf numFmtId="165" fontId="97" fillId="0" borderId="55" xfId="0" applyNumberFormat="1" applyFont="1" applyBorder="1" applyAlignment="1">
      <alignment horizontal="center"/>
    </xf>
    <xf numFmtId="165" fontId="105" fillId="0" borderId="34" xfId="1" applyNumberFormat="1" applyFont="1" applyBorder="1" applyAlignment="1" applyProtection="1">
      <alignment horizontal="center" vertical="top"/>
    </xf>
    <xf numFmtId="0" fontId="140" fillId="0" borderId="0" xfId="0" applyFont="1" applyAlignment="1"/>
    <xf numFmtId="0" fontId="141" fillId="0" borderId="0" xfId="0" applyFont="1" applyAlignment="1"/>
    <xf numFmtId="0" fontId="142" fillId="0" borderId="0" xfId="0" applyFont="1" applyAlignment="1"/>
    <xf numFmtId="0" fontId="9" fillId="0" borderId="0" xfId="0" applyFont="1" applyAlignment="1">
      <alignment horizontal="center"/>
    </xf>
    <xf numFmtId="0" fontId="143" fillId="0" borderId="1" xfId="0" applyFont="1" applyBorder="1" applyAlignment="1"/>
    <xf numFmtId="0" fontId="144" fillId="0" borderId="2" xfId="0" applyFont="1" applyBorder="1" applyAlignment="1">
      <alignment horizontal="center"/>
    </xf>
    <xf numFmtId="0" fontId="143" fillId="0" borderId="2" xfId="0" applyFont="1" applyBorder="1" applyAlignment="1"/>
    <xf numFmtId="0" fontId="84" fillId="0" borderId="14" xfId="0" applyFont="1" applyBorder="1" applyAlignment="1">
      <alignment horizontal="center"/>
    </xf>
    <xf numFmtId="0" fontId="145" fillId="0" borderId="14" xfId="0" applyFont="1" applyBorder="1" applyAlignment="1">
      <alignment horizontal="center"/>
    </xf>
    <xf numFmtId="0" fontId="16" fillId="3" borderId="31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17" fillId="0" borderId="6" xfId="0" applyFont="1" applyBorder="1" applyAlignment="1">
      <alignment horizontal="left"/>
    </xf>
    <xf numFmtId="0" fontId="146" fillId="0" borderId="14" xfId="0" applyFont="1" applyBorder="1" applyAlignment="1">
      <alignment horizontal="center"/>
    </xf>
    <xf numFmtId="175" fontId="147" fillId="0" borderId="14" xfId="0" applyNumberFormat="1" applyFont="1" applyBorder="1" applyAlignment="1">
      <alignment horizontal="center"/>
    </xf>
    <xf numFmtId="0" fontId="148" fillId="0" borderId="3" xfId="0" applyFont="1" applyBorder="1" applyAlignment="1">
      <alignment horizontal="center"/>
    </xf>
    <xf numFmtId="0" fontId="148" fillId="0" borderId="31" xfId="0" applyFont="1" applyBorder="1" applyAlignment="1">
      <alignment horizontal="center"/>
    </xf>
    <xf numFmtId="0" fontId="88" fillId="0" borderId="23" xfId="0" applyFont="1" applyBorder="1" applyAlignment="1">
      <alignment horizontal="left"/>
    </xf>
    <xf numFmtId="0" fontId="8" fillId="0" borderId="33" xfId="0" applyFont="1" applyBorder="1" applyAlignment="1">
      <alignment horizontal="center"/>
    </xf>
    <xf numFmtId="171" fontId="31" fillId="0" borderId="23" xfId="0" applyNumberFormat="1" applyFont="1" applyBorder="1" applyAlignment="1">
      <alignment horizontal="center"/>
    </xf>
    <xf numFmtId="0" fontId="8" fillId="0" borderId="83" xfId="0" applyFont="1" applyBorder="1" applyAlignment="1">
      <alignment horizontal="center"/>
    </xf>
    <xf numFmtId="0" fontId="88" fillId="0" borderId="43" xfId="0" applyFont="1" applyBorder="1" applyAlignment="1">
      <alignment horizontal="left"/>
    </xf>
    <xf numFmtId="0" fontId="9" fillId="0" borderId="74" xfId="0" applyFont="1" applyBorder="1" applyAlignment="1">
      <alignment horizontal="center"/>
    </xf>
    <xf numFmtId="171" fontId="31" fillId="0" borderId="46" xfId="0" applyNumberFormat="1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14" fontId="31" fillId="0" borderId="46" xfId="0" applyNumberFormat="1" applyFont="1" applyBorder="1" applyAlignment="1">
      <alignment horizontal="center"/>
    </xf>
    <xf numFmtId="0" fontId="149" fillId="0" borderId="14" xfId="0" applyFont="1" applyBorder="1" applyAlignment="1">
      <alignment horizontal="center"/>
    </xf>
    <xf numFmtId="14" fontId="150" fillId="0" borderId="14" xfId="0" applyNumberFormat="1" applyFont="1" applyBorder="1" applyAlignment="1">
      <alignment horizontal="center"/>
    </xf>
    <xf numFmtId="0" fontId="151" fillId="0" borderId="31" xfId="0" applyFont="1" applyBorder="1" applyAlignment="1">
      <alignment horizontal="center"/>
    </xf>
    <xf numFmtId="0" fontId="149" fillId="0" borderId="0" xfId="0" applyFont="1" applyAlignment="1">
      <alignment horizontal="center"/>
    </xf>
    <xf numFmtId="14" fontId="150" fillId="0" borderId="0" xfId="0" applyNumberFormat="1" applyFont="1" applyAlignment="1">
      <alignment horizontal="center"/>
    </xf>
    <xf numFmtId="0" fontId="151" fillId="0" borderId="0" xfId="0" applyFont="1" applyAlignment="1">
      <alignment horizontal="center"/>
    </xf>
    <xf numFmtId="0" fontId="16" fillId="3" borderId="3" xfId="0" applyFont="1" applyFill="1" applyBorder="1" applyAlignment="1">
      <alignment horizontal="center"/>
    </xf>
    <xf numFmtId="173" fontId="91" fillId="0" borderId="46" xfId="0" applyNumberFormat="1" applyFont="1" applyBorder="1" applyAlignment="1">
      <alignment horizontal="center"/>
    </xf>
    <xf numFmtId="0" fontId="60" fillId="0" borderId="84" xfId="0" applyFont="1" applyBorder="1" applyAlignment="1">
      <alignment horizontal="center"/>
    </xf>
    <xf numFmtId="0" fontId="60" fillId="0" borderId="54" xfId="0" applyFont="1" applyBorder="1" applyAlignment="1">
      <alignment horizontal="center"/>
    </xf>
    <xf numFmtId="173" fontId="115" fillId="0" borderId="46" xfId="0" applyNumberFormat="1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148" fillId="0" borderId="4" xfId="0" applyFont="1" applyBorder="1" applyAlignment="1">
      <alignment horizontal="center"/>
    </xf>
    <xf numFmtId="0" fontId="148" fillId="0" borderId="4" xfId="1" applyNumberFormat="1" applyFont="1" applyBorder="1" applyAlignment="1" applyProtection="1">
      <alignment horizontal="center"/>
    </xf>
    <xf numFmtId="0" fontId="8" fillId="0" borderId="61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55" xfId="0" applyFont="1" applyBorder="1" applyAlignment="1">
      <alignment horizontal="center"/>
    </xf>
    <xf numFmtId="0" fontId="152" fillId="0" borderId="58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78" fillId="0" borderId="1" xfId="0" applyFont="1" applyBorder="1" applyAlignment="1"/>
    <xf numFmtId="0" fontId="145" fillId="0" borderId="3" xfId="0" applyFont="1" applyBorder="1" applyAlignment="1">
      <alignment horizontal="center" vertical="center"/>
    </xf>
    <xf numFmtId="0" fontId="145" fillId="3" borderId="4" xfId="0" applyFont="1" applyFill="1" applyBorder="1" applyAlignment="1">
      <alignment horizontal="center"/>
    </xf>
    <xf numFmtId="0" fontId="145" fillId="0" borderId="4" xfId="0" applyFont="1" applyBorder="1" applyAlignment="1">
      <alignment horizontal="center"/>
    </xf>
    <xf numFmtId="0" fontId="148" fillId="0" borderId="5" xfId="0" applyFont="1" applyBorder="1" applyAlignment="1">
      <alignment horizontal="center"/>
    </xf>
    <xf numFmtId="0" fontId="148" fillId="0" borderId="16" xfId="0" applyFont="1" applyBorder="1" applyAlignment="1">
      <alignment horizontal="center"/>
    </xf>
    <xf numFmtId="0" fontId="148" fillId="0" borderId="1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67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65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151" fillId="0" borderId="1" xfId="0" applyFont="1" applyBorder="1" applyAlignment="1">
      <alignment horizontal="center"/>
    </xf>
    <xf numFmtId="0" fontId="151" fillId="0" borderId="3" xfId="0" applyFont="1" applyBorder="1" applyAlignment="1">
      <alignment horizontal="center"/>
    </xf>
    <xf numFmtId="0" fontId="151" fillId="0" borderId="4" xfId="0" applyFont="1" applyBorder="1" applyAlignment="1">
      <alignment horizontal="center"/>
    </xf>
    <xf numFmtId="0" fontId="151" fillId="0" borderId="5" xfId="0" applyFont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60" fillId="0" borderId="29" xfId="0" applyFont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60" fillId="0" borderId="9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46" xfId="0" applyFont="1" applyBorder="1" applyAlignment="1">
      <alignment horizontal="center"/>
    </xf>
    <xf numFmtId="0" fontId="60" fillId="0" borderId="39" xfId="0" applyFont="1" applyBorder="1" applyAlignment="1">
      <alignment horizontal="center"/>
    </xf>
    <xf numFmtId="0" fontId="60" fillId="0" borderId="43" xfId="0" applyFont="1" applyBorder="1" applyAlignment="1">
      <alignment horizontal="center"/>
    </xf>
    <xf numFmtId="0" fontId="60" fillId="0" borderId="82" xfId="0" applyFont="1" applyBorder="1" applyAlignment="1">
      <alignment horizontal="center"/>
    </xf>
    <xf numFmtId="0" fontId="60" fillId="0" borderId="58" xfId="0" applyFont="1" applyBorder="1" applyAlignment="1">
      <alignment horizontal="center"/>
    </xf>
    <xf numFmtId="0" fontId="60" fillId="0" borderId="32" xfId="0" applyFont="1" applyBorder="1" applyAlignment="1">
      <alignment horizontal="center"/>
    </xf>
    <xf numFmtId="0" fontId="60" fillId="0" borderId="10" xfId="0" applyFont="1" applyBorder="1" applyAlignment="1">
      <alignment horizontal="center"/>
    </xf>
    <xf numFmtId="0" fontId="60" fillId="0" borderId="28" xfId="0" applyFont="1" applyBorder="1" applyAlignment="1">
      <alignment horizontal="center"/>
    </xf>
    <xf numFmtId="0" fontId="60" fillId="0" borderId="8" xfId="0" applyFont="1" applyBorder="1" applyAlignment="1">
      <alignment horizontal="center"/>
    </xf>
    <xf numFmtId="0" fontId="151" fillId="0" borderId="14" xfId="0" applyFont="1" applyBorder="1" applyAlignment="1">
      <alignment horizontal="center"/>
    </xf>
    <xf numFmtId="0" fontId="145" fillId="0" borderId="1" xfId="0" applyFont="1" applyBorder="1" applyAlignment="1">
      <alignment horizontal="center" vertical="center"/>
    </xf>
    <xf numFmtId="0" fontId="145" fillId="3" borderId="14" xfId="0" applyFont="1" applyFill="1" applyBorder="1" applyAlignment="1">
      <alignment horizontal="center"/>
    </xf>
    <xf numFmtId="0" fontId="145" fillId="3" borderId="31" xfId="0" applyFont="1" applyFill="1" applyBorder="1" applyAlignment="1">
      <alignment horizontal="center"/>
    </xf>
    <xf numFmtId="0" fontId="60" fillId="0" borderId="34" xfId="0" applyFont="1" applyBorder="1" applyAlignment="1">
      <alignment horizontal="center"/>
    </xf>
    <xf numFmtId="0" fontId="60" fillId="0" borderId="30" xfId="0" applyFont="1" applyBorder="1" applyAlignment="1">
      <alignment horizontal="center"/>
    </xf>
    <xf numFmtId="0" fontId="60" fillId="0" borderId="65" xfId="0" applyFont="1" applyBorder="1" applyAlignment="1">
      <alignment horizontal="center"/>
    </xf>
    <xf numFmtId="0" fontId="81" fillId="0" borderId="0" xfId="0" applyFont="1" applyAlignment="1"/>
    <xf numFmtId="0" fontId="143" fillId="0" borderId="15" xfId="0" applyFont="1" applyBorder="1" applyAlignment="1"/>
    <xf numFmtId="0" fontId="145" fillId="0" borderId="16" xfId="0" applyFont="1" applyBorder="1" applyAlignment="1">
      <alignment horizontal="center"/>
    </xf>
    <xf numFmtId="0" fontId="148" fillId="0" borderId="14" xfId="0" applyFont="1" applyBorder="1" applyAlignment="1">
      <alignment horizontal="center"/>
    </xf>
    <xf numFmtId="0" fontId="148" fillId="0" borderId="15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69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18" fillId="0" borderId="14" xfId="0" applyFont="1" applyBorder="1" applyAlignment="1"/>
    <xf numFmtId="0" fontId="60" fillId="0" borderId="24" xfId="0" applyFont="1" applyBorder="1" applyAlignment="1">
      <alignment horizontal="center"/>
    </xf>
    <xf numFmtId="0" fontId="60" fillId="0" borderId="62" xfId="0" applyFont="1" applyBorder="1" applyAlignment="1">
      <alignment horizontal="center"/>
    </xf>
    <xf numFmtId="0" fontId="60" fillId="0" borderId="64" xfId="0" applyFont="1" applyBorder="1" applyAlignment="1">
      <alignment horizontal="center"/>
    </xf>
    <xf numFmtId="0" fontId="18" fillId="0" borderId="1" xfId="0" applyFont="1" applyBorder="1" applyAlignment="1"/>
    <xf numFmtId="0" fontId="60" fillId="0" borderId="17" xfId="0" applyFont="1" applyBorder="1" applyAlignment="1">
      <alignment horizontal="center"/>
    </xf>
    <xf numFmtId="0" fontId="151" fillId="0" borderId="16" xfId="0" applyFont="1" applyBorder="1" applyAlignment="1">
      <alignment horizontal="center"/>
    </xf>
    <xf numFmtId="0" fontId="1" fillId="0" borderId="58" xfId="0" applyFont="1" applyBorder="1" applyAlignment="1"/>
    <xf numFmtId="0" fontId="60" fillId="0" borderId="49" xfId="0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60" fillId="0" borderId="75" xfId="0" applyFont="1" applyBorder="1" applyAlignment="1">
      <alignment horizontal="center"/>
    </xf>
    <xf numFmtId="0" fontId="92" fillId="8" borderId="0" xfId="0" applyFont="1" applyFill="1" applyAlignment="1">
      <alignment horizontal="left"/>
    </xf>
    <xf numFmtId="0" fontId="149" fillId="8" borderId="0" xfId="0" applyFont="1" applyFill="1" applyAlignment="1">
      <alignment horizontal="center"/>
    </xf>
    <xf numFmtId="14" fontId="150" fillId="8" borderId="0" xfId="0" applyNumberFormat="1" applyFont="1" applyFill="1" applyAlignment="1">
      <alignment horizontal="center"/>
    </xf>
    <xf numFmtId="0" fontId="151" fillId="8" borderId="0" xfId="0" applyFont="1" applyFill="1" applyAlignment="1">
      <alignment horizontal="center"/>
    </xf>
    <xf numFmtId="0" fontId="134" fillId="0" borderId="3" xfId="0" applyFont="1" applyBorder="1" applyAlignment="1">
      <alignment horizontal="left"/>
    </xf>
    <xf numFmtId="0" fontId="64" fillId="0" borderId="51" xfId="0" applyFont="1" applyBorder="1" applyAlignment="1"/>
    <xf numFmtId="14" fontId="6" fillId="0" borderId="46" xfId="0" applyNumberFormat="1" applyFont="1" applyBorder="1" applyAlignment="1">
      <alignment horizontal="center"/>
    </xf>
    <xf numFmtId="0" fontId="119" fillId="0" borderId="3" xfId="0" applyFont="1" applyBorder="1" applyAlignment="1">
      <alignment horizontal="left"/>
    </xf>
    <xf numFmtId="0" fontId="151" fillId="0" borderId="36" xfId="0" applyFont="1" applyBorder="1" applyAlignment="1">
      <alignment horizontal="center"/>
    </xf>
    <xf numFmtId="0" fontId="109" fillId="0" borderId="34" xfId="0" applyFont="1" applyBorder="1" applyAlignment="1">
      <alignment horizontal="left"/>
    </xf>
    <xf numFmtId="14" fontId="118" fillId="0" borderId="46" xfId="0" applyNumberFormat="1" applyFont="1" applyBorder="1" applyAlignment="1">
      <alignment horizontal="center"/>
    </xf>
    <xf numFmtId="0" fontId="153" fillId="0" borderId="6" xfId="0" applyFont="1" applyBorder="1" applyAlignment="1">
      <alignment horizontal="left"/>
    </xf>
    <xf numFmtId="14" fontId="6" fillId="0" borderId="45" xfId="0" applyNumberFormat="1" applyFont="1" applyBorder="1" applyAlignment="1">
      <alignment horizontal="center"/>
    </xf>
    <xf numFmtId="0" fontId="154" fillId="0" borderId="1" xfId="0" applyFont="1" applyBorder="1" applyAlignment="1"/>
    <xf numFmtId="0" fontId="144" fillId="0" borderId="1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54" fillId="0" borderId="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55" fillId="0" borderId="14" xfId="0" applyFont="1" applyBorder="1" applyAlignment="1">
      <alignment horizontal="left" vertical="center"/>
    </xf>
    <xf numFmtId="0" fontId="155" fillId="0" borderId="14" xfId="0" applyFont="1" applyBorder="1" applyAlignment="1">
      <alignment horizontal="center" vertical="center"/>
    </xf>
    <xf numFmtId="0" fontId="117" fillId="0" borderId="14" xfId="0" applyFont="1" applyBorder="1" applyAlignment="1">
      <alignment horizontal="center" vertical="center"/>
    </xf>
    <xf numFmtId="0" fontId="156" fillId="0" borderId="84" xfId="0" applyFont="1" applyBorder="1" applyAlignment="1">
      <alignment horizontal="center"/>
    </xf>
    <xf numFmtId="0" fontId="156" fillId="0" borderId="54" xfId="0" applyFont="1" applyBorder="1" applyAlignment="1">
      <alignment horizontal="center"/>
    </xf>
    <xf numFmtId="0" fontId="111" fillId="2" borderId="82" xfId="0" applyFont="1" applyFill="1" applyBorder="1" applyAlignment="1">
      <alignment horizontal="center"/>
    </xf>
    <xf numFmtId="0" fontId="110" fillId="2" borderId="58" xfId="0" applyFont="1" applyFill="1" applyBorder="1" applyAlignment="1">
      <alignment horizontal="center"/>
    </xf>
    <xf numFmtId="0" fontId="156" fillId="0" borderId="82" xfId="0" applyFont="1" applyBorder="1" applyAlignment="1">
      <alignment horizontal="center"/>
    </xf>
    <xf numFmtId="0" fontId="156" fillId="0" borderId="55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0" fontId="151" fillId="0" borderId="6" xfId="0" applyFont="1" applyBorder="1" applyAlignment="1">
      <alignment horizontal="center"/>
    </xf>
    <xf numFmtId="0" fontId="151" fillId="0" borderId="11" xfId="0" applyFont="1" applyBorder="1" applyAlignment="1">
      <alignment horizontal="center"/>
    </xf>
    <xf numFmtId="0" fontId="151" fillId="0" borderId="12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2" borderId="8" xfId="0" applyNumberFormat="1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  <xf numFmtId="0" fontId="77" fillId="0" borderId="1" xfId="0" applyFont="1" applyBorder="1" applyAlignment="1"/>
    <xf numFmtId="0" fontId="117" fillId="0" borderId="3" xfId="0" applyFont="1" applyBorder="1" applyAlignment="1">
      <alignment horizontal="center" vertical="center"/>
    </xf>
    <xf numFmtId="0" fontId="117" fillId="3" borderId="4" xfId="0" applyFont="1" applyFill="1" applyBorder="1" applyAlignment="1">
      <alignment horizontal="center"/>
    </xf>
    <xf numFmtId="0" fontId="117" fillId="0" borderId="4" xfId="0" applyFont="1" applyBorder="1" applyAlignment="1">
      <alignment horizontal="center"/>
    </xf>
    <xf numFmtId="0" fontId="156" fillId="0" borderId="53" xfId="0" applyFont="1" applyBorder="1" applyAlignment="1">
      <alignment horizontal="center"/>
    </xf>
    <xf numFmtId="0" fontId="156" fillId="0" borderId="62" xfId="0" applyFont="1" applyBorder="1" applyAlignment="1">
      <alignment horizontal="center"/>
    </xf>
    <xf numFmtId="0" fontId="156" fillId="0" borderId="51" xfId="0" applyFont="1" applyBorder="1" applyAlignment="1">
      <alignment horizontal="center"/>
    </xf>
    <xf numFmtId="0" fontId="156" fillId="0" borderId="46" xfId="0" applyFont="1" applyBorder="1" applyAlignment="1">
      <alignment horizontal="center"/>
    </xf>
    <xf numFmtId="0" fontId="156" fillId="0" borderId="65" xfId="0" applyFont="1" applyBorder="1" applyAlignment="1">
      <alignment horizontal="center"/>
    </xf>
    <xf numFmtId="0" fontId="156" fillId="0" borderId="43" xfId="0" applyFont="1" applyBorder="1" applyAlignment="1">
      <alignment horizontal="center"/>
    </xf>
    <xf numFmtId="0" fontId="151" fillId="0" borderId="18" xfId="0" applyFont="1" applyBorder="1" applyAlignment="1">
      <alignment horizontal="center"/>
    </xf>
    <xf numFmtId="0" fontId="106" fillId="0" borderId="0" xfId="0" applyFont="1" applyAlignment="1"/>
    <xf numFmtId="1" fontId="8" fillId="2" borderId="17" xfId="0" applyNumberFormat="1" applyFont="1" applyFill="1" applyBorder="1" applyAlignment="1">
      <alignment horizontal="center"/>
    </xf>
    <xf numFmtId="0" fontId="117" fillId="0" borderId="16" xfId="0" applyFont="1" applyBorder="1" applyAlignment="1">
      <alignment horizontal="center"/>
    </xf>
    <xf numFmtId="0" fontId="95" fillId="2" borderId="82" xfId="0" applyFont="1" applyFill="1" applyBorder="1" applyAlignment="1">
      <alignment horizontal="center"/>
    </xf>
    <xf numFmtId="167" fontId="112" fillId="2" borderId="56" xfId="0" applyNumberFormat="1" applyFont="1" applyFill="1" applyBorder="1" applyAlignment="1">
      <alignment horizontal="center"/>
    </xf>
    <xf numFmtId="0" fontId="154" fillId="0" borderId="10" xfId="0" applyFont="1" applyBorder="1" applyAlignment="1"/>
    <xf numFmtId="0" fontId="154" fillId="0" borderId="14" xfId="0" applyFont="1" applyBorder="1" applyAlignment="1">
      <alignment horizontal="left"/>
    </xf>
    <xf numFmtId="0" fontId="92" fillId="10" borderId="0" xfId="0" applyFont="1" applyFill="1" applyAlignment="1">
      <alignment horizontal="left"/>
    </xf>
    <xf numFmtId="0" fontId="149" fillId="10" borderId="0" xfId="0" applyFont="1" applyFill="1" applyAlignment="1">
      <alignment horizontal="center"/>
    </xf>
    <xf numFmtId="14" fontId="150" fillId="10" borderId="0" xfId="0" applyNumberFormat="1" applyFont="1" applyFill="1" applyAlignment="1">
      <alignment horizontal="center"/>
    </xf>
    <xf numFmtId="0" fontId="151" fillId="10" borderId="0" xfId="0" applyFont="1" applyFill="1" applyAlignment="1">
      <alignment horizontal="center"/>
    </xf>
    <xf numFmtId="0" fontId="87" fillId="0" borderId="3" xfId="0" applyFont="1" applyBorder="1" applyAlignment="1">
      <alignment horizontal="left"/>
    </xf>
    <xf numFmtId="0" fontId="101" fillId="0" borderId="19" xfId="0" applyFont="1" applyBorder="1" applyAlignment="1">
      <alignment horizontal="left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19" fillId="11" borderId="0" xfId="0" applyFont="1" applyFill="1" applyAlignment="1">
      <alignment horizontal="left"/>
    </xf>
    <xf numFmtId="1" fontId="155" fillId="11" borderId="0" xfId="0" applyNumberFormat="1" applyFont="1" applyFill="1" applyAlignment="1">
      <alignment horizontal="center"/>
    </xf>
    <xf numFmtId="14" fontId="86" fillId="11" borderId="0" xfId="0" applyNumberFormat="1" applyFont="1" applyFill="1" applyAlignment="1">
      <alignment horizontal="center"/>
    </xf>
    <xf numFmtId="0" fontId="148" fillId="11" borderId="0" xfId="0" applyFont="1" applyFill="1" applyAlignment="1">
      <alignment horizontal="center"/>
    </xf>
    <xf numFmtId="0" fontId="154" fillId="0" borderId="2" xfId="0" applyFont="1" applyBorder="1" applyAlignment="1"/>
    <xf numFmtId="0" fontId="154" fillId="0" borderId="2" xfId="0" applyFont="1" applyBorder="1" applyAlignment="1">
      <alignment horizontal="left"/>
    </xf>
    <xf numFmtId="0" fontId="8" fillId="0" borderId="16" xfId="0" applyFont="1" applyBorder="1" applyAlignment="1">
      <alignment horizontal="center"/>
    </xf>
    <xf numFmtId="1" fontId="8" fillId="0" borderId="3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2" borderId="14" xfId="0" applyNumberFormat="1" applyFont="1" applyFill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151" fillId="0" borderId="2" xfId="0" applyFont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" fontId="8" fillId="2" borderId="4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1" fontId="8" fillId="2" borderId="16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59" fillId="0" borderId="0" xfId="0" applyFont="1" applyAlignment="1"/>
    <xf numFmtId="14" fontId="85" fillId="0" borderId="14" xfId="0" applyNumberFormat="1" applyFont="1" applyBorder="1" applyAlignment="1">
      <alignment horizontal="center"/>
    </xf>
    <xf numFmtId="173" fontId="86" fillId="0" borderId="1" xfId="0" applyNumberFormat="1" applyFont="1" applyBorder="1" applyAlignment="1">
      <alignment horizontal="center"/>
    </xf>
    <xf numFmtId="173" fontId="91" fillId="0" borderId="68" xfId="0" applyNumberFormat="1" applyFont="1" applyBorder="1" applyAlignment="1">
      <alignment horizontal="center"/>
    </xf>
    <xf numFmtId="0" fontId="90" fillId="2" borderId="59" xfId="0" applyFont="1" applyFill="1" applyBorder="1" applyAlignment="1">
      <alignment horizontal="center"/>
    </xf>
    <xf numFmtId="0" fontId="90" fillId="2" borderId="61" xfId="0" applyFont="1" applyFill="1" applyBorder="1" applyAlignment="1">
      <alignment horizontal="center"/>
    </xf>
    <xf numFmtId="0" fontId="90" fillId="2" borderId="61" xfId="1" applyNumberFormat="1" applyFont="1" applyFill="1" applyBorder="1" applyAlignment="1" applyProtection="1">
      <alignment horizontal="center" vertical="top"/>
    </xf>
    <xf numFmtId="173" fontId="91" fillId="0" borderId="39" xfId="0" applyNumberFormat="1" applyFont="1" applyBorder="1" applyAlignment="1">
      <alignment horizontal="center"/>
    </xf>
    <xf numFmtId="14" fontId="93" fillId="0" borderId="32" xfId="0" applyNumberFormat="1" applyFont="1" applyBorder="1" applyAlignment="1">
      <alignment horizontal="center"/>
    </xf>
    <xf numFmtId="165" fontId="93" fillId="2" borderId="4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76" fontId="96" fillId="0" borderId="39" xfId="0" applyNumberFormat="1" applyFont="1" applyBorder="1" applyAlignment="1">
      <alignment horizontal="center"/>
    </xf>
    <xf numFmtId="177" fontId="96" fillId="0" borderId="39" xfId="0" applyNumberFormat="1" applyFont="1" applyBorder="1" applyAlignment="1">
      <alignment horizontal="center"/>
    </xf>
    <xf numFmtId="176" fontId="97" fillId="2" borderId="58" xfId="0" applyNumberFormat="1" applyFont="1" applyFill="1" applyBorder="1" applyAlignment="1">
      <alignment horizontal="center"/>
    </xf>
    <xf numFmtId="14" fontId="96" fillId="0" borderId="39" xfId="0" applyNumberFormat="1" applyFont="1" applyBorder="1" applyAlignment="1">
      <alignment horizontal="center"/>
    </xf>
    <xf numFmtId="14" fontId="91" fillId="0" borderId="51" xfId="0" applyNumberFormat="1" applyFont="1" applyBorder="1" applyAlignment="1">
      <alignment horizontal="center"/>
    </xf>
    <xf numFmtId="14" fontId="81" fillId="0" borderId="14" xfId="0" applyNumberFormat="1" applyFont="1" applyBorder="1" applyAlignment="1">
      <alignment horizontal="center"/>
    </xf>
    <xf numFmtId="169" fontId="90" fillId="2" borderId="61" xfId="1" applyNumberFormat="1" applyFont="1" applyFill="1" applyBorder="1" applyAlignment="1" applyProtection="1">
      <alignment horizontal="center" vertical="top"/>
    </xf>
    <xf numFmtId="0" fontId="90" fillId="2" borderId="66" xfId="1" applyNumberFormat="1" applyFont="1" applyFill="1" applyBorder="1" applyAlignment="1" applyProtection="1">
      <alignment horizontal="center" vertical="top"/>
    </xf>
    <xf numFmtId="43" fontId="90" fillId="2" borderId="50" xfId="1" applyFont="1" applyFill="1" applyBorder="1" applyAlignment="1" applyProtection="1">
      <alignment horizontal="center" vertical="top"/>
    </xf>
    <xf numFmtId="169" fontId="90" fillId="2" borderId="58" xfId="1" applyNumberFormat="1" applyFont="1" applyFill="1" applyBorder="1" applyAlignment="1" applyProtection="1">
      <alignment horizontal="center" vertical="top"/>
    </xf>
    <xf numFmtId="13" fontId="90" fillId="2" borderId="58" xfId="1" applyNumberFormat="1" applyFont="1" applyFill="1" applyBorder="1" applyAlignment="1" applyProtection="1">
      <alignment horizontal="center" vertical="top"/>
    </xf>
    <xf numFmtId="43" fontId="90" fillId="2" borderId="58" xfId="1" applyFont="1" applyFill="1" applyBorder="1" applyAlignment="1" applyProtection="1">
      <alignment horizontal="center" vertical="top"/>
    </xf>
    <xf numFmtId="43" fontId="90" fillId="2" borderId="55" xfId="1" applyFont="1" applyFill="1" applyBorder="1" applyAlignment="1" applyProtection="1">
      <alignment horizontal="center" vertical="top"/>
    </xf>
    <xf numFmtId="165" fontId="93" fillId="2" borderId="16" xfId="0" applyNumberFormat="1" applyFont="1" applyFill="1" applyBorder="1" applyAlignment="1">
      <alignment horizontal="center"/>
    </xf>
    <xf numFmtId="165" fontId="93" fillId="2" borderId="31" xfId="0" applyNumberFormat="1" applyFont="1" applyFill="1" applyBorder="1" applyAlignment="1">
      <alignment horizontal="center"/>
    </xf>
    <xf numFmtId="0" fontId="19" fillId="3" borderId="15" xfId="0" applyFont="1" applyFill="1" applyBorder="1" applyAlignment="1">
      <alignment horizontal="center"/>
    </xf>
    <xf numFmtId="169" fontId="97" fillId="2" borderId="58" xfId="1" applyNumberFormat="1" applyFont="1" applyFill="1" applyBorder="1" applyAlignment="1" applyProtection="1">
      <alignment horizontal="center" vertical="top"/>
    </xf>
    <xf numFmtId="169" fontId="97" fillId="2" borderId="58" xfId="1" applyNumberFormat="1" applyFont="1" applyFill="1" applyBorder="1" applyAlignment="1" applyProtection="1">
      <alignment vertical="top"/>
    </xf>
    <xf numFmtId="169" fontId="93" fillId="2" borderId="3" xfId="0" applyNumberFormat="1" applyFont="1" applyFill="1" applyBorder="1" applyAlignment="1">
      <alignment horizontal="center"/>
    </xf>
    <xf numFmtId="14" fontId="91" fillId="0" borderId="1" xfId="0" applyNumberFormat="1" applyFont="1" applyBorder="1" applyAlignment="1">
      <alignment horizontal="center"/>
    </xf>
    <xf numFmtId="14" fontId="91" fillId="0" borderId="34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4" fontId="91" fillId="0" borderId="32" xfId="0" applyNumberFormat="1" applyFont="1" applyBorder="1" applyAlignment="1">
      <alignment horizontal="center"/>
    </xf>
    <xf numFmtId="14" fontId="91" fillId="6" borderId="34" xfId="0" applyNumberFormat="1" applyFont="1" applyFill="1" applyBorder="1" applyAlignment="1">
      <alignment horizontal="center"/>
    </xf>
    <xf numFmtId="0" fontId="90" fillId="6" borderId="59" xfId="0" applyFont="1" applyFill="1" applyBorder="1" applyAlignment="1">
      <alignment horizontal="center"/>
    </xf>
    <xf numFmtId="0" fontId="90" fillId="6" borderId="61" xfId="0" applyFont="1" applyFill="1" applyBorder="1" applyAlignment="1">
      <alignment horizontal="center"/>
    </xf>
    <xf numFmtId="0" fontId="90" fillId="6" borderId="61" xfId="1" applyNumberFormat="1" applyFont="1" applyFill="1" applyBorder="1" applyAlignment="1" applyProtection="1">
      <alignment horizontal="center" vertical="top"/>
    </xf>
    <xf numFmtId="43" fontId="90" fillId="2" borderId="61" xfId="1" applyFont="1" applyFill="1" applyBorder="1" applyAlignment="1" applyProtection="1">
      <alignment horizontal="center" vertical="top"/>
    </xf>
    <xf numFmtId="43" fontId="90" fillId="2" borderId="66" xfId="1" applyFont="1" applyFill="1" applyBorder="1" applyAlignment="1" applyProtection="1">
      <alignment horizontal="center" vertical="top"/>
    </xf>
    <xf numFmtId="169" fontId="90" fillId="2" borderId="64" xfId="1" applyNumberFormat="1" applyFont="1" applyFill="1" applyBorder="1" applyAlignment="1" applyProtection="1">
      <alignment horizontal="center" vertical="top"/>
    </xf>
    <xf numFmtId="0" fontId="90" fillId="2" borderId="4" xfId="1" applyNumberFormat="1" applyFont="1" applyFill="1" applyBorder="1" applyAlignment="1" applyProtection="1">
      <alignment horizontal="center" vertical="top"/>
    </xf>
    <xf numFmtId="43" fontId="90" fillId="6" borderId="61" xfId="1" applyFont="1" applyFill="1" applyBorder="1" applyAlignment="1" applyProtection="1">
      <alignment horizontal="center" vertical="top"/>
    </xf>
    <xf numFmtId="43" fontId="90" fillId="6" borderId="66" xfId="1" applyFont="1" applyFill="1" applyBorder="1" applyAlignment="1" applyProtection="1">
      <alignment horizontal="center" vertical="top"/>
    </xf>
    <xf numFmtId="0" fontId="111" fillId="2" borderId="0" xfId="0" applyFont="1" applyFill="1" applyAlignment="1">
      <alignment horizontal="center"/>
    </xf>
    <xf numFmtId="0" fontId="116" fillId="2" borderId="52" xfId="0" applyFont="1" applyFill="1" applyBorder="1" applyAlignment="1">
      <alignment horizontal="center"/>
    </xf>
    <xf numFmtId="0" fontId="116" fillId="2" borderId="55" xfId="0" applyFont="1" applyFill="1" applyBorder="1" applyAlignment="1">
      <alignment horizontal="center"/>
    </xf>
    <xf numFmtId="0" fontId="116" fillId="2" borderId="55" xfId="1" applyNumberFormat="1" applyFont="1" applyFill="1" applyBorder="1" applyAlignment="1" applyProtection="1">
      <alignment horizontal="center" vertical="top"/>
    </xf>
    <xf numFmtId="0" fontId="113" fillId="0" borderId="40" xfId="0" applyFont="1" applyBorder="1" applyAlignment="1">
      <alignment horizontal="left"/>
    </xf>
    <xf numFmtId="1" fontId="114" fillId="0" borderId="58" xfId="0" applyNumberFormat="1" applyFont="1" applyBorder="1" applyAlignment="1">
      <alignment horizontal="center"/>
    </xf>
    <xf numFmtId="1" fontId="114" fillId="0" borderId="41" xfId="0" applyNumberFormat="1" applyFont="1" applyBorder="1" applyAlignment="1">
      <alignment horizontal="center"/>
    </xf>
    <xf numFmtId="175" fontId="118" fillId="0" borderId="43" xfId="0" applyNumberFormat="1" applyFont="1" applyBorder="1" applyAlignment="1">
      <alignment horizontal="center"/>
    </xf>
    <xf numFmtId="1" fontId="114" fillId="0" borderId="8" xfId="0" applyNumberFormat="1" applyFont="1" applyBorder="1" applyAlignment="1">
      <alignment horizontal="center"/>
    </xf>
    <xf numFmtId="1" fontId="114" fillId="0" borderId="26" xfId="0" applyNumberFormat="1" applyFont="1" applyBorder="1" applyAlignment="1">
      <alignment horizontal="center"/>
    </xf>
    <xf numFmtId="175" fontId="118" fillId="0" borderId="10" xfId="0" applyNumberFormat="1" applyFont="1" applyBorder="1" applyAlignment="1">
      <alignment horizontal="center"/>
    </xf>
    <xf numFmtId="0" fontId="92" fillId="3" borderId="1" xfId="0" applyFont="1" applyFill="1" applyBorder="1" applyAlignment="1">
      <alignment horizontal="left"/>
    </xf>
    <xf numFmtId="1" fontId="93" fillId="3" borderId="2" xfId="0" applyNumberFormat="1" applyFont="1" applyFill="1" applyBorder="1" applyAlignment="1">
      <alignment horizontal="center"/>
    </xf>
    <xf numFmtId="14" fontId="93" fillId="3" borderId="2" xfId="0" applyNumberFormat="1" applyFont="1" applyFill="1" applyBorder="1" applyAlignment="1">
      <alignment horizontal="center"/>
    </xf>
    <xf numFmtId="0" fontId="93" fillId="3" borderId="2" xfId="0" applyFont="1" applyFill="1" applyBorder="1" applyAlignment="1">
      <alignment horizontal="center"/>
    </xf>
    <xf numFmtId="0" fontId="105" fillId="0" borderId="4" xfId="1" applyNumberFormat="1" applyFont="1" applyBorder="1" applyAlignment="1" applyProtection="1">
      <alignment horizontal="center" vertical="top"/>
    </xf>
    <xf numFmtId="0" fontId="105" fillId="0" borderId="16" xfId="1" applyNumberFormat="1" applyFont="1" applyBorder="1" applyAlignment="1" applyProtection="1">
      <alignment horizontal="center" vertical="top"/>
    </xf>
    <xf numFmtId="0" fontId="116" fillId="2" borderId="62" xfId="1" applyNumberFormat="1" applyFont="1" applyFill="1" applyBorder="1" applyAlignment="1" applyProtection="1">
      <alignment horizontal="center" vertical="top"/>
    </xf>
    <xf numFmtId="43" fontId="116" fillId="2" borderId="39" xfId="1" applyFont="1" applyFill="1" applyBorder="1" applyAlignment="1" applyProtection="1">
      <alignment horizontal="center" vertical="top"/>
    </xf>
    <xf numFmtId="0" fontId="116" fillId="2" borderId="40" xfId="1" applyNumberFormat="1" applyFont="1" applyFill="1" applyBorder="1" applyAlignment="1" applyProtection="1">
      <alignment horizontal="center" vertical="top"/>
    </xf>
    <xf numFmtId="0" fontId="116" fillId="2" borderId="58" xfId="1" applyNumberFormat="1" applyFont="1" applyFill="1" applyBorder="1" applyAlignment="1" applyProtection="1">
      <alignment horizontal="center" vertical="top"/>
    </xf>
    <xf numFmtId="43" fontId="116" fillId="2" borderId="22" xfId="1" applyFont="1" applyFill="1" applyBorder="1" applyAlignment="1" applyProtection="1">
      <alignment horizontal="center" vertical="top"/>
    </xf>
    <xf numFmtId="0" fontId="116" fillId="2" borderId="19" xfId="1" applyNumberFormat="1" applyFont="1" applyFill="1" applyBorder="1" applyAlignment="1" applyProtection="1">
      <alignment horizontal="center" vertical="top"/>
    </xf>
    <xf numFmtId="0" fontId="116" fillId="2" borderId="20" xfId="1" applyNumberFormat="1" applyFont="1" applyFill="1" applyBorder="1" applyAlignment="1" applyProtection="1">
      <alignment horizontal="center" vertical="top"/>
    </xf>
    <xf numFmtId="43" fontId="116" fillId="2" borderId="0" xfId="1" applyFont="1" applyFill="1" applyAlignment="1" applyProtection="1">
      <alignment horizontal="center" vertical="top"/>
    </xf>
    <xf numFmtId="43" fontId="116" fillId="2" borderId="51" xfId="1" applyFont="1" applyFill="1" applyBorder="1" applyAlignment="1" applyProtection="1">
      <alignment horizontal="center" vertical="top"/>
    </xf>
    <xf numFmtId="43" fontId="93" fillId="3" borderId="2" xfId="1" applyFont="1" applyFill="1" applyBorder="1" applyAlignment="1" applyProtection="1">
      <alignment horizontal="center" vertical="top"/>
    </xf>
    <xf numFmtId="0" fontId="93" fillId="3" borderId="2" xfId="1" applyNumberFormat="1" applyFont="1" applyFill="1" applyBorder="1" applyAlignment="1" applyProtection="1">
      <alignment horizontal="center" vertical="top"/>
    </xf>
    <xf numFmtId="165" fontId="105" fillId="0" borderId="44" xfId="1" applyNumberFormat="1" applyFont="1" applyBorder="1" applyAlignment="1" applyProtection="1">
      <alignment horizontal="center" vertical="top"/>
    </xf>
    <xf numFmtId="0" fontId="105" fillId="0" borderId="3" xfId="1" applyNumberFormat="1" applyFont="1" applyBorder="1" applyAlignment="1" applyProtection="1">
      <alignment horizontal="center" vertical="top"/>
    </xf>
    <xf numFmtId="43" fontId="97" fillId="0" borderId="64" xfId="1" applyFont="1" applyBorder="1" applyAlignment="1" applyProtection="1">
      <alignment horizontal="center" vertical="top"/>
    </xf>
    <xf numFmtId="43" fontId="116" fillId="2" borderId="64" xfId="1" applyFont="1" applyFill="1" applyBorder="1" applyAlignment="1" applyProtection="1">
      <alignment horizontal="center" vertical="top"/>
    </xf>
    <xf numFmtId="43" fontId="116" fillId="2" borderId="44" xfId="1" applyFont="1" applyFill="1" applyBorder="1" applyAlignment="1" applyProtection="1">
      <alignment horizontal="center" vertical="top"/>
    </xf>
    <xf numFmtId="43" fontId="116" fillId="2" borderId="24" xfId="1" applyFont="1" applyFill="1" applyBorder="1" applyAlignment="1" applyProtection="1">
      <alignment horizontal="center" vertical="top"/>
    </xf>
    <xf numFmtId="43" fontId="116" fillId="2" borderId="65" xfId="1" applyFont="1" applyFill="1" applyBorder="1" applyAlignment="1" applyProtection="1">
      <alignment horizontal="center" vertical="top"/>
    </xf>
    <xf numFmtId="0" fontId="116" fillId="2" borderId="52" xfId="1" applyNumberFormat="1" applyFont="1" applyFill="1" applyBorder="1" applyAlignment="1" applyProtection="1">
      <alignment horizontal="center" vertical="top"/>
    </xf>
    <xf numFmtId="0" fontId="97" fillId="0" borderId="43" xfId="1" applyNumberFormat="1" applyFont="1" applyBorder="1" applyAlignment="1" applyProtection="1">
      <alignment horizontal="center" vertical="top"/>
    </xf>
    <xf numFmtId="0" fontId="116" fillId="2" borderId="64" xfId="0" applyFont="1" applyFill="1" applyBorder="1" applyAlignment="1">
      <alignment horizontal="center"/>
    </xf>
    <xf numFmtId="0" fontId="116" fillId="2" borderId="43" xfId="1" applyNumberFormat="1" applyFont="1" applyFill="1" applyBorder="1" applyAlignment="1" applyProtection="1">
      <alignment horizontal="center" vertical="top"/>
    </xf>
    <xf numFmtId="0" fontId="116" fillId="2" borderId="24" xfId="0" applyFont="1" applyFill="1" applyBorder="1" applyAlignment="1">
      <alignment horizontal="center"/>
    </xf>
    <xf numFmtId="43" fontId="116" fillId="2" borderId="43" xfId="1" applyFont="1" applyFill="1" applyBorder="1" applyAlignment="1" applyProtection="1">
      <alignment horizontal="center" vertical="top"/>
    </xf>
    <xf numFmtId="0" fontId="116" fillId="2" borderId="30" xfId="1" applyNumberFormat="1" applyFont="1" applyFill="1" applyBorder="1" applyAlignment="1" applyProtection="1">
      <alignment horizontal="center" vertical="top"/>
    </xf>
    <xf numFmtId="0" fontId="116" fillId="2" borderId="62" xfId="0" applyFont="1" applyFill="1" applyBorder="1" applyAlignment="1">
      <alignment horizontal="center"/>
    </xf>
    <xf numFmtId="0" fontId="116" fillId="2" borderId="46" xfId="1" applyNumberFormat="1" applyFont="1" applyFill="1" applyBorder="1" applyAlignment="1" applyProtection="1">
      <alignment horizontal="center" vertical="top"/>
    </xf>
    <xf numFmtId="0" fontId="97" fillId="0" borderId="44" xfId="1" applyNumberFormat="1" applyFont="1" applyBorder="1" applyAlignment="1" applyProtection="1">
      <alignment horizontal="center" vertical="top"/>
    </xf>
    <xf numFmtId="0" fontId="97" fillId="0" borderId="43" xfId="1" applyNumberFormat="1" applyFont="1" applyBorder="1" applyAlignment="1" applyProtection="1">
      <alignment horizontal="center"/>
    </xf>
    <xf numFmtId="0" fontId="116" fillId="2" borderId="44" xfId="1" applyNumberFormat="1" applyFont="1" applyFill="1" applyBorder="1" applyAlignment="1" applyProtection="1">
      <alignment horizontal="center" vertical="top"/>
    </xf>
    <xf numFmtId="0" fontId="116" fillId="2" borderId="43" xfId="1" applyNumberFormat="1" applyFont="1" applyFill="1" applyBorder="1" applyAlignment="1" applyProtection="1">
      <alignment horizontal="center"/>
    </xf>
    <xf numFmtId="165" fontId="116" fillId="0" borderId="47" xfId="0" applyNumberFormat="1" applyFont="1" applyBorder="1" applyAlignment="1">
      <alignment horizontal="center"/>
    </xf>
    <xf numFmtId="0" fontId="116" fillId="2" borderId="0" xfId="1" applyNumberFormat="1" applyFont="1" applyFill="1" applyAlignment="1" applyProtection="1">
      <alignment horizontal="center" vertical="top"/>
    </xf>
    <xf numFmtId="0" fontId="116" fillId="2" borderId="46" xfId="1" applyNumberFormat="1" applyFont="1" applyFill="1" applyBorder="1" applyAlignment="1" applyProtection="1">
      <alignment horizontal="center"/>
    </xf>
    <xf numFmtId="165" fontId="116" fillId="0" borderId="48" xfId="0" applyNumberFormat="1" applyFont="1" applyBorder="1" applyAlignment="1">
      <alignment horizontal="center"/>
    </xf>
    <xf numFmtId="0" fontId="116" fillId="2" borderId="30" xfId="1" applyNumberFormat="1" applyFont="1" applyFill="1" applyBorder="1" applyAlignment="1" applyProtection="1">
      <alignment horizontal="center"/>
    </xf>
    <xf numFmtId="0" fontId="116" fillId="2" borderId="65" xfId="1" applyNumberFormat="1" applyFont="1" applyFill="1" applyBorder="1" applyAlignment="1" applyProtection="1">
      <alignment horizontal="center" vertical="top"/>
    </xf>
    <xf numFmtId="165" fontId="116" fillId="0" borderId="74" xfId="0" applyNumberFormat="1" applyFont="1" applyBorder="1" applyAlignment="1">
      <alignment horizontal="center"/>
    </xf>
    <xf numFmtId="0" fontId="93" fillId="3" borderId="14" xfId="1" applyNumberFormat="1" applyFont="1" applyFill="1" applyBorder="1" applyAlignment="1" applyProtection="1">
      <alignment horizontal="center" vertical="top"/>
    </xf>
    <xf numFmtId="165" fontId="93" fillId="3" borderId="15" xfId="1" applyNumberFormat="1" applyFont="1" applyFill="1" applyBorder="1" applyAlignment="1" applyProtection="1">
      <alignment horizontal="center" vertical="top"/>
    </xf>
    <xf numFmtId="0" fontId="79" fillId="0" borderId="58" xfId="0" applyFont="1" applyBorder="1" applyAlignment="1"/>
    <xf numFmtId="0" fontId="160" fillId="0" borderId="58" xfId="0" applyFont="1" applyBorder="1" applyAlignment="1">
      <alignment horizontal="center"/>
    </xf>
    <xf numFmtId="0" fontId="160" fillId="0" borderId="55" xfId="0" applyFont="1" applyBorder="1" applyAlignment="1">
      <alignment horizontal="center"/>
    </xf>
    <xf numFmtId="0" fontId="90" fillId="0" borderId="55" xfId="1" applyNumberFormat="1" applyFont="1" applyBorder="1" applyAlignment="1" applyProtection="1">
      <alignment horizontal="center" vertical="top"/>
    </xf>
    <xf numFmtId="0" fontId="44" fillId="2" borderId="58" xfId="0" applyFont="1" applyFill="1" applyBorder="1" applyAlignment="1">
      <alignment horizontal="center"/>
    </xf>
    <xf numFmtId="165" fontId="90" fillId="0" borderId="43" xfId="0" applyNumberFormat="1" applyFont="1" applyBorder="1" applyAlignment="1">
      <alignment horizontal="center" wrapText="1"/>
    </xf>
    <xf numFmtId="0" fontId="88" fillId="0" borderId="58" xfId="0" applyFont="1" applyBorder="1" applyAlignment="1">
      <alignment horizontal="left"/>
    </xf>
    <xf numFmtId="0" fontId="161" fillId="0" borderId="55" xfId="0" applyFont="1" applyBorder="1" applyAlignment="1">
      <alignment horizontal="center"/>
    </xf>
    <xf numFmtId="0" fontId="162" fillId="0" borderId="55" xfId="0" applyFont="1" applyBorder="1" applyAlignment="1">
      <alignment horizontal="center"/>
    </xf>
    <xf numFmtId="0" fontId="93" fillId="2" borderId="31" xfId="1" applyNumberFormat="1" applyFont="1" applyFill="1" applyBorder="1" applyAlignment="1" applyProtection="1">
      <alignment horizontal="center" vertical="top"/>
    </xf>
    <xf numFmtId="0" fontId="97" fillId="2" borderId="83" xfId="0" applyFont="1" applyFill="1" applyBorder="1" applyAlignment="1">
      <alignment horizontal="center"/>
    </xf>
    <xf numFmtId="0" fontId="87" fillId="2" borderId="82" xfId="0" applyFont="1" applyFill="1" applyBorder="1" applyAlignment="1">
      <alignment horizontal="center"/>
    </xf>
    <xf numFmtId="43" fontId="87" fillId="2" borderId="43" xfId="1" applyFont="1" applyFill="1" applyBorder="1" applyAlignment="1" applyProtection="1">
      <alignment horizontal="center" vertical="top"/>
    </xf>
    <xf numFmtId="0" fontId="97" fillId="2" borderId="82" xfId="1" applyNumberFormat="1" applyFont="1" applyFill="1" applyBorder="1" applyAlignment="1" applyProtection="1">
      <alignment horizontal="center" vertical="top"/>
    </xf>
    <xf numFmtId="0" fontId="97" fillId="2" borderId="41" xfId="1" applyNumberFormat="1" applyFont="1" applyFill="1" applyBorder="1" applyAlignment="1" applyProtection="1">
      <alignment horizontal="center" vertical="top"/>
    </xf>
    <xf numFmtId="43" fontId="87" fillId="2" borderId="67" xfId="1" applyFont="1" applyFill="1" applyBorder="1" applyAlignment="1" applyProtection="1">
      <alignment horizontal="center" vertical="top"/>
    </xf>
    <xf numFmtId="0" fontId="94" fillId="0" borderId="39" xfId="0" applyFont="1" applyBorder="1" applyAlignment="1">
      <alignment horizontal="left"/>
    </xf>
    <xf numFmtId="175" fontId="96" fillId="0" borderId="43" xfId="0" applyNumberFormat="1" applyFont="1" applyBorder="1" applyAlignment="1">
      <alignment horizontal="center"/>
    </xf>
    <xf numFmtId="1" fontId="95" fillId="0" borderId="65" xfId="0" applyNumberFormat="1" applyFont="1" applyBorder="1" applyAlignment="1">
      <alignment horizontal="center"/>
    </xf>
    <xf numFmtId="175" fontId="96" fillId="0" borderId="46" xfId="0" applyNumberFormat="1" applyFont="1" applyBorder="1" applyAlignment="1">
      <alignment horizontal="center"/>
    </xf>
    <xf numFmtId="0" fontId="97" fillId="2" borderId="84" xfId="0" applyFont="1" applyFill="1" applyBorder="1" applyAlignment="1">
      <alignment horizontal="center"/>
    </xf>
    <xf numFmtId="0" fontId="94" fillId="0" borderId="32" xfId="0" applyFont="1" applyBorder="1" applyAlignment="1">
      <alignment horizontal="left"/>
    </xf>
    <xf numFmtId="1" fontId="95" fillId="0" borderId="10" xfId="0" applyNumberFormat="1" applyFont="1" applyBorder="1" applyAlignment="1">
      <alignment horizontal="center"/>
    </xf>
    <xf numFmtId="1" fontId="95" fillId="0" borderId="22" xfId="0" applyNumberFormat="1" applyFont="1" applyBorder="1" applyAlignment="1">
      <alignment horizontal="center"/>
    </xf>
    <xf numFmtId="175" fontId="96" fillId="0" borderId="10" xfId="0" applyNumberFormat="1" applyFont="1" applyBorder="1" applyAlignment="1">
      <alignment horizontal="center"/>
    </xf>
    <xf numFmtId="43" fontId="97" fillId="2" borderId="45" xfId="1" applyFont="1" applyFill="1" applyBorder="1" applyAlignment="1" applyProtection="1">
      <alignment horizontal="center" vertical="top"/>
    </xf>
    <xf numFmtId="14" fontId="97" fillId="2" borderId="40" xfId="0" applyNumberFormat="1" applyFont="1" applyFill="1" applyBorder="1" applyAlignment="1">
      <alignment horizontal="center"/>
    </xf>
    <xf numFmtId="0" fontId="132" fillId="3" borderId="2" xfId="0" applyFont="1" applyFill="1" applyBorder="1" applyAlignment="1">
      <alignment horizontal="center" vertical="center"/>
    </xf>
    <xf numFmtId="0" fontId="132" fillId="3" borderId="15" xfId="0" applyFont="1" applyFill="1" applyBorder="1" applyAlignment="1">
      <alignment horizontal="center" vertical="center"/>
    </xf>
    <xf numFmtId="0" fontId="163" fillId="2" borderId="39" xfId="1" applyNumberFormat="1" applyFont="1" applyFill="1" applyBorder="1" applyAlignment="1" applyProtection="1">
      <alignment horizontal="center" vertical="top"/>
    </xf>
    <xf numFmtId="0" fontId="163" fillId="2" borderId="51" xfId="1" applyNumberFormat="1" applyFont="1" applyFill="1" applyBorder="1" applyAlignment="1" applyProtection="1">
      <alignment horizontal="center" vertical="top"/>
    </xf>
    <xf numFmtId="0" fontId="163" fillId="2" borderId="46" xfId="1" applyNumberFormat="1" applyFont="1" applyFill="1" applyBorder="1" applyAlignment="1" applyProtection="1">
      <alignment horizontal="center" vertical="top"/>
    </xf>
    <xf numFmtId="0" fontId="163" fillId="2" borderId="44" xfId="1" applyNumberFormat="1" applyFont="1" applyFill="1" applyBorder="1" applyAlignment="1" applyProtection="1">
      <alignment horizontal="center" vertical="top"/>
    </xf>
    <xf numFmtId="0" fontId="163" fillId="2" borderId="46" xfId="1" applyNumberFormat="1" applyFont="1" applyFill="1" applyBorder="1" applyAlignment="1" applyProtection="1">
      <alignment horizontal="center"/>
    </xf>
    <xf numFmtId="165" fontId="163" fillId="0" borderId="47" xfId="0" applyNumberFormat="1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87" fillId="2" borderId="39" xfId="1" applyNumberFormat="1" applyFont="1" applyFill="1" applyBorder="1" applyAlignment="1" applyProtection="1">
      <alignment horizontal="center" vertical="top"/>
    </xf>
    <xf numFmtId="0" fontId="95" fillId="0" borderId="56" xfId="0" applyFont="1" applyBorder="1" applyAlignment="1">
      <alignment horizontal="center"/>
    </xf>
    <xf numFmtId="0" fontId="109" fillId="0" borderId="0" xfId="0" applyFont="1" applyAlignment="1">
      <alignment horizontal="left"/>
    </xf>
    <xf numFmtId="1" fontId="95" fillId="0" borderId="0" xfId="0" applyNumberFormat="1" applyFont="1" applyAlignment="1">
      <alignment horizontal="center"/>
    </xf>
    <xf numFmtId="0" fontId="97" fillId="2" borderId="82" xfId="1" applyNumberFormat="1" applyFont="1" applyFill="1" applyBorder="1" applyAlignment="1" applyProtection="1">
      <alignment horizontal="center"/>
    </xf>
    <xf numFmtId="0" fontId="97" fillId="2" borderId="51" xfId="1" applyNumberFormat="1" applyFont="1" applyFill="1" applyBorder="1" applyAlignment="1" applyProtection="1">
      <alignment horizontal="center" vertical="top"/>
    </xf>
    <xf numFmtId="0" fontId="97" fillId="2" borderId="49" xfId="1" applyNumberFormat="1" applyFont="1" applyFill="1" applyBorder="1" applyAlignment="1" applyProtection="1">
      <alignment horizontal="center" vertical="top"/>
    </xf>
    <xf numFmtId="0" fontId="156" fillId="0" borderId="23" xfId="0" applyFont="1" applyBorder="1" applyAlignment="1">
      <alignment horizontal="center"/>
    </xf>
    <xf numFmtId="0" fontId="156" fillId="0" borderId="9" xfId="0" applyFont="1" applyBorder="1" applyAlignment="1">
      <alignment horizontal="center"/>
    </xf>
    <xf numFmtId="0" fontId="164" fillId="0" borderId="39" xfId="0" applyFont="1" applyBorder="1" applyAlignment="1"/>
    <xf numFmtId="0" fontId="59" fillId="0" borderId="43" xfId="0" applyFont="1" applyBorder="1" applyAlignment="1">
      <alignment horizontal="center"/>
    </xf>
    <xf numFmtId="0" fontId="59" fillId="0" borderId="44" xfId="0" applyFont="1" applyBorder="1" applyAlignment="1">
      <alignment horizontal="center"/>
    </xf>
    <xf numFmtId="175" fontId="142" fillId="0" borderId="40" xfId="0" applyNumberFormat="1" applyFont="1" applyBorder="1" applyAlignment="1">
      <alignment horizontal="center"/>
    </xf>
    <xf numFmtId="0" fontId="164" fillId="0" borderId="32" xfId="0" applyFont="1" applyBorder="1" applyAlignment="1"/>
    <xf numFmtId="0" fontId="59" fillId="0" borderId="10" xfId="0" applyFont="1" applyBorder="1" applyAlignment="1">
      <alignment horizontal="center"/>
    </xf>
    <xf numFmtId="0" fontId="59" fillId="0" borderId="22" xfId="0" applyFont="1" applyBorder="1" applyAlignment="1">
      <alignment horizontal="center"/>
    </xf>
    <xf numFmtId="175" fontId="142" fillId="0" borderId="32" xfId="0" applyNumberFormat="1" applyFont="1" applyBorder="1" applyAlignment="1">
      <alignment horizontal="center"/>
    </xf>
    <xf numFmtId="169" fontId="93" fillId="2" borderId="16" xfId="1" applyNumberFormat="1" applyFont="1" applyFill="1" applyBorder="1" applyAlignment="1" applyProtection="1">
      <alignment horizontal="center" vertical="top"/>
    </xf>
    <xf numFmtId="169" fontId="93" fillId="2" borderId="3" xfId="1" applyNumberFormat="1" applyFont="1" applyFill="1" applyBorder="1" applyAlignment="1" applyProtection="1">
      <alignment horizontal="center" vertical="top"/>
    </xf>
    <xf numFmtId="175" fontId="86" fillId="0" borderId="44" xfId="0" applyNumberFormat="1" applyFont="1" applyBorder="1" applyAlignment="1">
      <alignment horizontal="center"/>
    </xf>
    <xf numFmtId="0" fontId="145" fillId="3" borderId="12" xfId="0" applyFont="1" applyFill="1" applyBorder="1" applyAlignment="1">
      <alignment horizontal="center" vertical="center"/>
    </xf>
    <xf numFmtId="0" fontId="53" fillId="0" borderId="58" xfId="0" applyFont="1" applyBorder="1" applyAlignment="1">
      <alignment horizontal="center"/>
    </xf>
    <xf numFmtId="0" fontId="165" fillId="0" borderId="0" xfId="0" applyFont="1" applyAlignment="1"/>
    <xf numFmtId="0" fontId="166" fillId="0" borderId="0" xfId="0" applyFont="1" applyAlignment="1"/>
    <xf numFmtId="0" fontId="167" fillId="0" borderId="0" xfId="0" applyFont="1" applyAlignment="1"/>
    <xf numFmtId="0" fontId="79" fillId="0" borderId="44" xfId="0" applyFont="1" applyBorder="1" applyAlignment="1"/>
    <xf numFmtId="0" fontId="168" fillId="0" borderId="22" xfId="0" applyFont="1" applyBorder="1" applyAlignment="1"/>
    <xf numFmtId="0" fontId="169" fillId="0" borderId="0" xfId="0" applyFont="1" applyAlignment="1"/>
    <xf numFmtId="0" fontId="169" fillId="0" borderId="44" xfId="0" applyFont="1" applyBorder="1" applyAlignment="1"/>
    <xf numFmtId="0" fontId="170" fillId="0" borderId="0" xfId="0" applyFont="1" applyAlignment="1"/>
    <xf numFmtId="0" fontId="171" fillId="2" borderId="0" xfId="0" applyFont="1" applyFill="1" applyAlignment="1"/>
    <xf numFmtId="0" fontId="172" fillId="0" borderId="0" xfId="0" applyFont="1" applyAlignment="1"/>
    <xf numFmtId="0" fontId="159" fillId="2" borderId="0" xfId="0" applyFont="1" applyFill="1" applyAlignment="1"/>
    <xf numFmtId="0" fontId="173" fillId="0" borderId="22" xfId="0" applyFont="1" applyBorder="1" applyAlignment="1"/>
    <xf numFmtId="0" fontId="143" fillId="0" borderId="22" xfId="0" applyFont="1" applyBorder="1" applyAlignment="1"/>
    <xf numFmtId="0" fontId="143" fillId="0" borderId="1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165" fontId="117" fillId="0" borderId="14" xfId="1" applyNumberFormat="1" applyFont="1" applyBorder="1" applyAlignment="1" applyProtection="1">
      <alignment horizontal="center" vertical="top"/>
    </xf>
    <xf numFmtId="0" fontId="174" fillId="0" borderId="48" xfId="0" applyFont="1" applyBorder="1" applyAlignment="1">
      <alignment horizontal="center"/>
    </xf>
    <xf numFmtId="0" fontId="175" fillId="0" borderId="40" xfId="1" applyNumberFormat="1" applyFont="1" applyBorder="1" applyAlignment="1" applyProtection="1">
      <alignment horizontal="center"/>
    </xf>
    <xf numFmtId="0" fontId="175" fillId="0" borderId="58" xfId="1" applyNumberFormat="1" applyFont="1" applyBorder="1" applyAlignment="1" applyProtection="1">
      <alignment horizontal="center"/>
    </xf>
    <xf numFmtId="169" fontId="175" fillId="0" borderId="40" xfId="1" applyNumberFormat="1" applyFont="1" applyBorder="1" applyAlignment="1" applyProtection="1">
      <alignment horizontal="center"/>
    </xf>
    <xf numFmtId="169" fontId="175" fillId="0" borderId="58" xfId="1" applyNumberFormat="1" applyFont="1" applyBorder="1" applyAlignment="1" applyProtection="1">
      <alignment horizontal="center"/>
    </xf>
    <xf numFmtId="0" fontId="176" fillId="0" borderId="40" xfId="1" applyNumberFormat="1" applyFont="1" applyBorder="1" applyAlignment="1" applyProtection="1">
      <alignment horizontal="center"/>
    </xf>
    <xf numFmtId="0" fontId="176" fillId="0" borderId="58" xfId="1" applyNumberFormat="1" applyFont="1" applyBorder="1" applyAlignment="1" applyProtection="1">
      <alignment horizontal="center"/>
    </xf>
    <xf numFmtId="1" fontId="21" fillId="2" borderId="55" xfId="0" applyNumberFormat="1" applyFont="1" applyFill="1" applyBorder="1" applyAlignment="1">
      <alignment horizontal="center"/>
    </xf>
    <xf numFmtId="0" fontId="99" fillId="0" borderId="30" xfId="0" applyFont="1" applyBorder="1" applyAlignment="1">
      <alignment horizontal="center"/>
    </xf>
    <xf numFmtId="0" fontId="90" fillId="0" borderId="52" xfId="1" applyNumberFormat="1" applyFont="1" applyBorder="1" applyAlignment="1" applyProtection="1">
      <alignment horizontal="center"/>
    </xf>
    <xf numFmtId="0" fontId="90" fillId="0" borderId="55" xfId="1" applyNumberFormat="1" applyFont="1" applyBorder="1" applyAlignment="1" applyProtection="1">
      <alignment horizontal="center"/>
    </xf>
    <xf numFmtId="1" fontId="177" fillId="2" borderId="58" xfId="0" applyNumberFormat="1" applyFont="1" applyFill="1" applyBorder="1" applyAlignment="1">
      <alignment horizontal="center"/>
    </xf>
    <xf numFmtId="1" fontId="21" fillId="2" borderId="82" xfId="0" applyNumberFormat="1" applyFont="1" applyFill="1" applyBorder="1" applyAlignment="1">
      <alignment horizontal="center"/>
    </xf>
    <xf numFmtId="0" fontId="90" fillId="0" borderId="40" xfId="1" applyNumberFormat="1" applyFont="1" applyBorder="1" applyAlignment="1" applyProtection="1">
      <alignment horizontal="center"/>
    </xf>
    <xf numFmtId="0" fontId="90" fillId="0" borderId="58" xfId="1" applyNumberFormat="1" applyFont="1" applyBorder="1" applyAlignment="1" applyProtection="1">
      <alignment horizontal="center"/>
    </xf>
    <xf numFmtId="0" fontId="90" fillId="0" borderId="19" xfId="1" applyNumberFormat="1" applyFont="1" applyBorder="1" applyAlignment="1" applyProtection="1">
      <alignment horizontal="center"/>
    </xf>
    <xf numFmtId="0" fontId="90" fillId="0" borderId="20" xfId="1" applyNumberFormat="1" applyFont="1" applyBorder="1" applyAlignment="1" applyProtection="1">
      <alignment horizontal="center"/>
    </xf>
    <xf numFmtId="0" fontId="90" fillId="0" borderId="82" xfId="1" applyNumberFormat="1" applyFont="1" applyBorder="1" applyAlignment="1" applyProtection="1">
      <alignment horizontal="center"/>
    </xf>
    <xf numFmtId="0" fontId="90" fillId="0" borderId="59" xfId="1" applyNumberFormat="1" applyFont="1" applyBorder="1" applyAlignment="1" applyProtection="1">
      <alignment horizontal="center"/>
    </xf>
    <xf numFmtId="0" fontId="90" fillId="0" borderId="83" xfId="1" applyNumberFormat="1" applyFont="1" applyBorder="1" applyAlignment="1" applyProtection="1">
      <alignment horizontal="center"/>
    </xf>
    <xf numFmtId="0" fontId="90" fillId="0" borderId="84" xfId="1" applyNumberFormat="1" applyFont="1" applyBorder="1" applyAlignment="1" applyProtection="1">
      <alignment horizontal="center"/>
    </xf>
    <xf numFmtId="1" fontId="21" fillId="2" borderId="58" xfId="0" applyNumberFormat="1" applyFont="1" applyFill="1" applyBorder="1" applyAlignment="1">
      <alignment horizontal="center"/>
    </xf>
    <xf numFmtId="0" fontId="99" fillId="0" borderId="48" xfId="0" applyFont="1" applyBorder="1" applyAlignment="1">
      <alignment horizontal="center"/>
    </xf>
    <xf numFmtId="0" fontId="99" fillId="0" borderId="0" xfId="0" applyFont="1" applyAlignment="1">
      <alignment horizontal="center"/>
    </xf>
    <xf numFmtId="0" fontId="178" fillId="0" borderId="3" xfId="0" applyFont="1" applyBorder="1" applyAlignment="1">
      <alignment horizontal="left"/>
    </xf>
    <xf numFmtId="14" fontId="179" fillId="0" borderId="16" xfId="0" applyNumberFormat="1" applyFont="1" applyBorder="1" applyAlignment="1">
      <alignment horizontal="center"/>
    </xf>
    <xf numFmtId="0" fontId="180" fillId="0" borderId="10" xfId="0" applyFont="1" applyBorder="1" applyAlignment="1">
      <alignment horizontal="center"/>
    </xf>
    <xf numFmtId="169" fontId="181" fillId="0" borderId="3" xfId="0" applyNumberFormat="1" applyFont="1" applyBorder="1" applyAlignment="1">
      <alignment horizontal="center"/>
    </xf>
    <xf numFmtId="1" fontId="180" fillId="0" borderId="0" xfId="0" applyNumberFormat="1" applyFont="1" applyAlignment="1">
      <alignment horizontal="center"/>
    </xf>
    <xf numFmtId="14" fontId="179" fillId="0" borderId="0" xfId="0" applyNumberFormat="1" applyFont="1" applyAlignment="1">
      <alignment horizontal="center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" fontId="182" fillId="0" borderId="58" xfId="0" applyNumberFormat="1" applyFont="1" applyBorder="1" applyAlignment="1">
      <alignment horizontal="center"/>
    </xf>
    <xf numFmtId="168" fontId="86" fillId="0" borderId="5" xfId="0" applyNumberFormat="1" applyFont="1" applyBorder="1" applyAlignment="1">
      <alignment horizontal="center"/>
    </xf>
    <xf numFmtId="0" fontId="183" fillId="0" borderId="48" xfId="0" applyFont="1" applyBorder="1" applyAlignment="1">
      <alignment horizontal="center"/>
    </xf>
    <xf numFmtId="176" fontId="184" fillId="0" borderId="66" xfId="0" applyNumberFormat="1" applyFont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0" borderId="34" xfId="0" applyFont="1" applyBorder="1" applyAlignment="1">
      <alignment horizontal="center" vertical="center"/>
    </xf>
    <xf numFmtId="0" fontId="87" fillId="0" borderId="4" xfId="1" applyNumberFormat="1" applyFont="1" applyBorder="1" applyAlignment="1" applyProtection="1">
      <alignment horizontal="center" vertical="top"/>
    </xf>
    <xf numFmtId="165" fontId="87" fillId="0" borderId="5" xfId="1" applyNumberFormat="1" applyFont="1" applyBorder="1" applyAlignment="1" applyProtection="1">
      <alignment horizontal="center" vertical="top"/>
    </xf>
    <xf numFmtId="165" fontId="87" fillId="0" borderId="1" xfId="1" applyNumberFormat="1" applyFont="1" applyBorder="1" applyAlignment="1" applyProtection="1">
      <alignment horizontal="center" vertical="top"/>
    </xf>
    <xf numFmtId="0" fontId="175" fillId="0" borderId="41" xfId="0" applyFont="1" applyBorder="1" applyAlignment="1">
      <alignment horizontal="center"/>
    </xf>
    <xf numFmtId="0" fontId="175" fillId="0" borderId="30" xfId="0" applyFont="1" applyBorder="1" applyAlignment="1">
      <alignment horizontal="center"/>
    </xf>
    <xf numFmtId="0" fontId="175" fillId="0" borderId="82" xfId="1" applyNumberFormat="1" applyFont="1" applyBorder="1" applyAlignment="1" applyProtection="1">
      <alignment horizontal="center"/>
    </xf>
    <xf numFmtId="169" fontId="175" fillId="0" borderId="41" xfId="0" applyNumberFormat="1" applyFont="1" applyBorder="1" applyAlignment="1">
      <alignment horizontal="center"/>
    </xf>
    <xf numFmtId="169" fontId="175" fillId="0" borderId="9" xfId="0" applyNumberFormat="1" applyFont="1" applyBorder="1" applyAlignment="1">
      <alignment horizontal="center"/>
    </xf>
    <xf numFmtId="169" fontId="175" fillId="0" borderId="82" xfId="1" applyNumberFormat="1" applyFont="1" applyBorder="1" applyAlignment="1" applyProtection="1">
      <alignment horizontal="center"/>
    </xf>
    <xf numFmtId="169" fontId="175" fillId="0" borderId="30" xfId="0" applyNumberFormat="1" applyFont="1" applyBorder="1" applyAlignment="1">
      <alignment horizontal="center"/>
    </xf>
    <xf numFmtId="0" fontId="176" fillId="0" borderId="41" xfId="0" applyFont="1" applyBorder="1" applyAlignment="1">
      <alignment horizontal="center"/>
    </xf>
    <xf numFmtId="0" fontId="90" fillId="0" borderId="53" xfId="0" applyFont="1" applyBorder="1" applyAlignment="1">
      <alignment horizontal="center"/>
    </xf>
    <xf numFmtId="0" fontId="90" fillId="0" borderId="30" xfId="0" applyFont="1" applyBorder="1" applyAlignment="1">
      <alignment horizontal="center"/>
    </xf>
    <xf numFmtId="169" fontId="90" fillId="0" borderId="54" xfId="1" applyNumberFormat="1" applyFont="1" applyBorder="1" applyAlignment="1" applyProtection="1">
      <alignment horizontal="center"/>
    </xf>
    <xf numFmtId="169" fontId="90" fillId="0" borderId="55" xfId="1" applyNumberFormat="1" applyFont="1" applyBorder="1" applyAlignment="1" applyProtection="1">
      <alignment horizontal="center"/>
    </xf>
    <xf numFmtId="0" fontId="90" fillId="0" borderId="41" xfId="0" applyFont="1" applyBorder="1" applyAlignment="1">
      <alignment horizontal="center"/>
    </xf>
    <xf numFmtId="0" fontId="90" fillId="0" borderId="43" xfId="0" applyFont="1" applyBorder="1" applyAlignment="1">
      <alignment horizontal="center"/>
    </xf>
    <xf numFmtId="169" fontId="90" fillId="0" borderId="82" xfId="1" applyNumberFormat="1" applyFont="1" applyBorder="1" applyAlignment="1" applyProtection="1">
      <alignment horizontal="center"/>
    </xf>
    <xf numFmtId="43" fontId="90" fillId="0" borderId="58" xfId="1" applyFont="1" applyBorder="1" applyAlignment="1" applyProtection="1">
      <alignment horizontal="center"/>
    </xf>
    <xf numFmtId="0" fontId="90" fillId="0" borderId="29" xfId="0" applyFont="1" applyBorder="1" applyAlignment="1">
      <alignment horizontal="center"/>
    </xf>
    <xf numFmtId="43" fontId="90" fillId="0" borderId="84" xfId="1" applyFont="1" applyBorder="1" applyAlignment="1" applyProtection="1">
      <alignment horizontal="center"/>
    </xf>
    <xf numFmtId="43" fontId="90" fillId="0" borderId="20" xfId="1" applyFont="1" applyBorder="1" applyAlignment="1" applyProtection="1">
      <alignment horizontal="center"/>
    </xf>
    <xf numFmtId="0" fontId="90" fillId="0" borderId="58" xfId="0" applyFont="1" applyBorder="1" applyAlignment="1">
      <alignment horizontal="center"/>
    </xf>
    <xf numFmtId="0" fontId="90" fillId="0" borderId="44" xfId="0" applyFont="1" applyBorder="1" applyAlignment="1">
      <alignment horizontal="center"/>
    </xf>
    <xf numFmtId="43" fontId="90" fillId="0" borderId="82" xfId="1" applyFont="1" applyBorder="1" applyAlignment="1" applyProtection="1">
      <alignment horizontal="center"/>
    </xf>
    <xf numFmtId="0" fontId="90" fillId="0" borderId="61" xfId="0" applyFont="1" applyBorder="1" applyAlignment="1">
      <alignment horizontal="center"/>
    </xf>
    <xf numFmtId="0" fontId="90" fillId="0" borderId="67" xfId="0" applyFont="1" applyBorder="1" applyAlignment="1">
      <alignment horizontal="center"/>
    </xf>
    <xf numFmtId="0" fontId="90" fillId="0" borderId="45" xfId="0" applyFont="1" applyBorder="1" applyAlignment="1">
      <alignment horizontal="center"/>
    </xf>
    <xf numFmtId="169" fontId="90" fillId="0" borderId="83" xfId="1" applyNumberFormat="1" applyFont="1" applyBorder="1" applyAlignment="1" applyProtection="1">
      <alignment horizontal="center"/>
    </xf>
    <xf numFmtId="0" fontId="90" fillId="0" borderId="20" xfId="0" applyFont="1" applyBorder="1" applyAlignment="1">
      <alignment horizontal="center"/>
    </xf>
    <xf numFmtId="0" fontId="90" fillId="0" borderId="0" xfId="0" applyFont="1" applyAlignment="1">
      <alignment horizontal="center"/>
    </xf>
    <xf numFmtId="0" fontId="90" fillId="0" borderId="84" xfId="0" applyFont="1" applyBorder="1" applyAlignment="1">
      <alignment horizontal="center"/>
    </xf>
    <xf numFmtId="0" fontId="90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 vertical="center"/>
    </xf>
    <xf numFmtId="169" fontId="176" fillId="0" borderId="58" xfId="1" applyNumberFormat="1" applyFont="1" applyBorder="1" applyAlignment="1" applyProtection="1">
      <alignment horizontal="center"/>
    </xf>
    <xf numFmtId="0" fontId="176" fillId="0" borderId="30" xfId="0" applyFont="1" applyBorder="1" applyAlignment="1">
      <alignment horizontal="center"/>
    </xf>
    <xf numFmtId="0" fontId="176" fillId="0" borderId="82" xfId="1" applyNumberFormat="1" applyFont="1" applyBorder="1" applyAlignment="1" applyProtection="1">
      <alignment horizontal="center"/>
    </xf>
    <xf numFmtId="0" fontId="16" fillId="3" borderId="12" xfId="0" applyFont="1" applyFill="1" applyBorder="1" applyAlignment="1">
      <alignment horizontal="center"/>
    </xf>
    <xf numFmtId="0" fontId="16" fillId="3" borderId="18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5" fontId="87" fillId="0" borderId="7" xfId="1" applyNumberFormat="1" applyFont="1" applyBorder="1" applyAlignment="1" applyProtection="1">
      <alignment horizontal="center" vertical="top"/>
    </xf>
    <xf numFmtId="0" fontId="175" fillId="0" borderId="41" xfId="1" applyNumberFormat="1" applyFont="1" applyBorder="1" applyAlignment="1" applyProtection="1">
      <alignment horizontal="center"/>
    </xf>
    <xf numFmtId="43" fontId="175" fillId="0" borderId="30" xfId="1" applyFont="1" applyBorder="1" applyAlignment="1" applyProtection="1">
      <alignment horizontal="center"/>
    </xf>
    <xf numFmtId="169" fontId="175" fillId="0" borderId="41" xfId="1" applyNumberFormat="1" applyFont="1" applyBorder="1" applyAlignment="1" applyProtection="1">
      <alignment horizontal="center"/>
    </xf>
    <xf numFmtId="169" fontId="175" fillId="0" borderId="9" xfId="1" applyNumberFormat="1" applyFont="1" applyBorder="1" applyAlignment="1" applyProtection="1">
      <alignment horizontal="center"/>
    </xf>
    <xf numFmtId="169" fontId="175" fillId="0" borderId="30" xfId="1" applyNumberFormat="1" applyFont="1" applyBorder="1" applyAlignment="1" applyProtection="1">
      <alignment horizontal="center"/>
    </xf>
    <xf numFmtId="43" fontId="90" fillId="0" borderId="55" xfId="1" applyFont="1" applyBorder="1" applyAlignment="1" applyProtection="1">
      <alignment horizontal="center"/>
    </xf>
    <xf numFmtId="43" fontId="90" fillId="0" borderId="53" xfId="1" applyFont="1" applyBorder="1" applyAlignment="1" applyProtection="1">
      <alignment horizontal="center"/>
    </xf>
    <xf numFmtId="43" fontId="90" fillId="0" borderId="30" xfId="1" applyFont="1" applyBorder="1" applyAlignment="1" applyProtection="1">
      <alignment horizontal="center"/>
    </xf>
    <xf numFmtId="43" fontId="90" fillId="0" borderId="54" xfId="1" applyFont="1" applyBorder="1" applyAlignment="1" applyProtection="1">
      <alignment horizontal="center"/>
    </xf>
    <xf numFmtId="43" fontId="90" fillId="0" borderId="41" xfId="1" applyFont="1" applyBorder="1" applyAlignment="1" applyProtection="1">
      <alignment horizontal="center"/>
    </xf>
    <xf numFmtId="43" fontId="90" fillId="0" borderId="43" xfId="1" applyFont="1" applyBorder="1" applyAlignment="1" applyProtection="1">
      <alignment horizontal="center"/>
    </xf>
    <xf numFmtId="169" fontId="90" fillId="0" borderId="41" xfId="1" applyNumberFormat="1" applyFont="1" applyBorder="1" applyAlignment="1" applyProtection="1">
      <alignment horizontal="center"/>
    </xf>
    <xf numFmtId="43" fontId="90" fillId="0" borderId="29" xfId="1" applyFont="1" applyBorder="1" applyAlignment="1" applyProtection="1">
      <alignment horizontal="center"/>
    </xf>
    <xf numFmtId="169" fontId="90" fillId="0" borderId="84" xfId="1" applyNumberFormat="1" applyFont="1" applyBorder="1" applyAlignment="1" applyProtection="1">
      <alignment horizontal="center"/>
    </xf>
    <xf numFmtId="43" fontId="90" fillId="0" borderId="44" xfId="1" applyFont="1" applyBorder="1" applyAlignment="1" applyProtection="1">
      <alignment horizontal="center"/>
    </xf>
    <xf numFmtId="43" fontId="90" fillId="0" borderId="83" xfId="1" applyFont="1" applyBorder="1" applyAlignment="1" applyProtection="1">
      <alignment horizontal="center"/>
    </xf>
    <xf numFmtId="43" fontId="90" fillId="0" borderId="61" xfId="1" applyFont="1" applyBorder="1" applyAlignment="1" applyProtection="1">
      <alignment horizontal="center"/>
    </xf>
    <xf numFmtId="43" fontId="90" fillId="0" borderId="67" xfId="1" applyFont="1" applyBorder="1" applyAlignment="1" applyProtection="1">
      <alignment horizontal="center"/>
    </xf>
    <xf numFmtId="43" fontId="90" fillId="0" borderId="45" xfId="1" applyFont="1" applyBorder="1" applyAlignment="1" applyProtection="1">
      <alignment horizontal="center"/>
    </xf>
    <xf numFmtId="43" fontId="90" fillId="0" borderId="0" xfId="1" applyFont="1" applyAlignment="1" applyProtection="1">
      <alignment horizontal="center"/>
    </xf>
    <xf numFmtId="43" fontId="90" fillId="0" borderId="10" xfId="1" applyFont="1" applyBorder="1" applyAlignment="1" applyProtection="1">
      <alignment horizontal="center"/>
    </xf>
    <xf numFmtId="43" fontId="181" fillId="0" borderId="0" xfId="1" applyFont="1" applyAlignment="1" applyProtection="1">
      <alignment horizontal="center"/>
    </xf>
    <xf numFmtId="0" fontId="16" fillId="3" borderId="1" xfId="0" applyFont="1" applyFill="1" applyBorder="1" applyAlignment="1">
      <alignment horizontal="center"/>
    </xf>
    <xf numFmtId="0" fontId="176" fillId="0" borderId="41" xfId="1" applyNumberFormat="1" applyFont="1" applyBorder="1" applyAlignment="1" applyProtection="1">
      <alignment horizontal="center"/>
    </xf>
    <xf numFmtId="43" fontId="176" fillId="0" borderId="30" xfId="1" applyFont="1" applyBorder="1" applyAlignment="1" applyProtection="1">
      <alignment horizontal="center"/>
    </xf>
    <xf numFmtId="169" fontId="175" fillId="0" borderId="41" xfId="1" applyNumberFormat="1" applyFont="1" applyBorder="1" applyProtection="1"/>
    <xf numFmtId="0" fontId="44" fillId="0" borderId="58" xfId="1" applyNumberFormat="1" applyFont="1" applyBorder="1" applyAlignment="1" applyProtection="1">
      <alignment horizontal="center"/>
    </xf>
    <xf numFmtId="165" fontId="87" fillId="0" borderId="8" xfId="1" applyNumberFormat="1" applyFont="1" applyBorder="1" applyAlignment="1" applyProtection="1">
      <alignment horizontal="center" vertical="top"/>
    </xf>
    <xf numFmtId="0" fontId="87" fillId="0" borderId="8" xfId="1" applyNumberFormat="1" applyFont="1" applyBorder="1" applyAlignment="1" applyProtection="1">
      <alignment horizontal="center" vertical="top"/>
    </xf>
    <xf numFmtId="0" fontId="87" fillId="0" borderId="17" xfId="1" applyNumberFormat="1" applyFont="1" applyBorder="1" applyAlignment="1" applyProtection="1">
      <alignment horizontal="center" vertical="top"/>
    </xf>
    <xf numFmtId="0" fontId="90" fillId="0" borderId="53" xfId="1" applyNumberFormat="1" applyFont="1" applyBorder="1" applyAlignment="1" applyProtection="1">
      <alignment horizontal="center"/>
    </xf>
    <xf numFmtId="0" fontId="90" fillId="0" borderId="41" xfId="1" applyNumberFormat="1" applyFont="1" applyBorder="1" applyAlignment="1" applyProtection="1">
      <alignment horizontal="center"/>
    </xf>
    <xf numFmtId="169" fontId="90" fillId="0" borderId="20" xfId="1" applyNumberFormat="1" applyFont="1" applyBorder="1" applyAlignment="1" applyProtection="1">
      <alignment horizontal="center"/>
    </xf>
    <xf numFmtId="0" fontId="90" fillId="0" borderId="29" xfId="1" applyNumberFormat="1" applyFont="1" applyBorder="1" applyAlignment="1" applyProtection="1">
      <alignment horizontal="center"/>
    </xf>
    <xf numFmtId="43" fontId="90" fillId="0" borderId="34" xfId="1" applyFont="1" applyBorder="1" applyAlignment="1" applyProtection="1">
      <alignment horizontal="center"/>
    </xf>
    <xf numFmtId="169" fontId="90" fillId="0" borderId="58" xfId="1" applyNumberFormat="1" applyFont="1" applyBorder="1" applyAlignment="1" applyProtection="1">
      <alignment horizontal="center"/>
    </xf>
    <xf numFmtId="43" fontId="90" fillId="0" borderId="39" xfId="1" applyFont="1" applyBorder="1" applyAlignment="1" applyProtection="1">
      <alignment horizontal="center"/>
    </xf>
    <xf numFmtId="169" fontId="90" fillId="0" borderId="61" xfId="1" applyNumberFormat="1" applyFont="1" applyBorder="1" applyAlignment="1" applyProtection="1">
      <alignment horizontal="center"/>
    </xf>
    <xf numFmtId="0" fontId="90" fillId="0" borderId="61" xfId="1" applyNumberFormat="1" applyFont="1" applyBorder="1" applyAlignment="1" applyProtection="1">
      <alignment horizontal="center"/>
    </xf>
    <xf numFmtId="43" fontId="90" fillId="0" borderId="68" xfId="1" applyFont="1" applyBorder="1" applyAlignment="1" applyProtection="1">
      <alignment horizontal="center"/>
    </xf>
    <xf numFmtId="169" fontId="90" fillId="0" borderId="53" xfId="1" applyNumberFormat="1" applyFont="1" applyBorder="1" applyAlignment="1" applyProtection="1">
      <alignment horizontal="center"/>
    </xf>
    <xf numFmtId="0" fontId="175" fillId="0" borderId="82" xfId="1" applyNumberFormat="1" applyFont="1" applyBorder="1" applyProtection="1"/>
    <xf numFmtId="0" fontId="16" fillId="0" borderId="48" xfId="0" applyFont="1" applyBorder="1" applyAlignment="1">
      <alignment horizontal="center"/>
    </xf>
    <xf numFmtId="0" fontId="16" fillId="3" borderId="36" xfId="0" applyFont="1" applyFill="1" applyBorder="1" applyAlignment="1">
      <alignment horizontal="center"/>
    </xf>
    <xf numFmtId="165" fontId="87" fillId="0" borderId="15" xfId="1" applyNumberFormat="1" applyFont="1" applyBorder="1" applyAlignment="1" applyProtection="1">
      <alignment horizontal="center" vertical="top"/>
    </xf>
    <xf numFmtId="1" fontId="87" fillId="0" borderId="31" xfId="1" applyNumberFormat="1" applyFont="1" applyBorder="1" applyAlignment="1" applyProtection="1">
      <alignment horizontal="center"/>
    </xf>
    <xf numFmtId="169" fontId="175" fillId="0" borderId="82" xfId="1" applyNumberFormat="1" applyFont="1" applyBorder="1" applyProtection="1"/>
    <xf numFmtId="0" fontId="90" fillId="0" borderId="54" xfId="1" applyNumberFormat="1" applyFont="1" applyBorder="1" applyAlignment="1" applyProtection="1">
      <alignment horizontal="center"/>
    </xf>
    <xf numFmtId="0" fontId="16" fillId="0" borderId="21" xfId="0" applyFont="1" applyBorder="1" applyAlignment="1">
      <alignment horizontal="center" vertical="center"/>
    </xf>
    <xf numFmtId="0" fontId="87" fillId="0" borderId="4" xfId="1" applyNumberFormat="1" applyFont="1" applyBorder="1" applyAlignment="1" applyProtection="1">
      <alignment horizontal="center"/>
    </xf>
    <xf numFmtId="0" fontId="87" fillId="0" borderId="5" xfId="1" applyNumberFormat="1" applyFont="1" applyBorder="1" applyAlignment="1" applyProtection="1">
      <alignment horizontal="center"/>
    </xf>
    <xf numFmtId="165" fontId="87" fillId="0" borderId="5" xfId="1" applyNumberFormat="1" applyFont="1" applyBorder="1" applyAlignment="1" applyProtection="1">
      <alignment horizontal="center"/>
    </xf>
    <xf numFmtId="165" fontId="87" fillId="0" borderId="14" xfId="1" applyNumberFormat="1" applyFont="1" applyBorder="1" applyAlignment="1" applyProtection="1">
      <alignment horizontal="center"/>
    </xf>
    <xf numFmtId="165" fontId="175" fillId="0" borderId="74" xfId="1" applyNumberFormat="1" applyFont="1" applyBorder="1" applyAlignment="1" applyProtection="1">
      <alignment horizontal="center" vertical="top"/>
    </xf>
    <xf numFmtId="0" fontId="90" fillId="0" borderId="30" xfId="1" applyNumberFormat="1" applyFont="1" applyBorder="1" applyAlignment="1" applyProtection="1">
      <alignment horizontal="center"/>
    </xf>
    <xf numFmtId="0" fontId="90" fillId="0" borderId="43" xfId="1" applyNumberFormat="1" applyFont="1" applyBorder="1" applyAlignment="1" applyProtection="1">
      <alignment horizontal="center"/>
    </xf>
    <xf numFmtId="165" fontId="175" fillId="0" borderId="43" xfId="1" applyNumberFormat="1" applyFont="1" applyBorder="1" applyAlignment="1" applyProtection="1">
      <alignment horizontal="center" vertical="top"/>
    </xf>
    <xf numFmtId="0" fontId="90" fillId="0" borderId="0" xfId="1" applyNumberFormat="1" applyFont="1" applyAlignment="1" applyProtection="1">
      <alignment horizontal="center"/>
    </xf>
    <xf numFmtId="0" fontId="90" fillId="0" borderId="44" xfId="1" applyNumberFormat="1" applyFont="1" applyBorder="1" applyAlignment="1" applyProtection="1">
      <alignment horizontal="center"/>
    </xf>
    <xf numFmtId="0" fontId="90" fillId="0" borderId="67" xfId="1" applyNumberFormat="1" applyFont="1" applyBorder="1" applyAlignment="1" applyProtection="1">
      <alignment horizontal="center"/>
    </xf>
    <xf numFmtId="0" fontId="90" fillId="0" borderId="68" xfId="1" applyNumberFormat="1" applyFont="1" applyBorder="1" applyAlignment="1" applyProtection="1">
      <alignment horizontal="center"/>
    </xf>
    <xf numFmtId="0" fontId="90" fillId="0" borderId="39" xfId="1" applyNumberFormat="1" applyFont="1" applyBorder="1" applyAlignment="1" applyProtection="1">
      <alignment horizontal="center"/>
    </xf>
    <xf numFmtId="0" fontId="90" fillId="0" borderId="34" xfId="1" applyNumberFormat="1" applyFont="1" applyBorder="1" applyAlignment="1" applyProtection="1">
      <alignment horizontal="center"/>
    </xf>
    <xf numFmtId="165" fontId="175" fillId="0" borderId="46" xfId="1" applyNumberFormat="1" applyFont="1" applyBorder="1" applyAlignment="1" applyProtection="1">
      <alignment horizontal="center" vertical="top"/>
    </xf>
    <xf numFmtId="165" fontId="175" fillId="0" borderId="58" xfId="1" applyNumberFormat="1" applyFont="1" applyBorder="1" applyAlignment="1" applyProtection="1">
      <alignment horizontal="center" vertical="top"/>
    </xf>
    <xf numFmtId="165" fontId="175" fillId="0" borderId="30" xfId="1" applyNumberFormat="1" applyFont="1" applyBorder="1" applyAlignment="1" applyProtection="1">
      <alignment horizontal="center" vertical="top"/>
    </xf>
    <xf numFmtId="165" fontId="175" fillId="0" borderId="34" xfId="1" applyNumberFormat="1" applyFont="1" applyBorder="1" applyAlignment="1" applyProtection="1">
      <alignment horizontal="center" vertical="top"/>
    </xf>
    <xf numFmtId="0" fontId="181" fillId="0" borderId="0" xfId="1" applyNumberFormat="1" applyFont="1" applyAlignment="1" applyProtection="1">
      <alignment horizontal="center"/>
    </xf>
    <xf numFmtId="165" fontId="181" fillId="0" borderId="0" xfId="1" applyNumberFormat="1" applyFont="1" applyAlignment="1" applyProtection="1">
      <alignment horizontal="center" vertical="top"/>
    </xf>
    <xf numFmtId="0" fontId="16" fillId="0" borderId="2" xfId="0" applyFont="1" applyBorder="1" applyAlignment="1">
      <alignment horizontal="center" vertical="center"/>
    </xf>
    <xf numFmtId="169" fontId="176" fillId="0" borderId="41" xfId="1" applyNumberFormat="1" applyFont="1" applyBorder="1" applyAlignment="1" applyProtection="1">
      <alignment horizontal="center"/>
    </xf>
    <xf numFmtId="169" fontId="176" fillId="0" borderId="30" xfId="1" applyNumberFormat="1" applyFont="1" applyBorder="1" applyAlignment="1" applyProtection="1">
      <alignment horizontal="center"/>
    </xf>
    <xf numFmtId="165" fontId="176" fillId="0" borderId="74" xfId="1" applyNumberFormat="1" applyFont="1" applyBorder="1" applyAlignment="1" applyProtection="1">
      <alignment horizontal="center" vertical="top"/>
    </xf>
    <xf numFmtId="0" fontId="16" fillId="3" borderId="6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87" fillId="0" borderId="2" xfId="1" applyNumberFormat="1" applyFont="1" applyBorder="1" applyAlignment="1" applyProtection="1">
      <alignment horizontal="center" vertical="top"/>
    </xf>
    <xf numFmtId="169" fontId="87" fillId="0" borderId="14" xfId="0" applyNumberFormat="1" applyFont="1" applyBorder="1" applyAlignment="1">
      <alignment horizontal="center"/>
    </xf>
    <xf numFmtId="0" fontId="175" fillId="0" borderId="39" xfId="1" applyNumberFormat="1" applyFont="1" applyBorder="1" applyAlignment="1" applyProtection="1">
      <alignment horizontal="center"/>
    </xf>
    <xf numFmtId="0" fontId="175" fillId="0" borderId="43" xfId="1" applyNumberFormat="1" applyFont="1" applyBorder="1" applyAlignment="1" applyProtection="1">
      <alignment horizontal="center"/>
    </xf>
    <xf numFmtId="165" fontId="175" fillId="0" borderId="37" xfId="1" applyNumberFormat="1" applyFont="1" applyBorder="1" applyAlignment="1" applyProtection="1">
      <alignment horizontal="center" vertical="top"/>
    </xf>
    <xf numFmtId="0" fontId="175" fillId="0" borderId="45" xfId="1" applyNumberFormat="1" applyFont="1" applyBorder="1" applyAlignment="1" applyProtection="1">
      <alignment horizontal="center" vertical="top"/>
    </xf>
    <xf numFmtId="169" fontId="175" fillId="0" borderId="23" xfId="0" applyNumberFormat="1" applyFont="1" applyBorder="1" applyAlignment="1">
      <alignment horizontal="center"/>
    </xf>
    <xf numFmtId="0" fontId="175" fillId="0" borderId="68" xfId="1" applyNumberFormat="1" applyFont="1" applyBorder="1" applyAlignment="1" applyProtection="1">
      <alignment horizontal="center" vertical="top"/>
    </xf>
    <xf numFmtId="165" fontId="175" fillId="0" borderId="68" xfId="1" applyNumberFormat="1" applyFont="1" applyBorder="1" applyAlignment="1" applyProtection="1">
      <alignment horizontal="center" vertical="top"/>
    </xf>
    <xf numFmtId="169" fontId="175" fillId="0" borderId="45" xfId="0" applyNumberFormat="1" applyFont="1" applyBorder="1" applyAlignment="1">
      <alignment horizontal="center"/>
    </xf>
    <xf numFmtId="169" fontId="167" fillId="0" borderId="0" xfId="0" applyNumberFormat="1" applyFont="1" applyAlignment="1"/>
    <xf numFmtId="0" fontId="90" fillId="0" borderId="51" xfId="1" applyNumberFormat="1" applyFont="1" applyBorder="1" applyAlignment="1" applyProtection="1">
      <alignment horizontal="center"/>
    </xf>
    <xf numFmtId="0" fontId="90" fillId="0" borderId="46" xfId="1" applyNumberFormat="1" applyFont="1" applyBorder="1" applyProtection="1"/>
    <xf numFmtId="0" fontId="90" fillId="0" borderId="46" xfId="1" applyNumberFormat="1" applyFont="1" applyBorder="1" applyAlignment="1" applyProtection="1">
      <alignment horizontal="center"/>
    </xf>
    <xf numFmtId="0" fontId="185" fillId="0" borderId="21" xfId="0" applyFont="1" applyBorder="1" applyAlignment="1">
      <alignment horizontal="center"/>
    </xf>
    <xf numFmtId="0" fontId="185" fillId="0" borderId="9" xfId="0" applyFont="1" applyBorder="1" applyAlignment="1">
      <alignment horizontal="center"/>
    </xf>
    <xf numFmtId="0" fontId="18" fillId="0" borderId="9" xfId="0" applyFont="1" applyBorder="1" applyAlignment="1"/>
    <xf numFmtId="0" fontId="90" fillId="0" borderId="43" xfId="1" applyNumberFormat="1" applyFont="1" applyBorder="1" applyProtection="1"/>
    <xf numFmtId="0" fontId="185" fillId="0" borderId="44" xfId="0" applyFont="1" applyBorder="1" applyAlignment="1">
      <alignment horizontal="center"/>
    </xf>
    <xf numFmtId="0" fontId="185" fillId="0" borderId="43" xfId="0" applyFont="1" applyBorder="1" applyAlignment="1">
      <alignment horizontal="center"/>
    </xf>
    <xf numFmtId="0" fontId="18" fillId="0" borderId="43" xfId="0" applyFont="1" applyBorder="1" applyAlignment="1"/>
    <xf numFmtId="0" fontId="90" fillId="0" borderId="30" xfId="1" applyNumberFormat="1" applyFont="1" applyBorder="1" applyProtection="1"/>
    <xf numFmtId="0" fontId="185" fillId="0" borderId="0" xfId="0" applyFont="1" applyAlignment="1">
      <alignment horizontal="center"/>
    </xf>
    <xf numFmtId="0" fontId="185" fillId="0" borderId="30" xfId="0" applyFont="1" applyBorder="1" applyAlignment="1">
      <alignment horizontal="center"/>
    </xf>
    <xf numFmtId="0" fontId="18" fillId="0" borderId="30" xfId="0" applyFont="1" applyBorder="1" applyAlignment="1"/>
    <xf numFmtId="0" fontId="90" fillId="0" borderId="45" xfId="1" applyNumberFormat="1" applyFont="1" applyBorder="1" applyProtection="1"/>
    <xf numFmtId="0" fontId="90" fillId="0" borderId="45" xfId="1" applyNumberFormat="1" applyFont="1" applyBorder="1" applyAlignment="1" applyProtection="1">
      <alignment horizontal="center"/>
    </xf>
    <xf numFmtId="0" fontId="98" fillId="0" borderId="22" xfId="0" applyFont="1" applyBorder="1" applyAlignment="1">
      <alignment horizontal="center"/>
    </xf>
    <xf numFmtId="0" fontId="98" fillId="0" borderId="10" xfId="0" applyFont="1" applyBorder="1" applyAlignment="1">
      <alignment horizontal="center"/>
    </xf>
    <xf numFmtId="165" fontId="98" fillId="0" borderId="10" xfId="0" applyNumberFormat="1" applyFont="1" applyBorder="1" applyAlignment="1">
      <alignment horizontal="center"/>
    </xf>
    <xf numFmtId="165" fontId="98" fillId="0" borderId="0" xfId="0" applyNumberFormat="1" applyFont="1" applyAlignment="1">
      <alignment horizontal="center"/>
    </xf>
    <xf numFmtId="0" fontId="90" fillId="0" borderId="58" xfId="1" applyNumberFormat="1" applyFont="1" applyBorder="1" applyProtection="1"/>
    <xf numFmtId="165" fontId="175" fillId="0" borderId="6" xfId="1" applyNumberFormat="1" applyFont="1" applyBorder="1" applyAlignment="1" applyProtection="1">
      <alignment horizontal="center" vertical="top"/>
    </xf>
    <xf numFmtId="169" fontId="175" fillId="0" borderId="58" xfId="0" applyNumberFormat="1" applyFont="1" applyBorder="1" applyAlignment="1">
      <alignment horizontal="center"/>
    </xf>
    <xf numFmtId="0" fontId="90" fillId="0" borderId="34" xfId="1" applyNumberFormat="1" applyFont="1" applyBorder="1" applyProtection="1"/>
    <xf numFmtId="0" fontId="98" fillId="0" borderId="44" xfId="0" applyFont="1" applyBorder="1" applyAlignment="1">
      <alignment horizontal="center"/>
    </xf>
    <xf numFmtId="165" fontId="98" fillId="0" borderId="44" xfId="0" applyNumberFormat="1" applyFont="1" applyBorder="1" applyAlignment="1">
      <alignment horizontal="center"/>
    </xf>
    <xf numFmtId="0" fontId="181" fillId="0" borderId="0" xfId="1" applyNumberFormat="1" applyFont="1" applyAlignment="1" applyProtection="1">
      <alignment horizontal="center" vertical="top"/>
    </xf>
    <xf numFmtId="0" fontId="176" fillId="0" borderId="44" xfId="1" applyNumberFormat="1" applyFont="1" applyBorder="1" applyAlignment="1" applyProtection="1">
      <alignment horizontal="center"/>
    </xf>
    <xf numFmtId="0" fontId="176" fillId="0" borderId="43" xfId="1" applyNumberFormat="1" applyFont="1" applyBorder="1" applyAlignment="1" applyProtection="1">
      <alignment horizontal="center"/>
    </xf>
    <xf numFmtId="165" fontId="176" fillId="0" borderId="45" xfId="1" applyNumberFormat="1" applyFont="1" applyBorder="1" applyAlignment="1" applyProtection="1">
      <alignment horizontal="center" vertical="top"/>
    </xf>
    <xf numFmtId="0" fontId="176" fillId="0" borderId="68" xfId="1" applyNumberFormat="1" applyFont="1" applyBorder="1" applyAlignment="1" applyProtection="1">
      <alignment horizontal="center" vertical="top"/>
    </xf>
    <xf numFmtId="169" fontId="176" fillId="0" borderId="45" xfId="0" applyNumberFormat="1" applyFont="1" applyBorder="1" applyAlignment="1">
      <alignment horizontal="center"/>
    </xf>
    <xf numFmtId="169" fontId="78" fillId="0" borderId="0" xfId="0" applyNumberFormat="1" applyFont="1" applyAlignment="1"/>
    <xf numFmtId="0" fontId="168" fillId="0" borderId="0" xfId="0" applyFont="1" applyAlignment="1"/>
    <xf numFmtId="1" fontId="180" fillId="0" borderId="8" xfId="0" applyNumberFormat="1" applyFont="1" applyBorder="1" applyAlignment="1">
      <alignment horizontal="center"/>
    </xf>
    <xf numFmtId="14" fontId="179" fillId="0" borderId="26" xfId="0" applyNumberFormat="1" applyFont="1" applyBorder="1" applyAlignment="1">
      <alignment horizontal="center"/>
    </xf>
    <xf numFmtId="0" fontId="180" fillId="0" borderId="14" xfId="0" applyFont="1" applyBorder="1" applyAlignment="1">
      <alignment horizontal="center"/>
    </xf>
    <xf numFmtId="0" fontId="181" fillId="0" borderId="3" xfId="0" applyFont="1" applyBorder="1" applyAlignment="1">
      <alignment horizontal="center"/>
    </xf>
    <xf numFmtId="0" fontId="186" fillId="0" borderId="59" xfId="0" applyFont="1" applyBorder="1" applyAlignment="1">
      <alignment horizontal="left"/>
    </xf>
    <xf numFmtId="0" fontId="176" fillId="0" borderId="59" xfId="1" applyNumberFormat="1" applyFont="1" applyBorder="1" applyAlignment="1" applyProtection="1">
      <alignment horizontal="center"/>
    </xf>
    <xf numFmtId="0" fontId="176" fillId="0" borderId="61" xfId="1" applyNumberFormat="1" applyFont="1" applyBorder="1" applyAlignment="1" applyProtection="1">
      <alignment horizontal="center"/>
    </xf>
    <xf numFmtId="176" fontId="176" fillId="0" borderId="58" xfId="1" applyNumberFormat="1" applyFont="1" applyBorder="1" applyAlignment="1" applyProtection="1">
      <alignment horizontal="center"/>
    </xf>
    <xf numFmtId="1" fontId="182" fillId="0" borderId="61" xfId="0" applyNumberFormat="1" applyFont="1" applyBorder="1" applyAlignment="1">
      <alignment horizontal="center"/>
    </xf>
    <xf numFmtId="0" fontId="186" fillId="0" borderId="40" xfId="0" applyFont="1" applyBorder="1" applyAlignment="1">
      <alignment horizontal="left"/>
    </xf>
    <xf numFmtId="14" fontId="184" fillId="0" borderId="66" xfId="0" applyNumberFormat="1" applyFont="1" applyBorder="1" applyAlignment="1">
      <alignment horizontal="center"/>
    </xf>
    <xf numFmtId="1" fontId="21" fillId="2" borderId="20" xfId="0" applyNumberFormat="1" applyFont="1" applyFill="1" applyBorder="1" applyAlignment="1">
      <alignment horizontal="center"/>
    </xf>
    <xf numFmtId="14" fontId="91" fillId="0" borderId="24" xfId="0" applyNumberFormat="1" applyFont="1" applyBorder="1" applyAlignment="1">
      <alignment horizontal="center"/>
    </xf>
    <xf numFmtId="1" fontId="139" fillId="2" borderId="55" xfId="0" applyNumberFormat="1" applyFont="1" applyFill="1" applyBorder="1" applyAlignment="1">
      <alignment horizontal="center"/>
    </xf>
    <xf numFmtId="14" fontId="91" fillId="0" borderId="55" xfId="0" applyNumberFormat="1" applyFont="1" applyBorder="1" applyAlignment="1">
      <alignment horizontal="center"/>
    </xf>
    <xf numFmtId="1" fontId="180" fillId="0" borderId="4" xfId="0" applyNumberFormat="1" applyFont="1" applyBorder="1" applyAlignment="1">
      <alignment horizontal="center"/>
    </xf>
    <xf numFmtId="169" fontId="176" fillId="0" borderId="61" xfId="1" applyNumberFormat="1" applyFont="1" applyBorder="1" applyAlignment="1" applyProtection="1">
      <alignment horizontal="center"/>
    </xf>
    <xf numFmtId="0" fontId="176" fillId="0" borderId="60" xfId="0" applyFont="1" applyBorder="1" applyAlignment="1">
      <alignment horizontal="center"/>
    </xf>
    <xf numFmtId="0" fontId="176" fillId="0" borderId="60" xfId="1" applyNumberFormat="1" applyFont="1" applyBorder="1" applyAlignment="1" applyProtection="1">
      <alignment horizontal="center"/>
    </xf>
    <xf numFmtId="0" fontId="176" fillId="0" borderId="83" xfId="1" applyNumberFormat="1" applyFont="1" applyBorder="1" applyAlignment="1" applyProtection="1">
      <alignment horizontal="center"/>
    </xf>
    <xf numFmtId="169" fontId="90" fillId="0" borderId="55" xfId="1" applyNumberFormat="1" applyFont="1" applyBorder="1" applyProtection="1"/>
    <xf numFmtId="169" fontId="90" fillId="0" borderId="53" xfId="1" applyNumberFormat="1" applyFont="1" applyBorder="1" applyProtection="1"/>
    <xf numFmtId="0" fontId="176" fillId="0" borderId="64" xfId="1" applyNumberFormat="1" applyFont="1" applyBorder="1" applyAlignment="1" applyProtection="1">
      <alignment horizontal="center"/>
    </xf>
    <xf numFmtId="169" fontId="90" fillId="0" borderId="54" xfId="1" applyNumberFormat="1" applyFont="1" applyBorder="1" applyAlignment="1" applyProtection="1">
      <alignment horizontal="left"/>
    </xf>
    <xf numFmtId="169" fontId="90" fillId="0" borderId="53" xfId="1" applyNumberFormat="1" applyFont="1" applyBorder="1" applyAlignment="1" applyProtection="1">
      <alignment horizontal="left"/>
    </xf>
    <xf numFmtId="165" fontId="90" fillId="0" borderId="74" xfId="1" applyNumberFormat="1" applyFont="1" applyBorder="1" applyAlignment="1" applyProtection="1">
      <alignment horizontal="center" vertical="top"/>
    </xf>
    <xf numFmtId="169" fontId="176" fillId="0" borderId="60" xfId="1" applyNumberFormat="1" applyFont="1" applyBorder="1" applyAlignment="1" applyProtection="1">
      <alignment horizontal="center"/>
    </xf>
    <xf numFmtId="165" fontId="176" fillId="0" borderId="48" xfId="1" applyNumberFormat="1" applyFont="1" applyBorder="1" applyAlignment="1" applyProtection="1">
      <alignment horizontal="center" vertical="top"/>
    </xf>
    <xf numFmtId="0" fontId="98" fillId="0" borderId="2" xfId="0" applyFont="1" applyBorder="1" applyAlignment="1">
      <alignment horizontal="center"/>
    </xf>
    <xf numFmtId="0" fontId="90" fillId="0" borderId="65" xfId="1" applyNumberFormat="1" applyFont="1" applyBorder="1" applyAlignment="1" applyProtection="1">
      <alignment horizontal="center"/>
    </xf>
    <xf numFmtId="0" fontId="176" fillId="0" borderId="67" xfId="1" applyNumberFormat="1" applyFont="1" applyBorder="1" applyAlignment="1" applyProtection="1">
      <alignment horizontal="center"/>
    </xf>
    <xf numFmtId="0" fontId="176" fillId="0" borderId="45" xfId="1" applyNumberFormat="1" applyFont="1" applyBorder="1" applyAlignment="1" applyProtection="1">
      <alignment horizontal="center"/>
    </xf>
    <xf numFmtId="0" fontId="88" fillId="0" borderId="55" xfId="0" applyFont="1" applyBorder="1" applyAlignment="1">
      <alignment horizontal="left"/>
    </xf>
    <xf numFmtId="169" fontId="90" fillId="0" borderId="40" xfId="1" applyNumberFormat="1" applyFont="1" applyBorder="1" applyAlignment="1" applyProtection="1">
      <alignment horizontal="center"/>
    </xf>
    <xf numFmtId="169" fontId="7" fillId="0" borderId="58" xfId="1" applyNumberFormat="1" applyFont="1" applyBorder="1" applyAlignment="1" applyProtection="1">
      <alignment horizontal="center"/>
    </xf>
    <xf numFmtId="0" fontId="187" fillId="0" borderId="3" xfId="0" applyFont="1" applyBorder="1" applyAlignment="1">
      <alignment horizontal="left"/>
    </xf>
    <xf numFmtId="1" fontId="99" fillId="0" borderId="4" xfId="0" applyNumberFormat="1" applyFont="1" applyBorder="1" applyAlignment="1">
      <alignment horizontal="center"/>
    </xf>
    <xf numFmtId="14" fontId="91" fillId="0" borderId="5" xfId="0" applyNumberFormat="1" applyFont="1" applyBorder="1" applyAlignment="1">
      <alignment horizontal="center"/>
    </xf>
    <xf numFmtId="0" fontId="99" fillId="0" borderId="14" xfId="0" applyFont="1" applyBorder="1" applyAlignment="1">
      <alignment horizontal="center"/>
    </xf>
    <xf numFmtId="0" fontId="90" fillId="0" borderId="4" xfId="1" applyNumberFormat="1" applyFont="1" applyBorder="1" applyAlignment="1" applyProtection="1">
      <alignment horizontal="center"/>
    </xf>
    <xf numFmtId="1" fontId="180" fillId="5" borderId="0" xfId="0" applyNumberFormat="1" applyFont="1" applyFill="1" applyAlignment="1">
      <alignment horizontal="center"/>
    </xf>
    <xf numFmtId="14" fontId="179" fillId="5" borderId="0" xfId="0" applyNumberFormat="1" applyFont="1" applyFill="1" applyAlignment="1">
      <alignment horizontal="center"/>
    </xf>
    <xf numFmtId="0" fontId="180" fillId="5" borderId="0" xfId="0" applyFont="1" applyFill="1" applyAlignment="1">
      <alignment horizontal="center"/>
    </xf>
    <xf numFmtId="0" fontId="181" fillId="5" borderId="0" xfId="0" applyFont="1" applyFill="1" applyAlignment="1">
      <alignment horizontal="center"/>
    </xf>
    <xf numFmtId="0" fontId="16" fillId="0" borderId="1" xfId="0" applyFont="1" applyBorder="1" applyAlignment="1">
      <alignment horizontal="center" vertical="center"/>
    </xf>
    <xf numFmtId="169" fontId="90" fillId="0" borderId="41" xfId="0" applyNumberFormat="1" applyFont="1" applyBorder="1" applyAlignment="1">
      <alignment horizontal="center"/>
    </xf>
    <xf numFmtId="169" fontId="90" fillId="0" borderId="30" xfId="0" applyNumberFormat="1" applyFont="1" applyBorder="1" applyAlignment="1">
      <alignment horizontal="center"/>
    </xf>
    <xf numFmtId="0" fontId="90" fillId="0" borderId="14" xfId="0" applyFont="1" applyBorder="1" applyAlignment="1">
      <alignment horizontal="center"/>
    </xf>
    <xf numFmtId="0" fontId="90" fillId="0" borderId="31" xfId="1" applyNumberFormat="1" applyFont="1" applyBorder="1" applyAlignment="1" applyProtection="1">
      <alignment horizontal="center"/>
    </xf>
    <xf numFmtId="169" fontId="90" fillId="0" borderId="30" xfId="1" applyNumberFormat="1" applyFont="1" applyBorder="1" applyAlignment="1" applyProtection="1">
      <alignment horizontal="center"/>
    </xf>
    <xf numFmtId="43" fontId="90" fillId="0" borderId="14" xfId="1" applyFont="1" applyBorder="1" applyAlignment="1" applyProtection="1">
      <alignment horizontal="center"/>
    </xf>
    <xf numFmtId="43" fontId="181" fillId="5" borderId="0" xfId="1" applyFont="1" applyFill="1" applyAlignment="1" applyProtection="1">
      <alignment horizontal="center"/>
    </xf>
    <xf numFmtId="169" fontId="90" fillId="0" borderId="60" xfId="1" applyNumberFormat="1" applyFont="1" applyBorder="1" applyAlignment="1" applyProtection="1">
      <alignment horizontal="center"/>
    </xf>
    <xf numFmtId="0" fontId="90" fillId="0" borderId="60" xfId="1" applyNumberFormat="1" applyFont="1" applyBorder="1" applyAlignment="1" applyProtection="1">
      <alignment horizontal="center"/>
    </xf>
    <xf numFmtId="169" fontId="90" fillId="0" borderId="14" xfId="1" applyNumberFormat="1" applyFont="1" applyBorder="1" applyAlignment="1" applyProtection="1">
      <alignment horizontal="center"/>
    </xf>
    <xf numFmtId="165" fontId="90" fillId="0" borderId="15" xfId="1" applyNumberFormat="1" applyFont="1" applyBorder="1" applyAlignment="1" applyProtection="1">
      <alignment horizontal="center" vertical="top"/>
    </xf>
    <xf numFmtId="0" fontId="181" fillId="5" borderId="0" xfId="1" applyNumberFormat="1" applyFont="1" applyFill="1" applyAlignment="1" applyProtection="1">
      <alignment horizontal="center"/>
    </xf>
    <xf numFmtId="165" fontId="181" fillId="5" borderId="0" xfId="1" applyNumberFormat="1" applyFont="1" applyFill="1" applyAlignment="1" applyProtection="1">
      <alignment horizontal="center" vertical="top"/>
    </xf>
    <xf numFmtId="169" fontId="79" fillId="0" borderId="0" xfId="0" applyNumberFormat="1" applyFont="1" applyAlignment="1"/>
    <xf numFmtId="0" fontId="90" fillId="0" borderId="67" xfId="1" applyNumberFormat="1" applyFont="1" applyBorder="1" applyAlignment="1" applyProtection="1">
      <alignment horizontal="center" vertical="top"/>
    </xf>
    <xf numFmtId="0" fontId="90" fillId="0" borderId="45" xfId="1" applyNumberFormat="1" applyFont="1" applyBorder="1" applyAlignment="1" applyProtection="1">
      <alignment horizontal="center" vertical="top"/>
    </xf>
    <xf numFmtId="165" fontId="90" fillId="0" borderId="47" xfId="1" applyNumberFormat="1" applyFont="1" applyBorder="1" applyAlignment="1" applyProtection="1">
      <alignment horizontal="center" vertical="top"/>
    </xf>
    <xf numFmtId="169" fontId="90" fillId="0" borderId="45" xfId="0" applyNumberFormat="1" applyFont="1" applyBorder="1" applyAlignment="1">
      <alignment horizontal="center"/>
    </xf>
    <xf numFmtId="0" fontId="90" fillId="0" borderId="2" xfId="1" applyNumberFormat="1" applyFont="1" applyBorder="1" applyAlignment="1" applyProtection="1">
      <alignment horizontal="center" vertical="top"/>
    </xf>
    <xf numFmtId="165" fontId="90" fillId="0" borderId="14" xfId="1" applyNumberFormat="1" applyFont="1" applyBorder="1" applyAlignment="1" applyProtection="1">
      <alignment horizontal="center" vertical="top"/>
    </xf>
    <xf numFmtId="0" fontId="181" fillId="5" borderId="0" xfId="1" applyNumberFormat="1" applyFont="1" applyFill="1" applyAlignment="1" applyProtection="1">
      <alignment horizontal="center" vertical="top"/>
    </xf>
    <xf numFmtId="165" fontId="181" fillId="5" borderId="30" xfId="1" applyNumberFormat="1" applyFont="1" applyFill="1" applyBorder="1" applyAlignment="1" applyProtection="1">
      <alignment horizontal="center" vertical="top"/>
    </xf>
    <xf numFmtId="0" fontId="188" fillId="0" borderId="3" xfId="0" applyFont="1" applyBorder="1" applyAlignment="1">
      <alignment horizontal="left"/>
    </xf>
    <xf numFmtId="0" fontId="154" fillId="0" borderId="3" xfId="0" applyFont="1" applyBorder="1" applyAlignment="1"/>
    <xf numFmtId="0" fontId="154" fillId="0" borderId="4" xfId="0" applyFont="1" applyBorder="1" applyAlignment="1"/>
    <xf numFmtId="0" fontId="154" fillId="0" borderId="5" xfId="0" applyFont="1" applyBorder="1" applyAlignment="1"/>
    <xf numFmtId="165" fontId="154" fillId="0" borderId="1" xfId="1" applyNumberFormat="1" applyFont="1" applyBorder="1" applyAlignment="1" applyProtection="1">
      <alignment horizontal="center" vertical="top"/>
    </xf>
    <xf numFmtId="0" fontId="154" fillId="0" borderId="7" xfId="0" applyFont="1" applyBorder="1" applyAlignment="1">
      <alignment horizontal="left"/>
    </xf>
    <xf numFmtId="0" fontId="154" fillId="0" borderId="8" xfId="0" applyFont="1" applyBorder="1" applyAlignment="1">
      <alignment horizontal="left"/>
    </xf>
    <xf numFmtId="0" fontId="154" fillId="0" borderId="26" xfId="0" applyFont="1" applyBorder="1" applyAlignment="1">
      <alignment horizontal="left"/>
    </xf>
    <xf numFmtId="165" fontId="154" fillId="0" borderId="32" xfId="1" applyNumberFormat="1" applyFont="1" applyBorder="1" applyAlignment="1" applyProtection="1">
      <alignment horizontal="center" vertical="top"/>
    </xf>
    <xf numFmtId="165" fontId="105" fillId="2" borderId="7" xfId="1" applyNumberFormat="1" applyFont="1" applyFill="1" applyBorder="1" applyAlignment="1" applyProtection="1">
      <alignment horizontal="center" vertical="top"/>
    </xf>
    <xf numFmtId="165" fontId="105" fillId="2" borderId="8" xfId="1" applyNumberFormat="1" applyFont="1" applyFill="1" applyBorder="1" applyAlignment="1" applyProtection="1">
      <alignment horizontal="center" vertical="top"/>
    </xf>
    <xf numFmtId="0" fontId="189" fillId="0" borderId="9" xfId="0" applyFont="1" applyBorder="1" applyAlignment="1">
      <alignment horizontal="center"/>
    </xf>
    <xf numFmtId="0" fontId="190" fillId="0" borderId="3" xfId="0" applyFont="1" applyBorder="1" applyAlignment="1">
      <alignment horizontal="left"/>
    </xf>
    <xf numFmtId="0" fontId="108" fillId="0" borderId="4" xfId="0" applyFont="1" applyBorder="1" applyAlignment="1">
      <alignment horizontal="center"/>
    </xf>
    <xf numFmtId="0" fontId="108" fillId="0" borderId="5" xfId="0" applyFont="1" applyBorder="1" applyAlignment="1">
      <alignment horizontal="center"/>
    </xf>
    <xf numFmtId="0" fontId="108" fillId="0" borderId="34" xfId="0" applyFont="1" applyBorder="1" applyAlignment="1">
      <alignment horizontal="center"/>
    </xf>
    <xf numFmtId="0" fontId="108" fillId="3" borderId="3" xfId="0" applyFont="1" applyFill="1" applyBorder="1" applyAlignment="1">
      <alignment horizontal="center" vertical="center"/>
    </xf>
    <xf numFmtId="0" fontId="133" fillId="0" borderId="0" xfId="0" applyFont="1" applyAlignment="1">
      <alignment horizontal="center"/>
    </xf>
    <xf numFmtId="0" fontId="116" fillId="0" borderId="52" xfId="0" applyFont="1" applyBorder="1" applyAlignment="1">
      <alignment horizontal="center"/>
    </xf>
    <xf numFmtId="0" fontId="116" fillId="0" borderId="55" xfId="0" applyFont="1" applyBorder="1" applyAlignment="1">
      <alignment horizontal="center"/>
    </xf>
    <xf numFmtId="0" fontId="116" fillId="0" borderId="55" xfId="1" applyNumberFormat="1" applyFont="1" applyBorder="1" applyAlignment="1" applyProtection="1">
      <alignment horizontal="center"/>
    </xf>
    <xf numFmtId="0" fontId="110" fillId="2" borderId="40" xfId="0" applyFont="1" applyFill="1" applyBorder="1" applyAlignment="1">
      <alignment horizontal="center"/>
    </xf>
    <xf numFmtId="0" fontId="110" fillId="2" borderId="58" xfId="1" applyNumberFormat="1" applyFont="1" applyFill="1" applyBorder="1" applyAlignment="1" applyProtection="1">
      <alignment horizontal="center"/>
    </xf>
    <xf numFmtId="14" fontId="114" fillId="0" borderId="0" xfId="0" applyNumberFormat="1" applyFont="1" applyAlignment="1">
      <alignment horizontal="center"/>
    </xf>
    <xf numFmtId="0" fontId="116" fillId="0" borderId="58" xfId="0" applyFont="1" applyBorder="1" applyAlignment="1">
      <alignment horizontal="center"/>
    </xf>
    <xf numFmtId="0" fontId="116" fillId="0" borderId="58" xfId="1" applyNumberFormat="1" applyFont="1" applyBorder="1" applyAlignment="1" applyProtection="1">
      <alignment horizontal="center"/>
    </xf>
    <xf numFmtId="0" fontId="116" fillId="2" borderId="40" xfId="0" applyFont="1" applyFill="1" applyBorder="1" applyAlignment="1">
      <alignment horizontal="center"/>
    </xf>
    <xf numFmtId="0" fontId="116" fillId="2" borderId="58" xfId="0" applyFont="1" applyFill="1" applyBorder="1" applyAlignment="1">
      <alignment horizontal="center"/>
    </xf>
    <xf numFmtId="0" fontId="116" fillId="2" borderId="58" xfId="1" applyNumberFormat="1" applyFont="1" applyFill="1" applyBorder="1" applyAlignment="1" applyProtection="1">
      <alignment horizontal="center"/>
    </xf>
    <xf numFmtId="0" fontId="97" fillId="0" borderId="52" xfId="0" applyFont="1" applyBorder="1" applyAlignment="1">
      <alignment horizontal="center"/>
    </xf>
    <xf numFmtId="0" fontId="97" fillId="0" borderId="55" xfId="0" applyFont="1" applyBorder="1" applyAlignment="1">
      <alignment horizontal="center"/>
    </xf>
    <xf numFmtId="0" fontId="97" fillId="0" borderId="55" xfId="1" applyNumberFormat="1" applyFont="1" applyBorder="1" applyAlignment="1" applyProtection="1">
      <alignment horizontal="center"/>
    </xf>
    <xf numFmtId="0" fontId="105" fillId="2" borderId="8" xfId="1" applyNumberFormat="1" applyFont="1" applyFill="1" applyBorder="1" applyAlignment="1" applyProtection="1">
      <alignment horizontal="center" vertical="top"/>
    </xf>
    <xf numFmtId="165" fontId="105" fillId="2" borderId="17" xfId="1" applyNumberFormat="1" applyFont="1" applyFill="1" applyBorder="1" applyAlignment="1" applyProtection="1">
      <alignment horizontal="center" vertical="top"/>
    </xf>
    <xf numFmtId="0" fontId="108" fillId="3" borderId="2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16" fillId="0" borderId="62" xfId="0" applyFont="1" applyBorder="1" applyAlignment="1">
      <alignment horizontal="center"/>
    </xf>
    <xf numFmtId="0" fontId="116" fillId="0" borderId="0" xfId="0" applyFont="1" applyAlignment="1">
      <alignment horizontal="center"/>
    </xf>
    <xf numFmtId="0" fontId="116" fillId="0" borderId="52" xfId="1" applyNumberFormat="1" applyFont="1" applyBorder="1" applyAlignment="1" applyProtection="1">
      <alignment horizontal="center"/>
    </xf>
    <xf numFmtId="169" fontId="116" fillId="0" borderId="55" xfId="1" applyNumberFormat="1" applyFont="1" applyBorder="1" applyAlignment="1" applyProtection="1">
      <alignment horizontal="center"/>
    </xf>
    <xf numFmtId="0" fontId="110" fillId="2" borderId="64" xfId="0" applyFont="1" applyFill="1" applyBorder="1" applyAlignment="1">
      <alignment horizontal="center"/>
    </xf>
    <xf numFmtId="0" fontId="110" fillId="2" borderId="0" xfId="0" applyFont="1" applyFill="1" applyAlignment="1">
      <alignment horizontal="center"/>
    </xf>
    <xf numFmtId="0" fontId="110" fillId="2" borderId="40" xfId="1" applyNumberFormat="1" applyFont="1" applyFill="1" applyBorder="1" applyAlignment="1" applyProtection="1">
      <alignment horizontal="center"/>
    </xf>
    <xf numFmtId="169" fontId="110" fillId="2" borderId="58" xfId="1" applyNumberFormat="1" applyFont="1" applyFill="1" applyBorder="1" applyAlignment="1" applyProtection="1">
      <alignment horizontal="center"/>
    </xf>
    <xf numFmtId="0" fontId="116" fillId="0" borderId="62" xfId="1" applyNumberFormat="1" applyFont="1" applyBorder="1" applyAlignment="1" applyProtection="1">
      <alignment horizontal="center"/>
    </xf>
    <xf numFmtId="0" fontId="110" fillId="2" borderId="64" xfId="1" applyNumberFormat="1" applyFont="1" applyFill="1" applyBorder="1" applyAlignment="1" applyProtection="1">
      <alignment horizontal="center"/>
    </xf>
    <xf numFmtId="0" fontId="116" fillId="2" borderId="0" xfId="0" applyFont="1" applyFill="1" applyAlignment="1">
      <alignment horizontal="center"/>
    </xf>
    <xf numFmtId="0" fontId="116" fillId="2" borderId="40" xfId="1" applyNumberFormat="1" applyFont="1" applyFill="1" applyBorder="1" applyAlignment="1" applyProtection="1">
      <alignment horizontal="center"/>
    </xf>
    <xf numFmtId="169" fontId="116" fillId="2" borderId="58" xfId="1" applyNumberFormat="1" applyFont="1" applyFill="1" applyBorder="1" applyAlignment="1" applyProtection="1">
      <alignment horizontal="center"/>
    </xf>
    <xf numFmtId="0" fontId="97" fillId="0" borderId="62" xfId="0" applyFont="1" applyBorder="1" applyAlignment="1">
      <alignment horizontal="center"/>
    </xf>
    <xf numFmtId="0" fontId="97" fillId="0" borderId="0" xfId="0" applyFont="1" applyAlignment="1">
      <alignment horizontal="center"/>
    </xf>
    <xf numFmtId="0" fontId="97" fillId="0" borderId="52" xfId="1" applyNumberFormat="1" applyFont="1" applyBorder="1" applyAlignment="1" applyProtection="1">
      <alignment horizontal="center"/>
    </xf>
    <xf numFmtId="169" fontId="97" fillId="0" borderId="55" xfId="1" applyNumberFormat="1" applyFont="1" applyBorder="1" applyAlignment="1" applyProtection="1">
      <alignment horizontal="center"/>
    </xf>
    <xf numFmtId="0" fontId="189" fillId="0" borderId="25" xfId="0" applyFont="1" applyBorder="1" applyAlignment="1">
      <alignment horizontal="center"/>
    </xf>
    <xf numFmtId="0" fontId="108" fillId="3" borderId="4" xfId="0" applyFont="1" applyFill="1" applyBorder="1" applyAlignment="1">
      <alignment horizontal="center"/>
    </xf>
    <xf numFmtId="0" fontId="108" fillId="3" borderId="16" xfId="0" applyFont="1" applyFill="1" applyBorder="1" applyAlignment="1">
      <alignment horizontal="center"/>
    </xf>
    <xf numFmtId="43" fontId="44" fillId="0" borderId="0" xfId="1" applyFont="1" applyAlignment="1" applyProtection="1">
      <alignment horizontal="center"/>
    </xf>
    <xf numFmtId="43" fontId="116" fillId="0" borderId="62" xfId="1" applyFont="1" applyBorder="1" applyAlignment="1" applyProtection="1">
      <alignment horizontal="center"/>
    </xf>
    <xf numFmtId="43" fontId="116" fillId="0" borderId="0" xfId="1" applyFont="1" applyAlignment="1" applyProtection="1">
      <alignment horizontal="center"/>
    </xf>
    <xf numFmtId="43" fontId="110" fillId="2" borderId="64" xfId="1" applyFont="1" applyFill="1" applyBorder="1" applyAlignment="1" applyProtection="1">
      <alignment horizontal="center"/>
    </xf>
    <xf numFmtId="43" fontId="110" fillId="2" borderId="0" xfId="1" applyFont="1" applyFill="1" applyAlignment="1" applyProtection="1">
      <alignment horizontal="center"/>
    </xf>
    <xf numFmtId="43" fontId="116" fillId="2" borderId="64" xfId="1" applyFont="1" applyFill="1" applyBorder="1" applyAlignment="1" applyProtection="1">
      <alignment horizontal="center"/>
    </xf>
    <xf numFmtId="43" fontId="116" fillId="2" borderId="0" xfId="1" applyFont="1" applyFill="1" applyAlignment="1" applyProtection="1">
      <alignment horizontal="center"/>
    </xf>
    <xf numFmtId="43" fontId="97" fillId="0" borderId="62" xfId="1" applyFont="1" applyBorder="1" applyAlignment="1" applyProtection="1">
      <alignment horizontal="center"/>
    </xf>
    <xf numFmtId="43" fontId="97" fillId="0" borderId="0" xfId="1" applyFont="1" applyAlignment="1" applyProtection="1">
      <alignment horizontal="center"/>
    </xf>
    <xf numFmtId="0" fontId="116" fillId="0" borderId="53" xfId="1" applyNumberFormat="1" applyFont="1" applyBorder="1" applyAlignment="1" applyProtection="1">
      <alignment horizontal="center"/>
    </xf>
    <xf numFmtId="0" fontId="110" fillId="2" borderId="41" xfId="1" applyNumberFormat="1" applyFont="1" applyFill="1" applyBorder="1" applyAlignment="1" applyProtection="1">
      <alignment horizontal="center"/>
    </xf>
    <xf numFmtId="0" fontId="116" fillId="2" borderId="41" xfId="1" applyNumberFormat="1" applyFont="1" applyFill="1" applyBorder="1" applyAlignment="1" applyProtection="1">
      <alignment horizontal="center"/>
    </xf>
    <xf numFmtId="0" fontId="97" fillId="0" borderId="53" xfId="1" applyNumberFormat="1" applyFont="1" applyBorder="1" applyAlignment="1" applyProtection="1">
      <alignment horizontal="center"/>
    </xf>
    <xf numFmtId="0" fontId="116" fillId="2" borderId="64" xfId="1" applyNumberFormat="1" applyFont="1" applyFill="1" applyBorder="1" applyAlignment="1" applyProtection="1">
      <alignment horizontal="center"/>
    </xf>
    <xf numFmtId="0" fontId="97" fillId="0" borderId="62" xfId="1" applyNumberFormat="1" applyFont="1" applyBorder="1" applyAlignment="1" applyProtection="1">
      <alignment horizontal="center"/>
    </xf>
    <xf numFmtId="0" fontId="97" fillId="0" borderId="64" xfId="1" applyNumberFormat="1" applyFont="1" applyBorder="1" applyAlignment="1" applyProtection="1">
      <alignment horizontal="center"/>
    </xf>
    <xf numFmtId="0" fontId="97" fillId="0" borderId="17" xfId="1" applyNumberFormat="1" applyFont="1" applyBorder="1" applyAlignment="1" applyProtection="1">
      <alignment horizontal="center"/>
    </xf>
    <xf numFmtId="169" fontId="110" fillId="0" borderId="58" xfId="1" applyNumberFormat="1" applyFont="1" applyBorder="1" applyAlignment="1" applyProtection="1">
      <alignment horizontal="center"/>
    </xf>
    <xf numFmtId="0" fontId="44" fillId="0" borderId="19" xfId="1" applyNumberFormat="1" applyFont="1" applyBorder="1" applyAlignment="1" applyProtection="1">
      <alignment horizontal="center"/>
    </xf>
    <xf numFmtId="0" fontId="116" fillId="2" borderId="52" xfId="1" applyNumberFormat="1" applyFont="1" applyFill="1" applyBorder="1" applyAlignment="1" applyProtection="1">
      <alignment horizontal="center"/>
    </xf>
    <xf numFmtId="0" fontId="87" fillId="2" borderId="55" xfId="1" applyNumberFormat="1" applyFont="1" applyFill="1" applyBorder="1" applyAlignment="1" applyProtection="1">
      <alignment horizontal="center"/>
    </xf>
    <xf numFmtId="0" fontId="116" fillId="2" borderId="55" xfId="1" applyNumberFormat="1" applyFont="1" applyFill="1" applyBorder="1" applyAlignment="1" applyProtection="1">
      <alignment horizontal="center"/>
    </xf>
    <xf numFmtId="0" fontId="108" fillId="0" borderId="48" xfId="0" applyFont="1" applyBorder="1" applyAlignment="1">
      <alignment horizontal="center"/>
    </xf>
    <xf numFmtId="0" fontId="108" fillId="0" borderId="1" xfId="0" applyFont="1" applyBorder="1" applyAlignment="1">
      <alignment horizontal="center" vertical="center"/>
    </xf>
    <xf numFmtId="0" fontId="44" fillId="0" borderId="0" xfId="1" applyNumberFormat="1" applyFont="1" applyAlignment="1" applyProtection="1">
      <alignment horizontal="center"/>
    </xf>
    <xf numFmtId="165" fontId="44" fillId="0" borderId="51" xfId="1" applyNumberFormat="1" applyFont="1" applyBorder="1" applyAlignment="1" applyProtection="1">
      <alignment horizontal="center" vertical="top"/>
    </xf>
    <xf numFmtId="0" fontId="116" fillId="0" borderId="0" xfId="1" applyNumberFormat="1" applyFont="1" applyAlignment="1" applyProtection="1">
      <alignment horizontal="center"/>
    </xf>
    <xf numFmtId="165" fontId="116" fillId="0" borderId="51" xfId="1" applyNumberFormat="1" applyFont="1" applyBorder="1" applyAlignment="1" applyProtection="1">
      <alignment horizontal="center" vertical="top"/>
    </xf>
    <xf numFmtId="0" fontId="110" fillId="2" borderId="0" xfId="1" applyNumberFormat="1" applyFont="1" applyFill="1" applyAlignment="1" applyProtection="1">
      <alignment horizontal="center"/>
    </xf>
    <xf numFmtId="165" fontId="110" fillId="2" borderId="51" xfId="1" applyNumberFormat="1" applyFont="1" applyFill="1" applyBorder="1" applyAlignment="1" applyProtection="1">
      <alignment horizontal="center" vertical="top"/>
    </xf>
    <xf numFmtId="0" fontId="116" fillId="2" borderId="0" xfId="1" applyNumberFormat="1" applyFont="1" applyFill="1" applyAlignment="1" applyProtection="1">
      <alignment horizontal="center"/>
    </xf>
    <xf numFmtId="165" fontId="116" fillId="2" borderId="51" xfId="1" applyNumberFormat="1" applyFont="1" applyFill="1" applyBorder="1" applyAlignment="1" applyProtection="1">
      <alignment horizontal="center" vertical="top"/>
    </xf>
    <xf numFmtId="0" fontId="97" fillId="0" borderId="0" xfId="1" applyNumberFormat="1" applyFont="1" applyAlignment="1" applyProtection="1">
      <alignment horizontal="center"/>
    </xf>
    <xf numFmtId="165" fontId="97" fillId="0" borderId="51" xfId="1" applyNumberFormat="1" applyFont="1" applyBorder="1" applyAlignment="1" applyProtection="1">
      <alignment horizontal="center" vertical="top"/>
    </xf>
    <xf numFmtId="0" fontId="108" fillId="3" borderId="14" xfId="0" applyFont="1" applyFill="1" applyBorder="1" applyAlignment="1">
      <alignment horizontal="center"/>
    </xf>
    <xf numFmtId="0" fontId="44" fillId="0" borderId="51" xfId="1" applyNumberFormat="1" applyFont="1" applyBorder="1" applyAlignment="1" applyProtection="1">
      <alignment horizontal="center" vertical="top"/>
    </xf>
    <xf numFmtId="165" fontId="44" fillId="0" borderId="43" xfId="1" applyNumberFormat="1" applyFont="1" applyBorder="1" applyAlignment="1" applyProtection="1">
      <alignment horizontal="center" vertical="top"/>
    </xf>
    <xf numFmtId="43" fontId="44" fillId="0" borderId="65" xfId="1" applyFont="1" applyBorder="1" applyAlignment="1" applyProtection="1">
      <alignment horizontal="center" vertical="top"/>
    </xf>
    <xf numFmtId="169" fontId="44" fillId="0" borderId="46" xfId="0" applyNumberFormat="1" applyFont="1" applyBorder="1" applyAlignment="1">
      <alignment horizontal="center"/>
    </xf>
    <xf numFmtId="0" fontId="116" fillId="0" borderId="51" xfId="1" applyNumberFormat="1" applyFont="1" applyBorder="1" applyAlignment="1" applyProtection="1">
      <alignment horizontal="center" vertical="top"/>
    </xf>
    <xf numFmtId="165" fontId="116" fillId="0" borderId="43" xfId="1" applyNumberFormat="1" applyFont="1" applyBorder="1" applyAlignment="1" applyProtection="1">
      <alignment horizontal="center" vertical="top"/>
    </xf>
    <xf numFmtId="43" fontId="116" fillId="0" borderId="65" xfId="1" applyFont="1" applyBorder="1" applyAlignment="1" applyProtection="1">
      <alignment horizontal="center" vertical="top"/>
    </xf>
    <xf numFmtId="169" fontId="116" fillId="0" borderId="46" xfId="0" applyNumberFormat="1" applyFont="1" applyBorder="1" applyAlignment="1">
      <alignment horizontal="center"/>
    </xf>
    <xf numFmtId="0" fontId="110" fillId="2" borderId="51" xfId="1" applyNumberFormat="1" applyFont="1" applyFill="1" applyBorder="1" applyAlignment="1" applyProtection="1">
      <alignment horizontal="center" vertical="top"/>
    </xf>
    <xf numFmtId="165" fontId="110" fillId="2" borderId="43" xfId="1" applyNumberFormat="1" applyFont="1" applyFill="1" applyBorder="1" applyAlignment="1" applyProtection="1">
      <alignment horizontal="center" vertical="top"/>
    </xf>
    <xf numFmtId="43" fontId="110" fillId="2" borderId="65" xfId="1" applyFont="1" applyFill="1" applyBorder="1" applyAlignment="1" applyProtection="1">
      <alignment horizontal="center" vertical="top"/>
    </xf>
    <xf numFmtId="169" fontId="110" fillId="2" borderId="46" xfId="0" applyNumberFormat="1" applyFont="1" applyFill="1" applyBorder="1" applyAlignment="1">
      <alignment horizontal="center"/>
    </xf>
    <xf numFmtId="0" fontId="116" fillId="2" borderId="51" xfId="1" applyNumberFormat="1" applyFont="1" applyFill="1" applyBorder="1" applyAlignment="1" applyProtection="1">
      <alignment horizontal="center" vertical="top"/>
    </xf>
    <xf numFmtId="165" fontId="116" fillId="2" borderId="43" xfId="1" applyNumberFormat="1" applyFont="1" applyFill="1" applyBorder="1" applyAlignment="1" applyProtection="1">
      <alignment horizontal="center" vertical="top"/>
    </xf>
    <xf numFmtId="169" fontId="116" fillId="2" borderId="46" xfId="0" applyNumberFormat="1" applyFont="1" applyFill="1" applyBorder="1" applyAlignment="1">
      <alignment horizontal="center"/>
    </xf>
    <xf numFmtId="169" fontId="116" fillId="2" borderId="65" xfId="1" applyNumberFormat="1" applyFont="1" applyFill="1" applyBorder="1" applyAlignment="1" applyProtection="1">
      <alignment vertical="top"/>
    </xf>
    <xf numFmtId="0" fontId="97" fillId="0" borderId="51" xfId="1" applyNumberFormat="1" applyFont="1" applyBorder="1" applyAlignment="1" applyProtection="1">
      <alignment horizontal="center" vertical="top"/>
    </xf>
    <xf numFmtId="165" fontId="97" fillId="0" borderId="43" xfId="1" applyNumberFormat="1" applyFont="1" applyBorder="1" applyAlignment="1" applyProtection="1">
      <alignment horizontal="center" vertical="top"/>
    </xf>
    <xf numFmtId="43" fontId="97" fillId="0" borderId="65" xfId="1" applyFont="1" applyBorder="1" applyAlignment="1" applyProtection="1">
      <alignment horizontal="center" vertical="top"/>
    </xf>
    <xf numFmtId="169" fontId="97" fillId="0" borderId="46" xfId="0" applyNumberFormat="1" applyFont="1" applyBorder="1" applyAlignment="1">
      <alignment horizontal="center"/>
    </xf>
    <xf numFmtId="0" fontId="94" fillId="0" borderId="1" xfId="0" applyFont="1" applyBorder="1" applyAlignment="1">
      <alignment horizontal="left"/>
    </xf>
    <xf numFmtId="0" fontId="95" fillId="0" borderId="4" xfId="0" applyFont="1" applyBorder="1" applyAlignment="1">
      <alignment horizontal="center"/>
    </xf>
    <xf numFmtId="0" fontId="95" fillId="0" borderId="2" xfId="0" applyFont="1" applyBorder="1" applyAlignment="1">
      <alignment horizontal="center"/>
    </xf>
    <xf numFmtId="14" fontId="96" fillId="0" borderId="14" xfId="0" applyNumberFormat="1" applyFont="1" applyBorder="1" applyAlignment="1">
      <alignment horizontal="center"/>
    </xf>
    <xf numFmtId="1" fontId="180" fillId="3" borderId="2" xfId="0" applyNumberFormat="1" applyFont="1" applyFill="1" applyBorder="1" applyAlignment="1">
      <alignment horizontal="center"/>
    </xf>
    <xf numFmtId="14" fontId="179" fillId="3" borderId="15" xfId="0" applyNumberFormat="1" applyFont="1" applyFill="1" applyBorder="1" applyAlignment="1">
      <alignment horizontal="center"/>
    </xf>
    <xf numFmtId="0" fontId="180" fillId="3" borderId="0" xfId="0" applyFont="1" applyFill="1" applyAlignment="1">
      <alignment horizontal="center"/>
    </xf>
    <xf numFmtId="0" fontId="181" fillId="3" borderId="1" xfId="0" applyFont="1" applyFill="1" applyBorder="1" applyAlignment="1">
      <alignment horizontal="center"/>
    </xf>
    <xf numFmtId="0" fontId="181" fillId="3" borderId="2" xfId="0" applyFont="1" applyFill="1" applyBorder="1" applyAlignment="1">
      <alignment horizontal="center"/>
    </xf>
    <xf numFmtId="43" fontId="154" fillId="0" borderId="0" xfId="1" applyFont="1" applyAlignment="1" applyProtection="1">
      <alignment horizontal="center" vertical="top"/>
    </xf>
    <xf numFmtId="43" fontId="105" fillId="0" borderId="0" xfId="1" applyFont="1" applyAlignment="1" applyProtection="1">
      <alignment horizontal="center" vertical="top"/>
    </xf>
    <xf numFmtId="0" fontId="154" fillId="0" borderId="14" xfId="0" applyFont="1" applyBorder="1" applyAlignment="1"/>
    <xf numFmtId="165" fontId="154" fillId="0" borderId="2" xfId="1" applyNumberFormat="1" applyFont="1" applyBorder="1" applyAlignment="1" applyProtection="1">
      <alignment horizontal="center" vertical="top"/>
    </xf>
    <xf numFmtId="165" fontId="105" fillId="2" borderId="3" xfId="1" applyNumberFormat="1" applyFont="1" applyFill="1" applyBorder="1" applyAlignment="1" applyProtection="1">
      <alignment horizontal="center" vertical="top"/>
    </xf>
    <xf numFmtId="0" fontId="181" fillId="0" borderId="59" xfId="0" applyFont="1" applyBorder="1" applyAlignment="1">
      <alignment horizontal="center"/>
    </xf>
    <xf numFmtId="0" fontId="181" fillId="0" borderId="61" xfId="0" applyFont="1" applyBorder="1" applyAlignment="1">
      <alignment horizontal="center"/>
    </xf>
    <xf numFmtId="0" fontId="16" fillId="3" borderId="40" xfId="0" applyFont="1" applyFill="1" applyBorder="1" applyAlignment="1">
      <alignment horizontal="center" vertical="center"/>
    </xf>
    <xf numFmtId="0" fontId="16" fillId="3" borderId="58" xfId="0" applyFont="1" applyFill="1" applyBorder="1" applyAlignment="1">
      <alignment horizontal="center" vertical="center"/>
    </xf>
    <xf numFmtId="169" fontId="90" fillId="0" borderId="34" xfId="0" applyNumberFormat="1" applyFont="1" applyBorder="1" applyAlignment="1">
      <alignment horizontal="center"/>
    </xf>
    <xf numFmtId="169" fontId="90" fillId="0" borderId="52" xfId="1" applyNumberFormat="1" applyFont="1" applyBorder="1" applyAlignment="1" applyProtection="1">
      <alignment horizontal="center"/>
    </xf>
    <xf numFmtId="0" fontId="90" fillId="0" borderId="1" xfId="0" applyFont="1" applyBorder="1" applyAlignment="1">
      <alignment horizontal="center"/>
    </xf>
    <xf numFmtId="0" fontId="90" fillId="0" borderId="3" xfId="1" applyNumberFormat="1" applyFont="1" applyBorder="1" applyAlignment="1" applyProtection="1">
      <alignment horizontal="center"/>
    </xf>
    <xf numFmtId="0" fontId="181" fillId="3" borderId="15" xfId="0" applyFont="1" applyFill="1" applyBorder="1" applyAlignment="1">
      <alignment horizontal="center"/>
    </xf>
    <xf numFmtId="0" fontId="181" fillId="3" borderId="0" xfId="0" applyFont="1" applyFill="1" applyAlignment="1">
      <alignment horizontal="center"/>
    </xf>
    <xf numFmtId="0" fontId="105" fillId="2" borderId="3" xfId="1" applyNumberFormat="1" applyFont="1" applyFill="1" applyBorder="1" applyAlignment="1" applyProtection="1">
      <alignment horizontal="center" vertical="top"/>
    </xf>
    <xf numFmtId="0" fontId="181" fillId="0" borderId="66" xfId="0" applyFont="1" applyBorder="1" applyAlignment="1">
      <alignment horizontal="center"/>
    </xf>
    <xf numFmtId="0" fontId="16" fillId="3" borderId="58" xfId="0" applyFont="1" applyFill="1" applyBorder="1" applyAlignment="1">
      <alignment horizontal="center"/>
    </xf>
    <xf numFmtId="0" fontId="16" fillId="3" borderId="64" xfId="0" applyFont="1" applyFill="1" applyBorder="1" applyAlignment="1">
      <alignment horizontal="center"/>
    </xf>
    <xf numFmtId="169" fontId="90" fillId="0" borderId="58" xfId="1" applyNumberFormat="1" applyFont="1" applyBorder="1" applyAlignment="1" applyProtection="1">
      <alignment horizontal="left"/>
    </xf>
    <xf numFmtId="169" fontId="90" fillId="0" borderId="64" xfId="1" applyNumberFormat="1" applyFont="1" applyBorder="1" applyAlignment="1" applyProtection="1">
      <alignment horizontal="center"/>
    </xf>
    <xf numFmtId="169" fontId="90" fillId="0" borderId="48" xfId="1" applyNumberFormat="1" applyFont="1" applyBorder="1" applyAlignment="1" applyProtection="1">
      <alignment horizontal="center"/>
    </xf>
    <xf numFmtId="169" fontId="90" fillId="0" borderId="62" xfId="1" applyNumberFormat="1" applyFont="1" applyBorder="1" applyAlignment="1" applyProtection="1">
      <alignment horizontal="center"/>
    </xf>
    <xf numFmtId="43" fontId="90" fillId="0" borderId="15" xfId="1" applyFont="1" applyBorder="1" applyAlignment="1" applyProtection="1">
      <alignment horizontal="center"/>
    </xf>
    <xf numFmtId="43" fontId="181" fillId="3" borderId="0" xfId="1" applyFont="1" applyFill="1" applyAlignment="1" applyProtection="1">
      <alignment horizontal="center"/>
    </xf>
    <xf numFmtId="0" fontId="105" fillId="0" borderId="11" xfId="1" applyNumberFormat="1" applyFont="1" applyBorder="1" applyAlignment="1" applyProtection="1">
      <alignment horizontal="center" vertical="top"/>
    </xf>
    <xf numFmtId="43" fontId="105" fillId="0" borderId="0" xfId="1" applyFont="1" applyAlignment="1" applyProtection="1">
      <alignment horizontal="center"/>
    </xf>
    <xf numFmtId="0" fontId="181" fillId="3" borderId="14" xfId="1" applyNumberFormat="1" applyFont="1" applyFill="1" applyBorder="1" applyAlignment="1" applyProtection="1">
      <alignment horizontal="center"/>
    </xf>
    <xf numFmtId="165" fontId="181" fillId="3" borderId="14" xfId="1" applyNumberFormat="1" applyFont="1" applyFill="1" applyBorder="1" applyAlignment="1" applyProtection="1">
      <alignment horizontal="center" vertical="top"/>
    </xf>
    <xf numFmtId="0" fontId="105" fillId="0" borderId="0" xfId="1" applyNumberFormat="1" applyFont="1" applyAlignment="1" applyProtection="1">
      <alignment horizontal="center"/>
    </xf>
    <xf numFmtId="43" fontId="87" fillId="0" borderId="0" xfId="1" applyFont="1" applyAlignment="1" applyProtection="1">
      <alignment horizontal="center" vertical="top"/>
    </xf>
    <xf numFmtId="0" fontId="0" fillId="0" borderId="0" xfId="0" applyAlignment="1">
      <alignment vertical="center" wrapText="1"/>
    </xf>
    <xf numFmtId="169" fontId="87" fillId="0" borderId="45" xfId="0" applyNumberFormat="1" applyFont="1" applyBorder="1" applyAlignment="1">
      <alignment horizontal="center"/>
    </xf>
    <xf numFmtId="0" fontId="90" fillId="0" borderId="0" xfId="1" applyNumberFormat="1" applyFont="1" applyAlignment="1" applyProtection="1">
      <alignment horizontal="center" vertical="top"/>
    </xf>
    <xf numFmtId="0" fontId="90" fillId="0" borderId="30" xfId="1" applyNumberFormat="1" applyFont="1" applyBorder="1" applyAlignment="1" applyProtection="1">
      <alignment horizontal="center" vertical="top"/>
    </xf>
    <xf numFmtId="0" fontId="181" fillId="3" borderId="14" xfId="1" applyNumberFormat="1" applyFont="1" applyFill="1" applyBorder="1" applyAlignment="1" applyProtection="1">
      <alignment horizontal="center" vertical="top"/>
    </xf>
    <xf numFmtId="0" fontId="87" fillId="2" borderId="0" xfId="1" applyNumberFormat="1" applyFont="1" applyFill="1" applyAlignment="1" applyProtection="1">
      <alignment horizontal="center"/>
    </xf>
    <xf numFmtId="169" fontId="87" fillId="0" borderId="0" xfId="0" applyNumberFormat="1" applyFont="1" applyAlignment="1">
      <alignment horizontal="center"/>
    </xf>
    <xf numFmtId="165" fontId="105" fillId="2" borderId="14" xfId="1" applyNumberFormat="1" applyFont="1" applyFill="1" applyBorder="1" applyAlignment="1" applyProtection="1">
      <alignment horizontal="center" vertical="top"/>
    </xf>
    <xf numFmtId="165" fontId="44" fillId="0" borderId="0" xfId="1" applyNumberFormat="1" applyFont="1" applyAlignment="1" applyProtection="1">
      <alignment horizontal="center" vertical="top"/>
    </xf>
    <xf numFmtId="165" fontId="87" fillId="0" borderId="0" xfId="1" applyNumberFormat="1" applyFont="1" applyAlignment="1" applyProtection="1">
      <alignment horizontal="center" vertical="top"/>
    </xf>
    <xf numFmtId="165" fontId="154" fillId="0" borderId="32" xfId="0" applyNumberFormat="1" applyFont="1" applyBorder="1" applyAlignment="1">
      <alignment horizontal="center"/>
    </xf>
    <xf numFmtId="0" fontId="6" fillId="0" borderId="0" xfId="0" applyFont="1" applyAlignment="1"/>
    <xf numFmtId="165" fontId="105" fillId="0" borderId="14" xfId="0" applyNumberFormat="1" applyFont="1" applyBorder="1" applyAlignment="1">
      <alignment horizontal="center"/>
    </xf>
    <xf numFmtId="0" fontId="105" fillId="0" borderId="0" xfId="0" applyFont="1" applyAlignment="1"/>
    <xf numFmtId="3" fontId="126" fillId="0" borderId="0" xfId="0" applyNumberFormat="1" applyFont="1" applyAlignment="1"/>
    <xf numFmtId="0" fontId="12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17" fontId="105" fillId="0" borderId="0" xfId="0" applyNumberFormat="1" applyFont="1" applyAlignment="1"/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89" fillId="0" borderId="6" xfId="0" applyFont="1" applyBorder="1" applyAlignment="1">
      <alignment horizontal="center" vertical="center"/>
    </xf>
    <xf numFmtId="0" fontId="189" fillId="0" borderId="9" xfId="0" applyFont="1" applyBorder="1" applyAlignment="1">
      <alignment horizontal="center" vertical="center"/>
    </xf>
    <xf numFmtId="0" fontId="194" fillId="12" borderId="11" xfId="0" applyFont="1" applyFill="1" applyBorder="1" applyAlignment="1">
      <alignment horizontal="center" vertical="center" wrapText="1"/>
    </xf>
    <xf numFmtId="0" fontId="195" fillId="13" borderId="12" xfId="0" applyFont="1" applyFill="1" applyBorder="1" applyAlignment="1">
      <alignment horizontal="center" vertical="center" wrapText="1"/>
    </xf>
    <xf numFmtId="0" fontId="194" fillId="14" borderId="12" xfId="0" applyFont="1" applyFill="1" applyBorder="1" applyAlignment="1">
      <alignment horizontal="center" vertical="center" wrapText="1"/>
    </xf>
    <xf numFmtId="0" fontId="194" fillId="15" borderId="12" xfId="0" applyFont="1" applyFill="1" applyBorder="1" applyAlignment="1">
      <alignment horizontal="center" vertical="center" wrapText="1"/>
    </xf>
    <xf numFmtId="0" fontId="192" fillId="0" borderId="23" xfId="0" applyFont="1" applyBorder="1" applyAlignment="1">
      <alignment horizontal="center" vertical="center"/>
    </xf>
    <xf numFmtId="0" fontId="194" fillId="0" borderId="23" xfId="0" applyFont="1" applyBorder="1" applyAlignment="1">
      <alignment horizontal="center" vertical="center"/>
    </xf>
    <xf numFmtId="0" fontId="189" fillId="12" borderId="85" xfId="0" applyFont="1" applyFill="1" applyBorder="1" applyAlignment="1">
      <alignment horizontal="center" vertical="center"/>
    </xf>
    <xf numFmtId="0" fontId="189" fillId="13" borderId="57" xfId="0" applyFont="1" applyFill="1" applyBorder="1" applyAlignment="1">
      <alignment horizontal="center" vertical="center"/>
    </xf>
    <xf numFmtId="0" fontId="22" fillId="14" borderId="57" xfId="0" applyFont="1" applyFill="1" applyBorder="1" applyAlignment="1">
      <alignment horizontal="center" vertical="center"/>
    </xf>
    <xf numFmtId="0" fontId="108" fillId="15" borderId="57" xfId="0" applyFont="1" applyFill="1" applyBorder="1" applyAlignment="1">
      <alignment horizontal="center" vertical="center"/>
    </xf>
    <xf numFmtId="0" fontId="192" fillId="0" borderId="43" xfId="0" applyFont="1" applyBorder="1" applyAlignment="1">
      <alignment horizontal="center" vertical="center"/>
    </xf>
    <xf numFmtId="0" fontId="194" fillId="0" borderId="56" xfId="0" applyFont="1" applyBorder="1" applyAlignment="1">
      <alignment horizontal="center" vertical="center"/>
    </xf>
    <xf numFmtId="0" fontId="189" fillId="12" borderId="70" xfId="0" applyFont="1" applyFill="1" applyBorder="1" applyAlignment="1">
      <alignment horizontal="center" vertical="center"/>
    </xf>
    <xf numFmtId="0" fontId="189" fillId="13" borderId="72" xfId="0" applyFont="1" applyFill="1" applyBorder="1" applyAlignment="1">
      <alignment horizontal="center" vertical="center"/>
    </xf>
    <xf numFmtId="0" fontId="22" fillId="14" borderId="72" xfId="0" applyFont="1" applyFill="1" applyBorder="1" applyAlignment="1">
      <alignment horizontal="center" vertical="center"/>
    </xf>
    <xf numFmtId="0" fontId="108" fillId="15" borderId="72" xfId="0" applyFont="1" applyFill="1" applyBorder="1" applyAlignment="1">
      <alignment horizontal="center" vertical="center"/>
    </xf>
    <xf numFmtId="0" fontId="194" fillId="0" borderId="45" xfId="0" applyFont="1" applyBorder="1" applyAlignment="1">
      <alignment horizontal="center" vertical="center"/>
    </xf>
    <xf numFmtId="0" fontId="189" fillId="12" borderId="83" xfId="0" applyFont="1" applyFill="1" applyBorder="1" applyAlignment="1">
      <alignment horizontal="center" vertical="center"/>
    </xf>
    <xf numFmtId="0" fontId="189" fillId="13" borderId="61" xfId="0" applyFont="1" applyFill="1" applyBorder="1" applyAlignment="1">
      <alignment horizontal="center" vertical="center"/>
    </xf>
    <xf numFmtId="0" fontId="22" fillId="14" borderId="61" xfId="0" applyFont="1" applyFill="1" applyBorder="1" applyAlignment="1">
      <alignment horizontal="center" vertical="center"/>
    </xf>
    <xf numFmtId="0" fontId="108" fillId="15" borderId="61" xfId="0" applyFont="1" applyFill="1" applyBorder="1" applyAlignment="1">
      <alignment horizontal="center" vertical="center"/>
    </xf>
    <xf numFmtId="0" fontId="194" fillId="0" borderId="39" xfId="0" applyFont="1" applyBorder="1" applyAlignment="1">
      <alignment horizontal="center" vertical="center"/>
    </xf>
    <xf numFmtId="0" fontId="189" fillId="12" borderId="40" xfId="0" applyFont="1" applyFill="1" applyBorder="1" applyAlignment="1">
      <alignment horizontal="center" vertical="center"/>
    </xf>
    <xf numFmtId="0" fontId="189" fillId="13" borderId="58" xfId="0" applyFont="1" applyFill="1" applyBorder="1" applyAlignment="1">
      <alignment horizontal="center" vertical="center"/>
    </xf>
    <xf numFmtId="0" fontId="22" fillId="14" borderId="58" xfId="0" applyFont="1" applyFill="1" applyBorder="1" applyAlignment="1">
      <alignment horizontal="center" vertical="center"/>
    </xf>
    <xf numFmtId="0" fontId="108" fillId="15" borderId="58" xfId="0" applyFont="1" applyFill="1" applyBorder="1" applyAlignment="1">
      <alignment horizontal="center" vertical="center"/>
    </xf>
    <xf numFmtId="0" fontId="194" fillId="0" borderId="49" xfId="0" applyFont="1" applyBorder="1" applyAlignment="1">
      <alignment horizontal="center" vertical="center"/>
    </xf>
    <xf numFmtId="0" fontId="22" fillId="15" borderId="61" xfId="0" applyFont="1" applyFill="1" applyBorder="1" applyAlignment="1">
      <alignment horizontal="center" vertical="center"/>
    </xf>
    <xf numFmtId="0" fontId="22" fillId="15" borderId="58" xfId="0" applyFont="1" applyFill="1" applyBorder="1" applyAlignment="1">
      <alignment horizontal="center" vertical="center"/>
    </xf>
    <xf numFmtId="0" fontId="22" fillId="15" borderId="57" xfId="0" applyFont="1" applyFill="1" applyBorder="1" applyAlignment="1">
      <alignment horizontal="center" vertical="center"/>
    </xf>
    <xf numFmtId="0" fontId="192" fillId="0" borderId="32" xfId="0" applyFont="1" applyBorder="1" applyAlignment="1">
      <alignment horizontal="center" vertical="center"/>
    </xf>
    <xf numFmtId="0" fontId="189" fillId="12" borderId="52" xfId="0" applyFont="1" applyFill="1" applyBorder="1" applyAlignment="1">
      <alignment horizontal="center" vertical="center"/>
    </xf>
    <xf numFmtId="0" fontId="189" fillId="13" borderId="55" xfId="0" applyFont="1" applyFill="1" applyBorder="1" applyAlignment="1">
      <alignment horizontal="center" vertical="center"/>
    </xf>
    <xf numFmtId="0" fontId="22" fillId="14" borderId="55" xfId="0" applyFont="1" applyFill="1" applyBorder="1" applyAlignment="1">
      <alignment horizontal="center" vertical="center"/>
    </xf>
    <xf numFmtId="0" fontId="22" fillId="15" borderId="55" xfId="0" applyFont="1" applyFill="1" applyBorder="1" applyAlignment="1">
      <alignment horizontal="center" vertical="center"/>
    </xf>
    <xf numFmtId="0" fontId="194" fillId="0" borderId="37" xfId="0" applyFont="1" applyBorder="1" applyAlignment="1">
      <alignment horizontal="center" vertical="center"/>
    </xf>
    <xf numFmtId="0" fontId="14" fillId="12" borderId="27" xfId="0" applyFont="1" applyFill="1" applyBorder="1" applyAlignment="1">
      <alignment horizontal="center" vertical="center"/>
    </xf>
    <xf numFmtId="0" fontId="14" fillId="13" borderId="57" xfId="0" applyFont="1" applyFill="1" applyBorder="1" applyAlignment="1">
      <alignment horizontal="center" vertical="center"/>
    </xf>
    <xf numFmtId="0" fontId="12" fillId="14" borderId="57" xfId="0" applyFont="1" applyFill="1" applyBorder="1" applyAlignment="1">
      <alignment horizontal="center" vertical="center"/>
    </xf>
    <xf numFmtId="0" fontId="14" fillId="15" borderId="57" xfId="0" applyFont="1" applyFill="1" applyBorder="1" applyAlignment="1">
      <alignment horizontal="center" vertical="center"/>
    </xf>
    <xf numFmtId="0" fontId="192" fillId="0" borderId="10" xfId="0" applyFont="1" applyBorder="1" applyAlignment="1">
      <alignment horizontal="center" vertical="center"/>
    </xf>
    <xf numFmtId="0" fontId="189" fillId="13" borderId="72" xfId="0" applyFont="1" applyFill="1" applyBorder="1">
      <alignment vertical="center"/>
    </xf>
    <xf numFmtId="0" fontId="189" fillId="12" borderId="27" xfId="0" applyFont="1" applyFill="1" applyBorder="1" applyAlignment="1">
      <alignment horizontal="center" vertical="center"/>
    </xf>
    <xf numFmtId="0" fontId="189" fillId="13" borderId="57" xfId="0" applyFont="1" applyFill="1" applyBorder="1">
      <alignment vertical="center"/>
    </xf>
    <xf numFmtId="0" fontId="192" fillId="0" borderId="56" xfId="0" applyFont="1" applyBorder="1" applyAlignment="1">
      <alignment horizontal="center" vertical="center"/>
    </xf>
    <xf numFmtId="0" fontId="189" fillId="13" borderId="58" xfId="0" applyFont="1" applyFill="1" applyBorder="1">
      <alignment vertical="center"/>
    </xf>
    <xf numFmtId="0" fontId="192" fillId="0" borderId="14" xfId="0" applyFont="1" applyBorder="1" applyAlignment="1">
      <alignment horizontal="center" vertical="center"/>
    </xf>
    <xf numFmtId="0" fontId="194" fillId="0" borderId="32" xfId="0" applyFont="1" applyBorder="1" applyAlignment="1">
      <alignment horizontal="center" vertical="center"/>
    </xf>
    <xf numFmtId="0" fontId="22" fillId="15" borderId="72" xfId="0" applyFont="1" applyFill="1" applyBorder="1" applyAlignment="1">
      <alignment horizontal="center" vertical="center"/>
    </xf>
    <xf numFmtId="0" fontId="189" fillId="13" borderId="61" xfId="0" applyFont="1" applyFill="1" applyBorder="1">
      <alignment vertical="center"/>
    </xf>
    <xf numFmtId="0" fontId="194" fillId="0" borderId="46" xfId="0" applyFont="1" applyBorder="1" applyAlignment="1">
      <alignment horizontal="center" vertical="center"/>
    </xf>
    <xf numFmtId="0" fontId="189" fillId="12" borderId="54" xfId="0" applyFont="1" applyFill="1" applyBorder="1" applyAlignment="1">
      <alignment horizontal="center" vertical="center"/>
    </xf>
    <xf numFmtId="0" fontId="189" fillId="13" borderId="55" xfId="0" applyFont="1" applyFill="1" applyBorder="1">
      <alignment vertical="center"/>
    </xf>
    <xf numFmtId="0" fontId="189" fillId="12" borderId="27" xfId="0" applyFont="1" applyFill="1" applyBorder="1">
      <alignment vertical="center"/>
    </xf>
    <xf numFmtId="0" fontId="192" fillId="0" borderId="9" xfId="0" applyFont="1" applyBorder="1" applyAlignment="1">
      <alignment horizontal="center" vertical="center"/>
    </xf>
    <xf numFmtId="0" fontId="194" fillId="16" borderId="12" xfId="0" applyFont="1" applyFill="1" applyBorder="1" applyAlignment="1">
      <alignment horizontal="center" vertical="center" wrapText="1"/>
    </xf>
    <xf numFmtId="0" fontId="194" fillId="17" borderId="12" xfId="0" applyFont="1" applyFill="1" applyBorder="1" applyAlignment="1">
      <alignment horizontal="center" vertical="center" wrapText="1"/>
    </xf>
    <xf numFmtId="0" fontId="194" fillId="3" borderId="12" xfId="0" applyFont="1" applyFill="1" applyBorder="1" applyAlignment="1">
      <alignment horizontal="center" vertical="center" wrapText="1"/>
    </xf>
    <xf numFmtId="0" fontId="194" fillId="18" borderId="12" xfId="0" applyFont="1" applyFill="1" applyBorder="1" applyAlignment="1">
      <alignment horizontal="center" vertical="center" wrapText="1"/>
    </xf>
    <xf numFmtId="0" fontId="194" fillId="19" borderId="12" xfId="0" applyFont="1" applyFill="1" applyBorder="1" applyAlignment="1">
      <alignment horizontal="center" vertical="center" wrapText="1"/>
    </xf>
    <xf numFmtId="0" fontId="194" fillId="20" borderId="12" xfId="0" applyFont="1" applyFill="1" applyBorder="1" applyAlignment="1">
      <alignment horizontal="center" vertical="center" wrapText="1"/>
    </xf>
    <xf numFmtId="0" fontId="108" fillId="16" borderId="57" xfId="0" applyFont="1" applyFill="1" applyBorder="1" applyAlignment="1">
      <alignment horizontal="center" vertical="center"/>
    </xf>
    <xf numFmtId="0" fontId="108" fillId="17" borderId="57" xfId="0" applyFont="1" applyFill="1" applyBorder="1" applyAlignment="1">
      <alignment horizontal="center" vertical="center"/>
    </xf>
    <xf numFmtId="0" fontId="108" fillId="3" borderId="57" xfId="0" applyFont="1" applyFill="1" applyBorder="1" applyAlignment="1">
      <alignment horizontal="center" vertical="center"/>
    </xf>
    <xf numFmtId="0" fontId="108" fillId="14" borderId="57" xfId="0" applyFont="1" applyFill="1" applyBorder="1" applyAlignment="1">
      <alignment horizontal="center" vertical="center"/>
    </xf>
    <xf numFmtId="0" fontId="108" fillId="18" borderId="57" xfId="0" applyFont="1" applyFill="1" applyBorder="1" applyAlignment="1">
      <alignment horizontal="center" vertical="center"/>
    </xf>
    <xf numFmtId="0" fontId="22" fillId="19" borderId="57" xfId="0" applyFont="1" applyFill="1" applyBorder="1" applyAlignment="1">
      <alignment horizontal="center" vertical="center"/>
    </xf>
    <xf numFmtId="0" fontId="22" fillId="20" borderId="57" xfId="0" applyFont="1" applyFill="1" applyBorder="1" applyAlignment="1">
      <alignment horizontal="center" vertical="center"/>
    </xf>
    <xf numFmtId="0" fontId="108" fillId="16" borderId="72" xfId="0" applyFont="1" applyFill="1" applyBorder="1" applyAlignment="1">
      <alignment horizontal="center" vertical="center"/>
    </xf>
    <xf numFmtId="0" fontId="108" fillId="17" borderId="72" xfId="0" applyFont="1" applyFill="1" applyBorder="1" applyAlignment="1">
      <alignment horizontal="center" vertical="center"/>
    </xf>
    <xf numFmtId="0" fontId="108" fillId="3" borderId="72" xfId="0" applyFont="1" applyFill="1" applyBorder="1" applyAlignment="1">
      <alignment horizontal="center" vertical="center"/>
    </xf>
    <xf numFmtId="0" fontId="108" fillId="14" borderId="72" xfId="0" applyFont="1" applyFill="1" applyBorder="1" applyAlignment="1">
      <alignment horizontal="center" vertical="center"/>
    </xf>
    <xf numFmtId="0" fontId="196" fillId="18" borderId="72" xfId="0" applyFont="1" applyFill="1" applyBorder="1" applyAlignment="1">
      <alignment horizontal="center" vertical="center"/>
    </xf>
    <xf numFmtId="0" fontId="22" fillId="19" borderId="72" xfId="0" applyFont="1" applyFill="1" applyBorder="1" applyAlignment="1">
      <alignment horizontal="center" vertical="center"/>
    </xf>
    <xf numFmtId="0" fontId="22" fillId="20" borderId="72" xfId="0" applyFont="1" applyFill="1" applyBorder="1" applyAlignment="1">
      <alignment horizontal="center" vertical="center"/>
    </xf>
    <xf numFmtId="0" fontId="108" fillId="16" borderId="61" xfId="0" applyFont="1" applyFill="1" applyBorder="1" applyAlignment="1">
      <alignment horizontal="center" vertical="center"/>
    </xf>
    <xf numFmtId="0" fontId="108" fillId="17" borderId="61" xfId="0" applyFont="1" applyFill="1" applyBorder="1" applyAlignment="1">
      <alignment horizontal="center" vertical="center"/>
    </xf>
    <xf numFmtId="0" fontId="108" fillId="3" borderId="61" xfId="0" applyFont="1" applyFill="1" applyBorder="1" applyAlignment="1">
      <alignment horizontal="center" vertical="center"/>
    </xf>
    <xf numFmtId="0" fontId="108" fillId="14" borderId="61" xfId="0" applyFont="1" applyFill="1" applyBorder="1" applyAlignment="1">
      <alignment horizontal="center" vertical="center"/>
    </xf>
    <xf numFmtId="0" fontId="22" fillId="18" borderId="61" xfId="0" applyFont="1" applyFill="1" applyBorder="1" applyAlignment="1">
      <alignment horizontal="center" vertical="center"/>
    </xf>
    <xf numFmtId="0" fontId="22" fillId="19" borderId="61" xfId="0" applyFont="1" applyFill="1" applyBorder="1" applyAlignment="1">
      <alignment horizontal="center" vertical="center"/>
    </xf>
    <xf numFmtId="0" fontId="22" fillId="20" borderId="61" xfId="0" applyFont="1" applyFill="1" applyBorder="1" applyAlignment="1">
      <alignment horizontal="center" vertical="center"/>
    </xf>
    <xf numFmtId="0" fontId="108" fillId="16" borderId="58" xfId="0" applyFont="1" applyFill="1" applyBorder="1" applyAlignment="1">
      <alignment horizontal="center" vertical="center"/>
    </xf>
    <xf numFmtId="0" fontId="108" fillId="17" borderId="58" xfId="0" applyFont="1" applyFill="1" applyBorder="1" applyAlignment="1">
      <alignment horizontal="center" vertical="center"/>
    </xf>
    <xf numFmtId="0" fontId="108" fillId="3" borderId="58" xfId="0" applyFont="1" applyFill="1" applyBorder="1" applyAlignment="1">
      <alignment horizontal="center" vertical="center"/>
    </xf>
    <xf numFmtId="0" fontId="108" fillId="14" borderId="58" xfId="0" applyFont="1" applyFill="1" applyBorder="1" applyAlignment="1">
      <alignment horizontal="center" vertical="center"/>
    </xf>
    <xf numFmtId="0" fontId="108" fillId="18" borderId="58" xfId="0" applyFont="1" applyFill="1" applyBorder="1" applyAlignment="1">
      <alignment horizontal="center" vertical="center"/>
    </xf>
    <xf numFmtId="0" fontId="22" fillId="19" borderId="58" xfId="0" applyFont="1" applyFill="1" applyBorder="1" applyAlignment="1">
      <alignment horizontal="center" vertical="center"/>
    </xf>
    <xf numFmtId="0" fontId="22" fillId="20" borderId="58" xfId="0" applyFont="1" applyFill="1" applyBorder="1" applyAlignment="1">
      <alignment horizontal="center" vertical="center"/>
    </xf>
    <xf numFmtId="0" fontId="22" fillId="18" borderId="58" xfId="0" applyFont="1" applyFill="1" applyBorder="1" applyAlignment="1">
      <alignment horizontal="center" vertical="center"/>
    </xf>
    <xf numFmtId="0" fontId="22" fillId="18" borderId="57" xfId="0" applyFont="1" applyFill="1" applyBorder="1" applyAlignment="1">
      <alignment horizontal="center" vertical="center"/>
    </xf>
    <xf numFmtId="0" fontId="22" fillId="18" borderId="72" xfId="0" applyFont="1" applyFill="1" applyBorder="1" applyAlignment="1">
      <alignment horizontal="center" vertical="center"/>
    </xf>
    <xf numFmtId="0" fontId="22" fillId="16" borderId="61" xfId="0" applyFont="1" applyFill="1" applyBorder="1" applyAlignment="1">
      <alignment horizontal="center" vertical="center"/>
    </xf>
    <xf numFmtId="0" fontId="22" fillId="17" borderId="61" xfId="0" applyFont="1" applyFill="1" applyBorder="1" applyAlignment="1">
      <alignment horizontal="center" vertical="center"/>
    </xf>
    <xf numFmtId="0" fontId="22" fillId="3" borderId="61" xfId="0" applyFont="1" applyFill="1" applyBorder="1" applyAlignment="1">
      <alignment horizontal="center" vertical="center"/>
    </xf>
    <xf numFmtId="0" fontId="22" fillId="16" borderId="58" xfId="0" applyFont="1" applyFill="1" applyBorder="1" applyAlignment="1">
      <alignment horizontal="center" vertical="center"/>
    </xf>
    <xf numFmtId="0" fontId="22" fillId="17" borderId="58" xfId="0" applyFont="1" applyFill="1" applyBorder="1" applyAlignment="1">
      <alignment horizontal="center" vertical="center"/>
    </xf>
    <xf numFmtId="0" fontId="22" fillId="3" borderId="58" xfId="0" applyFont="1" applyFill="1" applyBorder="1" applyAlignment="1">
      <alignment horizontal="center" vertical="center"/>
    </xf>
    <xf numFmtId="0" fontId="22" fillId="16" borderId="57" xfId="0" applyFont="1" applyFill="1" applyBorder="1" applyAlignment="1">
      <alignment horizontal="center" vertical="center"/>
    </xf>
    <xf numFmtId="0" fontId="22" fillId="17" borderId="57" xfId="0" applyFont="1" applyFill="1" applyBorder="1" applyAlignment="1">
      <alignment horizontal="center" vertical="center"/>
    </xf>
    <xf numFmtId="0" fontId="22" fillId="3" borderId="57" xfId="0" applyFont="1" applyFill="1" applyBorder="1" applyAlignment="1">
      <alignment horizontal="center" vertical="center"/>
    </xf>
    <xf numFmtId="0" fontId="22" fillId="16" borderId="55" xfId="0" applyFont="1" applyFill="1" applyBorder="1" applyAlignment="1">
      <alignment horizontal="center" vertical="center"/>
    </xf>
    <xf numFmtId="0" fontId="22" fillId="17" borderId="55" xfId="0" applyFont="1" applyFill="1" applyBorder="1" applyAlignment="1">
      <alignment horizontal="center" vertical="center"/>
    </xf>
    <xf numFmtId="0" fontId="22" fillId="3" borderId="55" xfId="0" applyFont="1" applyFill="1" applyBorder="1" applyAlignment="1">
      <alignment horizontal="center" vertical="center"/>
    </xf>
    <xf numFmtId="0" fontId="22" fillId="18" borderId="55" xfId="0" applyFont="1" applyFill="1" applyBorder="1" applyAlignment="1">
      <alignment horizontal="center" vertical="center"/>
    </xf>
    <xf numFmtId="0" fontId="22" fillId="19" borderId="55" xfId="0" applyFont="1" applyFill="1" applyBorder="1" applyAlignment="1">
      <alignment horizontal="center" vertical="center"/>
    </xf>
    <xf numFmtId="0" fontId="22" fillId="20" borderId="55" xfId="0" applyFont="1" applyFill="1" applyBorder="1" applyAlignment="1">
      <alignment horizontal="center" vertical="center"/>
    </xf>
    <xf numFmtId="0" fontId="14" fillId="16" borderId="57" xfId="0" applyFont="1" applyFill="1" applyBorder="1" applyAlignment="1">
      <alignment horizontal="center" vertical="center"/>
    </xf>
    <xf numFmtId="0" fontId="14" fillId="17" borderId="57" xfId="0" applyFont="1" applyFill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/>
    </xf>
    <xf numFmtId="0" fontId="12" fillId="18" borderId="57" xfId="0" applyFont="1" applyFill="1" applyBorder="1" applyAlignment="1">
      <alignment horizontal="center" vertical="center"/>
    </xf>
    <xf numFmtId="0" fontId="14" fillId="19" borderId="57" xfId="0" applyFont="1" applyFill="1" applyBorder="1" applyAlignment="1">
      <alignment horizontal="center" vertical="center"/>
    </xf>
    <xf numFmtId="0" fontId="14" fillId="20" borderId="57" xfId="0" applyFont="1" applyFill="1" applyBorder="1" applyAlignment="1">
      <alignment horizontal="center" vertical="center"/>
    </xf>
    <xf numFmtId="0" fontId="22" fillId="17" borderId="72" xfId="0" applyFont="1" applyFill="1" applyBorder="1" applyAlignment="1">
      <alignment horizontal="center" vertical="center"/>
    </xf>
    <xf numFmtId="0" fontId="22" fillId="3" borderId="72" xfId="0" applyFont="1" applyFill="1" applyBorder="1" applyAlignment="1">
      <alignment horizontal="center" vertical="center"/>
    </xf>
    <xf numFmtId="0" fontId="22" fillId="16" borderId="72" xfId="0" applyFont="1" applyFill="1" applyBorder="1" applyAlignment="1">
      <alignment horizontal="center" vertical="center"/>
    </xf>
    <xf numFmtId="0" fontId="108" fillId="18" borderId="61" xfId="0" applyFont="1" applyFill="1" applyBorder="1" applyAlignment="1">
      <alignment horizontal="center" vertical="center"/>
    </xf>
    <xf numFmtId="0" fontId="108" fillId="17" borderId="55" xfId="0" applyFont="1" applyFill="1" applyBorder="1" applyAlignment="1">
      <alignment horizontal="center" vertical="center"/>
    </xf>
    <xf numFmtId="0" fontId="108" fillId="3" borderId="55" xfId="0" applyFont="1" applyFill="1" applyBorder="1" applyAlignment="1">
      <alignment horizontal="center" vertical="center"/>
    </xf>
    <xf numFmtId="0" fontId="108" fillId="14" borderId="55" xfId="0" applyFont="1" applyFill="1" applyBorder="1" applyAlignment="1">
      <alignment horizontal="center" vertical="center"/>
    </xf>
    <xf numFmtId="0" fontId="108" fillId="18" borderId="55" xfId="0" applyFont="1" applyFill="1" applyBorder="1" applyAlignment="1">
      <alignment horizontal="center" vertical="center"/>
    </xf>
    <xf numFmtId="0" fontId="108" fillId="3" borderId="57" xfId="0" applyFont="1" applyFill="1" applyBorder="1">
      <alignment vertical="center"/>
    </xf>
    <xf numFmtId="0" fontId="108" fillId="18" borderId="57" xfId="0" applyFont="1" applyFill="1" applyBorder="1">
      <alignment vertical="center"/>
    </xf>
    <xf numFmtId="0" fontId="108" fillId="18" borderId="72" xfId="0" applyFont="1" applyFill="1" applyBorder="1" applyAlignment="1">
      <alignment horizontal="center" vertical="center"/>
    </xf>
    <xf numFmtId="0" fontId="194" fillId="21" borderId="12" xfId="0" applyFont="1" applyFill="1" applyBorder="1" applyAlignment="1">
      <alignment horizontal="center" vertical="center" wrapText="1"/>
    </xf>
    <xf numFmtId="0" fontId="197" fillId="22" borderId="12" xfId="0" applyFont="1" applyFill="1" applyBorder="1" applyAlignment="1">
      <alignment horizontal="center" vertical="center" wrapText="1"/>
    </xf>
    <xf numFmtId="0" fontId="194" fillId="6" borderId="12" xfId="0" applyFont="1" applyFill="1" applyBorder="1" applyAlignment="1">
      <alignment horizontal="center" vertical="center" wrapText="1"/>
    </xf>
    <xf numFmtId="0" fontId="194" fillId="23" borderId="13" xfId="0" applyFont="1" applyFill="1" applyBorder="1" applyAlignment="1">
      <alignment horizontal="center" vertical="center" wrapText="1"/>
    </xf>
    <xf numFmtId="0" fontId="194" fillId="24" borderId="13" xfId="0" applyFont="1" applyFill="1" applyBorder="1" applyAlignment="1">
      <alignment horizontal="center" vertical="center"/>
    </xf>
    <xf numFmtId="0" fontId="197" fillId="16" borderId="13" xfId="0" applyFont="1" applyFill="1" applyBorder="1" applyAlignment="1">
      <alignment horizontal="center" vertical="center"/>
    </xf>
    <xf numFmtId="0" fontId="22" fillId="21" borderId="57" xfId="0" applyFont="1" applyFill="1" applyBorder="1" applyAlignment="1">
      <alignment horizontal="center" vertical="center"/>
    </xf>
    <xf numFmtId="0" fontId="198" fillId="22" borderId="57" xfId="0" applyFont="1" applyFill="1" applyBorder="1" applyAlignment="1">
      <alignment horizontal="center" vertical="center"/>
    </xf>
    <xf numFmtId="0" fontId="22" fillId="6" borderId="57" xfId="0" applyFont="1" applyFill="1" applyBorder="1" applyAlignment="1">
      <alignment horizontal="center" vertical="center"/>
    </xf>
    <xf numFmtId="0" fontId="22" fillId="23" borderId="38" xfId="0" applyFont="1" applyFill="1" applyBorder="1" applyAlignment="1">
      <alignment horizontal="center" vertical="center"/>
    </xf>
    <xf numFmtId="0" fontId="189" fillId="24" borderId="38" xfId="0" applyFont="1" applyFill="1" applyBorder="1" applyAlignment="1">
      <alignment horizontal="center" vertical="center"/>
    </xf>
    <xf numFmtId="0" fontId="198" fillId="16" borderId="38" xfId="0" applyFont="1" applyFill="1" applyBorder="1" applyAlignment="1">
      <alignment horizontal="center" vertical="center"/>
    </xf>
    <xf numFmtId="0" fontId="22" fillId="21" borderId="72" xfId="0" applyFont="1" applyFill="1" applyBorder="1" applyAlignment="1">
      <alignment horizontal="center" vertical="center"/>
    </xf>
    <xf numFmtId="0" fontId="198" fillId="22" borderId="72" xfId="0" applyFont="1" applyFill="1" applyBorder="1" applyAlignment="1">
      <alignment horizontal="center" vertical="center"/>
    </xf>
    <xf numFmtId="0" fontId="22" fillId="6" borderId="72" xfId="0" applyFont="1" applyFill="1" applyBorder="1" applyAlignment="1">
      <alignment horizontal="center" vertical="center"/>
    </xf>
    <xf numFmtId="0" fontId="22" fillId="23" borderId="71" xfId="0" applyFont="1" applyFill="1" applyBorder="1" applyAlignment="1">
      <alignment horizontal="center" vertical="center"/>
    </xf>
    <xf numFmtId="0" fontId="189" fillId="24" borderId="71" xfId="0" applyFont="1" applyFill="1" applyBorder="1" applyAlignment="1">
      <alignment horizontal="center" vertical="center"/>
    </xf>
    <xf numFmtId="0" fontId="198" fillId="16" borderId="71" xfId="0" applyFont="1" applyFill="1" applyBorder="1" applyAlignment="1">
      <alignment horizontal="center" vertical="center"/>
    </xf>
    <xf numFmtId="0" fontId="22" fillId="21" borderId="61" xfId="0" applyFont="1" applyFill="1" applyBorder="1" applyAlignment="1">
      <alignment horizontal="center" vertical="center"/>
    </xf>
    <xf numFmtId="0" fontId="198" fillId="22" borderId="61" xfId="0" applyFont="1" applyFill="1" applyBorder="1" applyAlignment="1">
      <alignment horizontal="center" vertical="center"/>
    </xf>
    <xf numFmtId="0" fontId="22" fillId="6" borderId="61" xfId="0" applyFont="1" applyFill="1" applyBorder="1" applyAlignment="1">
      <alignment horizontal="center" vertical="center"/>
    </xf>
    <xf numFmtId="0" fontId="22" fillId="23" borderId="60" xfId="0" applyFont="1" applyFill="1" applyBorder="1" applyAlignment="1">
      <alignment horizontal="center" vertical="center"/>
    </xf>
    <xf numFmtId="0" fontId="189" fillId="24" borderId="60" xfId="0" applyFont="1" applyFill="1" applyBorder="1" applyAlignment="1">
      <alignment horizontal="center" vertical="center"/>
    </xf>
    <xf numFmtId="0" fontId="198" fillId="16" borderId="60" xfId="0" applyFont="1" applyFill="1" applyBorder="1" applyAlignment="1">
      <alignment horizontal="center" vertical="center"/>
    </xf>
    <xf numFmtId="0" fontId="189" fillId="12" borderId="59" xfId="0" applyFont="1" applyFill="1" applyBorder="1" applyAlignment="1">
      <alignment horizontal="center" vertical="center"/>
    </xf>
    <xf numFmtId="0" fontId="22" fillId="21" borderId="58" xfId="0" applyFont="1" applyFill="1" applyBorder="1" applyAlignment="1">
      <alignment horizontal="center" vertical="center"/>
    </xf>
    <xf numFmtId="0" fontId="198" fillId="22" borderId="58" xfId="0" applyFont="1" applyFill="1" applyBorder="1" applyAlignment="1">
      <alignment horizontal="center" vertical="center"/>
    </xf>
    <xf numFmtId="0" fontId="22" fillId="6" borderId="58" xfId="0" applyFont="1" applyFill="1" applyBorder="1" applyAlignment="1">
      <alignment horizontal="center" vertical="center"/>
    </xf>
    <xf numFmtId="0" fontId="22" fillId="23" borderId="41" xfId="0" applyFont="1" applyFill="1" applyBorder="1" applyAlignment="1">
      <alignment horizontal="center" vertical="center"/>
    </xf>
    <xf numFmtId="0" fontId="189" fillId="24" borderId="41" xfId="0" applyFont="1" applyFill="1" applyBorder="1" applyAlignment="1">
      <alignment horizontal="center" vertical="center"/>
    </xf>
    <xf numFmtId="0" fontId="198" fillId="16" borderId="41" xfId="0" applyFont="1" applyFill="1" applyBorder="1" applyAlignment="1">
      <alignment horizontal="center" vertical="center"/>
    </xf>
    <xf numFmtId="0" fontId="22" fillId="21" borderId="55" xfId="0" applyFont="1" applyFill="1" applyBorder="1" applyAlignment="1">
      <alignment horizontal="center" vertical="center"/>
    </xf>
    <xf numFmtId="0" fontId="198" fillId="22" borderId="55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0" fontId="22" fillId="23" borderId="53" xfId="0" applyFont="1" applyFill="1" applyBorder="1" applyAlignment="1">
      <alignment horizontal="center" vertical="center"/>
    </xf>
    <xf numFmtId="0" fontId="189" fillId="24" borderId="62" xfId="0" applyFont="1" applyFill="1" applyBorder="1" applyAlignment="1">
      <alignment horizontal="center" vertical="center"/>
    </xf>
    <xf numFmtId="0" fontId="198" fillId="16" borderId="62" xfId="0" applyFont="1" applyFill="1" applyBorder="1" applyAlignment="1">
      <alignment horizontal="center" vertical="center"/>
    </xf>
    <xf numFmtId="0" fontId="14" fillId="21" borderId="57" xfId="0" applyFont="1" applyFill="1" applyBorder="1" applyAlignment="1">
      <alignment horizontal="center" vertical="center"/>
    </xf>
    <xf numFmtId="0" fontId="199" fillId="22" borderId="57" xfId="0" applyFont="1" applyFill="1" applyBorder="1" applyAlignment="1">
      <alignment horizontal="center" vertical="center"/>
    </xf>
    <xf numFmtId="0" fontId="14" fillId="6" borderId="57" xfId="0" applyFont="1" applyFill="1" applyBorder="1" applyAlignment="1">
      <alignment horizontal="center" vertical="center"/>
    </xf>
    <xf numFmtId="0" fontId="14" fillId="23" borderId="38" xfId="0" applyFont="1" applyFill="1" applyBorder="1" applyAlignment="1">
      <alignment horizontal="center" vertical="center"/>
    </xf>
    <xf numFmtId="0" fontId="14" fillId="24" borderId="63" xfId="0" applyFont="1" applyFill="1" applyBorder="1" applyAlignment="1">
      <alignment horizontal="center" vertical="center"/>
    </xf>
    <xf numFmtId="0" fontId="199" fillId="16" borderId="63" xfId="0" applyFont="1" applyFill="1" applyBorder="1" applyAlignment="1">
      <alignment horizontal="center" vertical="center"/>
    </xf>
    <xf numFmtId="0" fontId="22" fillId="23" borderId="57" xfId="0" applyFont="1" applyFill="1" applyBorder="1" applyAlignment="1">
      <alignment horizontal="center" vertical="center"/>
    </xf>
    <xf numFmtId="0" fontId="189" fillId="24" borderId="57" xfId="0" applyFont="1" applyFill="1" applyBorder="1" applyAlignment="1">
      <alignment horizontal="center" vertical="center"/>
    </xf>
    <xf numFmtId="0" fontId="198" fillId="16" borderId="57" xfId="0" applyFont="1" applyFill="1" applyBorder="1" applyAlignment="1">
      <alignment horizontal="center" vertical="center"/>
    </xf>
    <xf numFmtId="0" fontId="189" fillId="12" borderId="57" xfId="0" applyFont="1" applyFill="1" applyBorder="1" applyAlignment="1">
      <alignment horizontal="center" vertical="center"/>
    </xf>
    <xf numFmtId="0" fontId="22" fillId="23" borderId="72" xfId="0" applyFont="1" applyFill="1" applyBorder="1" applyAlignment="1">
      <alignment horizontal="center" vertical="center"/>
    </xf>
    <xf numFmtId="0" fontId="189" fillId="24" borderId="72" xfId="0" applyFont="1" applyFill="1" applyBorder="1" applyAlignment="1">
      <alignment horizontal="center" vertical="center"/>
    </xf>
    <xf numFmtId="0" fontId="198" fillId="16" borderId="72" xfId="0" applyFont="1" applyFill="1" applyBorder="1" applyAlignment="1">
      <alignment horizontal="center" vertical="center"/>
    </xf>
    <xf numFmtId="0" fontId="189" fillId="12" borderId="72" xfId="0" applyFont="1" applyFill="1" applyBorder="1" applyAlignment="1">
      <alignment horizontal="center" vertical="center"/>
    </xf>
    <xf numFmtId="0" fontId="189" fillId="24" borderId="53" xfId="0" applyFont="1" applyFill="1" applyBorder="1" applyAlignment="1">
      <alignment horizontal="center" vertical="center"/>
    </xf>
    <xf numFmtId="0" fontId="198" fillId="16" borderId="53" xfId="0" applyFont="1" applyFill="1" applyBorder="1" applyAlignment="1">
      <alignment horizontal="center" vertical="center"/>
    </xf>
    <xf numFmtId="0" fontId="108" fillId="21" borderId="57" xfId="0" applyFont="1" applyFill="1" applyBorder="1" applyAlignment="1">
      <alignment horizontal="center" vertical="center"/>
    </xf>
    <xf numFmtId="0" fontId="198" fillId="22" borderId="57" xfId="0" applyFont="1" applyFill="1" applyBorder="1">
      <alignment vertical="center"/>
    </xf>
    <xf numFmtId="0" fontId="189" fillId="24" borderId="63" xfId="0" applyFont="1" applyFill="1" applyBorder="1" applyAlignment="1">
      <alignment horizontal="center" vertical="center"/>
    </xf>
    <xf numFmtId="0" fontId="198" fillId="16" borderId="63" xfId="0" applyFont="1" applyFill="1" applyBorder="1" applyAlignment="1">
      <alignment horizontal="center" vertical="center"/>
    </xf>
    <xf numFmtId="0" fontId="189" fillId="24" borderId="73" xfId="0" applyFont="1" applyFill="1" applyBorder="1" applyAlignment="1">
      <alignment horizontal="center" vertical="center"/>
    </xf>
    <xf numFmtId="0" fontId="198" fillId="16" borderId="73" xfId="0" applyFont="1" applyFill="1" applyBorder="1" applyAlignment="1">
      <alignment horizontal="center" vertical="center"/>
    </xf>
    <xf numFmtId="0" fontId="197" fillId="16" borderId="12" xfId="0" applyFont="1" applyFill="1" applyBorder="1" applyAlignment="1">
      <alignment horizontal="center" vertical="center" wrapText="1"/>
    </xf>
    <xf numFmtId="0" fontId="189" fillId="14" borderId="57" xfId="0" applyFont="1" applyFill="1" applyBorder="1" applyAlignment="1">
      <alignment horizontal="center" vertical="center"/>
    </xf>
    <xf numFmtId="0" fontId="189" fillId="15" borderId="4" xfId="0" applyFont="1" applyFill="1" applyBorder="1" applyAlignment="1">
      <alignment horizontal="center" vertical="center"/>
    </xf>
    <xf numFmtId="0" fontId="198" fillId="16" borderId="4" xfId="0" applyFont="1" applyFill="1" applyBorder="1" applyAlignment="1">
      <alignment horizontal="center" vertical="center"/>
    </xf>
    <xf numFmtId="0" fontId="189" fillId="17" borderId="4" xfId="0" applyFont="1" applyFill="1" applyBorder="1" applyAlignment="1">
      <alignment horizontal="center" vertical="center"/>
    </xf>
    <xf numFmtId="0" fontId="189" fillId="3" borderId="57" xfId="0" applyFont="1" applyFill="1" applyBorder="1" applyAlignment="1">
      <alignment horizontal="center" vertical="center"/>
    </xf>
    <xf numFmtId="0" fontId="189" fillId="19" borderId="57" xfId="0" applyFont="1" applyFill="1" applyBorder="1" applyAlignment="1">
      <alignment horizontal="center" vertical="center"/>
    </xf>
    <xf numFmtId="0" fontId="189" fillId="14" borderId="72" xfId="0" applyFont="1" applyFill="1" applyBorder="1" applyAlignment="1">
      <alignment horizontal="center" vertical="center"/>
    </xf>
    <xf numFmtId="0" fontId="189" fillId="15" borderId="8" xfId="0" applyFont="1" applyFill="1" applyBorder="1" applyAlignment="1">
      <alignment horizontal="center" vertical="center"/>
    </xf>
    <xf numFmtId="0" fontId="198" fillId="16" borderId="8" xfId="0" applyFont="1" applyFill="1" applyBorder="1" applyAlignment="1">
      <alignment horizontal="center" vertical="center"/>
    </xf>
    <xf numFmtId="0" fontId="189" fillId="17" borderId="8" xfId="0" applyFont="1" applyFill="1" applyBorder="1" applyAlignment="1">
      <alignment horizontal="center" vertical="center"/>
    </xf>
    <xf numFmtId="0" fontId="189" fillId="3" borderId="72" xfId="0" applyFont="1" applyFill="1" applyBorder="1" applyAlignment="1">
      <alignment horizontal="center" vertical="center"/>
    </xf>
    <xf numFmtId="0" fontId="189" fillId="19" borderId="72" xfId="0" applyFont="1" applyFill="1" applyBorder="1" applyAlignment="1">
      <alignment horizontal="center" vertical="center"/>
    </xf>
    <xf numFmtId="0" fontId="189" fillId="14" borderId="61" xfId="0" applyFont="1" applyFill="1" applyBorder="1" applyAlignment="1">
      <alignment horizontal="center" vertical="center"/>
    </xf>
    <xf numFmtId="0" fontId="189" fillId="15" borderId="61" xfId="0" applyFont="1" applyFill="1" applyBorder="1" applyAlignment="1">
      <alignment horizontal="center" vertical="center"/>
    </xf>
    <xf numFmtId="0" fontId="198" fillId="16" borderId="61" xfId="0" applyFont="1" applyFill="1" applyBorder="1" applyAlignment="1">
      <alignment horizontal="center" vertical="center"/>
    </xf>
    <xf numFmtId="0" fontId="189" fillId="17" borderId="61" xfId="0" applyFont="1" applyFill="1" applyBorder="1" applyAlignment="1">
      <alignment horizontal="center" vertical="center"/>
    </xf>
    <xf numFmtId="0" fontId="189" fillId="3" borderId="61" xfId="0" applyFont="1" applyFill="1" applyBorder="1" applyAlignment="1">
      <alignment horizontal="center" vertical="center"/>
    </xf>
    <xf numFmtId="0" fontId="189" fillId="19" borderId="61" xfId="0" applyFont="1" applyFill="1" applyBorder="1" applyAlignment="1">
      <alignment horizontal="center" vertical="center"/>
    </xf>
    <xf numFmtId="0" fontId="189" fillId="14" borderId="58" xfId="0" applyFont="1" applyFill="1" applyBorder="1" applyAlignment="1">
      <alignment horizontal="center" vertical="center"/>
    </xf>
    <xf numFmtId="0" fontId="189" fillId="15" borderId="58" xfId="0" applyFont="1" applyFill="1" applyBorder="1" applyAlignment="1">
      <alignment horizontal="center" vertical="center"/>
    </xf>
    <xf numFmtId="0" fontId="198" fillId="16" borderId="58" xfId="0" applyFont="1" applyFill="1" applyBorder="1" applyAlignment="1">
      <alignment horizontal="center" vertical="center"/>
    </xf>
    <xf numFmtId="0" fontId="189" fillId="17" borderId="58" xfId="0" applyFont="1" applyFill="1" applyBorder="1" applyAlignment="1">
      <alignment horizontal="center" vertical="center"/>
    </xf>
    <xf numFmtId="0" fontId="189" fillId="3" borderId="58" xfId="0" applyFont="1" applyFill="1" applyBorder="1" applyAlignment="1">
      <alignment horizontal="center" vertical="center"/>
    </xf>
    <xf numFmtId="0" fontId="189" fillId="19" borderId="58" xfId="0" applyFont="1" applyFill="1" applyBorder="1" applyAlignment="1">
      <alignment horizontal="center" vertical="center"/>
    </xf>
    <xf numFmtId="0" fontId="189" fillId="15" borderId="57" xfId="0" applyFont="1" applyFill="1" applyBorder="1" applyAlignment="1">
      <alignment horizontal="center" vertical="center"/>
    </xf>
    <xf numFmtId="0" fontId="189" fillId="17" borderId="57" xfId="0" applyFont="1" applyFill="1" applyBorder="1" applyAlignment="1">
      <alignment horizontal="center" vertical="center"/>
    </xf>
    <xf numFmtId="0" fontId="189" fillId="15" borderId="72" xfId="0" applyFont="1" applyFill="1" applyBorder="1" applyAlignment="1">
      <alignment horizontal="center" vertical="center"/>
    </xf>
    <xf numFmtId="0" fontId="189" fillId="17" borderId="72" xfId="0" applyFont="1" applyFill="1" applyBorder="1" applyAlignment="1">
      <alignment horizontal="center" vertical="center"/>
    </xf>
    <xf numFmtId="0" fontId="189" fillId="14" borderId="55" xfId="0" applyFont="1" applyFill="1" applyBorder="1" applyAlignment="1">
      <alignment horizontal="center" vertical="center"/>
    </xf>
    <xf numFmtId="0" fontId="189" fillId="15" borderId="55" xfId="0" applyFont="1" applyFill="1" applyBorder="1" applyAlignment="1">
      <alignment horizontal="center" vertical="center"/>
    </xf>
    <xf numFmtId="0" fontId="198" fillId="16" borderId="55" xfId="0" applyFont="1" applyFill="1" applyBorder="1" applyAlignment="1">
      <alignment horizontal="center" vertical="center"/>
    </xf>
    <xf numFmtId="0" fontId="189" fillId="17" borderId="55" xfId="0" applyFont="1" applyFill="1" applyBorder="1" applyAlignment="1">
      <alignment horizontal="center" vertical="center"/>
    </xf>
    <xf numFmtId="0" fontId="189" fillId="3" borderId="55" xfId="0" applyFont="1" applyFill="1" applyBorder="1" applyAlignment="1">
      <alignment horizontal="center" vertical="center"/>
    </xf>
    <xf numFmtId="0" fontId="189" fillId="19" borderId="55" xfId="0" applyFont="1" applyFill="1" applyBorder="1" applyAlignment="1">
      <alignment horizontal="center" vertical="center"/>
    </xf>
    <xf numFmtId="0" fontId="199" fillId="16" borderId="57" xfId="0" applyFont="1" applyFill="1" applyBorder="1" applyAlignment="1">
      <alignment horizontal="center" vertical="center"/>
    </xf>
    <xf numFmtId="0" fontId="189" fillId="15" borderId="57" xfId="0" applyFont="1" applyFill="1" applyBorder="1">
      <alignment vertical="center"/>
    </xf>
    <xf numFmtId="0" fontId="198" fillId="16" borderId="57" xfId="0" applyFont="1" applyFill="1" applyBorder="1">
      <alignment vertical="center"/>
    </xf>
    <xf numFmtId="0" fontId="108" fillId="14" borderId="57" xfId="0" applyFont="1" applyFill="1" applyBorder="1">
      <alignment vertical="center"/>
    </xf>
    <xf numFmtId="0" fontId="22" fillId="18" borderId="57" xfId="0" applyFont="1" applyFill="1" applyBorder="1">
      <alignment vertical="center"/>
    </xf>
    <xf numFmtId="0" fontId="189" fillId="3" borderId="57" xfId="0" applyFont="1" applyFill="1" applyBorder="1">
      <alignment vertical="center"/>
    </xf>
    <xf numFmtId="0" fontId="189" fillId="20" borderId="57" xfId="0" applyFont="1" applyFill="1" applyBorder="1" applyAlignment="1">
      <alignment horizontal="center" vertical="center"/>
    </xf>
    <xf numFmtId="0" fontId="189" fillId="6" borderId="57" xfId="0" applyFont="1" applyFill="1" applyBorder="1" applyAlignment="1">
      <alignment horizontal="center" vertical="center"/>
    </xf>
    <xf numFmtId="0" fontId="189" fillId="23" borderId="38" xfId="0" applyFont="1" applyFill="1" applyBorder="1" applyAlignment="1">
      <alignment horizontal="center" vertical="center"/>
    </xf>
    <xf numFmtId="0" fontId="189" fillId="20" borderId="72" xfId="0" applyFont="1" applyFill="1" applyBorder="1" applyAlignment="1">
      <alignment horizontal="center" vertical="center"/>
    </xf>
    <xf numFmtId="0" fontId="189" fillId="6" borderId="72" xfId="0" applyFont="1" applyFill="1" applyBorder="1" applyAlignment="1">
      <alignment horizontal="center" vertical="center"/>
    </xf>
    <xf numFmtId="0" fontId="189" fillId="23" borderId="71" xfId="0" applyFont="1" applyFill="1" applyBorder="1" applyAlignment="1">
      <alignment horizontal="center" vertical="center"/>
    </xf>
    <xf numFmtId="0" fontId="189" fillId="20" borderId="61" xfId="0" applyFont="1" applyFill="1" applyBorder="1" applyAlignment="1">
      <alignment horizontal="center" vertical="center"/>
    </xf>
    <xf numFmtId="0" fontId="189" fillId="6" borderId="61" xfId="0" applyFont="1" applyFill="1" applyBorder="1" applyAlignment="1">
      <alignment horizontal="center" vertical="center"/>
    </xf>
    <xf numFmtId="0" fontId="189" fillId="23" borderId="60" xfId="0" applyFont="1" applyFill="1" applyBorder="1" applyAlignment="1">
      <alignment horizontal="center" vertical="center"/>
    </xf>
    <xf numFmtId="0" fontId="189" fillId="24" borderId="66" xfId="0" applyFont="1" applyFill="1" applyBorder="1" applyAlignment="1">
      <alignment horizontal="center" vertical="center"/>
    </xf>
    <xf numFmtId="0" fontId="198" fillId="16" borderId="66" xfId="0" applyFont="1" applyFill="1" applyBorder="1" applyAlignment="1">
      <alignment horizontal="center" vertical="center"/>
    </xf>
    <xf numFmtId="0" fontId="189" fillId="20" borderId="58" xfId="0" applyFont="1" applyFill="1" applyBorder="1" applyAlignment="1">
      <alignment horizontal="center" vertical="center"/>
    </xf>
    <xf numFmtId="0" fontId="189" fillId="6" borderId="58" xfId="0" applyFont="1" applyFill="1" applyBorder="1" applyAlignment="1">
      <alignment horizontal="center" vertical="center"/>
    </xf>
    <xf numFmtId="0" fontId="189" fillId="23" borderId="41" xfId="0" applyFont="1" applyFill="1" applyBorder="1" applyAlignment="1">
      <alignment horizontal="center" vertical="center"/>
    </xf>
    <xf numFmtId="0" fontId="189" fillId="24" borderId="64" xfId="0" applyFont="1" applyFill="1" applyBorder="1" applyAlignment="1">
      <alignment horizontal="center" vertical="center"/>
    </xf>
    <xf numFmtId="0" fontId="198" fillId="16" borderId="64" xfId="0" applyFont="1" applyFill="1" applyBorder="1" applyAlignment="1">
      <alignment horizontal="center" vertical="center"/>
    </xf>
    <xf numFmtId="0" fontId="189" fillId="20" borderId="55" xfId="0" applyFont="1" applyFill="1" applyBorder="1" applyAlignment="1">
      <alignment horizontal="center" vertical="center"/>
    </xf>
    <xf numFmtId="0" fontId="189" fillId="6" borderId="55" xfId="0" applyFont="1" applyFill="1" applyBorder="1" applyAlignment="1">
      <alignment horizontal="center" vertical="center"/>
    </xf>
    <xf numFmtId="0" fontId="189" fillId="23" borderId="53" xfId="0" applyFont="1" applyFill="1" applyBorder="1" applyAlignment="1">
      <alignment horizontal="center" vertical="center"/>
    </xf>
    <xf numFmtId="0" fontId="189" fillId="23" borderId="57" xfId="0" applyFont="1" applyFill="1" applyBorder="1" applyAlignment="1">
      <alignment horizontal="center" vertical="center"/>
    </xf>
    <xf numFmtId="0" fontId="189" fillId="23" borderId="72" xfId="0" applyFont="1" applyFill="1" applyBorder="1" applyAlignment="1">
      <alignment horizontal="center" vertical="center"/>
    </xf>
    <xf numFmtId="0" fontId="189" fillId="6" borderId="57" xfId="0" applyFont="1" applyFill="1" applyBorder="1">
      <alignment vertical="center"/>
    </xf>
    <xf numFmtId="0" fontId="189" fillId="23" borderId="38" xfId="0" applyFont="1" applyFill="1" applyBorder="1">
      <alignment vertical="center"/>
    </xf>
    <xf numFmtId="0" fontId="128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14" fontId="200" fillId="0" borderId="0" xfId="0" applyNumberFormat="1" applyFont="1" applyAlignment="1">
      <alignment horizontal="center"/>
    </xf>
    <xf numFmtId="0" fontId="197" fillId="22" borderId="18" xfId="0" applyFont="1" applyFill="1" applyBorder="1" applyAlignment="1">
      <alignment horizontal="center" vertical="center" wrapText="1"/>
    </xf>
    <xf numFmtId="0" fontId="197" fillId="16" borderId="18" xfId="0" applyFont="1" applyFill="1" applyBorder="1" applyAlignment="1">
      <alignment horizontal="center" vertical="center"/>
    </xf>
    <xf numFmtId="0" fontId="105" fillId="0" borderId="25" xfId="0" applyFont="1" applyBorder="1" applyAlignment="1">
      <alignment horizontal="center" vertical="justify"/>
    </xf>
    <xf numFmtId="0" fontId="105" fillId="0" borderId="9" xfId="0" applyFont="1" applyBorder="1" applyAlignment="1">
      <alignment horizontal="center" vertical="justify"/>
    </xf>
    <xf numFmtId="0" fontId="200" fillId="0" borderId="14" xfId="0" applyFont="1" applyBorder="1" applyAlignment="1">
      <alignment horizontal="center" vertical="center"/>
    </xf>
    <xf numFmtId="0" fontId="198" fillId="22" borderId="63" xfId="0" applyFont="1" applyFill="1" applyBorder="1" applyAlignment="1">
      <alignment horizontal="center" vertical="center"/>
    </xf>
    <xf numFmtId="0" fontId="200" fillId="0" borderId="45" xfId="0" applyFont="1" applyBorder="1" applyAlignment="1">
      <alignment horizontal="center" vertical="center"/>
    </xf>
    <xf numFmtId="0" fontId="200" fillId="0" borderId="23" xfId="0" applyFont="1" applyBorder="1" applyAlignment="1">
      <alignment horizontal="center" vertical="center"/>
    </xf>
    <xf numFmtId="0" fontId="189" fillId="12" borderId="86" xfId="0" applyFont="1" applyFill="1" applyBorder="1" applyAlignment="1">
      <alignment horizontal="center" vertical="center"/>
    </xf>
    <xf numFmtId="0" fontId="198" fillId="22" borderId="73" xfId="0" applyFont="1" applyFill="1" applyBorder="1" applyAlignment="1">
      <alignment horizontal="center" vertical="center"/>
    </xf>
    <xf numFmtId="0" fontId="200" fillId="0" borderId="56" xfId="0" applyFont="1" applyBorder="1" applyAlignment="1">
      <alignment horizontal="center" vertical="center"/>
    </xf>
    <xf numFmtId="0" fontId="198" fillId="22" borderId="66" xfId="0" applyFont="1" applyFill="1" applyBorder="1" applyAlignment="1">
      <alignment horizontal="center" vertical="center"/>
    </xf>
    <xf numFmtId="0" fontId="189" fillId="12" borderId="82" xfId="0" applyFont="1" applyFill="1" applyBorder="1" applyAlignment="1">
      <alignment horizontal="center" vertical="center"/>
    </xf>
    <xf numFmtId="0" fontId="198" fillId="22" borderId="64" xfId="0" applyFont="1" applyFill="1" applyBorder="1" applyAlignment="1">
      <alignment horizontal="center" vertical="center"/>
    </xf>
    <xf numFmtId="0" fontId="198" fillId="22" borderId="62" xfId="0" applyFont="1" applyFill="1" applyBorder="1" applyAlignment="1">
      <alignment horizontal="center" vertical="center"/>
    </xf>
    <xf numFmtId="0" fontId="199" fillId="22" borderId="63" xfId="0" applyFont="1" applyFill="1" applyBorder="1" applyAlignment="1">
      <alignment horizontal="center" vertical="center"/>
    </xf>
    <xf numFmtId="0" fontId="200" fillId="0" borderId="10" xfId="0" applyFont="1" applyBorder="1" applyAlignment="1">
      <alignment horizontal="center" vertical="center"/>
    </xf>
    <xf numFmtId="0" fontId="200" fillId="0" borderId="35" xfId="0" applyFont="1" applyBorder="1" applyAlignment="1">
      <alignment horizontal="center" vertical="center"/>
    </xf>
    <xf numFmtId="0" fontId="200" fillId="0" borderId="9" xfId="0" applyFont="1" applyBorder="1" applyAlignment="1">
      <alignment horizontal="center" vertical="center"/>
    </xf>
    <xf numFmtId="0" fontId="200" fillId="0" borderId="37" xfId="0" applyFont="1" applyBorder="1" applyAlignment="1">
      <alignment horizontal="center" vertical="center"/>
    </xf>
    <xf numFmtId="0" fontId="200" fillId="0" borderId="49" xfId="0" applyFont="1" applyBorder="1" applyAlignment="1">
      <alignment horizontal="center" vertical="center"/>
    </xf>
    <xf numFmtId="0" fontId="198" fillId="16" borderId="63" xfId="0" applyFont="1" applyFill="1" applyBorder="1">
      <alignment vertical="center"/>
    </xf>
    <xf numFmtId="0" fontId="200" fillId="0" borderId="43" xfId="0" applyFont="1" applyBorder="1" applyAlignment="1">
      <alignment horizontal="center" vertical="center"/>
    </xf>
    <xf numFmtId="0" fontId="200" fillId="0" borderId="25" xfId="0" applyFont="1" applyBorder="1" applyAlignment="1">
      <alignment horizontal="center" vertical="center"/>
    </xf>
    <xf numFmtId="0" fontId="200" fillId="0" borderId="9" xfId="0" applyFont="1" applyBorder="1" applyAlignment="1">
      <alignment horizontal="center" vertical="center" wrapText="1"/>
    </xf>
    <xf numFmtId="0" fontId="200" fillId="0" borderId="30" xfId="0" applyFont="1" applyBorder="1" applyAlignment="1">
      <alignment horizontal="center" vertical="center" wrapText="1"/>
    </xf>
    <xf numFmtId="0" fontId="200" fillId="0" borderId="10" xfId="0" applyFont="1" applyBorder="1" applyAlignment="1">
      <alignment horizontal="center" vertical="center" wrapText="1"/>
    </xf>
    <xf numFmtId="0" fontId="200" fillId="0" borderId="25" xfId="0" applyFont="1" applyBorder="1" applyAlignment="1">
      <alignment horizontal="center" vertical="center" wrapText="1"/>
    </xf>
    <xf numFmtId="166" fontId="195" fillId="0" borderId="3" xfId="0" applyNumberFormat="1" applyFont="1" applyBorder="1" applyAlignment="1">
      <alignment horizontal="center" vertical="center"/>
    </xf>
    <xf numFmtId="0" fontId="189" fillId="0" borderId="4" xfId="0" applyFont="1" applyBorder="1" applyAlignment="1">
      <alignment horizontal="center" vertical="center"/>
    </xf>
    <xf numFmtId="0" fontId="194" fillId="0" borderId="5" xfId="0" applyFont="1" applyBorder="1" applyAlignment="1">
      <alignment horizontal="center" vertical="center"/>
    </xf>
    <xf numFmtId="0" fontId="189" fillId="12" borderId="3" xfId="0" applyFont="1" applyFill="1" applyBorder="1" applyAlignment="1">
      <alignment horizontal="center" vertical="center"/>
    </xf>
    <xf numFmtId="0" fontId="201" fillId="0" borderId="13" xfId="0" applyFont="1" applyBorder="1" applyAlignment="1"/>
    <xf numFmtId="0" fontId="2" fillId="11" borderId="10" xfId="0" applyFont="1" applyFill="1" applyBorder="1" applyAlignment="1"/>
    <xf numFmtId="0" fontId="202" fillId="0" borderId="14" xfId="0" applyFont="1" applyBorder="1" applyAlignment="1"/>
    <xf numFmtId="0" fontId="201" fillId="0" borderId="0" xfId="0" applyFont="1" applyAlignment="1"/>
    <xf numFmtId="0" fontId="202" fillId="0" borderId="0" xfId="0" applyFont="1" applyAlignment="1"/>
    <xf numFmtId="0" fontId="194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05" fillId="0" borderId="14" xfId="0" applyFont="1" applyBorder="1" applyAlignment="1">
      <alignment horizontal="center" vertical="center" wrapText="1"/>
    </xf>
    <xf numFmtId="0" fontId="105" fillId="0" borderId="2" xfId="0" applyFont="1" applyBorder="1" applyAlignment="1">
      <alignment horizontal="center" vertical="center" wrapText="1"/>
    </xf>
    <xf numFmtId="0" fontId="202" fillId="0" borderId="0" xfId="0" applyFont="1" applyAlignment="1">
      <alignment horizontal="center"/>
    </xf>
    <xf numFmtId="0" fontId="194" fillId="0" borderId="0" xfId="0" applyFont="1" applyAlignment="1">
      <alignment horizontal="center" vertical="center"/>
    </xf>
    <xf numFmtId="0" fontId="10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202" fillId="0" borderId="2" xfId="0" applyFont="1" applyBorder="1" applyAlignment="1"/>
    <xf numFmtId="0" fontId="2" fillId="0" borderId="10" xfId="0" applyFont="1" applyBorder="1" applyAlignment="1"/>
    <xf numFmtId="0" fontId="203" fillId="0" borderId="0" xfId="0" applyFont="1" applyAlignment="1">
      <alignment horizontal="center"/>
    </xf>
    <xf numFmtId="0" fontId="203" fillId="0" borderId="0" xfId="0" applyFont="1" applyAlignment="1"/>
    <xf numFmtId="174" fontId="8" fillId="0" borderId="14" xfId="0" applyNumberFormat="1" applyFont="1" applyBorder="1" applyAlignment="1"/>
    <xf numFmtId="2" fontId="2" fillId="0" borderId="0" xfId="0" applyNumberFormat="1" applyFont="1" applyAlignment="1"/>
    <xf numFmtId="174" fontId="2" fillId="0" borderId="0" xfId="0" applyNumberFormat="1" applyFont="1" applyAlignment="1"/>
    <xf numFmtId="0" fontId="200" fillId="0" borderId="48" xfId="0" applyFont="1" applyBorder="1" applyAlignment="1">
      <alignment horizontal="center" vertical="center" wrapText="1"/>
    </xf>
    <xf numFmtId="0" fontId="200" fillId="0" borderId="15" xfId="0" applyFont="1" applyBorder="1" applyAlignment="1">
      <alignment horizontal="center" vertical="center" wrapText="1"/>
    </xf>
    <xf numFmtId="0" fontId="1" fillId="0" borderId="44" xfId="0" applyFont="1" applyBorder="1" applyAlignment="1"/>
    <xf numFmtId="0" fontId="194" fillId="12" borderId="3" xfId="0" applyFont="1" applyFill="1" applyBorder="1" applyAlignment="1">
      <alignment horizontal="center" vertical="center" wrapText="1"/>
    </xf>
    <xf numFmtId="0" fontId="195" fillId="13" borderId="4" xfId="0" applyFont="1" applyFill="1" applyBorder="1" applyAlignment="1">
      <alignment horizontal="center" vertical="center" wrapText="1"/>
    </xf>
    <xf numFmtId="0" fontId="194" fillId="14" borderId="4" xfId="0" applyFont="1" applyFill="1" applyBorder="1" applyAlignment="1">
      <alignment horizontal="center" vertical="center" wrapText="1"/>
    </xf>
    <xf numFmtId="0" fontId="194" fillId="15" borderId="4" xfId="0" applyFont="1" applyFill="1" applyBorder="1" applyAlignment="1">
      <alignment horizontal="center" vertical="center" wrapText="1"/>
    </xf>
    <xf numFmtId="0" fontId="192" fillId="0" borderId="45" xfId="0" applyFont="1" applyBorder="1" applyAlignment="1">
      <alignment horizontal="center" vertical="center"/>
    </xf>
    <xf numFmtId="0" fontId="194" fillId="0" borderId="68" xfId="0" applyFont="1" applyBorder="1" applyAlignment="1">
      <alignment horizontal="center" vertical="center"/>
    </xf>
    <xf numFmtId="0" fontId="192" fillId="0" borderId="34" xfId="0" applyFont="1" applyBorder="1" applyAlignment="1">
      <alignment horizontal="center" vertical="center"/>
    </xf>
    <xf numFmtId="0" fontId="194" fillId="0" borderId="51" xfId="0" applyFont="1" applyBorder="1" applyAlignment="1">
      <alignment horizontal="center" vertical="center"/>
    </xf>
    <xf numFmtId="0" fontId="192" fillId="0" borderId="46" xfId="0" applyFont="1" applyBorder="1" applyAlignment="1">
      <alignment horizontal="center" vertical="center"/>
    </xf>
    <xf numFmtId="0" fontId="108" fillId="15" borderId="55" xfId="0" applyFont="1" applyFill="1" applyBorder="1" applyAlignment="1">
      <alignment horizontal="center" vertical="center"/>
    </xf>
    <xf numFmtId="0" fontId="194" fillId="0" borderId="9" xfId="0" applyFont="1" applyBorder="1" applyAlignment="1">
      <alignment horizontal="center" vertical="center"/>
    </xf>
    <xf numFmtId="0" fontId="189" fillId="12" borderId="84" xfId="0" applyFont="1" applyFill="1" applyBorder="1" applyAlignment="1">
      <alignment horizontal="center" vertical="center"/>
    </xf>
    <xf numFmtId="0" fontId="22" fillId="14" borderId="20" xfId="0" applyFont="1" applyFill="1" applyBorder="1" applyAlignment="1">
      <alignment horizontal="center" vertical="center"/>
    </xf>
    <xf numFmtId="0" fontId="108" fillId="15" borderId="20" xfId="0" applyFont="1" applyFill="1" applyBorder="1" applyAlignment="1">
      <alignment horizontal="center" vertical="center"/>
    </xf>
    <xf numFmtId="0" fontId="192" fillId="0" borderId="30" xfId="0" applyFont="1" applyBorder="1" applyAlignment="1">
      <alignment horizontal="center" vertical="center"/>
    </xf>
    <xf numFmtId="0" fontId="194" fillId="17" borderId="4" xfId="0" applyFont="1" applyFill="1" applyBorder="1" applyAlignment="1">
      <alignment horizontal="center" vertical="center" wrapText="1"/>
    </xf>
    <xf numFmtId="0" fontId="194" fillId="16" borderId="4" xfId="0" applyFont="1" applyFill="1" applyBorder="1" applyAlignment="1">
      <alignment horizontal="center" vertical="center" wrapText="1"/>
    </xf>
    <xf numFmtId="0" fontId="197" fillId="26" borderId="4" xfId="0" applyFont="1" applyFill="1" applyBorder="1" applyAlignment="1">
      <alignment horizontal="center" vertical="center" wrapText="1"/>
    </xf>
    <xf numFmtId="0" fontId="194" fillId="21" borderId="4" xfId="0" applyFont="1" applyFill="1" applyBorder="1" applyAlignment="1">
      <alignment horizontal="center" vertical="center" wrapText="1"/>
    </xf>
    <xf numFmtId="0" fontId="194" fillId="3" borderId="4" xfId="0" applyFont="1" applyFill="1" applyBorder="1" applyAlignment="1">
      <alignment horizontal="center" vertical="center" wrapText="1"/>
    </xf>
    <xf numFmtId="0" fontId="194" fillId="19" borderId="4" xfId="0" applyFont="1" applyFill="1" applyBorder="1" applyAlignment="1">
      <alignment horizontal="center" vertical="center" wrapText="1"/>
    </xf>
    <xf numFmtId="0" fontId="197" fillId="20" borderId="4" xfId="0" applyFont="1" applyFill="1" applyBorder="1" applyAlignment="1">
      <alignment horizontal="center" vertical="center" wrapText="1"/>
    </xf>
    <xf numFmtId="0" fontId="108" fillId="26" borderId="61" xfId="0" applyFont="1" applyFill="1" applyBorder="1" applyAlignment="1">
      <alignment horizontal="center" vertical="center"/>
    </xf>
    <xf numFmtId="0" fontId="108" fillId="21" borderId="61" xfId="0" applyFont="1" applyFill="1" applyBorder="1" applyAlignment="1">
      <alignment horizontal="center" vertical="center"/>
    </xf>
    <xf numFmtId="0" fontId="198" fillId="20" borderId="61" xfId="0" applyFont="1" applyFill="1" applyBorder="1" applyAlignment="1">
      <alignment horizontal="center" vertical="center"/>
    </xf>
    <xf numFmtId="0" fontId="108" fillId="26" borderId="58" xfId="0" applyFont="1" applyFill="1" applyBorder="1" applyAlignment="1">
      <alignment horizontal="center" vertical="center"/>
    </xf>
    <xf numFmtId="0" fontId="108" fillId="21" borderId="58" xfId="0" applyFont="1" applyFill="1" applyBorder="1" applyAlignment="1">
      <alignment horizontal="center" vertical="center"/>
    </xf>
    <xf numFmtId="0" fontId="198" fillId="20" borderId="58" xfId="0" applyFont="1" applyFill="1" applyBorder="1" applyAlignment="1">
      <alignment horizontal="center" vertical="center"/>
    </xf>
    <xf numFmtId="0" fontId="22" fillId="26" borderId="57" xfId="0" applyFont="1" applyFill="1" applyBorder="1" applyAlignment="1">
      <alignment horizontal="center" vertical="center"/>
    </xf>
    <xf numFmtId="0" fontId="198" fillId="20" borderId="57" xfId="0" applyFont="1" applyFill="1" applyBorder="1" applyAlignment="1">
      <alignment horizontal="center" vertical="center"/>
    </xf>
    <xf numFmtId="0" fontId="22" fillId="26" borderId="72" xfId="0" applyFont="1" applyFill="1" applyBorder="1" applyAlignment="1">
      <alignment horizontal="center" vertical="center"/>
    </xf>
    <xf numFmtId="0" fontId="198" fillId="20" borderId="72" xfId="0" applyFont="1" applyFill="1" applyBorder="1" applyAlignment="1">
      <alignment horizontal="center" vertical="center"/>
    </xf>
    <xf numFmtId="0" fontId="22" fillId="26" borderId="61" xfId="0" applyFont="1" applyFill="1" applyBorder="1" applyAlignment="1">
      <alignment horizontal="center" vertical="center"/>
    </xf>
    <xf numFmtId="0" fontId="22" fillId="26" borderId="58" xfId="0" applyFont="1" applyFill="1" applyBorder="1" applyAlignment="1">
      <alignment horizontal="center" vertical="center"/>
    </xf>
    <xf numFmtId="0" fontId="14" fillId="26" borderId="57" xfId="0" applyFont="1" applyFill="1" applyBorder="1" applyAlignment="1">
      <alignment horizontal="center" vertical="center"/>
    </xf>
    <xf numFmtId="0" fontId="199" fillId="20" borderId="57" xfId="0" applyFont="1" applyFill="1" applyBorder="1" applyAlignment="1">
      <alignment horizontal="center" vertical="center"/>
    </xf>
    <xf numFmtId="0" fontId="22" fillId="26" borderId="55" xfId="0" applyFont="1" applyFill="1" applyBorder="1" applyAlignment="1">
      <alignment horizontal="center" vertical="center"/>
    </xf>
    <xf numFmtId="0" fontId="198" fillId="20" borderId="55" xfId="0" applyFont="1" applyFill="1" applyBorder="1" applyAlignment="1">
      <alignment horizontal="center" vertical="center"/>
    </xf>
    <xf numFmtId="0" fontId="108" fillId="26" borderId="72" xfId="0" applyFont="1" applyFill="1" applyBorder="1" applyAlignment="1">
      <alignment horizontal="center" vertical="center"/>
    </xf>
    <xf numFmtId="0" fontId="108" fillId="21" borderId="72" xfId="0" applyFont="1" applyFill="1" applyBorder="1" applyAlignment="1">
      <alignment horizontal="center" vertical="center"/>
    </xf>
    <xf numFmtId="0" fontId="108" fillId="16" borderId="55" xfId="0" applyFont="1" applyFill="1" applyBorder="1" applyAlignment="1">
      <alignment horizontal="center" vertical="center"/>
    </xf>
    <xf numFmtId="0" fontId="108" fillId="26" borderId="55" xfId="0" applyFont="1" applyFill="1" applyBorder="1" applyAlignment="1">
      <alignment horizontal="center" vertical="center"/>
    </xf>
    <xf numFmtId="0" fontId="108" fillId="21" borderId="55" xfId="0" applyFont="1" applyFill="1" applyBorder="1" applyAlignment="1">
      <alignment horizontal="center" vertical="center"/>
    </xf>
    <xf numFmtId="0" fontId="108" fillId="26" borderId="57" xfId="0" applyFont="1" applyFill="1" applyBorder="1" applyAlignment="1">
      <alignment horizontal="center" vertical="center"/>
    </xf>
    <xf numFmtId="0" fontId="108" fillId="17" borderId="20" xfId="0" applyFont="1" applyFill="1" applyBorder="1" applyAlignment="1">
      <alignment horizontal="center" vertical="center"/>
    </xf>
    <xf numFmtId="0" fontId="108" fillId="16" borderId="20" xfId="0" applyFont="1" applyFill="1" applyBorder="1" applyAlignment="1">
      <alignment horizontal="center" vertical="center"/>
    </xf>
    <xf numFmtId="0" fontId="108" fillId="26" borderId="20" xfId="0" applyFont="1" applyFill="1" applyBorder="1" applyAlignment="1">
      <alignment horizontal="center" vertical="center"/>
    </xf>
    <xf numFmtId="0" fontId="108" fillId="21" borderId="20" xfId="0" applyFont="1" applyFill="1" applyBorder="1" applyAlignment="1">
      <alignment horizontal="center" vertical="center"/>
    </xf>
    <xf numFmtId="0" fontId="108" fillId="14" borderId="20" xfId="0" applyFont="1" applyFill="1" applyBorder="1" applyAlignment="1">
      <alignment horizontal="center" vertical="center"/>
    </xf>
    <xf numFmtId="0" fontId="108" fillId="3" borderId="20" xfId="0" applyFont="1" applyFill="1" applyBorder="1" applyAlignment="1">
      <alignment horizontal="center" vertical="center"/>
    </xf>
    <xf numFmtId="0" fontId="22" fillId="19" borderId="20" xfId="0" applyFont="1" applyFill="1" applyBorder="1" applyAlignment="1">
      <alignment horizontal="center" vertical="center"/>
    </xf>
    <xf numFmtId="0" fontId="198" fillId="20" borderId="20" xfId="0" applyFont="1" applyFill="1" applyBorder="1" applyAlignment="1">
      <alignment horizontal="center" vertical="center"/>
    </xf>
    <xf numFmtId="0" fontId="194" fillId="22" borderId="4" xfId="0" applyFont="1" applyFill="1" applyBorder="1" applyAlignment="1">
      <alignment horizontal="center" vertical="center" wrapText="1"/>
    </xf>
    <xf numFmtId="0" fontId="194" fillId="6" borderId="4" xfId="0" applyFont="1" applyFill="1" applyBorder="1" applyAlignment="1">
      <alignment horizontal="center" vertical="center" wrapText="1"/>
    </xf>
    <xf numFmtId="0" fontId="194" fillId="23" borderId="5" xfId="0" applyFont="1" applyFill="1" applyBorder="1" applyAlignment="1">
      <alignment horizontal="center" vertical="center" wrapText="1"/>
    </xf>
    <xf numFmtId="0" fontId="194" fillId="24" borderId="5" xfId="0" applyFont="1" applyFill="1" applyBorder="1" applyAlignment="1">
      <alignment horizontal="center" vertical="center"/>
    </xf>
    <xf numFmtId="0" fontId="197" fillId="16" borderId="63" xfId="0" applyFont="1" applyFill="1" applyBorder="1" applyAlignment="1">
      <alignment horizontal="center" vertical="center"/>
    </xf>
    <xf numFmtId="0" fontId="22" fillId="22" borderId="61" xfId="0" applyFont="1" applyFill="1" applyBorder="1" applyAlignment="1">
      <alignment horizontal="center" vertical="center"/>
    </xf>
    <xf numFmtId="0" fontId="22" fillId="22" borderId="58" xfId="0" applyFont="1" applyFill="1" applyBorder="1" applyAlignment="1">
      <alignment horizontal="center" vertical="center"/>
    </xf>
    <xf numFmtId="0" fontId="22" fillId="22" borderId="57" xfId="0" applyFont="1" applyFill="1" applyBorder="1" applyAlignment="1">
      <alignment horizontal="center" vertical="center"/>
    </xf>
    <xf numFmtId="0" fontId="22" fillId="22" borderId="72" xfId="0" applyFont="1" applyFill="1" applyBorder="1" applyAlignment="1">
      <alignment horizontal="center" vertical="center"/>
    </xf>
    <xf numFmtId="0" fontId="14" fillId="22" borderId="57" xfId="0" applyFont="1" applyFill="1" applyBorder="1" applyAlignment="1">
      <alignment horizontal="center" vertical="center"/>
    </xf>
    <xf numFmtId="0" fontId="22" fillId="22" borderId="55" xfId="0" applyFont="1" applyFill="1" applyBorder="1" applyAlignment="1">
      <alignment horizontal="center" vertical="center"/>
    </xf>
    <xf numFmtId="0" fontId="22" fillId="22" borderId="20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0" fontId="22" fillId="23" borderId="29" xfId="0" applyFont="1" applyFill="1" applyBorder="1" applyAlignment="1">
      <alignment horizontal="center" vertical="center"/>
    </xf>
    <xf numFmtId="0" fontId="189" fillId="24" borderId="29" xfId="0" applyFont="1" applyFill="1" applyBorder="1" applyAlignment="1">
      <alignment horizontal="center" vertical="center"/>
    </xf>
    <xf numFmtId="0" fontId="198" fillId="16" borderId="29" xfId="0" applyFont="1" applyFill="1" applyBorder="1" applyAlignment="1">
      <alignment horizontal="center" vertical="center"/>
    </xf>
    <xf numFmtId="0" fontId="189" fillId="12" borderId="19" xfId="0" applyFont="1" applyFill="1" applyBorder="1" applyAlignment="1">
      <alignment horizontal="center" vertical="center"/>
    </xf>
    <xf numFmtId="0" fontId="189" fillId="13" borderId="20" xfId="0" applyFont="1" applyFill="1" applyBorder="1" applyAlignment="1">
      <alignment horizontal="center" vertical="center"/>
    </xf>
    <xf numFmtId="0" fontId="189" fillId="14" borderId="20" xfId="0" applyFont="1" applyFill="1" applyBorder="1" applyAlignment="1">
      <alignment horizontal="center" vertical="center"/>
    </xf>
    <xf numFmtId="0" fontId="194" fillId="26" borderId="4" xfId="0" applyFont="1" applyFill="1" applyBorder="1" applyAlignment="1">
      <alignment horizontal="center" vertical="center" wrapText="1"/>
    </xf>
    <xf numFmtId="0" fontId="189" fillId="16" borderId="61" xfId="0" applyFont="1" applyFill="1" applyBorder="1" applyAlignment="1">
      <alignment horizontal="center" vertical="center"/>
    </xf>
    <xf numFmtId="0" fontId="189" fillId="16" borderId="58" xfId="0" applyFont="1" applyFill="1" applyBorder="1" applyAlignment="1">
      <alignment horizontal="center" vertical="center"/>
    </xf>
    <xf numFmtId="0" fontId="189" fillId="16" borderId="57" xfId="0" applyFont="1" applyFill="1" applyBorder="1" applyAlignment="1">
      <alignment horizontal="center" vertical="center"/>
    </xf>
    <xf numFmtId="0" fontId="189" fillId="16" borderId="72" xfId="0" applyFont="1" applyFill="1" applyBorder="1" applyAlignment="1">
      <alignment horizontal="center" vertical="center"/>
    </xf>
    <xf numFmtId="0" fontId="189" fillId="16" borderId="55" xfId="0" applyFont="1" applyFill="1" applyBorder="1" applyAlignment="1">
      <alignment horizontal="center" vertical="center"/>
    </xf>
    <xf numFmtId="0" fontId="189" fillId="15" borderId="20" xfId="0" applyFont="1" applyFill="1" applyBorder="1" applyAlignment="1">
      <alignment horizontal="center" vertical="center"/>
    </xf>
    <xf numFmtId="0" fontId="189" fillId="17" borderId="20" xfId="0" applyFont="1" applyFill="1" applyBorder="1" applyAlignment="1">
      <alignment horizontal="center" vertical="center"/>
    </xf>
    <xf numFmtId="0" fontId="189" fillId="16" borderId="20" xfId="0" applyFont="1" applyFill="1" applyBorder="1" applyAlignment="1">
      <alignment horizontal="center" vertical="center"/>
    </xf>
    <xf numFmtId="0" fontId="189" fillId="3" borderId="20" xfId="0" applyFont="1" applyFill="1" applyBorder="1" applyAlignment="1">
      <alignment horizontal="center" vertical="center"/>
    </xf>
    <xf numFmtId="0" fontId="189" fillId="19" borderId="20" xfId="0" applyFont="1" applyFill="1" applyBorder="1" applyAlignment="1">
      <alignment horizontal="center" vertical="center"/>
    </xf>
    <xf numFmtId="0" fontId="194" fillId="20" borderId="4" xfId="0" applyFont="1" applyFill="1" applyBorder="1" applyAlignment="1">
      <alignment horizontal="center" vertical="center" wrapText="1"/>
    </xf>
    <xf numFmtId="0" fontId="189" fillId="22" borderId="61" xfId="0" applyFont="1" applyFill="1" applyBorder="1" applyAlignment="1">
      <alignment horizontal="center" vertical="center"/>
    </xf>
    <xf numFmtId="0" fontId="198" fillId="16" borderId="23" xfId="0" applyFont="1" applyFill="1" applyBorder="1" applyAlignment="1">
      <alignment horizontal="center" vertical="center"/>
    </xf>
    <xf numFmtId="0" fontId="189" fillId="22" borderId="58" xfId="0" applyFont="1" applyFill="1" applyBorder="1" applyAlignment="1">
      <alignment horizontal="center" vertical="center"/>
    </xf>
    <xf numFmtId="0" fontId="198" fillId="16" borderId="56" xfId="0" applyFont="1" applyFill="1" applyBorder="1" applyAlignment="1">
      <alignment horizontal="center" vertical="center"/>
    </xf>
    <xf numFmtId="0" fontId="189" fillId="22" borderId="57" xfId="0" applyFont="1" applyFill="1" applyBorder="1" applyAlignment="1">
      <alignment horizontal="center" vertical="center"/>
    </xf>
    <xf numFmtId="0" fontId="189" fillId="22" borderId="72" xfId="0" applyFont="1" applyFill="1" applyBorder="1" applyAlignment="1">
      <alignment horizontal="center" vertical="center"/>
    </xf>
    <xf numFmtId="0" fontId="14" fillId="23" borderId="57" xfId="0" applyFont="1" applyFill="1" applyBorder="1" applyAlignment="1">
      <alignment horizontal="center" vertical="center"/>
    </xf>
    <xf numFmtId="0" fontId="14" fillId="24" borderId="57" xfId="0" applyFont="1" applyFill="1" applyBorder="1" applyAlignment="1">
      <alignment horizontal="center" vertical="center"/>
    </xf>
    <xf numFmtId="0" fontId="14" fillId="12" borderId="57" xfId="0" applyFont="1" applyFill="1" applyBorder="1" applyAlignment="1">
      <alignment horizontal="center" vertical="center"/>
    </xf>
    <xf numFmtId="0" fontId="189" fillId="22" borderId="55" xfId="0" applyFont="1" applyFill="1" applyBorder="1" applyAlignment="1">
      <alignment horizontal="center" vertical="center"/>
    </xf>
    <xf numFmtId="0" fontId="189" fillId="20" borderId="20" xfId="0" applyFont="1" applyFill="1" applyBorder="1" applyAlignment="1">
      <alignment horizontal="center" vertical="center"/>
    </xf>
    <xf numFmtId="0" fontId="189" fillId="22" borderId="20" xfId="0" applyFont="1" applyFill="1" applyBorder="1" applyAlignment="1">
      <alignment horizontal="center" vertical="center"/>
    </xf>
    <xf numFmtId="0" fontId="189" fillId="6" borderId="20" xfId="0" applyFont="1" applyFill="1" applyBorder="1" applyAlignment="1">
      <alignment horizontal="center" vertical="center"/>
    </xf>
    <xf numFmtId="0" fontId="189" fillId="23" borderId="29" xfId="0" applyFont="1" applyFill="1" applyBorder="1" applyAlignment="1">
      <alignment horizontal="center" vertical="center"/>
    </xf>
    <xf numFmtId="0" fontId="189" fillId="24" borderId="24" xfId="0" applyFont="1" applyFill="1" applyBorder="1" applyAlignment="1">
      <alignment horizontal="center" vertical="center"/>
    </xf>
    <xf numFmtId="0" fontId="198" fillId="16" borderId="24" xfId="0" applyFont="1" applyFill="1" applyBorder="1" applyAlignment="1">
      <alignment horizontal="center" vertical="center"/>
    </xf>
    <xf numFmtId="0" fontId="197" fillId="22" borderId="16" xfId="0" applyFont="1" applyFill="1" applyBorder="1" applyAlignment="1">
      <alignment horizontal="center" vertical="center" wrapText="1"/>
    </xf>
    <xf numFmtId="0" fontId="197" fillId="16" borderId="16" xfId="0" applyFont="1" applyFill="1" applyBorder="1" applyAlignment="1">
      <alignment horizontal="center" vertical="center"/>
    </xf>
    <xf numFmtId="0" fontId="105" fillId="0" borderId="15" xfId="0" applyFont="1" applyBorder="1" applyAlignment="1">
      <alignment horizontal="center" vertical="justify"/>
    </xf>
    <xf numFmtId="0" fontId="105" fillId="0" borderId="14" xfId="0" applyFont="1" applyBorder="1" applyAlignment="1">
      <alignment horizontal="center" vertical="justify"/>
    </xf>
    <xf numFmtId="0" fontId="200" fillId="0" borderId="15" xfId="0" applyFont="1" applyBorder="1" applyAlignment="1">
      <alignment horizontal="center" vertical="center"/>
    </xf>
    <xf numFmtId="0" fontId="200" fillId="0" borderId="48" xfId="0" applyFont="1" applyBorder="1" applyAlignment="1">
      <alignment horizontal="center" vertical="center"/>
    </xf>
    <xf numFmtId="176" fontId="195" fillId="0" borderId="3" xfId="0" applyNumberFormat="1" applyFont="1" applyBorder="1" applyAlignment="1">
      <alignment horizontal="center" vertical="center"/>
    </xf>
    <xf numFmtId="0" fontId="189" fillId="22" borderId="64" xfId="0" applyFont="1" applyFill="1" applyBorder="1" applyAlignment="1">
      <alignment horizontal="center" vertical="center"/>
    </xf>
    <xf numFmtId="0" fontId="200" fillId="0" borderId="2" xfId="0" applyFont="1" applyBorder="1" applyAlignment="1">
      <alignment horizontal="center" vertical="center"/>
    </xf>
    <xf numFmtId="0" fontId="1" fillId="0" borderId="65" xfId="0" applyFont="1" applyBorder="1" applyAlignment="1"/>
    <xf numFmtId="0" fontId="194" fillId="27" borderId="12" xfId="0" applyFont="1" applyFill="1" applyBorder="1" applyAlignment="1">
      <alignment horizontal="center" vertical="center" wrapText="1"/>
    </xf>
    <xf numFmtId="0" fontId="22" fillId="12" borderId="85" xfId="0" applyFont="1" applyFill="1" applyBorder="1" applyAlignment="1">
      <alignment horizontal="center" vertical="center"/>
    </xf>
    <xf numFmtId="0" fontId="22" fillId="13" borderId="57" xfId="0" applyFont="1" applyFill="1" applyBorder="1" applyAlignment="1">
      <alignment horizontal="center" vertical="center"/>
    </xf>
    <xf numFmtId="0" fontId="22" fillId="27" borderId="57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2" fillId="13" borderId="58" xfId="0" applyFont="1" applyFill="1" applyBorder="1" applyAlignment="1">
      <alignment horizontal="center" vertical="center"/>
    </xf>
    <xf numFmtId="0" fontId="22" fillId="27" borderId="58" xfId="0" applyFont="1" applyFill="1" applyBorder="1" applyAlignment="1">
      <alignment horizontal="center" vertical="center"/>
    </xf>
    <xf numFmtId="0" fontId="22" fillId="12" borderId="70" xfId="0" applyFont="1" applyFill="1" applyBorder="1" applyAlignment="1">
      <alignment horizontal="center" vertical="center"/>
    </xf>
    <xf numFmtId="0" fontId="22" fillId="13" borderId="72" xfId="0" applyFont="1" applyFill="1" applyBorder="1" applyAlignment="1">
      <alignment horizontal="center" vertical="center"/>
    </xf>
    <xf numFmtId="0" fontId="22" fillId="27" borderId="72" xfId="0" applyFont="1" applyFill="1" applyBorder="1" applyAlignment="1">
      <alignment horizontal="center" vertical="center"/>
    </xf>
    <xf numFmtId="0" fontId="22" fillId="12" borderId="83" xfId="0" applyFont="1" applyFill="1" applyBorder="1" applyAlignment="1">
      <alignment horizontal="center" vertical="center"/>
    </xf>
    <xf numFmtId="0" fontId="22" fillId="13" borderId="61" xfId="0" applyFont="1" applyFill="1" applyBorder="1" applyAlignment="1">
      <alignment horizontal="center" vertical="center"/>
    </xf>
    <xf numFmtId="0" fontId="22" fillId="27" borderId="61" xfId="0" applyFont="1" applyFill="1" applyBorder="1" applyAlignment="1">
      <alignment horizontal="center" vertical="center"/>
    </xf>
    <xf numFmtId="0" fontId="22" fillId="12" borderId="27" xfId="0" applyFont="1" applyFill="1" applyBorder="1" applyAlignment="1">
      <alignment horizontal="center" vertical="center"/>
    </xf>
    <xf numFmtId="0" fontId="22" fillId="12" borderId="59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3" borderId="57" xfId="0" applyFont="1" applyFill="1" applyBorder="1" applyAlignment="1">
      <alignment horizontal="center" vertical="center"/>
    </xf>
    <xf numFmtId="0" fontId="12" fillId="27" borderId="57" xfId="0" applyFont="1" applyFill="1" applyBorder="1" applyAlignment="1">
      <alignment horizontal="center" vertical="center"/>
    </xf>
    <xf numFmtId="0" fontId="12" fillId="12" borderId="70" xfId="0" applyFont="1" applyFill="1" applyBorder="1" applyAlignment="1">
      <alignment horizontal="center" vertical="center"/>
    </xf>
    <xf numFmtId="0" fontId="12" fillId="13" borderId="72" xfId="0" applyFont="1" applyFill="1" applyBorder="1" applyAlignment="1">
      <alignment horizontal="center" vertical="center"/>
    </xf>
    <xf numFmtId="0" fontId="12" fillId="14" borderId="72" xfId="0" applyFont="1" applyFill="1" applyBorder="1" applyAlignment="1">
      <alignment horizontal="center" vertical="center"/>
    </xf>
    <xf numFmtId="0" fontId="12" fillId="27" borderId="72" xfId="0" applyFont="1" applyFill="1" applyBorder="1" applyAlignment="1">
      <alignment horizontal="center" vertical="center"/>
    </xf>
    <xf numFmtId="0" fontId="22" fillId="12" borderId="36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27" borderId="12" xfId="0" applyFont="1" applyFill="1" applyBorder="1" applyAlignment="1">
      <alignment horizontal="center" vertical="center"/>
    </xf>
    <xf numFmtId="0" fontId="22" fillId="12" borderId="54" xfId="0" applyFont="1" applyFill="1" applyBorder="1" applyAlignment="1">
      <alignment horizontal="center" vertical="center"/>
    </xf>
    <xf numFmtId="0" fontId="22" fillId="13" borderId="55" xfId="0" applyFont="1" applyFill="1" applyBorder="1" applyAlignment="1">
      <alignment horizontal="center" vertical="center"/>
    </xf>
    <xf numFmtId="0" fontId="22" fillId="27" borderId="55" xfId="0" applyFont="1" applyFill="1" applyBorder="1" applyAlignment="1">
      <alignment horizontal="center" vertical="center"/>
    </xf>
    <xf numFmtId="0" fontId="22" fillId="12" borderId="86" xfId="0" applyFont="1" applyFill="1" applyBorder="1" applyAlignment="1">
      <alignment horizontal="center" vertical="center"/>
    </xf>
    <xf numFmtId="0" fontId="197" fillId="26" borderId="12" xfId="0" applyFont="1" applyFill="1" applyBorder="1" applyAlignment="1">
      <alignment horizontal="center" vertical="center" wrapText="1"/>
    </xf>
    <xf numFmtId="0" fontId="194" fillId="28" borderId="12" xfId="0" applyFont="1" applyFill="1" applyBorder="1" applyAlignment="1">
      <alignment horizontal="center" vertical="center" wrapText="1"/>
    </xf>
    <xf numFmtId="0" fontId="197" fillId="20" borderId="12" xfId="0" applyFont="1" applyFill="1" applyBorder="1" applyAlignment="1">
      <alignment horizontal="center" vertical="center" wrapText="1"/>
    </xf>
    <xf numFmtId="0" fontId="22" fillId="28" borderId="57" xfId="0" applyFont="1" applyFill="1" applyBorder="1" applyAlignment="1">
      <alignment horizontal="center" vertical="center"/>
    </xf>
    <xf numFmtId="0" fontId="22" fillId="28" borderId="58" xfId="0" applyFont="1" applyFill="1" applyBorder="1" applyAlignment="1">
      <alignment horizontal="center" vertical="center"/>
    </xf>
    <xf numFmtId="0" fontId="22" fillId="28" borderId="72" xfId="0" applyFont="1" applyFill="1" applyBorder="1" applyAlignment="1">
      <alignment horizontal="center" vertical="center"/>
    </xf>
    <xf numFmtId="0" fontId="22" fillId="28" borderId="61" xfId="0" applyFont="1" applyFill="1" applyBorder="1" applyAlignment="1">
      <alignment horizontal="center" vertical="center"/>
    </xf>
    <xf numFmtId="0" fontId="22" fillId="15" borderId="60" xfId="0" applyFont="1" applyFill="1" applyBorder="1" applyAlignment="1">
      <alignment horizontal="center" vertical="center"/>
    </xf>
    <xf numFmtId="0" fontId="22" fillId="16" borderId="60" xfId="0" applyFont="1" applyFill="1" applyBorder="1" applyAlignment="1">
      <alignment horizontal="center" vertical="center"/>
    </xf>
    <xf numFmtId="0" fontId="22" fillId="15" borderId="41" xfId="0" applyFont="1" applyFill="1" applyBorder="1" applyAlignment="1">
      <alignment horizontal="center" vertical="center"/>
    </xf>
    <xf numFmtId="0" fontId="22" fillId="16" borderId="41" xfId="0" applyFont="1" applyFill="1" applyBorder="1" applyAlignment="1">
      <alignment horizontal="center" vertical="center"/>
    </xf>
    <xf numFmtId="0" fontId="12" fillId="15" borderId="57" xfId="0" applyFont="1" applyFill="1" applyBorder="1" applyAlignment="1">
      <alignment horizontal="center" vertical="center"/>
    </xf>
    <xf numFmtId="0" fontId="12" fillId="16" borderId="57" xfId="0" applyFont="1" applyFill="1" applyBorder="1" applyAlignment="1">
      <alignment horizontal="center" vertical="center"/>
    </xf>
    <xf numFmtId="0" fontId="12" fillId="26" borderId="57" xfId="0" applyFont="1" applyFill="1" applyBorder="1" applyAlignment="1">
      <alignment horizontal="center" vertical="center"/>
    </xf>
    <xf numFmtId="0" fontId="12" fillId="28" borderId="57" xfId="0" applyFont="1" applyFill="1" applyBorder="1" applyAlignment="1">
      <alignment horizontal="center" vertical="center"/>
    </xf>
    <xf numFmtId="0" fontId="12" fillId="3" borderId="57" xfId="0" applyFont="1" applyFill="1" applyBorder="1" applyAlignment="1">
      <alignment horizontal="center" vertical="center"/>
    </xf>
    <xf numFmtId="0" fontId="12" fillId="19" borderId="57" xfId="0" applyFont="1" applyFill="1" applyBorder="1" applyAlignment="1">
      <alignment horizontal="center" vertical="center"/>
    </xf>
    <xf numFmtId="0" fontId="12" fillId="15" borderId="72" xfId="0" applyFont="1" applyFill="1" applyBorder="1" applyAlignment="1">
      <alignment horizontal="center" vertical="center"/>
    </xf>
    <xf numFmtId="0" fontId="12" fillId="16" borderId="72" xfId="0" applyFont="1" applyFill="1" applyBorder="1" applyAlignment="1">
      <alignment horizontal="center" vertical="center"/>
    </xf>
    <xf numFmtId="0" fontId="12" fillId="26" borderId="72" xfId="0" applyFont="1" applyFill="1" applyBorder="1" applyAlignment="1">
      <alignment horizontal="center" vertical="center"/>
    </xf>
    <xf numFmtId="0" fontId="12" fillId="28" borderId="72" xfId="0" applyFont="1" applyFill="1" applyBorder="1" applyAlignment="1">
      <alignment horizontal="center" vertical="center"/>
    </xf>
    <xf numFmtId="0" fontId="12" fillId="3" borderId="72" xfId="0" applyFont="1" applyFill="1" applyBorder="1" applyAlignment="1">
      <alignment horizontal="center" vertical="center"/>
    </xf>
    <xf numFmtId="0" fontId="12" fillId="19" borderId="72" xfId="0" applyFont="1" applyFill="1" applyBorder="1" applyAlignment="1">
      <alignment horizontal="center" vertical="center"/>
    </xf>
    <xf numFmtId="0" fontId="199" fillId="20" borderId="72" xfId="0" applyFont="1" applyFill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22" fillId="26" borderId="12" xfId="0" applyFont="1" applyFill="1" applyBorder="1" applyAlignment="1">
      <alignment horizontal="center" vertical="center"/>
    </xf>
    <xf numFmtId="0" fontId="22" fillId="28" borderId="12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198" fillId="20" borderId="12" xfId="0" applyFont="1" applyFill="1" applyBorder="1" applyAlignment="1">
      <alignment horizontal="center" vertical="center"/>
    </xf>
    <xf numFmtId="0" fontId="22" fillId="28" borderId="55" xfId="0" applyFont="1" applyFill="1" applyBorder="1" applyAlignment="1">
      <alignment horizontal="center" vertical="center"/>
    </xf>
    <xf numFmtId="0" fontId="194" fillId="29" borderId="12" xfId="0" applyFont="1" applyFill="1" applyBorder="1" applyAlignment="1">
      <alignment horizontal="center" vertical="center" wrapText="1"/>
    </xf>
    <xf numFmtId="0" fontId="194" fillId="23" borderId="13" xfId="0" applyFont="1" applyFill="1" applyBorder="1" applyAlignment="1">
      <alignment horizontal="center" vertical="center"/>
    </xf>
    <xf numFmtId="0" fontId="22" fillId="29" borderId="57" xfId="0" applyFont="1" applyFill="1" applyBorder="1" applyAlignment="1">
      <alignment horizontal="center" vertical="center"/>
    </xf>
    <xf numFmtId="0" fontId="22" fillId="24" borderId="38" xfId="0" applyFont="1" applyFill="1" applyBorder="1" applyAlignment="1">
      <alignment horizontal="center" vertical="center"/>
    </xf>
    <xf numFmtId="0" fontId="22" fillId="29" borderId="58" xfId="0" applyFont="1" applyFill="1" applyBorder="1" applyAlignment="1">
      <alignment horizontal="center" vertical="center"/>
    </xf>
    <xf numFmtId="0" fontId="22" fillId="24" borderId="41" xfId="0" applyFont="1" applyFill="1" applyBorder="1" applyAlignment="1">
      <alignment horizontal="center" vertical="center"/>
    </xf>
    <xf numFmtId="0" fontId="22" fillId="29" borderId="72" xfId="0" applyFont="1" applyFill="1" applyBorder="1" applyAlignment="1">
      <alignment horizontal="center" vertical="center"/>
    </xf>
    <xf numFmtId="0" fontId="22" fillId="24" borderId="71" xfId="0" applyFont="1" applyFill="1" applyBorder="1" applyAlignment="1">
      <alignment horizontal="center" vertical="center"/>
    </xf>
    <xf numFmtId="0" fontId="22" fillId="29" borderId="61" xfId="0" applyFont="1" applyFill="1" applyBorder="1" applyAlignment="1">
      <alignment horizontal="center" vertical="center"/>
    </xf>
    <xf numFmtId="0" fontId="22" fillId="24" borderId="60" xfId="0" applyFont="1" applyFill="1" applyBorder="1" applyAlignment="1">
      <alignment horizontal="center" vertical="center"/>
    </xf>
    <xf numFmtId="0" fontId="22" fillId="24" borderId="57" xfId="0" applyFont="1" applyFill="1" applyBorder="1" applyAlignment="1">
      <alignment horizontal="center" vertical="center"/>
    </xf>
    <xf numFmtId="0" fontId="22" fillId="24" borderId="72" xfId="0" applyFont="1" applyFill="1" applyBorder="1" applyAlignment="1">
      <alignment horizontal="center" vertical="center"/>
    </xf>
    <xf numFmtId="0" fontId="12" fillId="6" borderId="57" xfId="0" applyFont="1" applyFill="1" applyBorder="1" applyAlignment="1">
      <alignment horizontal="center" vertical="center"/>
    </xf>
    <xf numFmtId="0" fontId="12" fillId="29" borderId="57" xfId="0" applyFont="1" applyFill="1" applyBorder="1" applyAlignment="1">
      <alignment horizontal="center" vertical="center"/>
    </xf>
    <xf numFmtId="0" fontId="12" fillId="23" borderId="63" xfId="0" applyFont="1" applyFill="1" applyBorder="1" applyAlignment="1">
      <alignment horizontal="center" vertical="center"/>
    </xf>
    <xf numFmtId="0" fontId="12" fillId="24" borderId="63" xfId="0" applyFont="1" applyFill="1" applyBorder="1" applyAlignment="1">
      <alignment horizontal="center" vertical="center"/>
    </xf>
    <xf numFmtId="0" fontId="199" fillId="16" borderId="38" xfId="0" applyFont="1" applyFill="1" applyBorder="1" applyAlignment="1">
      <alignment horizontal="center" vertical="center"/>
    </xf>
    <xf numFmtId="0" fontId="199" fillId="22" borderId="72" xfId="0" applyFont="1" applyFill="1" applyBorder="1" applyAlignment="1">
      <alignment horizontal="center" vertical="center"/>
    </xf>
    <xf numFmtId="0" fontId="12" fillId="6" borderId="72" xfId="0" applyFont="1" applyFill="1" applyBorder="1" applyAlignment="1">
      <alignment horizontal="center" vertical="center"/>
    </xf>
    <xf numFmtId="0" fontId="12" fillId="29" borderId="72" xfId="0" applyFont="1" applyFill="1" applyBorder="1" applyAlignment="1">
      <alignment horizontal="center" vertical="center"/>
    </xf>
    <xf numFmtId="0" fontId="12" fillId="23" borderId="73" xfId="0" applyFont="1" applyFill="1" applyBorder="1" applyAlignment="1">
      <alignment horizontal="center" vertical="center"/>
    </xf>
    <xf numFmtId="0" fontId="12" fillId="24" borderId="73" xfId="0" applyFont="1" applyFill="1" applyBorder="1" applyAlignment="1">
      <alignment horizontal="center" vertical="center"/>
    </xf>
    <xf numFmtId="0" fontId="199" fillId="16" borderId="71" xfId="0" applyFont="1" applyFill="1" applyBorder="1" applyAlignment="1">
      <alignment horizontal="center" vertical="center"/>
    </xf>
    <xf numFmtId="0" fontId="14" fillId="12" borderId="70" xfId="0" applyFont="1" applyFill="1" applyBorder="1" applyAlignment="1">
      <alignment horizontal="center" vertical="center"/>
    </xf>
    <xf numFmtId="0" fontId="14" fillId="13" borderId="72" xfId="0" applyFont="1" applyFill="1" applyBorder="1" applyAlignment="1">
      <alignment horizontal="center" vertical="center"/>
    </xf>
    <xf numFmtId="0" fontId="198" fillId="22" borderId="12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29" borderId="12" xfId="0" applyFont="1" applyFill="1" applyBorder="1" applyAlignment="1">
      <alignment horizontal="center" vertical="center"/>
    </xf>
    <xf numFmtId="0" fontId="22" fillId="23" borderId="13" xfId="0" applyFont="1" applyFill="1" applyBorder="1" applyAlignment="1">
      <alignment horizontal="center" vertical="center"/>
    </xf>
    <xf numFmtId="0" fontId="22" fillId="24" borderId="13" xfId="0" applyFont="1" applyFill="1" applyBorder="1" applyAlignment="1">
      <alignment horizontal="center" vertical="center"/>
    </xf>
    <xf numFmtId="0" fontId="198" fillId="16" borderId="13" xfId="0" applyFont="1" applyFill="1" applyBorder="1" applyAlignment="1">
      <alignment horizontal="center" vertical="center"/>
    </xf>
    <xf numFmtId="0" fontId="189" fillId="12" borderId="11" xfId="0" applyFont="1" applyFill="1" applyBorder="1" applyAlignment="1">
      <alignment horizontal="center" vertical="center"/>
    </xf>
    <xf numFmtId="0" fontId="189" fillId="13" borderId="12" xfId="0" applyFont="1" applyFill="1" applyBorder="1" applyAlignment="1">
      <alignment horizontal="center" vertical="center"/>
    </xf>
    <xf numFmtId="0" fontId="22" fillId="29" borderId="55" xfId="0" applyFont="1" applyFill="1" applyBorder="1" applyAlignment="1">
      <alignment horizontal="center" vertical="center"/>
    </xf>
    <xf numFmtId="0" fontId="22" fillId="24" borderId="53" xfId="0" applyFont="1" applyFill="1" applyBorder="1" applyAlignment="1">
      <alignment horizontal="center" vertical="center"/>
    </xf>
    <xf numFmtId="0" fontId="194" fillId="30" borderId="12" xfId="0" applyFont="1" applyFill="1" applyBorder="1" applyAlignment="1">
      <alignment horizontal="center" vertical="center" wrapText="1"/>
    </xf>
    <xf numFmtId="0" fontId="189" fillId="30" borderId="57" xfId="0" applyFont="1" applyFill="1" applyBorder="1" applyAlignment="1">
      <alignment horizontal="center" vertical="center"/>
    </xf>
    <xf numFmtId="0" fontId="198" fillId="26" borderId="57" xfId="0" applyFont="1" applyFill="1" applyBorder="1" applyAlignment="1">
      <alignment horizontal="center" vertical="center"/>
    </xf>
    <xf numFmtId="0" fontId="108" fillId="28" borderId="57" xfId="0" applyFont="1" applyFill="1" applyBorder="1" applyAlignment="1">
      <alignment horizontal="center" vertical="center"/>
    </xf>
    <xf numFmtId="0" fontId="189" fillId="30" borderId="58" xfId="0" applyFont="1" applyFill="1" applyBorder="1" applyAlignment="1">
      <alignment horizontal="center" vertical="center"/>
    </xf>
    <xf numFmtId="0" fontId="198" fillId="26" borderId="58" xfId="0" applyFont="1" applyFill="1" applyBorder="1" applyAlignment="1">
      <alignment horizontal="center" vertical="center"/>
    </xf>
    <xf numFmtId="0" fontId="108" fillId="28" borderId="58" xfId="0" applyFont="1" applyFill="1" applyBorder="1" applyAlignment="1">
      <alignment horizontal="center" vertical="center"/>
    </xf>
    <xf numFmtId="0" fontId="189" fillId="30" borderId="72" xfId="0" applyFont="1" applyFill="1" applyBorder="1" applyAlignment="1">
      <alignment horizontal="center" vertical="center"/>
    </xf>
    <xf numFmtId="0" fontId="198" fillId="26" borderId="72" xfId="0" applyFont="1" applyFill="1" applyBorder="1" applyAlignment="1">
      <alignment horizontal="center" vertical="center"/>
    </xf>
    <xf numFmtId="0" fontId="108" fillId="28" borderId="72" xfId="0" applyFont="1" applyFill="1" applyBorder="1" applyAlignment="1">
      <alignment horizontal="center" vertical="center"/>
    </xf>
    <xf numFmtId="0" fontId="189" fillId="30" borderId="61" xfId="0" applyFont="1" applyFill="1" applyBorder="1" applyAlignment="1">
      <alignment horizontal="center" vertical="center"/>
    </xf>
    <xf numFmtId="0" fontId="198" fillId="26" borderId="61" xfId="0" applyFont="1" applyFill="1" applyBorder="1" applyAlignment="1">
      <alignment horizontal="center" vertical="center"/>
    </xf>
    <xf numFmtId="0" fontId="108" fillId="28" borderId="61" xfId="0" applyFont="1" applyFill="1" applyBorder="1" applyAlignment="1">
      <alignment horizontal="center" vertical="center"/>
    </xf>
    <xf numFmtId="0" fontId="189" fillId="15" borderId="66" xfId="0" applyFont="1" applyFill="1" applyBorder="1" applyAlignment="1">
      <alignment horizontal="center" vertical="center"/>
    </xf>
    <xf numFmtId="0" fontId="189" fillId="15" borderId="64" xfId="0" applyFont="1" applyFill="1" applyBorder="1" applyAlignment="1">
      <alignment horizontal="center" vertical="center"/>
    </xf>
    <xf numFmtId="0" fontId="14" fillId="30" borderId="57" xfId="0" applyFont="1" applyFill="1" applyBorder="1" applyAlignment="1">
      <alignment horizontal="center" vertical="center"/>
    </xf>
    <xf numFmtId="0" fontId="199" fillId="26" borderId="57" xfId="0" applyFont="1" applyFill="1" applyBorder="1" applyAlignment="1">
      <alignment horizontal="center" vertical="center"/>
    </xf>
    <xf numFmtId="0" fontId="14" fillId="28" borderId="57" xfId="0" applyFont="1" applyFill="1" applyBorder="1" applyAlignment="1">
      <alignment horizontal="center" vertical="center"/>
    </xf>
    <xf numFmtId="0" fontId="14" fillId="14" borderId="72" xfId="0" applyFont="1" applyFill="1" applyBorder="1" applyAlignment="1">
      <alignment horizontal="center" vertical="center"/>
    </xf>
    <xf numFmtId="0" fontId="14" fillId="30" borderId="72" xfId="0" applyFont="1" applyFill="1" applyBorder="1" applyAlignment="1">
      <alignment horizontal="center" vertical="center"/>
    </xf>
    <xf numFmtId="0" fontId="14" fillId="15" borderId="72" xfId="0" applyFont="1" applyFill="1" applyBorder="1" applyAlignment="1">
      <alignment horizontal="center" vertical="center"/>
    </xf>
    <xf numFmtId="0" fontId="199" fillId="16" borderId="72" xfId="0" applyFont="1" applyFill="1" applyBorder="1" applyAlignment="1">
      <alignment horizontal="center" vertical="center"/>
    </xf>
    <xf numFmtId="0" fontId="199" fillId="26" borderId="72" xfId="0" applyFont="1" applyFill="1" applyBorder="1" applyAlignment="1">
      <alignment horizontal="center" vertical="center"/>
    </xf>
    <xf numFmtId="0" fontId="14" fillId="28" borderId="72" xfId="0" applyFont="1" applyFill="1" applyBorder="1" applyAlignment="1">
      <alignment horizontal="center" vertical="center"/>
    </xf>
    <xf numFmtId="0" fontId="14" fillId="3" borderId="72" xfId="0" applyFont="1" applyFill="1" applyBorder="1" applyAlignment="1">
      <alignment horizontal="center" vertical="center"/>
    </xf>
    <xf numFmtId="0" fontId="189" fillId="14" borderId="12" xfId="0" applyFont="1" applyFill="1" applyBorder="1" applyAlignment="1">
      <alignment horizontal="center" vertical="center"/>
    </xf>
    <xf numFmtId="0" fontId="189" fillId="30" borderId="12" xfId="0" applyFont="1" applyFill="1" applyBorder="1" applyAlignment="1">
      <alignment horizontal="center" vertical="center"/>
    </xf>
    <xf numFmtId="0" fontId="189" fillId="15" borderId="12" xfId="0" applyFont="1" applyFill="1" applyBorder="1" applyAlignment="1">
      <alignment horizontal="center" vertical="center"/>
    </xf>
    <xf numFmtId="0" fontId="198" fillId="16" borderId="12" xfId="0" applyFont="1" applyFill="1" applyBorder="1" applyAlignment="1">
      <alignment horizontal="center" vertical="center"/>
    </xf>
    <xf numFmtId="0" fontId="198" fillId="26" borderId="12" xfId="0" applyFont="1" applyFill="1" applyBorder="1" applyAlignment="1">
      <alignment horizontal="center" vertical="center"/>
    </xf>
    <xf numFmtId="0" fontId="108" fillId="14" borderId="12" xfId="0" applyFont="1" applyFill="1" applyBorder="1" applyAlignment="1">
      <alignment horizontal="center" vertical="center"/>
    </xf>
    <xf numFmtId="0" fontId="108" fillId="28" borderId="12" xfId="0" applyFont="1" applyFill="1" applyBorder="1" applyAlignment="1">
      <alignment horizontal="center" vertical="center"/>
    </xf>
    <xf numFmtId="0" fontId="189" fillId="3" borderId="12" xfId="0" applyFont="1" applyFill="1" applyBorder="1" applyAlignment="1">
      <alignment horizontal="center" vertical="center"/>
    </xf>
    <xf numFmtId="0" fontId="189" fillId="30" borderId="55" xfId="0" applyFont="1" applyFill="1" applyBorder="1" applyAlignment="1">
      <alignment horizontal="center" vertical="center"/>
    </xf>
    <xf numFmtId="0" fontId="198" fillId="26" borderId="55" xfId="0" applyFont="1" applyFill="1" applyBorder="1" applyAlignment="1">
      <alignment horizontal="center" vertical="center"/>
    </xf>
    <xf numFmtId="0" fontId="108" fillId="28" borderId="55" xfId="0" applyFont="1" applyFill="1" applyBorder="1" applyAlignment="1">
      <alignment horizontal="center" vertical="center"/>
    </xf>
    <xf numFmtId="0" fontId="194" fillId="9" borderId="13" xfId="0" applyFont="1" applyFill="1" applyBorder="1" applyAlignment="1">
      <alignment horizontal="center" vertical="center" wrapText="1"/>
    </xf>
    <xf numFmtId="0" fontId="194" fillId="29" borderId="13" xfId="0" applyFont="1" applyFill="1" applyBorder="1" applyAlignment="1">
      <alignment horizontal="center" vertical="center" wrapText="1"/>
    </xf>
    <xf numFmtId="0" fontId="189" fillId="9" borderId="38" xfId="0" applyFont="1" applyFill="1" applyBorder="1" applyAlignment="1">
      <alignment horizontal="center" vertical="center"/>
    </xf>
    <xf numFmtId="0" fontId="189" fillId="29" borderId="38" xfId="0" applyFont="1" applyFill="1" applyBorder="1" applyAlignment="1">
      <alignment horizontal="center" vertical="center"/>
    </xf>
    <xf numFmtId="0" fontId="189" fillId="9" borderId="41" xfId="0" applyFont="1" applyFill="1" applyBorder="1" applyAlignment="1">
      <alignment horizontal="center" vertical="center"/>
    </xf>
    <xf numFmtId="0" fontId="189" fillId="29" borderId="41" xfId="0" applyFont="1" applyFill="1" applyBorder="1" applyAlignment="1">
      <alignment horizontal="center" vertical="center"/>
    </xf>
    <xf numFmtId="0" fontId="189" fillId="9" borderId="71" xfId="0" applyFont="1" applyFill="1" applyBorder="1" applyAlignment="1">
      <alignment horizontal="center" vertical="center"/>
    </xf>
    <xf numFmtId="0" fontId="189" fillId="29" borderId="71" xfId="0" applyFont="1" applyFill="1" applyBorder="1" applyAlignment="1">
      <alignment horizontal="center" vertical="center"/>
    </xf>
    <xf numFmtId="0" fontId="189" fillId="9" borderId="60" xfId="0" applyFont="1" applyFill="1" applyBorder="1" applyAlignment="1">
      <alignment horizontal="center" vertical="center"/>
    </xf>
    <xf numFmtId="0" fontId="189" fillId="29" borderId="60" xfId="0" applyFont="1" applyFill="1" applyBorder="1" applyAlignment="1">
      <alignment horizontal="center" vertical="center"/>
    </xf>
    <xf numFmtId="0" fontId="189" fillId="29" borderId="53" xfId="0" applyFont="1" applyFill="1" applyBorder="1" applyAlignment="1">
      <alignment horizontal="center" vertical="center"/>
    </xf>
    <xf numFmtId="0" fontId="14" fillId="9" borderId="38" xfId="0" applyFont="1" applyFill="1" applyBorder="1" applyAlignment="1">
      <alignment horizontal="center" vertical="center"/>
    </xf>
    <xf numFmtId="0" fontId="14" fillId="29" borderId="38" xfId="0" applyFont="1" applyFill="1" applyBorder="1" applyAlignment="1">
      <alignment horizontal="center" vertical="center"/>
    </xf>
    <xf numFmtId="0" fontId="14" fillId="19" borderId="72" xfId="0" applyFont="1" applyFill="1" applyBorder="1" applyAlignment="1">
      <alignment horizontal="center" vertical="center"/>
    </xf>
    <xf numFmtId="0" fontId="14" fillId="6" borderId="72" xfId="0" applyFont="1" applyFill="1" applyBorder="1" applyAlignment="1">
      <alignment horizontal="center" vertical="center"/>
    </xf>
    <xf numFmtId="0" fontId="14" fillId="9" borderId="71" xfId="0" applyFont="1" applyFill="1" applyBorder="1" applyAlignment="1">
      <alignment horizontal="center" vertical="center"/>
    </xf>
    <xf numFmtId="0" fontId="14" fillId="23" borderId="71" xfId="0" applyFont="1" applyFill="1" applyBorder="1" applyAlignment="1">
      <alignment horizontal="center" vertical="center"/>
    </xf>
    <xf numFmtId="0" fontId="14" fillId="29" borderId="71" xfId="0" applyFont="1" applyFill="1" applyBorder="1" applyAlignment="1">
      <alignment horizontal="center" vertical="center"/>
    </xf>
    <xf numFmtId="0" fontId="14" fillId="24" borderId="73" xfId="0" applyFont="1" applyFill="1" applyBorder="1" applyAlignment="1">
      <alignment horizontal="center" vertical="center"/>
    </xf>
    <xf numFmtId="0" fontId="189" fillId="19" borderId="12" xfId="0" applyFont="1" applyFill="1" applyBorder="1" applyAlignment="1">
      <alignment horizontal="center" vertical="center"/>
    </xf>
    <xf numFmtId="0" fontId="189" fillId="6" borderId="12" xfId="0" applyFont="1" applyFill="1" applyBorder="1" applyAlignment="1">
      <alignment horizontal="center" vertical="center"/>
    </xf>
    <xf numFmtId="0" fontId="189" fillId="9" borderId="13" xfId="0" applyFont="1" applyFill="1" applyBorder="1" applyAlignment="1">
      <alignment horizontal="center" vertical="center"/>
    </xf>
    <xf numFmtId="0" fontId="189" fillId="23" borderId="13" xfId="0" applyFont="1" applyFill="1" applyBorder="1" applyAlignment="1">
      <alignment horizontal="center" vertical="center"/>
    </xf>
    <xf numFmtId="0" fontId="189" fillId="29" borderId="13" xfId="0" applyFont="1" applyFill="1" applyBorder="1" applyAlignment="1">
      <alignment horizontal="center" vertical="center"/>
    </xf>
    <xf numFmtId="0" fontId="189" fillId="24" borderId="18" xfId="0" applyFont="1" applyFill="1" applyBorder="1" applyAlignment="1">
      <alignment horizontal="center" vertical="center"/>
    </xf>
    <xf numFmtId="0" fontId="189" fillId="9" borderId="53" xfId="0" applyFont="1" applyFill="1" applyBorder="1" applyAlignment="1">
      <alignment horizontal="center" vertical="center"/>
    </xf>
    <xf numFmtId="0" fontId="200" fillId="0" borderId="68" xfId="0" applyFont="1" applyBorder="1" applyAlignment="1">
      <alignment horizontal="center" vertical="center"/>
    </xf>
    <xf numFmtId="0" fontId="189" fillId="3" borderId="66" xfId="0" applyFont="1" applyFill="1" applyBorder="1" applyAlignment="1">
      <alignment horizontal="center" vertical="center"/>
    </xf>
    <xf numFmtId="0" fontId="189" fillId="3" borderId="64" xfId="0" applyFont="1" applyFill="1" applyBorder="1" applyAlignment="1">
      <alignment horizontal="center" vertical="center"/>
    </xf>
    <xf numFmtId="0" fontId="200" fillId="0" borderId="32" xfId="0" applyFont="1" applyBorder="1" applyAlignment="1">
      <alignment horizontal="center" vertical="center"/>
    </xf>
    <xf numFmtId="0" fontId="199" fillId="16" borderId="73" xfId="0" applyFont="1" applyFill="1" applyBorder="1" applyAlignment="1">
      <alignment horizontal="center" vertical="center"/>
    </xf>
    <xf numFmtId="0" fontId="199" fillId="22" borderId="73" xfId="0" applyFont="1" applyFill="1" applyBorder="1" applyAlignment="1">
      <alignment horizontal="center" vertical="center"/>
    </xf>
    <xf numFmtId="0" fontId="198" fillId="16" borderId="18" xfId="0" applyFont="1" applyFill="1" applyBorder="1" applyAlignment="1">
      <alignment horizontal="center" vertical="center"/>
    </xf>
    <xf numFmtId="0" fontId="200" fillId="0" borderId="30" xfId="0" applyFont="1" applyBorder="1" applyAlignment="1">
      <alignment horizontal="center" vertical="center"/>
    </xf>
    <xf numFmtId="177" fontId="195" fillId="0" borderId="3" xfId="0" applyNumberFormat="1" applyFont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177" fontId="201" fillId="0" borderId="13" xfId="0" applyNumberFormat="1" applyFont="1" applyBorder="1" applyAlignment="1"/>
    <xf numFmtId="177" fontId="201" fillId="0" borderId="0" xfId="0" applyNumberFormat="1" applyFont="1" applyAlignment="1"/>
    <xf numFmtId="0" fontId="189" fillId="0" borderId="1" xfId="0" applyFont="1" applyBorder="1" applyAlignment="1">
      <alignment horizontal="center" vertical="center"/>
    </xf>
    <xf numFmtId="0" fontId="189" fillId="0" borderId="14" xfId="0" applyFont="1" applyBorder="1" applyAlignment="1">
      <alignment horizontal="center" vertical="center"/>
    </xf>
    <xf numFmtId="0" fontId="194" fillId="31" borderId="4" xfId="0" applyFont="1" applyFill="1" applyBorder="1" applyAlignment="1">
      <alignment horizontal="center" vertical="center" wrapText="1"/>
    </xf>
    <xf numFmtId="0" fontId="194" fillId="0" borderId="33" xfId="0" applyFont="1" applyBorder="1" applyAlignment="1">
      <alignment horizontal="center" vertical="center"/>
    </xf>
    <xf numFmtId="0" fontId="22" fillId="31" borderId="57" xfId="0" applyFont="1" applyFill="1" applyBorder="1" applyAlignment="1">
      <alignment horizontal="center" vertical="center"/>
    </xf>
    <xf numFmtId="0" fontId="22" fillId="31" borderId="72" xfId="0" applyFont="1" applyFill="1" applyBorder="1" applyAlignment="1">
      <alignment horizontal="center" vertical="center"/>
    </xf>
    <xf numFmtId="0" fontId="22" fillId="31" borderId="12" xfId="0" applyFont="1" applyFill="1" applyBorder="1" applyAlignment="1">
      <alignment horizontal="center" vertical="center"/>
    </xf>
    <xf numFmtId="0" fontId="22" fillId="31" borderId="58" xfId="0" applyFont="1" applyFill="1" applyBorder="1" applyAlignment="1">
      <alignment horizontal="center" vertical="center"/>
    </xf>
    <xf numFmtId="0" fontId="22" fillId="31" borderId="61" xfId="0" applyFont="1" applyFill="1" applyBorder="1" applyAlignment="1">
      <alignment horizontal="center" vertical="center"/>
    </xf>
    <xf numFmtId="0" fontId="194" fillId="0" borderId="69" xfId="0" applyFont="1" applyBorder="1" applyAlignment="1">
      <alignment horizontal="center" vertical="center"/>
    </xf>
    <xf numFmtId="0" fontId="22" fillId="31" borderId="55" xfId="0" applyFont="1" applyFill="1" applyBorder="1" applyAlignment="1">
      <alignment horizontal="center" vertical="center"/>
    </xf>
    <xf numFmtId="0" fontId="189" fillId="12" borderId="58" xfId="0" applyFont="1" applyFill="1" applyBorder="1" applyAlignment="1">
      <alignment horizontal="center" vertical="center"/>
    </xf>
    <xf numFmtId="0" fontId="189" fillId="31" borderId="57" xfId="0" applyFont="1" applyFill="1" applyBorder="1" applyAlignment="1">
      <alignment horizontal="center" vertical="center"/>
    </xf>
    <xf numFmtId="0" fontId="189" fillId="31" borderId="72" xfId="0" applyFont="1" applyFill="1" applyBorder="1" applyAlignment="1">
      <alignment horizontal="center" vertical="center"/>
    </xf>
    <xf numFmtId="0" fontId="189" fillId="13" borderId="8" xfId="0" applyFont="1" applyFill="1" applyBorder="1" applyAlignment="1">
      <alignment horizontal="center" vertical="center"/>
    </xf>
    <xf numFmtId="0" fontId="192" fillId="0" borderId="49" xfId="0" applyFont="1" applyBorder="1" applyAlignment="1">
      <alignment horizontal="center" vertical="center"/>
    </xf>
    <xf numFmtId="0" fontId="194" fillId="32" borderId="4" xfId="0" applyFont="1" applyFill="1" applyBorder="1" applyAlignment="1">
      <alignment horizontal="center" vertical="center" wrapText="1"/>
    </xf>
    <xf numFmtId="0" fontId="194" fillId="28" borderId="4" xfId="0" applyFont="1" applyFill="1" applyBorder="1" applyAlignment="1">
      <alignment horizontal="center" vertical="center" wrapText="1"/>
    </xf>
    <xf numFmtId="0" fontId="22" fillId="32" borderId="57" xfId="0" applyFont="1" applyFill="1" applyBorder="1" applyAlignment="1">
      <alignment horizontal="center" vertical="center"/>
    </xf>
    <xf numFmtId="0" fontId="108" fillId="32" borderId="72" xfId="0" applyFont="1" applyFill="1" applyBorder="1" applyAlignment="1">
      <alignment horizontal="center" vertical="center"/>
    </xf>
    <xf numFmtId="0" fontId="22" fillId="32" borderId="12" xfId="0" applyFont="1" applyFill="1" applyBorder="1" applyAlignment="1">
      <alignment horizontal="center" vertical="center"/>
    </xf>
    <xf numFmtId="0" fontId="22" fillId="17" borderId="12" xfId="0" applyFont="1" applyFill="1" applyBorder="1" applyAlignment="1">
      <alignment horizontal="center" vertical="center"/>
    </xf>
    <xf numFmtId="0" fontId="22" fillId="20" borderId="12" xfId="0" applyFont="1" applyFill="1" applyBorder="1" applyAlignment="1">
      <alignment horizontal="center" vertical="center"/>
    </xf>
    <xf numFmtId="0" fontId="108" fillId="32" borderId="58" xfId="0" applyFont="1" applyFill="1" applyBorder="1" applyAlignment="1">
      <alignment horizontal="center" vertical="center"/>
    </xf>
    <xf numFmtId="0" fontId="22" fillId="32" borderId="72" xfId="0" applyFont="1" applyFill="1" applyBorder="1" applyAlignment="1">
      <alignment horizontal="center" vertical="center"/>
    </xf>
    <xf numFmtId="0" fontId="108" fillId="32" borderId="61" xfId="0" applyFont="1" applyFill="1" applyBorder="1" applyAlignment="1">
      <alignment horizontal="center" vertical="center"/>
    </xf>
    <xf numFmtId="0" fontId="22" fillId="32" borderId="58" xfId="0" applyFont="1" applyFill="1" applyBorder="1" applyAlignment="1">
      <alignment horizontal="center" vertical="center"/>
    </xf>
    <xf numFmtId="0" fontId="22" fillId="32" borderId="55" xfId="0" applyFont="1" applyFill="1" applyBorder="1" applyAlignment="1">
      <alignment horizontal="center" vertical="center"/>
    </xf>
    <xf numFmtId="0" fontId="189" fillId="32" borderId="72" xfId="0" applyFont="1" applyFill="1" applyBorder="1" applyAlignment="1">
      <alignment horizontal="center" vertical="center"/>
    </xf>
    <xf numFmtId="0" fontId="189" fillId="28" borderId="72" xfId="0" applyFont="1" applyFill="1" applyBorder="1" applyAlignment="1">
      <alignment horizontal="center" vertical="center"/>
    </xf>
    <xf numFmtId="0" fontId="108" fillId="32" borderId="57" xfId="0" applyFont="1" applyFill="1" applyBorder="1" applyAlignment="1">
      <alignment horizontal="center" vertical="center"/>
    </xf>
    <xf numFmtId="0" fontId="197" fillId="22" borderId="4" xfId="0" applyFont="1" applyFill="1" applyBorder="1" applyAlignment="1">
      <alignment horizontal="center" vertical="center" wrapText="1"/>
    </xf>
    <xf numFmtId="0" fontId="194" fillId="29" borderId="4" xfId="0" applyFont="1" applyFill="1" applyBorder="1" applyAlignment="1">
      <alignment horizontal="center" vertical="center" wrapText="1"/>
    </xf>
    <xf numFmtId="0" fontId="194" fillId="33" borderId="4" xfId="0" applyFont="1" applyFill="1" applyBorder="1" applyAlignment="1">
      <alignment horizontal="center" vertical="center" wrapText="1"/>
    </xf>
    <xf numFmtId="0" fontId="194" fillId="23" borderId="5" xfId="0" applyFont="1" applyFill="1" applyBorder="1" applyAlignment="1">
      <alignment horizontal="center" vertical="center"/>
    </xf>
    <xf numFmtId="0" fontId="197" fillId="16" borderId="5" xfId="0" applyFont="1" applyFill="1" applyBorder="1" applyAlignment="1">
      <alignment horizontal="center" vertical="center"/>
    </xf>
    <xf numFmtId="0" fontId="22" fillId="33" borderId="57" xfId="0" applyFont="1" applyFill="1" applyBorder="1" applyAlignment="1">
      <alignment horizontal="center" vertical="center"/>
    </xf>
    <xf numFmtId="0" fontId="22" fillId="33" borderId="72" xfId="0" applyFont="1" applyFill="1" applyBorder="1" applyAlignment="1">
      <alignment horizontal="center" vertical="center"/>
    </xf>
    <xf numFmtId="0" fontId="189" fillId="23" borderId="73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0" fontId="189" fillId="24" borderId="13" xfId="0" applyFont="1" applyFill="1" applyBorder="1" applyAlignment="1">
      <alignment horizontal="center" vertical="center"/>
    </xf>
    <xf numFmtId="0" fontId="22" fillId="33" borderId="58" xfId="0" applyFont="1" applyFill="1" applyBorder="1" applyAlignment="1">
      <alignment horizontal="center" vertical="center"/>
    </xf>
    <xf numFmtId="0" fontId="22" fillId="33" borderId="61" xfId="0" applyFont="1" applyFill="1" applyBorder="1" applyAlignment="1">
      <alignment horizontal="center" vertical="center"/>
    </xf>
    <xf numFmtId="0" fontId="22" fillId="33" borderId="55" xfId="0" applyFont="1" applyFill="1" applyBorder="1" applyAlignment="1">
      <alignment horizontal="center" vertical="center"/>
    </xf>
    <xf numFmtId="0" fontId="189" fillId="23" borderId="58" xfId="0" applyFont="1" applyFill="1" applyBorder="1" applyAlignment="1">
      <alignment horizontal="center" vertical="center"/>
    </xf>
    <xf numFmtId="0" fontId="189" fillId="24" borderId="58" xfId="0" applyFont="1" applyFill="1" applyBorder="1" applyAlignment="1">
      <alignment horizontal="center" vertical="center"/>
    </xf>
    <xf numFmtId="0" fontId="189" fillId="31" borderId="12" xfId="0" applyFont="1" applyFill="1" applyBorder="1" applyAlignment="1">
      <alignment horizontal="center" vertical="center"/>
    </xf>
    <xf numFmtId="0" fontId="189" fillId="16" borderId="12" xfId="0" applyFont="1" applyFill="1" applyBorder="1" applyAlignment="1">
      <alignment horizontal="center" vertical="center"/>
    </xf>
    <xf numFmtId="0" fontId="189" fillId="31" borderId="58" xfId="0" applyFont="1" applyFill="1" applyBorder="1" applyAlignment="1">
      <alignment horizontal="center" vertical="center"/>
    </xf>
    <xf numFmtId="0" fontId="189" fillId="31" borderId="61" xfId="0" applyFont="1" applyFill="1" applyBorder="1" applyAlignment="1">
      <alignment horizontal="center" vertical="center"/>
    </xf>
    <xf numFmtId="0" fontId="189" fillId="31" borderId="55" xfId="0" applyFont="1" applyFill="1" applyBorder="1" applyAlignment="1">
      <alignment horizontal="center" vertical="center"/>
    </xf>
    <xf numFmtId="0" fontId="194" fillId="34" borderId="4" xfId="0" applyFont="1" applyFill="1" applyBorder="1" applyAlignment="1">
      <alignment horizontal="center" vertical="center" wrapText="1"/>
    </xf>
    <xf numFmtId="0" fontId="22" fillId="34" borderId="57" xfId="0" applyFont="1" applyFill="1" applyBorder="1" applyAlignment="1">
      <alignment horizontal="center" vertical="center"/>
    </xf>
    <xf numFmtId="0" fontId="108" fillId="34" borderId="72" xfId="0" applyFont="1" applyFill="1" applyBorder="1" applyAlignment="1">
      <alignment horizontal="center" vertical="center"/>
    </xf>
    <xf numFmtId="0" fontId="189" fillId="20" borderId="12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189" fillId="22" borderId="12" xfId="0" applyFont="1" applyFill="1" applyBorder="1" applyAlignment="1">
      <alignment horizontal="center" vertical="center"/>
    </xf>
    <xf numFmtId="0" fontId="108" fillId="34" borderId="58" xfId="0" applyFont="1" applyFill="1" applyBorder="1" applyAlignment="1">
      <alignment horizontal="center" vertical="center"/>
    </xf>
    <xf numFmtId="0" fontId="22" fillId="34" borderId="72" xfId="0" applyFont="1" applyFill="1" applyBorder="1" applyAlignment="1">
      <alignment horizontal="center" vertical="center"/>
    </xf>
    <xf numFmtId="0" fontId="108" fillId="34" borderId="61" xfId="0" applyFont="1" applyFill="1" applyBorder="1" applyAlignment="1">
      <alignment horizontal="center" vertical="center"/>
    </xf>
    <xf numFmtId="0" fontId="22" fillId="34" borderId="58" xfId="0" applyFont="1" applyFill="1" applyBorder="1" applyAlignment="1">
      <alignment horizontal="center" vertical="center"/>
    </xf>
    <xf numFmtId="0" fontId="22" fillId="34" borderId="55" xfId="0" applyFont="1" applyFill="1" applyBorder="1" applyAlignment="1">
      <alignment horizontal="center" vertical="center"/>
    </xf>
    <xf numFmtId="0" fontId="189" fillId="34" borderId="72" xfId="0" applyFont="1" applyFill="1" applyBorder="1" applyAlignment="1">
      <alignment horizontal="center" vertical="center"/>
    </xf>
    <xf numFmtId="0" fontId="108" fillId="34" borderId="57" xfId="0" applyFont="1" applyFill="1" applyBorder="1" applyAlignment="1">
      <alignment horizontal="center" vertical="center"/>
    </xf>
    <xf numFmtId="0" fontId="198" fillId="22" borderId="18" xfId="0" applyFont="1" applyFill="1" applyBorder="1" applyAlignment="1">
      <alignment horizontal="center" vertical="center"/>
    </xf>
    <xf numFmtId="0" fontId="189" fillId="12" borderId="61" xfId="0" applyFont="1" applyFill="1" applyBorder="1" applyAlignment="1">
      <alignment horizontal="center" vertical="center"/>
    </xf>
    <xf numFmtId="0" fontId="154" fillId="0" borderId="14" xfId="0" applyFont="1" applyBorder="1" applyAlignment="1">
      <alignment horizontal="center" vertical="center" wrapText="1"/>
    </xf>
    <xf numFmtId="0" fontId="108" fillId="32" borderId="55" xfId="0" applyFont="1" applyFill="1" applyBorder="1" applyAlignment="1">
      <alignment horizontal="center" vertical="center"/>
    </xf>
    <xf numFmtId="0" fontId="108" fillId="34" borderId="55" xfId="0" applyFont="1" applyFill="1" applyBorder="1" applyAlignment="1">
      <alignment horizontal="center" vertical="center"/>
    </xf>
    <xf numFmtId="0" fontId="200" fillId="0" borderId="69" xfId="0" applyFont="1" applyBorder="1" applyAlignment="1">
      <alignment horizontal="center" vertical="center"/>
    </xf>
    <xf numFmtId="0" fontId="200" fillId="0" borderId="33" xfId="0" applyFont="1" applyBorder="1" applyAlignment="1">
      <alignment horizontal="center" vertical="center"/>
    </xf>
    <xf numFmtId="0" fontId="200" fillId="0" borderId="6" xfId="0" applyFont="1" applyBorder="1" applyAlignment="1">
      <alignment horizontal="center" vertical="center"/>
    </xf>
    <xf numFmtId="0" fontId="194" fillId="0" borderId="30" xfId="0" applyFont="1" applyBorder="1" applyAlignment="1">
      <alignment horizontal="center" vertical="center"/>
    </xf>
    <xf numFmtId="0" fontId="14" fillId="12" borderId="34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center" vertical="center"/>
    </xf>
    <xf numFmtId="0" fontId="14" fillId="31" borderId="20" xfId="0" applyFont="1" applyFill="1" applyBorder="1" applyAlignment="1">
      <alignment horizontal="center" vertical="center"/>
    </xf>
    <xf numFmtId="0" fontId="14" fillId="15" borderId="20" xfId="0" applyFont="1" applyFill="1" applyBorder="1" applyAlignment="1">
      <alignment horizontal="center" vertical="center"/>
    </xf>
    <xf numFmtId="174" fontId="194" fillId="0" borderId="46" xfId="0" applyNumberFormat="1" applyFont="1" applyBorder="1" applyAlignment="1">
      <alignment horizontal="center" vertical="center"/>
    </xf>
    <xf numFmtId="174" fontId="14" fillId="12" borderId="51" xfId="0" applyNumberFormat="1" applyFont="1" applyFill="1" applyBorder="1" applyAlignment="1">
      <alignment horizontal="center" vertical="center"/>
    </xf>
    <xf numFmtId="0" fontId="14" fillId="13" borderId="55" xfId="0" applyFont="1" applyFill="1" applyBorder="1" applyAlignment="1">
      <alignment horizontal="center" vertical="center"/>
    </xf>
    <xf numFmtId="0" fontId="14" fillId="31" borderId="55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2" borderId="51" xfId="0" applyFont="1" applyFill="1" applyBorder="1" applyAlignment="1">
      <alignment horizontal="center" vertical="center"/>
    </xf>
    <xf numFmtId="0" fontId="14" fillId="31" borderId="57" xfId="0" applyFont="1" applyFill="1" applyBorder="1" applyAlignment="1">
      <alignment horizontal="center" vertical="center"/>
    </xf>
    <xf numFmtId="1" fontId="189" fillId="0" borderId="30" xfId="0" applyNumberFormat="1" applyFont="1" applyBorder="1" applyAlignment="1">
      <alignment horizontal="center" vertical="center"/>
    </xf>
    <xf numFmtId="0" fontId="14" fillId="12" borderId="52" xfId="0" applyFont="1" applyFill="1" applyBorder="1" applyAlignment="1">
      <alignment horizontal="center" vertical="center"/>
    </xf>
    <xf numFmtId="0" fontId="14" fillId="31" borderId="72" xfId="0" applyFont="1" applyFill="1" applyBorder="1" applyAlignment="1">
      <alignment horizontal="center" vertical="center"/>
    </xf>
    <xf numFmtId="174" fontId="194" fillId="0" borderId="43" xfId="0" applyNumberFormat="1" applyFont="1" applyBorder="1" applyAlignment="1">
      <alignment horizontal="center" vertical="center"/>
    </xf>
    <xf numFmtId="0" fontId="14" fillId="13" borderId="58" xfId="0" applyFont="1" applyFill="1" applyBorder="1" applyAlignment="1">
      <alignment horizontal="center" vertical="center"/>
    </xf>
    <xf numFmtId="0" fontId="14" fillId="31" borderId="58" xfId="0" applyFont="1" applyFill="1" applyBorder="1" applyAlignment="1">
      <alignment horizontal="center" vertical="center"/>
    </xf>
    <xf numFmtId="0" fontId="14" fillId="15" borderId="58" xfId="0" applyFont="1" applyFill="1" applyBorder="1" applyAlignment="1">
      <alignment horizontal="center" vertical="center"/>
    </xf>
    <xf numFmtId="0" fontId="194" fillId="0" borderId="43" xfId="0" applyFont="1" applyBorder="1" applyAlignment="1">
      <alignment horizontal="center" vertical="center"/>
    </xf>
    <xf numFmtId="0" fontId="14" fillId="12" borderId="39" xfId="0" applyFont="1" applyFill="1" applyBorder="1" applyAlignment="1">
      <alignment horizontal="center" vertical="center"/>
    </xf>
    <xf numFmtId="0" fontId="14" fillId="12" borderId="37" xfId="0" applyFont="1" applyFill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4" fillId="12" borderId="32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4" fillId="31" borderId="8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2" borderId="59" xfId="0" applyFont="1" applyFill="1" applyBorder="1" applyAlignment="1">
      <alignment horizontal="center" vertical="center"/>
    </xf>
    <xf numFmtId="0" fontId="14" fillId="13" borderId="61" xfId="0" applyFont="1" applyFill="1" applyBorder="1" applyAlignment="1">
      <alignment horizontal="center" vertical="center"/>
    </xf>
    <xf numFmtId="0" fontId="14" fillId="31" borderId="61" xfId="0" applyFont="1" applyFill="1" applyBorder="1" applyAlignment="1">
      <alignment horizontal="center" vertical="center"/>
    </xf>
    <xf numFmtId="0" fontId="14" fillId="15" borderId="61" xfId="0" applyFont="1" applyFill="1" applyBorder="1" applyAlignment="1">
      <alignment horizontal="center" vertical="center"/>
    </xf>
    <xf numFmtId="174" fontId="194" fillId="0" borderId="56" xfId="0" applyNumberFormat="1" applyFont="1" applyBorder="1" applyAlignment="1">
      <alignment horizontal="center" vertical="center"/>
    </xf>
    <xf numFmtId="174" fontId="14" fillId="12" borderId="49" xfId="0" applyNumberFormat="1" applyFont="1" applyFill="1" applyBorder="1" applyAlignment="1">
      <alignment horizontal="center" vertical="center"/>
    </xf>
    <xf numFmtId="0" fontId="192" fillId="0" borderId="37" xfId="0" applyFont="1" applyBorder="1" applyAlignment="1">
      <alignment horizontal="center" vertical="center"/>
    </xf>
    <xf numFmtId="0" fontId="192" fillId="0" borderId="68" xfId="0" applyFont="1" applyBorder="1" applyAlignment="1">
      <alignment horizontal="center" vertical="center"/>
    </xf>
    <xf numFmtId="0" fontId="14" fillId="12" borderId="61" xfId="0" applyFont="1" applyFill="1" applyBorder="1" applyAlignment="1">
      <alignment horizontal="center" vertical="center"/>
    </xf>
    <xf numFmtId="0" fontId="14" fillId="13" borderId="85" xfId="0" applyFont="1" applyFill="1" applyBorder="1" applyAlignment="1">
      <alignment horizontal="center" vertical="center"/>
    </xf>
    <xf numFmtId="174" fontId="14" fillId="12" borderId="70" xfId="0" applyNumberFormat="1" applyFont="1" applyFill="1" applyBorder="1" applyAlignment="1">
      <alignment horizontal="center" vertical="center"/>
    </xf>
    <xf numFmtId="174" fontId="14" fillId="13" borderId="86" xfId="0" applyNumberFormat="1" applyFont="1" applyFill="1" applyBorder="1" applyAlignment="1">
      <alignment horizontal="center" vertical="center"/>
    </xf>
    <xf numFmtId="174" fontId="194" fillId="0" borderId="49" xfId="0" applyNumberFormat="1" applyFont="1" applyBorder="1" applyAlignment="1">
      <alignment horizontal="center" vertical="center"/>
    </xf>
    <xf numFmtId="0" fontId="14" fillId="17" borderId="20" xfId="0" applyFont="1" applyFill="1" applyBorder="1" applyAlignment="1">
      <alignment horizontal="center" vertical="center"/>
    </xf>
    <xf numFmtId="0" fontId="14" fillId="16" borderId="20" xfId="0" applyFont="1" applyFill="1" applyBorder="1" applyAlignment="1">
      <alignment horizontal="center" vertical="center"/>
    </xf>
    <xf numFmtId="0" fontId="14" fillId="32" borderId="20" xfId="0" applyFont="1" applyFill="1" applyBorder="1" applyAlignment="1">
      <alignment horizontal="center" vertical="center"/>
    </xf>
    <xf numFmtId="0" fontId="14" fillId="36" borderId="20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19" borderId="20" xfId="0" applyFont="1" applyFill="1" applyBorder="1" applyAlignment="1">
      <alignment horizontal="center" vertical="center"/>
    </xf>
    <xf numFmtId="0" fontId="14" fillId="20" borderId="20" xfId="0" applyFont="1" applyFill="1" applyBorder="1" applyAlignment="1">
      <alignment horizontal="center" vertical="center"/>
    </xf>
    <xf numFmtId="0" fontId="14" fillId="17" borderId="55" xfId="0" applyFont="1" applyFill="1" applyBorder="1" applyAlignment="1">
      <alignment horizontal="center" vertical="center"/>
    </xf>
    <xf numFmtId="0" fontId="14" fillId="16" borderId="55" xfId="0" applyFont="1" applyFill="1" applyBorder="1" applyAlignment="1">
      <alignment horizontal="center" vertical="center"/>
    </xf>
    <xf numFmtId="0" fontId="14" fillId="32" borderId="55" xfId="0" applyFont="1" applyFill="1" applyBorder="1" applyAlignment="1">
      <alignment horizontal="center" vertical="center"/>
    </xf>
    <xf numFmtId="0" fontId="14" fillId="36" borderId="55" xfId="0" applyFont="1" applyFill="1" applyBorder="1" applyAlignment="1">
      <alignment horizontal="center" vertical="center"/>
    </xf>
    <xf numFmtId="0" fontId="14" fillId="3" borderId="55" xfId="0" applyFont="1" applyFill="1" applyBorder="1" applyAlignment="1">
      <alignment horizontal="center" vertical="center"/>
    </xf>
    <xf numFmtId="0" fontId="14" fillId="19" borderId="55" xfId="0" applyFont="1" applyFill="1" applyBorder="1" applyAlignment="1">
      <alignment horizontal="center" vertical="center"/>
    </xf>
    <xf numFmtId="0" fontId="14" fillId="20" borderId="55" xfId="0" applyFont="1" applyFill="1" applyBorder="1" applyAlignment="1">
      <alignment horizontal="center" vertical="center"/>
    </xf>
    <xf numFmtId="0" fontId="14" fillId="32" borderId="57" xfId="0" applyFont="1" applyFill="1" applyBorder="1" applyAlignment="1">
      <alignment horizontal="center" vertical="center"/>
    </xf>
    <xf numFmtId="0" fontId="14" fillId="36" borderId="57" xfId="0" applyFont="1" applyFill="1" applyBorder="1" applyAlignment="1">
      <alignment horizontal="center" vertical="center"/>
    </xf>
    <xf numFmtId="0" fontId="14" fillId="17" borderId="72" xfId="0" applyFont="1" applyFill="1" applyBorder="1" applyAlignment="1">
      <alignment horizontal="center" vertical="center"/>
    </xf>
    <xf numFmtId="0" fontId="14" fillId="16" borderId="72" xfId="0" applyFont="1" applyFill="1" applyBorder="1" applyAlignment="1">
      <alignment horizontal="center" vertical="center"/>
    </xf>
    <xf numFmtId="0" fontId="14" fillId="32" borderId="72" xfId="0" applyFont="1" applyFill="1" applyBorder="1" applyAlignment="1">
      <alignment horizontal="center" vertical="center"/>
    </xf>
    <xf numFmtId="0" fontId="14" fillId="36" borderId="72" xfId="0" applyFont="1" applyFill="1" applyBorder="1" applyAlignment="1">
      <alignment horizontal="center" vertical="center"/>
    </xf>
    <xf numFmtId="0" fontId="14" fillId="20" borderId="72" xfId="0" applyFont="1" applyFill="1" applyBorder="1" applyAlignment="1">
      <alignment horizontal="center" vertical="center"/>
    </xf>
    <xf numFmtId="0" fontId="14" fillId="17" borderId="58" xfId="0" applyFont="1" applyFill="1" applyBorder="1" applyAlignment="1">
      <alignment horizontal="center" vertical="center"/>
    </xf>
    <xf numFmtId="0" fontId="14" fillId="16" borderId="58" xfId="0" applyFont="1" applyFill="1" applyBorder="1" applyAlignment="1">
      <alignment horizontal="center" vertical="center"/>
    </xf>
    <xf numFmtId="0" fontId="14" fillId="32" borderId="58" xfId="0" applyFont="1" applyFill="1" applyBorder="1" applyAlignment="1">
      <alignment horizontal="center" vertical="center"/>
    </xf>
    <xf numFmtId="0" fontId="14" fillId="36" borderId="58" xfId="0" applyFont="1" applyFill="1" applyBorder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4" fillId="19" borderId="58" xfId="0" applyFont="1" applyFill="1" applyBorder="1" applyAlignment="1">
      <alignment horizontal="center" vertical="center"/>
    </xf>
    <xf numFmtId="0" fontId="14" fillId="20" borderId="58" xfId="0" applyFont="1" applyFill="1" applyBorder="1" applyAlignment="1">
      <alignment horizontal="center" vertical="center"/>
    </xf>
    <xf numFmtId="0" fontId="14" fillId="17" borderId="8" xfId="0" applyFont="1" applyFill="1" applyBorder="1" applyAlignment="1">
      <alignment horizontal="center" vertical="center"/>
    </xf>
    <xf numFmtId="0" fontId="14" fillId="16" borderId="8" xfId="0" applyFont="1" applyFill="1" applyBorder="1" applyAlignment="1">
      <alignment horizontal="center" vertical="center"/>
    </xf>
    <xf numFmtId="0" fontId="14" fillId="32" borderId="8" xfId="0" applyFont="1" applyFill="1" applyBorder="1" applyAlignment="1">
      <alignment horizontal="center" vertical="center"/>
    </xf>
    <xf numFmtId="0" fontId="14" fillId="36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center" vertical="center"/>
    </xf>
    <xf numFmtId="0" fontId="14" fillId="20" borderId="8" xfId="0" applyFont="1" applyFill="1" applyBorder="1" applyAlignment="1">
      <alignment horizontal="center" vertical="center"/>
    </xf>
    <xf numFmtId="0" fontId="14" fillId="17" borderId="61" xfId="0" applyFont="1" applyFill="1" applyBorder="1" applyAlignment="1">
      <alignment horizontal="center" vertical="center"/>
    </xf>
    <xf numFmtId="0" fontId="14" fillId="16" borderId="61" xfId="0" applyFont="1" applyFill="1" applyBorder="1" applyAlignment="1">
      <alignment horizontal="center" vertical="center"/>
    </xf>
    <xf numFmtId="0" fontId="14" fillId="32" borderId="61" xfId="0" applyFont="1" applyFill="1" applyBorder="1" applyAlignment="1">
      <alignment horizontal="center" vertical="center"/>
    </xf>
    <xf numFmtId="0" fontId="14" fillId="36" borderId="61" xfId="0" applyFont="1" applyFill="1" applyBorder="1" applyAlignment="1">
      <alignment horizontal="center" vertical="center"/>
    </xf>
    <xf numFmtId="0" fontId="14" fillId="3" borderId="61" xfId="0" applyFont="1" applyFill="1" applyBorder="1" applyAlignment="1">
      <alignment horizontal="center" vertical="center"/>
    </xf>
    <xf numFmtId="0" fontId="14" fillId="19" borderId="61" xfId="0" applyFont="1" applyFill="1" applyBorder="1" applyAlignment="1">
      <alignment horizontal="center" vertical="center"/>
    </xf>
    <xf numFmtId="0" fontId="14" fillId="20" borderId="61" xfId="0" applyFont="1" applyFill="1" applyBorder="1" applyAlignment="1">
      <alignment horizontal="center" vertical="center"/>
    </xf>
    <xf numFmtId="0" fontId="14" fillId="37" borderId="20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23" borderId="24" xfId="0" applyFont="1" applyFill="1" applyBorder="1" applyAlignment="1">
      <alignment horizontal="center" vertical="center"/>
    </xf>
    <xf numFmtId="0" fontId="14" fillId="24" borderId="24" xfId="0" applyFont="1" applyFill="1" applyBorder="1" applyAlignment="1">
      <alignment horizontal="center" vertical="center"/>
    </xf>
    <xf numFmtId="0" fontId="199" fillId="16" borderId="24" xfId="0" applyFont="1" applyFill="1" applyBorder="1" applyAlignment="1">
      <alignment horizontal="center" vertical="center"/>
    </xf>
    <xf numFmtId="0" fontId="14" fillId="37" borderId="55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14" fillId="23" borderId="62" xfId="0" applyFont="1" applyFill="1" applyBorder="1" applyAlignment="1">
      <alignment horizontal="center" vertical="center"/>
    </xf>
    <xf numFmtId="0" fontId="14" fillId="24" borderId="62" xfId="0" applyFont="1" applyFill="1" applyBorder="1" applyAlignment="1">
      <alignment horizontal="center" vertical="center"/>
    </xf>
    <xf numFmtId="0" fontId="199" fillId="16" borderId="62" xfId="0" applyFont="1" applyFill="1" applyBorder="1" applyAlignment="1">
      <alignment horizontal="center" vertical="center"/>
    </xf>
    <xf numFmtId="0" fontId="14" fillId="37" borderId="57" xfId="0" applyFont="1" applyFill="1" applyBorder="1" applyAlignment="1">
      <alignment horizontal="center" vertical="center"/>
    </xf>
    <xf numFmtId="0" fontId="14" fillId="23" borderId="63" xfId="0" applyFont="1" applyFill="1" applyBorder="1" applyAlignment="1">
      <alignment horizontal="center" vertical="center"/>
    </xf>
    <xf numFmtId="0" fontId="14" fillId="37" borderId="72" xfId="0" applyFont="1" applyFill="1" applyBorder="1" applyAlignment="1">
      <alignment horizontal="center" vertical="center"/>
    </xf>
    <xf numFmtId="0" fontId="14" fillId="23" borderId="72" xfId="0" applyFont="1" applyFill="1" applyBorder="1" applyAlignment="1">
      <alignment horizontal="center" vertical="center"/>
    </xf>
    <xf numFmtId="0" fontId="14" fillId="24" borderId="72" xfId="0" applyFont="1" applyFill="1" applyBorder="1" applyAlignment="1">
      <alignment horizontal="center" vertical="center"/>
    </xf>
    <xf numFmtId="0" fontId="14" fillId="37" borderId="58" xfId="0" applyFont="1" applyFill="1" applyBorder="1" applyAlignment="1">
      <alignment horizontal="center" vertical="center"/>
    </xf>
    <xf numFmtId="0" fontId="14" fillId="6" borderId="58" xfId="0" applyFont="1" applyFill="1" applyBorder="1" applyAlignment="1">
      <alignment horizontal="center" vertical="center"/>
    </xf>
    <xf numFmtId="0" fontId="14" fillId="23" borderId="64" xfId="0" applyFont="1" applyFill="1" applyBorder="1" applyAlignment="1">
      <alignment horizontal="center" vertical="center"/>
    </xf>
    <xf numFmtId="0" fontId="14" fillId="24" borderId="64" xfId="0" applyFont="1" applyFill="1" applyBorder="1" applyAlignment="1">
      <alignment horizontal="center" vertical="center"/>
    </xf>
    <xf numFmtId="0" fontId="199" fillId="16" borderId="64" xfId="0" applyFont="1" applyFill="1" applyBorder="1" applyAlignment="1">
      <alignment horizontal="center" vertical="center"/>
    </xf>
    <xf numFmtId="0" fontId="14" fillId="37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23" borderId="17" xfId="0" applyFont="1" applyFill="1" applyBorder="1" applyAlignment="1">
      <alignment horizontal="center" vertical="center"/>
    </xf>
    <xf numFmtId="0" fontId="14" fillId="24" borderId="17" xfId="0" applyFont="1" applyFill="1" applyBorder="1" applyAlignment="1">
      <alignment horizontal="center" vertical="center"/>
    </xf>
    <xf numFmtId="0" fontId="199" fillId="16" borderId="17" xfId="0" applyFont="1" applyFill="1" applyBorder="1" applyAlignment="1">
      <alignment horizontal="center" vertical="center"/>
    </xf>
    <xf numFmtId="0" fontId="14" fillId="37" borderId="61" xfId="0" applyFont="1" applyFill="1" applyBorder="1" applyAlignment="1">
      <alignment horizontal="center" vertical="center"/>
    </xf>
    <xf numFmtId="0" fontId="14" fillId="6" borderId="61" xfId="0" applyFont="1" applyFill="1" applyBorder="1" applyAlignment="1">
      <alignment horizontal="center" vertical="center"/>
    </xf>
    <xf numFmtId="0" fontId="14" fillId="23" borderId="66" xfId="0" applyFont="1" applyFill="1" applyBorder="1" applyAlignment="1">
      <alignment horizontal="center" vertical="center"/>
    </xf>
    <xf numFmtId="0" fontId="14" fillId="24" borderId="66" xfId="0" applyFont="1" applyFill="1" applyBorder="1" applyAlignment="1">
      <alignment horizontal="center" vertical="center"/>
    </xf>
    <xf numFmtId="0" fontId="199" fillId="16" borderId="66" xfId="0" applyFont="1" applyFill="1" applyBorder="1" applyAlignment="1">
      <alignment horizontal="center" vertical="center"/>
    </xf>
    <xf numFmtId="0" fontId="14" fillId="23" borderId="73" xfId="0" applyFont="1" applyFill="1" applyBorder="1" applyAlignment="1">
      <alignment horizontal="center" vertical="center"/>
    </xf>
    <xf numFmtId="0" fontId="14" fillId="23" borderId="61" xfId="0" applyFont="1" applyFill="1" applyBorder="1" applyAlignment="1">
      <alignment horizontal="center" vertical="center"/>
    </xf>
    <xf numFmtId="0" fontId="14" fillId="24" borderId="61" xfId="0" applyFont="1" applyFill="1" applyBorder="1" applyAlignment="1">
      <alignment horizontal="center" vertical="center"/>
    </xf>
    <xf numFmtId="0" fontId="199" fillId="16" borderId="61" xfId="0" applyFont="1" applyFill="1" applyBorder="1" applyAlignment="1">
      <alignment horizontal="center" vertical="center"/>
    </xf>
    <xf numFmtId="0" fontId="14" fillId="23" borderId="55" xfId="0" applyFont="1" applyFill="1" applyBorder="1" applyAlignment="1">
      <alignment horizontal="center" vertical="center"/>
    </xf>
    <xf numFmtId="0" fontId="14" fillId="24" borderId="55" xfId="0" applyFont="1" applyFill="1" applyBorder="1" applyAlignment="1">
      <alignment horizontal="center" vertical="center"/>
    </xf>
    <xf numFmtId="0" fontId="14" fillId="24" borderId="38" xfId="0" applyFont="1" applyFill="1" applyBorder="1" applyAlignment="1">
      <alignment horizontal="center" vertical="center"/>
    </xf>
    <xf numFmtId="0" fontId="14" fillId="23" borderId="53" xfId="0" applyFont="1" applyFill="1" applyBorder="1" applyAlignment="1">
      <alignment horizontal="center" vertical="center"/>
    </xf>
    <xf numFmtId="0" fontId="14" fillId="24" borderId="53" xfId="0" applyFont="1" applyFill="1" applyBorder="1" applyAlignment="1">
      <alignment horizontal="center" vertical="center"/>
    </xf>
    <xf numFmtId="0" fontId="199" fillId="16" borderId="53" xfId="0" applyFont="1" applyFill="1" applyBorder="1" applyAlignment="1">
      <alignment horizontal="center" vertical="center"/>
    </xf>
    <xf numFmtId="0" fontId="197" fillId="37" borderId="16" xfId="0" applyFont="1" applyFill="1" applyBorder="1" applyAlignment="1">
      <alignment horizontal="center" vertical="center" wrapText="1"/>
    </xf>
    <xf numFmtId="0" fontId="14" fillId="13" borderId="84" xfId="0" applyFont="1" applyFill="1" applyBorder="1" applyAlignment="1">
      <alignment horizontal="center" vertical="center"/>
    </xf>
    <xf numFmtId="0" fontId="199" fillId="37" borderId="24" xfId="0" applyFont="1" applyFill="1" applyBorder="1" applyAlignment="1">
      <alignment horizontal="center" vertical="center"/>
    </xf>
    <xf numFmtId="0" fontId="199" fillId="37" borderId="62" xfId="0" applyFont="1" applyFill="1" applyBorder="1" applyAlignment="1">
      <alignment horizontal="center" vertical="center"/>
    </xf>
    <xf numFmtId="0" fontId="14" fillId="13" borderId="54" xfId="0" applyFont="1" applyFill="1" applyBorder="1" applyAlignment="1">
      <alignment horizontal="center" vertical="center"/>
    </xf>
    <xf numFmtId="0" fontId="199" fillId="37" borderId="63" xfId="0" applyFont="1" applyFill="1" applyBorder="1" applyAlignment="1">
      <alignment horizontal="center" vertical="center"/>
    </xf>
    <xf numFmtId="0" fontId="199" fillId="37" borderId="57" xfId="0" applyFont="1" applyFill="1" applyBorder="1" applyAlignment="1">
      <alignment horizontal="center" vertical="center"/>
    </xf>
    <xf numFmtId="0" fontId="199" fillId="37" borderId="72" xfId="0" applyFont="1" applyFill="1" applyBorder="1" applyAlignment="1">
      <alignment horizontal="center" vertical="center"/>
    </xf>
    <xf numFmtId="0" fontId="199" fillId="37" borderId="64" xfId="0" applyFont="1" applyFill="1" applyBorder="1" applyAlignment="1">
      <alignment horizontal="center" vertical="center"/>
    </xf>
    <xf numFmtId="0" fontId="199" fillId="37" borderId="17" xfId="0" applyFont="1" applyFill="1" applyBorder="1" applyAlignment="1">
      <alignment horizontal="center" vertical="center"/>
    </xf>
    <xf numFmtId="0" fontId="199" fillId="37" borderId="66" xfId="0" applyFont="1" applyFill="1" applyBorder="1" applyAlignment="1">
      <alignment horizontal="center" vertical="center"/>
    </xf>
    <xf numFmtId="0" fontId="199" fillId="37" borderId="73" xfId="0" applyFont="1" applyFill="1" applyBorder="1" applyAlignment="1">
      <alignment horizontal="center" vertical="center"/>
    </xf>
    <xf numFmtId="0" fontId="199" fillId="37" borderId="61" xfId="0" applyFont="1" applyFill="1" applyBorder="1" applyAlignment="1">
      <alignment horizontal="center" vertical="center"/>
    </xf>
    <xf numFmtId="0" fontId="199" fillId="37" borderId="55" xfId="0" applyFont="1" applyFill="1" applyBorder="1" applyAlignment="1">
      <alignment horizontal="center" vertical="center"/>
    </xf>
    <xf numFmtId="168" fontId="195" fillId="0" borderId="34" xfId="0" applyNumberFormat="1" applyFont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/>
    </xf>
    <xf numFmtId="0" fontId="200" fillId="0" borderId="3" xfId="0" applyFont="1" applyBorder="1" applyAlignment="1">
      <alignment horizontal="center" vertical="center"/>
    </xf>
    <xf numFmtId="1" fontId="189" fillId="38" borderId="14" xfId="0" applyNumberFormat="1" applyFont="1" applyFill="1" applyBorder="1" applyAlignment="1">
      <alignment horizontal="center"/>
    </xf>
    <xf numFmtId="0" fontId="192" fillId="0" borderId="0" xfId="0" applyFont="1" applyAlignment="1">
      <alignment horizontal="center" vertical="center"/>
    </xf>
    <xf numFmtId="174" fontId="2" fillId="0" borderId="14" xfId="0" applyNumberFormat="1" applyFont="1" applyBorder="1" applyAlignment="1"/>
    <xf numFmtId="0" fontId="2" fillId="0" borderId="2" xfId="0" applyFont="1" applyBorder="1" applyAlignment="1"/>
    <xf numFmtId="0" fontId="200" fillId="0" borderId="47" xfId="0" applyFont="1" applyBorder="1" applyAlignment="1">
      <alignment horizontal="center" vertical="center"/>
    </xf>
    <xf numFmtId="0" fontId="200" fillId="0" borderId="50" xfId="0" applyFont="1" applyBorder="1" applyAlignment="1">
      <alignment horizontal="center" vertical="center"/>
    </xf>
    <xf numFmtId="174" fontId="1" fillId="12" borderId="3" xfId="0" applyNumberFormat="1" applyFont="1" applyFill="1" applyBorder="1" applyAlignment="1">
      <alignment horizontal="center" vertical="center"/>
    </xf>
    <xf numFmtId="174" fontId="14" fillId="12" borderId="3" xfId="0" applyNumberFormat="1" applyFont="1" applyFill="1" applyBorder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74" fontId="31" fillId="0" borderId="0" xfId="0" applyNumberFormat="1" applyFont="1" applyAlignment="1"/>
    <xf numFmtId="0" fontId="191" fillId="0" borderId="10" xfId="0" applyFont="1" applyBorder="1" applyAlignment="1">
      <alignment horizontal="center" vertical="center"/>
    </xf>
    <xf numFmtId="14" fontId="200" fillId="0" borderId="0" xfId="0" quotePrefix="1" applyNumberFormat="1" applyFont="1" applyAlignment="1">
      <alignment horizontal="center"/>
    </xf>
    <xf numFmtId="0" fontId="0" fillId="0" borderId="22" xfId="0" applyBorder="1">
      <alignment vertical="center"/>
    </xf>
    <xf numFmtId="0" fontId="210" fillId="0" borderId="22" xfId="0" applyFont="1" applyBorder="1">
      <alignment vertical="center"/>
    </xf>
    <xf numFmtId="174" fontId="8" fillId="3" borderId="32" xfId="0" applyNumberFormat="1" applyFont="1" applyFill="1" applyBorder="1" applyAlignment="1">
      <alignment horizontal="center"/>
    </xf>
    <xf numFmtId="0" fontId="189" fillId="13" borderId="4" xfId="0" applyFont="1" applyFill="1" applyBorder="1" applyAlignment="1">
      <alignment horizontal="center" vertical="center"/>
    </xf>
    <xf numFmtId="0" fontId="189" fillId="31" borderId="4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2" fillId="16" borderId="4" xfId="0" applyFont="1" applyFill="1" applyBorder="1" applyAlignment="1">
      <alignment horizontal="center" vertical="center"/>
    </xf>
    <xf numFmtId="0" fontId="22" fillId="32" borderId="4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0" fontId="22" fillId="28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19" borderId="4" xfId="0" applyFont="1" applyFill="1" applyBorder="1" applyAlignment="1">
      <alignment horizontal="center" vertical="center"/>
    </xf>
    <xf numFmtId="0" fontId="22" fillId="17" borderId="4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/>
    </xf>
    <xf numFmtId="0" fontId="198" fillId="22" borderId="4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29" borderId="4" xfId="0" applyFont="1" applyFill="1" applyBorder="1" applyAlignment="1">
      <alignment horizontal="center" vertical="center"/>
    </xf>
    <xf numFmtId="0" fontId="22" fillId="33" borderId="4" xfId="0" applyFont="1" applyFill="1" applyBorder="1" applyAlignment="1">
      <alignment horizontal="center" vertical="center"/>
    </xf>
    <xf numFmtId="0" fontId="22" fillId="23" borderId="4" xfId="0" applyFont="1" applyFill="1" applyBorder="1" applyAlignment="1">
      <alignment horizontal="center" vertical="center"/>
    </xf>
    <xf numFmtId="0" fontId="22" fillId="24" borderId="4" xfId="0" applyFont="1" applyFill="1" applyBorder="1" applyAlignment="1">
      <alignment horizontal="center" vertical="center"/>
    </xf>
    <xf numFmtId="0" fontId="198" fillId="16" borderId="16" xfId="0" applyFont="1" applyFill="1" applyBorder="1" applyAlignment="1">
      <alignment horizontal="center" vertical="center"/>
    </xf>
    <xf numFmtId="0" fontId="194" fillId="39" borderId="4" xfId="0" applyFont="1" applyFill="1" applyBorder="1" applyAlignment="1">
      <alignment horizontal="center" vertical="center" wrapText="1"/>
    </xf>
    <xf numFmtId="0" fontId="22" fillId="39" borderId="57" xfId="0" applyFont="1" applyFill="1" applyBorder="1" applyAlignment="1">
      <alignment horizontal="center" vertical="center"/>
    </xf>
    <xf numFmtId="0" fontId="22" fillId="39" borderId="72" xfId="0" applyFont="1" applyFill="1" applyBorder="1" applyAlignment="1">
      <alignment horizontal="center" vertical="center"/>
    </xf>
    <xf numFmtId="0" fontId="22" fillId="39" borderId="12" xfId="0" applyFont="1" applyFill="1" applyBorder="1" applyAlignment="1">
      <alignment horizontal="center" vertical="center"/>
    </xf>
    <xf numFmtId="0" fontId="22" fillId="39" borderId="58" xfId="0" applyFont="1" applyFill="1" applyBorder="1" applyAlignment="1">
      <alignment horizontal="center" vertical="center"/>
    </xf>
    <xf numFmtId="0" fontId="22" fillId="39" borderId="61" xfId="0" applyFont="1" applyFill="1" applyBorder="1" applyAlignment="1">
      <alignment horizontal="center" vertical="center"/>
    </xf>
    <xf numFmtId="0" fontId="22" fillId="39" borderId="55" xfId="0" applyFont="1" applyFill="1" applyBorder="1" applyAlignment="1">
      <alignment horizontal="center" vertical="center"/>
    </xf>
    <xf numFmtId="0" fontId="22" fillId="39" borderId="4" xfId="0" applyFont="1" applyFill="1" applyBorder="1" applyAlignment="1">
      <alignment horizontal="center" vertical="center"/>
    </xf>
    <xf numFmtId="0" fontId="14" fillId="23" borderId="58" xfId="0" applyFont="1" applyFill="1" applyBorder="1" applyAlignment="1">
      <alignment horizontal="center" vertical="center"/>
    </xf>
    <xf numFmtId="0" fontId="199" fillId="16" borderId="29" xfId="0" applyFont="1" applyFill="1" applyBorder="1" applyAlignment="1">
      <alignment horizontal="center" vertical="center"/>
    </xf>
    <xf numFmtId="0" fontId="199" fillId="16" borderId="41" xfId="0" applyFont="1" applyFill="1" applyBorder="1" applyAlignment="1">
      <alignment horizontal="center" vertical="center"/>
    </xf>
    <xf numFmtId="0" fontId="199" fillId="16" borderId="26" xfId="0" applyFont="1" applyFill="1" applyBorder="1" applyAlignment="1">
      <alignment horizontal="center" vertical="center"/>
    </xf>
    <xf numFmtId="0" fontId="199" fillId="16" borderId="60" xfId="0" applyFont="1" applyFill="1" applyBorder="1" applyAlignment="1">
      <alignment horizontal="center" vertical="center"/>
    </xf>
    <xf numFmtId="0" fontId="194" fillId="13" borderId="31" xfId="0" applyFont="1" applyFill="1" applyBorder="1" applyAlignment="1">
      <alignment horizontal="center" vertical="center" wrapText="1"/>
    </xf>
    <xf numFmtId="0" fontId="14" fillId="13" borderId="86" xfId="0" applyFont="1" applyFill="1" applyBorder="1" applyAlignment="1">
      <alignment horizontal="center" vertical="center"/>
    </xf>
    <xf numFmtId="0" fontId="14" fillId="13" borderId="82" xfId="0" applyFont="1" applyFill="1" applyBorder="1" applyAlignment="1">
      <alignment horizontal="center" vertical="center"/>
    </xf>
    <xf numFmtId="0" fontId="14" fillId="13" borderId="28" xfId="0" applyFont="1" applyFill="1" applyBorder="1" applyAlignment="1">
      <alignment horizontal="center" vertical="center"/>
    </xf>
    <xf numFmtId="0" fontId="14" fillId="13" borderId="83" xfId="0" applyFont="1" applyFill="1" applyBorder="1" applyAlignment="1">
      <alignment horizontal="center" vertical="center"/>
    </xf>
    <xf numFmtId="0" fontId="14" fillId="24" borderId="58" xfId="0" applyFont="1" applyFill="1" applyBorder="1" applyAlignment="1">
      <alignment horizontal="center" vertical="center"/>
    </xf>
    <xf numFmtId="0" fontId="14" fillId="12" borderId="40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vertical="center"/>
    </xf>
    <xf numFmtId="0" fontId="14" fillId="24" borderId="8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14" fillId="31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4" fillId="17" borderId="4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0" fontId="14" fillId="32" borderId="4" xfId="0" applyFont="1" applyFill="1" applyBorder="1" applyAlignment="1">
      <alignment horizontal="center" vertical="center"/>
    </xf>
    <xf numFmtId="0" fontId="14" fillId="36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horizontal="center" vertical="center"/>
    </xf>
    <xf numFmtId="0" fontId="14" fillId="37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23" borderId="4" xfId="0" applyFont="1" applyFill="1" applyBorder="1" applyAlignment="1">
      <alignment horizontal="center" vertical="center"/>
    </xf>
    <xf numFmtId="0" fontId="14" fillId="24" borderId="4" xfId="0" applyFont="1" applyFill="1" applyBorder="1" applyAlignment="1">
      <alignment horizontal="center" vertical="center"/>
    </xf>
    <xf numFmtId="0" fontId="199" fillId="16" borderId="16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12" fillId="3" borderId="16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/>
    </xf>
    <xf numFmtId="178" fontId="97" fillId="2" borderId="58" xfId="1" applyNumberFormat="1" applyFont="1" applyFill="1" applyBorder="1" applyAlignment="1" applyProtection="1">
      <alignment horizontal="center" vertical="top"/>
    </xf>
    <xf numFmtId="0" fontId="117" fillId="0" borderId="1" xfId="0" applyFont="1" applyBorder="1" applyAlignment="1">
      <alignment horizontal="left"/>
    </xf>
    <xf numFmtId="1" fontId="174" fillId="0" borderId="14" xfId="0" applyNumberFormat="1" applyFont="1" applyBorder="1" applyAlignment="1">
      <alignment horizontal="center"/>
    </xf>
    <xf numFmtId="0" fontId="102" fillId="0" borderId="43" xfId="0" applyFont="1" applyBorder="1" applyAlignment="1">
      <alignment horizontal="left"/>
    </xf>
    <xf numFmtId="0" fontId="94" fillId="0" borderId="46" xfId="0" applyFont="1" applyBorder="1" applyAlignment="1">
      <alignment horizontal="left"/>
    </xf>
    <xf numFmtId="0" fontId="88" fillId="0" borderId="56" xfId="0" applyFont="1" applyBorder="1" applyAlignment="1">
      <alignment horizontal="left"/>
    </xf>
    <xf numFmtId="1" fontId="21" fillId="2" borderId="56" xfId="0" applyNumberFormat="1" applyFont="1" applyFill="1" applyBorder="1" applyAlignment="1">
      <alignment horizontal="center"/>
    </xf>
    <xf numFmtId="0" fontId="102" fillId="0" borderId="45" xfId="0" applyFont="1" applyBorder="1" applyAlignment="1">
      <alignment horizontal="left"/>
    </xf>
    <xf numFmtId="1" fontId="21" fillId="2" borderId="30" xfId="0" applyNumberFormat="1" applyFont="1" applyFill="1" applyBorder="1" applyAlignment="1">
      <alignment horizontal="center"/>
    </xf>
    <xf numFmtId="0" fontId="102" fillId="0" borderId="14" xfId="0" applyFont="1" applyBorder="1" applyAlignment="1">
      <alignment horizontal="left"/>
    </xf>
    <xf numFmtId="0" fontId="95" fillId="0" borderId="14" xfId="0" applyFont="1" applyBorder="1" applyAlignment="1">
      <alignment horizontal="center"/>
    </xf>
    <xf numFmtId="167" fontId="112" fillId="2" borderId="14" xfId="0" applyNumberFormat="1" applyFont="1" applyFill="1" applyBorder="1" applyAlignment="1">
      <alignment horizontal="center"/>
    </xf>
    <xf numFmtId="0" fontId="90" fillId="6" borderId="3" xfId="0" applyFont="1" applyFill="1" applyBorder="1" applyAlignment="1">
      <alignment horizontal="center"/>
    </xf>
    <xf numFmtId="0" fontId="90" fillId="6" borderId="4" xfId="0" applyFont="1" applyFill="1" applyBorder="1" applyAlignment="1">
      <alignment horizontal="center"/>
    </xf>
    <xf numFmtId="0" fontId="90" fillId="6" borderId="4" xfId="1" applyNumberFormat="1" applyFont="1" applyFill="1" applyBorder="1" applyAlignment="1" applyProtection="1">
      <alignment horizontal="center" vertical="top"/>
    </xf>
    <xf numFmtId="43" fontId="90" fillId="6" borderId="2" xfId="1" applyFont="1" applyFill="1" applyBorder="1" applyAlignment="1" applyProtection="1">
      <alignment horizontal="center" vertical="top"/>
    </xf>
    <xf numFmtId="0" fontId="90" fillId="6" borderId="3" xfId="1" applyNumberFormat="1" applyFont="1" applyFill="1" applyBorder="1" applyAlignment="1" applyProtection="1">
      <alignment horizontal="center" vertical="top"/>
    </xf>
    <xf numFmtId="0" fontId="90" fillId="6" borderId="16" xfId="1" applyNumberFormat="1" applyFont="1" applyFill="1" applyBorder="1" applyAlignment="1" applyProtection="1">
      <alignment horizontal="center" vertical="top"/>
    </xf>
    <xf numFmtId="0" fontId="90" fillId="6" borderId="16" xfId="0" applyFont="1" applyFill="1" applyBorder="1" applyAlignment="1">
      <alignment horizontal="center"/>
    </xf>
    <xf numFmtId="0" fontId="90" fillId="6" borderId="1" xfId="1" applyNumberFormat="1" applyFont="1" applyFill="1" applyBorder="1" applyAlignment="1" applyProtection="1">
      <alignment horizontal="center" vertical="top"/>
    </xf>
    <xf numFmtId="0" fontId="90" fillId="6" borderId="14" xfId="1" applyNumberFormat="1" applyFont="1" applyFill="1" applyBorder="1" applyAlignment="1" applyProtection="1">
      <alignment horizontal="center" vertical="top"/>
    </xf>
    <xf numFmtId="0" fontId="90" fillId="6" borderId="2" xfId="1" applyNumberFormat="1" applyFont="1" applyFill="1" applyBorder="1" applyAlignment="1" applyProtection="1">
      <alignment horizontal="center" vertical="top"/>
    </xf>
    <xf numFmtId="0" fontId="90" fillId="6" borderId="14" xfId="1" applyNumberFormat="1" applyFont="1" applyFill="1" applyBorder="1" applyAlignment="1" applyProtection="1">
      <alignment horizontal="center"/>
    </xf>
    <xf numFmtId="165" fontId="90" fillId="6" borderId="15" xfId="0" applyNumberFormat="1" applyFont="1" applyFill="1" applyBorder="1" applyAlignment="1">
      <alignment horizontal="center"/>
    </xf>
    <xf numFmtId="0" fontId="88" fillId="0" borderId="51" xfId="0" applyFont="1" applyBorder="1" applyAlignment="1">
      <alignment horizontal="left"/>
    </xf>
    <xf numFmtId="1" fontId="21" fillId="2" borderId="9" xfId="0" applyNumberFormat="1" applyFont="1" applyFill="1" applyBorder="1" applyAlignment="1">
      <alignment horizontal="center"/>
    </xf>
    <xf numFmtId="1" fontId="137" fillId="2" borderId="23" xfId="0" applyNumberFormat="1" applyFont="1" applyFill="1" applyBorder="1" applyAlignment="1">
      <alignment horizontal="center"/>
    </xf>
    <xf numFmtId="1" fontId="137" fillId="2" borderId="43" xfId="0" applyNumberFormat="1" applyFont="1" applyFill="1" applyBorder="1" applyAlignment="1">
      <alignment horizontal="center"/>
    </xf>
    <xf numFmtId="1" fontId="130" fillId="2" borderId="43" xfId="0" applyNumberFormat="1" applyFont="1" applyFill="1" applyBorder="1" applyAlignment="1">
      <alignment horizontal="center"/>
    </xf>
    <xf numFmtId="0" fontId="86" fillId="0" borderId="1" xfId="0" applyFont="1" applyBorder="1" applyAlignment="1">
      <alignment horizontal="left"/>
    </xf>
    <xf numFmtId="14" fontId="91" fillId="0" borderId="44" xfId="0" applyNumberFormat="1" applyFont="1" applyBorder="1" applyAlignment="1">
      <alignment horizontal="center"/>
    </xf>
    <xf numFmtId="14" fontId="91" fillId="0" borderId="65" xfId="0" applyNumberFormat="1" applyFont="1" applyBorder="1" applyAlignment="1">
      <alignment horizontal="center"/>
    </xf>
    <xf numFmtId="0" fontId="178" fillId="0" borderId="34" xfId="0" applyFont="1" applyBorder="1" applyAlignment="1">
      <alignment horizontal="left"/>
    </xf>
    <xf numFmtId="0" fontId="178" fillId="0" borderId="41" xfId="0" applyFont="1" applyBorder="1" applyAlignment="1">
      <alignment horizontal="left"/>
    </xf>
    <xf numFmtId="0" fontId="178" fillId="0" borderId="51" xfId="0" applyFont="1" applyBorder="1" applyAlignment="1">
      <alignment horizontal="left"/>
    </xf>
    <xf numFmtId="1" fontId="174" fillId="0" borderId="23" xfId="0" applyNumberFormat="1" applyFont="1" applyBorder="1" applyAlignment="1">
      <alignment horizontal="center"/>
    </xf>
    <xf numFmtId="1" fontId="174" fillId="0" borderId="43" xfId="0" applyNumberFormat="1" applyFont="1" applyBorder="1" applyAlignment="1">
      <alignment horizontal="center"/>
    </xf>
    <xf numFmtId="1" fontId="177" fillId="2" borderId="43" xfId="0" applyNumberFormat="1" applyFont="1" applyFill="1" applyBorder="1" applyAlignment="1">
      <alignment horizontal="center"/>
    </xf>
    <xf numFmtId="1" fontId="139" fillId="2" borderId="43" xfId="0" applyNumberFormat="1" applyFont="1" applyFill="1" applyBorder="1" applyAlignment="1">
      <alignment horizontal="center"/>
    </xf>
    <xf numFmtId="1" fontId="139" fillId="2" borderId="30" xfId="0" applyNumberFormat="1" applyFont="1" applyFill="1" applyBorder="1" applyAlignment="1">
      <alignment horizontal="center"/>
    </xf>
    <xf numFmtId="1" fontId="21" fillId="2" borderId="43" xfId="0" applyNumberFormat="1" applyFont="1" applyFill="1" applyBorder="1" applyAlignment="1">
      <alignment horizontal="center"/>
    </xf>
    <xf numFmtId="171" fontId="86" fillId="0" borderId="2" xfId="0" applyNumberFormat="1" applyFont="1" applyBorder="1" applyAlignment="1">
      <alignment horizontal="center"/>
    </xf>
    <xf numFmtId="1" fontId="21" fillId="2" borderId="45" xfId="0" applyNumberFormat="1" applyFont="1" applyFill="1" applyBorder="1" applyAlignment="1">
      <alignment horizontal="center"/>
    </xf>
    <xf numFmtId="14" fontId="179" fillId="0" borderId="15" xfId="0" applyNumberFormat="1" applyFont="1" applyBorder="1" applyAlignment="1">
      <alignment horizontal="center"/>
    </xf>
    <xf numFmtId="0" fontId="178" fillId="0" borderId="14" xfId="0" applyFont="1" applyBorder="1" applyAlignment="1">
      <alignment horizontal="left"/>
    </xf>
    <xf numFmtId="0" fontId="99" fillId="0" borderId="47" xfId="0" applyFont="1" applyBorder="1" applyAlignment="1">
      <alignment horizontal="center"/>
    </xf>
    <xf numFmtId="0" fontId="99" fillId="0" borderId="69" xfId="0" applyFont="1" applyBorder="1" applyAlignment="1">
      <alignment horizontal="center"/>
    </xf>
    <xf numFmtId="171" fontId="86" fillId="0" borderId="14" xfId="0" applyNumberFormat="1" applyFont="1" applyBorder="1" applyAlignment="1">
      <alignment horizontal="center"/>
    </xf>
    <xf numFmtId="171" fontId="91" fillId="0" borderId="43" xfId="0" applyNumberFormat="1" applyFont="1" applyBorder="1" applyAlignment="1">
      <alignment horizontal="center"/>
    </xf>
    <xf numFmtId="171" fontId="91" fillId="0" borderId="30" xfId="0" applyNumberFormat="1" applyFont="1" applyBorder="1" applyAlignment="1">
      <alignment horizontal="center"/>
    </xf>
    <xf numFmtId="0" fontId="84" fillId="0" borderId="1" xfId="0" applyFont="1" applyBorder="1" applyAlignment="1">
      <alignment horizontal="left"/>
    </xf>
    <xf numFmtId="0" fontId="16" fillId="0" borderId="31" xfId="0" applyFont="1" applyBorder="1" applyAlignment="1">
      <alignment horizontal="center"/>
    </xf>
    <xf numFmtId="1" fontId="182" fillId="0" borderId="43" xfId="0" applyNumberFormat="1" applyFont="1" applyBorder="1" applyAlignment="1">
      <alignment horizontal="center"/>
    </xf>
    <xf numFmtId="1" fontId="21" fillId="2" borderId="10" xfId="0" applyNumberFormat="1" applyFont="1" applyFill="1" applyBorder="1" applyAlignment="1">
      <alignment horizontal="center"/>
    </xf>
    <xf numFmtId="0" fontId="94" fillId="0" borderId="56" xfId="0" applyFont="1" applyBorder="1" applyAlignment="1">
      <alignment horizontal="left"/>
    </xf>
    <xf numFmtId="1" fontId="182" fillId="0" borderId="44" xfId="0" applyNumberFormat="1" applyFont="1" applyBorder="1" applyAlignment="1">
      <alignment horizontal="center"/>
    </xf>
    <xf numFmtId="1" fontId="21" fillId="2" borderId="44" xfId="0" applyNumberFormat="1" applyFont="1" applyFill="1" applyBorder="1" applyAlignment="1">
      <alignment horizontal="center"/>
    </xf>
    <xf numFmtId="1" fontId="21" fillId="2" borderId="22" xfId="0" applyNumberFormat="1" applyFont="1" applyFill="1" applyBorder="1" applyAlignment="1">
      <alignment horizontal="center"/>
    </xf>
    <xf numFmtId="176" fontId="184" fillId="0" borderId="45" xfId="0" applyNumberFormat="1" applyFont="1" applyBorder="1" applyAlignment="1">
      <alignment horizontal="center"/>
    </xf>
    <xf numFmtId="14" fontId="91" fillId="0" borderId="43" xfId="0" applyNumberFormat="1" applyFont="1" applyBorder="1" applyAlignment="1">
      <alignment horizontal="center"/>
    </xf>
    <xf numFmtId="0" fontId="94" fillId="0" borderId="45" xfId="0" applyFont="1" applyBorder="1" applyAlignment="1">
      <alignment horizontal="left"/>
    </xf>
    <xf numFmtId="0" fontId="88" fillId="0" borderId="1" xfId="0" applyFont="1" applyBorder="1" applyAlignment="1">
      <alignment horizontal="left"/>
    </xf>
    <xf numFmtId="1" fontId="99" fillId="0" borderId="82" xfId="0" applyNumberFormat="1" applyFont="1" applyBorder="1" applyAlignment="1">
      <alignment horizontal="center"/>
    </xf>
    <xf numFmtId="1" fontId="21" fillId="2" borderId="2" xfId="0" applyNumberFormat="1" applyFont="1" applyFill="1" applyBorder="1" applyAlignment="1">
      <alignment horizontal="center"/>
    </xf>
    <xf numFmtId="1" fontId="99" fillId="0" borderId="43" xfId="0" applyNumberFormat="1" applyFont="1" applyBorder="1" applyAlignment="1">
      <alignment horizontal="center"/>
    </xf>
    <xf numFmtId="1" fontId="21" fillId="2" borderId="14" xfId="0" applyNumberFormat="1" applyFont="1" applyFill="1" applyBorder="1" applyAlignment="1">
      <alignment horizontal="center"/>
    </xf>
    <xf numFmtId="0" fontId="101" fillId="0" borderId="39" xfId="0" applyFont="1" applyBorder="1" applyAlignment="1">
      <alignment horizontal="left"/>
    </xf>
    <xf numFmtId="0" fontId="102" fillId="0" borderId="39" xfId="0" applyFont="1" applyBorder="1" applyAlignment="1">
      <alignment horizontal="left"/>
    </xf>
    <xf numFmtId="1" fontId="21" fillId="2" borderId="0" xfId="0" applyNumberFormat="1" applyFont="1" applyFill="1" applyAlignment="1">
      <alignment horizontal="center"/>
    </xf>
    <xf numFmtId="0" fontId="102" fillId="0" borderId="37" xfId="0" applyFont="1" applyBorder="1" applyAlignment="1">
      <alignment horizontal="left"/>
    </xf>
    <xf numFmtId="0" fontId="88" fillId="0" borderId="49" xfId="0" applyFont="1" applyBorder="1" applyAlignment="1">
      <alignment horizontal="left"/>
    </xf>
    <xf numFmtId="0" fontId="88" fillId="0" borderId="32" xfId="0" applyFont="1" applyBorder="1" applyAlignment="1">
      <alignment horizontal="left"/>
    </xf>
    <xf numFmtId="0" fontId="16" fillId="0" borderId="21" xfId="0" applyFont="1" applyBorder="1" applyAlignment="1">
      <alignment horizontal="center"/>
    </xf>
    <xf numFmtId="1" fontId="21" fillId="2" borderId="42" xfId="0" applyNumberFormat="1" applyFont="1" applyFill="1" applyBorder="1" applyAlignment="1">
      <alignment horizontal="center"/>
    </xf>
    <xf numFmtId="1" fontId="21" fillId="2" borderId="75" xfId="0" applyNumberFormat="1" applyFont="1" applyFill="1" applyBorder="1" applyAlignment="1">
      <alignment horizontal="center"/>
    </xf>
    <xf numFmtId="1" fontId="21" fillId="2" borderId="23" xfId="0" applyNumberFormat="1" applyFont="1" applyFill="1" applyBorder="1" applyAlignment="1">
      <alignment horizontal="center"/>
    </xf>
    <xf numFmtId="0" fontId="102" fillId="0" borderId="68" xfId="0" applyFont="1" applyBorder="1" applyAlignment="1">
      <alignment horizontal="left"/>
    </xf>
    <xf numFmtId="0" fontId="101" fillId="6" borderId="1" xfId="0" applyFont="1" applyFill="1" applyBorder="1" applyAlignment="1">
      <alignment horizontal="left"/>
    </xf>
    <xf numFmtId="1" fontId="21" fillId="6" borderId="14" xfId="0" applyNumberFormat="1" applyFont="1" applyFill="1" applyBorder="1" applyAlignment="1">
      <alignment horizontal="center"/>
    </xf>
    <xf numFmtId="1" fontId="21" fillId="6" borderId="2" xfId="0" applyNumberFormat="1" applyFont="1" applyFill="1" applyBorder="1" applyAlignment="1">
      <alignment horizontal="center"/>
    </xf>
    <xf numFmtId="14" fontId="91" fillId="6" borderId="14" xfId="0" applyNumberFormat="1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43" fontId="90" fillId="6" borderId="16" xfId="1" applyFont="1" applyFill="1" applyBorder="1" applyAlignment="1" applyProtection="1">
      <alignment horizontal="center" vertical="top"/>
    </xf>
    <xf numFmtId="0" fontId="94" fillId="0" borderId="34" xfId="0" applyFont="1" applyBorder="1" applyAlignment="1">
      <alignment horizontal="left"/>
    </xf>
    <xf numFmtId="1" fontId="95" fillId="0" borderId="30" xfId="0" applyNumberFormat="1" applyFont="1" applyBorder="1" applyAlignment="1">
      <alignment horizontal="center"/>
    </xf>
    <xf numFmtId="0" fontId="115" fillId="0" borderId="46" xfId="0" applyFont="1" applyBorder="1" applyAlignment="1">
      <alignment horizontal="center"/>
    </xf>
    <xf numFmtId="175" fontId="96" fillId="0" borderId="30" xfId="0" applyNumberFormat="1" applyFont="1" applyBorder="1" applyAlignment="1">
      <alignment horizontal="center"/>
    </xf>
    <xf numFmtId="175" fontId="96" fillId="0" borderId="56" xfId="0" applyNumberFormat="1" applyFont="1" applyBorder="1" applyAlignment="1">
      <alignment horizontal="center"/>
    </xf>
    <xf numFmtId="0" fontId="88" fillId="0" borderId="9" xfId="0" applyFont="1" applyBorder="1" applyAlignment="1">
      <alignment horizontal="left"/>
    </xf>
    <xf numFmtId="0" fontId="88" fillId="0" borderId="46" xfId="0" applyFont="1" applyBorder="1" applyAlignment="1">
      <alignment horizontal="left"/>
    </xf>
    <xf numFmtId="0" fontId="88" fillId="0" borderId="14" xfId="0" applyFont="1" applyBorder="1" applyAlignment="1">
      <alignment horizontal="left"/>
    </xf>
    <xf numFmtId="14" fontId="91" fillId="0" borderId="9" xfId="0" applyNumberFormat="1" applyFont="1" applyBorder="1" applyAlignment="1">
      <alignment horizontal="center"/>
    </xf>
    <xf numFmtId="0" fontId="26" fillId="3" borderId="3" xfId="0" applyFont="1" applyFill="1" applyBorder="1" applyAlignment="1">
      <alignment horizontal="center" vertical="center"/>
    </xf>
    <xf numFmtId="0" fontId="100" fillId="0" borderId="42" xfId="0" applyFont="1" applyBorder="1" applyAlignment="1"/>
    <xf numFmtId="0" fontId="100" fillId="0" borderId="44" xfId="0" applyFont="1" applyBorder="1" applyAlignment="1">
      <alignment horizontal="left"/>
    </xf>
    <xf numFmtId="0" fontId="100" fillId="0" borderId="75" xfId="0" applyFont="1" applyBorder="1" applyAlignment="1">
      <alignment horizontal="left"/>
    </xf>
    <xf numFmtId="0" fontId="104" fillId="0" borderId="23" xfId="0" applyFont="1" applyBorder="1" applyAlignment="1"/>
    <xf numFmtId="0" fontId="104" fillId="0" borderId="43" xfId="0" applyFont="1" applyBorder="1" applyAlignment="1">
      <alignment horizontal="left"/>
    </xf>
    <xf numFmtId="0" fontId="100" fillId="0" borderId="23" xfId="0" applyFont="1" applyBorder="1" applyAlignment="1"/>
    <xf numFmtId="0" fontId="100" fillId="0" borderId="43" xfId="0" applyFont="1" applyBorder="1" applyAlignment="1">
      <alignment horizontal="left"/>
    </xf>
    <xf numFmtId="0" fontId="100" fillId="0" borderId="56" xfId="0" applyFont="1" applyBorder="1" applyAlignment="1">
      <alignment horizontal="left"/>
    </xf>
    <xf numFmtId="0" fontId="94" fillId="0" borderId="37" xfId="0" applyFont="1" applyBorder="1" applyAlignment="1">
      <alignment horizontal="left"/>
    </xf>
    <xf numFmtId="0" fontId="94" fillId="0" borderId="68" xfId="0" applyFont="1" applyBorder="1" applyAlignment="1">
      <alignment horizontal="left"/>
    </xf>
    <xf numFmtId="1" fontId="95" fillId="0" borderId="67" xfId="0" applyNumberFormat="1" applyFont="1" applyBorder="1" applyAlignment="1">
      <alignment horizontal="center"/>
    </xf>
    <xf numFmtId="1" fontId="95" fillId="0" borderId="45" xfId="0" applyNumberFormat="1" applyFont="1" applyBorder="1" applyAlignment="1">
      <alignment horizontal="center"/>
    </xf>
    <xf numFmtId="0" fontId="94" fillId="0" borderId="41" xfId="0" applyFont="1" applyBorder="1" applyAlignment="1">
      <alignment horizontal="left"/>
    </xf>
    <xf numFmtId="0" fontId="100" fillId="0" borderId="2" xfId="0" applyFont="1" applyBorder="1" applyAlignment="1"/>
    <xf numFmtId="0" fontId="100" fillId="0" borderId="14" xfId="0" applyFont="1" applyBorder="1" applyAlignment="1"/>
    <xf numFmtId="0" fontId="100" fillId="0" borderId="22" xfId="0" applyFont="1" applyBorder="1" applyAlignment="1">
      <alignment horizontal="left"/>
    </xf>
    <xf numFmtId="0" fontId="100" fillId="0" borderId="14" xfId="0" applyFont="1" applyBorder="1" applyAlignment="1">
      <alignment horizontal="left"/>
    </xf>
    <xf numFmtId="169" fontId="37" fillId="0" borderId="15" xfId="0" applyNumberFormat="1" applyFont="1" applyBorder="1" applyAlignment="1">
      <alignment horizontal="center"/>
    </xf>
    <xf numFmtId="3" fontId="211" fillId="0" borderId="14" xfId="0" applyNumberFormat="1" applyFont="1" applyBorder="1" applyAlignment="1">
      <alignment horizontal="center"/>
    </xf>
    <xf numFmtId="170" fontId="87" fillId="0" borderId="8" xfId="1" applyNumberFormat="1" applyFont="1" applyBorder="1" applyAlignment="1" applyProtection="1">
      <alignment horizontal="center" vertical="top"/>
    </xf>
    <xf numFmtId="165" fontId="87" fillId="0" borderId="28" xfId="1" applyNumberFormat="1" applyFont="1" applyBorder="1" applyAlignment="1" applyProtection="1">
      <alignment horizontal="center" vertical="top"/>
    </xf>
    <xf numFmtId="169" fontId="97" fillId="2" borderId="42" xfId="1" applyNumberFormat="1" applyFont="1" applyFill="1" applyBorder="1" applyAlignment="1" applyProtection="1">
      <alignment vertical="top"/>
    </xf>
    <xf numFmtId="169" fontId="97" fillId="2" borderId="44" xfId="1" applyNumberFormat="1" applyFont="1" applyFill="1" applyBorder="1" applyAlignment="1" applyProtection="1">
      <alignment horizontal="center" vertical="top"/>
    </xf>
    <xf numFmtId="0" fontId="19" fillId="3" borderId="14" xfId="0" applyFont="1" applyFill="1" applyBorder="1">
      <alignment vertical="center"/>
    </xf>
    <xf numFmtId="14" fontId="96" fillId="0" borderId="51" xfId="0" applyNumberFormat="1" applyFont="1" applyBorder="1" applyAlignment="1">
      <alignment horizontal="center"/>
    </xf>
    <xf numFmtId="175" fontId="96" fillId="0" borderId="39" xfId="0" applyNumberFormat="1" applyFont="1" applyBorder="1" applyAlignment="1">
      <alignment horizontal="center"/>
    </xf>
    <xf numFmtId="175" fontId="96" fillId="0" borderId="51" xfId="0" applyNumberFormat="1" applyFont="1" applyBorder="1" applyAlignment="1">
      <alignment horizontal="center"/>
    </xf>
    <xf numFmtId="175" fontId="96" fillId="0" borderId="32" xfId="0" applyNumberFormat="1" applyFont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64" fillId="0" borderId="30" xfId="0" applyFont="1" applyBorder="1">
      <alignment vertical="center"/>
    </xf>
    <xf numFmtId="165" fontId="6" fillId="0" borderId="46" xfId="0" applyNumberFormat="1" applyFont="1" applyBorder="1" applyAlignment="1"/>
    <xf numFmtId="165" fontId="6" fillId="0" borderId="14" xfId="0" applyNumberFormat="1" applyFont="1" applyBorder="1" applyAlignment="1"/>
    <xf numFmtId="9" fontId="97" fillId="2" borderId="58" xfId="3" applyFont="1" applyFill="1" applyBorder="1" applyAlignment="1">
      <alignment horizontal="center"/>
    </xf>
    <xf numFmtId="43" fontId="97" fillId="2" borderId="41" xfId="1" applyFont="1" applyFill="1" applyBorder="1" applyAlignment="1" applyProtection="1">
      <alignment horizontal="center" vertical="top"/>
    </xf>
    <xf numFmtId="0" fontId="97" fillId="2" borderId="34" xfId="1" applyNumberFormat="1" applyFont="1" applyFill="1" applyBorder="1" applyAlignment="1" applyProtection="1">
      <alignment horizontal="center" vertical="top"/>
    </xf>
    <xf numFmtId="0" fontId="97" fillId="2" borderId="32" xfId="1" applyNumberFormat="1" applyFont="1" applyFill="1" applyBorder="1" applyAlignment="1" applyProtection="1">
      <alignment horizontal="center" vertical="top"/>
    </xf>
    <xf numFmtId="0" fontId="97" fillId="2" borderId="69" xfId="1" applyNumberFormat="1" applyFont="1" applyFill="1" applyBorder="1" applyAlignment="1" applyProtection="1">
      <alignment horizontal="center"/>
    </xf>
    <xf numFmtId="0" fontId="87" fillId="2" borderId="47" xfId="1" applyNumberFormat="1" applyFont="1" applyFill="1" applyBorder="1" applyAlignment="1" applyProtection="1">
      <alignment horizontal="center"/>
    </xf>
    <xf numFmtId="0" fontId="97" fillId="2" borderId="47" xfId="1" applyNumberFormat="1" applyFont="1" applyFill="1" applyBorder="1" applyAlignment="1" applyProtection="1">
      <alignment horizontal="center"/>
    </xf>
    <xf numFmtId="0" fontId="97" fillId="2" borderId="48" xfId="1" applyNumberFormat="1" applyFont="1" applyFill="1" applyBorder="1" applyAlignment="1" applyProtection="1">
      <alignment horizontal="center"/>
    </xf>
    <xf numFmtId="0" fontId="97" fillId="2" borderId="74" xfId="1" applyNumberFormat="1" applyFont="1" applyFill="1" applyBorder="1" applyAlignment="1" applyProtection="1">
      <alignment horizontal="center"/>
    </xf>
    <xf numFmtId="0" fontId="97" fillId="2" borderId="35" xfId="1" applyNumberFormat="1" applyFont="1" applyFill="1" applyBorder="1" applyAlignment="1" applyProtection="1">
      <alignment horizontal="center"/>
    </xf>
    <xf numFmtId="0" fontId="133" fillId="3" borderId="11" xfId="0" applyFont="1" applyFill="1" applyBorder="1" applyAlignment="1">
      <alignment horizontal="center" vertical="center"/>
    </xf>
    <xf numFmtId="0" fontId="133" fillId="3" borderId="12" xfId="0" applyFont="1" applyFill="1" applyBorder="1" applyAlignment="1">
      <alignment horizontal="center" vertical="center"/>
    </xf>
    <xf numFmtId="0" fontId="213" fillId="3" borderId="14" xfId="0" applyFont="1" applyFill="1" applyBorder="1" applyAlignment="1">
      <alignment horizontal="center"/>
    </xf>
    <xf numFmtId="0" fontId="213" fillId="3" borderId="5" xfId="0" applyFont="1" applyFill="1" applyBorder="1" applyAlignment="1">
      <alignment horizontal="center" vertical="center"/>
    </xf>
    <xf numFmtId="0" fontId="133" fillId="3" borderId="4" xfId="0" applyFont="1" applyFill="1" applyBorder="1" applyAlignment="1">
      <alignment horizontal="center" vertical="center"/>
    </xf>
    <xf numFmtId="0" fontId="133" fillId="3" borderId="13" xfId="0" applyFont="1" applyFill="1" applyBorder="1" applyAlignment="1">
      <alignment horizontal="center" vertical="center"/>
    </xf>
    <xf numFmtId="0" fontId="133" fillId="3" borderId="3" xfId="0" applyFont="1" applyFill="1" applyBorder="1" applyAlignment="1">
      <alignment horizontal="center" vertical="center"/>
    </xf>
    <xf numFmtId="0" fontId="133" fillId="3" borderId="5" xfId="0" applyFont="1" applyFill="1" applyBorder="1" applyAlignment="1">
      <alignment horizontal="center" vertical="center"/>
    </xf>
    <xf numFmtId="0" fontId="213" fillId="3" borderId="16" xfId="0" applyFont="1" applyFill="1" applyBorder="1" applyAlignment="1">
      <alignment horizontal="center" vertical="center"/>
    </xf>
    <xf numFmtId="0" fontId="133" fillId="3" borderId="16" xfId="0" applyFont="1" applyFill="1" applyBorder="1" applyAlignment="1">
      <alignment horizontal="center" vertical="center"/>
    </xf>
    <xf numFmtId="0" fontId="213" fillId="3" borderId="14" xfId="0" applyFont="1" applyFill="1" applyBorder="1" applyAlignment="1">
      <alignment horizontal="left"/>
    </xf>
    <xf numFmtId="0" fontId="14" fillId="3" borderId="62" xfId="0" applyFont="1" applyFill="1" applyBorder="1" applyAlignment="1">
      <alignment horizontal="center" vertical="center"/>
    </xf>
    <xf numFmtId="0" fontId="199" fillId="37" borderId="52" xfId="0" applyFont="1" applyFill="1" applyBorder="1" applyAlignment="1">
      <alignment horizontal="center" vertical="center"/>
    </xf>
    <xf numFmtId="0" fontId="199" fillId="16" borderId="46" xfId="0" applyFont="1" applyFill="1" applyBorder="1" applyAlignment="1">
      <alignment horizontal="center" vertical="center"/>
    </xf>
    <xf numFmtId="0" fontId="214" fillId="3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5" fontId="105" fillId="0" borderId="1" xfId="1" applyNumberFormat="1" applyFont="1" applyBorder="1" applyAlignment="1" applyProtection="1">
      <alignment vertical="top"/>
    </xf>
    <xf numFmtId="0" fontId="6" fillId="0" borderId="39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165" fontId="9" fillId="0" borderId="14" xfId="1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/>
    <xf numFmtId="0" fontId="194" fillId="33" borderId="13" xfId="0" applyFont="1" applyFill="1" applyBorder="1" applyAlignment="1">
      <alignment horizontal="center" vertical="center" wrapText="1"/>
    </xf>
    <xf numFmtId="0" fontId="22" fillId="33" borderId="38" xfId="0" applyFont="1" applyFill="1" applyBorder="1" applyAlignment="1">
      <alignment horizontal="center" vertical="center"/>
    </xf>
    <xf numFmtId="0" fontId="22" fillId="33" borderId="41" xfId="0" applyFont="1" applyFill="1" applyBorder="1" applyAlignment="1">
      <alignment horizontal="center" vertical="center"/>
    </xf>
    <xf numFmtId="0" fontId="22" fillId="33" borderId="71" xfId="0" applyFont="1" applyFill="1" applyBorder="1" applyAlignment="1">
      <alignment horizontal="center" vertical="center"/>
    </xf>
    <xf numFmtId="0" fontId="22" fillId="33" borderId="60" xfId="0" applyFont="1" applyFill="1" applyBorder="1" applyAlignment="1">
      <alignment horizontal="center" vertical="center"/>
    </xf>
    <xf numFmtId="0" fontId="22" fillId="33" borderId="53" xfId="0" applyFont="1" applyFill="1" applyBorder="1" applyAlignment="1">
      <alignment horizontal="center" vertical="center"/>
    </xf>
    <xf numFmtId="0" fontId="14" fillId="33" borderId="38" xfId="0" applyFont="1" applyFill="1" applyBorder="1" applyAlignment="1">
      <alignment horizontal="center" vertical="center"/>
    </xf>
    <xf numFmtId="0" fontId="194" fillId="40" borderId="13" xfId="0" applyFont="1" applyFill="1" applyBorder="1" applyAlignment="1">
      <alignment horizontal="center" vertical="center" wrapText="1"/>
    </xf>
    <xf numFmtId="0" fontId="22" fillId="40" borderId="38" xfId="0" applyFont="1" applyFill="1" applyBorder="1" applyAlignment="1">
      <alignment horizontal="center" vertical="center"/>
    </xf>
    <xf numFmtId="0" fontId="22" fillId="40" borderId="41" xfId="0" applyFont="1" applyFill="1" applyBorder="1" applyAlignment="1">
      <alignment horizontal="center" vertical="center"/>
    </xf>
    <xf numFmtId="0" fontId="22" fillId="40" borderId="71" xfId="0" applyFont="1" applyFill="1" applyBorder="1" applyAlignment="1">
      <alignment horizontal="center" vertical="center"/>
    </xf>
    <xf numFmtId="0" fontId="22" fillId="40" borderId="60" xfId="0" applyFont="1" applyFill="1" applyBorder="1" applyAlignment="1">
      <alignment horizontal="center" vertical="center"/>
    </xf>
    <xf numFmtId="0" fontId="22" fillId="40" borderId="53" xfId="0" applyFont="1" applyFill="1" applyBorder="1" applyAlignment="1">
      <alignment horizontal="center" vertical="center"/>
    </xf>
    <xf numFmtId="0" fontId="14" fillId="40" borderId="38" xfId="0" applyFont="1" applyFill="1" applyBorder="1" applyAlignment="1">
      <alignment horizontal="center" vertical="center"/>
    </xf>
    <xf numFmtId="0" fontId="22" fillId="40" borderId="57" xfId="0" applyFont="1" applyFill="1" applyBorder="1" applyAlignment="1">
      <alignment horizontal="center" vertical="center"/>
    </xf>
    <xf numFmtId="0" fontId="22" fillId="40" borderId="72" xfId="0" applyFont="1" applyFill="1" applyBorder="1" applyAlignment="1">
      <alignment horizontal="center" vertical="center"/>
    </xf>
    <xf numFmtId="1" fontId="105" fillId="0" borderId="8" xfId="1" applyNumberFormat="1" applyFont="1" applyBorder="1" applyAlignment="1" applyProtection="1">
      <alignment horizontal="center" vertical="top"/>
    </xf>
    <xf numFmtId="0" fontId="199" fillId="41" borderId="29" xfId="0" applyFont="1" applyFill="1" applyBorder="1" applyAlignment="1">
      <alignment horizontal="center" vertical="center"/>
    </xf>
    <xf numFmtId="0" fontId="199" fillId="41" borderId="53" xfId="0" applyFont="1" applyFill="1" applyBorder="1" applyAlignment="1">
      <alignment horizontal="center" vertical="center"/>
    </xf>
    <xf numFmtId="0" fontId="199" fillId="41" borderId="38" xfId="0" applyFont="1" applyFill="1" applyBorder="1" applyAlignment="1">
      <alignment horizontal="center" vertical="center"/>
    </xf>
    <xf numFmtId="0" fontId="199" fillId="41" borderId="71" xfId="0" applyFont="1" applyFill="1" applyBorder="1" applyAlignment="1">
      <alignment horizontal="center" vertical="center"/>
    </xf>
    <xf numFmtId="0" fontId="199" fillId="41" borderId="60" xfId="0" applyFont="1" applyFill="1" applyBorder="1" applyAlignment="1">
      <alignment horizontal="center" vertical="center"/>
    </xf>
    <xf numFmtId="0" fontId="199" fillId="41" borderId="41" xfId="0" applyFont="1" applyFill="1" applyBorder="1" applyAlignment="1">
      <alignment horizontal="center" vertical="center"/>
    </xf>
    <xf numFmtId="0" fontId="199" fillId="41" borderId="26" xfId="0" applyFont="1" applyFill="1" applyBorder="1" applyAlignment="1">
      <alignment horizontal="center" vertical="center"/>
    </xf>
    <xf numFmtId="0" fontId="199" fillId="41" borderId="63" xfId="0" applyFont="1" applyFill="1" applyBorder="1" applyAlignment="1">
      <alignment horizontal="center" vertical="center"/>
    </xf>
    <xf numFmtId="0" fontId="199" fillId="41" borderId="66" xfId="0" applyFont="1" applyFill="1" applyBorder="1" applyAlignment="1">
      <alignment horizontal="center" vertical="center"/>
    </xf>
    <xf numFmtId="0" fontId="199" fillId="41" borderId="73" xfId="0" applyFont="1" applyFill="1" applyBorder="1" applyAlignment="1">
      <alignment horizontal="center" vertical="center"/>
    </xf>
    <xf numFmtId="0" fontId="199" fillId="41" borderId="64" xfId="0" applyFont="1" applyFill="1" applyBorder="1" applyAlignment="1">
      <alignment horizontal="center" vertical="center"/>
    </xf>
    <xf numFmtId="0" fontId="199" fillId="41" borderId="62" xfId="0" applyFont="1" applyFill="1" applyBorder="1" applyAlignment="1">
      <alignment horizontal="center" vertical="center"/>
    </xf>
    <xf numFmtId="0" fontId="199" fillId="41" borderId="16" xfId="0" applyFont="1" applyFill="1" applyBorder="1" applyAlignment="1">
      <alignment horizontal="center" vertical="center"/>
    </xf>
    <xf numFmtId="0" fontId="199" fillId="41" borderId="17" xfId="0" applyFont="1" applyFill="1" applyBorder="1" applyAlignment="1">
      <alignment horizontal="center" vertical="center"/>
    </xf>
    <xf numFmtId="0" fontId="14" fillId="42" borderId="57" xfId="0" applyFont="1" applyFill="1" applyBorder="1" applyAlignment="1">
      <alignment horizontal="center" vertical="center"/>
    </xf>
    <xf numFmtId="0" fontId="14" fillId="42" borderId="58" xfId="0" applyFont="1" applyFill="1" applyBorder="1" applyAlignment="1">
      <alignment horizontal="center" vertical="center"/>
    </xf>
    <xf numFmtId="0" fontId="14" fillId="42" borderId="72" xfId="0" applyFont="1" applyFill="1" applyBorder="1" applyAlignment="1">
      <alignment horizontal="center" vertical="center"/>
    </xf>
    <xf numFmtId="0" fontId="14" fillId="42" borderId="61" xfId="0" applyFont="1" applyFill="1" applyBorder="1" applyAlignment="1">
      <alignment horizontal="center" vertical="center"/>
    </xf>
    <xf numFmtId="0" fontId="14" fillId="42" borderId="55" xfId="0" applyFont="1" applyFill="1" applyBorder="1" applyAlignment="1">
      <alignment horizontal="center" vertical="center"/>
    </xf>
    <xf numFmtId="0" fontId="14" fillId="42" borderId="4" xfId="0" applyFont="1" applyFill="1" applyBorder="1" applyAlignment="1">
      <alignment horizontal="center" vertical="center"/>
    </xf>
    <xf numFmtId="0" fontId="14" fillId="42" borderId="8" xfId="0" applyFont="1" applyFill="1" applyBorder="1" applyAlignment="1">
      <alignment horizontal="center" vertical="center"/>
    </xf>
    <xf numFmtId="0" fontId="14" fillId="42" borderId="24" xfId="0" applyFont="1" applyFill="1" applyBorder="1" applyAlignment="1">
      <alignment horizontal="center" vertical="center"/>
    </xf>
    <xf numFmtId="0" fontId="14" fillId="42" borderId="62" xfId="0" applyFont="1" applyFill="1" applyBorder="1" applyAlignment="1">
      <alignment horizontal="center" vertical="center"/>
    </xf>
    <xf numFmtId="0" fontId="14" fillId="42" borderId="23" xfId="0" applyFont="1" applyFill="1" applyBorder="1" applyAlignment="1">
      <alignment horizontal="center" vertical="center"/>
    </xf>
    <xf numFmtId="0" fontId="14" fillId="42" borderId="56" xfId="0" applyFont="1" applyFill="1" applyBorder="1" applyAlignment="1">
      <alignment horizontal="center" vertical="center"/>
    </xf>
    <xf numFmtId="0" fontId="14" fillId="42" borderId="60" xfId="0" applyFont="1" applyFill="1" applyBorder="1" applyAlignment="1">
      <alignment horizontal="center" vertical="center"/>
    </xf>
    <xf numFmtId="0" fontId="14" fillId="42" borderId="71" xfId="0" applyFont="1" applyFill="1" applyBorder="1" applyAlignment="1">
      <alignment horizontal="center" vertical="center"/>
    </xf>
    <xf numFmtId="0" fontId="14" fillId="42" borderId="64" xfId="0" applyFont="1" applyFill="1" applyBorder="1" applyAlignment="1">
      <alignment horizontal="center" vertical="center"/>
    </xf>
    <xf numFmtId="0" fontId="14" fillId="42" borderId="63" xfId="0" applyFont="1" applyFill="1" applyBorder="1" applyAlignment="1">
      <alignment horizontal="center" vertical="center"/>
    </xf>
    <xf numFmtId="0" fontId="14" fillId="42" borderId="17" xfId="0" applyFont="1" applyFill="1" applyBorder="1" applyAlignment="1">
      <alignment horizontal="center" vertical="center"/>
    </xf>
    <xf numFmtId="0" fontId="14" fillId="42" borderId="66" xfId="0" applyFont="1" applyFill="1" applyBorder="1" applyAlignment="1">
      <alignment horizontal="center" vertical="center"/>
    </xf>
    <xf numFmtId="0" fontId="14" fillId="42" borderId="73" xfId="0" applyFont="1" applyFill="1" applyBorder="1" applyAlignment="1">
      <alignment horizontal="center" vertical="center"/>
    </xf>
    <xf numFmtId="0" fontId="14" fillId="42" borderId="38" xfId="0" applyFont="1" applyFill="1" applyBorder="1" applyAlignment="1">
      <alignment horizontal="center" vertical="center"/>
    </xf>
    <xf numFmtId="0" fontId="14" fillId="42" borderId="53" xfId="0" applyFont="1" applyFill="1" applyBorder="1" applyAlignment="1">
      <alignment horizontal="center" vertical="center"/>
    </xf>
    <xf numFmtId="0" fontId="197" fillId="35" borderId="4" xfId="0" applyFont="1" applyFill="1" applyBorder="1" applyAlignment="1">
      <alignment horizontal="center" vertical="center" wrapText="1"/>
    </xf>
    <xf numFmtId="0" fontId="199" fillId="35" borderId="20" xfId="0" applyFont="1" applyFill="1" applyBorder="1" applyAlignment="1">
      <alignment horizontal="center" vertical="center"/>
    </xf>
    <xf numFmtId="0" fontId="199" fillId="35" borderId="55" xfId="0" applyFont="1" applyFill="1" applyBorder="1" applyAlignment="1">
      <alignment horizontal="center" vertical="center"/>
    </xf>
    <xf numFmtId="0" fontId="199" fillId="35" borderId="57" xfId="0" applyFont="1" applyFill="1" applyBorder="1" applyAlignment="1">
      <alignment horizontal="center" vertical="center"/>
    </xf>
    <xf numFmtId="0" fontId="199" fillId="35" borderId="72" xfId="0" applyFont="1" applyFill="1" applyBorder="1" applyAlignment="1">
      <alignment horizontal="center" vertical="center"/>
    </xf>
    <xf numFmtId="0" fontId="199" fillId="35" borderId="58" xfId="0" applyFont="1" applyFill="1" applyBorder="1" applyAlignment="1">
      <alignment horizontal="center" vertical="center"/>
    </xf>
    <xf numFmtId="0" fontId="199" fillId="35" borderId="8" xfId="0" applyFont="1" applyFill="1" applyBorder="1" applyAlignment="1">
      <alignment horizontal="center" vertical="center"/>
    </xf>
    <xf numFmtId="0" fontId="199" fillId="35" borderId="61" xfId="0" applyFont="1" applyFill="1" applyBorder="1" applyAlignment="1">
      <alignment horizontal="center" vertical="center"/>
    </xf>
    <xf numFmtId="0" fontId="197" fillId="43" borderId="12" xfId="0" applyFont="1" applyFill="1" applyBorder="1" applyAlignment="1">
      <alignment horizontal="center" vertical="center" wrapText="1"/>
    </xf>
    <xf numFmtId="0" fontId="198" fillId="43" borderId="57" xfId="0" applyFont="1" applyFill="1" applyBorder="1" applyAlignment="1">
      <alignment horizontal="center" vertical="center"/>
    </xf>
    <xf numFmtId="0" fontId="198" fillId="43" borderId="58" xfId="0" applyFont="1" applyFill="1" applyBorder="1" applyAlignment="1">
      <alignment horizontal="center" vertical="center"/>
    </xf>
    <xf numFmtId="0" fontId="198" fillId="43" borderId="72" xfId="0" applyFont="1" applyFill="1" applyBorder="1" applyAlignment="1">
      <alignment horizontal="center" vertical="center"/>
    </xf>
    <xf numFmtId="0" fontId="198" fillId="43" borderId="61" xfId="0" applyFont="1" applyFill="1" applyBorder="1" applyAlignment="1">
      <alignment horizontal="center" vertical="center"/>
    </xf>
    <xf numFmtId="0" fontId="199" fillId="43" borderId="57" xfId="0" applyFont="1" applyFill="1" applyBorder="1" applyAlignment="1">
      <alignment horizontal="center" vertical="center"/>
    </xf>
    <xf numFmtId="0" fontId="199" fillId="43" borderId="72" xfId="0" applyFont="1" applyFill="1" applyBorder="1" applyAlignment="1">
      <alignment horizontal="center" vertical="center"/>
    </xf>
    <xf numFmtId="0" fontId="198" fillId="43" borderId="12" xfId="0" applyFont="1" applyFill="1" applyBorder="1" applyAlignment="1">
      <alignment horizontal="center" vertical="center"/>
    </xf>
    <xf numFmtId="0" fontId="198" fillId="43" borderId="55" xfId="0" applyFont="1" applyFill="1" applyBorder="1" applyAlignment="1">
      <alignment horizontal="center" vertical="center"/>
    </xf>
    <xf numFmtId="175" fontId="86" fillId="0" borderId="45" xfId="0" applyNumberFormat="1" applyFont="1" applyBorder="1" applyAlignment="1">
      <alignment horizontal="center"/>
    </xf>
    <xf numFmtId="0" fontId="197" fillId="35" borderId="12" xfId="0" applyFont="1" applyFill="1" applyBorder="1" applyAlignment="1">
      <alignment horizontal="center" vertical="center" wrapText="1"/>
    </xf>
    <xf numFmtId="0" fontId="197" fillId="36" borderId="12" xfId="0" applyFont="1" applyFill="1" applyBorder="1" applyAlignment="1">
      <alignment horizontal="center" vertical="center" wrapText="1"/>
    </xf>
    <xf numFmtId="0" fontId="197" fillId="19" borderId="12" xfId="0" applyFont="1" applyFill="1" applyBorder="1" applyAlignment="1">
      <alignment horizontal="center" vertical="center" wrapText="1"/>
    </xf>
    <xf numFmtId="0" fontId="197" fillId="37" borderId="12" xfId="0" applyFont="1" applyFill="1" applyBorder="1" applyAlignment="1">
      <alignment horizontal="center" vertical="center" wrapText="1"/>
    </xf>
    <xf numFmtId="0" fontId="197" fillId="6" borderId="12" xfId="0" applyFont="1" applyFill="1" applyBorder="1" applyAlignment="1">
      <alignment horizontal="center" vertical="center" wrapText="1"/>
    </xf>
    <xf numFmtId="0" fontId="197" fillId="42" borderId="12" xfId="0" applyFont="1" applyFill="1" applyBorder="1" applyAlignment="1">
      <alignment horizontal="center" vertical="center"/>
    </xf>
    <xf numFmtId="0" fontId="197" fillId="24" borderId="12" xfId="0" applyFont="1" applyFill="1" applyBorder="1" applyAlignment="1">
      <alignment horizontal="center" vertical="center"/>
    </xf>
    <xf numFmtId="0" fontId="197" fillId="41" borderId="18" xfId="0" applyFont="1" applyFill="1" applyBorder="1" applyAlignment="1">
      <alignment horizontal="center" vertical="center"/>
    </xf>
    <xf numFmtId="0" fontId="197" fillId="36" borderId="4" xfId="0" applyFont="1" applyFill="1" applyBorder="1" applyAlignment="1">
      <alignment horizontal="center" vertical="center" wrapText="1"/>
    </xf>
    <xf numFmtId="0" fontId="197" fillId="19" borderId="4" xfId="0" applyFont="1" applyFill="1" applyBorder="1" applyAlignment="1">
      <alignment horizontal="center" vertical="center" wrapText="1"/>
    </xf>
    <xf numFmtId="0" fontId="197" fillId="37" borderId="4" xfId="0" applyFont="1" applyFill="1" applyBorder="1" applyAlignment="1">
      <alignment horizontal="center" vertical="center" wrapText="1"/>
    </xf>
    <xf numFmtId="0" fontId="197" fillId="6" borderId="4" xfId="0" applyFont="1" applyFill="1" applyBorder="1" applyAlignment="1">
      <alignment horizontal="center" vertical="center" wrapText="1"/>
    </xf>
    <xf numFmtId="0" fontId="197" fillId="23" borderId="16" xfId="0" applyFont="1" applyFill="1" applyBorder="1" applyAlignment="1">
      <alignment horizontal="center" vertical="center" wrapText="1"/>
    </xf>
    <xf numFmtId="0" fontId="197" fillId="42" borderId="16" xfId="0" applyFont="1" applyFill="1" applyBorder="1" applyAlignment="1">
      <alignment horizontal="center" vertical="center"/>
    </xf>
    <xf numFmtId="0" fontId="197" fillId="24" borderId="16" xfId="0" applyFont="1" applyFill="1" applyBorder="1" applyAlignment="1">
      <alignment horizontal="center" vertical="center"/>
    </xf>
    <xf numFmtId="0" fontId="197" fillId="41" borderId="5" xfId="0" applyFont="1" applyFill="1" applyBorder="1" applyAlignment="1">
      <alignment horizontal="center" vertical="center"/>
    </xf>
    <xf numFmtId="0" fontId="197" fillId="12" borderId="11" xfId="0" applyFont="1" applyFill="1" applyBorder="1" applyAlignment="1">
      <alignment horizontal="center" vertical="center" wrapText="1"/>
    </xf>
    <xf numFmtId="0" fontId="216" fillId="13" borderId="12" xfId="0" applyFont="1" applyFill="1" applyBorder="1" applyAlignment="1">
      <alignment horizontal="center" vertical="center" wrapText="1"/>
    </xf>
    <xf numFmtId="0" fontId="197" fillId="31" borderId="12" xfId="0" applyFont="1" applyFill="1" applyBorder="1" applyAlignment="1">
      <alignment horizontal="center" vertical="center" wrapText="1"/>
    </xf>
    <xf numFmtId="0" fontId="197" fillId="15" borderId="12" xfId="0" applyFont="1" applyFill="1" applyBorder="1" applyAlignment="1">
      <alignment horizontal="center" vertical="center" wrapText="1"/>
    </xf>
    <xf numFmtId="0" fontId="197" fillId="17" borderId="12" xfId="0" applyFont="1" applyFill="1" applyBorder="1" applyAlignment="1">
      <alignment horizontal="center" vertical="center" wrapText="1"/>
    </xf>
    <xf numFmtId="0" fontId="197" fillId="12" borderId="3" xfId="0" applyFont="1" applyFill="1" applyBorder="1" applyAlignment="1">
      <alignment horizontal="center" vertical="center" wrapText="1"/>
    </xf>
    <xf numFmtId="0" fontId="216" fillId="13" borderId="4" xfId="0" applyFont="1" applyFill="1" applyBorder="1" applyAlignment="1">
      <alignment horizontal="center" vertical="center" wrapText="1"/>
    </xf>
    <xf numFmtId="0" fontId="197" fillId="31" borderId="4" xfId="0" applyFont="1" applyFill="1" applyBorder="1" applyAlignment="1">
      <alignment horizontal="center" vertical="center" wrapText="1"/>
    </xf>
    <xf numFmtId="0" fontId="197" fillId="15" borderId="4" xfId="0" applyFont="1" applyFill="1" applyBorder="1" applyAlignment="1">
      <alignment horizontal="center" vertical="center" wrapText="1"/>
    </xf>
    <xf numFmtId="0" fontId="197" fillId="17" borderId="4" xfId="0" applyFont="1" applyFill="1" applyBorder="1" applyAlignment="1">
      <alignment horizontal="center" vertical="center" wrapText="1"/>
    </xf>
    <xf numFmtId="0" fontId="197" fillId="16" borderId="4" xfId="0" applyFont="1" applyFill="1" applyBorder="1" applyAlignment="1">
      <alignment horizontal="center" vertical="center" wrapText="1"/>
    </xf>
    <xf numFmtId="0" fontId="197" fillId="32" borderId="4" xfId="0" applyFont="1" applyFill="1" applyBorder="1" applyAlignment="1">
      <alignment horizontal="center" vertical="center" wrapText="1"/>
    </xf>
    <xf numFmtId="0" fontId="199" fillId="35" borderId="4" xfId="0" applyFont="1" applyFill="1" applyBorder="1" applyAlignment="1">
      <alignment horizontal="center" vertical="center"/>
    </xf>
    <xf numFmtId="0" fontId="194" fillId="44" borderId="12" xfId="0" applyFont="1" applyFill="1" applyBorder="1" applyAlignment="1">
      <alignment horizontal="center" vertical="center" wrapText="1"/>
    </xf>
    <xf numFmtId="0" fontId="22" fillId="44" borderId="57" xfId="0" applyFont="1" applyFill="1" applyBorder="1" applyAlignment="1">
      <alignment horizontal="center" vertical="center"/>
    </xf>
    <xf numFmtId="0" fontId="22" fillId="44" borderId="58" xfId="0" applyFont="1" applyFill="1" applyBorder="1" applyAlignment="1">
      <alignment horizontal="center" vertical="center"/>
    </xf>
    <xf numFmtId="0" fontId="22" fillId="44" borderId="72" xfId="0" applyFont="1" applyFill="1" applyBorder="1" applyAlignment="1">
      <alignment horizontal="center" vertical="center"/>
    </xf>
    <xf numFmtId="0" fontId="22" fillId="44" borderId="61" xfId="0" applyFont="1" applyFill="1" applyBorder="1" applyAlignment="1">
      <alignment horizontal="center" vertical="center"/>
    </xf>
    <xf numFmtId="0" fontId="22" fillId="44" borderId="55" xfId="0" applyFont="1" applyFill="1" applyBorder="1" applyAlignment="1">
      <alignment horizontal="center" vertical="center"/>
    </xf>
    <xf numFmtId="0" fontId="14" fillId="44" borderId="57" xfId="0" applyFont="1" applyFill="1" applyBorder="1" applyAlignment="1">
      <alignment horizontal="center" vertical="center"/>
    </xf>
    <xf numFmtId="0" fontId="197" fillId="44" borderId="12" xfId="0" applyFont="1" applyFill="1" applyBorder="1" applyAlignment="1">
      <alignment horizontal="center" vertical="center" wrapText="1"/>
    </xf>
    <xf numFmtId="0" fontId="198" fillId="44" borderId="57" xfId="0" applyFont="1" applyFill="1" applyBorder="1" applyAlignment="1">
      <alignment horizontal="center" vertical="center"/>
    </xf>
    <xf numFmtId="0" fontId="198" fillId="44" borderId="58" xfId="0" applyFont="1" applyFill="1" applyBorder="1" applyAlignment="1">
      <alignment horizontal="center" vertical="center"/>
    </xf>
    <xf numFmtId="0" fontId="198" fillId="44" borderId="72" xfId="0" applyFont="1" applyFill="1" applyBorder="1" applyAlignment="1">
      <alignment horizontal="center" vertical="center"/>
    </xf>
    <xf numFmtId="0" fontId="198" fillId="44" borderId="61" xfId="0" applyFont="1" applyFill="1" applyBorder="1" applyAlignment="1">
      <alignment horizontal="center" vertical="center"/>
    </xf>
    <xf numFmtId="0" fontId="198" fillId="44" borderId="55" xfId="0" applyFont="1" applyFill="1" applyBorder="1" applyAlignment="1">
      <alignment horizontal="center" vertical="center"/>
    </xf>
    <xf numFmtId="0" fontId="199" fillId="44" borderId="57" xfId="0" applyFont="1" applyFill="1" applyBorder="1" applyAlignment="1">
      <alignment horizontal="center" vertical="center"/>
    </xf>
    <xf numFmtId="0" fontId="198" fillId="44" borderId="57" xfId="0" applyFont="1" applyFill="1" applyBorder="1">
      <alignment vertical="center"/>
    </xf>
    <xf numFmtId="0" fontId="197" fillId="45" borderId="4" xfId="0" applyFont="1" applyFill="1" applyBorder="1" applyAlignment="1">
      <alignment horizontal="center" vertical="center" wrapText="1"/>
    </xf>
    <xf numFmtId="0" fontId="22" fillId="12" borderId="52" xfId="0" applyFont="1" applyFill="1" applyBorder="1" applyAlignment="1">
      <alignment horizontal="center" vertical="center"/>
    </xf>
    <xf numFmtId="0" fontId="22" fillId="12" borderId="27" xfId="0" applyFont="1" applyFill="1" applyBorder="1">
      <alignment vertical="center"/>
    </xf>
    <xf numFmtId="0" fontId="22" fillId="26" borderId="57" xfId="0" applyFont="1" applyFill="1" applyBorder="1">
      <alignment vertical="center"/>
    </xf>
    <xf numFmtId="0" fontId="22" fillId="14" borderId="57" xfId="0" applyFont="1" applyFill="1" applyBorder="1">
      <alignment vertical="center"/>
    </xf>
    <xf numFmtId="0" fontId="22" fillId="28" borderId="57" xfId="0" applyFont="1" applyFill="1" applyBorder="1">
      <alignment vertical="center"/>
    </xf>
    <xf numFmtId="0" fontId="22" fillId="6" borderId="57" xfId="0" applyFont="1" applyFill="1" applyBorder="1">
      <alignment vertical="center"/>
    </xf>
    <xf numFmtId="0" fontId="22" fillId="29" borderId="57" xfId="0" applyFont="1" applyFill="1" applyBorder="1">
      <alignment vertical="center"/>
    </xf>
    <xf numFmtId="0" fontId="22" fillId="23" borderId="63" xfId="0" applyFont="1" applyFill="1" applyBorder="1" applyAlignment="1">
      <alignment horizontal="center" vertical="center"/>
    </xf>
    <xf numFmtId="0" fontId="22" fillId="24" borderId="63" xfId="0" applyFont="1" applyFill="1" applyBorder="1" applyAlignment="1">
      <alignment horizontal="center" vertical="center"/>
    </xf>
    <xf numFmtId="0" fontId="198" fillId="26" borderId="57" xfId="0" applyFont="1" applyFill="1" applyBorder="1">
      <alignment vertical="center"/>
    </xf>
    <xf numFmtId="0" fontId="108" fillId="28" borderId="57" xfId="0" applyFont="1" applyFill="1" applyBorder="1">
      <alignment vertical="center"/>
    </xf>
    <xf numFmtId="1" fontId="95" fillId="0" borderId="60" xfId="0" applyNumberFormat="1" applyFont="1" applyBorder="1" applyAlignment="1">
      <alignment horizontal="center"/>
    </xf>
    <xf numFmtId="3" fontId="0" fillId="0" borderId="0" xfId="0" applyNumberFormat="1">
      <alignment vertical="center"/>
    </xf>
    <xf numFmtId="0" fontId="197" fillId="46" borderId="13" xfId="0" applyFont="1" applyFill="1" applyBorder="1" applyAlignment="1">
      <alignment horizontal="center" vertical="center"/>
    </xf>
    <xf numFmtId="0" fontId="198" fillId="46" borderId="38" xfId="0" applyFont="1" applyFill="1" applyBorder="1" applyAlignment="1">
      <alignment horizontal="center" vertical="center"/>
    </xf>
    <xf numFmtId="0" fontId="198" fillId="46" borderId="71" xfId="0" applyFont="1" applyFill="1" applyBorder="1" applyAlignment="1">
      <alignment horizontal="center" vertical="center"/>
    </xf>
    <xf numFmtId="0" fontId="198" fillId="46" borderId="60" xfId="0" applyFont="1" applyFill="1" applyBorder="1" applyAlignment="1">
      <alignment horizontal="center" vertical="center"/>
    </xf>
    <xf numFmtId="0" fontId="198" fillId="46" borderId="41" xfId="0" applyFont="1" applyFill="1" applyBorder="1" applyAlignment="1">
      <alignment horizontal="center" vertical="center"/>
    </xf>
    <xf numFmtId="0" fontId="199" fillId="46" borderId="38" xfId="0" applyFont="1" applyFill="1" applyBorder="1" applyAlignment="1">
      <alignment horizontal="center" vertical="center"/>
    </xf>
    <xf numFmtId="0" fontId="199" fillId="46" borderId="71" xfId="0" applyFont="1" applyFill="1" applyBorder="1" applyAlignment="1">
      <alignment horizontal="center" vertical="center"/>
    </xf>
    <xf numFmtId="0" fontId="198" fillId="46" borderId="13" xfId="0" applyFont="1" applyFill="1" applyBorder="1" applyAlignment="1">
      <alignment horizontal="center" vertical="center"/>
    </xf>
    <xf numFmtId="0" fontId="198" fillId="46" borderId="53" xfId="0" applyFont="1" applyFill="1" applyBorder="1" applyAlignment="1">
      <alignment horizontal="center" vertical="center"/>
    </xf>
    <xf numFmtId="0" fontId="197" fillId="46" borderId="18" xfId="0" applyFont="1" applyFill="1" applyBorder="1" applyAlignment="1">
      <alignment horizontal="center" vertical="center"/>
    </xf>
    <xf numFmtId="0" fontId="198" fillId="46" borderId="63" xfId="0" applyFont="1" applyFill="1" applyBorder="1" applyAlignment="1">
      <alignment horizontal="center" vertical="center"/>
    </xf>
    <xf numFmtId="0" fontId="198" fillId="46" borderId="73" xfId="0" applyFont="1" applyFill="1" applyBorder="1" applyAlignment="1">
      <alignment horizontal="center" vertical="center"/>
    </xf>
    <xf numFmtId="0" fontId="198" fillId="46" borderId="66" xfId="0" applyFont="1" applyFill="1" applyBorder="1" applyAlignment="1">
      <alignment horizontal="center" vertical="center"/>
    </xf>
    <xf numFmtId="0" fontId="198" fillId="46" borderId="64" xfId="0" applyFont="1" applyFill="1" applyBorder="1" applyAlignment="1">
      <alignment horizontal="center" vertical="center"/>
    </xf>
    <xf numFmtId="0" fontId="199" fillId="46" borderId="63" xfId="0" applyFont="1" applyFill="1" applyBorder="1" applyAlignment="1">
      <alignment horizontal="center" vertical="center"/>
    </xf>
    <xf numFmtId="0" fontId="199" fillId="46" borderId="73" xfId="0" applyFont="1" applyFill="1" applyBorder="1" applyAlignment="1">
      <alignment horizontal="center" vertical="center"/>
    </xf>
    <xf numFmtId="0" fontId="198" fillId="46" borderId="18" xfId="0" applyFont="1" applyFill="1" applyBorder="1" applyAlignment="1">
      <alignment horizontal="center" vertical="center"/>
    </xf>
    <xf numFmtId="0" fontId="198" fillId="46" borderId="62" xfId="0" applyFont="1" applyFill="1" applyBorder="1" applyAlignment="1">
      <alignment horizontal="center" vertical="center"/>
    </xf>
    <xf numFmtId="0" fontId="194" fillId="21" borderId="13" xfId="0" applyFont="1" applyFill="1" applyBorder="1" applyAlignment="1">
      <alignment horizontal="center" vertical="center" wrapText="1"/>
    </xf>
    <xf numFmtId="0" fontId="189" fillId="21" borderId="38" xfId="0" applyFont="1" applyFill="1" applyBorder="1" applyAlignment="1">
      <alignment horizontal="center" vertical="center"/>
    </xf>
    <xf numFmtId="0" fontId="189" fillId="21" borderId="41" xfId="0" applyFont="1" applyFill="1" applyBorder="1" applyAlignment="1">
      <alignment horizontal="center" vertical="center"/>
    </xf>
    <xf numFmtId="0" fontId="189" fillId="21" borderId="71" xfId="0" applyFont="1" applyFill="1" applyBorder="1" applyAlignment="1">
      <alignment horizontal="center" vertical="center"/>
    </xf>
    <xf numFmtId="0" fontId="189" fillId="21" borderId="60" xfId="0" applyFont="1" applyFill="1" applyBorder="1" applyAlignment="1">
      <alignment horizontal="center" vertical="center"/>
    </xf>
    <xf numFmtId="0" fontId="189" fillId="21" borderId="53" xfId="0" applyFont="1" applyFill="1" applyBorder="1" applyAlignment="1">
      <alignment horizontal="center" vertical="center"/>
    </xf>
    <xf numFmtId="0" fontId="14" fillId="21" borderId="38" xfId="0" applyFont="1" applyFill="1" applyBorder="1" applyAlignment="1">
      <alignment horizontal="center" vertical="center"/>
    </xf>
    <xf numFmtId="0" fontId="108" fillId="21" borderId="38" xfId="0" applyFont="1" applyFill="1" applyBorder="1">
      <alignment vertical="center"/>
    </xf>
    <xf numFmtId="0" fontId="197" fillId="22" borderId="36" xfId="0" applyFont="1" applyFill="1" applyBorder="1" applyAlignment="1">
      <alignment horizontal="center" vertical="center" wrapText="1"/>
    </xf>
    <xf numFmtId="0" fontId="198" fillId="22" borderId="85" xfId="0" applyFont="1" applyFill="1" applyBorder="1" applyAlignment="1">
      <alignment horizontal="center" vertical="center"/>
    </xf>
    <xf numFmtId="0" fontId="198" fillId="22" borderId="82" xfId="0" applyFont="1" applyFill="1" applyBorder="1" applyAlignment="1">
      <alignment horizontal="center" vertical="center"/>
    </xf>
    <xf numFmtId="0" fontId="198" fillId="22" borderId="86" xfId="0" applyFont="1" applyFill="1" applyBorder="1" applyAlignment="1">
      <alignment horizontal="center" vertical="center"/>
    </xf>
    <xf numFmtId="0" fontId="198" fillId="22" borderId="83" xfId="0" applyFont="1" applyFill="1" applyBorder="1" applyAlignment="1">
      <alignment horizontal="center" vertical="center"/>
    </xf>
    <xf numFmtId="0" fontId="198" fillId="22" borderId="54" xfId="0" applyFont="1" applyFill="1" applyBorder="1" applyAlignment="1">
      <alignment horizontal="center" vertical="center"/>
    </xf>
    <xf numFmtId="0" fontId="199" fillId="22" borderId="85" xfId="0" applyFont="1" applyFill="1" applyBorder="1" applyAlignment="1">
      <alignment horizontal="center" vertical="center"/>
    </xf>
    <xf numFmtId="0" fontId="198" fillId="22" borderId="85" xfId="0" applyFont="1" applyFill="1" applyBorder="1">
      <alignment vertical="center"/>
    </xf>
    <xf numFmtId="0" fontId="197" fillId="47" borderId="9" xfId="0" applyFont="1" applyFill="1" applyBorder="1" applyAlignment="1">
      <alignment horizontal="center" vertical="center" wrapText="1"/>
    </xf>
    <xf numFmtId="0" fontId="198" fillId="47" borderId="23" xfId="0" applyFont="1" applyFill="1" applyBorder="1" applyAlignment="1">
      <alignment horizontal="center" vertical="center"/>
    </xf>
    <xf numFmtId="0" fontId="198" fillId="47" borderId="43" xfId="0" applyFont="1" applyFill="1" applyBorder="1" applyAlignment="1">
      <alignment horizontal="center" vertical="center"/>
    </xf>
    <xf numFmtId="0" fontId="198" fillId="47" borderId="56" xfId="0" applyFont="1" applyFill="1" applyBorder="1" applyAlignment="1">
      <alignment horizontal="center" vertical="center"/>
    </xf>
    <xf numFmtId="0" fontId="198" fillId="47" borderId="45" xfId="0" applyFont="1" applyFill="1" applyBorder="1" applyAlignment="1">
      <alignment horizontal="center" vertical="center"/>
    </xf>
    <xf numFmtId="0" fontId="198" fillId="47" borderId="46" xfId="0" applyFont="1" applyFill="1" applyBorder="1" applyAlignment="1">
      <alignment horizontal="center" vertical="center"/>
    </xf>
    <xf numFmtId="0" fontId="199" fillId="47" borderId="23" xfId="0" applyFont="1" applyFill="1" applyBorder="1" applyAlignment="1">
      <alignment horizontal="center" vertical="center"/>
    </xf>
    <xf numFmtId="0" fontId="198" fillId="47" borderId="23" xfId="0" applyFont="1" applyFill="1" applyBorder="1">
      <alignment vertical="center"/>
    </xf>
    <xf numFmtId="0" fontId="197" fillId="47" borderId="12" xfId="0" applyFont="1" applyFill="1" applyBorder="1" applyAlignment="1">
      <alignment horizontal="center" vertical="center" wrapText="1"/>
    </xf>
    <xf numFmtId="0" fontId="198" fillId="47" borderId="57" xfId="0" applyFont="1" applyFill="1" applyBorder="1" applyAlignment="1">
      <alignment horizontal="center" vertical="center"/>
    </xf>
    <xf numFmtId="0" fontId="198" fillId="47" borderId="58" xfId="0" applyFont="1" applyFill="1" applyBorder="1" applyAlignment="1">
      <alignment horizontal="center" vertical="center"/>
    </xf>
    <xf numFmtId="0" fontId="198" fillId="47" borderId="72" xfId="0" applyFont="1" applyFill="1" applyBorder="1" applyAlignment="1">
      <alignment horizontal="center" vertical="center"/>
    </xf>
    <xf numFmtId="0" fontId="198" fillId="47" borderId="61" xfId="0" applyFont="1" applyFill="1" applyBorder="1" applyAlignment="1">
      <alignment horizontal="center" vertical="center"/>
    </xf>
    <xf numFmtId="0" fontId="198" fillId="47" borderId="55" xfId="0" applyFont="1" applyFill="1" applyBorder="1" applyAlignment="1">
      <alignment horizontal="center" vertical="center"/>
    </xf>
    <xf numFmtId="0" fontId="199" fillId="47" borderId="57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center" vertical="center" wrapText="1"/>
    </xf>
    <xf numFmtId="174" fontId="14" fillId="12" borderId="39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89" fillId="0" borderId="6" xfId="0" applyFont="1" applyBorder="1" applyAlignment="1">
      <alignment horizontal="center"/>
    </xf>
    <xf numFmtId="0" fontId="189" fillId="0" borderId="21" xfId="0" applyFont="1" applyBorder="1" applyAlignment="1">
      <alignment horizontal="center"/>
    </xf>
    <xf numFmtId="165" fontId="105" fillId="0" borderId="9" xfId="1" applyNumberFormat="1" applyFont="1" applyBorder="1" applyAlignment="1" applyProtection="1">
      <alignment horizontal="center" vertical="top"/>
    </xf>
    <xf numFmtId="165" fontId="105" fillId="0" borderId="1" xfId="1" applyNumberFormat="1" applyFont="1" applyBorder="1" applyAlignment="1" applyProtection="1">
      <alignment horizontal="center" vertical="top"/>
    </xf>
    <xf numFmtId="0" fontId="154" fillId="0" borderId="32" xfId="0" applyFont="1" applyBorder="1" applyAlignment="1">
      <alignment horizontal="left"/>
    </xf>
    <xf numFmtId="0" fontId="154" fillId="0" borderId="22" xfId="0" applyFont="1" applyBorder="1" applyAlignment="1">
      <alignment horizontal="left"/>
    </xf>
    <xf numFmtId="3" fontId="126" fillId="0" borderId="0" xfId="0" applyNumberFormat="1" applyFont="1" applyAlignment="1">
      <alignment horizontal="center"/>
    </xf>
    <xf numFmtId="0" fontId="126" fillId="0" borderId="2" xfId="0" applyFont="1" applyBorder="1" applyAlignment="1">
      <alignment horizontal="center"/>
    </xf>
    <xf numFmtId="0" fontId="126" fillId="0" borderId="15" xfId="0" applyFont="1" applyBorder="1" applyAlignment="1">
      <alignment horizontal="center"/>
    </xf>
    <xf numFmtId="0" fontId="126" fillId="0" borderId="22" xfId="0" applyFont="1" applyBorder="1" applyAlignment="1">
      <alignment horizontal="center"/>
    </xf>
    <xf numFmtId="0" fontId="126" fillId="0" borderId="1" xfId="0" applyFont="1" applyBorder="1" applyAlignment="1">
      <alignment horizontal="left"/>
    </xf>
    <xf numFmtId="0" fontId="126" fillId="0" borderId="2" xfId="0" applyFont="1" applyBorder="1" applyAlignment="1">
      <alignment horizontal="left"/>
    </xf>
    <xf numFmtId="165" fontId="181" fillId="0" borderId="3" xfId="0" applyNumberFormat="1" applyFont="1" applyBorder="1" applyAlignment="1">
      <alignment horizontal="center"/>
    </xf>
    <xf numFmtId="0" fontId="63" fillId="0" borderId="68" xfId="0" applyFont="1" applyBorder="1" applyAlignment="1"/>
    <xf numFmtId="0" fontId="65" fillId="0" borderId="61" xfId="0" applyFont="1" applyBorder="1" applyAlignment="1"/>
    <xf numFmtId="0" fontId="65" fillId="0" borderId="67" xfId="0" applyFont="1" applyBorder="1" applyAlignment="1"/>
    <xf numFmtId="0" fontId="29" fillId="0" borderId="14" xfId="0" applyFont="1" applyBorder="1" applyAlignment="1"/>
    <xf numFmtId="0" fontId="29" fillId="0" borderId="2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1" fontId="0" fillId="0" borderId="0" xfId="0" applyNumberFormat="1">
      <alignment vertical="center"/>
    </xf>
    <xf numFmtId="1" fontId="89" fillId="2" borderId="23" xfId="0" applyNumberFormat="1" applyFont="1" applyFill="1" applyBorder="1" applyAlignment="1">
      <alignment horizontal="center"/>
    </xf>
    <xf numFmtId="173" fontId="86" fillId="0" borderId="23" xfId="0" applyNumberFormat="1" applyFont="1" applyBorder="1" applyAlignment="1">
      <alignment horizontal="center"/>
    </xf>
    <xf numFmtId="173" fontId="86" fillId="0" borderId="43" xfId="0" applyNumberFormat="1" applyFont="1" applyBorder="1" applyAlignment="1">
      <alignment horizontal="center"/>
    </xf>
    <xf numFmtId="165" fontId="90" fillId="2" borderId="44" xfId="1" applyNumberFormat="1" applyFont="1" applyFill="1" applyBorder="1" applyAlignment="1" applyProtection="1">
      <alignment horizontal="center" vertical="top"/>
    </xf>
    <xf numFmtId="0" fontId="194" fillId="48" borderId="12" xfId="0" applyFont="1" applyFill="1" applyBorder="1" applyAlignment="1">
      <alignment horizontal="center" vertical="center" wrapText="1"/>
    </xf>
    <xf numFmtId="0" fontId="108" fillId="48" borderId="57" xfId="0" applyFont="1" applyFill="1" applyBorder="1" applyAlignment="1">
      <alignment horizontal="center" vertical="center"/>
    </xf>
    <xf numFmtId="0" fontId="108" fillId="48" borderId="58" xfId="0" applyFont="1" applyFill="1" applyBorder="1" applyAlignment="1">
      <alignment horizontal="center" vertical="center"/>
    </xf>
    <xf numFmtId="0" fontId="108" fillId="48" borderId="72" xfId="0" applyFont="1" applyFill="1" applyBorder="1" applyAlignment="1">
      <alignment horizontal="center" vertical="center"/>
    </xf>
    <xf numFmtId="0" fontId="108" fillId="48" borderId="61" xfId="0" applyFont="1" applyFill="1" applyBorder="1" applyAlignment="1">
      <alignment horizontal="center" vertical="center"/>
    </xf>
    <xf numFmtId="0" fontId="22" fillId="48" borderId="61" xfId="0" applyFont="1" applyFill="1" applyBorder="1" applyAlignment="1">
      <alignment horizontal="center" vertical="center"/>
    </xf>
    <xf numFmtId="0" fontId="22" fillId="48" borderId="58" xfId="0" applyFont="1" applyFill="1" applyBorder="1" applyAlignment="1">
      <alignment horizontal="center" vertical="center"/>
    </xf>
    <xf numFmtId="0" fontId="22" fillId="48" borderId="57" xfId="0" applyFont="1" applyFill="1" applyBorder="1" applyAlignment="1">
      <alignment horizontal="center" vertical="center"/>
    </xf>
    <xf numFmtId="0" fontId="22" fillId="48" borderId="55" xfId="0" applyFont="1" applyFill="1" applyBorder="1" applyAlignment="1">
      <alignment horizontal="center" vertical="center"/>
    </xf>
    <xf numFmtId="0" fontId="14" fillId="48" borderId="57" xfId="0" applyFont="1" applyFill="1" applyBorder="1" applyAlignment="1">
      <alignment horizontal="center" vertical="center"/>
    </xf>
    <xf numFmtId="0" fontId="22" fillId="48" borderId="72" xfId="0" applyFont="1" applyFill="1" applyBorder="1" applyAlignment="1">
      <alignment horizontal="center" vertical="center"/>
    </xf>
    <xf numFmtId="0" fontId="189" fillId="48" borderId="3" xfId="0" applyFont="1" applyFill="1" applyBorder="1" applyAlignment="1">
      <alignment horizontal="center" vertical="center"/>
    </xf>
    <xf numFmtId="0" fontId="189" fillId="48" borderId="4" xfId="0" applyFont="1" applyFill="1" applyBorder="1" applyAlignment="1">
      <alignment horizontal="center" vertical="center"/>
    </xf>
    <xf numFmtId="0" fontId="189" fillId="48" borderId="58" xfId="0" applyFont="1" applyFill="1" applyBorder="1" applyAlignment="1">
      <alignment horizontal="center" vertical="center"/>
    </xf>
    <xf numFmtId="0" fontId="189" fillId="48" borderId="8" xfId="0" applyFont="1" applyFill="1" applyBorder="1" applyAlignment="1">
      <alignment horizontal="center" vertical="center"/>
    </xf>
    <xf numFmtId="0" fontId="189" fillId="48" borderId="61" xfId="0" applyFont="1" applyFill="1" applyBorder="1" applyAlignment="1">
      <alignment horizontal="center" vertical="center"/>
    </xf>
    <xf numFmtId="0" fontId="189" fillId="48" borderId="57" xfId="0" applyFont="1" applyFill="1" applyBorder="1" applyAlignment="1">
      <alignment horizontal="center" vertical="center"/>
    </xf>
    <xf numFmtId="0" fontId="189" fillId="48" borderId="72" xfId="0" applyFont="1" applyFill="1" applyBorder="1" applyAlignment="1">
      <alignment horizontal="center" vertical="center"/>
    </xf>
    <xf numFmtId="0" fontId="189" fillId="48" borderId="55" xfId="0" applyFont="1" applyFill="1" applyBorder="1" applyAlignment="1">
      <alignment horizontal="center" vertical="center"/>
    </xf>
    <xf numFmtId="0" fontId="189" fillId="48" borderId="57" xfId="0" applyFont="1" applyFill="1" applyBorder="1">
      <alignment vertical="center"/>
    </xf>
    <xf numFmtId="0" fontId="21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39" fillId="0" borderId="0" xfId="0" applyNumberFormat="1" applyFont="1" applyAlignment="1"/>
    <xf numFmtId="3" fontId="211" fillId="0" borderId="14" xfId="0" applyNumberFormat="1" applyFont="1" applyBorder="1" applyAlignment="1">
      <alignment horizontal="center" vertical="center"/>
    </xf>
    <xf numFmtId="0" fontId="194" fillId="49" borderId="4" xfId="0" applyFont="1" applyFill="1" applyBorder="1" applyAlignment="1">
      <alignment horizontal="center" vertical="center" wrapText="1"/>
    </xf>
    <xf numFmtId="0" fontId="108" fillId="49" borderId="61" xfId="0" applyFont="1" applyFill="1" applyBorder="1" applyAlignment="1">
      <alignment horizontal="center" vertical="center"/>
    </xf>
    <xf numFmtId="0" fontId="108" fillId="49" borderId="58" xfId="0" applyFont="1" applyFill="1" applyBorder="1" applyAlignment="1">
      <alignment horizontal="center" vertical="center"/>
    </xf>
    <xf numFmtId="0" fontId="22" fillId="49" borderId="57" xfId="0" applyFont="1" applyFill="1" applyBorder="1" applyAlignment="1">
      <alignment horizontal="center" vertical="center"/>
    </xf>
    <xf numFmtId="0" fontId="22" fillId="49" borderId="72" xfId="0" applyFont="1" applyFill="1" applyBorder="1" applyAlignment="1">
      <alignment horizontal="center" vertical="center"/>
    </xf>
    <xf numFmtId="0" fontId="22" fillId="49" borderId="61" xfId="0" applyFont="1" applyFill="1" applyBorder="1" applyAlignment="1">
      <alignment horizontal="center" vertical="center"/>
    </xf>
    <xf numFmtId="0" fontId="22" fillId="49" borderId="58" xfId="0" applyFont="1" applyFill="1" applyBorder="1" applyAlignment="1">
      <alignment horizontal="center" vertical="center"/>
    </xf>
    <xf numFmtId="0" fontId="14" fillId="49" borderId="57" xfId="0" applyFont="1" applyFill="1" applyBorder="1" applyAlignment="1">
      <alignment horizontal="center" vertical="center"/>
    </xf>
    <xf numFmtId="0" fontId="22" fillId="49" borderId="55" xfId="0" applyFont="1" applyFill="1" applyBorder="1" applyAlignment="1">
      <alignment horizontal="center" vertical="center"/>
    </xf>
    <xf numFmtId="0" fontId="108" fillId="49" borderId="57" xfId="0" applyFont="1" applyFill="1" applyBorder="1" applyAlignment="1">
      <alignment horizontal="center" vertical="center"/>
    </xf>
    <xf numFmtId="0" fontId="108" fillId="49" borderId="72" xfId="0" applyFont="1" applyFill="1" applyBorder="1" applyAlignment="1">
      <alignment horizontal="center" vertical="center"/>
    </xf>
    <xf numFmtId="0" fontId="108" fillId="49" borderId="55" xfId="0" applyFont="1" applyFill="1" applyBorder="1" applyAlignment="1">
      <alignment horizontal="center" vertical="center"/>
    </xf>
    <xf numFmtId="0" fontId="108" fillId="49" borderId="20" xfId="0" applyFont="1" applyFill="1" applyBorder="1" applyAlignment="1">
      <alignment horizontal="center" vertical="center"/>
    </xf>
    <xf numFmtId="0" fontId="189" fillId="49" borderId="61" xfId="0" applyFont="1" applyFill="1" applyBorder="1" applyAlignment="1">
      <alignment horizontal="center" vertical="center"/>
    </xf>
    <xf numFmtId="0" fontId="189" fillId="49" borderId="58" xfId="0" applyFont="1" applyFill="1" applyBorder="1" applyAlignment="1">
      <alignment horizontal="center" vertical="center"/>
    </xf>
    <xf numFmtId="0" fontId="189" fillId="49" borderId="57" xfId="0" applyFont="1" applyFill="1" applyBorder="1" applyAlignment="1">
      <alignment horizontal="center" vertical="center"/>
    </xf>
    <xf numFmtId="0" fontId="189" fillId="49" borderId="72" xfId="0" applyFont="1" applyFill="1" applyBorder="1" applyAlignment="1">
      <alignment horizontal="center" vertical="center"/>
    </xf>
    <xf numFmtId="0" fontId="189" fillId="49" borderId="55" xfId="0" applyFont="1" applyFill="1" applyBorder="1" applyAlignment="1">
      <alignment horizontal="center" vertical="center"/>
    </xf>
    <xf numFmtId="0" fontId="189" fillId="49" borderId="20" xfId="0" applyFont="1" applyFill="1" applyBorder="1" applyAlignment="1">
      <alignment horizontal="center" vertical="center"/>
    </xf>
    <xf numFmtId="1" fontId="21" fillId="2" borderId="24" xfId="0" applyNumberFormat="1" applyFont="1" applyFill="1" applyBorder="1" applyAlignment="1">
      <alignment horizontal="center"/>
    </xf>
    <xf numFmtId="1" fontId="21" fillId="2" borderId="62" xfId="0" applyNumberFormat="1" applyFont="1" applyFill="1" applyBorder="1" applyAlignment="1">
      <alignment horizontal="center"/>
    </xf>
    <xf numFmtId="1" fontId="21" fillId="2" borderId="16" xfId="0" applyNumberFormat="1" applyFont="1" applyFill="1" applyBorder="1" applyAlignment="1">
      <alignment horizontal="center"/>
    </xf>
    <xf numFmtId="0" fontId="101" fillId="0" borderId="59" xfId="0" applyFont="1" applyBorder="1" applyAlignment="1">
      <alignment horizontal="left"/>
    </xf>
    <xf numFmtId="0" fontId="94" fillId="0" borderId="14" xfId="0" applyFont="1" applyBorder="1" applyAlignment="1">
      <alignment horizontal="left"/>
    </xf>
    <xf numFmtId="0" fontId="194" fillId="50" borderId="12" xfId="0" applyFont="1" applyFill="1" applyBorder="1" applyAlignment="1">
      <alignment horizontal="center" vertical="center" wrapText="1"/>
    </xf>
    <xf numFmtId="0" fontId="198" fillId="50" borderId="4" xfId="0" applyFont="1" applyFill="1" applyBorder="1" applyAlignment="1">
      <alignment horizontal="center" vertical="center"/>
    </xf>
    <xf numFmtId="0" fontId="198" fillId="50" borderId="58" xfId="0" applyFont="1" applyFill="1" applyBorder="1" applyAlignment="1">
      <alignment horizontal="center" vertical="center"/>
    </xf>
    <xf numFmtId="0" fontId="198" fillId="50" borderId="8" xfId="0" applyFont="1" applyFill="1" applyBorder="1" applyAlignment="1">
      <alignment horizontal="center" vertical="center"/>
    </xf>
    <xf numFmtId="0" fontId="198" fillId="50" borderId="61" xfId="0" applyFont="1" applyFill="1" applyBorder="1" applyAlignment="1">
      <alignment horizontal="center" vertical="center"/>
    </xf>
    <xf numFmtId="0" fontId="198" fillId="50" borderId="57" xfId="0" applyFont="1" applyFill="1" applyBorder="1" applyAlignment="1">
      <alignment horizontal="center" vertical="center"/>
    </xf>
    <xf numFmtId="0" fontId="198" fillId="50" borderId="72" xfId="0" applyFont="1" applyFill="1" applyBorder="1" applyAlignment="1">
      <alignment horizontal="center" vertical="center"/>
    </xf>
    <xf numFmtId="0" fontId="198" fillId="50" borderId="55" xfId="0" applyFont="1" applyFill="1" applyBorder="1" applyAlignment="1">
      <alignment horizontal="center" vertical="center"/>
    </xf>
    <xf numFmtId="0" fontId="199" fillId="50" borderId="57" xfId="0" applyFont="1" applyFill="1" applyBorder="1" applyAlignment="1">
      <alignment horizontal="center" vertical="center"/>
    </xf>
    <xf numFmtId="0" fontId="198" fillId="50" borderId="57" xfId="0" applyFont="1" applyFill="1" applyBorder="1">
      <alignment vertical="center"/>
    </xf>
    <xf numFmtId="0" fontId="196" fillId="50" borderId="57" xfId="0" applyFont="1" applyFill="1" applyBorder="1" applyAlignment="1">
      <alignment horizontal="center" vertical="center"/>
    </xf>
    <xf numFmtId="0" fontId="196" fillId="50" borderId="58" xfId="0" applyFont="1" applyFill="1" applyBorder="1" applyAlignment="1">
      <alignment horizontal="center" vertical="center"/>
    </xf>
    <xf numFmtId="0" fontId="196" fillId="50" borderId="72" xfId="0" applyFont="1" applyFill="1" applyBorder="1" applyAlignment="1">
      <alignment horizontal="center" vertical="center"/>
    </xf>
    <xf numFmtId="0" fontId="196" fillId="50" borderId="61" xfId="0" applyFont="1" applyFill="1" applyBorder="1" applyAlignment="1">
      <alignment horizontal="center" vertical="center"/>
    </xf>
    <xf numFmtId="0" fontId="196" fillId="50" borderId="55" xfId="0" applyFont="1" applyFill="1" applyBorder="1" applyAlignment="1">
      <alignment horizontal="center" vertical="center"/>
    </xf>
    <xf numFmtId="0" fontId="17" fillId="50" borderId="57" xfId="0" applyFont="1" applyFill="1" applyBorder="1" applyAlignment="1">
      <alignment horizontal="center" vertical="center"/>
    </xf>
    <xf numFmtId="0" fontId="12" fillId="44" borderId="57" xfId="0" applyFont="1" applyFill="1" applyBorder="1" applyAlignment="1">
      <alignment horizontal="center" vertical="center"/>
    </xf>
    <xf numFmtId="0" fontId="12" fillId="44" borderId="72" xfId="0" applyFont="1" applyFill="1" applyBorder="1" applyAlignment="1">
      <alignment horizontal="center" vertical="center"/>
    </xf>
    <xf numFmtId="0" fontId="22" fillId="44" borderId="12" xfId="0" applyFont="1" applyFill="1" applyBorder="1" applyAlignment="1">
      <alignment horizontal="center" vertical="center"/>
    </xf>
    <xf numFmtId="0" fontId="22" fillId="44" borderId="57" xfId="0" applyFont="1" applyFill="1" applyBorder="1">
      <alignment vertical="center"/>
    </xf>
    <xf numFmtId="0" fontId="199" fillId="44" borderId="72" xfId="0" applyFont="1" applyFill="1" applyBorder="1" applyAlignment="1">
      <alignment horizontal="center" vertical="center"/>
    </xf>
    <xf numFmtId="0" fontId="198" fillId="44" borderId="12" xfId="0" applyFont="1" applyFill="1" applyBorder="1" applyAlignment="1">
      <alignment horizontal="center" vertical="center"/>
    </xf>
    <xf numFmtId="0" fontId="194" fillId="47" borderId="12" xfId="0" applyFont="1" applyFill="1" applyBorder="1" applyAlignment="1">
      <alignment horizontal="center" vertical="center" wrapText="1"/>
    </xf>
    <xf numFmtId="0" fontId="22" fillId="47" borderId="57" xfId="0" applyFont="1" applyFill="1" applyBorder="1" applyAlignment="1">
      <alignment horizontal="center" vertical="center"/>
    </xf>
    <xf numFmtId="0" fontId="22" fillId="47" borderId="72" xfId="0" applyFont="1" applyFill="1" applyBorder="1" applyAlignment="1">
      <alignment horizontal="center" vertical="center"/>
    </xf>
    <xf numFmtId="0" fontId="22" fillId="47" borderId="61" xfId="0" applyFont="1" applyFill="1" applyBorder="1" applyAlignment="1">
      <alignment horizontal="center" vertical="center"/>
    </xf>
    <xf numFmtId="0" fontId="22" fillId="47" borderId="58" xfId="0" applyFont="1" applyFill="1" applyBorder="1" applyAlignment="1">
      <alignment horizontal="center" vertical="center"/>
    </xf>
    <xf numFmtId="0" fontId="12" fillId="47" borderId="57" xfId="0" applyFont="1" applyFill="1" applyBorder="1" applyAlignment="1">
      <alignment horizontal="center" vertical="center"/>
    </xf>
    <xf numFmtId="0" fontId="12" fillId="47" borderId="72" xfId="0" applyFont="1" applyFill="1" applyBorder="1" applyAlignment="1">
      <alignment horizontal="center" vertical="center"/>
    </xf>
    <xf numFmtId="0" fontId="22" fillId="47" borderId="12" xfId="0" applyFont="1" applyFill="1" applyBorder="1" applyAlignment="1">
      <alignment horizontal="center" vertical="center"/>
    </xf>
    <xf numFmtId="0" fontId="22" fillId="47" borderId="55" xfId="0" applyFont="1" applyFill="1" applyBorder="1" applyAlignment="1">
      <alignment horizontal="center" vertical="center"/>
    </xf>
    <xf numFmtId="0" fontId="22" fillId="47" borderId="57" xfId="0" applyFont="1" applyFill="1" applyBorder="1">
      <alignment vertical="center"/>
    </xf>
    <xf numFmtId="0" fontId="108" fillId="47" borderId="57" xfId="0" applyFont="1" applyFill="1" applyBorder="1" applyAlignment="1">
      <alignment horizontal="center" vertical="center"/>
    </xf>
    <xf numFmtId="0" fontId="108" fillId="47" borderId="72" xfId="0" applyFont="1" applyFill="1" applyBorder="1" applyAlignment="1">
      <alignment horizontal="center" vertical="center"/>
    </xf>
    <xf numFmtId="0" fontId="108" fillId="47" borderId="61" xfId="0" applyFont="1" applyFill="1" applyBorder="1" applyAlignment="1">
      <alignment horizontal="center" vertical="center"/>
    </xf>
    <xf numFmtId="0" fontId="108" fillId="47" borderId="58" xfId="0" applyFont="1" applyFill="1" applyBorder="1" applyAlignment="1">
      <alignment horizontal="center" vertical="center"/>
    </xf>
    <xf numFmtId="0" fontId="14" fillId="47" borderId="57" xfId="0" applyFont="1" applyFill="1" applyBorder="1" applyAlignment="1">
      <alignment horizontal="center" vertical="center"/>
    </xf>
    <xf numFmtId="0" fontId="14" fillId="47" borderId="72" xfId="0" applyFont="1" applyFill="1" applyBorder="1" applyAlignment="1">
      <alignment horizontal="center" vertical="center"/>
    </xf>
    <xf numFmtId="0" fontId="108" fillId="47" borderId="12" xfId="0" applyFont="1" applyFill="1" applyBorder="1" applyAlignment="1">
      <alignment horizontal="center" vertical="center"/>
    </xf>
    <xf numFmtId="0" fontId="108" fillId="47" borderId="55" xfId="0" applyFont="1" applyFill="1" applyBorder="1" applyAlignment="1">
      <alignment horizontal="center" vertical="center"/>
    </xf>
    <xf numFmtId="0" fontId="108" fillId="47" borderId="57" xfId="0" applyFont="1" applyFill="1" applyBorder="1">
      <alignment vertical="center"/>
    </xf>
    <xf numFmtId="0" fontId="42" fillId="0" borderId="1" xfId="0" applyFont="1" applyBorder="1" applyAlignment="1"/>
    <xf numFmtId="2" fontId="31" fillId="0" borderId="14" xfId="0" applyNumberFormat="1" applyFont="1" applyBorder="1" applyAlignment="1"/>
    <xf numFmtId="0" fontId="52" fillId="51" borderId="9" xfId="0" applyFont="1" applyFill="1" applyBorder="1" applyAlignment="1"/>
    <xf numFmtId="1" fontId="53" fillId="51" borderId="36" xfId="0" applyNumberFormat="1" applyFont="1" applyFill="1" applyBorder="1" applyAlignment="1"/>
    <xf numFmtId="1" fontId="53" fillId="51" borderId="13" xfId="0" applyNumberFormat="1" applyFont="1" applyFill="1" applyBorder="1" applyAlignment="1"/>
    <xf numFmtId="1" fontId="54" fillId="51" borderId="9" xfId="0" applyNumberFormat="1" applyFont="1" applyFill="1" applyBorder="1" applyAlignment="1"/>
    <xf numFmtId="0" fontId="53" fillId="51" borderId="21" xfId="0" applyFont="1" applyFill="1" applyBorder="1" applyAlignment="1"/>
    <xf numFmtId="1" fontId="9" fillId="51" borderId="1" xfId="0" applyNumberFormat="1" applyFont="1" applyFill="1" applyBorder="1" applyAlignment="1">
      <alignment horizontal="right"/>
    </xf>
    <xf numFmtId="0" fontId="55" fillId="51" borderId="14" xfId="0" applyFont="1" applyFill="1" applyBorder="1" applyAlignment="1">
      <alignment horizontal="center"/>
    </xf>
    <xf numFmtId="0" fontId="56" fillId="51" borderId="14" xfId="0" applyFont="1" applyFill="1" applyBorder="1" applyAlignment="1"/>
    <xf numFmtId="1" fontId="57" fillId="51" borderId="31" xfId="0" applyNumberFormat="1" applyFont="1" applyFill="1" applyBorder="1" applyAlignment="1"/>
    <xf numFmtId="1" fontId="57" fillId="51" borderId="5" xfId="0" applyNumberFormat="1" applyFont="1" applyFill="1" applyBorder="1" applyAlignment="1"/>
    <xf numFmtId="1" fontId="58" fillId="51" borderId="87" xfId="0" applyNumberFormat="1" applyFont="1" applyFill="1" applyBorder="1" applyAlignment="1"/>
    <xf numFmtId="0" fontId="56" fillId="51" borderId="2" xfId="0" applyFont="1" applyFill="1" applyBorder="1" applyAlignment="1"/>
    <xf numFmtId="1" fontId="59" fillId="51" borderId="14" xfId="0" applyNumberFormat="1" applyFont="1" applyFill="1" applyBorder="1" applyAlignment="1"/>
    <xf numFmtId="1" fontId="60" fillId="51" borderId="14" xfId="0" applyNumberFormat="1" applyFont="1" applyFill="1" applyBorder="1" applyAlignment="1">
      <alignment horizontal="center"/>
    </xf>
    <xf numFmtId="0" fontId="63" fillId="51" borderId="9" xfId="0" applyFont="1" applyFill="1" applyBorder="1" applyAlignment="1"/>
    <xf numFmtId="0" fontId="29" fillId="51" borderId="36" xfId="0" applyFont="1" applyFill="1" applyBorder="1" applyAlignment="1">
      <alignment horizontal="center"/>
    </xf>
    <xf numFmtId="0" fontId="28" fillId="51" borderId="13" xfId="0" applyFont="1" applyFill="1" applyBorder="1" applyAlignment="1">
      <alignment horizontal="center"/>
    </xf>
    <xf numFmtId="0" fontId="28" fillId="51" borderId="9" xfId="0" applyFont="1" applyFill="1" applyBorder="1" applyAlignment="1">
      <alignment horizontal="center"/>
    </xf>
    <xf numFmtId="43" fontId="51" fillId="51" borderId="0" xfId="1" applyFont="1" applyFill="1" applyAlignment="1" applyProtection="1">
      <alignment horizontal="right"/>
    </xf>
    <xf numFmtId="1" fontId="51" fillId="51" borderId="0" xfId="0" applyNumberFormat="1" applyFont="1" applyFill="1" applyAlignment="1"/>
    <xf numFmtId="0" fontId="61" fillId="51" borderId="0" xfId="0" applyFont="1" applyFill="1" applyAlignment="1"/>
    <xf numFmtId="0" fontId="64" fillId="51" borderId="37" xfId="0" applyFont="1" applyFill="1" applyBorder="1" applyAlignment="1"/>
    <xf numFmtId="0" fontId="63" fillId="51" borderId="27" xfId="0" applyFont="1" applyFill="1" applyBorder="1" applyAlignment="1"/>
    <xf numFmtId="0" fontId="63" fillId="51" borderId="38" xfId="0" applyFont="1" applyFill="1" applyBorder="1" applyAlignment="1"/>
    <xf numFmtId="0" fontId="63" fillId="51" borderId="23" xfId="0" applyFont="1" applyFill="1" applyBorder="1" applyAlignment="1"/>
    <xf numFmtId="0" fontId="64" fillId="51" borderId="39" xfId="0" applyFont="1" applyFill="1" applyBorder="1" applyAlignment="1"/>
    <xf numFmtId="0" fontId="63" fillId="51" borderId="40" xfId="0" applyFont="1" applyFill="1" applyBorder="1" applyAlignment="1"/>
    <xf numFmtId="0" fontId="63" fillId="51" borderId="41" xfId="0" applyFont="1" applyFill="1" applyBorder="1" applyAlignment="1"/>
    <xf numFmtId="0" fontId="63" fillId="51" borderId="51" xfId="0" applyFont="1" applyFill="1" applyBorder="1" applyAlignment="1"/>
    <xf numFmtId="0" fontId="63" fillId="51" borderId="52" xfId="0" applyFont="1" applyFill="1" applyBorder="1" applyAlignment="1"/>
    <xf numFmtId="0" fontId="63" fillId="51" borderId="53" xfId="0" applyFont="1" applyFill="1" applyBorder="1" applyAlignment="1"/>
    <xf numFmtId="0" fontId="64" fillId="51" borderId="1" xfId="0" applyFont="1" applyFill="1" applyBorder="1" applyAlignment="1"/>
    <xf numFmtId="0" fontId="11" fillId="51" borderId="3" xfId="0" applyFont="1" applyFill="1" applyBorder="1" applyAlignment="1"/>
    <xf numFmtId="0" fontId="11" fillId="51" borderId="5" xfId="0" applyFont="1" applyFill="1" applyBorder="1" applyAlignment="1"/>
    <xf numFmtId="0" fontId="11" fillId="51" borderId="14" xfId="0" applyFont="1" applyFill="1" applyBorder="1" applyAlignment="1"/>
    <xf numFmtId="0" fontId="0" fillId="51" borderId="0" xfId="0" applyFill="1">
      <alignment vertical="center"/>
    </xf>
    <xf numFmtId="0" fontId="29" fillId="51" borderId="1" xfId="0" applyFont="1" applyFill="1" applyBorder="1" applyAlignment="1"/>
    <xf numFmtId="1" fontId="15" fillId="51" borderId="3" xfId="0" applyNumberFormat="1" applyFont="1" applyFill="1" applyBorder="1" applyAlignment="1"/>
    <xf numFmtId="1" fontId="15" fillId="51" borderId="5" xfId="0" applyNumberFormat="1" applyFont="1" applyFill="1" applyBorder="1" applyAlignment="1"/>
    <xf numFmtId="1" fontId="15" fillId="51" borderId="14" xfId="0" applyNumberFormat="1" applyFont="1" applyFill="1" applyBorder="1" applyAlignment="1"/>
    <xf numFmtId="165" fontId="8" fillId="0" borderId="9" xfId="1" applyNumberFormat="1" applyFont="1" applyBorder="1" applyAlignment="1" applyProtection="1">
      <alignment horizontal="center"/>
    </xf>
    <xf numFmtId="165" fontId="9" fillId="0" borderId="25" xfId="0" applyNumberFormat="1" applyFont="1" applyBorder="1" applyAlignment="1"/>
    <xf numFmtId="43" fontId="9" fillId="0" borderId="2" xfId="1" applyFont="1" applyBorder="1" applyAlignment="1" applyProtection="1">
      <alignment horizontal="center"/>
    </xf>
    <xf numFmtId="0" fontId="0" fillId="0" borderId="2" xfId="0" applyBorder="1">
      <alignment vertical="center"/>
    </xf>
    <xf numFmtId="0" fontId="194" fillId="51" borderId="12" xfId="0" applyFont="1" applyFill="1" applyBorder="1" applyAlignment="1">
      <alignment horizontal="center" vertical="center" wrapText="1"/>
    </xf>
    <xf numFmtId="0" fontId="108" fillId="51" borderId="57" xfId="0" applyFont="1" applyFill="1" applyBorder="1" applyAlignment="1">
      <alignment horizontal="center" vertical="center"/>
    </xf>
    <xf numFmtId="0" fontId="108" fillId="51" borderId="58" xfId="0" applyFont="1" applyFill="1" applyBorder="1" applyAlignment="1">
      <alignment horizontal="center" vertical="center"/>
    </xf>
    <xf numFmtId="0" fontId="108" fillId="51" borderId="72" xfId="0" applyFont="1" applyFill="1" applyBorder="1" applyAlignment="1">
      <alignment horizontal="center" vertical="center"/>
    </xf>
    <xf numFmtId="0" fontId="108" fillId="51" borderId="61" xfId="0" applyFont="1" applyFill="1" applyBorder="1" applyAlignment="1">
      <alignment horizontal="center" vertical="center"/>
    </xf>
    <xf numFmtId="0" fontId="22" fillId="51" borderId="61" xfId="0" applyFont="1" applyFill="1" applyBorder="1" applyAlignment="1">
      <alignment horizontal="center" vertical="center"/>
    </xf>
    <xf numFmtId="0" fontId="22" fillId="51" borderId="58" xfId="0" applyFont="1" applyFill="1" applyBorder="1" applyAlignment="1">
      <alignment horizontal="center" vertical="center"/>
    </xf>
    <xf numFmtId="0" fontId="22" fillId="51" borderId="57" xfId="0" applyFont="1" applyFill="1" applyBorder="1" applyAlignment="1">
      <alignment horizontal="center" vertical="center"/>
    </xf>
    <xf numFmtId="0" fontId="22" fillId="51" borderId="55" xfId="0" applyFont="1" applyFill="1" applyBorder="1" applyAlignment="1">
      <alignment horizontal="center" vertical="center"/>
    </xf>
    <xf numFmtId="0" fontId="14" fillId="51" borderId="57" xfId="0" applyFont="1" applyFill="1" applyBorder="1" applyAlignment="1">
      <alignment horizontal="center" vertical="center"/>
    </xf>
    <xf numFmtId="0" fontId="22" fillId="51" borderId="72" xfId="0" applyFont="1" applyFill="1" applyBorder="1" applyAlignment="1">
      <alignment horizontal="center" vertical="center"/>
    </xf>
    <xf numFmtId="0" fontId="108" fillId="51" borderId="55" xfId="0" applyFont="1" applyFill="1" applyBorder="1" applyAlignment="1">
      <alignment horizontal="center" vertical="center"/>
    </xf>
    <xf numFmtId="0" fontId="189" fillId="51" borderId="4" xfId="0" applyFont="1" applyFill="1" applyBorder="1" applyAlignment="1">
      <alignment horizontal="center" vertical="center"/>
    </xf>
    <xf numFmtId="0" fontId="189" fillId="51" borderId="58" xfId="0" applyFont="1" applyFill="1" applyBorder="1" applyAlignment="1">
      <alignment horizontal="center" vertical="center"/>
    </xf>
    <xf numFmtId="0" fontId="189" fillId="51" borderId="8" xfId="0" applyFont="1" applyFill="1" applyBorder="1" applyAlignment="1">
      <alignment horizontal="center" vertical="center"/>
    </xf>
    <xf numFmtId="0" fontId="189" fillId="51" borderId="61" xfId="0" applyFont="1" applyFill="1" applyBorder="1" applyAlignment="1">
      <alignment horizontal="center" vertical="center"/>
    </xf>
    <xf numFmtId="0" fontId="189" fillId="51" borderId="57" xfId="0" applyFont="1" applyFill="1" applyBorder="1" applyAlignment="1">
      <alignment horizontal="center" vertical="center"/>
    </xf>
    <xf numFmtId="0" fontId="189" fillId="51" borderId="72" xfId="0" applyFont="1" applyFill="1" applyBorder="1" applyAlignment="1">
      <alignment horizontal="center" vertical="center"/>
    </xf>
    <xf numFmtId="0" fontId="189" fillId="51" borderId="55" xfId="0" applyFont="1" applyFill="1" applyBorder="1" applyAlignment="1">
      <alignment horizontal="center" vertical="center"/>
    </xf>
    <xf numFmtId="0" fontId="38" fillId="51" borderId="4" xfId="0" applyFont="1" applyFill="1" applyBorder="1" applyAlignment="1">
      <alignment horizontal="center" vertical="center" wrapText="1"/>
    </xf>
    <xf numFmtId="0" fontId="12" fillId="51" borderId="57" xfId="0" applyFont="1" applyFill="1" applyBorder="1" applyAlignment="1">
      <alignment horizontal="center" vertical="center"/>
    </xf>
    <xf numFmtId="0" fontId="22" fillId="51" borderId="20" xfId="0" applyFont="1" applyFill="1" applyBorder="1" applyAlignment="1">
      <alignment horizontal="center" vertical="center"/>
    </xf>
    <xf numFmtId="0" fontId="111" fillId="2" borderId="43" xfId="0" applyFont="1" applyFill="1" applyBorder="1" applyAlignment="1">
      <alignment horizontal="center"/>
    </xf>
    <xf numFmtId="0" fontId="217" fillId="3" borderId="12" xfId="0" applyFont="1" applyFill="1" applyBorder="1" applyAlignment="1">
      <alignment horizontal="center" vertical="center" wrapText="1"/>
    </xf>
    <xf numFmtId="0" fontId="196" fillId="3" borderId="57" xfId="0" applyFont="1" applyFill="1" applyBorder="1" applyAlignment="1">
      <alignment horizontal="center" vertical="center"/>
    </xf>
    <xf numFmtId="0" fontId="196" fillId="3" borderId="72" xfId="0" applyFont="1" applyFill="1" applyBorder="1" applyAlignment="1">
      <alignment horizontal="center" vertical="center"/>
    </xf>
    <xf numFmtId="0" fontId="196" fillId="3" borderId="61" xfId="0" applyFont="1" applyFill="1" applyBorder="1" applyAlignment="1">
      <alignment horizontal="center" vertical="center"/>
    </xf>
    <xf numFmtId="0" fontId="196" fillId="3" borderId="58" xfId="0" applyFont="1" applyFill="1" applyBorder="1" applyAlignment="1">
      <alignment horizontal="center" vertical="center"/>
    </xf>
    <xf numFmtId="0" fontId="17" fillId="3" borderId="57" xfId="0" applyFont="1" applyFill="1" applyBorder="1" applyAlignment="1">
      <alignment horizontal="center" vertical="center"/>
    </xf>
    <xf numFmtId="0" fontId="17" fillId="3" borderId="72" xfId="0" applyFont="1" applyFill="1" applyBorder="1" applyAlignment="1">
      <alignment horizontal="center" vertical="center"/>
    </xf>
    <xf numFmtId="0" fontId="196" fillId="3" borderId="12" xfId="0" applyFont="1" applyFill="1" applyBorder="1" applyAlignment="1">
      <alignment horizontal="center" vertical="center"/>
    </xf>
    <xf numFmtId="0" fontId="196" fillId="3" borderId="55" xfId="0" applyFont="1" applyFill="1" applyBorder="1" applyAlignment="1">
      <alignment horizontal="center" vertical="center"/>
    </xf>
    <xf numFmtId="169" fontId="176" fillId="0" borderId="23" xfId="0" applyNumberFormat="1" applyFont="1" applyBorder="1" applyAlignment="1">
      <alignment horizontal="center"/>
    </xf>
    <xf numFmtId="169" fontId="176" fillId="0" borderId="10" xfId="0" applyNumberFormat="1" applyFont="1" applyBorder="1" applyAlignment="1">
      <alignment horizontal="center"/>
    </xf>
    <xf numFmtId="0" fontId="12" fillId="48" borderId="57" xfId="0" applyFont="1" applyFill="1" applyBorder="1" applyAlignment="1">
      <alignment horizontal="center" vertical="center"/>
    </xf>
    <xf numFmtId="0" fontId="12" fillId="48" borderId="72" xfId="0" applyFont="1" applyFill="1" applyBorder="1" applyAlignment="1">
      <alignment horizontal="center" vertical="center"/>
    </xf>
    <xf numFmtId="0" fontId="22" fillId="48" borderId="12" xfId="0" applyFont="1" applyFill="1" applyBorder="1" applyAlignment="1">
      <alignment horizontal="center" vertical="center"/>
    </xf>
    <xf numFmtId="0" fontId="22" fillId="48" borderId="57" xfId="0" applyFont="1" applyFill="1" applyBorder="1">
      <alignment vertical="center"/>
    </xf>
    <xf numFmtId="0" fontId="38" fillId="48" borderId="12" xfId="0" applyFont="1" applyFill="1" applyBorder="1" applyAlignment="1">
      <alignment horizontal="center" vertical="center" wrapText="1"/>
    </xf>
    <xf numFmtId="0" fontId="198" fillId="48" borderId="72" xfId="0" applyFont="1" applyFill="1" applyBorder="1" applyAlignment="1">
      <alignment horizontal="center" vertical="center"/>
    </xf>
    <xf numFmtId="0" fontId="94" fillId="0" borderId="55" xfId="0" applyFont="1" applyBorder="1" applyAlignment="1">
      <alignment horizontal="left"/>
    </xf>
    <xf numFmtId="0" fontId="218" fillId="0" borderId="14" xfId="0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44" fillId="0" borderId="19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20" xfId="1" applyNumberFormat="1" applyFont="1" applyBorder="1" applyAlignment="1" applyProtection="1">
      <alignment horizontal="center"/>
    </xf>
    <xf numFmtId="0" fontId="44" fillId="0" borderId="24" xfId="0" applyFont="1" applyBorder="1" applyAlignment="1">
      <alignment horizontal="center"/>
    </xf>
    <xf numFmtId="169" fontId="44" fillId="0" borderId="20" xfId="1" applyNumberFormat="1" applyFont="1" applyBorder="1" applyAlignment="1" applyProtection="1">
      <alignment horizontal="center"/>
    </xf>
    <xf numFmtId="43" fontId="44" fillId="0" borderId="24" xfId="1" applyFont="1" applyBorder="1" applyAlignment="1" applyProtection="1">
      <alignment horizontal="center"/>
    </xf>
    <xf numFmtId="0" fontId="44" fillId="0" borderId="29" xfId="1" applyNumberFormat="1" applyFont="1" applyBorder="1" applyAlignment="1" applyProtection="1">
      <alignment horizontal="center"/>
    </xf>
    <xf numFmtId="0" fontId="44" fillId="0" borderId="24" xfId="1" applyNumberFormat="1" applyFont="1" applyBorder="1" applyAlignment="1" applyProtection="1">
      <alignment horizontal="center"/>
    </xf>
    <xf numFmtId="0" fontId="108" fillId="0" borderId="2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/>
    </xf>
    <xf numFmtId="0" fontId="14" fillId="13" borderId="40" xfId="0" applyFont="1" applyFill="1" applyBorder="1" applyAlignment="1">
      <alignment horizontal="center" vertical="center"/>
    </xf>
    <xf numFmtId="0" fontId="108" fillId="44" borderId="57" xfId="0" applyFont="1" applyFill="1" applyBorder="1" applyAlignment="1">
      <alignment horizontal="center" vertical="center"/>
    </xf>
    <xf numFmtId="0" fontId="194" fillId="44" borderId="13" xfId="0" applyFont="1" applyFill="1" applyBorder="1" applyAlignment="1">
      <alignment horizontal="center" vertical="center" wrapText="1"/>
    </xf>
    <xf numFmtId="0" fontId="189" fillId="44" borderId="38" xfId="0" applyFont="1" applyFill="1" applyBorder="1" applyAlignment="1">
      <alignment horizontal="center" vertical="center"/>
    </xf>
    <xf numFmtId="0" fontId="189" fillId="44" borderId="41" xfId="0" applyFont="1" applyFill="1" applyBorder="1" applyAlignment="1">
      <alignment horizontal="center" vertical="center"/>
    </xf>
    <xf numFmtId="0" fontId="189" fillId="44" borderId="71" xfId="0" applyFont="1" applyFill="1" applyBorder="1" applyAlignment="1">
      <alignment horizontal="center" vertical="center"/>
    </xf>
    <xf numFmtId="0" fontId="189" fillId="44" borderId="60" xfId="0" applyFont="1" applyFill="1" applyBorder="1" applyAlignment="1">
      <alignment horizontal="center" vertical="center"/>
    </xf>
    <xf numFmtId="0" fontId="189" fillId="44" borderId="53" xfId="0" applyFont="1" applyFill="1" applyBorder="1" applyAlignment="1">
      <alignment horizontal="center" vertical="center"/>
    </xf>
    <xf numFmtId="0" fontId="14" fillId="44" borderId="38" xfId="0" applyFont="1" applyFill="1" applyBorder="1" applyAlignment="1">
      <alignment horizontal="center" vertical="center"/>
    </xf>
    <xf numFmtId="0" fontId="108" fillId="44" borderId="38" xfId="0" applyFont="1" applyFill="1" applyBorder="1">
      <alignment vertical="center"/>
    </xf>
    <xf numFmtId="0" fontId="194" fillId="52" borderId="12" xfId="0" applyFont="1" applyFill="1" applyBorder="1" applyAlignment="1">
      <alignment horizontal="center" vertical="center" wrapText="1"/>
    </xf>
    <xf numFmtId="0" fontId="108" fillId="52" borderId="57" xfId="0" applyFont="1" applyFill="1" applyBorder="1" applyAlignment="1">
      <alignment horizontal="center" vertical="center"/>
    </xf>
    <xf numFmtId="0" fontId="108" fillId="52" borderId="58" xfId="0" applyFont="1" applyFill="1" applyBorder="1" applyAlignment="1">
      <alignment horizontal="center" vertical="center"/>
    </xf>
    <xf numFmtId="0" fontId="196" fillId="52" borderId="72" xfId="0" applyFont="1" applyFill="1" applyBorder="1" applyAlignment="1">
      <alignment horizontal="center" vertical="center"/>
    </xf>
    <xf numFmtId="0" fontId="22" fillId="52" borderId="61" xfId="0" applyFont="1" applyFill="1" applyBorder="1" applyAlignment="1">
      <alignment horizontal="center" vertical="center"/>
    </xf>
    <xf numFmtId="0" fontId="22" fillId="52" borderId="58" xfId="0" applyFont="1" applyFill="1" applyBorder="1" applyAlignment="1">
      <alignment horizontal="center" vertical="center"/>
    </xf>
    <xf numFmtId="0" fontId="22" fillId="52" borderId="57" xfId="0" applyFont="1" applyFill="1" applyBorder="1" applyAlignment="1">
      <alignment horizontal="center" vertical="center"/>
    </xf>
    <xf numFmtId="0" fontId="22" fillId="52" borderId="72" xfId="0" applyFont="1" applyFill="1" applyBorder="1" applyAlignment="1">
      <alignment horizontal="center" vertical="center"/>
    </xf>
    <xf numFmtId="0" fontId="22" fillId="52" borderId="55" xfId="0" applyFont="1" applyFill="1" applyBorder="1" applyAlignment="1">
      <alignment horizontal="center" vertical="center"/>
    </xf>
    <xf numFmtId="0" fontId="12" fillId="52" borderId="57" xfId="0" applyFont="1" applyFill="1" applyBorder="1" applyAlignment="1">
      <alignment horizontal="center" vertical="center"/>
    </xf>
    <xf numFmtId="0" fontId="108" fillId="52" borderId="61" xfId="0" applyFont="1" applyFill="1" applyBorder="1" applyAlignment="1">
      <alignment horizontal="center" vertical="center"/>
    </xf>
    <xf numFmtId="0" fontId="108" fillId="52" borderId="55" xfId="0" applyFont="1" applyFill="1" applyBorder="1" applyAlignment="1">
      <alignment horizontal="center" vertical="center"/>
    </xf>
    <xf numFmtId="0" fontId="108" fillId="52" borderId="57" xfId="0" applyFont="1" applyFill="1" applyBorder="1">
      <alignment vertical="center"/>
    </xf>
    <xf numFmtId="0" fontId="108" fillId="52" borderId="72" xfId="0" applyFont="1" applyFill="1" applyBorder="1" applyAlignment="1">
      <alignment horizontal="center" vertical="center"/>
    </xf>
    <xf numFmtId="0" fontId="22" fillId="52" borderId="57" xfId="0" applyFont="1" applyFill="1" applyBorder="1">
      <alignment vertical="center"/>
    </xf>
    <xf numFmtId="0" fontId="94" fillId="0" borderId="60" xfId="0" applyFont="1" applyBorder="1" applyAlignment="1">
      <alignment horizontal="left"/>
    </xf>
    <xf numFmtId="0" fontId="194" fillId="4" borderId="4" xfId="0" applyFont="1" applyFill="1" applyBorder="1" applyAlignment="1">
      <alignment horizontal="center" vertical="center" wrapText="1"/>
    </xf>
    <xf numFmtId="0" fontId="22" fillId="4" borderId="61" xfId="0" applyFont="1" applyFill="1" applyBorder="1" applyAlignment="1">
      <alignment horizontal="center" vertical="center"/>
    </xf>
    <xf numFmtId="0" fontId="22" fillId="4" borderId="58" xfId="0" applyFont="1" applyFill="1" applyBorder="1" applyAlignment="1">
      <alignment horizontal="center" vertical="center"/>
    </xf>
    <xf numFmtId="0" fontId="22" fillId="4" borderId="57" xfId="0" applyFont="1" applyFill="1" applyBorder="1" applyAlignment="1">
      <alignment horizontal="center" vertical="center"/>
    </xf>
    <xf numFmtId="0" fontId="22" fillId="4" borderId="72" xfId="0" applyFont="1" applyFill="1" applyBorder="1" applyAlignment="1">
      <alignment horizontal="center" vertical="center"/>
    </xf>
    <xf numFmtId="0" fontId="14" fillId="4" borderId="57" xfId="0" applyFont="1" applyFill="1" applyBorder="1" applyAlignment="1">
      <alignment horizontal="center" vertical="center"/>
    </xf>
    <xf numFmtId="0" fontId="22" fillId="4" borderId="55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189" fillId="4" borderId="61" xfId="0" applyFont="1" applyFill="1" applyBorder="1" applyAlignment="1">
      <alignment horizontal="center" vertical="center"/>
    </xf>
    <xf numFmtId="0" fontId="189" fillId="4" borderId="58" xfId="0" applyFont="1" applyFill="1" applyBorder="1" applyAlignment="1">
      <alignment horizontal="center" vertical="center"/>
    </xf>
    <xf numFmtId="0" fontId="189" fillId="4" borderId="57" xfId="0" applyFont="1" applyFill="1" applyBorder="1" applyAlignment="1">
      <alignment horizontal="center" vertical="center"/>
    </xf>
    <xf numFmtId="0" fontId="189" fillId="4" borderId="72" xfId="0" applyFont="1" applyFill="1" applyBorder="1" applyAlignment="1">
      <alignment horizontal="center" vertical="center"/>
    </xf>
    <xf numFmtId="0" fontId="189" fillId="4" borderId="55" xfId="0" applyFont="1" applyFill="1" applyBorder="1" applyAlignment="1">
      <alignment horizontal="center" vertical="center"/>
    </xf>
    <xf numFmtId="0" fontId="189" fillId="4" borderId="20" xfId="0" applyFont="1" applyFill="1" applyBorder="1" applyAlignment="1">
      <alignment horizontal="center" vertical="center"/>
    </xf>
    <xf numFmtId="3" fontId="1" fillId="0" borderId="0" xfId="0" applyNumberFormat="1" applyFont="1" applyAlignment="1"/>
    <xf numFmtId="0" fontId="63" fillId="0" borderId="39" xfId="0" applyFont="1" applyBorder="1" applyAlignment="1">
      <alignment horizontal="left"/>
    </xf>
    <xf numFmtId="0" fontId="64" fillId="0" borderId="1" xfId="0" applyFont="1" applyBorder="1">
      <alignment vertical="center"/>
    </xf>
    <xf numFmtId="3" fontId="64" fillId="0" borderId="2" xfId="0" applyNumberFormat="1" applyFont="1" applyBorder="1">
      <alignment vertical="center"/>
    </xf>
    <xf numFmtId="0" fontId="64" fillId="0" borderId="2" xfId="0" applyFont="1" applyBorder="1">
      <alignment vertical="center"/>
    </xf>
    <xf numFmtId="3" fontId="64" fillId="0" borderId="15" xfId="0" applyNumberFormat="1" applyFont="1" applyBorder="1">
      <alignment vertical="center"/>
    </xf>
    <xf numFmtId="0" fontId="20" fillId="2" borderId="14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43" fontId="220" fillId="3" borderId="0" xfId="1" applyFont="1" applyFill="1" applyAlignment="1" applyProtection="1">
      <alignment horizontal="center" vertical="top"/>
    </xf>
    <xf numFmtId="0" fontId="220" fillId="3" borderId="0" xfId="1" applyNumberFormat="1" applyFont="1" applyFill="1" applyAlignment="1" applyProtection="1">
      <alignment horizontal="center" vertical="top"/>
    </xf>
    <xf numFmtId="0" fontId="220" fillId="3" borderId="30" xfId="1" applyNumberFormat="1" applyFont="1" applyFill="1" applyBorder="1" applyAlignment="1" applyProtection="1">
      <alignment horizontal="center" vertical="top"/>
    </xf>
    <xf numFmtId="165" fontId="220" fillId="3" borderId="0" xfId="1" applyNumberFormat="1" applyFont="1" applyFill="1" applyAlignment="1" applyProtection="1">
      <alignment horizontal="center" vertical="top"/>
    </xf>
    <xf numFmtId="0" fontId="60" fillId="0" borderId="0" xfId="0" applyFont="1" applyAlignment="1"/>
    <xf numFmtId="0" fontId="194" fillId="53" borderId="12" xfId="0" applyFont="1" applyFill="1" applyBorder="1" applyAlignment="1">
      <alignment horizontal="center" vertical="center" wrapText="1"/>
    </xf>
    <xf numFmtId="0" fontId="108" fillId="53" borderId="57" xfId="0" applyFont="1" applyFill="1" applyBorder="1" applyAlignment="1">
      <alignment horizontal="center" vertical="center"/>
    </xf>
    <xf numFmtId="0" fontId="108" fillId="53" borderId="58" xfId="0" applyFont="1" applyFill="1" applyBorder="1" applyAlignment="1">
      <alignment horizontal="center" vertical="center"/>
    </xf>
    <xf numFmtId="0" fontId="108" fillId="53" borderId="72" xfId="0" applyFont="1" applyFill="1" applyBorder="1" applyAlignment="1">
      <alignment horizontal="center" vertical="center"/>
    </xf>
    <xf numFmtId="0" fontId="108" fillId="53" borderId="61" xfId="0" applyFont="1" applyFill="1" applyBorder="1" applyAlignment="1">
      <alignment horizontal="center" vertical="center"/>
    </xf>
    <xf numFmtId="0" fontId="22" fillId="53" borderId="61" xfId="0" applyFont="1" applyFill="1" applyBorder="1" applyAlignment="1">
      <alignment horizontal="center" vertical="center"/>
    </xf>
    <xf numFmtId="0" fontId="22" fillId="53" borderId="58" xfId="0" applyFont="1" applyFill="1" applyBorder="1" applyAlignment="1">
      <alignment horizontal="center" vertical="center"/>
    </xf>
    <xf numFmtId="0" fontId="22" fillId="53" borderId="57" xfId="0" applyFont="1" applyFill="1" applyBorder="1" applyAlignment="1">
      <alignment horizontal="center" vertical="center"/>
    </xf>
    <xf numFmtId="0" fontId="22" fillId="53" borderId="55" xfId="0" applyFont="1" applyFill="1" applyBorder="1" applyAlignment="1">
      <alignment horizontal="center" vertical="center"/>
    </xf>
    <xf numFmtId="0" fontId="14" fillId="53" borderId="57" xfId="0" applyFont="1" applyFill="1" applyBorder="1" applyAlignment="1">
      <alignment horizontal="center" vertical="center"/>
    </xf>
    <xf numFmtId="0" fontId="108" fillId="53" borderId="55" xfId="0" applyFont="1" applyFill="1" applyBorder="1" applyAlignment="1">
      <alignment horizontal="center" vertical="center"/>
    </xf>
    <xf numFmtId="0" fontId="108" fillId="53" borderId="57" xfId="0" applyFont="1" applyFill="1" applyBorder="1">
      <alignment vertical="center"/>
    </xf>
    <xf numFmtId="0" fontId="196" fillId="53" borderId="57" xfId="0" applyFont="1" applyFill="1" applyBorder="1" applyAlignment="1">
      <alignment horizontal="center" vertical="center"/>
    </xf>
    <xf numFmtId="0" fontId="196" fillId="53" borderId="58" xfId="0" applyFont="1" applyFill="1" applyBorder="1" applyAlignment="1">
      <alignment horizontal="center" vertical="center"/>
    </xf>
    <xf numFmtId="0" fontId="196" fillId="53" borderId="72" xfId="0" applyFont="1" applyFill="1" applyBorder="1" applyAlignment="1">
      <alignment horizontal="center" vertical="center"/>
    </xf>
    <xf numFmtId="0" fontId="196" fillId="53" borderId="61" xfId="0" applyFont="1" applyFill="1" applyBorder="1" applyAlignment="1">
      <alignment horizontal="center" vertical="center"/>
    </xf>
    <xf numFmtId="0" fontId="196" fillId="53" borderId="55" xfId="0" applyFont="1" applyFill="1" applyBorder="1" applyAlignment="1">
      <alignment horizontal="center" vertical="center"/>
    </xf>
    <xf numFmtId="0" fontId="17" fillId="53" borderId="5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 vertical="center"/>
    </xf>
    <xf numFmtId="0" fontId="194" fillId="54" borderId="12" xfId="0" applyFont="1" applyFill="1" applyBorder="1" applyAlignment="1">
      <alignment horizontal="center" vertical="center" wrapText="1"/>
    </xf>
    <xf numFmtId="0" fontId="22" fillId="54" borderId="57" xfId="0" applyFont="1" applyFill="1" applyBorder="1" applyAlignment="1">
      <alignment horizontal="center" vertical="center"/>
    </xf>
    <xf numFmtId="0" fontId="22" fillId="54" borderId="58" xfId="0" applyFont="1" applyFill="1" applyBorder="1" applyAlignment="1">
      <alignment horizontal="center" vertical="center"/>
    </xf>
    <xf numFmtId="0" fontId="22" fillId="54" borderId="72" xfId="0" applyFont="1" applyFill="1" applyBorder="1" applyAlignment="1">
      <alignment horizontal="center" vertical="center"/>
    </xf>
    <xf numFmtId="0" fontId="22" fillId="54" borderId="61" xfId="0" applyFont="1" applyFill="1" applyBorder="1" applyAlignment="1">
      <alignment horizontal="center" vertical="center"/>
    </xf>
    <xf numFmtId="0" fontId="22" fillId="54" borderId="55" xfId="0" applyFont="1" applyFill="1" applyBorder="1" applyAlignment="1">
      <alignment horizontal="center" vertical="center"/>
    </xf>
    <xf numFmtId="0" fontId="14" fillId="54" borderId="57" xfId="0" applyFont="1" applyFill="1" applyBorder="1" applyAlignment="1">
      <alignment horizontal="center" vertical="center"/>
    </xf>
    <xf numFmtId="0" fontId="108" fillId="54" borderId="57" xfId="0" applyFont="1" applyFill="1" applyBorder="1" applyAlignment="1">
      <alignment horizontal="center" vertical="center"/>
    </xf>
    <xf numFmtId="0" fontId="194" fillId="54" borderId="13" xfId="0" applyFont="1" applyFill="1" applyBorder="1" applyAlignment="1">
      <alignment horizontal="center" vertical="center" wrapText="1"/>
    </xf>
    <xf numFmtId="0" fontId="189" fillId="54" borderId="38" xfId="0" applyFont="1" applyFill="1" applyBorder="1" applyAlignment="1">
      <alignment horizontal="center" vertical="center"/>
    </xf>
    <xf numFmtId="0" fontId="189" fillId="54" borderId="41" xfId="0" applyFont="1" applyFill="1" applyBorder="1" applyAlignment="1">
      <alignment horizontal="center" vertical="center"/>
    </xf>
    <xf numFmtId="0" fontId="189" fillId="54" borderId="71" xfId="0" applyFont="1" applyFill="1" applyBorder="1" applyAlignment="1">
      <alignment horizontal="center" vertical="center"/>
    </xf>
    <xf numFmtId="0" fontId="189" fillId="54" borderId="60" xfId="0" applyFont="1" applyFill="1" applyBorder="1" applyAlignment="1">
      <alignment horizontal="center" vertical="center"/>
    </xf>
    <xf numFmtId="0" fontId="189" fillId="54" borderId="53" xfId="0" applyFont="1" applyFill="1" applyBorder="1" applyAlignment="1">
      <alignment horizontal="center" vertical="center"/>
    </xf>
    <xf numFmtId="0" fontId="14" fillId="54" borderId="38" xfId="0" applyFont="1" applyFill="1" applyBorder="1" applyAlignment="1">
      <alignment horizontal="center" vertical="center"/>
    </xf>
    <xf numFmtId="0" fontId="108" fillId="54" borderId="38" xfId="0" applyFont="1" applyFill="1" applyBorder="1">
      <alignment vertical="center"/>
    </xf>
    <xf numFmtId="0" fontId="60" fillId="0" borderId="27" xfId="0" applyFont="1" applyBorder="1" applyAlignment="1">
      <alignment horizontal="center"/>
    </xf>
    <xf numFmtId="0" fontId="113" fillId="0" borderId="41" xfId="0" applyFont="1" applyBorder="1" applyAlignment="1">
      <alignment horizontal="left"/>
    </xf>
    <xf numFmtId="0" fontId="114" fillId="2" borderId="43" xfId="0" applyFont="1" applyFill="1" applyBorder="1" applyAlignment="1">
      <alignment horizontal="center"/>
    </xf>
    <xf numFmtId="1" fontId="117" fillId="0" borderId="44" xfId="0" applyNumberFormat="1" applyFont="1" applyBorder="1" applyAlignment="1">
      <alignment horizontal="center"/>
    </xf>
    <xf numFmtId="0" fontId="114" fillId="2" borderId="44" xfId="0" applyFont="1" applyFill="1" applyBorder="1" applyAlignment="1">
      <alignment horizontal="center"/>
    </xf>
    <xf numFmtId="1" fontId="95" fillId="0" borderId="75" xfId="0" applyNumberFormat="1" applyFont="1" applyBorder="1" applyAlignment="1">
      <alignment horizontal="center"/>
    </xf>
    <xf numFmtId="0" fontId="97" fillId="2" borderId="83" xfId="1" applyNumberFormat="1" applyFont="1" applyFill="1" applyBorder="1" applyAlignment="1" applyProtection="1">
      <alignment horizontal="center" vertical="top"/>
    </xf>
    <xf numFmtId="0" fontId="87" fillId="2" borderId="82" xfId="1" applyNumberFormat="1" applyFont="1" applyFill="1" applyBorder="1" applyAlignment="1" applyProtection="1">
      <alignment horizontal="center" vertical="top"/>
    </xf>
    <xf numFmtId="0" fontId="87" fillId="0" borderId="82" xfId="0" applyFont="1" applyBorder="1" applyAlignment="1">
      <alignment horizontal="center"/>
    </xf>
    <xf numFmtId="0" fontId="97" fillId="2" borderId="86" xfId="0" applyFont="1" applyFill="1" applyBorder="1" applyAlignment="1">
      <alignment horizontal="center"/>
    </xf>
    <xf numFmtId="167" fontId="112" fillId="2" borderId="43" xfId="0" applyNumberFormat="1" applyFont="1" applyFill="1" applyBorder="1" applyAlignment="1">
      <alignment horizontal="center"/>
    </xf>
    <xf numFmtId="1" fontId="99" fillId="0" borderId="23" xfId="0" applyNumberFormat="1" applyFont="1" applyBorder="1" applyAlignment="1">
      <alignment horizontal="center"/>
    </xf>
    <xf numFmtId="1" fontId="99" fillId="0" borderId="44" xfId="0" applyNumberFormat="1" applyFont="1" applyBorder="1" applyAlignment="1">
      <alignment horizontal="center"/>
    </xf>
    <xf numFmtId="14" fontId="91" fillId="0" borderId="23" xfId="0" applyNumberFormat="1" applyFont="1" applyBorder="1" applyAlignment="1">
      <alignment horizontal="center"/>
    </xf>
    <xf numFmtId="165" fontId="71" fillId="0" borderId="0" xfId="0" applyNumberFormat="1" applyFont="1" applyAlignment="1"/>
    <xf numFmtId="0" fontId="22" fillId="54" borderId="60" xfId="0" applyFont="1" applyFill="1" applyBorder="1" applyAlignment="1">
      <alignment horizontal="center" vertical="center"/>
    </xf>
    <xf numFmtId="0" fontId="22" fillId="54" borderId="41" xfId="0" applyFont="1" applyFill="1" applyBorder="1" applyAlignment="1">
      <alignment horizontal="center" vertical="center"/>
    </xf>
    <xf numFmtId="0" fontId="12" fillId="54" borderId="57" xfId="0" applyFont="1" applyFill="1" applyBorder="1" applyAlignment="1">
      <alignment horizontal="center" vertical="center"/>
    </xf>
    <xf numFmtId="0" fontId="12" fillId="54" borderId="72" xfId="0" applyFont="1" applyFill="1" applyBorder="1" applyAlignment="1">
      <alignment horizontal="center" vertical="center"/>
    </xf>
    <xf numFmtId="0" fontId="22" fillId="54" borderId="12" xfId="0" applyFont="1" applyFill="1" applyBorder="1" applyAlignment="1">
      <alignment horizontal="center" vertical="center"/>
    </xf>
    <xf numFmtId="0" fontId="14" fillId="54" borderId="71" xfId="0" applyFont="1" applyFill="1" applyBorder="1" applyAlignment="1">
      <alignment horizontal="center" vertical="center"/>
    </xf>
    <xf numFmtId="0" fontId="189" fillId="54" borderId="13" xfId="0" applyFont="1" applyFill="1" applyBorder="1" applyAlignment="1">
      <alignment horizontal="center" vertical="center"/>
    </xf>
    <xf numFmtId="0" fontId="38" fillId="3" borderId="1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63" fillId="0" borderId="6" xfId="0" applyFont="1" applyBorder="1">
      <alignment vertical="center"/>
    </xf>
    <xf numFmtId="0" fontId="63" fillId="0" borderId="21" xfId="0" applyFont="1" applyBorder="1">
      <alignment vertical="center"/>
    </xf>
    <xf numFmtId="14" fontId="63" fillId="0" borderId="34" xfId="0" applyNumberFormat="1" applyFont="1" applyBorder="1">
      <alignment vertical="center"/>
    </xf>
    <xf numFmtId="14" fontId="63" fillId="0" borderId="6" xfId="0" applyNumberFormat="1" applyFont="1" applyBorder="1">
      <alignment vertical="center"/>
    </xf>
    <xf numFmtId="0" fontId="63" fillId="0" borderId="1" xfId="0" applyFont="1" applyBorder="1">
      <alignment vertical="center"/>
    </xf>
    <xf numFmtId="0" fontId="63" fillId="0" borderId="9" xfId="0" applyFont="1" applyBorder="1">
      <alignment vertical="center"/>
    </xf>
    <xf numFmtId="0" fontId="63" fillId="0" borderId="43" xfId="0" applyFont="1" applyBorder="1" applyAlignment="1">
      <alignment horizontal="center" vertical="center"/>
    </xf>
    <xf numFmtId="0" fontId="63" fillId="0" borderId="44" xfId="0" applyFont="1" applyBorder="1" applyAlignment="1">
      <alignment horizontal="center" vertical="center"/>
    </xf>
    <xf numFmtId="0" fontId="63" fillId="0" borderId="46" xfId="0" applyFont="1" applyBorder="1" applyAlignment="1">
      <alignment horizontal="center" vertical="center"/>
    </xf>
    <xf numFmtId="0" fontId="63" fillId="0" borderId="65" xfId="0" applyFont="1" applyBorder="1" applyAlignment="1">
      <alignment horizontal="center" vertical="center"/>
    </xf>
    <xf numFmtId="0" fontId="63" fillId="0" borderId="14" xfId="0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63" fillId="0" borderId="45" xfId="0" applyFont="1" applyBorder="1" applyAlignment="1">
      <alignment horizontal="center" vertical="center"/>
    </xf>
    <xf numFmtId="0" fontId="63" fillId="0" borderId="67" xfId="0" applyFont="1" applyBorder="1" applyAlignment="1">
      <alignment horizontal="center" vertical="center"/>
    </xf>
    <xf numFmtId="0" fontId="63" fillId="0" borderId="56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30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14" fontId="63" fillId="0" borderId="49" xfId="0" applyNumberFormat="1" applyFont="1" applyBorder="1">
      <alignment vertical="center"/>
    </xf>
    <xf numFmtId="0" fontId="63" fillId="0" borderId="39" xfId="0" applyFont="1" applyBorder="1">
      <alignment vertical="center"/>
    </xf>
    <xf numFmtId="0" fontId="63" fillId="0" borderId="51" xfId="0" applyFont="1" applyBorder="1">
      <alignment vertical="center"/>
    </xf>
    <xf numFmtId="0" fontId="63" fillId="0" borderId="68" xfId="0" applyFont="1" applyBorder="1">
      <alignment vertical="center"/>
    </xf>
    <xf numFmtId="0" fontId="63" fillId="0" borderId="49" xfId="0" applyFont="1" applyBorder="1">
      <alignment vertical="center"/>
    </xf>
    <xf numFmtId="0" fontId="63" fillId="0" borderId="7" xfId="0" applyFont="1" applyBorder="1">
      <alignment vertical="center"/>
    </xf>
    <xf numFmtId="0" fontId="63" fillId="0" borderId="39" xfId="0" applyFont="1" applyBorder="1" applyAlignment="1">
      <alignment horizontal="center" vertical="center"/>
    </xf>
    <xf numFmtId="0" fontId="63" fillId="0" borderId="68" xfId="0" applyFont="1" applyBorder="1" applyAlignment="1">
      <alignment horizontal="center" vertical="center"/>
    </xf>
    <xf numFmtId="0" fontId="63" fillId="0" borderId="51" xfId="0" applyFont="1" applyBorder="1" applyAlignment="1">
      <alignment horizontal="center" vertical="center"/>
    </xf>
    <xf numFmtId="0" fontId="63" fillId="0" borderId="49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3" fillId="0" borderId="23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22" fillId="49" borderId="12" xfId="0" applyFont="1" applyFill="1" applyBorder="1" applyAlignment="1">
      <alignment horizontal="center" vertical="center"/>
    </xf>
    <xf numFmtId="0" fontId="22" fillId="21" borderId="12" xfId="0" applyFont="1" applyFill="1" applyBorder="1" applyAlignment="1">
      <alignment horizontal="center" vertical="center"/>
    </xf>
    <xf numFmtId="0" fontId="22" fillId="51" borderId="12" xfId="0" applyFont="1" applyFill="1" applyBorder="1" applyAlignment="1">
      <alignment horizontal="center" vertical="center"/>
    </xf>
    <xf numFmtId="0" fontId="22" fillId="22" borderId="12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189" fillId="17" borderId="12" xfId="0" applyFont="1" applyFill="1" applyBorder="1" applyAlignment="1">
      <alignment horizontal="center" vertical="center"/>
    </xf>
    <xf numFmtId="0" fontId="189" fillId="49" borderId="12" xfId="0" applyFont="1" applyFill="1" applyBorder="1" applyAlignment="1">
      <alignment horizontal="center" vertical="center"/>
    </xf>
    <xf numFmtId="0" fontId="189" fillId="4" borderId="12" xfId="0" applyFont="1" applyFill="1" applyBorder="1" applyAlignment="1">
      <alignment horizontal="center" vertical="center"/>
    </xf>
    <xf numFmtId="0" fontId="22" fillId="23" borderId="58" xfId="0" applyFont="1" applyFill="1" applyBorder="1" applyAlignment="1">
      <alignment horizontal="center" vertical="center"/>
    </xf>
    <xf numFmtId="0" fontId="65" fillId="0" borderId="10" xfId="0" applyFont="1" applyBorder="1" applyAlignment="1"/>
    <xf numFmtId="0" fontId="200" fillId="0" borderId="46" xfId="0" applyFont="1" applyBorder="1" applyAlignment="1">
      <alignment horizontal="center" vertical="center"/>
    </xf>
    <xf numFmtId="0" fontId="197" fillId="50" borderId="4" xfId="0" applyFont="1" applyFill="1" applyBorder="1" applyAlignment="1">
      <alignment horizontal="center" vertical="center" wrapText="1"/>
    </xf>
    <xf numFmtId="0" fontId="14" fillId="50" borderId="20" xfId="0" applyFont="1" applyFill="1" applyBorder="1" applyAlignment="1">
      <alignment horizontal="center" vertical="center"/>
    </xf>
    <xf numFmtId="0" fontId="14" fillId="50" borderId="55" xfId="0" applyFont="1" applyFill="1" applyBorder="1" applyAlignment="1">
      <alignment horizontal="center" vertical="center"/>
    </xf>
    <xf numFmtId="0" fontId="14" fillId="50" borderId="57" xfId="0" applyFont="1" applyFill="1" applyBorder="1" applyAlignment="1">
      <alignment horizontal="center" vertical="center"/>
    </xf>
    <xf numFmtId="0" fontId="14" fillId="50" borderId="58" xfId="0" applyFont="1" applyFill="1" applyBorder="1" applyAlignment="1">
      <alignment horizontal="center" vertical="center"/>
    </xf>
    <xf numFmtId="0" fontId="14" fillId="50" borderId="72" xfId="0" applyFont="1" applyFill="1" applyBorder="1" applyAlignment="1">
      <alignment horizontal="center" vertical="center"/>
    </xf>
    <xf numFmtId="0" fontId="14" fillId="50" borderId="8" xfId="0" applyFont="1" applyFill="1" applyBorder="1" applyAlignment="1">
      <alignment horizontal="center" vertical="center"/>
    </xf>
    <xf numFmtId="0" fontId="14" fillId="50" borderId="61" xfId="0" applyFont="1" applyFill="1" applyBorder="1" applyAlignment="1">
      <alignment horizontal="center" vertical="center"/>
    </xf>
    <xf numFmtId="0" fontId="14" fillId="50" borderId="4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 vertical="center"/>
    </xf>
    <xf numFmtId="0" fontId="22" fillId="2" borderId="58" xfId="0" applyFont="1" applyFill="1" applyBorder="1" applyAlignment="1">
      <alignment horizontal="center" vertical="center"/>
    </xf>
    <xf numFmtId="0" fontId="22" fillId="2" borderId="72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72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center" vertical="center"/>
    </xf>
    <xf numFmtId="0" fontId="22" fillId="2" borderId="57" xfId="0" applyFont="1" applyFill="1" applyBorder="1">
      <alignment vertical="center"/>
    </xf>
    <xf numFmtId="0" fontId="38" fillId="2" borderId="12" xfId="0" applyFont="1" applyFill="1" applyBorder="1" applyAlignment="1">
      <alignment horizontal="center" vertical="center" wrapText="1"/>
    </xf>
    <xf numFmtId="0" fontId="194" fillId="55" borderId="13" xfId="0" applyFont="1" applyFill="1" applyBorder="1" applyAlignment="1">
      <alignment horizontal="center" vertical="center" wrapText="1"/>
    </xf>
    <xf numFmtId="0" fontId="189" fillId="55" borderId="38" xfId="0" applyFont="1" applyFill="1" applyBorder="1" applyAlignment="1">
      <alignment horizontal="center" vertical="center"/>
    </xf>
    <xf numFmtId="0" fontId="189" fillId="55" borderId="41" xfId="0" applyFont="1" applyFill="1" applyBorder="1" applyAlignment="1">
      <alignment horizontal="center" vertical="center"/>
    </xf>
    <xf numFmtId="0" fontId="189" fillId="55" borderId="71" xfId="0" applyFont="1" applyFill="1" applyBorder="1" applyAlignment="1">
      <alignment horizontal="center" vertical="center"/>
    </xf>
    <xf numFmtId="0" fontId="189" fillId="55" borderId="60" xfId="0" applyFont="1" applyFill="1" applyBorder="1" applyAlignment="1">
      <alignment horizontal="center" vertical="center"/>
    </xf>
    <xf numFmtId="0" fontId="189" fillId="55" borderId="53" xfId="0" applyFont="1" applyFill="1" applyBorder="1" applyAlignment="1">
      <alignment horizontal="center" vertical="center"/>
    </xf>
    <xf numFmtId="0" fontId="14" fillId="55" borderId="38" xfId="0" applyFont="1" applyFill="1" applyBorder="1" applyAlignment="1">
      <alignment horizontal="center" vertical="center"/>
    </xf>
    <xf numFmtId="0" fontId="108" fillId="55" borderId="38" xfId="0" applyFont="1" applyFill="1" applyBorder="1">
      <alignment vertical="center"/>
    </xf>
    <xf numFmtId="0" fontId="194" fillId="55" borderId="12" xfId="0" applyFont="1" applyFill="1" applyBorder="1" applyAlignment="1">
      <alignment horizontal="center" vertical="center" wrapText="1"/>
    </xf>
    <xf numFmtId="0" fontId="22" fillId="55" borderId="57" xfId="0" applyFont="1" applyFill="1" applyBorder="1" applyAlignment="1">
      <alignment horizontal="center" vertical="center"/>
    </xf>
    <xf numFmtId="0" fontId="22" fillId="55" borderId="58" xfId="0" applyFont="1" applyFill="1" applyBorder="1" applyAlignment="1">
      <alignment horizontal="center" vertical="center"/>
    </xf>
    <xf numFmtId="0" fontId="22" fillId="55" borderId="72" xfId="0" applyFont="1" applyFill="1" applyBorder="1" applyAlignment="1">
      <alignment horizontal="center" vertical="center"/>
    </xf>
    <xf numFmtId="0" fontId="22" fillId="55" borderId="61" xfId="0" applyFont="1" applyFill="1" applyBorder="1" applyAlignment="1">
      <alignment horizontal="center" vertical="center"/>
    </xf>
    <xf numFmtId="0" fontId="22" fillId="55" borderId="55" xfId="0" applyFont="1" applyFill="1" applyBorder="1" applyAlignment="1">
      <alignment horizontal="center" vertical="center"/>
    </xf>
    <xf numFmtId="0" fontId="14" fillId="55" borderId="57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14" fillId="3" borderId="4" xfId="0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94" fillId="0" borderId="20" xfId="0" applyFont="1" applyBorder="1" applyAlignment="1">
      <alignment horizontal="left"/>
    </xf>
    <xf numFmtId="0" fontId="92" fillId="0" borderId="14" xfId="0" applyFont="1" applyBorder="1" applyAlignment="1">
      <alignment horizontal="left"/>
    </xf>
    <xf numFmtId="0" fontId="90" fillId="2" borderId="11" xfId="1" applyNumberFormat="1" applyFont="1" applyFill="1" applyBorder="1" applyAlignment="1" applyProtection="1">
      <alignment horizontal="center" vertical="top"/>
    </xf>
    <xf numFmtId="0" fontId="90" fillId="2" borderId="12" xfId="1" applyNumberFormat="1" applyFont="1" applyFill="1" applyBorder="1" applyAlignment="1" applyProtection="1">
      <alignment horizontal="center" vertical="top"/>
    </xf>
    <xf numFmtId="0" fontId="90" fillId="2" borderId="18" xfId="1" applyNumberFormat="1" applyFont="1" applyFill="1" applyBorder="1" applyAlignment="1" applyProtection="1">
      <alignment horizontal="center" vertical="top"/>
    </xf>
    <xf numFmtId="0" fontId="90" fillId="2" borderId="70" xfId="1" applyNumberFormat="1" applyFont="1" applyFill="1" applyBorder="1" applyAlignment="1" applyProtection="1">
      <alignment horizontal="center" vertical="top"/>
    </xf>
    <xf numFmtId="0" fontId="90" fillId="2" borderId="73" xfId="1" applyNumberFormat="1" applyFont="1" applyFill="1" applyBorder="1" applyAlignment="1" applyProtection="1">
      <alignment horizontal="center" vertical="top"/>
    </xf>
    <xf numFmtId="43" fontId="90" fillId="2" borderId="44" xfId="1" applyFont="1" applyFill="1" applyBorder="1" applyAlignment="1" applyProtection="1">
      <alignment horizontal="center" vertical="top"/>
    </xf>
    <xf numFmtId="0" fontId="90" fillId="2" borderId="11" xfId="0" applyFont="1" applyFill="1" applyBorder="1" applyAlignment="1">
      <alignment horizontal="center"/>
    </xf>
    <xf numFmtId="0" fontId="90" fillId="2" borderId="12" xfId="0" applyFont="1" applyFill="1" applyBorder="1" applyAlignment="1">
      <alignment horizontal="center"/>
    </xf>
    <xf numFmtId="0" fontId="90" fillId="2" borderId="18" xfId="0" applyFont="1" applyFill="1" applyBorder="1" applyAlignment="1">
      <alignment horizontal="center"/>
    </xf>
    <xf numFmtId="0" fontId="90" fillId="2" borderId="64" xfId="0" applyFont="1" applyFill="1" applyBorder="1" applyAlignment="1">
      <alignment horizontal="center"/>
    </xf>
    <xf numFmtId="0" fontId="90" fillId="2" borderId="73" xfId="0" applyFont="1" applyFill="1" applyBorder="1" applyAlignment="1">
      <alignment horizontal="center"/>
    </xf>
    <xf numFmtId="0" fontId="84" fillId="0" borderId="6" xfId="0" applyFont="1" applyBorder="1" applyAlignment="1">
      <alignment horizontal="left"/>
    </xf>
    <xf numFmtId="1" fontId="89" fillId="2" borderId="56" xfId="0" applyNumberFormat="1" applyFont="1" applyFill="1" applyBorder="1" applyAlignment="1">
      <alignment horizontal="center"/>
    </xf>
    <xf numFmtId="0" fontId="101" fillId="6" borderId="39" xfId="0" applyFont="1" applyFill="1" applyBorder="1" applyAlignment="1">
      <alignment horizontal="left"/>
    </xf>
    <xf numFmtId="1" fontId="21" fillId="6" borderId="0" xfId="0" applyNumberFormat="1" applyFont="1" applyFill="1" applyAlignment="1">
      <alignment horizontal="center"/>
    </xf>
    <xf numFmtId="1" fontId="21" fillId="6" borderId="30" xfId="0" applyNumberFormat="1" applyFont="1" applyFill="1" applyBorder="1" applyAlignment="1">
      <alignment horizontal="center"/>
    </xf>
    <xf numFmtId="0" fontId="60" fillId="0" borderId="44" xfId="0" applyFont="1" applyBorder="1" applyAlignment="1">
      <alignment horizontal="center"/>
    </xf>
    <xf numFmtId="0" fontId="60" fillId="0" borderId="22" xfId="0" applyFont="1" applyBorder="1" applyAlignment="1">
      <alignment horizontal="center"/>
    </xf>
    <xf numFmtId="1" fontId="89" fillId="2" borderId="82" xfId="0" applyNumberFormat="1" applyFont="1" applyFill="1" applyBorder="1" applyAlignment="1">
      <alignment horizontal="center"/>
    </xf>
    <xf numFmtId="0" fontId="90" fillId="2" borderId="0" xfId="1" applyNumberFormat="1" applyFont="1" applyFill="1" applyAlignment="1" applyProtection="1">
      <alignment horizontal="center" vertical="top"/>
    </xf>
    <xf numFmtId="165" fontId="90" fillId="0" borderId="48" xfId="0" applyNumberFormat="1" applyFont="1" applyBorder="1" applyAlignment="1">
      <alignment horizontal="center"/>
    </xf>
    <xf numFmtId="1" fontId="21" fillId="2" borderId="60" xfId="0" applyNumberFormat="1" applyFont="1" applyFill="1" applyBorder="1" applyAlignment="1">
      <alignment horizontal="center"/>
    </xf>
    <xf numFmtId="14" fontId="91" fillId="0" borderId="68" xfId="0" applyNumberFormat="1" applyFont="1" applyBorder="1" applyAlignment="1">
      <alignment horizontal="center"/>
    </xf>
    <xf numFmtId="0" fontId="90" fillId="2" borderId="45" xfId="1" applyNumberFormat="1" applyFont="1" applyFill="1" applyBorder="1" applyAlignment="1" applyProtection="1">
      <alignment horizontal="center" vertical="top"/>
    </xf>
    <xf numFmtId="0" fontId="214" fillId="3" borderId="11" xfId="0" applyFont="1" applyFill="1" applyBorder="1" applyAlignment="1">
      <alignment horizontal="center" vertical="center"/>
    </xf>
    <xf numFmtId="3" fontId="209" fillId="0" borderId="0" xfId="0" applyNumberFormat="1" applyFont="1">
      <alignment vertical="center"/>
    </xf>
    <xf numFmtId="0" fontId="194" fillId="0" borderId="6" xfId="0" applyFont="1" applyBorder="1" applyAlignment="1">
      <alignment horizontal="center" vertical="center"/>
    </xf>
    <xf numFmtId="174" fontId="194" fillId="0" borderId="51" xfId="0" applyNumberFormat="1" applyFont="1" applyBorder="1" applyAlignment="1">
      <alignment horizontal="center" vertical="center"/>
    </xf>
    <xf numFmtId="0" fontId="194" fillId="0" borderId="41" xfId="0" applyFont="1" applyBorder="1" applyAlignment="1">
      <alignment horizontal="center" vertical="center"/>
    </xf>
    <xf numFmtId="0" fontId="199" fillId="41" borderId="72" xfId="0" applyFont="1" applyFill="1" applyBorder="1" applyAlignment="1">
      <alignment horizontal="center" vertical="center"/>
    </xf>
    <xf numFmtId="0" fontId="194" fillId="54" borderId="4" xfId="0" applyFont="1" applyFill="1" applyBorder="1" applyAlignment="1">
      <alignment horizontal="center" vertical="center" wrapText="1"/>
    </xf>
    <xf numFmtId="0" fontId="108" fillId="54" borderId="61" xfId="0" applyFont="1" applyFill="1" applyBorder="1" applyAlignment="1">
      <alignment horizontal="center" vertical="center"/>
    </xf>
    <xf numFmtId="0" fontId="108" fillId="54" borderId="58" xfId="0" applyFont="1" applyFill="1" applyBorder="1" applyAlignment="1">
      <alignment horizontal="center" vertical="center"/>
    </xf>
    <xf numFmtId="0" fontId="108" fillId="54" borderId="72" xfId="0" applyFont="1" applyFill="1" applyBorder="1" applyAlignment="1">
      <alignment horizontal="center" vertical="center"/>
    </xf>
    <xf numFmtId="0" fontId="108" fillId="54" borderId="55" xfId="0" applyFont="1" applyFill="1" applyBorder="1" applyAlignment="1">
      <alignment horizontal="center" vertical="center"/>
    </xf>
    <xf numFmtId="0" fontId="108" fillId="54" borderId="20" xfId="0" applyFont="1" applyFill="1" applyBorder="1" applyAlignment="1">
      <alignment horizontal="center" vertical="center"/>
    </xf>
    <xf numFmtId="0" fontId="189" fillId="54" borderId="3" xfId="0" applyFont="1" applyFill="1" applyBorder="1" applyAlignment="1">
      <alignment horizontal="center" vertical="center"/>
    </xf>
    <xf numFmtId="0" fontId="189" fillId="54" borderId="61" xfId="0" applyFont="1" applyFill="1" applyBorder="1" applyAlignment="1">
      <alignment horizontal="center" vertical="center"/>
    </xf>
    <xf numFmtId="0" fontId="189" fillId="54" borderId="58" xfId="0" applyFont="1" applyFill="1" applyBorder="1" applyAlignment="1">
      <alignment horizontal="center" vertical="center"/>
    </xf>
    <xf numFmtId="0" fontId="189" fillId="54" borderId="57" xfId="0" applyFont="1" applyFill="1" applyBorder="1" applyAlignment="1">
      <alignment horizontal="center" vertical="center"/>
    </xf>
    <xf numFmtId="0" fontId="189" fillId="54" borderId="72" xfId="0" applyFont="1" applyFill="1" applyBorder="1" applyAlignment="1">
      <alignment horizontal="center" vertical="center"/>
    </xf>
    <xf numFmtId="0" fontId="189" fillId="54" borderId="12" xfId="0" applyFont="1" applyFill="1" applyBorder="1" applyAlignment="1">
      <alignment horizontal="center" vertical="center"/>
    </xf>
    <xf numFmtId="0" fontId="189" fillId="54" borderId="55" xfId="0" applyFont="1" applyFill="1" applyBorder="1" applyAlignment="1">
      <alignment horizontal="center" vertical="center"/>
    </xf>
    <xf numFmtId="0" fontId="189" fillId="54" borderId="20" xfId="0" applyFont="1" applyFill="1" applyBorder="1" applyAlignment="1">
      <alignment horizontal="center" vertical="center"/>
    </xf>
    <xf numFmtId="0" fontId="197" fillId="53" borderId="4" xfId="0" applyFont="1" applyFill="1" applyBorder="1" applyAlignment="1">
      <alignment horizontal="center" vertical="center" wrapText="1"/>
    </xf>
    <xf numFmtId="0" fontId="199" fillId="53" borderId="20" xfId="0" applyFont="1" applyFill="1" applyBorder="1" applyAlignment="1">
      <alignment horizontal="center" vertical="center"/>
    </xf>
    <xf numFmtId="0" fontId="199" fillId="53" borderId="55" xfId="0" applyFont="1" applyFill="1" applyBorder="1" applyAlignment="1">
      <alignment horizontal="center" vertical="center"/>
    </xf>
    <xf numFmtId="0" fontId="199" fillId="53" borderId="57" xfId="0" applyFont="1" applyFill="1" applyBorder="1" applyAlignment="1">
      <alignment horizontal="center" vertical="center"/>
    </xf>
    <xf numFmtId="0" fontId="199" fillId="53" borderId="58" xfId="0" applyFont="1" applyFill="1" applyBorder="1" applyAlignment="1">
      <alignment horizontal="center" vertical="center"/>
    </xf>
    <xf numFmtId="0" fontId="199" fillId="53" borderId="72" xfId="0" applyFont="1" applyFill="1" applyBorder="1" applyAlignment="1">
      <alignment horizontal="center" vertical="center"/>
    </xf>
    <xf numFmtId="0" fontId="199" fillId="53" borderId="8" xfId="0" applyFont="1" applyFill="1" applyBorder="1" applyAlignment="1">
      <alignment horizontal="center" vertical="center"/>
    </xf>
    <xf numFmtId="0" fontId="199" fillId="53" borderId="61" xfId="0" applyFont="1" applyFill="1" applyBorder="1" applyAlignment="1">
      <alignment horizontal="center" vertical="center"/>
    </xf>
    <xf numFmtId="0" fontId="197" fillId="53" borderId="12" xfId="0" applyFont="1" applyFill="1" applyBorder="1" applyAlignment="1">
      <alignment horizontal="center" vertical="center" wrapText="1"/>
    </xf>
    <xf numFmtId="0" fontId="199" fillId="53" borderId="4" xfId="0" applyFont="1" applyFill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17" fillId="3" borderId="16" xfId="0" applyFont="1" applyFill="1" applyBorder="1" applyAlignment="1">
      <alignment horizontal="center"/>
    </xf>
    <xf numFmtId="167" fontId="112" fillId="0" borderId="46" xfId="0" applyNumberFormat="1" applyFont="1" applyBorder="1" applyAlignment="1">
      <alignment horizontal="center"/>
    </xf>
    <xf numFmtId="0" fontId="17" fillId="3" borderId="4" xfId="0" applyFont="1" applyFill="1" applyBorder="1" applyAlignment="1">
      <alignment horizontal="center" vertical="center"/>
    </xf>
    <xf numFmtId="167" fontId="112" fillId="2" borderId="58" xfId="0" applyNumberFormat="1" applyFont="1" applyFill="1" applyBorder="1" applyAlignment="1">
      <alignment horizontal="center"/>
    </xf>
    <xf numFmtId="0" fontId="97" fillId="2" borderId="54" xfId="1" applyNumberFormat="1" applyFont="1" applyFill="1" applyBorder="1" applyAlignment="1" applyProtection="1">
      <alignment horizontal="center" vertical="top"/>
    </xf>
    <xf numFmtId="175" fontId="86" fillId="0" borderId="58" xfId="0" applyNumberFormat="1" applyFont="1" applyBorder="1" applyAlignment="1">
      <alignment horizontal="center"/>
    </xf>
    <xf numFmtId="0" fontId="198" fillId="22" borderId="64" xfId="0" applyFont="1" applyFill="1" applyBorder="1" applyAlignment="1">
      <alignment vertical="center"/>
    </xf>
    <xf numFmtId="0" fontId="189" fillId="0" borderId="9" xfId="0" applyFont="1" applyBorder="1" applyAlignment="1">
      <alignment horizontal="center" vertical="center"/>
    </xf>
    <xf numFmtId="0" fontId="189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165" fontId="105" fillId="0" borderId="32" xfId="1" applyNumberFormat="1" applyFont="1" applyBorder="1" applyAlignment="1" applyProtection="1">
      <alignment horizontal="center" vertical="top"/>
    </xf>
    <xf numFmtId="165" fontId="105" fillId="0" borderId="22" xfId="1" applyNumberFormat="1" applyFont="1" applyBorder="1" applyAlignment="1" applyProtection="1">
      <alignment horizontal="center" vertical="top"/>
    </xf>
    <xf numFmtId="165" fontId="105" fillId="0" borderId="35" xfId="1" applyNumberFormat="1" applyFont="1" applyBorder="1" applyAlignment="1" applyProtection="1">
      <alignment horizontal="center" vertical="top"/>
    </xf>
    <xf numFmtId="165" fontId="105" fillId="0" borderId="10" xfId="1" applyNumberFormat="1" applyFont="1" applyBorder="1" applyAlignment="1" applyProtection="1">
      <alignment horizontal="center" vertical="top"/>
    </xf>
    <xf numFmtId="165" fontId="105" fillId="0" borderId="0" xfId="1" applyNumberFormat="1" applyFont="1" applyAlignment="1" applyProtection="1">
      <alignment horizontal="center"/>
    </xf>
    <xf numFmtId="165" fontId="105" fillId="0" borderId="0" xfId="1" applyNumberFormat="1" applyFont="1" applyAlignment="1" applyProtection="1">
      <alignment horizontal="center" wrapText="1"/>
    </xf>
    <xf numFmtId="165" fontId="105" fillId="0" borderId="0" xfId="0" applyNumberFormat="1" applyFont="1" applyAlignment="1">
      <alignment horizontal="center"/>
    </xf>
    <xf numFmtId="165" fontId="105" fillId="0" borderId="2" xfId="1" applyNumberFormat="1" applyFont="1" applyBorder="1" applyAlignment="1" applyProtection="1">
      <alignment horizontal="center" vertical="top"/>
    </xf>
    <xf numFmtId="0" fontId="8" fillId="0" borderId="2" xfId="0" applyFont="1" applyBorder="1" applyAlignment="1">
      <alignment horizont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89" fillId="26" borderId="3" xfId="0" applyFont="1" applyFill="1" applyBorder="1" applyAlignment="1">
      <alignment horizontal="center" vertical="center"/>
    </xf>
    <xf numFmtId="0" fontId="189" fillId="26" borderId="61" xfId="0" applyFont="1" applyFill="1" applyBorder="1" applyAlignment="1">
      <alignment horizontal="center" vertical="center"/>
    </xf>
    <xf numFmtId="0" fontId="189" fillId="26" borderId="58" xfId="0" applyFont="1" applyFill="1" applyBorder="1" applyAlignment="1">
      <alignment horizontal="center" vertical="center"/>
    </xf>
    <xf numFmtId="0" fontId="189" fillId="26" borderId="57" xfId="0" applyFont="1" applyFill="1" applyBorder="1" applyAlignment="1">
      <alignment horizontal="center" vertical="center"/>
    </xf>
    <xf numFmtId="0" fontId="189" fillId="26" borderId="72" xfId="0" applyFont="1" applyFill="1" applyBorder="1" applyAlignment="1">
      <alignment horizontal="center" vertical="center"/>
    </xf>
    <xf numFmtId="0" fontId="189" fillId="26" borderId="12" xfId="0" applyFont="1" applyFill="1" applyBorder="1" applyAlignment="1">
      <alignment horizontal="center" vertical="center"/>
    </xf>
    <xf numFmtId="0" fontId="189" fillId="26" borderId="55" xfId="0" applyFont="1" applyFill="1" applyBorder="1" applyAlignment="1">
      <alignment horizontal="center" vertical="center"/>
    </xf>
    <xf numFmtId="0" fontId="189" fillId="26" borderId="20" xfId="0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/>
    </xf>
    <xf numFmtId="174" fontId="8" fillId="3" borderId="32" xfId="0" applyNumberFormat="1" applyFont="1" applyFill="1" applyBorder="1" applyAlignment="1">
      <alignment horizontal="center"/>
    </xf>
    <xf numFmtId="0" fontId="194" fillId="0" borderId="25" xfId="0" applyFont="1" applyBorder="1" applyAlignment="1">
      <alignment horizontal="center" vertical="center"/>
    </xf>
    <xf numFmtId="0" fontId="194" fillId="56" borderId="4" xfId="0" applyFont="1" applyFill="1" applyBorder="1" applyAlignment="1">
      <alignment horizontal="center" vertical="center" wrapText="1"/>
    </xf>
    <xf numFmtId="0" fontId="14" fillId="56" borderId="20" xfId="0" applyFont="1" applyFill="1" applyBorder="1" applyAlignment="1">
      <alignment horizontal="center" vertical="center"/>
    </xf>
    <xf numFmtId="0" fontId="14" fillId="56" borderId="55" xfId="0" applyFont="1" applyFill="1" applyBorder="1" applyAlignment="1">
      <alignment horizontal="center" vertical="center"/>
    </xf>
    <xf numFmtId="0" fontId="14" fillId="56" borderId="57" xfId="0" applyFont="1" applyFill="1" applyBorder="1" applyAlignment="1">
      <alignment horizontal="center" vertical="center"/>
    </xf>
    <xf numFmtId="0" fontId="14" fillId="56" borderId="58" xfId="0" applyFont="1" applyFill="1" applyBorder="1" applyAlignment="1">
      <alignment horizontal="center" vertical="center"/>
    </xf>
    <xf numFmtId="0" fontId="14" fillId="56" borderId="72" xfId="0" applyFont="1" applyFill="1" applyBorder="1" applyAlignment="1">
      <alignment horizontal="center" vertical="center"/>
    </xf>
    <xf numFmtId="0" fontId="14" fillId="56" borderId="8" xfId="0" applyFont="1" applyFill="1" applyBorder="1" applyAlignment="1">
      <alignment horizontal="center" vertical="center"/>
    </xf>
    <xf numFmtId="0" fontId="14" fillId="56" borderId="61" xfId="0" applyFont="1" applyFill="1" applyBorder="1" applyAlignment="1">
      <alignment horizontal="center" vertical="center"/>
    </xf>
    <xf numFmtId="0" fontId="14" fillId="56" borderId="4" xfId="0" applyFont="1" applyFill="1" applyBorder="1" applyAlignment="1">
      <alignment horizontal="center" vertical="center"/>
    </xf>
    <xf numFmtId="0" fontId="223" fillId="0" borderId="23" xfId="0" applyFont="1" applyBorder="1" applyAlignment="1">
      <alignment horizontal="center" vertical="center"/>
    </xf>
    <xf numFmtId="0" fontId="223" fillId="0" borderId="43" xfId="0" applyFont="1" applyBorder="1" applyAlignment="1">
      <alignment horizontal="center" vertical="center"/>
    </xf>
    <xf numFmtId="0" fontId="195" fillId="0" borderId="58" xfId="0" applyFont="1" applyBorder="1" applyAlignment="1">
      <alignment horizontal="center" vertical="center"/>
    </xf>
    <xf numFmtId="0" fontId="195" fillId="12" borderId="58" xfId="0" applyFont="1" applyFill="1" applyBorder="1" applyAlignment="1">
      <alignment horizontal="center" vertical="center"/>
    </xf>
    <xf numFmtId="0" fontId="195" fillId="13" borderId="58" xfId="0" applyFont="1" applyFill="1" applyBorder="1" applyAlignment="1">
      <alignment horizontal="center" vertical="center"/>
    </xf>
    <xf numFmtId="0" fontId="214" fillId="31" borderId="58" xfId="0" applyFont="1" applyFill="1" applyBorder="1" applyAlignment="1">
      <alignment horizontal="center" vertical="center"/>
    </xf>
    <xf numFmtId="0" fontId="214" fillId="15" borderId="58" xfId="0" applyFont="1" applyFill="1" applyBorder="1" applyAlignment="1">
      <alignment horizontal="center" vertical="center"/>
    </xf>
    <xf numFmtId="0" fontId="214" fillId="16" borderId="58" xfId="0" applyFont="1" applyFill="1" applyBorder="1" applyAlignment="1">
      <alignment horizontal="center" vertical="center"/>
    </xf>
    <xf numFmtId="0" fontId="134" fillId="32" borderId="58" xfId="0" applyFont="1" applyFill="1" applyBorder="1" applyAlignment="1">
      <alignment horizontal="center" vertical="center"/>
    </xf>
    <xf numFmtId="0" fontId="134" fillId="14" borderId="58" xfId="0" applyFont="1" applyFill="1" applyBorder="1" applyAlignment="1">
      <alignment horizontal="center" vertical="center"/>
    </xf>
    <xf numFmtId="0" fontId="134" fillId="28" borderId="58" xfId="0" applyFont="1" applyFill="1" applyBorder="1" applyAlignment="1">
      <alignment horizontal="center" vertical="center"/>
    </xf>
    <xf numFmtId="0" fontId="134" fillId="3" borderId="58" xfId="0" applyFont="1" applyFill="1" applyBorder="1" applyAlignment="1">
      <alignment horizontal="center" vertical="center"/>
    </xf>
    <xf numFmtId="0" fontId="214" fillId="19" borderId="58" xfId="0" applyFont="1" applyFill="1" applyBorder="1" applyAlignment="1">
      <alignment horizontal="center" vertical="center"/>
    </xf>
    <xf numFmtId="0" fontId="134" fillId="17" borderId="58" xfId="0" applyFont="1" applyFill="1" applyBorder="1" applyAlignment="1">
      <alignment horizontal="center" vertical="center"/>
    </xf>
    <xf numFmtId="0" fontId="214" fillId="20" borderId="58" xfId="0" applyFont="1" applyFill="1" applyBorder="1" applyAlignment="1">
      <alignment horizontal="center" vertical="center"/>
    </xf>
    <xf numFmtId="0" fontId="216" fillId="22" borderId="58" xfId="0" applyFont="1" applyFill="1" applyBorder="1" applyAlignment="1">
      <alignment horizontal="center" vertical="center"/>
    </xf>
    <xf numFmtId="0" fontId="214" fillId="6" borderId="58" xfId="0" applyFont="1" applyFill="1" applyBorder="1" applyAlignment="1">
      <alignment horizontal="center" vertical="center"/>
    </xf>
    <xf numFmtId="0" fontId="214" fillId="29" borderId="58" xfId="0" applyFont="1" applyFill="1" applyBorder="1" applyAlignment="1">
      <alignment horizontal="center" vertical="center"/>
    </xf>
    <xf numFmtId="0" fontId="214" fillId="33" borderId="58" xfId="0" applyFont="1" applyFill="1" applyBorder="1" applyAlignment="1">
      <alignment horizontal="center" vertical="center"/>
    </xf>
    <xf numFmtId="0" fontId="214" fillId="39" borderId="58" xfId="0" applyFont="1" applyFill="1" applyBorder="1" applyAlignment="1">
      <alignment horizontal="center" vertical="center"/>
    </xf>
    <xf numFmtId="0" fontId="195" fillId="23" borderId="58" xfId="0" applyFont="1" applyFill="1" applyBorder="1" applyAlignment="1">
      <alignment horizontal="center" vertical="center"/>
    </xf>
    <xf numFmtId="0" fontId="195" fillId="24" borderId="58" xfId="0" applyFont="1" applyFill="1" applyBorder="1" applyAlignment="1">
      <alignment horizontal="center" vertical="center"/>
    </xf>
    <xf numFmtId="0" fontId="216" fillId="16" borderId="58" xfId="0" applyFont="1" applyFill="1" applyBorder="1" applyAlignment="1">
      <alignment horizontal="center" vertical="center"/>
    </xf>
    <xf numFmtId="0" fontId="195" fillId="31" borderId="58" xfId="0" applyFont="1" applyFill="1" applyBorder="1" applyAlignment="1">
      <alignment horizontal="center" vertical="center"/>
    </xf>
    <xf numFmtId="0" fontId="195" fillId="15" borderId="58" xfId="0" applyFont="1" applyFill="1" applyBorder="1" applyAlignment="1">
      <alignment horizontal="center" vertical="center"/>
    </xf>
    <xf numFmtId="0" fontId="195" fillId="16" borderId="58" xfId="0" applyFont="1" applyFill="1" applyBorder="1" applyAlignment="1">
      <alignment horizontal="center" vertical="center"/>
    </xf>
    <xf numFmtId="0" fontId="195" fillId="3" borderId="58" xfId="0" applyFont="1" applyFill="1" applyBorder="1" applyAlignment="1">
      <alignment horizontal="center" vertical="center"/>
    </xf>
    <xf numFmtId="0" fontId="195" fillId="19" borderId="58" xfId="0" applyFont="1" applyFill="1" applyBorder="1" applyAlignment="1">
      <alignment horizontal="center" vertical="center"/>
    </xf>
    <xf numFmtId="0" fontId="195" fillId="20" borderId="58" xfId="0" applyFont="1" applyFill="1" applyBorder="1" applyAlignment="1">
      <alignment horizontal="center" vertical="center"/>
    </xf>
    <xf numFmtId="0" fontId="134" fillId="34" borderId="58" xfId="0" applyFont="1" applyFill="1" applyBorder="1" applyAlignment="1">
      <alignment horizontal="center" vertical="center"/>
    </xf>
    <xf numFmtId="0" fontId="195" fillId="22" borderId="58" xfId="0" applyFont="1" applyFill="1" applyBorder="1" applyAlignment="1">
      <alignment horizontal="center" vertical="center"/>
    </xf>
    <xf numFmtId="0" fontId="195" fillId="6" borderId="58" xfId="0" applyFont="1" applyFill="1" applyBorder="1" applyAlignment="1">
      <alignment horizontal="center" vertical="center"/>
    </xf>
    <xf numFmtId="0" fontId="214" fillId="32" borderId="58" xfId="0" applyFont="1" applyFill="1" applyBorder="1" applyAlignment="1">
      <alignment horizontal="center" vertical="center"/>
    </xf>
    <xf numFmtId="0" fontId="214" fillId="14" borderId="58" xfId="0" applyFont="1" applyFill="1" applyBorder="1" applyAlignment="1">
      <alignment horizontal="center" vertical="center"/>
    </xf>
    <xf numFmtId="0" fontId="214" fillId="28" borderId="58" xfId="0" applyFont="1" applyFill="1" applyBorder="1" applyAlignment="1">
      <alignment horizontal="center" vertical="center"/>
    </xf>
    <xf numFmtId="0" fontId="214" fillId="3" borderId="58" xfId="0" applyFont="1" applyFill="1" applyBorder="1" applyAlignment="1">
      <alignment horizontal="center" vertical="center"/>
    </xf>
    <xf numFmtId="0" fontId="214" fillId="17" borderId="58" xfId="0" applyFont="1" applyFill="1" applyBorder="1" applyAlignment="1">
      <alignment horizontal="center" vertical="center"/>
    </xf>
    <xf numFmtId="0" fontId="214" fillId="34" borderId="58" xfId="0" applyFont="1" applyFill="1" applyBorder="1" applyAlignment="1">
      <alignment horizontal="center" vertical="center"/>
    </xf>
    <xf numFmtId="0" fontId="38" fillId="3" borderId="57" xfId="0" applyFont="1" applyFill="1" applyBorder="1" applyAlignment="1">
      <alignment horizontal="center" vertical="center"/>
    </xf>
    <xf numFmtId="0" fontId="87" fillId="2" borderId="55" xfId="0" applyFont="1" applyFill="1" applyBorder="1" applyAlignment="1">
      <alignment horizontal="center"/>
    </xf>
    <xf numFmtId="0" fontId="87" fillId="2" borderId="55" xfId="1" applyNumberFormat="1" applyFont="1" applyFill="1" applyBorder="1" applyAlignment="1" applyProtection="1">
      <alignment horizontal="center" vertical="top"/>
    </xf>
    <xf numFmtId="0" fontId="12" fillId="32" borderId="58" xfId="0" applyFont="1" applyFill="1" applyBorder="1" applyAlignment="1">
      <alignment horizontal="center" vertical="center"/>
    </xf>
    <xf numFmtId="0" fontId="14" fillId="12" borderId="58" xfId="0" applyFont="1" applyFill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43" fontId="97" fillId="57" borderId="64" xfId="1" applyFont="1" applyFill="1" applyBorder="1" applyAlignment="1" applyProtection="1">
      <alignment horizontal="center" vertical="top"/>
    </xf>
    <xf numFmtId="43" fontId="90" fillId="2" borderId="58" xfId="1" applyFont="1" applyFill="1" applyBorder="1" applyAlignment="1" applyProtection="1">
      <alignment horizontal="center"/>
    </xf>
    <xf numFmtId="0" fontId="16" fillId="0" borderId="2" xfId="0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165" fontId="105" fillId="0" borderId="32" xfId="1" applyNumberFormat="1" applyFont="1" applyBorder="1" applyAlignment="1" applyProtection="1">
      <alignment horizontal="center" vertical="top"/>
    </xf>
    <xf numFmtId="165" fontId="105" fillId="0" borderId="22" xfId="1" applyNumberFormat="1" applyFont="1" applyBorder="1" applyAlignment="1" applyProtection="1">
      <alignment horizontal="center" vertical="top"/>
    </xf>
    <xf numFmtId="165" fontId="105" fillId="0" borderId="35" xfId="1" applyNumberFormat="1" applyFont="1" applyBorder="1" applyAlignment="1" applyProtection="1">
      <alignment horizontal="center" vertical="top"/>
    </xf>
    <xf numFmtId="165" fontId="105" fillId="0" borderId="10" xfId="1" applyNumberFormat="1" applyFont="1" applyBorder="1" applyAlignment="1" applyProtection="1">
      <alignment horizontal="center" vertical="top"/>
    </xf>
    <xf numFmtId="0" fontId="8" fillId="0" borderId="2" xfId="0" applyFont="1" applyBorder="1" applyAlignment="1">
      <alignment horizontal="center"/>
    </xf>
    <xf numFmtId="165" fontId="105" fillId="0" borderId="2" xfId="1" applyNumberFormat="1" applyFont="1" applyBorder="1" applyAlignment="1" applyProtection="1">
      <alignment horizontal="center" vertical="top"/>
    </xf>
    <xf numFmtId="165" fontId="105" fillId="0" borderId="0" xfId="1" applyNumberFormat="1" applyFont="1" applyAlignment="1" applyProtection="1">
      <alignment horizontal="center" wrapText="1"/>
    </xf>
    <xf numFmtId="165" fontId="105" fillId="0" borderId="0" xfId="0" applyNumberFormat="1" applyFont="1" applyAlignment="1">
      <alignment horizontal="center"/>
    </xf>
    <xf numFmtId="165" fontId="105" fillId="0" borderId="0" xfId="1" applyNumberFormat="1" applyFont="1" applyAlignment="1" applyProtection="1">
      <alignment horizont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165" fontId="105" fillId="0" borderId="2" xfId="1" applyNumberFormat="1" applyFont="1" applyBorder="1" applyAlignment="1" applyProtection="1">
      <alignment horizontal="center" vertical="top"/>
    </xf>
    <xf numFmtId="165" fontId="116" fillId="0" borderId="58" xfId="0" applyNumberFormat="1" applyFont="1" applyBorder="1" applyAlignment="1">
      <alignment horizontal="center"/>
    </xf>
    <xf numFmtId="0" fontId="189" fillId="54" borderId="4" xfId="0" applyFont="1" applyFill="1" applyBorder="1" applyAlignment="1">
      <alignment horizontal="center" vertical="center"/>
    </xf>
    <xf numFmtId="0" fontId="189" fillId="54" borderId="8" xfId="0" applyFont="1" applyFill="1" applyBorder="1" applyAlignment="1">
      <alignment horizontal="center" vertical="center"/>
    </xf>
    <xf numFmtId="0" fontId="6" fillId="54" borderId="1" xfId="0" applyFont="1" applyFill="1" applyBorder="1" applyAlignment="1"/>
    <xf numFmtId="0" fontId="224" fillId="3" borderId="12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1" fillId="0" borderId="0" xfId="0" applyFont="1" applyBorder="1" applyAlignment="1"/>
    <xf numFmtId="43" fontId="9" fillId="0" borderId="0" xfId="1" applyFont="1" applyBorder="1" applyAlignment="1" applyProtection="1">
      <alignment horizontal="center"/>
    </xf>
    <xf numFmtId="165" fontId="9" fillId="0" borderId="0" xfId="0" applyNumberFormat="1" applyFont="1" applyBorder="1" applyAlignment="1">
      <alignment horizontal="center"/>
    </xf>
    <xf numFmtId="0" fontId="0" fillId="57" borderId="0" xfId="0" applyFill="1" applyAlignment="1"/>
    <xf numFmtId="0" fontId="10" fillId="4" borderId="0" xfId="0" applyFont="1" applyFill="1" applyAlignment="1">
      <alignment horizontal="center"/>
    </xf>
    <xf numFmtId="165" fontId="105" fillId="0" borderId="65" xfId="1" applyNumberFormat="1" applyFont="1" applyBorder="1" applyAlignment="1" applyProtection="1">
      <alignment horizontal="center" vertical="top"/>
    </xf>
    <xf numFmtId="0" fontId="93" fillId="3" borderId="58" xfId="1" applyNumberFormat="1" applyFont="1" applyFill="1" applyBorder="1" applyAlignment="1" applyProtection="1">
      <alignment horizontal="center" vertical="top"/>
    </xf>
    <xf numFmtId="165" fontId="93" fillId="3" borderId="58" xfId="1" applyNumberFormat="1" applyFont="1" applyFill="1" applyBorder="1" applyAlignment="1" applyProtection="1">
      <alignment horizontal="center" vertical="top"/>
    </xf>
    <xf numFmtId="0" fontId="128" fillId="0" borderId="58" xfId="0" applyFont="1" applyBorder="1" applyAlignment="1"/>
    <xf numFmtId="165" fontId="105" fillId="0" borderId="58" xfId="1" applyNumberFormat="1" applyFont="1" applyBorder="1" applyAlignment="1" applyProtection="1">
      <alignment horizontal="center"/>
    </xf>
    <xf numFmtId="0" fontId="105" fillId="0" borderId="58" xfId="0" applyFont="1" applyBorder="1" applyAlignment="1">
      <alignment horizontal="center"/>
    </xf>
    <xf numFmtId="0" fontId="129" fillId="0" borderId="58" xfId="0" applyFont="1" applyBorder="1" applyAlignment="1">
      <alignment horizontal="center"/>
    </xf>
    <xf numFmtId="0" fontId="121" fillId="0" borderId="58" xfId="0" applyFont="1" applyBorder="1" applyAlignment="1"/>
    <xf numFmtId="165" fontId="105" fillId="0" borderId="58" xfId="1" applyNumberFormat="1" applyFont="1" applyBorder="1" applyAlignment="1" applyProtection="1">
      <alignment horizontal="center" vertical="top"/>
    </xf>
    <xf numFmtId="0" fontId="105" fillId="0" borderId="58" xfId="1" applyNumberFormat="1" applyFont="1" applyBorder="1" applyAlignment="1" applyProtection="1">
      <alignment horizontal="center" vertical="top"/>
    </xf>
    <xf numFmtId="0" fontId="110" fillId="57" borderId="51" xfId="1" applyNumberFormat="1" applyFont="1" applyFill="1" applyBorder="1" applyAlignment="1" applyProtection="1">
      <alignment horizontal="center" vertical="top"/>
    </xf>
    <xf numFmtId="14" fontId="114" fillId="2" borderId="65" xfId="0" applyNumberFormat="1" applyFont="1" applyFill="1" applyBorder="1" applyAlignment="1">
      <alignment horizontal="center"/>
    </xf>
    <xf numFmtId="0" fontId="194" fillId="57" borderId="12" xfId="0" applyFont="1" applyFill="1" applyBorder="1" applyAlignment="1">
      <alignment horizontal="left" vertical="center" wrapText="1"/>
    </xf>
    <xf numFmtId="0" fontId="13" fillId="55" borderId="16" xfId="0" applyFont="1" applyFill="1" applyBorder="1" applyAlignment="1">
      <alignment horizontal="center" vertical="center"/>
    </xf>
    <xf numFmtId="0" fontId="13" fillId="55" borderId="4" xfId="0" applyFont="1" applyFill="1" applyBorder="1" applyAlignment="1">
      <alignment horizontal="center" vertical="center"/>
    </xf>
    <xf numFmtId="0" fontId="13" fillId="55" borderId="5" xfId="0" applyFont="1" applyFill="1" applyBorder="1" applyAlignment="1">
      <alignment horizontal="center" vertical="center"/>
    </xf>
    <xf numFmtId="0" fontId="13" fillId="55" borderId="3" xfId="0" applyFont="1" applyFill="1" applyBorder="1" applyAlignment="1">
      <alignment horizontal="center" vertical="center"/>
    </xf>
    <xf numFmtId="0" fontId="189" fillId="0" borderId="9" xfId="0" applyFont="1" applyBorder="1" applyAlignment="1">
      <alignment horizontal="center" vertical="center"/>
    </xf>
    <xf numFmtId="0" fontId="189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42" fillId="0" borderId="0" xfId="0" applyFont="1" applyBorder="1" applyAlignment="1"/>
    <xf numFmtId="1" fontId="31" fillId="0" borderId="0" xfId="0" applyNumberFormat="1" applyFont="1" applyBorder="1" applyAlignment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26" fillId="57" borderId="1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225" fillId="0" borderId="58" xfId="0" applyFont="1" applyBorder="1" applyAlignment="1"/>
    <xf numFmtId="14" fontId="87" fillId="2" borderId="40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81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5" fillId="57" borderId="43" xfId="0" applyFont="1" applyFill="1" applyBorder="1" applyAlignment="1"/>
    <xf numFmtId="0" fontId="16" fillId="0" borderId="2" xfId="0" applyFont="1" applyBorder="1" applyAlignment="1">
      <alignment horizontal="center"/>
    </xf>
    <xf numFmtId="0" fontId="65" fillId="57" borderId="46" xfId="0" applyFont="1" applyFill="1" applyBorder="1" applyAlignment="1"/>
    <xf numFmtId="14" fontId="6" fillId="0" borderId="51" xfId="0" applyNumberFormat="1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38" fillId="57" borderId="4" xfId="0" applyFont="1" applyFill="1" applyBorder="1" applyAlignment="1">
      <alignment horizontal="center" vertical="center" wrapText="1"/>
    </xf>
    <xf numFmtId="0" fontId="116" fillId="2" borderId="54" xfId="0" applyFont="1" applyFill="1" applyBorder="1" applyAlignment="1">
      <alignment horizontal="center"/>
    </xf>
    <xf numFmtId="0" fontId="111" fillId="2" borderId="58" xfId="0" applyFont="1" applyFill="1" applyBorder="1" applyAlignment="1">
      <alignment horizontal="center"/>
    </xf>
    <xf numFmtId="175" fontId="118" fillId="0" borderId="58" xfId="0" applyNumberFormat="1" applyFont="1" applyBorder="1" applyAlignment="1">
      <alignment horizontal="center"/>
    </xf>
    <xf numFmtId="167" fontId="112" fillId="2" borderId="5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65" fontId="105" fillId="0" borderId="10" xfId="1" applyNumberFormat="1" applyFont="1" applyBorder="1" applyAlignment="1" applyProtection="1">
      <alignment horizontal="center" vertical="top"/>
    </xf>
    <xf numFmtId="0" fontId="100" fillId="0" borderId="1" xfId="0" applyFont="1" applyBorder="1" applyAlignment="1">
      <alignment horizontal="left"/>
    </xf>
    <xf numFmtId="165" fontId="105" fillId="0" borderId="32" xfId="1" applyNumberFormat="1" applyFont="1" applyBorder="1" applyAlignment="1" applyProtection="1">
      <alignment horizontal="center" vertical="top"/>
    </xf>
    <xf numFmtId="165" fontId="105" fillId="0" borderId="22" xfId="1" applyNumberFormat="1" applyFont="1" applyBorder="1" applyAlignment="1" applyProtection="1">
      <alignment horizontal="center" vertical="top"/>
    </xf>
    <xf numFmtId="165" fontId="105" fillId="0" borderId="35" xfId="1" applyNumberFormat="1" applyFont="1" applyBorder="1" applyAlignment="1" applyProtection="1">
      <alignment horizontal="center" vertical="top"/>
    </xf>
    <xf numFmtId="165" fontId="105" fillId="0" borderId="2" xfId="1" applyNumberFormat="1" applyFont="1" applyBorder="1" applyAlignment="1" applyProtection="1">
      <alignment horizontal="center" vertical="top"/>
    </xf>
    <xf numFmtId="165" fontId="105" fillId="0" borderId="0" xfId="1" applyNumberFormat="1" applyFont="1" applyAlignment="1" applyProtection="1">
      <alignment horizontal="center" wrapText="1"/>
    </xf>
    <xf numFmtId="165" fontId="105" fillId="0" borderId="0" xfId="0" applyNumberFormat="1" applyFont="1" applyAlignment="1">
      <alignment horizontal="center"/>
    </xf>
    <xf numFmtId="165" fontId="105" fillId="0" borderId="0" xfId="1" applyNumberFormat="1" applyFont="1" applyAlignment="1" applyProtection="1">
      <alignment horizont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65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0" fillId="2" borderId="46" xfId="0" applyNumberFormat="1" applyFont="1" applyFill="1" applyBorder="1" applyAlignment="1">
      <alignment horizontal="center"/>
    </xf>
    <xf numFmtId="0" fontId="87" fillId="0" borderId="58" xfId="1" applyNumberFormat="1" applyFont="1" applyBorder="1" applyAlignment="1" applyProtection="1">
      <alignment horizontal="center"/>
    </xf>
    <xf numFmtId="16" fontId="194" fillId="0" borderId="39" xfId="0" applyNumberFormat="1" applyFont="1" applyBorder="1" applyAlignment="1">
      <alignment horizontal="center" vertical="center"/>
    </xf>
    <xf numFmtId="167" fontId="112" fillId="2" borderId="74" xfId="0" applyNumberFormat="1" applyFont="1" applyFill="1" applyBorder="1" applyAlignment="1">
      <alignment horizontal="center"/>
    </xf>
    <xf numFmtId="0" fontId="155" fillId="0" borderId="9" xfId="0" applyFont="1" applyBorder="1" applyAlignment="1">
      <alignment horizontal="left" vertical="center"/>
    </xf>
    <xf numFmtId="0" fontId="155" fillId="0" borderId="9" xfId="0" applyFont="1" applyBorder="1" applyAlignment="1">
      <alignment horizontal="center" vertical="center"/>
    </xf>
    <xf numFmtId="0" fontId="226" fillId="0" borderId="58" xfId="0" applyFont="1" applyBorder="1" applyAlignment="1">
      <alignment horizontal="left"/>
    </xf>
    <xf numFmtId="0" fontId="227" fillId="2" borderId="58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165" fontId="105" fillId="0" borderId="32" xfId="1" applyNumberFormat="1" applyFont="1" applyBorder="1" applyAlignment="1" applyProtection="1">
      <alignment horizontal="center" vertical="top"/>
    </xf>
    <xf numFmtId="165" fontId="105" fillId="0" borderId="22" xfId="1" applyNumberFormat="1" applyFont="1" applyBorder="1" applyAlignment="1" applyProtection="1">
      <alignment horizontal="center" vertical="top"/>
    </xf>
    <xf numFmtId="165" fontId="105" fillId="0" borderId="35" xfId="1" applyNumberFormat="1" applyFont="1" applyBorder="1" applyAlignment="1" applyProtection="1">
      <alignment horizontal="center" vertical="top"/>
    </xf>
    <xf numFmtId="165" fontId="105" fillId="0" borderId="10" xfId="1" applyNumberFormat="1" applyFont="1" applyBorder="1" applyAlignment="1" applyProtection="1">
      <alignment horizontal="center" vertical="top"/>
    </xf>
    <xf numFmtId="165" fontId="105" fillId="0" borderId="2" xfId="1" applyNumberFormat="1" applyFont="1" applyBorder="1" applyAlignment="1" applyProtection="1">
      <alignment horizontal="center" vertical="top"/>
    </xf>
    <xf numFmtId="165" fontId="105" fillId="0" borderId="0" xfId="1" applyNumberFormat="1" applyFont="1" applyAlignment="1" applyProtection="1">
      <alignment horizontal="center" wrapText="1"/>
    </xf>
    <xf numFmtId="165" fontId="105" fillId="0" borderId="0" xfId="0" applyNumberFormat="1" applyFont="1" applyAlignment="1">
      <alignment horizontal="center"/>
    </xf>
    <xf numFmtId="165" fontId="105" fillId="0" borderId="0" xfId="1" applyNumberFormat="1" applyFont="1" applyAlignment="1" applyProtection="1">
      <alignment horizontal="center"/>
    </xf>
    <xf numFmtId="0" fontId="16" fillId="0" borderId="2" xfId="0" applyFont="1" applyBorder="1" applyAlignment="1">
      <alignment horizontal="center"/>
    </xf>
    <xf numFmtId="176" fontId="89" fillId="2" borderId="43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0" fontId="26" fillId="57" borderId="11" xfId="0" applyFont="1" applyFill="1" applyBorder="1" applyAlignment="1">
      <alignment horizontal="center" vertical="center"/>
    </xf>
    <xf numFmtId="0" fontId="16" fillId="57" borderId="1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165" fontId="9" fillId="0" borderId="0" xfId="1" applyNumberFormat="1" applyFont="1" applyBorder="1" applyAlignment="1" applyProtection="1">
      <alignment horizontal="center"/>
    </xf>
    <xf numFmtId="0" fontId="11" fillId="57" borderId="0" xfId="0" applyFont="1" applyFill="1" applyAlignment="1">
      <alignment horizontal="center"/>
    </xf>
    <xf numFmtId="165" fontId="9" fillId="57" borderId="2" xfId="0" applyNumberFormat="1" applyFont="1" applyFill="1" applyBorder="1" applyAlignment="1">
      <alignment horizontal="center"/>
    </xf>
    <xf numFmtId="165" fontId="11" fillId="57" borderId="0" xfId="0" applyNumberFormat="1" applyFont="1" applyFill="1" applyAlignment="1">
      <alignment horizontal="center"/>
    </xf>
    <xf numFmtId="165" fontId="64" fillId="0" borderId="43" xfId="0" applyNumberFormat="1" applyFont="1" applyBorder="1" applyAlignment="1"/>
    <xf numFmtId="165" fontId="228" fillId="0" borderId="43" xfId="0" applyNumberFormat="1" applyFont="1" applyBorder="1" applyAlignment="1"/>
    <xf numFmtId="0" fontId="200" fillId="0" borderId="9" xfId="0" applyFont="1" applyBorder="1" applyAlignment="1">
      <alignment horizontal="center" vertical="center" wrapText="1"/>
    </xf>
    <xf numFmtId="0" fontId="200" fillId="0" borderId="30" xfId="0" applyFont="1" applyBorder="1" applyAlignment="1">
      <alignment horizontal="center" vertical="center" wrapText="1"/>
    </xf>
    <xf numFmtId="0" fontId="200" fillId="0" borderId="10" xfId="0" applyFont="1" applyBorder="1" applyAlignment="1">
      <alignment horizontal="center" vertical="center" wrapText="1"/>
    </xf>
    <xf numFmtId="0" fontId="200" fillId="0" borderId="48" xfId="0" applyFont="1" applyBorder="1" applyAlignment="1">
      <alignment horizontal="center" vertical="center" wrapText="1"/>
    </xf>
    <xf numFmtId="0" fontId="105" fillId="0" borderId="9" xfId="0" applyFont="1" applyBorder="1" applyAlignment="1">
      <alignment horizontal="center" vertical="center"/>
    </xf>
    <xf numFmtId="0" fontId="105" fillId="0" borderId="30" xfId="0" applyFont="1" applyBorder="1" applyAlignment="1">
      <alignment horizontal="center" vertical="center"/>
    </xf>
    <xf numFmtId="0" fontId="105" fillId="0" borderId="10" xfId="0" applyFont="1" applyBorder="1" applyAlignment="1">
      <alignment horizontal="center" vertical="center"/>
    </xf>
    <xf numFmtId="0" fontId="105" fillId="0" borderId="6" xfId="0" applyFont="1" applyBorder="1" applyAlignment="1">
      <alignment horizontal="center" vertical="center"/>
    </xf>
    <xf numFmtId="0" fontId="105" fillId="0" borderId="34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/>
    </xf>
    <xf numFmtId="1" fontId="189" fillId="0" borderId="9" xfId="0" applyNumberFormat="1" applyFont="1" applyBorder="1" applyAlignment="1">
      <alignment horizontal="center" vertical="center"/>
    </xf>
    <xf numFmtId="1" fontId="189" fillId="0" borderId="30" xfId="0" applyNumberFormat="1" applyFont="1" applyBorder="1" applyAlignment="1">
      <alignment horizontal="center" vertical="center"/>
    </xf>
    <xf numFmtId="1" fontId="189" fillId="0" borderId="10" xfId="0" applyNumberFormat="1" applyFont="1" applyBorder="1" applyAlignment="1">
      <alignment horizontal="center" vertical="center"/>
    </xf>
    <xf numFmtId="0" fontId="105" fillId="0" borderId="25" xfId="0" applyFont="1" applyBorder="1" applyAlignment="1">
      <alignment horizontal="center" vertical="center"/>
    </xf>
    <xf numFmtId="0" fontId="105" fillId="0" borderId="48" xfId="0" applyFont="1" applyBorder="1" applyAlignment="1">
      <alignment horizontal="center" vertical="center"/>
    </xf>
    <xf numFmtId="0" fontId="105" fillId="0" borderId="35" xfId="0" applyFont="1" applyBorder="1" applyAlignment="1">
      <alignment horizontal="center" vertical="center"/>
    </xf>
    <xf numFmtId="171" fontId="195" fillId="0" borderId="23" xfId="0" applyNumberFormat="1" applyFont="1" applyBorder="1" applyAlignment="1">
      <alignment horizontal="center" vertical="center"/>
    </xf>
    <xf numFmtId="171" fontId="195" fillId="0" borderId="30" xfId="0" applyNumberFormat="1" applyFont="1" applyBorder="1" applyAlignment="1">
      <alignment horizontal="center" vertical="center"/>
    </xf>
    <xf numFmtId="171" fontId="195" fillId="0" borderId="10" xfId="0" applyNumberFormat="1" applyFont="1" applyBorder="1" applyAlignment="1">
      <alignment horizontal="center" vertical="center"/>
    </xf>
    <xf numFmtId="171" fontId="195" fillId="0" borderId="9" xfId="0" applyNumberFormat="1" applyFont="1" applyBorder="1" applyAlignment="1">
      <alignment horizontal="center" vertical="center"/>
    </xf>
    <xf numFmtId="1" fontId="31" fillId="0" borderId="4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89" fillId="0" borderId="6" xfId="0" applyNumberFormat="1" applyFont="1" applyBorder="1" applyAlignment="1">
      <alignment horizontal="center" vertical="center"/>
    </xf>
    <xf numFmtId="1" fontId="189" fillId="0" borderId="34" xfId="0" applyNumberFormat="1" applyFont="1" applyBorder="1" applyAlignment="1">
      <alignment horizontal="center" vertical="center"/>
    </xf>
    <xf numFmtId="1" fontId="189" fillId="0" borderId="25" xfId="0" applyNumberFormat="1" applyFont="1" applyBorder="1" applyAlignment="1">
      <alignment horizontal="center" vertical="center"/>
    </xf>
    <xf numFmtId="1" fontId="189" fillId="0" borderId="48" xfId="0" applyNumberFormat="1" applyFont="1" applyBorder="1" applyAlignment="1">
      <alignment horizontal="center" vertical="center"/>
    </xf>
    <xf numFmtId="1" fontId="189" fillId="0" borderId="35" xfId="0" applyNumberFormat="1" applyFont="1" applyBorder="1" applyAlignment="1">
      <alignment horizontal="center" vertical="center"/>
    </xf>
    <xf numFmtId="171" fontId="195" fillId="0" borderId="37" xfId="0" applyNumberFormat="1" applyFont="1" applyBorder="1" applyAlignment="1">
      <alignment horizontal="center" vertical="center"/>
    </xf>
    <xf numFmtId="171" fontId="195" fillId="0" borderId="3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5" fillId="0" borderId="6" xfId="0" applyFont="1" applyBorder="1" applyAlignment="1">
      <alignment horizontal="center"/>
    </xf>
    <xf numFmtId="0" fontId="115" fillId="0" borderId="21" xfId="0" applyFont="1" applyBorder="1" applyAlignment="1">
      <alignment horizontal="center"/>
    </xf>
    <xf numFmtId="0" fontId="115" fillId="0" borderId="25" xfId="0" applyFont="1" applyBorder="1" applyAlignment="1">
      <alignment horizontal="center"/>
    </xf>
    <xf numFmtId="0" fontId="108" fillId="0" borderId="1" xfId="0" applyFont="1" applyBorder="1" applyAlignment="1">
      <alignment horizontal="center"/>
    </xf>
    <xf numFmtId="0" fontId="108" fillId="0" borderId="2" xfId="0" applyFont="1" applyBorder="1" applyAlignment="1">
      <alignment horizontal="center"/>
    </xf>
    <xf numFmtId="0" fontId="108" fillId="0" borderId="15" xfId="0" applyFont="1" applyBorder="1" applyAlignment="1">
      <alignment horizontal="center"/>
    </xf>
    <xf numFmtId="0" fontId="194" fillId="0" borderId="1" xfId="0" applyFont="1" applyBorder="1" applyAlignment="1">
      <alignment horizontal="center" vertical="center"/>
    </xf>
    <xf numFmtId="0" fontId="194" fillId="0" borderId="15" xfId="0" applyFont="1" applyBorder="1" applyAlignment="1">
      <alignment horizontal="center" vertical="center"/>
    </xf>
    <xf numFmtId="174" fontId="8" fillId="3" borderId="2" xfId="0" applyNumberFormat="1" applyFont="1" applyFill="1" applyBorder="1" applyAlignment="1">
      <alignment horizontal="center"/>
    </xf>
    <xf numFmtId="174" fontId="8" fillId="3" borderId="15" xfId="0" applyNumberFormat="1" applyFont="1" applyFill="1" applyBorder="1" applyAlignment="1">
      <alignment horizontal="center"/>
    </xf>
    <xf numFmtId="174" fontId="8" fillId="3" borderId="1" xfId="0" applyNumberFormat="1" applyFont="1" applyFill="1" applyBorder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174" fontId="2" fillId="0" borderId="2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00" fillId="0" borderId="25" xfId="0" applyFont="1" applyBorder="1" applyAlignment="1">
      <alignment horizontal="center" vertical="center" wrapText="1"/>
    </xf>
    <xf numFmtId="0" fontId="195" fillId="0" borderId="58" xfId="0" applyFont="1" applyBorder="1" applyAlignment="1">
      <alignment horizontal="center" vertical="center" wrapText="1"/>
    </xf>
    <xf numFmtId="0" fontId="154" fillId="0" borderId="58" xfId="0" applyFont="1" applyBorder="1" applyAlignment="1">
      <alignment horizontal="center" vertical="center"/>
    </xf>
    <xf numFmtId="0" fontId="189" fillId="0" borderId="9" xfId="0" applyFont="1" applyBorder="1" applyAlignment="1">
      <alignment horizontal="center" vertical="center"/>
    </xf>
    <xf numFmtId="0" fontId="189" fillId="0" borderId="30" xfId="0" applyFont="1" applyBorder="1" applyAlignment="1">
      <alignment horizontal="center" vertical="center"/>
    </xf>
    <xf numFmtId="0" fontId="189" fillId="0" borderId="10" xfId="0" applyFont="1" applyBorder="1">
      <alignment vertical="center"/>
    </xf>
    <xf numFmtId="0" fontId="189" fillId="0" borderId="10" xfId="0" applyFont="1" applyBorder="1" applyAlignment="1">
      <alignment horizontal="center" vertical="center"/>
    </xf>
    <xf numFmtId="0" fontId="189" fillId="0" borderId="25" xfId="0" applyFont="1" applyBorder="1" applyAlignment="1">
      <alignment horizontal="center" vertical="center"/>
    </xf>
    <xf numFmtId="0" fontId="189" fillId="0" borderId="48" xfId="0" applyFont="1" applyBorder="1" applyAlignment="1">
      <alignment horizontal="center" vertical="center"/>
    </xf>
    <xf numFmtId="0" fontId="189" fillId="0" borderId="35" xfId="0" applyFont="1" applyBorder="1" applyAlignment="1">
      <alignment horizontal="center" vertical="center"/>
    </xf>
    <xf numFmtId="176" fontId="195" fillId="0" borderId="32" xfId="0" applyNumberFormat="1" applyFont="1" applyBorder="1" applyAlignment="1">
      <alignment horizontal="center" vertical="center"/>
    </xf>
    <xf numFmtId="176" fontId="195" fillId="0" borderId="9" xfId="0" applyNumberFormat="1" applyFont="1" applyBorder="1" applyAlignment="1">
      <alignment horizontal="center" vertical="center"/>
    </xf>
    <xf numFmtId="176" fontId="195" fillId="0" borderId="30" xfId="0" applyNumberFormat="1" applyFont="1" applyBorder="1" applyAlignment="1">
      <alignment horizontal="center" vertical="center"/>
    </xf>
    <xf numFmtId="176" fontId="195" fillId="0" borderId="10" xfId="0" applyNumberFormat="1" applyFont="1" applyBorder="1" applyAlignment="1">
      <alignment horizontal="center" vertical="center"/>
    </xf>
    <xf numFmtId="0" fontId="194" fillId="0" borderId="6" xfId="0" applyFont="1" applyBorder="1" applyAlignment="1">
      <alignment horizontal="center" vertical="center"/>
    </xf>
    <xf numFmtId="0" fontId="194" fillId="0" borderId="34" xfId="0" applyFont="1" applyBorder="1" applyAlignment="1">
      <alignment horizontal="center" vertical="center"/>
    </xf>
    <xf numFmtId="0" fontId="189" fillId="0" borderId="30" xfId="0" applyFont="1" applyBorder="1">
      <alignment vertical="center"/>
    </xf>
    <xf numFmtId="0" fontId="189" fillId="0" borderId="23" xfId="0" applyFont="1" applyBorder="1" applyAlignment="1">
      <alignment horizontal="center" vertical="center"/>
    </xf>
    <xf numFmtId="0" fontId="189" fillId="0" borderId="56" xfId="0" applyFont="1" applyBorder="1">
      <alignment vertical="center"/>
    </xf>
    <xf numFmtId="176" fontId="195" fillId="0" borderId="6" xfId="0" applyNumberFormat="1" applyFont="1" applyBorder="1" applyAlignment="1">
      <alignment horizontal="center" vertical="center"/>
    </xf>
    <xf numFmtId="176" fontId="195" fillId="0" borderId="34" xfId="0" applyNumberFormat="1" applyFont="1" applyBorder="1" applyAlignment="1">
      <alignment horizontal="center" vertical="center"/>
    </xf>
    <xf numFmtId="0" fontId="115" fillId="0" borderId="1" xfId="0" applyFont="1" applyBorder="1" applyAlignment="1">
      <alignment horizontal="center"/>
    </xf>
    <xf numFmtId="0" fontId="115" fillId="0" borderId="2" xfId="0" applyFont="1" applyBorder="1" applyAlignment="1">
      <alignment horizontal="center"/>
    </xf>
    <xf numFmtId="0" fontId="115" fillId="0" borderId="15" xfId="0" applyFont="1" applyBorder="1" applyAlignment="1">
      <alignment horizontal="center"/>
    </xf>
    <xf numFmtId="174" fontId="8" fillId="3" borderId="32" xfId="0" applyNumberFormat="1" applyFont="1" applyFill="1" applyBorder="1" applyAlignment="1">
      <alignment horizontal="center"/>
    </xf>
    <xf numFmtId="174" fontId="8" fillId="3" borderId="22" xfId="0" applyNumberFormat="1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35" xfId="0" applyFont="1" applyFill="1" applyBorder="1" applyAlignment="1">
      <alignment horizontal="center"/>
    </xf>
    <xf numFmtId="174" fontId="8" fillId="25" borderId="32" xfId="0" applyNumberFormat="1" applyFont="1" applyFill="1" applyBorder="1" applyAlignment="1">
      <alignment horizontal="center"/>
    </xf>
    <xf numFmtId="174" fontId="8" fillId="25" borderId="22" xfId="0" applyNumberFormat="1" applyFont="1" applyFill="1" applyBorder="1" applyAlignment="1">
      <alignment horizontal="center"/>
    </xf>
    <xf numFmtId="0" fontId="8" fillId="25" borderId="22" xfId="0" applyFont="1" applyFill="1" applyBorder="1" applyAlignment="1">
      <alignment horizontal="center"/>
    </xf>
    <xf numFmtId="0" fontId="8" fillId="25" borderId="35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00" fillId="0" borderId="35" xfId="0" applyFont="1" applyBorder="1" applyAlignment="1">
      <alignment horizontal="center" vertical="center" wrapText="1"/>
    </xf>
    <xf numFmtId="0" fontId="189" fillId="0" borderId="6" xfId="0" applyFont="1" applyBorder="1" applyAlignment="1">
      <alignment horizontal="center" vertical="center"/>
    </xf>
    <xf numFmtId="0" fontId="189" fillId="0" borderId="34" xfId="0" applyFont="1" applyBorder="1" applyAlignment="1">
      <alignment horizontal="center" vertical="center"/>
    </xf>
    <xf numFmtId="0" fontId="189" fillId="0" borderId="21" xfId="0" applyFont="1" applyBorder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0" borderId="22" xfId="0" applyFont="1" applyBorder="1" applyAlignment="1">
      <alignment horizontal="center" vertical="center"/>
    </xf>
    <xf numFmtId="0" fontId="194" fillId="0" borderId="25" xfId="0" applyFont="1" applyBorder="1" applyAlignment="1">
      <alignment horizontal="center" vertical="center"/>
    </xf>
    <xf numFmtId="174" fontId="28" fillId="3" borderId="32" xfId="0" applyNumberFormat="1" applyFont="1" applyFill="1" applyBorder="1" applyAlignment="1">
      <alignment horizontal="center"/>
    </xf>
    <xf numFmtId="174" fontId="28" fillId="3" borderId="22" xfId="0" applyNumberFormat="1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0" fontId="28" fillId="3" borderId="35" xfId="0" applyFont="1" applyFill="1" applyBorder="1" applyAlignment="1">
      <alignment horizontal="center"/>
    </xf>
    <xf numFmtId="0" fontId="200" fillId="0" borderId="23" xfId="0" applyFont="1" applyBorder="1" applyAlignment="1">
      <alignment horizontal="center" vertical="center" wrapText="1"/>
    </xf>
    <xf numFmtId="0" fontId="200" fillId="0" borderId="56" xfId="0" applyFont="1" applyBorder="1" applyAlignment="1">
      <alignment horizontal="center" vertical="center" wrapText="1"/>
    </xf>
    <xf numFmtId="166" fontId="195" fillId="0" borderId="6" xfId="0" applyNumberFormat="1" applyFont="1" applyBorder="1" applyAlignment="1">
      <alignment horizontal="center" vertical="center"/>
    </xf>
    <xf numFmtId="166" fontId="195" fillId="0" borderId="34" xfId="0" applyNumberFormat="1" applyFont="1" applyBorder="1" applyAlignment="1">
      <alignment horizontal="center" vertical="center"/>
    </xf>
    <xf numFmtId="166" fontId="195" fillId="0" borderId="9" xfId="0" applyNumberFormat="1" applyFont="1" applyBorder="1" applyAlignment="1">
      <alignment horizontal="center" vertical="center"/>
    </xf>
    <xf numFmtId="166" fontId="195" fillId="0" borderId="30" xfId="0" applyNumberFormat="1" applyFont="1" applyBorder="1" applyAlignment="1">
      <alignment horizontal="center" vertical="center"/>
    </xf>
    <xf numFmtId="166" fontId="195" fillId="0" borderId="10" xfId="0" applyNumberFormat="1" applyFont="1" applyBorder="1" applyAlignment="1">
      <alignment horizontal="center" vertical="center"/>
    </xf>
    <xf numFmtId="0" fontId="189" fillId="0" borderId="32" xfId="0" applyFont="1" applyBorder="1" applyAlignment="1">
      <alignment horizontal="center" vertical="center"/>
    </xf>
    <xf numFmtId="168" fontId="195" fillId="0" borderId="9" xfId="0" applyNumberFormat="1" applyFont="1" applyBorder="1" applyAlignment="1">
      <alignment horizontal="center" vertical="center"/>
    </xf>
    <xf numFmtId="168" fontId="195" fillId="0" borderId="30" xfId="0" applyNumberFormat="1" applyFont="1" applyBorder="1" applyAlignment="1">
      <alignment horizontal="center" vertical="center"/>
    </xf>
    <xf numFmtId="168" fontId="195" fillId="0" borderId="10" xfId="0" applyNumberFormat="1" applyFont="1" applyBorder="1" applyAlignment="1">
      <alignment horizontal="center" vertical="center"/>
    </xf>
    <xf numFmtId="166" fontId="195" fillId="0" borderId="32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3" fillId="0" borderId="1" xfId="0" applyFont="1" applyBorder="1" applyAlignment="1">
      <alignment horizontal="center"/>
    </xf>
    <xf numFmtId="0" fontId="143" fillId="0" borderId="15" xfId="0" applyFont="1" applyBorder="1" applyAlignment="1">
      <alignment horizontal="center"/>
    </xf>
    <xf numFmtId="176" fontId="14" fillId="0" borderId="3" xfId="0" applyNumberFormat="1" applyFont="1" applyBorder="1" applyAlignment="1">
      <alignment horizontal="center"/>
    </xf>
    <xf numFmtId="176" fontId="14" fillId="0" borderId="31" xfId="0" applyNumberFormat="1" applyFont="1" applyBorder="1" applyAlignment="1">
      <alignment horizontal="center"/>
    </xf>
    <xf numFmtId="176" fontId="14" fillId="0" borderId="4" xfId="0" applyNumberFormat="1" applyFont="1" applyBorder="1" applyAlignment="1">
      <alignment horizontal="center"/>
    </xf>
    <xf numFmtId="176" fontId="14" fillId="0" borderId="5" xfId="0" applyNumberFormat="1" applyFont="1" applyBorder="1" applyAlignment="1">
      <alignment horizontal="center"/>
    </xf>
    <xf numFmtId="165" fontId="105" fillId="0" borderId="21" xfId="1" applyNumberFormat="1" applyFont="1" applyBorder="1" applyAlignment="1" applyProtection="1">
      <alignment horizontal="center" vertical="top"/>
    </xf>
    <xf numFmtId="165" fontId="105" fillId="0" borderId="10" xfId="1" applyNumberFormat="1" applyFont="1" applyBorder="1" applyAlignment="1" applyProtection="1">
      <alignment horizontal="center" vertical="top"/>
    </xf>
    <xf numFmtId="165" fontId="105" fillId="0" borderId="25" xfId="1" applyNumberFormat="1" applyFont="1" applyBorder="1" applyAlignment="1" applyProtection="1">
      <alignment horizontal="center" vertical="top"/>
    </xf>
    <xf numFmtId="165" fontId="105" fillId="0" borderId="9" xfId="1" applyNumberFormat="1" applyFont="1" applyBorder="1" applyAlignment="1" applyProtection="1">
      <alignment horizontal="center" vertical="top"/>
    </xf>
    <xf numFmtId="0" fontId="106" fillId="7" borderId="2" xfId="0" applyFont="1" applyFill="1" applyBorder="1" applyAlignment="1">
      <alignment horizontal="center"/>
    </xf>
    <xf numFmtId="0" fontId="106" fillId="7" borderId="22" xfId="0" applyFont="1" applyFill="1" applyBorder="1" applyAlignment="1">
      <alignment horizontal="center"/>
    </xf>
    <xf numFmtId="0" fontId="106" fillId="7" borderId="0" xfId="0" applyFont="1" applyFill="1" applyAlignment="1">
      <alignment horizontal="center"/>
    </xf>
    <xf numFmtId="0" fontId="189" fillId="0" borderId="11" xfId="0" applyFont="1" applyBorder="1" applyAlignment="1">
      <alignment horizontal="center"/>
    </xf>
    <xf numFmtId="0" fontId="189" fillId="0" borderId="12" xfId="0" applyFont="1" applyBorder="1" applyAlignment="1">
      <alignment horizontal="center"/>
    </xf>
    <xf numFmtId="0" fontId="189" fillId="0" borderId="18" xfId="0" applyFont="1" applyBorder="1" applyAlignment="1">
      <alignment horizontal="center"/>
    </xf>
    <xf numFmtId="0" fontId="189" fillId="0" borderId="3" xfId="0" applyFont="1" applyBorder="1" applyAlignment="1">
      <alignment horizontal="center"/>
    </xf>
    <xf numFmtId="0" fontId="189" fillId="0" borderId="31" xfId="0" applyFont="1" applyBorder="1" applyAlignment="1">
      <alignment horizontal="center"/>
    </xf>
    <xf numFmtId="0" fontId="189" fillId="0" borderId="4" xfId="0" applyFont="1" applyBorder="1" applyAlignment="1">
      <alignment horizontal="center"/>
    </xf>
    <xf numFmtId="0" fontId="189" fillId="0" borderId="5" xfId="0" applyFont="1" applyBorder="1" applyAlignment="1">
      <alignment horizontal="center"/>
    </xf>
    <xf numFmtId="0" fontId="189" fillId="0" borderId="6" xfId="0" applyFont="1" applyBorder="1" applyAlignment="1">
      <alignment horizontal="center"/>
    </xf>
    <xf numFmtId="0" fontId="189" fillId="0" borderId="21" xfId="0" applyFont="1" applyBorder="1" applyAlignment="1">
      <alignment horizontal="center"/>
    </xf>
    <xf numFmtId="0" fontId="189" fillId="0" borderId="13" xfId="0" applyFont="1" applyBorder="1" applyAlignment="1">
      <alignment horizontal="center"/>
    </xf>
    <xf numFmtId="0" fontId="189" fillId="0" borderId="2" xfId="0" applyFont="1" applyBorder="1" applyAlignment="1">
      <alignment horizontal="center"/>
    </xf>
    <xf numFmtId="0" fontId="189" fillId="0" borderId="15" xfId="0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0" fillId="0" borderId="31" xfId="0" applyFont="1" applyBorder="1" applyAlignment="1">
      <alignment horizontal="left"/>
    </xf>
    <xf numFmtId="165" fontId="105" fillId="2" borderId="1" xfId="1" applyNumberFormat="1" applyFont="1" applyFill="1" applyBorder="1" applyAlignment="1" applyProtection="1">
      <alignment horizontal="center" vertical="top"/>
    </xf>
    <xf numFmtId="165" fontId="105" fillId="2" borderId="15" xfId="1" applyNumberFormat="1" applyFont="1" applyFill="1" applyBorder="1" applyAlignment="1" applyProtection="1">
      <alignment horizontal="center" vertical="top"/>
    </xf>
    <xf numFmtId="165" fontId="105" fillId="0" borderId="1" xfId="1" applyNumberFormat="1" applyFont="1" applyBorder="1" applyAlignment="1" applyProtection="1">
      <alignment horizontal="center" vertical="top"/>
    </xf>
    <xf numFmtId="0" fontId="105" fillId="0" borderId="2" xfId="1" applyNumberFormat="1" applyFont="1" applyBorder="1" applyAlignment="1" applyProtection="1">
      <alignment horizontal="center" vertical="top"/>
    </xf>
    <xf numFmtId="0" fontId="105" fillId="0" borderId="15" xfId="1" applyNumberFormat="1" applyFont="1" applyBorder="1" applyAlignment="1" applyProtection="1">
      <alignment horizontal="center" vertical="top"/>
    </xf>
    <xf numFmtId="165" fontId="105" fillId="0" borderId="32" xfId="1" applyNumberFormat="1" applyFont="1" applyBorder="1" applyAlignment="1" applyProtection="1">
      <alignment horizontal="center" vertical="top"/>
    </xf>
    <xf numFmtId="165" fontId="105" fillId="0" borderId="22" xfId="1" applyNumberFormat="1" applyFont="1" applyBorder="1" applyAlignment="1" applyProtection="1">
      <alignment horizontal="center" vertical="top"/>
    </xf>
    <xf numFmtId="165" fontId="105" fillId="0" borderId="35" xfId="1" applyNumberFormat="1" applyFont="1" applyBorder="1" applyAlignment="1" applyProtection="1">
      <alignment horizontal="center" vertical="top"/>
    </xf>
    <xf numFmtId="165" fontId="105" fillId="0" borderId="1" xfId="1" applyNumberFormat="1" applyFont="1" applyBorder="1" applyAlignment="1" applyProtection="1">
      <alignment horizontal="center"/>
    </xf>
    <xf numFmtId="0" fontId="105" fillId="0" borderId="2" xfId="1" applyNumberFormat="1" applyFont="1" applyBorder="1" applyAlignment="1" applyProtection="1">
      <alignment horizontal="center"/>
    </xf>
    <xf numFmtId="0" fontId="105" fillId="0" borderId="15" xfId="1" applyNumberFormat="1" applyFont="1" applyBorder="1" applyAlignment="1" applyProtection="1">
      <alignment horizontal="center"/>
    </xf>
    <xf numFmtId="0" fontId="154" fillId="0" borderId="32" xfId="0" applyFont="1" applyBorder="1" applyAlignment="1">
      <alignment horizontal="left"/>
    </xf>
    <xf numFmtId="0" fontId="154" fillId="0" borderId="22" xfId="0" applyFont="1" applyBorder="1" applyAlignment="1">
      <alignment horizontal="left"/>
    </xf>
    <xf numFmtId="165" fontId="105" fillId="0" borderId="32" xfId="0" applyNumberFormat="1" applyFont="1" applyBorder="1" applyAlignment="1">
      <alignment horizontal="center"/>
    </xf>
    <xf numFmtId="0" fontId="105" fillId="0" borderId="22" xfId="0" applyFont="1" applyBorder="1" applyAlignment="1">
      <alignment horizontal="center"/>
    </xf>
    <xf numFmtId="165" fontId="105" fillId="0" borderId="2" xfId="1" applyNumberFormat="1" applyFont="1" applyBorder="1" applyAlignment="1" applyProtection="1">
      <alignment horizontal="center"/>
    </xf>
    <xf numFmtId="165" fontId="105" fillId="0" borderId="28" xfId="0" applyNumberFormat="1" applyFont="1" applyBorder="1" applyAlignment="1">
      <alignment horizontal="center"/>
    </xf>
    <xf numFmtId="0" fontId="105" fillId="0" borderId="8" xfId="0" applyFont="1" applyBorder="1" applyAlignment="1">
      <alignment horizontal="center"/>
    </xf>
    <xf numFmtId="0" fontId="105" fillId="0" borderId="26" xfId="0" applyFont="1" applyBorder="1" applyAlignment="1">
      <alignment horizontal="center"/>
    </xf>
    <xf numFmtId="0" fontId="105" fillId="0" borderId="17" xfId="0" applyFont="1" applyBorder="1" applyAlignment="1">
      <alignment horizontal="center"/>
    </xf>
    <xf numFmtId="3" fontId="126" fillId="0" borderId="6" xfId="0" applyNumberFormat="1" applyFont="1" applyBorder="1" applyAlignment="1">
      <alignment horizontal="center"/>
    </xf>
    <xf numFmtId="3" fontId="126" fillId="0" borderId="21" xfId="0" applyNumberFormat="1" applyFont="1" applyBorder="1" applyAlignment="1">
      <alignment horizontal="center"/>
    </xf>
    <xf numFmtId="3" fontId="126" fillId="0" borderId="25" xfId="0" applyNumberFormat="1" applyFont="1" applyBorder="1" applyAlignment="1">
      <alignment horizontal="center"/>
    </xf>
    <xf numFmtId="3" fontId="126" fillId="0" borderId="1" xfId="0" applyNumberFormat="1" applyFont="1" applyBorder="1" applyAlignment="1">
      <alignment horizontal="center"/>
    </xf>
    <xf numFmtId="3" fontId="126" fillId="0" borderId="2" xfId="0" applyNumberFormat="1" applyFont="1" applyBorder="1" applyAlignment="1">
      <alignment horizontal="center"/>
    </xf>
    <xf numFmtId="3" fontId="126" fillId="0" borderId="15" xfId="0" applyNumberFormat="1" applyFont="1" applyBorder="1" applyAlignment="1">
      <alignment horizontal="center"/>
    </xf>
    <xf numFmtId="3" fontId="126" fillId="0" borderId="34" xfId="0" applyNumberFormat="1" applyFont="1" applyBorder="1" applyAlignment="1">
      <alignment horizontal="center"/>
    </xf>
    <xf numFmtId="3" fontId="126" fillId="0" borderId="0" xfId="0" applyNumberFormat="1" applyFont="1" applyAlignment="1">
      <alignment horizontal="center"/>
    </xf>
    <xf numFmtId="3" fontId="126" fillId="0" borderId="48" xfId="0" applyNumberFormat="1" applyFont="1" applyBorder="1" applyAlignment="1">
      <alignment horizontal="center"/>
    </xf>
    <xf numFmtId="0" fontId="126" fillId="0" borderId="1" xfId="0" applyFont="1" applyBorder="1" applyAlignment="1">
      <alignment horizontal="center"/>
    </xf>
    <xf numFmtId="0" fontId="126" fillId="0" borderId="2" xfId="0" applyFont="1" applyBorder="1" applyAlignment="1">
      <alignment horizontal="center"/>
    </xf>
    <xf numFmtId="0" fontId="126" fillId="0" borderId="15" xfId="0" applyFont="1" applyBorder="1" applyAlignment="1">
      <alignment horizontal="center"/>
    </xf>
    <xf numFmtId="3" fontId="126" fillId="0" borderId="7" xfId="0" applyNumberFormat="1" applyFont="1" applyBorder="1" applyAlignment="1">
      <alignment horizontal="center"/>
    </xf>
    <xf numFmtId="3" fontId="126" fillId="0" borderId="22" xfId="0" applyNumberFormat="1" applyFont="1" applyBorder="1" applyAlignment="1">
      <alignment horizontal="center"/>
    </xf>
    <xf numFmtId="3" fontId="126" fillId="0" borderId="17" xfId="0" applyNumberFormat="1" applyFont="1" applyBorder="1" applyAlignment="1">
      <alignment horizontal="center"/>
    </xf>
    <xf numFmtId="0" fontId="126" fillId="0" borderId="32" xfId="0" applyFont="1" applyBorder="1" applyAlignment="1">
      <alignment horizontal="center"/>
    </xf>
    <xf numFmtId="0" fontId="126" fillId="0" borderId="22" xfId="0" applyFont="1" applyBorder="1" applyAlignment="1">
      <alignment horizontal="center"/>
    </xf>
    <xf numFmtId="0" fontId="126" fillId="0" borderId="7" xfId="0" applyFont="1" applyBorder="1" applyAlignment="1">
      <alignment horizontal="center"/>
    </xf>
    <xf numFmtId="0" fontId="126" fillId="0" borderId="17" xfId="0" applyFont="1" applyBorder="1" applyAlignment="1">
      <alignment horizontal="center"/>
    </xf>
    <xf numFmtId="3" fontId="126" fillId="0" borderId="3" xfId="0" applyNumberFormat="1" applyFont="1" applyBorder="1" applyAlignment="1">
      <alignment horizontal="center"/>
    </xf>
    <xf numFmtId="3" fontId="126" fillId="0" borderId="16" xfId="0" applyNumberFormat="1" applyFont="1" applyBorder="1" applyAlignment="1">
      <alignment horizontal="center"/>
    </xf>
    <xf numFmtId="0" fontId="158" fillId="0" borderId="32" xfId="0" applyFont="1" applyBorder="1" applyAlignment="1">
      <alignment horizontal="left"/>
    </xf>
    <xf numFmtId="0" fontId="158" fillId="0" borderId="22" xfId="0" applyFont="1" applyBorder="1" applyAlignment="1">
      <alignment horizontal="left"/>
    </xf>
    <xf numFmtId="0" fontId="158" fillId="0" borderId="3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57" fillId="0" borderId="1" xfId="0" applyFont="1" applyBorder="1" applyAlignment="1">
      <alignment horizontal="left"/>
    </xf>
    <xf numFmtId="0" fontId="157" fillId="0" borderId="2" xfId="0" applyFont="1" applyBorder="1" applyAlignment="1">
      <alignment horizontal="left"/>
    </xf>
    <xf numFmtId="0" fontId="157" fillId="0" borderId="15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126" fillId="0" borderId="0" xfId="0" applyFont="1" applyAlignment="1">
      <alignment horizontal="left"/>
    </xf>
    <xf numFmtId="0" fontId="9" fillId="0" borderId="34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157" fillId="0" borderId="76" xfId="0" applyFont="1" applyBorder="1" applyAlignment="1">
      <alignment horizontal="left"/>
    </xf>
    <xf numFmtId="0" fontId="157" fillId="0" borderId="77" xfId="0" applyFont="1" applyBorder="1" applyAlignment="1">
      <alignment horizontal="left"/>
    </xf>
    <xf numFmtId="0" fontId="157" fillId="0" borderId="78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57" fillId="0" borderId="34" xfId="0" applyFont="1" applyBorder="1" applyAlignment="1">
      <alignment horizontal="left"/>
    </xf>
    <xf numFmtId="0" fontId="157" fillId="0" borderId="0" xfId="0" applyFont="1" applyAlignment="1">
      <alignment horizontal="left"/>
    </xf>
    <xf numFmtId="0" fontId="157" fillId="0" borderId="48" xfId="0" applyFont="1" applyBorder="1" applyAlignment="1">
      <alignment horizontal="left"/>
    </xf>
    <xf numFmtId="1" fontId="8" fillId="0" borderId="32" xfId="0" applyNumberFormat="1" applyFont="1" applyBorder="1" applyAlignment="1">
      <alignment horizontal="center"/>
    </xf>
    <xf numFmtId="1" fontId="8" fillId="0" borderId="22" xfId="0" applyNumberFormat="1" applyFont="1" applyBorder="1" applyAlignment="1">
      <alignment horizontal="center"/>
    </xf>
    <xf numFmtId="1" fontId="8" fillId="0" borderId="35" xfId="0" applyNumberFormat="1" applyFont="1" applyBorder="1" applyAlignment="1">
      <alignment horizontal="center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1" fillId="0" borderId="15" xfId="0" applyFont="1" applyBorder="1" applyAlignment="1">
      <alignment horizontal="center"/>
    </xf>
    <xf numFmtId="0" fontId="143" fillId="0" borderId="2" xfId="0" applyFont="1" applyBorder="1" applyAlignment="1">
      <alignment horizontal="center"/>
    </xf>
    <xf numFmtId="0" fontId="106" fillId="9" borderId="2" xfId="0" applyFont="1" applyFill="1" applyBorder="1" applyAlignment="1">
      <alignment horizontal="center"/>
    </xf>
    <xf numFmtId="0" fontId="106" fillId="9" borderId="2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/>
    </xf>
    <xf numFmtId="0" fontId="126" fillId="0" borderId="1" xfId="0" applyFont="1" applyBorder="1" applyAlignment="1">
      <alignment horizontal="left"/>
    </xf>
    <xf numFmtId="0" fontId="126" fillId="0" borderId="2" xfId="0" applyFont="1" applyBorder="1" applyAlignment="1">
      <alignment horizontal="left"/>
    </xf>
    <xf numFmtId="0" fontId="126" fillId="0" borderId="15" xfId="0" applyFont="1" applyBorder="1" applyAlignment="1">
      <alignment horizontal="left"/>
    </xf>
    <xf numFmtId="0" fontId="126" fillId="0" borderId="76" xfId="0" applyFont="1" applyBorder="1" applyAlignment="1">
      <alignment horizontal="left"/>
    </xf>
    <xf numFmtId="0" fontId="126" fillId="0" borderId="77" xfId="0" applyFont="1" applyBorder="1" applyAlignment="1">
      <alignment horizontal="left"/>
    </xf>
    <xf numFmtId="0" fontId="126" fillId="0" borderId="78" xfId="0" applyFont="1" applyBorder="1" applyAlignment="1">
      <alignment horizontal="left"/>
    </xf>
    <xf numFmtId="0" fontId="126" fillId="0" borderId="76" xfId="0" applyFont="1" applyBorder="1" applyAlignment="1">
      <alignment horizontal="center"/>
    </xf>
    <xf numFmtId="0" fontId="126" fillId="0" borderId="77" xfId="0" applyFont="1" applyBorder="1" applyAlignment="1">
      <alignment horizontal="center"/>
    </xf>
    <xf numFmtId="0" fontId="126" fillId="0" borderId="78" xfId="0" applyFont="1" applyBorder="1" applyAlignment="1">
      <alignment horizontal="center"/>
    </xf>
    <xf numFmtId="0" fontId="127" fillId="0" borderId="32" xfId="0" applyFont="1" applyBorder="1" applyAlignment="1">
      <alignment horizontal="left"/>
    </xf>
    <xf numFmtId="0" fontId="127" fillId="0" borderId="22" xfId="0" applyFont="1" applyBorder="1" applyAlignment="1">
      <alignment horizontal="left"/>
    </xf>
    <xf numFmtId="0" fontId="127" fillId="0" borderId="35" xfId="0" applyFont="1" applyBorder="1" applyAlignment="1">
      <alignment horizontal="left"/>
    </xf>
    <xf numFmtId="0" fontId="126" fillId="0" borderId="79" xfId="0" applyFont="1" applyBorder="1" applyAlignment="1">
      <alignment horizontal="center"/>
    </xf>
    <xf numFmtId="0" fontId="126" fillId="0" borderId="80" xfId="0" applyFont="1" applyBorder="1" applyAlignment="1">
      <alignment horizontal="center"/>
    </xf>
    <xf numFmtId="0" fontId="126" fillId="0" borderId="81" xfId="0" applyFont="1" applyBorder="1" applyAlignment="1">
      <alignment horizontal="center"/>
    </xf>
    <xf numFmtId="165" fontId="126" fillId="0" borderId="1" xfId="0" applyNumberFormat="1" applyFont="1" applyBorder="1" applyAlignment="1">
      <alignment horizontal="center"/>
    </xf>
    <xf numFmtId="165" fontId="126" fillId="0" borderId="2" xfId="0" applyNumberFormat="1" applyFont="1" applyBorder="1" applyAlignment="1">
      <alignment horizontal="center"/>
    </xf>
    <xf numFmtId="165" fontId="126" fillId="0" borderId="15" xfId="0" applyNumberFormat="1" applyFont="1" applyBorder="1" applyAlignment="1">
      <alignment horizontal="center"/>
    </xf>
    <xf numFmtId="165" fontId="105" fillId="0" borderId="1" xfId="1" applyNumberFormat="1" applyFont="1" applyBorder="1" applyAlignment="1" applyProtection="1">
      <alignment horizontal="center" wrapText="1"/>
    </xf>
    <xf numFmtId="165" fontId="105" fillId="0" borderId="2" xfId="1" applyNumberFormat="1" applyFont="1" applyBorder="1" applyAlignment="1" applyProtection="1">
      <alignment horizontal="center" wrapText="1"/>
    </xf>
    <xf numFmtId="165" fontId="105" fillId="0" borderId="1" xfId="0" applyNumberFormat="1" applyFont="1" applyBorder="1" applyAlignment="1">
      <alignment horizontal="center"/>
    </xf>
    <xf numFmtId="165" fontId="105" fillId="0" borderId="2" xfId="0" applyNumberFormat="1" applyFont="1" applyBorder="1" applyAlignment="1">
      <alignment horizontal="center"/>
    </xf>
    <xf numFmtId="165" fontId="105" fillId="0" borderId="15" xfId="0" applyNumberFormat="1" applyFont="1" applyBorder="1" applyAlignment="1">
      <alignment horizontal="center"/>
    </xf>
    <xf numFmtId="165" fontId="105" fillId="0" borderId="15" xfId="1" applyNumberFormat="1" applyFont="1" applyBorder="1" applyAlignment="1" applyProtection="1">
      <alignment horizontal="center"/>
    </xf>
    <xf numFmtId="0" fontId="108" fillId="0" borderId="1" xfId="0" applyFont="1" applyBorder="1" applyAlignment="1">
      <alignment horizontal="left"/>
    </xf>
    <xf numFmtId="0" fontId="108" fillId="0" borderId="2" xfId="0" applyFont="1" applyBorder="1" applyAlignment="1">
      <alignment horizontal="left"/>
    </xf>
    <xf numFmtId="0" fontId="108" fillId="0" borderId="15" xfId="0" applyFont="1" applyBorder="1" applyAlignment="1">
      <alignment horizontal="left"/>
    </xf>
    <xf numFmtId="165" fontId="105" fillId="0" borderId="15" xfId="1" applyNumberFormat="1" applyFont="1" applyBorder="1" applyAlignment="1" applyProtection="1">
      <alignment horizontal="center" vertical="top"/>
    </xf>
    <xf numFmtId="165" fontId="105" fillId="0" borderId="1" xfId="1" applyNumberFormat="1" applyFont="1" applyBorder="1" applyAlignment="1" applyProtection="1">
      <alignment horizontal="center" vertical="center" wrapText="1"/>
    </xf>
    <xf numFmtId="165" fontId="105" fillId="0" borderId="2" xfId="1" applyNumberFormat="1" applyFont="1" applyBorder="1" applyAlignment="1" applyProtection="1">
      <alignment horizontal="center" vertical="center" wrapText="1"/>
    </xf>
    <xf numFmtId="165" fontId="105" fillId="0" borderId="2" xfId="1" applyNumberFormat="1" applyFont="1" applyBorder="1" applyAlignment="1" applyProtection="1">
      <alignment horizontal="center" vertical="top"/>
    </xf>
    <xf numFmtId="0" fontId="82" fillId="0" borderId="1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2" fillId="0" borderId="25" xfId="0" applyFont="1" applyBorder="1" applyAlignment="1">
      <alignment horizontal="center"/>
    </xf>
    <xf numFmtId="0" fontId="83" fillId="0" borderId="6" xfId="0" applyFont="1" applyBorder="1" applyAlignment="1">
      <alignment horizontal="center"/>
    </xf>
    <xf numFmtId="0" fontId="83" fillId="0" borderId="21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15" xfId="0" applyFont="1" applyBorder="1" applyAlignment="1">
      <alignment horizontal="center"/>
    </xf>
    <xf numFmtId="0" fontId="82" fillId="0" borderId="15" xfId="0" applyFont="1" applyBorder="1" applyAlignment="1">
      <alignment horizontal="center"/>
    </xf>
    <xf numFmtId="165" fontId="105" fillId="0" borderId="32" xfId="1" applyNumberFormat="1" applyFont="1" applyBorder="1" applyAlignment="1" applyProtection="1">
      <alignment horizontal="center" vertical="center" wrapText="1"/>
    </xf>
    <xf numFmtId="165" fontId="105" fillId="0" borderId="22" xfId="1" applyNumberFormat="1" applyFont="1" applyBorder="1" applyAlignment="1" applyProtection="1">
      <alignment horizontal="center" vertical="center" wrapText="1"/>
    </xf>
    <xf numFmtId="165" fontId="105" fillId="0" borderId="35" xfId="1" applyNumberFormat="1" applyFont="1" applyBorder="1" applyAlignment="1" applyProtection="1">
      <alignment horizontal="center" vertical="center" wrapText="1"/>
    </xf>
    <xf numFmtId="165" fontId="105" fillId="0" borderId="15" xfId="1" applyNumberFormat="1" applyFont="1" applyBorder="1" applyAlignment="1" applyProtection="1">
      <alignment horizontal="center" wrapText="1"/>
    </xf>
    <xf numFmtId="165" fontId="105" fillId="0" borderId="0" xfId="1" applyNumberFormat="1" applyFont="1" applyAlignment="1" applyProtection="1">
      <alignment horizontal="center" wrapText="1"/>
    </xf>
    <xf numFmtId="165" fontId="105" fillId="0" borderId="0" xfId="0" applyNumberFormat="1" applyFont="1" applyAlignment="1">
      <alignment horizontal="center"/>
    </xf>
    <xf numFmtId="165" fontId="105" fillId="0" borderId="0" xfId="1" applyNumberFormat="1" applyFont="1" applyAlignment="1" applyProtection="1">
      <alignment horizontal="center"/>
    </xf>
    <xf numFmtId="0" fontId="83" fillId="0" borderId="25" xfId="0" applyFont="1" applyBorder="1" applyAlignment="1">
      <alignment horizontal="center"/>
    </xf>
    <xf numFmtId="0" fontId="126" fillId="0" borderId="34" xfId="0" applyFont="1" applyBorder="1" applyAlignment="1">
      <alignment horizontal="left"/>
    </xf>
    <xf numFmtId="0" fontId="126" fillId="0" borderId="48" xfId="0" applyFont="1" applyBorder="1" applyAlignment="1">
      <alignment horizontal="left"/>
    </xf>
    <xf numFmtId="165" fontId="105" fillId="0" borderId="58" xfId="1" applyNumberFormat="1" applyFont="1" applyBorder="1" applyAlignment="1" applyProtection="1">
      <alignment horizontal="center" vertical="top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5" fontId="9" fillId="0" borderId="1" xfId="1" applyNumberFormat="1" applyFont="1" applyBorder="1" applyAlignment="1" applyProtection="1">
      <alignment horizontal="center"/>
    </xf>
    <xf numFmtId="165" fontId="9" fillId="0" borderId="2" xfId="1" applyNumberFormat="1" applyFont="1" applyBorder="1" applyAlignment="1" applyProtection="1">
      <alignment horizontal="center"/>
    </xf>
    <xf numFmtId="165" fontId="9" fillId="0" borderId="15" xfId="1" applyNumberFormat="1" applyFont="1" applyBorder="1" applyAlignment="1" applyProtection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6" fillId="0" borderId="39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6" fillId="0" borderId="68" xfId="0" applyFont="1" applyBorder="1" applyAlignment="1">
      <alignment horizontal="left"/>
    </xf>
    <xf numFmtId="0" fontId="6" fillId="0" borderId="69" xfId="0" applyFont="1" applyBorder="1" applyAlignment="1">
      <alignment horizontal="left"/>
    </xf>
    <xf numFmtId="0" fontId="6" fillId="3" borderId="39" xfId="0" applyFont="1" applyFill="1" applyBorder="1" applyAlignment="1">
      <alignment horizontal="left"/>
    </xf>
    <xf numFmtId="0" fontId="6" fillId="3" borderId="47" xfId="0" applyFont="1" applyFill="1" applyBorder="1" applyAlignment="1">
      <alignment horizontal="left"/>
    </xf>
    <xf numFmtId="0" fontId="68" fillId="0" borderId="39" xfId="0" applyFont="1" applyBorder="1" applyAlignment="1">
      <alignment horizontal="left"/>
    </xf>
    <xf numFmtId="0" fontId="68" fillId="0" borderId="47" xfId="0" applyFont="1" applyBorder="1" applyAlignment="1">
      <alignment horizontal="left"/>
    </xf>
    <xf numFmtId="0" fontId="68" fillId="3" borderId="39" xfId="0" applyFont="1" applyFill="1" applyBorder="1" applyAlignment="1">
      <alignment horizontal="left"/>
    </xf>
    <xf numFmtId="0" fontId="68" fillId="3" borderId="47" xfId="0" applyFont="1" applyFill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6" fillId="0" borderId="37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8" fillId="0" borderId="21" xfId="0" applyFont="1" applyBorder="1" applyAlignment="1"/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39" fillId="0" borderId="15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5" fontId="39" fillId="0" borderId="1" xfId="0" applyNumberFormat="1" applyFont="1" applyBorder="1" applyAlignment="1">
      <alignment horizontal="right"/>
    </xf>
    <xf numFmtId="165" fontId="39" fillId="0" borderId="15" xfId="0" applyNumberFormat="1" applyFont="1" applyBorder="1" applyAlignment="1">
      <alignment horizontal="right"/>
    </xf>
    <xf numFmtId="172" fontId="76" fillId="0" borderId="1" xfId="0" applyNumberFormat="1" applyFont="1" applyBorder="1" applyAlignment="1">
      <alignment horizontal="center"/>
    </xf>
    <xf numFmtId="172" fontId="76" fillId="0" borderId="15" xfId="0" applyNumberFormat="1" applyFont="1" applyBorder="1" applyAlignment="1">
      <alignment horizontal="center"/>
    </xf>
    <xf numFmtId="0" fontId="6" fillId="0" borderId="49" xfId="0" applyFont="1" applyBorder="1" applyAlignment="1">
      <alignment horizontal="left"/>
    </xf>
    <xf numFmtId="0" fontId="6" fillId="0" borderId="50" xfId="0" applyFont="1" applyBorder="1" applyAlignment="1">
      <alignment horizontal="left"/>
    </xf>
    <xf numFmtId="0" fontId="6" fillId="0" borderId="39" xfId="0" applyFont="1" applyBorder="1" applyAlignment="1"/>
    <xf numFmtId="0" fontId="6" fillId="0" borderId="47" xfId="0" applyFont="1" applyBorder="1" applyAlignment="1"/>
    <xf numFmtId="0" fontId="6" fillId="0" borderId="37" xfId="0" applyFont="1" applyBorder="1" applyAlignment="1"/>
    <xf numFmtId="0" fontId="6" fillId="0" borderId="33" xfId="0" applyFont="1" applyBorder="1" applyAlignment="1"/>
    <xf numFmtId="0" fontId="6" fillId="0" borderId="49" xfId="0" applyFont="1" applyBorder="1" applyAlignment="1"/>
    <xf numFmtId="0" fontId="6" fillId="0" borderId="50" xfId="0" applyFont="1" applyBorder="1" applyAlignment="1"/>
    <xf numFmtId="0" fontId="68" fillId="0" borderId="39" xfId="0" applyFont="1" applyBorder="1" applyAlignment="1"/>
    <xf numFmtId="0" fontId="68" fillId="0" borderId="47" xfId="0" applyFont="1" applyBorder="1" applyAlignment="1"/>
    <xf numFmtId="169" fontId="39" fillId="0" borderId="1" xfId="0" applyNumberFormat="1" applyFont="1" applyBorder="1" applyAlignment="1">
      <alignment horizontal="center"/>
    </xf>
    <xf numFmtId="169" fontId="39" fillId="0" borderId="15" xfId="0" applyNumberFormat="1" applyFont="1" applyBorder="1" applyAlignment="1">
      <alignment horizontal="center"/>
    </xf>
    <xf numFmtId="14" fontId="63" fillId="0" borderId="6" xfId="0" applyNumberFormat="1" applyFont="1" applyBorder="1" applyAlignment="1">
      <alignment horizontal="center" vertical="center"/>
    </xf>
    <xf numFmtId="14" fontId="63" fillId="0" borderId="32" xfId="0" applyNumberFormat="1" applyFont="1" applyBorder="1" applyAlignment="1">
      <alignment horizontal="center"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00FFCC"/>
      <color rgb="FFF7656F"/>
      <color rgb="FFFFFFFF"/>
      <color rgb="FFB30D31"/>
      <color rgb="FFAFFB69"/>
      <color rgb="FFFF99FF"/>
      <color rgb="FFCC66FF"/>
      <color rgb="FFECECEC"/>
      <color rgb="FFCCCCFF"/>
      <color rgb="FF7B4C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1120070</xdr:colOff>
      <xdr:row>2</xdr:row>
      <xdr:rowOff>49596</xdr:rowOff>
    </xdr:from>
    <xdr:to>
      <xdr:col>8</xdr:col>
      <xdr:colOff>377455</xdr:colOff>
      <xdr:row>2</xdr:row>
      <xdr:rowOff>380776</xdr:rowOff>
    </xdr:to>
    <xdr:sp macro="" textlink="">
      <xdr:nvSpPr>
        <xdr:cNvPr id="58" name="star6">
          <a:extLst>
            <a:ext uri="{FF2B5EF4-FFF2-40B4-BE49-F238E27FC236}">
              <a16:creationId xmlns:a16="http://schemas.microsoft.com/office/drawing/2014/main" id="{00000000-0008-0000-1E00-00003A000000}"/>
            </a:ext>
          </a:extLst>
        </xdr:cNvPr>
        <xdr:cNvSpPr/>
      </xdr:nvSpPr>
      <xdr:spPr>
        <a:xfrm>
          <a:off x="4937690" y="415356"/>
          <a:ext cx="377525" cy="133060"/>
        </a:xfrm>
        <a:prstGeom prst="star6">
          <a:avLst/>
        </a:prstGeom>
        <a:solidFill>
          <a:srgbClr val="E36C08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17391</xdr:colOff>
      <xdr:row>2</xdr:row>
      <xdr:rowOff>62396</xdr:rowOff>
    </xdr:from>
    <xdr:to>
      <xdr:col>17</xdr:col>
      <xdr:colOff>417404</xdr:colOff>
      <xdr:row>3</xdr:row>
      <xdr:rowOff>0</xdr:rowOff>
    </xdr:to>
    <xdr:sp macro="" textlink="">
      <xdr:nvSpPr>
        <xdr:cNvPr id="59" name="star6">
          <a:extLst>
            <a:ext uri="{FF2B5EF4-FFF2-40B4-BE49-F238E27FC236}">
              <a16:creationId xmlns:a16="http://schemas.microsoft.com/office/drawing/2014/main" id="{00000000-0008-0000-1E00-00003B000000}"/>
            </a:ext>
          </a:extLst>
        </xdr:cNvPr>
        <xdr:cNvSpPr/>
      </xdr:nvSpPr>
      <xdr:spPr>
        <a:xfrm>
          <a:off x="10510131" y="428156"/>
          <a:ext cx="400013" cy="120484"/>
        </a:xfrm>
        <a:prstGeom prst="star6">
          <a:avLst/>
        </a:prstGeom>
        <a:solidFill>
          <a:srgbClr val="E36C08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171290</xdr:colOff>
      <xdr:row>2</xdr:row>
      <xdr:rowOff>23998</xdr:rowOff>
    </xdr:from>
    <xdr:to>
      <xdr:col>26</xdr:col>
      <xdr:colOff>571377</xdr:colOff>
      <xdr:row>2</xdr:row>
      <xdr:rowOff>380776</xdr:rowOff>
    </xdr:to>
    <xdr:sp macro="" textlink="">
      <xdr:nvSpPr>
        <xdr:cNvPr id="60" name="star6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SpPr/>
      </xdr:nvSpPr>
      <xdr:spPr>
        <a:xfrm>
          <a:off x="16219010" y="389758"/>
          <a:ext cx="400087" cy="158658"/>
        </a:xfrm>
        <a:prstGeom prst="star6">
          <a:avLst/>
        </a:prstGeom>
        <a:solidFill>
          <a:srgbClr val="E36C08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129099</xdr:colOff>
      <xdr:row>2</xdr:row>
      <xdr:rowOff>75195</xdr:rowOff>
    </xdr:from>
    <xdr:to>
      <xdr:col>1</xdr:col>
      <xdr:colOff>529308</xdr:colOff>
      <xdr:row>3</xdr:row>
      <xdr:rowOff>0</xdr:rowOff>
    </xdr:to>
    <xdr:sp macro="" textlink="">
      <xdr:nvSpPr>
        <xdr:cNvPr id="61" name="star6">
          <a:extLst>
            <a:ext uri="{FF2B5EF4-FFF2-40B4-BE49-F238E27FC236}">
              <a16:creationId xmlns:a16="http://schemas.microsoft.com/office/drawing/2014/main" id="{00000000-0008-0000-1E00-00003D000000}"/>
            </a:ext>
          </a:extLst>
        </xdr:cNvPr>
        <xdr:cNvSpPr/>
      </xdr:nvSpPr>
      <xdr:spPr>
        <a:xfrm>
          <a:off x="746319" y="440955"/>
          <a:ext cx="400209" cy="107685"/>
        </a:xfrm>
        <a:prstGeom prst="star6">
          <a:avLst/>
        </a:prstGeom>
        <a:solidFill>
          <a:srgbClr val="E36C08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159865</xdr:colOff>
      <xdr:row>2</xdr:row>
      <xdr:rowOff>62396</xdr:rowOff>
    </xdr:from>
    <xdr:to>
      <xdr:col>10</xdr:col>
      <xdr:colOff>560088</xdr:colOff>
      <xdr:row>3</xdr:row>
      <xdr:rowOff>0</xdr:rowOff>
    </xdr:to>
    <xdr:sp macro="" textlink="">
      <xdr:nvSpPr>
        <xdr:cNvPr id="100" name="star6">
          <a:extLst>
            <a:ext uri="{FF2B5EF4-FFF2-40B4-BE49-F238E27FC236}">
              <a16:creationId xmlns:a16="http://schemas.microsoft.com/office/drawing/2014/main" id="{00000000-0008-0000-1E00-000064000000}"/>
            </a:ext>
          </a:extLst>
        </xdr:cNvPr>
        <xdr:cNvSpPr/>
      </xdr:nvSpPr>
      <xdr:spPr>
        <a:xfrm>
          <a:off x="6332065" y="428156"/>
          <a:ext cx="400223" cy="120484"/>
        </a:xfrm>
        <a:prstGeom prst="star6">
          <a:avLst/>
        </a:prstGeom>
        <a:solidFill>
          <a:srgbClr val="E36C08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225602</xdr:colOff>
      <xdr:row>2</xdr:row>
      <xdr:rowOff>11199</xdr:rowOff>
    </xdr:from>
    <xdr:to>
      <xdr:col>19</xdr:col>
      <xdr:colOff>624494</xdr:colOff>
      <xdr:row>2</xdr:row>
      <xdr:rowOff>367977</xdr:rowOff>
    </xdr:to>
    <xdr:sp macro="" textlink="">
      <xdr:nvSpPr>
        <xdr:cNvPr id="101" name="star6">
          <a:extLst>
            <a:ext uri="{FF2B5EF4-FFF2-40B4-BE49-F238E27FC236}">
              <a16:creationId xmlns:a16="http://schemas.microsoft.com/office/drawing/2014/main" id="{00000000-0008-0000-1E00-000065000000}"/>
            </a:ext>
          </a:extLst>
        </xdr:cNvPr>
        <xdr:cNvSpPr/>
      </xdr:nvSpPr>
      <xdr:spPr>
        <a:xfrm>
          <a:off x="11952782" y="376959"/>
          <a:ext cx="391272" cy="173898"/>
        </a:xfrm>
        <a:prstGeom prst="star6">
          <a:avLst/>
        </a:prstGeom>
        <a:solidFill>
          <a:srgbClr val="E36C08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71004</xdr:colOff>
      <xdr:row>16</xdr:row>
      <xdr:rowOff>75195</xdr:rowOff>
    </xdr:from>
    <xdr:to>
      <xdr:col>1</xdr:col>
      <xdr:colOff>471214</xdr:colOff>
      <xdr:row>17</xdr:row>
      <xdr:rowOff>0</xdr:rowOff>
    </xdr:to>
    <xdr:sp macro="" textlink="">
      <xdr:nvSpPr>
        <xdr:cNvPr id="102" name="star6">
          <a:extLst>
            <a:ext uri="{FF2B5EF4-FFF2-40B4-BE49-F238E27FC236}">
              <a16:creationId xmlns:a16="http://schemas.microsoft.com/office/drawing/2014/main" id="{00000000-0008-0000-1E00-000066000000}"/>
            </a:ext>
          </a:extLst>
        </xdr:cNvPr>
        <xdr:cNvSpPr/>
      </xdr:nvSpPr>
      <xdr:spPr>
        <a:xfrm>
          <a:off x="688224" y="3001275"/>
          <a:ext cx="400210" cy="107685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38100</xdr:colOff>
      <xdr:row>16</xdr:row>
      <xdr:rowOff>62396</xdr:rowOff>
    </xdr:from>
    <xdr:to>
      <xdr:col>8</xdr:col>
      <xdr:colOff>436820</xdr:colOff>
      <xdr:row>17</xdr:row>
      <xdr:rowOff>0</xdr:rowOff>
    </xdr:to>
    <xdr:sp macro="" textlink="">
      <xdr:nvSpPr>
        <xdr:cNvPr id="116" name="star6">
          <a:extLst>
            <a:ext uri="{FF2B5EF4-FFF2-40B4-BE49-F238E27FC236}">
              <a16:creationId xmlns:a16="http://schemas.microsoft.com/office/drawing/2014/main" id="{00000000-0008-0000-1E00-000074000000}"/>
            </a:ext>
          </a:extLst>
        </xdr:cNvPr>
        <xdr:cNvSpPr/>
      </xdr:nvSpPr>
      <xdr:spPr>
        <a:xfrm>
          <a:off x="4975860" y="2988476"/>
          <a:ext cx="398720" cy="120484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150922</xdr:colOff>
      <xdr:row>16</xdr:row>
      <xdr:rowOff>62396</xdr:rowOff>
    </xdr:from>
    <xdr:to>
      <xdr:col>10</xdr:col>
      <xdr:colOff>551145</xdr:colOff>
      <xdr:row>17</xdr:row>
      <xdr:rowOff>0</xdr:rowOff>
    </xdr:to>
    <xdr:sp macro="" textlink="">
      <xdr:nvSpPr>
        <xdr:cNvPr id="117" name="star6">
          <a:extLst>
            <a:ext uri="{FF2B5EF4-FFF2-40B4-BE49-F238E27FC236}">
              <a16:creationId xmlns:a16="http://schemas.microsoft.com/office/drawing/2014/main" id="{00000000-0008-0000-1E00-000075000000}"/>
            </a:ext>
          </a:extLst>
        </xdr:cNvPr>
        <xdr:cNvSpPr/>
      </xdr:nvSpPr>
      <xdr:spPr>
        <a:xfrm>
          <a:off x="6323122" y="2988476"/>
          <a:ext cx="400223" cy="120484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141180</xdr:colOff>
      <xdr:row>16</xdr:row>
      <xdr:rowOff>62396</xdr:rowOff>
    </xdr:from>
    <xdr:to>
      <xdr:col>17</xdr:col>
      <xdr:colOff>541193</xdr:colOff>
      <xdr:row>17</xdr:row>
      <xdr:rowOff>0</xdr:rowOff>
    </xdr:to>
    <xdr:sp macro="" textlink="">
      <xdr:nvSpPr>
        <xdr:cNvPr id="118" name="star6">
          <a:extLst>
            <a:ext uri="{FF2B5EF4-FFF2-40B4-BE49-F238E27FC236}">
              <a16:creationId xmlns:a16="http://schemas.microsoft.com/office/drawing/2014/main" id="{00000000-0008-0000-1E00-000076000000}"/>
            </a:ext>
          </a:extLst>
        </xdr:cNvPr>
        <xdr:cNvSpPr/>
      </xdr:nvSpPr>
      <xdr:spPr>
        <a:xfrm>
          <a:off x="10633920" y="2988476"/>
          <a:ext cx="400013" cy="120484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225602</xdr:colOff>
      <xdr:row>16</xdr:row>
      <xdr:rowOff>36797</xdr:rowOff>
    </xdr:from>
    <xdr:to>
      <xdr:col>19</xdr:col>
      <xdr:colOff>864810</xdr:colOff>
      <xdr:row>17</xdr:row>
      <xdr:rowOff>0</xdr:rowOff>
    </xdr:to>
    <xdr:sp macro="" textlink="">
      <xdr:nvSpPr>
        <xdr:cNvPr id="119" name="star6">
          <a:extLst>
            <a:ext uri="{FF2B5EF4-FFF2-40B4-BE49-F238E27FC236}">
              <a16:creationId xmlns:a16="http://schemas.microsoft.com/office/drawing/2014/main" id="{00000000-0008-0000-1E00-000077000000}"/>
            </a:ext>
          </a:extLst>
        </xdr:cNvPr>
        <xdr:cNvSpPr/>
      </xdr:nvSpPr>
      <xdr:spPr>
        <a:xfrm>
          <a:off x="11952782" y="2962877"/>
          <a:ext cx="395368" cy="146083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25</xdr:col>
      <xdr:colOff>436574</xdr:colOff>
      <xdr:row>16</xdr:row>
      <xdr:rowOff>36797</xdr:rowOff>
    </xdr:from>
    <xdr:to>
      <xdr:col>26</xdr:col>
      <xdr:colOff>236136</xdr:colOff>
      <xdr:row>17</xdr:row>
      <xdr:rowOff>0</xdr:rowOff>
    </xdr:to>
    <xdr:sp macro="" textlink="">
      <xdr:nvSpPr>
        <xdr:cNvPr id="120" name="star6">
          <a:extLst>
            <a:ext uri="{FF2B5EF4-FFF2-40B4-BE49-F238E27FC236}">
              <a16:creationId xmlns:a16="http://schemas.microsoft.com/office/drawing/2014/main" id="{00000000-0008-0000-1E00-000078000000}"/>
            </a:ext>
          </a:extLst>
        </xdr:cNvPr>
        <xdr:cNvSpPr/>
      </xdr:nvSpPr>
      <xdr:spPr>
        <a:xfrm>
          <a:off x="15867074" y="2962877"/>
          <a:ext cx="416782" cy="146083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586696</xdr:colOff>
      <xdr:row>0</xdr:row>
      <xdr:rowOff>34798</xdr:rowOff>
    </xdr:from>
    <xdr:to>
      <xdr:col>1</xdr:col>
      <xdr:colOff>470096</xdr:colOff>
      <xdr:row>1</xdr:row>
      <xdr:rowOff>10242</xdr:rowOff>
    </xdr:to>
    <xdr:sp macro="" textlink="">
      <xdr:nvSpPr>
        <xdr:cNvPr id="121" name="star6">
          <a:extLst>
            <a:ext uri="{FF2B5EF4-FFF2-40B4-BE49-F238E27FC236}">
              <a16:creationId xmlns:a16="http://schemas.microsoft.com/office/drawing/2014/main" id="{00000000-0008-0000-1E00-000079000000}"/>
            </a:ext>
          </a:extLst>
        </xdr:cNvPr>
        <xdr:cNvSpPr/>
      </xdr:nvSpPr>
      <xdr:spPr>
        <a:xfrm>
          <a:off x="586696" y="34798"/>
          <a:ext cx="500620" cy="158324"/>
        </a:xfrm>
        <a:prstGeom prst="star6">
          <a:avLst/>
        </a:prstGeom>
        <a:solidFill>
          <a:srgbClr val="0000FF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25</xdr:col>
      <xdr:colOff>444863</xdr:colOff>
      <xdr:row>0</xdr:row>
      <xdr:rowOff>24556</xdr:rowOff>
    </xdr:from>
    <xdr:to>
      <xdr:col>26</xdr:col>
      <xdr:colOff>522436</xdr:colOff>
      <xdr:row>1</xdr:row>
      <xdr:rowOff>0</xdr:rowOff>
    </xdr:to>
    <xdr:sp macro="" textlink="">
      <xdr:nvSpPr>
        <xdr:cNvPr id="122" name="star6">
          <a:extLst>
            <a:ext uri="{FF2B5EF4-FFF2-40B4-BE49-F238E27FC236}">
              <a16:creationId xmlns:a16="http://schemas.microsoft.com/office/drawing/2014/main" id="{00000000-0008-0000-1E00-00007A000000}"/>
            </a:ext>
          </a:extLst>
        </xdr:cNvPr>
        <xdr:cNvSpPr/>
      </xdr:nvSpPr>
      <xdr:spPr>
        <a:xfrm>
          <a:off x="15875363" y="24556"/>
          <a:ext cx="694793" cy="158324"/>
        </a:xfrm>
        <a:prstGeom prst="star6">
          <a:avLst/>
        </a:prstGeom>
        <a:solidFill>
          <a:srgbClr val="0000FF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23</xdr:row>
      <xdr:rowOff>62396</xdr:rowOff>
    </xdr:from>
    <xdr:to>
      <xdr:col>1</xdr:col>
      <xdr:colOff>500261</xdr:colOff>
      <xdr:row>24</xdr:row>
      <xdr:rowOff>0</xdr:rowOff>
    </xdr:to>
    <xdr:sp macro="" textlink="">
      <xdr:nvSpPr>
        <xdr:cNvPr id="123" name="star6">
          <a:extLst>
            <a:ext uri="{FF2B5EF4-FFF2-40B4-BE49-F238E27FC236}">
              <a16:creationId xmlns:a16="http://schemas.microsoft.com/office/drawing/2014/main" id="{00000000-0008-0000-1E00-00007B000000}"/>
            </a:ext>
          </a:extLst>
        </xdr:cNvPr>
        <xdr:cNvSpPr/>
      </xdr:nvSpPr>
      <xdr:spPr>
        <a:xfrm>
          <a:off x="717272" y="426863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23</xdr:row>
      <xdr:rowOff>23998</xdr:rowOff>
    </xdr:from>
    <xdr:to>
      <xdr:col>8</xdr:col>
      <xdr:colOff>384544</xdr:colOff>
      <xdr:row>23</xdr:row>
      <xdr:rowOff>367977</xdr:rowOff>
    </xdr:to>
    <xdr:sp macro="" textlink="">
      <xdr:nvSpPr>
        <xdr:cNvPr id="124" name="star6">
          <a:extLst>
            <a:ext uri="{FF2B5EF4-FFF2-40B4-BE49-F238E27FC236}">
              <a16:creationId xmlns:a16="http://schemas.microsoft.com/office/drawing/2014/main" id="{00000000-0008-0000-1E00-00007C000000}"/>
            </a:ext>
          </a:extLst>
        </xdr:cNvPr>
        <xdr:cNvSpPr/>
      </xdr:nvSpPr>
      <xdr:spPr>
        <a:xfrm>
          <a:off x="4935553" y="4230238"/>
          <a:ext cx="386751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23</xdr:row>
      <xdr:rowOff>62396</xdr:rowOff>
    </xdr:from>
    <xdr:to>
      <xdr:col>10</xdr:col>
      <xdr:colOff>484068</xdr:colOff>
      <xdr:row>24</xdr:row>
      <xdr:rowOff>0</xdr:rowOff>
    </xdr:to>
    <xdr:sp macro="" textlink="">
      <xdr:nvSpPr>
        <xdr:cNvPr id="125" name="star6">
          <a:extLst>
            <a:ext uri="{FF2B5EF4-FFF2-40B4-BE49-F238E27FC236}">
              <a16:creationId xmlns:a16="http://schemas.microsoft.com/office/drawing/2014/main" id="{00000000-0008-0000-1E00-00007D000000}"/>
            </a:ext>
          </a:extLst>
        </xdr:cNvPr>
        <xdr:cNvSpPr/>
      </xdr:nvSpPr>
      <xdr:spPr>
        <a:xfrm>
          <a:off x="6256045" y="4268636"/>
          <a:ext cx="40022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23</xdr:row>
      <xdr:rowOff>62396</xdr:rowOff>
    </xdr:from>
    <xdr:to>
      <xdr:col>17</xdr:col>
      <xdr:colOff>522778</xdr:colOff>
      <xdr:row>24</xdr:row>
      <xdr:rowOff>0</xdr:rowOff>
    </xdr:to>
    <xdr:sp macro="" textlink="">
      <xdr:nvSpPr>
        <xdr:cNvPr id="126" name="star6">
          <a:extLst>
            <a:ext uri="{FF2B5EF4-FFF2-40B4-BE49-F238E27FC236}">
              <a16:creationId xmlns:a16="http://schemas.microsoft.com/office/drawing/2014/main" id="{00000000-0008-0000-1E00-00007E000000}"/>
            </a:ext>
          </a:extLst>
        </xdr:cNvPr>
        <xdr:cNvSpPr/>
      </xdr:nvSpPr>
      <xdr:spPr>
        <a:xfrm>
          <a:off x="10615505" y="4268636"/>
          <a:ext cx="40001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23</xdr:row>
      <xdr:rowOff>62396</xdr:rowOff>
    </xdr:from>
    <xdr:to>
      <xdr:col>19</xdr:col>
      <xdr:colOff>578719</xdr:colOff>
      <xdr:row>24</xdr:row>
      <xdr:rowOff>0</xdr:rowOff>
    </xdr:to>
    <xdr:sp macro="" textlink="">
      <xdr:nvSpPr>
        <xdr:cNvPr id="127" name="star6">
          <a:extLst>
            <a:ext uri="{FF2B5EF4-FFF2-40B4-BE49-F238E27FC236}">
              <a16:creationId xmlns:a16="http://schemas.microsoft.com/office/drawing/2014/main" id="{00000000-0008-0000-1E00-00007F000000}"/>
            </a:ext>
          </a:extLst>
        </xdr:cNvPr>
        <xdr:cNvSpPr/>
      </xdr:nvSpPr>
      <xdr:spPr>
        <a:xfrm>
          <a:off x="11905373" y="4268636"/>
          <a:ext cx="40052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23</xdr:row>
      <xdr:rowOff>62396</xdr:rowOff>
    </xdr:from>
    <xdr:to>
      <xdr:col>26</xdr:col>
      <xdr:colOff>407427</xdr:colOff>
      <xdr:row>24</xdr:row>
      <xdr:rowOff>0</xdr:rowOff>
    </xdr:to>
    <xdr:sp macro="" textlink="">
      <xdr:nvSpPr>
        <xdr:cNvPr id="128" name="star6">
          <a:extLst>
            <a:ext uri="{FF2B5EF4-FFF2-40B4-BE49-F238E27FC236}">
              <a16:creationId xmlns:a16="http://schemas.microsoft.com/office/drawing/2014/main" id="{00000000-0008-0000-1E00-000080000000}"/>
            </a:ext>
          </a:extLst>
        </xdr:cNvPr>
        <xdr:cNvSpPr/>
      </xdr:nvSpPr>
      <xdr:spPr>
        <a:xfrm>
          <a:off x="16055061" y="4268636"/>
          <a:ext cx="40008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71004</xdr:colOff>
      <xdr:row>9</xdr:row>
      <xdr:rowOff>75195</xdr:rowOff>
    </xdr:from>
    <xdr:to>
      <xdr:col>1</xdr:col>
      <xdr:colOff>471214</xdr:colOff>
      <xdr:row>10</xdr:row>
      <xdr:rowOff>0</xdr:rowOff>
    </xdr:to>
    <xdr:sp macro="" textlink="">
      <xdr:nvSpPr>
        <xdr:cNvPr id="129" name="star6">
          <a:extLst>
            <a:ext uri="{FF2B5EF4-FFF2-40B4-BE49-F238E27FC236}">
              <a16:creationId xmlns:a16="http://schemas.microsoft.com/office/drawing/2014/main" id="{00000000-0008-0000-1E00-000081000000}"/>
            </a:ext>
          </a:extLst>
        </xdr:cNvPr>
        <xdr:cNvSpPr/>
      </xdr:nvSpPr>
      <xdr:spPr>
        <a:xfrm>
          <a:off x="688224" y="1721115"/>
          <a:ext cx="400210" cy="107685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38100</xdr:colOff>
      <xdr:row>9</xdr:row>
      <xdr:rowOff>62396</xdr:rowOff>
    </xdr:from>
    <xdr:to>
      <xdr:col>8</xdr:col>
      <xdr:colOff>436820</xdr:colOff>
      <xdr:row>10</xdr:row>
      <xdr:rowOff>0</xdr:rowOff>
    </xdr:to>
    <xdr:sp macro="" textlink="">
      <xdr:nvSpPr>
        <xdr:cNvPr id="130" name="star6">
          <a:extLst>
            <a:ext uri="{FF2B5EF4-FFF2-40B4-BE49-F238E27FC236}">
              <a16:creationId xmlns:a16="http://schemas.microsoft.com/office/drawing/2014/main" id="{00000000-0008-0000-1E00-000082000000}"/>
            </a:ext>
          </a:extLst>
        </xdr:cNvPr>
        <xdr:cNvSpPr/>
      </xdr:nvSpPr>
      <xdr:spPr>
        <a:xfrm>
          <a:off x="4975860" y="1708316"/>
          <a:ext cx="398720" cy="120484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150922</xdr:colOff>
      <xdr:row>9</xdr:row>
      <xdr:rowOff>62396</xdr:rowOff>
    </xdr:from>
    <xdr:to>
      <xdr:col>10</xdr:col>
      <xdr:colOff>551145</xdr:colOff>
      <xdr:row>10</xdr:row>
      <xdr:rowOff>0</xdr:rowOff>
    </xdr:to>
    <xdr:sp macro="" textlink="">
      <xdr:nvSpPr>
        <xdr:cNvPr id="131" name="star6">
          <a:extLst>
            <a:ext uri="{FF2B5EF4-FFF2-40B4-BE49-F238E27FC236}">
              <a16:creationId xmlns:a16="http://schemas.microsoft.com/office/drawing/2014/main" id="{00000000-0008-0000-1E00-000083000000}"/>
            </a:ext>
          </a:extLst>
        </xdr:cNvPr>
        <xdr:cNvSpPr/>
      </xdr:nvSpPr>
      <xdr:spPr>
        <a:xfrm>
          <a:off x="6323122" y="1708316"/>
          <a:ext cx="400223" cy="120484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141180</xdr:colOff>
      <xdr:row>9</xdr:row>
      <xdr:rowOff>62396</xdr:rowOff>
    </xdr:from>
    <xdr:to>
      <xdr:col>17</xdr:col>
      <xdr:colOff>541193</xdr:colOff>
      <xdr:row>10</xdr:row>
      <xdr:rowOff>0</xdr:rowOff>
    </xdr:to>
    <xdr:sp macro="" textlink="">
      <xdr:nvSpPr>
        <xdr:cNvPr id="132" name="star6">
          <a:extLst>
            <a:ext uri="{FF2B5EF4-FFF2-40B4-BE49-F238E27FC236}">
              <a16:creationId xmlns:a16="http://schemas.microsoft.com/office/drawing/2014/main" id="{00000000-0008-0000-1E00-000084000000}"/>
            </a:ext>
          </a:extLst>
        </xdr:cNvPr>
        <xdr:cNvSpPr/>
      </xdr:nvSpPr>
      <xdr:spPr>
        <a:xfrm>
          <a:off x="10633920" y="1708316"/>
          <a:ext cx="400013" cy="120484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225602</xdr:colOff>
      <xdr:row>9</xdr:row>
      <xdr:rowOff>36797</xdr:rowOff>
    </xdr:from>
    <xdr:to>
      <xdr:col>19</xdr:col>
      <xdr:colOff>601607</xdr:colOff>
      <xdr:row>10</xdr:row>
      <xdr:rowOff>0</xdr:rowOff>
    </xdr:to>
    <xdr:sp macro="" textlink="">
      <xdr:nvSpPr>
        <xdr:cNvPr id="133" name="star6">
          <a:extLst>
            <a:ext uri="{FF2B5EF4-FFF2-40B4-BE49-F238E27FC236}">
              <a16:creationId xmlns:a16="http://schemas.microsoft.com/office/drawing/2014/main" id="{00000000-0008-0000-1E00-000085000000}"/>
            </a:ext>
          </a:extLst>
        </xdr:cNvPr>
        <xdr:cNvSpPr/>
      </xdr:nvSpPr>
      <xdr:spPr>
        <a:xfrm>
          <a:off x="11952782" y="1682717"/>
          <a:ext cx="376005" cy="146083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25</xdr:col>
      <xdr:colOff>436574</xdr:colOff>
      <xdr:row>9</xdr:row>
      <xdr:rowOff>36797</xdr:rowOff>
    </xdr:from>
    <xdr:to>
      <xdr:col>26</xdr:col>
      <xdr:colOff>236136</xdr:colOff>
      <xdr:row>10</xdr:row>
      <xdr:rowOff>0</xdr:rowOff>
    </xdr:to>
    <xdr:sp macro="" textlink="">
      <xdr:nvSpPr>
        <xdr:cNvPr id="134" name="star6">
          <a:extLst>
            <a:ext uri="{FF2B5EF4-FFF2-40B4-BE49-F238E27FC236}">
              <a16:creationId xmlns:a16="http://schemas.microsoft.com/office/drawing/2014/main" id="{00000000-0008-0000-1E00-000086000000}"/>
            </a:ext>
          </a:extLst>
        </xdr:cNvPr>
        <xdr:cNvSpPr/>
      </xdr:nvSpPr>
      <xdr:spPr>
        <a:xfrm>
          <a:off x="15867074" y="1682717"/>
          <a:ext cx="416782" cy="146083"/>
        </a:xfrm>
        <a:prstGeom prst="star6">
          <a:avLst/>
        </a:prstGeom>
        <a:solidFill>
          <a:srgbClr val="7E17CD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36</xdr:row>
      <xdr:rowOff>62396</xdr:rowOff>
    </xdr:from>
    <xdr:to>
      <xdr:col>1</xdr:col>
      <xdr:colOff>500261</xdr:colOff>
      <xdr:row>37</xdr:row>
      <xdr:rowOff>0</xdr:rowOff>
    </xdr:to>
    <xdr:sp macro="" textlink="">
      <xdr:nvSpPr>
        <xdr:cNvPr id="135" name="star6">
          <a:extLst>
            <a:ext uri="{FF2B5EF4-FFF2-40B4-BE49-F238E27FC236}">
              <a16:creationId xmlns:a16="http://schemas.microsoft.com/office/drawing/2014/main" id="{00000000-0008-0000-1E00-000087000000}"/>
            </a:ext>
          </a:extLst>
        </xdr:cNvPr>
        <xdr:cNvSpPr/>
      </xdr:nvSpPr>
      <xdr:spPr>
        <a:xfrm>
          <a:off x="717272" y="664607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36</xdr:row>
      <xdr:rowOff>11199</xdr:rowOff>
    </xdr:from>
    <xdr:to>
      <xdr:col>8</xdr:col>
      <xdr:colOff>405809</xdr:colOff>
      <xdr:row>36</xdr:row>
      <xdr:rowOff>367977</xdr:rowOff>
    </xdr:to>
    <xdr:sp macro="" textlink="">
      <xdr:nvSpPr>
        <xdr:cNvPr id="136" name="star6">
          <a:extLst>
            <a:ext uri="{FF2B5EF4-FFF2-40B4-BE49-F238E27FC236}">
              <a16:creationId xmlns:a16="http://schemas.microsoft.com/office/drawing/2014/main" id="{00000000-0008-0000-1E00-000088000000}"/>
            </a:ext>
          </a:extLst>
        </xdr:cNvPr>
        <xdr:cNvSpPr/>
      </xdr:nvSpPr>
      <xdr:spPr>
        <a:xfrm>
          <a:off x="4935553" y="6594879"/>
          <a:ext cx="408016" cy="17389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36</xdr:row>
      <xdr:rowOff>62396</xdr:rowOff>
    </xdr:from>
    <xdr:to>
      <xdr:col>10</xdr:col>
      <xdr:colOff>484068</xdr:colOff>
      <xdr:row>37</xdr:row>
      <xdr:rowOff>0</xdr:rowOff>
    </xdr:to>
    <xdr:sp macro="" textlink="">
      <xdr:nvSpPr>
        <xdr:cNvPr id="137" name="star6">
          <a:extLst>
            <a:ext uri="{FF2B5EF4-FFF2-40B4-BE49-F238E27FC236}">
              <a16:creationId xmlns:a16="http://schemas.microsoft.com/office/drawing/2014/main" id="{00000000-0008-0000-1E00-000089000000}"/>
            </a:ext>
          </a:extLst>
        </xdr:cNvPr>
        <xdr:cNvSpPr/>
      </xdr:nvSpPr>
      <xdr:spPr>
        <a:xfrm>
          <a:off x="6256045" y="6646076"/>
          <a:ext cx="40022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36</xdr:row>
      <xdr:rowOff>62396</xdr:rowOff>
    </xdr:from>
    <xdr:to>
      <xdr:col>17</xdr:col>
      <xdr:colOff>522778</xdr:colOff>
      <xdr:row>37</xdr:row>
      <xdr:rowOff>0</xdr:rowOff>
    </xdr:to>
    <xdr:sp macro="" textlink="">
      <xdr:nvSpPr>
        <xdr:cNvPr id="138" name="star6">
          <a:extLst>
            <a:ext uri="{FF2B5EF4-FFF2-40B4-BE49-F238E27FC236}">
              <a16:creationId xmlns:a16="http://schemas.microsoft.com/office/drawing/2014/main" id="{00000000-0008-0000-1E00-00008A000000}"/>
            </a:ext>
          </a:extLst>
        </xdr:cNvPr>
        <xdr:cNvSpPr/>
      </xdr:nvSpPr>
      <xdr:spPr>
        <a:xfrm>
          <a:off x="10615505" y="6646076"/>
          <a:ext cx="40001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36</xdr:row>
      <xdr:rowOff>62396</xdr:rowOff>
    </xdr:from>
    <xdr:to>
      <xdr:col>19</xdr:col>
      <xdr:colOff>578719</xdr:colOff>
      <xdr:row>37</xdr:row>
      <xdr:rowOff>0</xdr:rowOff>
    </xdr:to>
    <xdr:sp macro="" textlink="">
      <xdr:nvSpPr>
        <xdr:cNvPr id="139" name="star6">
          <a:extLst>
            <a:ext uri="{FF2B5EF4-FFF2-40B4-BE49-F238E27FC236}">
              <a16:creationId xmlns:a16="http://schemas.microsoft.com/office/drawing/2014/main" id="{00000000-0008-0000-1E00-00008B000000}"/>
            </a:ext>
          </a:extLst>
        </xdr:cNvPr>
        <xdr:cNvSpPr/>
      </xdr:nvSpPr>
      <xdr:spPr>
        <a:xfrm>
          <a:off x="11905373" y="6646076"/>
          <a:ext cx="40052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36</xdr:row>
      <xdr:rowOff>62396</xdr:rowOff>
    </xdr:from>
    <xdr:to>
      <xdr:col>26</xdr:col>
      <xdr:colOff>407427</xdr:colOff>
      <xdr:row>37</xdr:row>
      <xdr:rowOff>0</xdr:rowOff>
    </xdr:to>
    <xdr:sp macro="" textlink="">
      <xdr:nvSpPr>
        <xdr:cNvPr id="140" name="star6">
          <a:extLst>
            <a:ext uri="{FF2B5EF4-FFF2-40B4-BE49-F238E27FC236}">
              <a16:creationId xmlns:a16="http://schemas.microsoft.com/office/drawing/2014/main" id="{00000000-0008-0000-1E00-00008C000000}"/>
            </a:ext>
          </a:extLst>
        </xdr:cNvPr>
        <xdr:cNvSpPr/>
      </xdr:nvSpPr>
      <xdr:spPr>
        <a:xfrm>
          <a:off x="16055061" y="6646076"/>
          <a:ext cx="40008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50</xdr:row>
      <xdr:rowOff>62396</xdr:rowOff>
    </xdr:from>
    <xdr:to>
      <xdr:col>1</xdr:col>
      <xdr:colOff>500261</xdr:colOff>
      <xdr:row>51</xdr:row>
      <xdr:rowOff>0</xdr:rowOff>
    </xdr:to>
    <xdr:sp macro="" textlink="">
      <xdr:nvSpPr>
        <xdr:cNvPr id="141" name="star6">
          <a:extLst>
            <a:ext uri="{FF2B5EF4-FFF2-40B4-BE49-F238E27FC236}">
              <a16:creationId xmlns:a16="http://schemas.microsoft.com/office/drawing/2014/main" id="{00000000-0008-0000-1E00-00008D000000}"/>
            </a:ext>
          </a:extLst>
        </xdr:cNvPr>
        <xdr:cNvSpPr/>
      </xdr:nvSpPr>
      <xdr:spPr>
        <a:xfrm>
          <a:off x="717272" y="920639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50</xdr:row>
      <xdr:rowOff>11199</xdr:rowOff>
    </xdr:from>
    <xdr:to>
      <xdr:col>8</xdr:col>
      <xdr:colOff>405809</xdr:colOff>
      <xdr:row>50</xdr:row>
      <xdr:rowOff>367977</xdr:rowOff>
    </xdr:to>
    <xdr:sp macro="" textlink="">
      <xdr:nvSpPr>
        <xdr:cNvPr id="142" name="star6">
          <a:extLst>
            <a:ext uri="{FF2B5EF4-FFF2-40B4-BE49-F238E27FC236}">
              <a16:creationId xmlns:a16="http://schemas.microsoft.com/office/drawing/2014/main" id="{00000000-0008-0000-1E00-00008E000000}"/>
            </a:ext>
          </a:extLst>
        </xdr:cNvPr>
        <xdr:cNvSpPr/>
      </xdr:nvSpPr>
      <xdr:spPr>
        <a:xfrm>
          <a:off x="4935553" y="9155199"/>
          <a:ext cx="408016" cy="17389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50</xdr:row>
      <xdr:rowOff>62396</xdr:rowOff>
    </xdr:from>
    <xdr:to>
      <xdr:col>10</xdr:col>
      <xdr:colOff>484068</xdr:colOff>
      <xdr:row>51</xdr:row>
      <xdr:rowOff>0</xdr:rowOff>
    </xdr:to>
    <xdr:sp macro="" textlink="">
      <xdr:nvSpPr>
        <xdr:cNvPr id="143" name="star6">
          <a:extLst>
            <a:ext uri="{FF2B5EF4-FFF2-40B4-BE49-F238E27FC236}">
              <a16:creationId xmlns:a16="http://schemas.microsoft.com/office/drawing/2014/main" id="{00000000-0008-0000-1E00-00008F000000}"/>
            </a:ext>
          </a:extLst>
        </xdr:cNvPr>
        <xdr:cNvSpPr/>
      </xdr:nvSpPr>
      <xdr:spPr>
        <a:xfrm>
          <a:off x="6256045" y="9206396"/>
          <a:ext cx="40022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50</xdr:row>
      <xdr:rowOff>62396</xdr:rowOff>
    </xdr:from>
    <xdr:to>
      <xdr:col>17</xdr:col>
      <xdr:colOff>522778</xdr:colOff>
      <xdr:row>51</xdr:row>
      <xdr:rowOff>0</xdr:rowOff>
    </xdr:to>
    <xdr:sp macro="" textlink="">
      <xdr:nvSpPr>
        <xdr:cNvPr id="144" name="star6">
          <a:extLst>
            <a:ext uri="{FF2B5EF4-FFF2-40B4-BE49-F238E27FC236}">
              <a16:creationId xmlns:a16="http://schemas.microsoft.com/office/drawing/2014/main" id="{00000000-0008-0000-1E00-000090000000}"/>
            </a:ext>
          </a:extLst>
        </xdr:cNvPr>
        <xdr:cNvSpPr/>
      </xdr:nvSpPr>
      <xdr:spPr>
        <a:xfrm>
          <a:off x="10615505" y="9206396"/>
          <a:ext cx="40001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50</xdr:row>
      <xdr:rowOff>62396</xdr:rowOff>
    </xdr:from>
    <xdr:to>
      <xdr:col>19</xdr:col>
      <xdr:colOff>578719</xdr:colOff>
      <xdr:row>51</xdr:row>
      <xdr:rowOff>0</xdr:rowOff>
    </xdr:to>
    <xdr:sp macro="" textlink="">
      <xdr:nvSpPr>
        <xdr:cNvPr id="145" name="star6">
          <a:extLst>
            <a:ext uri="{FF2B5EF4-FFF2-40B4-BE49-F238E27FC236}">
              <a16:creationId xmlns:a16="http://schemas.microsoft.com/office/drawing/2014/main" id="{00000000-0008-0000-1E00-000091000000}"/>
            </a:ext>
          </a:extLst>
        </xdr:cNvPr>
        <xdr:cNvSpPr/>
      </xdr:nvSpPr>
      <xdr:spPr>
        <a:xfrm>
          <a:off x="11905373" y="9206396"/>
          <a:ext cx="40052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50</xdr:row>
      <xdr:rowOff>62396</xdr:rowOff>
    </xdr:from>
    <xdr:to>
      <xdr:col>26</xdr:col>
      <xdr:colOff>407427</xdr:colOff>
      <xdr:row>51</xdr:row>
      <xdr:rowOff>0</xdr:rowOff>
    </xdr:to>
    <xdr:sp macro="" textlink="">
      <xdr:nvSpPr>
        <xdr:cNvPr id="146" name="star6">
          <a:extLst>
            <a:ext uri="{FF2B5EF4-FFF2-40B4-BE49-F238E27FC236}">
              <a16:creationId xmlns:a16="http://schemas.microsoft.com/office/drawing/2014/main" id="{00000000-0008-0000-1E00-000092000000}"/>
            </a:ext>
          </a:extLst>
        </xdr:cNvPr>
        <xdr:cNvSpPr/>
      </xdr:nvSpPr>
      <xdr:spPr>
        <a:xfrm>
          <a:off x="16055061" y="9206396"/>
          <a:ext cx="40008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57</xdr:row>
      <xdr:rowOff>62396</xdr:rowOff>
    </xdr:from>
    <xdr:to>
      <xdr:col>1</xdr:col>
      <xdr:colOff>500261</xdr:colOff>
      <xdr:row>58</xdr:row>
      <xdr:rowOff>0</xdr:rowOff>
    </xdr:to>
    <xdr:sp macro="" textlink="">
      <xdr:nvSpPr>
        <xdr:cNvPr id="147" name="star6">
          <a:extLst>
            <a:ext uri="{FF2B5EF4-FFF2-40B4-BE49-F238E27FC236}">
              <a16:creationId xmlns:a16="http://schemas.microsoft.com/office/drawing/2014/main" id="{00000000-0008-0000-1E00-000093000000}"/>
            </a:ext>
          </a:extLst>
        </xdr:cNvPr>
        <xdr:cNvSpPr/>
      </xdr:nvSpPr>
      <xdr:spPr>
        <a:xfrm>
          <a:off x="717272" y="1048655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57</xdr:row>
      <xdr:rowOff>23998</xdr:rowOff>
    </xdr:from>
    <xdr:to>
      <xdr:col>8</xdr:col>
      <xdr:colOff>381000</xdr:colOff>
      <xdr:row>57</xdr:row>
      <xdr:rowOff>367977</xdr:rowOff>
    </xdr:to>
    <xdr:sp macro="" textlink="">
      <xdr:nvSpPr>
        <xdr:cNvPr id="148" name="star6">
          <a:extLst>
            <a:ext uri="{FF2B5EF4-FFF2-40B4-BE49-F238E27FC236}">
              <a16:creationId xmlns:a16="http://schemas.microsoft.com/office/drawing/2014/main" id="{00000000-0008-0000-1E00-000094000000}"/>
            </a:ext>
          </a:extLst>
        </xdr:cNvPr>
        <xdr:cNvSpPr/>
      </xdr:nvSpPr>
      <xdr:spPr>
        <a:xfrm>
          <a:off x="4938058" y="1044815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57</xdr:row>
      <xdr:rowOff>0</xdr:rowOff>
    </xdr:from>
    <xdr:to>
      <xdr:col>10</xdr:col>
      <xdr:colOff>494130</xdr:colOff>
      <xdr:row>57</xdr:row>
      <xdr:rowOff>342379</xdr:rowOff>
    </xdr:to>
    <xdr:sp macro="" textlink="">
      <xdr:nvSpPr>
        <xdr:cNvPr id="149" name="star6">
          <a:extLst>
            <a:ext uri="{FF2B5EF4-FFF2-40B4-BE49-F238E27FC236}">
              <a16:creationId xmlns:a16="http://schemas.microsoft.com/office/drawing/2014/main" id="{00000000-0008-0000-1E00-000095000000}"/>
            </a:ext>
          </a:extLst>
        </xdr:cNvPr>
        <xdr:cNvSpPr/>
      </xdr:nvSpPr>
      <xdr:spPr>
        <a:xfrm>
          <a:off x="6267225" y="1042416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57</xdr:row>
      <xdr:rowOff>0</xdr:rowOff>
    </xdr:from>
    <xdr:to>
      <xdr:col>17</xdr:col>
      <xdr:colOff>543239</xdr:colOff>
      <xdr:row>57</xdr:row>
      <xdr:rowOff>329579</xdr:rowOff>
    </xdr:to>
    <xdr:sp macro="" textlink="">
      <xdr:nvSpPr>
        <xdr:cNvPr id="150" name="star6">
          <a:extLst>
            <a:ext uri="{FF2B5EF4-FFF2-40B4-BE49-F238E27FC236}">
              <a16:creationId xmlns:a16="http://schemas.microsoft.com/office/drawing/2014/main" id="{00000000-0008-0000-1E00-000096000000}"/>
            </a:ext>
          </a:extLst>
        </xdr:cNvPr>
        <xdr:cNvSpPr/>
      </xdr:nvSpPr>
      <xdr:spPr>
        <a:xfrm>
          <a:off x="10635966" y="1042416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57</xdr:row>
      <xdr:rowOff>11199</xdr:rowOff>
    </xdr:from>
    <xdr:to>
      <xdr:col>19</xdr:col>
      <xdr:colOff>599972</xdr:colOff>
      <xdr:row>57</xdr:row>
      <xdr:rowOff>355178</xdr:rowOff>
    </xdr:to>
    <xdr:sp macro="" textlink="">
      <xdr:nvSpPr>
        <xdr:cNvPr id="151" name="star6">
          <a:extLst>
            <a:ext uri="{FF2B5EF4-FFF2-40B4-BE49-F238E27FC236}">
              <a16:creationId xmlns:a16="http://schemas.microsoft.com/office/drawing/2014/main" id="{00000000-0008-0000-1E00-000097000000}"/>
            </a:ext>
          </a:extLst>
        </xdr:cNvPr>
        <xdr:cNvSpPr/>
      </xdr:nvSpPr>
      <xdr:spPr>
        <a:xfrm>
          <a:off x="11926625" y="1043535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57</xdr:row>
      <xdr:rowOff>23998</xdr:rowOff>
    </xdr:from>
    <xdr:to>
      <xdr:col>26</xdr:col>
      <xdr:colOff>407427</xdr:colOff>
      <xdr:row>57</xdr:row>
      <xdr:rowOff>355178</xdr:rowOff>
    </xdr:to>
    <xdr:sp macro="" textlink="">
      <xdr:nvSpPr>
        <xdr:cNvPr id="152" name="star6">
          <a:extLst>
            <a:ext uri="{FF2B5EF4-FFF2-40B4-BE49-F238E27FC236}">
              <a16:creationId xmlns:a16="http://schemas.microsoft.com/office/drawing/2014/main" id="{00000000-0008-0000-1E00-000098000000}"/>
            </a:ext>
          </a:extLst>
        </xdr:cNvPr>
        <xdr:cNvSpPr/>
      </xdr:nvSpPr>
      <xdr:spPr>
        <a:xfrm>
          <a:off x="16055061" y="1044815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71</xdr:row>
      <xdr:rowOff>62396</xdr:rowOff>
    </xdr:from>
    <xdr:to>
      <xdr:col>1</xdr:col>
      <xdr:colOff>500261</xdr:colOff>
      <xdr:row>72</xdr:row>
      <xdr:rowOff>0</xdr:rowOff>
    </xdr:to>
    <xdr:sp macro="" textlink="">
      <xdr:nvSpPr>
        <xdr:cNvPr id="153" name="star6">
          <a:extLst>
            <a:ext uri="{FF2B5EF4-FFF2-40B4-BE49-F238E27FC236}">
              <a16:creationId xmlns:a16="http://schemas.microsoft.com/office/drawing/2014/main" id="{00000000-0008-0000-1E00-000099000000}"/>
            </a:ext>
          </a:extLst>
        </xdr:cNvPr>
        <xdr:cNvSpPr/>
      </xdr:nvSpPr>
      <xdr:spPr>
        <a:xfrm>
          <a:off x="717272" y="1304687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71</xdr:row>
      <xdr:rowOff>23998</xdr:rowOff>
    </xdr:from>
    <xdr:to>
      <xdr:col>8</xdr:col>
      <xdr:colOff>381000</xdr:colOff>
      <xdr:row>71</xdr:row>
      <xdr:rowOff>367977</xdr:rowOff>
    </xdr:to>
    <xdr:sp macro="" textlink="">
      <xdr:nvSpPr>
        <xdr:cNvPr id="154" name="star6">
          <a:extLst>
            <a:ext uri="{FF2B5EF4-FFF2-40B4-BE49-F238E27FC236}">
              <a16:creationId xmlns:a16="http://schemas.microsoft.com/office/drawing/2014/main" id="{00000000-0008-0000-1E00-00009A000000}"/>
            </a:ext>
          </a:extLst>
        </xdr:cNvPr>
        <xdr:cNvSpPr/>
      </xdr:nvSpPr>
      <xdr:spPr>
        <a:xfrm>
          <a:off x="4938058" y="1300847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71</xdr:row>
      <xdr:rowOff>0</xdr:rowOff>
    </xdr:from>
    <xdr:to>
      <xdr:col>10</xdr:col>
      <xdr:colOff>494130</xdr:colOff>
      <xdr:row>71</xdr:row>
      <xdr:rowOff>342379</xdr:rowOff>
    </xdr:to>
    <xdr:sp macro="" textlink="">
      <xdr:nvSpPr>
        <xdr:cNvPr id="155" name="star6">
          <a:extLst>
            <a:ext uri="{FF2B5EF4-FFF2-40B4-BE49-F238E27FC236}">
              <a16:creationId xmlns:a16="http://schemas.microsoft.com/office/drawing/2014/main" id="{00000000-0008-0000-1E00-00009B000000}"/>
            </a:ext>
          </a:extLst>
        </xdr:cNvPr>
        <xdr:cNvSpPr/>
      </xdr:nvSpPr>
      <xdr:spPr>
        <a:xfrm>
          <a:off x="6267225" y="1298448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71</xdr:row>
      <xdr:rowOff>0</xdr:rowOff>
    </xdr:from>
    <xdr:to>
      <xdr:col>17</xdr:col>
      <xdr:colOff>543239</xdr:colOff>
      <xdr:row>71</xdr:row>
      <xdr:rowOff>329579</xdr:rowOff>
    </xdr:to>
    <xdr:sp macro="" textlink="">
      <xdr:nvSpPr>
        <xdr:cNvPr id="156" name="star6">
          <a:extLst>
            <a:ext uri="{FF2B5EF4-FFF2-40B4-BE49-F238E27FC236}">
              <a16:creationId xmlns:a16="http://schemas.microsoft.com/office/drawing/2014/main" id="{00000000-0008-0000-1E00-00009C000000}"/>
            </a:ext>
          </a:extLst>
        </xdr:cNvPr>
        <xdr:cNvSpPr/>
      </xdr:nvSpPr>
      <xdr:spPr>
        <a:xfrm>
          <a:off x="10635966" y="1298448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71</xdr:row>
      <xdr:rowOff>11199</xdr:rowOff>
    </xdr:from>
    <xdr:to>
      <xdr:col>19</xdr:col>
      <xdr:colOff>599972</xdr:colOff>
      <xdr:row>71</xdr:row>
      <xdr:rowOff>355178</xdr:rowOff>
    </xdr:to>
    <xdr:sp macro="" textlink="">
      <xdr:nvSpPr>
        <xdr:cNvPr id="157" name="star6">
          <a:extLst>
            <a:ext uri="{FF2B5EF4-FFF2-40B4-BE49-F238E27FC236}">
              <a16:creationId xmlns:a16="http://schemas.microsoft.com/office/drawing/2014/main" id="{00000000-0008-0000-1E00-00009D000000}"/>
            </a:ext>
          </a:extLst>
        </xdr:cNvPr>
        <xdr:cNvSpPr/>
      </xdr:nvSpPr>
      <xdr:spPr>
        <a:xfrm>
          <a:off x="11926625" y="1299567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71</xdr:row>
      <xdr:rowOff>23998</xdr:rowOff>
    </xdr:from>
    <xdr:to>
      <xdr:col>26</xdr:col>
      <xdr:colOff>407427</xdr:colOff>
      <xdr:row>71</xdr:row>
      <xdr:rowOff>355178</xdr:rowOff>
    </xdr:to>
    <xdr:sp macro="" textlink="">
      <xdr:nvSpPr>
        <xdr:cNvPr id="158" name="star6">
          <a:extLst>
            <a:ext uri="{FF2B5EF4-FFF2-40B4-BE49-F238E27FC236}">
              <a16:creationId xmlns:a16="http://schemas.microsoft.com/office/drawing/2014/main" id="{00000000-0008-0000-1E00-00009E000000}"/>
            </a:ext>
          </a:extLst>
        </xdr:cNvPr>
        <xdr:cNvSpPr/>
      </xdr:nvSpPr>
      <xdr:spPr>
        <a:xfrm>
          <a:off x="16055061" y="1300847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85</xdr:row>
      <xdr:rowOff>62396</xdr:rowOff>
    </xdr:from>
    <xdr:to>
      <xdr:col>1</xdr:col>
      <xdr:colOff>500261</xdr:colOff>
      <xdr:row>86</xdr:row>
      <xdr:rowOff>0</xdr:rowOff>
    </xdr:to>
    <xdr:sp macro="" textlink="">
      <xdr:nvSpPr>
        <xdr:cNvPr id="159" name="star6">
          <a:extLst>
            <a:ext uri="{FF2B5EF4-FFF2-40B4-BE49-F238E27FC236}">
              <a16:creationId xmlns:a16="http://schemas.microsoft.com/office/drawing/2014/main" id="{00000000-0008-0000-1E00-00009F000000}"/>
            </a:ext>
          </a:extLst>
        </xdr:cNvPr>
        <xdr:cNvSpPr/>
      </xdr:nvSpPr>
      <xdr:spPr>
        <a:xfrm>
          <a:off x="717272" y="1560719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85</xdr:row>
      <xdr:rowOff>23998</xdr:rowOff>
    </xdr:from>
    <xdr:to>
      <xdr:col>8</xdr:col>
      <xdr:colOff>381000</xdr:colOff>
      <xdr:row>85</xdr:row>
      <xdr:rowOff>367977</xdr:rowOff>
    </xdr:to>
    <xdr:sp macro="" textlink="">
      <xdr:nvSpPr>
        <xdr:cNvPr id="160" name="star6">
          <a:extLst>
            <a:ext uri="{FF2B5EF4-FFF2-40B4-BE49-F238E27FC236}">
              <a16:creationId xmlns:a16="http://schemas.microsoft.com/office/drawing/2014/main" id="{00000000-0008-0000-1E00-0000A0000000}"/>
            </a:ext>
          </a:extLst>
        </xdr:cNvPr>
        <xdr:cNvSpPr/>
      </xdr:nvSpPr>
      <xdr:spPr>
        <a:xfrm>
          <a:off x="4938058" y="1556879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85</xdr:row>
      <xdr:rowOff>0</xdr:rowOff>
    </xdr:from>
    <xdr:to>
      <xdr:col>10</xdr:col>
      <xdr:colOff>494130</xdr:colOff>
      <xdr:row>85</xdr:row>
      <xdr:rowOff>342379</xdr:rowOff>
    </xdr:to>
    <xdr:sp macro="" textlink="">
      <xdr:nvSpPr>
        <xdr:cNvPr id="161" name="star6">
          <a:extLst>
            <a:ext uri="{FF2B5EF4-FFF2-40B4-BE49-F238E27FC236}">
              <a16:creationId xmlns:a16="http://schemas.microsoft.com/office/drawing/2014/main" id="{00000000-0008-0000-1E00-0000A1000000}"/>
            </a:ext>
          </a:extLst>
        </xdr:cNvPr>
        <xdr:cNvSpPr/>
      </xdr:nvSpPr>
      <xdr:spPr>
        <a:xfrm>
          <a:off x="6267225" y="1554480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85</xdr:row>
      <xdr:rowOff>0</xdr:rowOff>
    </xdr:from>
    <xdr:to>
      <xdr:col>17</xdr:col>
      <xdr:colOff>543239</xdr:colOff>
      <xdr:row>85</xdr:row>
      <xdr:rowOff>329579</xdr:rowOff>
    </xdr:to>
    <xdr:sp macro="" textlink="">
      <xdr:nvSpPr>
        <xdr:cNvPr id="162" name="star6">
          <a:extLst>
            <a:ext uri="{FF2B5EF4-FFF2-40B4-BE49-F238E27FC236}">
              <a16:creationId xmlns:a16="http://schemas.microsoft.com/office/drawing/2014/main" id="{00000000-0008-0000-1E00-0000A2000000}"/>
            </a:ext>
          </a:extLst>
        </xdr:cNvPr>
        <xdr:cNvSpPr/>
      </xdr:nvSpPr>
      <xdr:spPr>
        <a:xfrm>
          <a:off x="10635966" y="1554480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85</xdr:row>
      <xdr:rowOff>11199</xdr:rowOff>
    </xdr:from>
    <xdr:to>
      <xdr:col>19</xdr:col>
      <xdr:colOff>599972</xdr:colOff>
      <xdr:row>85</xdr:row>
      <xdr:rowOff>355178</xdr:rowOff>
    </xdr:to>
    <xdr:sp macro="" textlink="">
      <xdr:nvSpPr>
        <xdr:cNvPr id="163" name="star6">
          <a:extLst>
            <a:ext uri="{FF2B5EF4-FFF2-40B4-BE49-F238E27FC236}">
              <a16:creationId xmlns:a16="http://schemas.microsoft.com/office/drawing/2014/main" id="{00000000-0008-0000-1E00-0000A3000000}"/>
            </a:ext>
          </a:extLst>
        </xdr:cNvPr>
        <xdr:cNvSpPr/>
      </xdr:nvSpPr>
      <xdr:spPr>
        <a:xfrm>
          <a:off x="11926625" y="1555599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85</xdr:row>
      <xdr:rowOff>23998</xdr:rowOff>
    </xdr:from>
    <xdr:to>
      <xdr:col>26</xdr:col>
      <xdr:colOff>407427</xdr:colOff>
      <xdr:row>85</xdr:row>
      <xdr:rowOff>355178</xdr:rowOff>
    </xdr:to>
    <xdr:sp macro="" textlink="">
      <xdr:nvSpPr>
        <xdr:cNvPr id="164" name="star6">
          <a:extLst>
            <a:ext uri="{FF2B5EF4-FFF2-40B4-BE49-F238E27FC236}">
              <a16:creationId xmlns:a16="http://schemas.microsoft.com/office/drawing/2014/main" id="{00000000-0008-0000-1E00-0000A4000000}"/>
            </a:ext>
          </a:extLst>
        </xdr:cNvPr>
        <xdr:cNvSpPr/>
      </xdr:nvSpPr>
      <xdr:spPr>
        <a:xfrm>
          <a:off x="16055061" y="1556879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92</xdr:row>
      <xdr:rowOff>62396</xdr:rowOff>
    </xdr:from>
    <xdr:to>
      <xdr:col>1</xdr:col>
      <xdr:colOff>500261</xdr:colOff>
      <xdr:row>93</xdr:row>
      <xdr:rowOff>0</xdr:rowOff>
    </xdr:to>
    <xdr:sp macro="" textlink="">
      <xdr:nvSpPr>
        <xdr:cNvPr id="165" name="star6">
          <a:extLst>
            <a:ext uri="{FF2B5EF4-FFF2-40B4-BE49-F238E27FC236}">
              <a16:creationId xmlns:a16="http://schemas.microsoft.com/office/drawing/2014/main" id="{00000000-0008-0000-1E00-0000A5000000}"/>
            </a:ext>
          </a:extLst>
        </xdr:cNvPr>
        <xdr:cNvSpPr/>
      </xdr:nvSpPr>
      <xdr:spPr>
        <a:xfrm>
          <a:off x="717272" y="1688735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92</xdr:row>
      <xdr:rowOff>23998</xdr:rowOff>
    </xdr:from>
    <xdr:to>
      <xdr:col>8</xdr:col>
      <xdr:colOff>381000</xdr:colOff>
      <xdr:row>92</xdr:row>
      <xdr:rowOff>367977</xdr:rowOff>
    </xdr:to>
    <xdr:sp macro="" textlink="">
      <xdr:nvSpPr>
        <xdr:cNvPr id="166" name="star6">
          <a:extLst>
            <a:ext uri="{FF2B5EF4-FFF2-40B4-BE49-F238E27FC236}">
              <a16:creationId xmlns:a16="http://schemas.microsoft.com/office/drawing/2014/main" id="{00000000-0008-0000-1E00-0000A6000000}"/>
            </a:ext>
          </a:extLst>
        </xdr:cNvPr>
        <xdr:cNvSpPr/>
      </xdr:nvSpPr>
      <xdr:spPr>
        <a:xfrm>
          <a:off x="4938058" y="1684895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92</xdr:row>
      <xdr:rowOff>0</xdr:rowOff>
    </xdr:from>
    <xdr:to>
      <xdr:col>10</xdr:col>
      <xdr:colOff>494130</xdr:colOff>
      <xdr:row>92</xdr:row>
      <xdr:rowOff>342379</xdr:rowOff>
    </xdr:to>
    <xdr:sp macro="" textlink="">
      <xdr:nvSpPr>
        <xdr:cNvPr id="167" name="star6">
          <a:extLst>
            <a:ext uri="{FF2B5EF4-FFF2-40B4-BE49-F238E27FC236}">
              <a16:creationId xmlns:a16="http://schemas.microsoft.com/office/drawing/2014/main" id="{00000000-0008-0000-1E00-0000A7000000}"/>
            </a:ext>
          </a:extLst>
        </xdr:cNvPr>
        <xdr:cNvSpPr/>
      </xdr:nvSpPr>
      <xdr:spPr>
        <a:xfrm>
          <a:off x="6267225" y="1682496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92</xdr:row>
      <xdr:rowOff>0</xdr:rowOff>
    </xdr:from>
    <xdr:to>
      <xdr:col>17</xdr:col>
      <xdr:colOff>543239</xdr:colOff>
      <xdr:row>92</xdr:row>
      <xdr:rowOff>329579</xdr:rowOff>
    </xdr:to>
    <xdr:sp macro="" textlink="">
      <xdr:nvSpPr>
        <xdr:cNvPr id="168" name="star6">
          <a:extLst>
            <a:ext uri="{FF2B5EF4-FFF2-40B4-BE49-F238E27FC236}">
              <a16:creationId xmlns:a16="http://schemas.microsoft.com/office/drawing/2014/main" id="{00000000-0008-0000-1E00-0000A8000000}"/>
            </a:ext>
          </a:extLst>
        </xdr:cNvPr>
        <xdr:cNvSpPr/>
      </xdr:nvSpPr>
      <xdr:spPr>
        <a:xfrm>
          <a:off x="10635966" y="1682496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92</xdr:row>
      <xdr:rowOff>11199</xdr:rowOff>
    </xdr:from>
    <xdr:to>
      <xdr:col>19</xdr:col>
      <xdr:colOff>599972</xdr:colOff>
      <xdr:row>92</xdr:row>
      <xdr:rowOff>355178</xdr:rowOff>
    </xdr:to>
    <xdr:sp macro="" textlink="">
      <xdr:nvSpPr>
        <xdr:cNvPr id="169" name="star6">
          <a:extLst>
            <a:ext uri="{FF2B5EF4-FFF2-40B4-BE49-F238E27FC236}">
              <a16:creationId xmlns:a16="http://schemas.microsoft.com/office/drawing/2014/main" id="{00000000-0008-0000-1E00-0000A9000000}"/>
            </a:ext>
          </a:extLst>
        </xdr:cNvPr>
        <xdr:cNvSpPr/>
      </xdr:nvSpPr>
      <xdr:spPr>
        <a:xfrm>
          <a:off x="11926625" y="1683615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92</xdr:row>
      <xdr:rowOff>23998</xdr:rowOff>
    </xdr:from>
    <xdr:to>
      <xdr:col>26</xdr:col>
      <xdr:colOff>407427</xdr:colOff>
      <xdr:row>92</xdr:row>
      <xdr:rowOff>355178</xdr:rowOff>
    </xdr:to>
    <xdr:sp macro="" textlink="">
      <xdr:nvSpPr>
        <xdr:cNvPr id="170" name="star6">
          <a:extLst>
            <a:ext uri="{FF2B5EF4-FFF2-40B4-BE49-F238E27FC236}">
              <a16:creationId xmlns:a16="http://schemas.microsoft.com/office/drawing/2014/main" id="{00000000-0008-0000-1E00-0000AA000000}"/>
            </a:ext>
          </a:extLst>
        </xdr:cNvPr>
        <xdr:cNvSpPr/>
      </xdr:nvSpPr>
      <xdr:spPr>
        <a:xfrm>
          <a:off x="16055061" y="1684895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106</xdr:row>
      <xdr:rowOff>62396</xdr:rowOff>
    </xdr:from>
    <xdr:to>
      <xdr:col>1</xdr:col>
      <xdr:colOff>500261</xdr:colOff>
      <xdr:row>107</xdr:row>
      <xdr:rowOff>0</xdr:rowOff>
    </xdr:to>
    <xdr:sp macro="" textlink="">
      <xdr:nvSpPr>
        <xdr:cNvPr id="171" name="star6">
          <a:extLst>
            <a:ext uri="{FF2B5EF4-FFF2-40B4-BE49-F238E27FC236}">
              <a16:creationId xmlns:a16="http://schemas.microsoft.com/office/drawing/2014/main" id="{00000000-0008-0000-1E00-0000AB000000}"/>
            </a:ext>
          </a:extLst>
        </xdr:cNvPr>
        <xdr:cNvSpPr/>
      </xdr:nvSpPr>
      <xdr:spPr>
        <a:xfrm>
          <a:off x="717272" y="1944767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106</xdr:row>
      <xdr:rowOff>23998</xdr:rowOff>
    </xdr:from>
    <xdr:to>
      <xdr:col>8</xdr:col>
      <xdr:colOff>381000</xdr:colOff>
      <xdr:row>106</xdr:row>
      <xdr:rowOff>367977</xdr:rowOff>
    </xdr:to>
    <xdr:sp macro="" textlink="">
      <xdr:nvSpPr>
        <xdr:cNvPr id="172" name="star6">
          <a:extLst>
            <a:ext uri="{FF2B5EF4-FFF2-40B4-BE49-F238E27FC236}">
              <a16:creationId xmlns:a16="http://schemas.microsoft.com/office/drawing/2014/main" id="{00000000-0008-0000-1E00-0000AC000000}"/>
            </a:ext>
          </a:extLst>
        </xdr:cNvPr>
        <xdr:cNvSpPr/>
      </xdr:nvSpPr>
      <xdr:spPr>
        <a:xfrm>
          <a:off x="4938058" y="1940927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106</xdr:row>
      <xdr:rowOff>0</xdr:rowOff>
    </xdr:from>
    <xdr:to>
      <xdr:col>10</xdr:col>
      <xdr:colOff>494130</xdr:colOff>
      <xdr:row>106</xdr:row>
      <xdr:rowOff>342379</xdr:rowOff>
    </xdr:to>
    <xdr:sp macro="" textlink="">
      <xdr:nvSpPr>
        <xdr:cNvPr id="173" name="star6">
          <a:extLst>
            <a:ext uri="{FF2B5EF4-FFF2-40B4-BE49-F238E27FC236}">
              <a16:creationId xmlns:a16="http://schemas.microsoft.com/office/drawing/2014/main" id="{00000000-0008-0000-1E00-0000AD000000}"/>
            </a:ext>
          </a:extLst>
        </xdr:cNvPr>
        <xdr:cNvSpPr/>
      </xdr:nvSpPr>
      <xdr:spPr>
        <a:xfrm>
          <a:off x="6267225" y="1938528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106</xdr:row>
      <xdr:rowOff>0</xdr:rowOff>
    </xdr:from>
    <xdr:to>
      <xdr:col>17</xdr:col>
      <xdr:colOff>543239</xdr:colOff>
      <xdr:row>106</xdr:row>
      <xdr:rowOff>329579</xdr:rowOff>
    </xdr:to>
    <xdr:sp macro="" textlink="">
      <xdr:nvSpPr>
        <xdr:cNvPr id="174" name="star6">
          <a:extLst>
            <a:ext uri="{FF2B5EF4-FFF2-40B4-BE49-F238E27FC236}">
              <a16:creationId xmlns:a16="http://schemas.microsoft.com/office/drawing/2014/main" id="{00000000-0008-0000-1E00-0000AE000000}"/>
            </a:ext>
          </a:extLst>
        </xdr:cNvPr>
        <xdr:cNvSpPr/>
      </xdr:nvSpPr>
      <xdr:spPr>
        <a:xfrm>
          <a:off x="10635966" y="1938528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106</xdr:row>
      <xdr:rowOff>11199</xdr:rowOff>
    </xdr:from>
    <xdr:to>
      <xdr:col>19</xdr:col>
      <xdr:colOff>599972</xdr:colOff>
      <xdr:row>106</xdr:row>
      <xdr:rowOff>355178</xdr:rowOff>
    </xdr:to>
    <xdr:sp macro="" textlink="">
      <xdr:nvSpPr>
        <xdr:cNvPr id="175" name="star6">
          <a:extLst>
            <a:ext uri="{FF2B5EF4-FFF2-40B4-BE49-F238E27FC236}">
              <a16:creationId xmlns:a16="http://schemas.microsoft.com/office/drawing/2014/main" id="{00000000-0008-0000-1E00-0000AF000000}"/>
            </a:ext>
          </a:extLst>
        </xdr:cNvPr>
        <xdr:cNvSpPr/>
      </xdr:nvSpPr>
      <xdr:spPr>
        <a:xfrm>
          <a:off x="11926625" y="1939647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106</xdr:row>
      <xdr:rowOff>23998</xdr:rowOff>
    </xdr:from>
    <xdr:to>
      <xdr:col>26</xdr:col>
      <xdr:colOff>407427</xdr:colOff>
      <xdr:row>106</xdr:row>
      <xdr:rowOff>355178</xdr:rowOff>
    </xdr:to>
    <xdr:sp macro="" textlink="">
      <xdr:nvSpPr>
        <xdr:cNvPr id="176" name="star6">
          <a:extLst>
            <a:ext uri="{FF2B5EF4-FFF2-40B4-BE49-F238E27FC236}">
              <a16:creationId xmlns:a16="http://schemas.microsoft.com/office/drawing/2014/main" id="{00000000-0008-0000-1E00-0000B0000000}"/>
            </a:ext>
          </a:extLst>
        </xdr:cNvPr>
        <xdr:cNvSpPr/>
      </xdr:nvSpPr>
      <xdr:spPr>
        <a:xfrm>
          <a:off x="16055061" y="1940927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78</xdr:row>
      <xdr:rowOff>62396</xdr:rowOff>
    </xdr:from>
    <xdr:to>
      <xdr:col>1</xdr:col>
      <xdr:colOff>500261</xdr:colOff>
      <xdr:row>79</xdr:row>
      <xdr:rowOff>0</xdr:rowOff>
    </xdr:to>
    <xdr:sp macro="" textlink="">
      <xdr:nvSpPr>
        <xdr:cNvPr id="177" name="star6">
          <a:extLst>
            <a:ext uri="{FF2B5EF4-FFF2-40B4-BE49-F238E27FC236}">
              <a16:creationId xmlns:a16="http://schemas.microsoft.com/office/drawing/2014/main" id="{00000000-0008-0000-1E00-0000B1000000}"/>
            </a:ext>
          </a:extLst>
        </xdr:cNvPr>
        <xdr:cNvSpPr/>
      </xdr:nvSpPr>
      <xdr:spPr>
        <a:xfrm>
          <a:off x="717272" y="1432703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78</xdr:row>
      <xdr:rowOff>23998</xdr:rowOff>
    </xdr:from>
    <xdr:to>
      <xdr:col>8</xdr:col>
      <xdr:colOff>381000</xdr:colOff>
      <xdr:row>78</xdr:row>
      <xdr:rowOff>367977</xdr:rowOff>
    </xdr:to>
    <xdr:sp macro="" textlink="">
      <xdr:nvSpPr>
        <xdr:cNvPr id="178" name="star6">
          <a:extLst>
            <a:ext uri="{FF2B5EF4-FFF2-40B4-BE49-F238E27FC236}">
              <a16:creationId xmlns:a16="http://schemas.microsoft.com/office/drawing/2014/main" id="{00000000-0008-0000-1E00-0000B2000000}"/>
            </a:ext>
          </a:extLst>
        </xdr:cNvPr>
        <xdr:cNvSpPr/>
      </xdr:nvSpPr>
      <xdr:spPr>
        <a:xfrm>
          <a:off x="4938058" y="1428863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78</xdr:row>
      <xdr:rowOff>0</xdr:rowOff>
    </xdr:from>
    <xdr:to>
      <xdr:col>10</xdr:col>
      <xdr:colOff>494130</xdr:colOff>
      <xdr:row>78</xdr:row>
      <xdr:rowOff>342379</xdr:rowOff>
    </xdr:to>
    <xdr:sp macro="" textlink="">
      <xdr:nvSpPr>
        <xdr:cNvPr id="179" name="star6">
          <a:extLst>
            <a:ext uri="{FF2B5EF4-FFF2-40B4-BE49-F238E27FC236}">
              <a16:creationId xmlns:a16="http://schemas.microsoft.com/office/drawing/2014/main" id="{00000000-0008-0000-1E00-0000B3000000}"/>
            </a:ext>
          </a:extLst>
        </xdr:cNvPr>
        <xdr:cNvSpPr/>
      </xdr:nvSpPr>
      <xdr:spPr>
        <a:xfrm>
          <a:off x="6267225" y="1426464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78</xdr:row>
      <xdr:rowOff>0</xdr:rowOff>
    </xdr:from>
    <xdr:to>
      <xdr:col>17</xdr:col>
      <xdr:colOff>543239</xdr:colOff>
      <xdr:row>78</xdr:row>
      <xdr:rowOff>329579</xdr:rowOff>
    </xdr:to>
    <xdr:sp macro="" textlink="">
      <xdr:nvSpPr>
        <xdr:cNvPr id="180" name="star6">
          <a:extLst>
            <a:ext uri="{FF2B5EF4-FFF2-40B4-BE49-F238E27FC236}">
              <a16:creationId xmlns:a16="http://schemas.microsoft.com/office/drawing/2014/main" id="{00000000-0008-0000-1E00-0000B4000000}"/>
            </a:ext>
          </a:extLst>
        </xdr:cNvPr>
        <xdr:cNvSpPr/>
      </xdr:nvSpPr>
      <xdr:spPr>
        <a:xfrm>
          <a:off x="10635966" y="1426464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78</xdr:row>
      <xdr:rowOff>11199</xdr:rowOff>
    </xdr:from>
    <xdr:to>
      <xdr:col>19</xdr:col>
      <xdr:colOff>599972</xdr:colOff>
      <xdr:row>78</xdr:row>
      <xdr:rowOff>355178</xdr:rowOff>
    </xdr:to>
    <xdr:sp macro="" textlink="">
      <xdr:nvSpPr>
        <xdr:cNvPr id="181" name="star6">
          <a:extLst>
            <a:ext uri="{FF2B5EF4-FFF2-40B4-BE49-F238E27FC236}">
              <a16:creationId xmlns:a16="http://schemas.microsoft.com/office/drawing/2014/main" id="{00000000-0008-0000-1E00-0000B5000000}"/>
            </a:ext>
          </a:extLst>
        </xdr:cNvPr>
        <xdr:cNvSpPr/>
      </xdr:nvSpPr>
      <xdr:spPr>
        <a:xfrm>
          <a:off x="11926625" y="1427583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78</xdr:row>
      <xdr:rowOff>23998</xdr:rowOff>
    </xdr:from>
    <xdr:to>
      <xdr:col>26</xdr:col>
      <xdr:colOff>407427</xdr:colOff>
      <xdr:row>78</xdr:row>
      <xdr:rowOff>355178</xdr:rowOff>
    </xdr:to>
    <xdr:sp macro="" textlink="">
      <xdr:nvSpPr>
        <xdr:cNvPr id="182" name="star6">
          <a:extLst>
            <a:ext uri="{FF2B5EF4-FFF2-40B4-BE49-F238E27FC236}">
              <a16:creationId xmlns:a16="http://schemas.microsoft.com/office/drawing/2014/main" id="{00000000-0008-0000-1E00-0000B6000000}"/>
            </a:ext>
          </a:extLst>
        </xdr:cNvPr>
        <xdr:cNvSpPr/>
      </xdr:nvSpPr>
      <xdr:spPr>
        <a:xfrm>
          <a:off x="16055061" y="1428863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112</xdr:row>
      <xdr:rowOff>62396</xdr:rowOff>
    </xdr:from>
    <xdr:to>
      <xdr:col>1</xdr:col>
      <xdr:colOff>500261</xdr:colOff>
      <xdr:row>113</xdr:row>
      <xdr:rowOff>0</xdr:rowOff>
    </xdr:to>
    <xdr:sp macro="" textlink="">
      <xdr:nvSpPr>
        <xdr:cNvPr id="183" name="star6">
          <a:extLst>
            <a:ext uri="{FF2B5EF4-FFF2-40B4-BE49-F238E27FC236}">
              <a16:creationId xmlns:a16="http://schemas.microsoft.com/office/drawing/2014/main" id="{00000000-0008-0000-1E00-0000B7000000}"/>
            </a:ext>
          </a:extLst>
        </xdr:cNvPr>
        <xdr:cNvSpPr/>
      </xdr:nvSpPr>
      <xdr:spPr>
        <a:xfrm>
          <a:off x="717272" y="2054495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112</xdr:row>
      <xdr:rowOff>23998</xdr:rowOff>
    </xdr:from>
    <xdr:to>
      <xdr:col>8</xdr:col>
      <xdr:colOff>381000</xdr:colOff>
      <xdr:row>112</xdr:row>
      <xdr:rowOff>367977</xdr:rowOff>
    </xdr:to>
    <xdr:sp macro="" textlink="">
      <xdr:nvSpPr>
        <xdr:cNvPr id="184" name="star6">
          <a:extLst>
            <a:ext uri="{FF2B5EF4-FFF2-40B4-BE49-F238E27FC236}">
              <a16:creationId xmlns:a16="http://schemas.microsoft.com/office/drawing/2014/main" id="{00000000-0008-0000-1E00-0000B8000000}"/>
            </a:ext>
          </a:extLst>
        </xdr:cNvPr>
        <xdr:cNvSpPr/>
      </xdr:nvSpPr>
      <xdr:spPr>
        <a:xfrm>
          <a:off x="4938058" y="2050655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112</xdr:row>
      <xdr:rowOff>0</xdr:rowOff>
    </xdr:from>
    <xdr:to>
      <xdr:col>10</xdr:col>
      <xdr:colOff>494130</xdr:colOff>
      <xdr:row>112</xdr:row>
      <xdr:rowOff>342379</xdr:rowOff>
    </xdr:to>
    <xdr:sp macro="" textlink="">
      <xdr:nvSpPr>
        <xdr:cNvPr id="185" name="star6">
          <a:extLst>
            <a:ext uri="{FF2B5EF4-FFF2-40B4-BE49-F238E27FC236}">
              <a16:creationId xmlns:a16="http://schemas.microsoft.com/office/drawing/2014/main" id="{00000000-0008-0000-1E00-0000B9000000}"/>
            </a:ext>
          </a:extLst>
        </xdr:cNvPr>
        <xdr:cNvSpPr/>
      </xdr:nvSpPr>
      <xdr:spPr>
        <a:xfrm>
          <a:off x="6267225" y="2048256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112</xdr:row>
      <xdr:rowOff>0</xdr:rowOff>
    </xdr:from>
    <xdr:to>
      <xdr:col>17</xdr:col>
      <xdr:colOff>543239</xdr:colOff>
      <xdr:row>112</xdr:row>
      <xdr:rowOff>329579</xdr:rowOff>
    </xdr:to>
    <xdr:sp macro="" textlink="">
      <xdr:nvSpPr>
        <xdr:cNvPr id="186" name="star6">
          <a:extLst>
            <a:ext uri="{FF2B5EF4-FFF2-40B4-BE49-F238E27FC236}">
              <a16:creationId xmlns:a16="http://schemas.microsoft.com/office/drawing/2014/main" id="{00000000-0008-0000-1E00-0000BA000000}"/>
            </a:ext>
          </a:extLst>
        </xdr:cNvPr>
        <xdr:cNvSpPr/>
      </xdr:nvSpPr>
      <xdr:spPr>
        <a:xfrm>
          <a:off x="10635966" y="2048256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112</xdr:row>
      <xdr:rowOff>11199</xdr:rowOff>
    </xdr:from>
    <xdr:to>
      <xdr:col>19</xdr:col>
      <xdr:colOff>599972</xdr:colOff>
      <xdr:row>112</xdr:row>
      <xdr:rowOff>355178</xdr:rowOff>
    </xdr:to>
    <xdr:sp macro="" textlink="">
      <xdr:nvSpPr>
        <xdr:cNvPr id="187" name="star6">
          <a:extLst>
            <a:ext uri="{FF2B5EF4-FFF2-40B4-BE49-F238E27FC236}">
              <a16:creationId xmlns:a16="http://schemas.microsoft.com/office/drawing/2014/main" id="{00000000-0008-0000-1E00-0000BB000000}"/>
            </a:ext>
          </a:extLst>
        </xdr:cNvPr>
        <xdr:cNvSpPr/>
      </xdr:nvSpPr>
      <xdr:spPr>
        <a:xfrm>
          <a:off x="11926625" y="2049375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112</xdr:row>
      <xdr:rowOff>23998</xdr:rowOff>
    </xdr:from>
    <xdr:to>
      <xdr:col>26</xdr:col>
      <xdr:colOff>407427</xdr:colOff>
      <xdr:row>112</xdr:row>
      <xdr:rowOff>355178</xdr:rowOff>
    </xdr:to>
    <xdr:sp macro="" textlink="">
      <xdr:nvSpPr>
        <xdr:cNvPr id="188" name="star6">
          <a:extLst>
            <a:ext uri="{FF2B5EF4-FFF2-40B4-BE49-F238E27FC236}">
              <a16:creationId xmlns:a16="http://schemas.microsoft.com/office/drawing/2014/main" id="{00000000-0008-0000-1E00-0000BC000000}"/>
            </a:ext>
          </a:extLst>
        </xdr:cNvPr>
        <xdr:cNvSpPr/>
      </xdr:nvSpPr>
      <xdr:spPr>
        <a:xfrm>
          <a:off x="16055061" y="2050655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119</xdr:row>
      <xdr:rowOff>62396</xdr:rowOff>
    </xdr:from>
    <xdr:to>
      <xdr:col>1</xdr:col>
      <xdr:colOff>500261</xdr:colOff>
      <xdr:row>120</xdr:row>
      <xdr:rowOff>0</xdr:rowOff>
    </xdr:to>
    <xdr:sp macro="" textlink="">
      <xdr:nvSpPr>
        <xdr:cNvPr id="189" name="star6">
          <a:extLst>
            <a:ext uri="{FF2B5EF4-FFF2-40B4-BE49-F238E27FC236}">
              <a16:creationId xmlns:a16="http://schemas.microsoft.com/office/drawing/2014/main" id="{00000000-0008-0000-1E00-0000BD000000}"/>
            </a:ext>
          </a:extLst>
        </xdr:cNvPr>
        <xdr:cNvSpPr/>
      </xdr:nvSpPr>
      <xdr:spPr>
        <a:xfrm>
          <a:off x="717272" y="2182511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1013758</xdr:colOff>
      <xdr:row>119</xdr:row>
      <xdr:rowOff>23998</xdr:rowOff>
    </xdr:from>
    <xdr:to>
      <xdr:col>8</xdr:col>
      <xdr:colOff>381000</xdr:colOff>
      <xdr:row>119</xdr:row>
      <xdr:rowOff>367977</xdr:rowOff>
    </xdr:to>
    <xdr:sp macro="" textlink="">
      <xdr:nvSpPr>
        <xdr:cNvPr id="190" name="star6">
          <a:extLst>
            <a:ext uri="{FF2B5EF4-FFF2-40B4-BE49-F238E27FC236}">
              <a16:creationId xmlns:a16="http://schemas.microsoft.com/office/drawing/2014/main" id="{00000000-0008-0000-1E00-0000BE000000}"/>
            </a:ext>
          </a:extLst>
        </xdr:cNvPr>
        <xdr:cNvSpPr/>
      </xdr:nvSpPr>
      <xdr:spPr>
        <a:xfrm>
          <a:off x="4938058" y="2178671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95025</xdr:colOff>
      <xdr:row>119</xdr:row>
      <xdr:rowOff>0</xdr:rowOff>
    </xdr:from>
    <xdr:to>
      <xdr:col>10</xdr:col>
      <xdr:colOff>494130</xdr:colOff>
      <xdr:row>119</xdr:row>
      <xdr:rowOff>342379</xdr:rowOff>
    </xdr:to>
    <xdr:sp macro="" textlink="">
      <xdr:nvSpPr>
        <xdr:cNvPr id="191" name="star6">
          <a:extLst>
            <a:ext uri="{FF2B5EF4-FFF2-40B4-BE49-F238E27FC236}">
              <a16:creationId xmlns:a16="http://schemas.microsoft.com/office/drawing/2014/main" id="{00000000-0008-0000-1E00-0000BF000000}"/>
            </a:ext>
          </a:extLst>
        </xdr:cNvPr>
        <xdr:cNvSpPr/>
      </xdr:nvSpPr>
      <xdr:spPr>
        <a:xfrm>
          <a:off x="6267225" y="2176272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143226</xdr:colOff>
      <xdr:row>119</xdr:row>
      <xdr:rowOff>0</xdr:rowOff>
    </xdr:from>
    <xdr:to>
      <xdr:col>17</xdr:col>
      <xdr:colOff>543239</xdr:colOff>
      <xdr:row>119</xdr:row>
      <xdr:rowOff>329579</xdr:rowOff>
    </xdr:to>
    <xdr:sp macro="" textlink="">
      <xdr:nvSpPr>
        <xdr:cNvPr id="192" name="star6">
          <a:extLst>
            <a:ext uri="{FF2B5EF4-FFF2-40B4-BE49-F238E27FC236}">
              <a16:creationId xmlns:a16="http://schemas.microsoft.com/office/drawing/2014/main" id="{00000000-0008-0000-1E00-0000C0000000}"/>
            </a:ext>
          </a:extLst>
        </xdr:cNvPr>
        <xdr:cNvSpPr/>
      </xdr:nvSpPr>
      <xdr:spPr>
        <a:xfrm>
          <a:off x="10635966" y="2176272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199445</xdr:colOff>
      <xdr:row>119</xdr:row>
      <xdr:rowOff>11199</xdr:rowOff>
    </xdr:from>
    <xdr:to>
      <xdr:col>19</xdr:col>
      <xdr:colOff>599972</xdr:colOff>
      <xdr:row>119</xdr:row>
      <xdr:rowOff>355178</xdr:rowOff>
    </xdr:to>
    <xdr:sp macro="" textlink="">
      <xdr:nvSpPr>
        <xdr:cNvPr id="193" name="star6">
          <a:extLst>
            <a:ext uri="{FF2B5EF4-FFF2-40B4-BE49-F238E27FC236}">
              <a16:creationId xmlns:a16="http://schemas.microsoft.com/office/drawing/2014/main" id="{00000000-0008-0000-1E00-0000C1000000}"/>
            </a:ext>
          </a:extLst>
        </xdr:cNvPr>
        <xdr:cNvSpPr/>
      </xdr:nvSpPr>
      <xdr:spPr>
        <a:xfrm>
          <a:off x="11926625" y="2177391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7341</xdr:colOff>
      <xdr:row>119</xdr:row>
      <xdr:rowOff>23998</xdr:rowOff>
    </xdr:from>
    <xdr:to>
      <xdr:col>26</xdr:col>
      <xdr:colOff>407427</xdr:colOff>
      <xdr:row>119</xdr:row>
      <xdr:rowOff>355178</xdr:rowOff>
    </xdr:to>
    <xdr:sp macro="" textlink="">
      <xdr:nvSpPr>
        <xdr:cNvPr id="194" name="star6">
          <a:extLst>
            <a:ext uri="{FF2B5EF4-FFF2-40B4-BE49-F238E27FC236}">
              <a16:creationId xmlns:a16="http://schemas.microsoft.com/office/drawing/2014/main" id="{00000000-0008-0000-1E00-0000C2000000}"/>
            </a:ext>
          </a:extLst>
        </xdr:cNvPr>
        <xdr:cNvSpPr/>
      </xdr:nvSpPr>
      <xdr:spPr>
        <a:xfrm>
          <a:off x="16055061" y="2178671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15875</xdr:colOff>
      <xdr:row>125</xdr:row>
      <xdr:rowOff>23495</xdr:rowOff>
    </xdr:from>
    <xdr:to>
      <xdr:col>1</xdr:col>
      <xdr:colOff>715010</xdr:colOff>
      <xdr:row>126</xdr:row>
      <xdr:rowOff>0</xdr:rowOff>
    </xdr:to>
    <xdr:sp macro="" textlink="">
      <xdr:nvSpPr>
        <xdr:cNvPr id="195" name="star6">
          <a:extLst>
            <a:ext uri="{FF2B5EF4-FFF2-40B4-BE49-F238E27FC236}">
              <a16:creationId xmlns:a16="http://schemas.microsoft.com/office/drawing/2014/main" id="{00000000-0008-0000-1E00-0000C3000000}"/>
            </a:ext>
          </a:extLst>
        </xdr:cNvPr>
        <xdr:cNvSpPr/>
      </xdr:nvSpPr>
      <xdr:spPr>
        <a:xfrm>
          <a:off x="633095" y="22883495"/>
          <a:ext cx="600075" cy="159385"/>
        </a:xfrm>
        <a:prstGeom prst="star6">
          <a:avLst/>
        </a:prstGeom>
        <a:solidFill>
          <a:srgbClr val="FF0000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15875</xdr:colOff>
      <xdr:row>129</xdr:row>
      <xdr:rowOff>23495</xdr:rowOff>
    </xdr:from>
    <xdr:to>
      <xdr:col>1</xdr:col>
      <xdr:colOff>715010</xdr:colOff>
      <xdr:row>130</xdr:row>
      <xdr:rowOff>0</xdr:rowOff>
    </xdr:to>
    <xdr:sp macro="" textlink="">
      <xdr:nvSpPr>
        <xdr:cNvPr id="196" name="star6">
          <a:extLst>
            <a:ext uri="{FF2B5EF4-FFF2-40B4-BE49-F238E27FC236}">
              <a16:creationId xmlns:a16="http://schemas.microsoft.com/office/drawing/2014/main" id="{00000000-0008-0000-1E00-0000C4000000}"/>
            </a:ext>
          </a:extLst>
        </xdr:cNvPr>
        <xdr:cNvSpPr/>
      </xdr:nvSpPr>
      <xdr:spPr>
        <a:xfrm>
          <a:off x="633095" y="23615015"/>
          <a:ext cx="600075" cy="159385"/>
        </a:xfrm>
        <a:prstGeom prst="star6">
          <a:avLst/>
        </a:prstGeom>
        <a:solidFill>
          <a:srgbClr val="FF0000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100052</xdr:colOff>
      <xdr:row>43</xdr:row>
      <xdr:rowOff>62396</xdr:rowOff>
    </xdr:from>
    <xdr:to>
      <xdr:col>1</xdr:col>
      <xdr:colOff>500261</xdr:colOff>
      <xdr:row>44</xdr:row>
      <xdr:rowOff>0</xdr:rowOff>
    </xdr:to>
    <xdr:sp macro="" textlink="">
      <xdr:nvSpPr>
        <xdr:cNvPr id="197" name="star6">
          <a:extLst>
            <a:ext uri="{FF2B5EF4-FFF2-40B4-BE49-F238E27FC236}">
              <a16:creationId xmlns:a16="http://schemas.microsoft.com/office/drawing/2014/main" id="{00000000-0008-0000-1E00-0000C5000000}"/>
            </a:ext>
          </a:extLst>
        </xdr:cNvPr>
        <xdr:cNvSpPr/>
      </xdr:nvSpPr>
      <xdr:spPr>
        <a:xfrm>
          <a:off x="717272" y="792623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43</xdr:row>
      <xdr:rowOff>11199</xdr:rowOff>
    </xdr:from>
    <xdr:to>
      <xdr:col>8</xdr:col>
      <xdr:colOff>405809</xdr:colOff>
      <xdr:row>43</xdr:row>
      <xdr:rowOff>367977</xdr:rowOff>
    </xdr:to>
    <xdr:sp macro="" textlink="">
      <xdr:nvSpPr>
        <xdr:cNvPr id="198" name="star6">
          <a:extLst>
            <a:ext uri="{FF2B5EF4-FFF2-40B4-BE49-F238E27FC236}">
              <a16:creationId xmlns:a16="http://schemas.microsoft.com/office/drawing/2014/main" id="{00000000-0008-0000-1E00-0000C6000000}"/>
            </a:ext>
          </a:extLst>
        </xdr:cNvPr>
        <xdr:cNvSpPr/>
      </xdr:nvSpPr>
      <xdr:spPr>
        <a:xfrm>
          <a:off x="4935553" y="7875039"/>
          <a:ext cx="408016" cy="17389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43</xdr:row>
      <xdr:rowOff>62396</xdr:rowOff>
    </xdr:from>
    <xdr:to>
      <xdr:col>10</xdr:col>
      <xdr:colOff>484068</xdr:colOff>
      <xdr:row>44</xdr:row>
      <xdr:rowOff>0</xdr:rowOff>
    </xdr:to>
    <xdr:sp macro="" textlink="">
      <xdr:nvSpPr>
        <xdr:cNvPr id="199" name="star6">
          <a:extLst>
            <a:ext uri="{FF2B5EF4-FFF2-40B4-BE49-F238E27FC236}">
              <a16:creationId xmlns:a16="http://schemas.microsoft.com/office/drawing/2014/main" id="{00000000-0008-0000-1E00-0000C7000000}"/>
            </a:ext>
          </a:extLst>
        </xdr:cNvPr>
        <xdr:cNvSpPr/>
      </xdr:nvSpPr>
      <xdr:spPr>
        <a:xfrm>
          <a:off x="6256045" y="7926236"/>
          <a:ext cx="40022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43</xdr:row>
      <xdr:rowOff>62396</xdr:rowOff>
    </xdr:from>
    <xdr:to>
      <xdr:col>17</xdr:col>
      <xdr:colOff>522778</xdr:colOff>
      <xdr:row>44</xdr:row>
      <xdr:rowOff>0</xdr:rowOff>
    </xdr:to>
    <xdr:sp macro="" textlink="">
      <xdr:nvSpPr>
        <xdr:cNvPr id="200" name="star6">
          <a:extLst>
            <a:ext uri="{FF2B5EF4-FFF2-40B4-BE49-F238E27FC236}">
              <a16:creationId xmlns:a16="http://schemas.microsoft.com/office/drawing/2014/main" id="{00000000-0008-0000-1E00-0000C8000000}"/>
            </a:ext>
          </a:extLst>
        </xdr:cNvPr>
        <xdr:cNvSpPr/>
      </xdr:nvSpPr>
      <xdr:spPr>
        <a:xfrm>
          <a:off x="10615505" y="7926236"/>
          <a:ext cx="40001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43</xdr:row>
      <xdr:rowOff>62396</xdr:rowOff>
    </xdr:from>
    <xdr:to>
      <xdr:col>19</xdr:col>
      <xdr:colOff>578719</xdr:colOff>
      <xdr:row>44</xdr:row>
      <xdr:rowOff>0</xdr:rowOff>
    </xdr:to>
    <xdr:sp macro="" textlink="">
      <xdr:nvSpPr>
        <xdr:cNvPr id="201" name="star6">
          <a:extLst>
            <a:ext uri="{FF2B5EF4-FFF2-40B4-BE49-F238E27FC236}">
              <a16:creationId xmlns:a16="http://schemas.microsoft.com/office/drawing/2014/main" id="{00000000-0008-0000-1E00-0000C9000000}"/>
            </a:ext>
          </a:extLst>
        </xdr:cNvPr>
        <xdr:cNvSpPr/>
      </xdr:nvSpPr>
      <xdr:spPr>
        <a:xfrm>
          <a:off x="11905373" y="7926236"/>
          <a:ext cx="40052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43</xdr:row>
      <xdr:rowOff>62396</xdr:rowOff>
    </xdr:from>
    <xdr:to>
      <xdr:col>26</xdr:col>
      <xdr:colOff>407427</xdr:colOff>
      <xdr:row>44</xdr:row>
      <xdr:rowOff>0</xdr:rowOff>
    </xdr:to>
    <xdr:sp macro="" textlink="">
      <xdr:nvSpPr>
        <xdr:cNvPr id="202" name="star6">
          <a:extLst>
            <a:ext uri="{FF2B5EF4-FFF2-40B4-BE49-F238E27FC236}">
              <a16:creationId xmlns:a16="http://schemas.microsoft.com/office/drawing/2014/main" id="{00000000-0008-0000-1E00-0000CA000000}"/>
            </a:ext>
          </a:extLst>
        </xdr:cNvPr>
        <xdr:cNvSpPr/>
      </xdr:nvSpPr>
      <xdr:spPr>
        <a:xfrm>
          <a:off x="16055061" y="7926236"/>
          <a:ext cx="40008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138</xdr:row>
      <xdr:rowOff>1</xdr:rowOff>
    </xdr:from>
    <xdr:to>
      <xdr:col>1</xdr:col>
      <xdr:colOff>699135</xdr:colOff>
      <xdr:row>138</xdr:row>
      <xdr:rowOff>461521</xdr:rowOff>
    </xdr:to>
    <xdr:sp macro="" textlink="">
      <xdr:nvSpPr>
        <xdr:cNvPr id="203" name="star6">
          <a:extLst>
            <a:ext uri="{FF2B5EF4-FFF2-40B4-BE49-F238E27FC236}">
              <a16:creationId xmlns:a16="http://schemas.microsoft.com/office/drawing/2014/main" id="{00000000-0008-0000-1E00-0000CB000000}"/>
            </a:ext>
          </a:extLst>
        </xdr:cNvPr>
        <xdr:cNvSpPr/>
      </xdr:nvSpPr>
      <xdr:spPr>
        <a:xfrm>
          <a:off x="617220" y="24323041"/>
          <a:ext cx="615315" cy="179580"/>
        </a:xfrm>
        <a:prstGeom prst="star6">
          <a:avLst/>
        </a:prstGeom>
        <a:solidFill>
          <a:srgbClr val="FF0000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100052</xdr:colOff>
      <xdr:row>29</xdr:row>
      <xdr:rowOff>62396</xdr:rowOff>
    </xdr:from>
    <xdr:to>
      <xdr:col>1</xdr:col>
      <xdr:colOff>500261</xdr:colOff>
      <xdr:row>30</xdr:row>
      <xdr:rowOff>0</xdr:rowOff>
    </xdr:to>
    <xdr:sp macro="" textlink="">
      <xdr:nvSpPr>
        <xdr:cNvPr id="204" name="star6">
          <a:extLst>
            <a:ext uri="{FF2B5EF4-FFF2-40B4-BE49-F238E27FC236}">
              <a16:creationId xmlns:a16="http://schemas.microsoft.com/office/drawing/2014/main" id="{00000000-0008-0000-1E00-0000CC000000}"/>
            </a:ext>
          </a:extLst>
        </xdr:cNvPr>
        <xdr:cNvSpPr/>
      </xdr:nvSpPr>
      <xdr:spPr>
        <a:xfrm>
          <a:off x="717272" y="536591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29</xdr:row>
      <xdr:rowOff>23998</xdr:rowOff>
    </xdr:from>
    <xdr:to>
      <xdr:col>8</xdr:col>
      <xdr:colOff>384544</xdr:colOff>
      <xdr:row>29</xdr:row>
      <xdr:rowOff>367977</xdr:rowOff>
    </xdr:to>
    <xdr:sp macro="" textlink="">
      <xdr:nvSpPr>
        <xdr:cNvPr id="205" name="star6">
          <a:extLst>
            <a:ext uri="{FF2B5EF4-FFF2-40B4-BE49-F238E27FC236}">
              <a16:creationId xmlns:a16="http://schemas.microsoft.com/office/drawing/2014/main" id="{00000000-0008-0000-1E00-0000CD000000}"/>
            </a:ext>
          </a:extLst>
        </xdr:cNvPr>
        <xdr:cNvSpPr/>
      </xdr:nvSpPr>
      <xdr:spPr>
        <a:xfrm>
          <a:off x="4935553" y="5327518"/>
          <a:ext cx="386751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29</xdr:row>
      <xdr:rowOff>62396</xdr:rowOff>
    </xdr:from>
    <xdr:to>
      <xdr:col>10</xdr:col>
      <xdr:colOff>484068</xdr:colOff>
      <xdr:row>30</xdr:row>
      <xdr:rowOff>0</xdr:rowOff>
    </xdr:to>
    <xdr:sp macro="" textlink="">
      <xdr:nvSpPr>
        <xdr:cNvPr id="206" name="star6">
          <a:extLst>
            <a:ext uri="{FF2B5EF4-FFF2-40B4-BE49-F238E27FC236}">
              <a16:creationId xmlns:a16="http://schemas.microsoft.com/office/drawing/2014/main" id="{00000000-0008-0000-1E00-0000CE000000}"/>
            </a:ext>
          </a:extLst>
        </xdr:cNvPr>
        <xdr:cNvSpPr/>
      </xdr:nvSpPr>
      <xdr:spPr>
        <a:xfrm>
          <a:off x="6256045" y="5365916"/>
          <a:ext cx="40022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29</xdr:row>
      <xdr:rowOff>62396</xdr:rowOff>
    </xdr:from>
    <xdr:to>
      <xdr:col>17</xdr:col>
      <xdr:colOff>522778</xdr:colOff>
      <xdr:row>30</xdr:row>
      <xdr:rowOff>0</xdr:rowOff>
    </xdr:to>
    <xdr:sp macro="" textlink="">
      <xdr:nvSpPr>
        <xdr:cNvPr id="207" name="star6">
          <a:extLst>
            <a:ext uri="{FF2B5EF4-FFF2-40B4-BE49-F238E27FC236}">
              <a16:creationId xmlns:a16="http://schemas.microsoft.com/office/drawing/2014/main" id="{00000000-0008-0000-1E00-0000CF000000}"/>
            </a:ext>
          </a:extLst>
        </xdr:cNvPr>
        <xdr:cNvSpPr/>
      </xdr:nvSpPr>
      <xdr:spPr>
        <a:xfrm>
          <a:off x="10615505" y="5365916"/>
          <a:ext cx="400013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29</xdr:row>
      <xdr:rowOff>62396</xdr:rowOff>
    </xdr:from>
    <xdr:to>
      <xdr:col>19</xdr:col>
      <xdr:colOff>578719</xdr:colOff>
      <xdr:row>30</xdr:row>
      <xdr:rowOff>0</xdr:rowOff>
    </xdr:to>
    <xdr:sp macro="" textlink="">
      <xdr:nvSpPr>
        <xdr:cNvPr id="208" name="star6">
          <a:extLst>
            <a:ext uri="{FF2B5EF4-FFF2-40B4-BE49-F238E27FC236}">
              <a16:creationId xmlns:a16="http://schemas.microsoft.com/office/drawing/2014/main" id="{00000000-0008-0000-1E00-0000D0000000}"/>
            </a:ext>
          </a:extLst>
        </xdr:cNvPr>
        <xdr:cNvSpPr/>
      </xdr:nvSpPr>
      <xdr:spPr>
        <a:xfrm>
          <a:off x="11905373" y="5365916"/>
          <a:ext cx="40052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29</xdr:row>
      <xdr:rowOff>62396</xdr:rowOff>
    </xdr:from>
    <xdr:to>
      <xdr:col>26</xdr:col>
      <xdr:colOff>407427</xdr:colOff>
      <xdr:row>30</xdr:row>
      <xdr:rowOff>0</xdr:rowOff>
    </xdr:to>
    <xdr:sp macro="" textlink="">
      <xdr:nvSpPr>
        <xdr:cNvPr id="209" name="star6">
          <a:extLst>
            <a:ext uri="{FF2B5EF4-FFF2-40B4-BE49-F238E27FC236}">
              <a16:creationId xmlns:a16="http://schemas.microsoft.com/office/drawing/2014/main" id="{00000000-0008-0000-1E00-0000D1000000}"/>
            </a:ext>
          </a:extLst>
        </xdr:cNvPr>
        <xdr:cNvSpPr/>
      </xdr:nvSpPr>
      <xdr:spPr>
        <a:xfrm>
          <a:off x="16055061" y="5365916"/>
          <a:ext cx="400086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64</xdr:row>
      <xdr:rowOff>62396</xdr:rowOff>
    </xdr:from>
    <xdr:to>
      <xdr:col>1</xdr:col>
      <xdr:colOff>500261</xdr:colOff>
      <xdr:row>65</xdr:row>
      <xdr:rowOff>0</xdr:rowOff>
    </xdr:to>
    <xdr:sp macro="" textlink="">
      <xdr:nvSpPr>
        <xdr:cNvPr id="210" name="star6">
          <a:extLst>
            <a:ext uri="{FF2B5EF4-FFF2-40B4-BE49-F238E27FC236}">
              <a16:creationId xmlns:a16="http://schemas.microsoft.com/office/drawing/2014/main" id="{00000000-0008-0000-1E00-0000D2000000}"/>
            </a:ext>
          </a:extLst>
        </xdr:cNvPr>
        <xdr:cNvSpPr/>
      </xdr:nvSpPr>
      <xdr:spPr>
        <a:xfrm>
          <a:off x="717272" y="1176671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64</xdr:row>
      <xdr:rowOff>23998</xdr:rowOff>
    </xdr:from>
    <xdr:to>
      <xdr:col>8</xdr:col>
      <xdr:colOff>381000</xdr:colOff>
      <xdr:row>64</xdr:row>
      <xdr:rowOff>367977</xdr:rowOff>
    </xdr:to>
    <xdr:sp macro="" textlink="">
      <xdr:nvSpPr>
        <xdr:cNvPr id="211" name="star6">
          <a:extLst>
            <a:ext uri="{FF2B5EF4-FFF2-40B4-BE49-F238E27FC236}">
              <a16:creationId xmlns:a16="http://schemas.microsoft.com/office/drawing/2014/main" id="{00000000-0008-0000-1E00-0000D3000000}"/>
            </a:ext>
          </a:extLst>
        </xdr:cNvPr>
        <xdr:cNvSpPr/>
      </xdr:nvSpPr>
      <xdr:spPr>
        <a:xfrm>
          <a:off x="4938058" y="1172831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64</xdr:row>
      <xdr:rowOff>0</xdr:rowOff>
    </xdr:from>
    <xdr:to>
      <xdr:col>10</xdr:col>
      <xdr:colOff>494130</xdr:colOff>
      <xdr:row>64</xdr:row>
      <xdr:rowOff>342379</xdr:rowOff>
    </xdr:to>
    <xdr:sp macro="" textlink="">
      <xdr:nvSpPr>
        <xdr:cNvPr id="212" name="star6">
          <a:extLst>
            <a:ext uri="{FF2B5EF4-FFF2-40B4-BE49-F238E27FC236}">
              <a16:creationId xmlns:a16="http://schemas.microsoft.com/office/drawing/2014/main" id="{00000000-0008-0000-1E00-0000D4000000}"/>
            </a:ext>
          </a:extLst>
        </xdr:cNvPr>
        <xdr:cNvSpPr/>
      </xdr:nvSpPr>
      <xdr:spPr>
        <a:xfrm>
          <a:off x="6267225" y="1170432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64</xdr:row>
      <xdr:rowOff>0</xdr:rowOff>
    </xdr:from>
    <xdr:to>
      <xdr:col>17</xdr:col>
      <xdr:colOff>543239</xdr:colOff>
      <xdr:row>64</xdr:row>
      <xdr:rowOff>329579</xdr:rowOff>
    </xdr:to>
    <xdr:sp macro="" textlink="">
      <xdr:nvSpPr>
        <xdr:cNvPr id="213" name="star6">
          <a:extLst>
            <a:ext uri="{FF2B5EF4-FFF2-40B4-BE49-F238E27FC236}">
              <a16:creationId xmlns:a16="http://schemas.microsoft.com/office/drawing/2014/main" id="{00000000-0008-0000-1E00-0000D5000000}"/>
            </a:ext>
          </a:extLst>
        </xdr:cNvPr>
        <xdr:cNvSpPr/>
      </xdr:nvSpPr>
      <xdr:spPr>
        <a:xfrm>
          <a:off x="10635966" y="1170432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64</xdr:row>
      <xdr:rowOff>11199</xdr:rowOff>
    </xdr:from>
    <xdr:to>
      <xdr:col>19</xdr:col>
      <xdr:colOff>599972</xdr:colOff>
      <xdr:row>64</xdr:row>
      <xdr:rowOff>355178</xdr:rowOff>
    </xdr:to>
    <xdr:sp macro="" textlink="">
      <xdr:nvSpPr>
        <xdr:cNvPr id="214" name="star6">
          <a:extLst>
            <a:ext uri="{FF2B5EF4-FFF2-40B4-BE49-F238E27FC236}">
              <a16:creationId xmlns:a16="http://schemas.microsoft.com/office/drawing/2014/main" id="{00000000-0008-0000-1E00-0000D6000000}"/>
            </a:ext>
          </a:extLst>
        </xdr:cNvPr>
        <xdr:cNvSpPr/>
      </xdr:nvSpPr>
      <xdr:spPr>
        <a:xfrm>
          <a:off x="11926625" y="1171551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64</xdr:row>
      <xdr:rowOff>23998</xdr:rowOff>
    </xdr:from>
    <xdr:to>
      <xdr:col>26</xdr:col>
      <xdr:colOff>407427</xdr:colOff>
      <xdr:row>64</xdr:row>
      <xdr:rowOff>355178</xdr:rowOff>
    </xdr:to>
    <xdr:sp macro="" textlink="">
      <xdr:nvSpPr>
        <xdr:cNvPr id="215" name="star6">
          <a:extLst>
            <a:ext uri="{FF2B5EF4-FFF2-40B4-BE49-F238E27FC236}">
              <a16:creationId xmlns:a16="http://schemas.microsoft.com/office/drawing/2014/main" id="{00000000-0008-0000-1E00-0000D7000000}"/>
            </a:ext>
          </a:extLst>
        </xdr:cNvPr>
        <xdr:cNvSpPr/>
      </xdr:nvSpPr>
      <xdr:spPr>
        <a:xfrm>
          <a:off x="16055061" y="1172831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99</xdr:row>
      <xdr:rowOff>62396</xdr:rowOff>
    </xdr:from>
    <xdr:to>
      <xdr:col>1</xdr:col>
      <xdr:colOff>500261</xdr:colOff>
      <xdr:row>100</xdr:row>
      <xdr:rowOff>0</xdr:rowOff>
    </xdr:to>
    <xdr:sp macro="" textlink="">
      <xdr:nvSpPr>
        <xdr:cNvPr id="216" name="star6">
          <a:extLst>
            <a:ext uri="{FF2B5EF4-FFF2-40B4-BE49-F238E27FC236}">
              <a16:creationId xmlns:a16="http://schemas.microsoft.com/office/drawing/2014/main" id="{00000000-0008-0000-1E00-0000D8000000}"/>
            </a:ext>
          </a:extLst>
        </xdr:cNvPr>
        <xdr:cNvSpPr/>
      </xdr:nvSpPr>
      <xdr:spPr>
        <a:xfrm>
          <a:off x="717272" y="18167516"/>
          <a:ext cx="400209" cy="12048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99</xdr:row>
      <xdr:rowOff>23998</xdr:rowOff>
    </xdr:from>
    <xdr:to>
      <xdr:col>8</xdr:col>
      <xdr:colOff>381000</xdr:colOff>
      <xdr:row>99</xdr:row>
      <xdr:rowOff>367977</xdr:rowOff>
    </xdr:to>
    <xdr:sp macro="" textlink="">
      <xdr:nvSpPr>
        <xdr:cNvPr id="217" name="star6">
          <a:extLst>
            <a:ext uri="{FF2B5EF4-FFF2-40B4-BE49-F238E27FC236}">
              <a16:creationId xmlns:a16="http://schemas.microsoft.com/office/drawing/2014/main" id="{00000000-0008-0000-1E00-0000D9000000}"/>
            </a:ext>
          </a:extLst>
        </xdr:cNvPr>
        <xdr:cNvSpPr/>
      </xdr:nvSpPr>
      <xdr:spPr>
        <a:xfrm>
          <a:off x="4938058" y="18129118"/>
          <a:ext cx="380702" cy="1610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99</xdr:row>
      <xdr:rowOff>0</xdr:rowOff>
    </xdr:from>
    <xdr:to>
      <xdr:col>10</xdr:col>
      <xdr:colOff>494130</xdr:colOff>
      <xdr:row>99</xdr:row>
      <xdr:rowOff>342379</xdr:rowOff>
    </xdr:to>
    <xdr:sp macro="" textlink="">
      <xdr:nvSpPr>
        <xdr:cNvPr id="218" name="star6">
          <a:extLst>
            <a:ext uri="{FF2B5EF4-FFF2-40B4-BE49-F238E27FC236}">
              <a16:creationId xmlns:a16="http://schemas.microsoft.com/office/drawing/2014/main" id="{00000000-0008-0000-1E00-0000DA000000}"/>
            </a:ext>
          </a:extLst>
        </xdr:cNvPr>
        <xdr:cNvSpPr/>
      </xdr:nvSpPr>
      <xdr:spPr>
        <a:xfrm>
          <a:off x="6267225" y="18105120"/>
          <a:ext cx="399105" cy="18235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99</xdr:row>
      <xdr:rowOff>0</xdr:rowOff>
    </xdr:from>
    <xdr:to>
      <xdr:col>17</xdr:col>
      <xdr:colOff>543239</xdr:colOff>
      <xdr:row>99</xdr:row>
      <xdr:rowOff>329579</xdr:rowOff>
    </xdr:to>
    <xdr:sp macro="" textlink="">
      <xdr:nvSpPr>
        <xdr:cNvPr id="219" name="star6">
          <a:extLst>
            <a:ext uri="{FF2B5EF4-FFF2-40B4-BE49-F238E27FC236}">
              <a16:creationId xmlns:a16="http://schemas.microsoft.com/office/drawing/2014/main" id="{00000000-0008-0000-1E00-0000DB000000}"/>
            </a:ext>
          </a:extLst>
        </xdr:cNvPr>
        <xdr:cNvSpPr/>
      </xdr:nvSpPr>
      <xdr:spPr>
        <a:xfrm>
          <a:off x="10635966" y="18105120"/>
          <a:ext cx="400013" cy="18479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99</xdr:row>
      <xdr:rowOff>11199</xdr:rowOff>
    </xdr:from>
    <xdr:to>
      <xdr:col>19</xdr:col>
      <xdr:colOff>599972</xdr:colOff>
      <xdr:row>99</xdr:row>
      <xdr:rowOff>355178</xdr:rowOff>
    </xdr:to>
    <xdr:sp macro="" textlink="">
      <xdr:nvSpPr>
        <xdr:cNvPr id="220" name="star6">
          <a:extLst>
            <a:ext uri="{FF2B5EF4-FFF2-40B4-BE49-F238E27FC236}">
              <a16:creationId xmlns:a16="http://schemas.microsoft.com/office/drawing/2014/main" id="{00000000-0008-0000-1E00-0000DC000000}"/>
            </a:ext>
          </a:extLst>
        </xdr:cNvPr>
        <xdr:cNvSpPr/>
      </xdr:nvSpPr>
      <xdr:spPr>
        <a:xfrm>
          <a:off x="11926625" y="18116319"/>
          <a:ext cx="400527" cy="16871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99</xdr:row>
      <xdr:rowOff>23998</xdr:rowOff>
    </xdr:from>
    <xdr:to>
      <xdr:col>26</xdr:col>
      <xdr:colOff>407427</xdr:colOff>
      <xdr:row>99</xdr:row>
      <xdr:rowOff>355178</xdr:rowOff>
    </xdr:to>
    <xdr:sp macro="" textlink="">
      <xdr:nvSpPr>
        <xdr:cNvPr id="221" name="star6">
          <a:extLst>
            <a:ext uri="{FF2B5EF4-FFF2-40B4-BE49-F238E27FC236}">
              <a16:creationId xmlns:a16="http://schemas.microsoft.com/office/drawing/2014/main" id="{00000000-0008-0000-1E00-0000DD000000}"/>
            </a:ext>
          </a:extLst>
        </xdr:cNvPr>
        <xdr:cNvSpPr/>
      </xdr:nvSpPr>
      <xdr:spPr>
        <a:xfrm>
          <a:off x="16055061" y="18129118"/>
          <a:ext cx="400086" cy="15592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354</xdr:row>
      <xdr:rowOff>62396</xdr:rowOff>
    </xdr:from>
    <xdr:to>
      <xdr:col>1</xdr:col>
      <xdr:colOff>500261</xdr:colOff>
      <xdr:row>355</xdr:row>
      <xdr:rowOff>0</xdr:rowOff>
    </xdr:to>
    <xdr:sp macro="" textlink="">
      <xdr:nvSpPr>
        <xdr:cNvPr id="224" name="star6">
          <a:extLst>
            <a:ext uri="{FF2B5EF4-FFF2-40B4-BE49-F238E27FC236}">
              <a16:creationId xmlns:a16="http://schemas.microsoft.com/office/drawing/2014/main" id="{00000000-0008-0000-1E00-0000E0000000}"/>
            </a:ext>
          </a:extLst>
        </xdr:cNvPr>
        <xdr:cNvSpPr/>
      </xdr:nvSpPr>
      <xdr:spPr>
        <a:xfrm>
          <a:off x="709652" y="252896"/>
          <a:ext cx="400209" cy="1281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354</xdr:row>
      <xdr:rowOff>11199</xdr:rowOff>
    </xdr:from>
    <xdr:to>
      <xdr:col>8</xdr:col>
      <xdr:colOff>405809</xdr:colOff>
      <xdr:row>354</xdr:row>
      <xdr:rowOff>367977</xdr:rowOff>
    </xdr:to>
    <xdr:sp macro="" textlink="">
      <xdr:nvSpPr>
        <xdr:cNvPr id="231" name="star6">
          <a:extLst>
            <a:ext uri="{FF2B5EF4-FFF2-40B4-BE49-F238E27FC236}">
              <a16:creationId xmlns:a16="http://schemas.microsoft.com/office/drawing/2014/main" id="{00000000-0008-0000-1E00-0000E7000000}"/>
            </a:ext>
          </a:extLst>
        </xdr:cNvPr>
        <xdr:cNvSpPr/>
      </xdr:nvSpPr>
      <xdr:spPr>
        <a:xfrm>
          <a:off x="4880308" y="201699"/>
          <a:ext cx="402301" cy="175803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354</xdr:row>
      <xdr:rowOff>62396</xdr:rowOff>
    </xdr:from>
    <xdr:to>
      <xdr:col>17</xdr:col>
      <xdr:colOff>522778</xdr:colOff>
      <xdr:row>355</xdr:row>
      <xdr:rowOff>0</xdr:rowOff>
    </xdr:to>
    <xdr:sp macro="" textlink="">
      <xdr:nvSpPr>
        <xdr:cNvPr id="232" name="star6">
          <a:extLst>
            <a:ext uri="{FF2B5EF4-FFF2-40B4-BE49-F238E27FC236}">
              <a16:creationId xmlns:a16="http://schemas.microsoft.com/office/drawing/2014/main" id="{00000000-0008-0000-1E00-0000E8000000}"/>
            </a:ext>
          </a:extLst>
        </xdr:cNvPr>
        <xdr:cNvSpPr/>
      </xdr:nvSpPr>
      <xdr:spPr>
        <a:xfrm>
          <a:off x="10485965" y="252896"/>
          <a:ext cx="400013" cy="1281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354</xdr:row>
      <xdr:rowOff>62396</xdr:rowOff>
    </xdr:from>
    <xdr:to>
      <xdr:col>19</xdr:col>
      <xdr:colOff>578719</xdr:colOff>
      <xdr:row>355</xdr:row>
      <xdr:rowOff>0</xdr:rowOff>
    </xdr:to>
    <xdr:sp macro="" textlink="">
      <xdr:nvSpPr>
        <xdr:cNvPr id="233" name="star6">
          <a:extLst>
            <a:ext uri="{FF2B5EF4-FFF2-40B4-BE49-F238E27FC236}">
              <a16:creationId xmlns:a16="http://schemas.microsoft.com/office/drawing/2014/main" id="{00000000-0008-0000-1E00-0000E9000000}"/>
            </a:ext>
          </a:extLst>
        </xdr:cNvPr>
        <xdr:cNvSpPr/>
      </xdr:nvSpPr>
      <xdr:spPr>
        <a:xfrm>
          <a:off x="11760593" y="252896"/>
          <a:ext cx="400526" cy="1281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354</xdr:row>
      <xdr:rowOff>62396</xdr:rowOff>
    </xdr:from>
    <xdr:to>
      <xdr:col>26</xdr:col>
      <xdr:colOff>407427</xdr:colOff>
      <xdr:row>355</xdr:row>
      <xdr:rowOff>0</xdr:rowOff>
    </xdr:to>
    <xdr:sp macro="" textlink="">
      <xdr:nvSpPr>
        <xdr:cNvPr id="236" name="star6">
          <a:extLst>
            <a:ext uri="{FF2B5EF4-FFF2-40B4-BE49-F238E27FC236}">
              <a16:creationId xmlns:a16="http://schemas.microsoft.com/office/drawing/2014/main" id="{00000000-0008-0000-1E00-0000EC000000}"/>
            </a:ext>
          </a:extLst>
        </xdr:cNvPr>
        <xdr:cNvSpPr/>
      </xdr:nvSpPr>
      <xdr:spPr>
        <a:xfrm>
          <a:off x="15856941" y="252896"/>
          <a:ext cx="400086" cy="1281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364</xdr:row>
      <xdr:rowOff>62396</xdr:rowOff>
    </xdr:from>
    <xdr:to>
      <xdr:col>1</xdr:col>
      <xdr:colOff>500261</xdr:colOff>
      <xdr:row>365</xdr:row>
      <xdr:rowOff>0</xdr:rowOff>
    </xdr:to>
    <xdr:sp macro="" textlink="">
      <xdr:nvSpPr>
        <xdr:cNvPr id="240" name="star6">
          <a:extLst>
            <a:ext uri="{FF2B5EF4-FFF2-40B4-BE49-F238E27FC236}">
              <a16:creationId xmlns:a16="http://schemas.microsoft.com/office/drawing/2014/main" id="{00000000-0008-0000-1E00-0000F0000000}"/>
            </a:ext>
          </a:extLst>
        </xdr:cNvPr>
        <xdr:cNvSpPr/>
      </xdr:nvSpPr>
      <xdr:spPr>
        <a:xfrm>
          <a:off x="709652" y="1586396"/>
          <a:ext cx="400209" cy="1281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364</xdr:row>
      <xdr:rowOff>23998</xdr:rowOff>
    </xdr:from>
    <xdr:to>
      <xdr:col>8</xdr:col>
      <xdr:colOff>381000</xdr:colOff>
      <xdr:row>364</xdr:row>
      <xdr:rowOff>367977</xdr:rowOff>
    </xdr:to>
    <xdr:sp macro="" textlink="">
      <xdr:nvSpPr>
        <xdr:cNvPr id="241" name="star6">
          <a:extLst>
            <a:ext uri="{FF2B5EF4-FFF2-40B4-BE49-F238E27FC236}">
              <a16:creationId xmlns:a16="http://schemas.microsoft.com/office/drawing/2014/main" id="{00000000-0008-0000-1E00-0000F1000000}"/>
            </a:ext>
          </a:extLst>
        </xdr:cNvPr>
        <xdr:cNvSpPr/>
      </xdr:nvSpPr>
      <xdr:spPr>
        <a:xfrm>
          <a:off x="4880908" y="1547998"/>
          <a:ext cx="376892" cy="1630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364</xdr:row>
      <xdr:rowOff>0</xdr:rowOff>
    </xdr:from>
    <xdr:to>
      <xdr:col>17</xdr:col>
      <xdr:colOff>543239</xdr:colOff>
      <xdr:row>364</xdr:row>
      <xdr:rowOff>329579</xdr:rowOff>
    </xdr:to>
    <xdr:sp macro="" textlink="">
      <xdr:nvSpPr>
        <xdr:cNvPr id="242" name="star6">
          <a:extLst>
            <a:ext uri="{FF2B5EF4-FFF2-40B4-BE49-F238E27FC236}">
              <a16:creationId xmlns:a16="http://schemas.microsoft.com/office/drawing/2014/main" id="{00000000-0008-0000-1E00-0000F2000000}"/>
            </a:ext>
          </a:extLst>
        </xdr:cNvPr>
        <xdr:cNvSpPr/>
      </xdr:nvSpPr>
      <xdr:spPr>
        <a:xfrm>
          <a:off x="10506426" y="1524000"/>
          <a:ext cx="400013" cy="1867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25</xdr:col>
      <xdr:colOff>1232914</xdr:colOff>
      <xdr:row>364</xdr:row>
      <xdr:rowOff>23998</xdr:rowOff>
    </xdr:from>
    <xdr:to>
      <xdr:col>26</xdr:col>
      <xdr:colOff>427432</xdr:colOff>
      <xdr:row>364</xdr:row>
      <xdr:rowOff>355178</xdr:rowOff>
    </xdr:to>
    <xdr:sp macro="" textlink="">
      <xdr:nvSpPr>
        <xdr:cNvPr id="244" name="star6">
          <a:extLst>
            <a:ext uri="{FF2B5EF4-FFF2-40B4-BE49-F238E27FC236}">
              <a16:creationId xmlns:a16="http://schemas.microsoft.com/office/drawing/2014/main" id="{00000000-0008-0000-1E00-0000F4000000}"/>
            </a:ext>
          </a:extLst>
        </xdr:cNvPr>
        <xdr:cNvSpPr/>
      </xdr:nvSpPr>
      <xdr:spPr>
        <a:xfrm>
          <a:off x="39207310" y="110848943"/>
          <a:ext cx="440095" cy="33118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375</xdr:row>
      <xdr:rowOff>62396</xdr:rowOff>
    </xdr:from>
    <xdr:to>
      <xdr:col>1</xdr:col>
      <xdr:colOff>500261</xdr:colOff>
      <xdr:row>376</xdr:row>
      <xdr:rowOff>0</xdr:rowOff>
    </xdr:to>
    <xdr:sp macro="" textlink="">
      <xdr:nvSpPr>
        <xdr:cNvPr id="245" name="star6">
          <a:extLst>
            <a:ext uri="{FF2B5EF4-FFF2-40B4-BE49-F238E27FC236}">
              <a16:creationId xmlns:a16="http://schemas.microsoft.com/office/drawing/2014/main" id="{00000000-0008-0000-1E00-0000F5000000}"/>
            </a:ext>
          </a:extLst>
        </xdr:cNvPr>
        <xdr:cNvSpPr/>
      </xdr:nvSpPr>
      <xdr:spPr>
        <a:xfrm>
          <a:off x="709652" y="2919896"/>
          <a:ext cx="400209" cy="1281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1013758</xdr:colOff>
      <xdr:row>375</xdr:row>
      <xdr:rowOff>23998</xdr:rowOff>
    </xdr:from>
    <xdr:to>
      <xdr:col>8</xdr:col>
      <xdr:colOff>381000</xdr:colOff>
      <xdr:row>375</xdr:row>
      <xdr:rowOff>367977</xdr:rowOff>
    </xdr:to>
    <xdr:sp macro="" textlink="">
      <xdr:nvSpPr>
        <xdr:cNvPr id="246" name="star6">
          <a:extLst>
            <a:ext uri="{FF2B5EF4-FFF2-40B4-BE49-F238E27FC236}">
              <a16:creationId xmlns:a16="http://schemas.microsoft.com/office/drawing/2014/main" id="{00000000-0008-0000-1E00-0000F6000000}"/>
            </a:ext>
          </a:extLst>
        </xdr:cNvPr>
        <xdr:cNvSpPr/>
      </xdr:nvSpPr>
      <xdr:spPr>
        <a:xfrm>
          <a:off x="4880908" y="2881498"/>
          <a:ext cx="376892" cy="1630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143226</xdr:colOff>
      <xdr:row>375</xdr:row>
      <xdr:rowOff>0</xdr:rowOff>
    </xdr:from>
    <xdr:to>
      <xdr:col>17</xdr:col>
      <xdr:colOff>543239</xdr:colOff>
      <xdr:row>375</xdr:row>
      <xdr:rowOff>329579</xdr:rowOff>
    </xdr:to>
    <xdr:sp macro="" textlink="">
      <xdr:nvSpPr>
        <xdr:cNvPr id="247" name="star6">
          <a:extLst>
            <a:ext uri="{FF2B5EF4-FFF2-40B4-BE49-F238E27FC236}">
              <a16:creationId xmlns:a16="http://schemas.microsoft.com/office/drawing/2014/main" id="{00000000-0008-0000-1E00-0000F7000000}"/>
            </a:ext>
          </a:extLst>
        </xdr:cNvPr>
        <xdr:cNvSpPr/>
      </xdr:nvSpPr>
      <xdr:spPr>
        <a:xfrm>
          <a:off x="10506426" y="2857500"/>
          <a:ext cx="400013" cy="18670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199445</xdr:colOff>
      <xdr:row>375</xdr:row>
      <xdr:rowOff>11199</xdr:rowOff>
    </xdr:from>
    <xdr:to>
      <xdr:col>19</xdr:col>
      <xdr:colOff>599972</xdr:colOff>
      <xdr:row>375</xdr:row>
      <xdr:rowOff>355178</xdr:rowOff>
    </xdr:to>
    <xdr:sp macro="" textlink="">
      <xdr:nvSpPr>
        <xdr:cNvPr id="248" name="star6">
          <a:extLst>
            <a:ext uri="{FF2B5EF4-FFF2-40B4-BE49-F238E27FC236}">
              <a16:creationId xmlns:a16="http://schemas.microsoft.com/office/drawing/2014/main" id="{00000000-0008-0000-1E00-0000F8000000}"/>
            </a:ext>
          </a:extLst>
        </xdr:cNvPr>
        <xdr:cNvSpPr/>
      </xdr:nvSpPr>
      <xdr:spPr>
        <a:xfrm>
          <a:off x="11781845" y="2868699"/>
          <a:ext cx="400527" cy="182054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375</xdr:row>
      <xdr:rowOff>23998</xdr:rowOff>
    </xdr:from>
    <xdr:to>
      <xdr:col>26</xdr:col>
      <xdr:colOff>407427</xdr:colOff>
      <xdr:row>375</xdr:row>
      <xdr:rowOff>355178</xdr:rowOff>
    </xdr:to>
    <xdr:sp macro="" textlink="">
      <xdr:nvSpPr>
        <xdr:cNvPr id="249" name="star6">
          <a:extLst>
            <a:ext uri="{FF2B5EF4-FFF2-40B4-BE49-F238E27FC236}">
              <a16:creationId xmlns:a16="http://schemas.microsoft.com/office/drawing/2014/main" id="{00000000-0008-0000-1E00-0000F9000000}"/>
            </a:ext>
          </a:extLst>
        </xdr:cNvPr>
        <xdr:cNvSpPr/>
      </xdr:nvSpPr>
      <xdr:spPr>
        <a:xfrm>
          <a:off x="15856941" y="2881498"/>
          <a:ext cx="400086" cy="169255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11</xdr:col>
      <xdr:colOff>52444</xdr:colOff>
      <xdr:row>354</xdr:row>
      <xdr:rowOff>62397</xdr:rowOff>
    </xdr:from>
    <xdr:to>
      <xdr:col>11</xdr:col>
      <xdr:colOff>452667</xdr:colOff>
      <xdr:row>354</xdr:row>
      <xdr:rowOff>324478</xdr:rowOff>
    </xdr:to>
    <xdr:sp macro="" textlink="">
      <xdr:nvSpPr>
        <xdr:cNvPr id="250" name="star6">
          <a:extLst>
            <a:ext uri="{FF2B5EF4-FFF2-40B4-BE49-F238E27FC236}">
              <a16:creationId xmlns:a16="http://schemas.microsoft.com/office/drawing/2014/main" id="{00000000-0008-0000-1E00-0000FA000000}"/>
            </a:ext>
          </a:extLst>
        </xdr:cNvPr>
        <xdr:cNvSpPr/>
      </xdr:nvSpPr>
      <xdr:spPr>
        <a:xfrm>
          <a:off x="16182142" y="98881655"/>
          <a:ext cx="400223" cy="262081"/>
        </a:xfrm>
        <a:prstGeom prst="star6">
          <a:avLst>
            <a:gd name="adj" fmla="val 36856"/>
            <a:gd name="hf" fmla="val 115470"/>
          </a:avLst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364</xdr:row>
      <xdr:rowOff>0</xdr:rowOff>
    </xdr:from>
    <xdr:to>
      <xdr:col>10</xdr:col>
      <xdr:colOff>494130</xdr:colOff>
      <xdr:row>364</xdr:row>
      <xdr:rowOff>342379</xdr:rowOff>
    </xdr:to>
    <xdr:sp macro="" textlink="">
      <xdr:nvSpPr>
        <xdr:cNvPr id="251" name="star6">
          <a:extLst>
            <a:ext uri="{FF2B5EF4-FFF2-40B4-BE49-F238E27FC236}">
              <a16:creationId xmlns:a16="http://schemas.microsoft.com/office/drawing/2014/main" id="{00000000-0008-0000-1E00-0000FB000000}"/>
            </a:ext>
          </a:extLst>
        </xdr:cNvPr>
        <xdr:cNvSpPr/>
      </xdr:nvSpPr>
      <xdr:spPr>
        <a:xfrm>
          <a:off x="6191025" y="1524000"/>
          <a:ext cx="399105" cy="189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95025</xdr:colOff>
      <xdr:row>375</xdr:row>
      <xdr:rowOff>0</xdr:rowOff>
    </xdr:from>
    <xdr:to>
      <xdr:col>10</xdr:col>
      <xdr:colOff>494130</xdr:colOff>
      <xdr:row>375</xdr:row>
      <xdr:rowOff>342379</xdr:rowOff>
    </xdr:to>
    <xdr:sp macro="" textlink="">
      <xdr:nvSpPr>
        <xdr:cNvPr id="252" name="star6">
          <a:extLst>
            <a:ext uri="{FF2B5EF4-FFF2-40B4-BE49-F238E27FC236}">
              <a16:creationId xmlns:a16="http://schemas.microsoft.com/office/drawing/2014/main" id="{00000000-0008-0000-1E00-0000FC000000}"/>
            </a:ext>
          </a:extLst>
        </xdr:cNvPr>
        <xdr:cNvSpPr/>
      </xdr:nvSpPr>
      <xdr:spPr>
        <a:xfrm>
          <a:off x="6191025" y="2857500"/>
          <a:ext cx="399105" cy="189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133</xdr:row>
      <xdr:rowOff>62396</xdr:rowOff>
    </xdr:from>
    <xdr:to>
      <xdr:col>1</xdr:col>
      <xdr:colOff>500261</xdr:colOff>
      <xdr:row>134</xdr:row>
      <xdr:rowOff>0</xdr:rowOff>
    </xdr:to>
    <xdr:sp macro="" textlink="">
      <xdr:nvSpPr>
        <xdr:cNvPr id="229" name="star6">
          <a:extLst>
            <a:ext uri="{FF2B5EF4-FFF2-40B4-BE49-F238E27FC236}">
              <a16:creationId xmlns:a16="http://schemas.microsoft.com/office/drawing/2014/main" id="{00000000-0008-0000-1E00-00007B000000}"/>
            </a:ext>
          </a:extLst>
        </xdr:cNvPr>
        <xdr:cNvSpPr/>
      </xdr:nvSpPr>
      <xdr:spPr>
        <a:xfrm>
          <a:off x="1586371" y="6698495"/>
          <a:ext cx="400209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133</xdr:row>
      <xdr:rowOff>23998</xdr:rowOff>
    </xdr:from>
    <xdr:to>
      <xdr:col>8</xdr:col>
      <xdr:colOff>384544</xdr:colOff>
      <xdr:row>133</xdr:row>
      <xdr:rowOff>367977</xdr:rowOff>
    </xdr:to>
    <xdr:sp macro="" textlink="">
      <xdr:nvSpPr>
        <xdr:cNvPr id="230" name="star6">
          <a:extLst>
            <a:ext uri="{FF2B5EF4-FFF2-40B4-BE49-F238E27FC236}">
              <a16:creationId xmlns:a16="http://schemas.microsoft.com/office/drawing/2014/main" id="{00000000-0008-0000-1E00-00007C000000}"/>
            </a:ext>
          </a:extLst>
        </xdr:cNvPr>
        <xdr:cNvSpPr/>
      </xdr:nvSpPr>
      <xdr:spPr>
        <a:xfrm>
          <a:off x="12109155" y="6660097"/>
          <a:ext cx="521818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133</xdr:row>
      <xdr:rowOff>62396</xdr:rowOff>
    </xdr:from>
    <xdr:to>
      <xdr:col>10</xdr:col>
      <xdr:colOff>484068</xdr:colOff>
      <xdr:row>134</xdr:row>
      <xdr:rowOff>0</xdr:rowOff>
    </xdr:to>
    <xdr:sp macro="" textlink="">
      <xdr:nvSpPr>
        <xdr:cNvPr id="234" name="star6">
          <a:extLst>
            <a:ext uri="{FF2B5EF4-FFF2-40B4-BE49-F238E27FC236}">
              <a16:creationId xmlns:a16="http://schemas.microsoft.com/office/drawing/2014/main" id="{00000000-0008-0000-1E00-00007D000000}"/>
            </a:ext>
          </a:extLst>
        </xdr:cNvPr>
        <xdr:cNvSpPr/>
      </xdr:nvSpPr>
      <xdr:spPr>
        <a:xfrm>
          <a:off x="13889861" y="6698495"/>
          <a:ext cx="400223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133</xdr:row>
      <xdr:rowOff>62396</xdr:rowOff>
    </xdr:from>
    <xdr:to>
      <xdr:col>17</xdr:col>
      <xdr:colOff>522778</xdr:colOff>
      <xdr:row>134</xdr:row>
      <xdr:rowOff>0</xdr:rowOff>
    </xdr:to>
    <xdr:sp macro="" textlink="">
      <xdr:nvSpPr>
        <xdr:cNvPr id="235" name="star6">
          <a:extLst>
            <a:ext uri="{FF2B5EF4-FFF2-40B4-BE49-F238E27FC236}">
              <a16:creationId xmlns:a16="http://schemas.microsoft.com/office/drawing/2014/main" id="{00000000-0008-0000-1E00-00007E000000}"/>
            </a:ext>
          </a:extLst>
        </xdr:cNvPr>
        <xdr:cNvSpPr/>
      </xdr:nvSpPr>
      <xdr:spPr>
        <a:xfrm>
          <a:off x="27180045" y="6698495"/>
          <a:ext cx="400013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133</xdr:row>
      <xdr:rowOff>62396</xdr:rowOff>
    </xdr:from>
    <xdr:to>
      <xdr:col>19</xdr:col>
      <xdr:colOff>578719</xdr:colOff>
      <xdr:row>134</xdr:row>
      <xdr:rowOff>0</xdr:rowOff>
    </xdr:to>
    <xdr:sp macro="" textlink="">
      <xdr:nvSpPr>
        <xdr:cNvPr id="237" name="star6">
          <a:extLst>
            <a:ext uri="{FF2B5EF4-FFF2-40B4-BE49-F238E27FC236}">
              <a16:creationId xmlns:a16="http://schemas.microsoft.com/office/drawing/2014/main" id="{00000000-0008-0000-1E00-00007F000000}"/>
            </a:ext>
          </a:extLst>
        </xdr:cNvPr>
        <xdr:cNvSpPr/>
      </xdr:nvSpPr>
      <xdr:spPr>
        <a:xfrm>
          <a:off x="28491517" y="6698495"/>
          <a:ext cx="400526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133</xdr:row>
      <xdr:rowOff>62396</xdr:rowOff>
    </xdr:from>
    <xdr:to>
      <xdr:col>26</xdr:col>
      <xdr:colOff>407427</xdr:colOff>
      <xdr:row>134</xdr:row>
      <xdr:rowOff>0</xdr:rowOff>
    </xdr:to>
    <xdr:sp macro="" textlink="">
      <xdr:nvSpPr>
        <xdr:cNvPr id="238" name="star6">
          <a:extLst>
            <a:ext uri="{FF2B5EF4-FFF2-40B4-BE49-F238E27FC236}">
              <a16:creationId xmlns:a16="http://schemas.microsoft.com/office/drawing/2014/main" id="{00000000-0008-0000-1E00-000080000000}"/>
            </a:ext>
          </a:extLst>
        </xdr:cNvPr>
        <xdr:cNvSpPr/>
      </xdr:nvSpPr>
      <xdr:spPr>
        <a:xfrm>
          <a:off x="38044539" y="6698495"/>
          <a:ext cx="400086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385</xdr:row>
      <xdr:rowOff>62396</xdr:rowOff>
    </xdr:from>
    <xdr:to>
      <xdr:col>1</xdr:col>
      <xdr:colOff>500261</xdr:colOff>
      <xdr:row>386</xdr:row>
      <xdr:rowOff>0</xdr:rowOff>
    </xdr:to>
    <xdr:sp macro="" textlink="">
      <xdr:nvSpPr>
        <xdr:cNvPr id="222" name="star6">
          <a:extLst>
            <a:ext uri="{FF2B5EF4-FFF2-40B4-BE49-F238E27FC236}">
              <a16:creationId xmlns:a16="http://schemas.microsoft.com/office/drawing/2014/main" id="{00000000-0008-0000-1E00-00007B000000}"/>
            </a:ext>
          </a:extLst>
        </xdr:cNvPr>
        <xdr:cNvSpPr/>
      </xdr:nvSpPr>
      <xdr:spPr>
        <a:xfrm>
          <a:off x="1586371" y="6698495"/>
          <a:ext cx="400209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7</xdr:col>
      <xdr:colOff>1003633</xdr:colOff>
      <xdr:row>385</xdr:row>
      <xdr:rowOff>23998</xdr:rowOff>
    </xdr:from>
    <xdr:to>
      <xdr:col>8</xdr:col>
      <xdr:colOff>384544</xdr:colOff>
      <xdr:row>385</xdr:row>
      <xdr:rowOff>367977</xdr:rowOff>
    </xdr:to>
    <xdr:sp macro="" textlink="">
      <xdr:nvSpPr>
        <xdr:cNvPr id="223" name="star6">
          <a:extLst>
            <a:ext uri="{FF2B5EF4-FFF2-40B4-BE49-F238E27FC236}">
              <a16:creationId xmlns:a16="http://schemas.microsoft.com/office/drawing/2014/main" id="{00000000-0008-0000-1E00-00007C000000}"/>
            </a:ext>
          </a:extLst>
        </xdr:cNvPr>
        <xdr:cNvSpPr/>
      </xdr:nvSpPr>
      <xdr:spPr>
        <a:xfrm>
          <a:off x="12109155" y="6660097"/>
          <a:ext cx="521818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83845</xdr:colOff>
      <xdr:row>385</xdr:row>
      <xdr:rowOff>62396</xdr:rowOff>
    </xdr:from>
    <xdr:to>
      <xdr:col>10</xdr:col>
      <xdr:colOff>484068</xdr:colOff>
      <xdr:row>386</xdr:row>
      <xdr:rowOff>0</xdr:rowOff>
    </xdr:to>
    <xdr:sp macro="" textlink="">
      <xdr:nvSpPr>
        <xdr:cNvPr id="225" name="star6">
          <a:extLst>
            <a:ext uri="{FF2B5EF4-FFF2-40B4-BE49-F238E27FC236}">
              <a16:creationId xmlns:a16="http://schemas.microsoft.com/office/drawing/2014/main" id="{00000000-0008-0000-1E00-00007D000000}"/>
            </a:ext>
          </a:extLst>
        </xdr:cNvPr>
        <xdr:cNvSpPr/>
      </xdr:nvSpPr>
      <xdr:spPr>
        <a:xfrm>
          <a:off x="14465548" y="6698495"/>
          <a:ext cx="400223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122765</xdr:colOff>
      <xdr:row>385</xdr:row>
      <xdr:rowOff>62396</xdr:rowOff>
    </xdr:from>
    <xdr:to>
      <xdr:col>17</xdr:col>
      <xdr:colOff>522778</xdr:colOff>
      <xdr:row>386</xdr:row>
      <xdr:rowOff>0</xdr:rowOff>
    </xdr:to>
    <xdr:sp macro="" textlink="">
      <xdr:nvSpPr>
        <xdr:cNvPr id="226" name="star6">
          <a:extLst>
            <a:ext uri="{FF2B5EF4-FFF2-40B4-BE49-F238E27FC236}">
              <a16:creationId xmlns:a16="http://schemas.microsoft.com/office/drawing/2014/main" id="{00000000-0008-0000-1E00-00007E000000}"/>
            </a:ext>
          </a:extLst>
        </xdr:cNvPr>
        <xdr:cNvSpPr/>
      </xdr:nvSpPr>
      <xdr:spPr>
        <a:xfrm>
          <a:off x="28069743" y="6698495"/>
          <a:ext cx="400013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19</xdr:col>
      <xdr:colOff>178193</xdr:colOff>
      <xdr:row>385</xdr:row>
      <xdr:rowOff>62396</xdr:rowOff>
    </xdr:from>
    <xdr:to>
      <xdr:col>19</xdr:col>
      <xdr:colOff>578719</xdr:colOff>
      <xdr:row>386</xdr:row>
      <xdr:rowOff>0</xdr:rowOff>
    </xdr:to>
    <xdr:sp macro="" textlink="">
      <xdr:nvSpPr>
        <xdr:cNvPr id="227" name="star6">
          <a:extLst>
            <a:ext uri="{FF2B5EF4-FFF2-40B4-BE49-F238E27FC236}">
              <a16:creationId xmlns:a16="http://schemas.microsoft.com/office/drawing/2014/main" id="{00000000-0008-0000-1E00-00007F000000}"/>
            </a:ext>
          </a:extLst>
        </xdr:cNvPr>
        <xdr:cNvSpPr/>
      </xdr:nvSpPr>
      <xdr:spPr>
        <a:xfrm>
          <a:off x="29381215" y="6698495"/>
          <a:ext cx="400526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26</xdr:col>
      <xdr:colOff>7341</xdr:colOff>
      <xdr:row>385</xdr:row>
      <xdr:rowOff>62396</xdr:rowOff>
    </xdr:from>
    <xdr:to>
      <xdr:col>26</xdr:col>
      <xdr:colOff>407427</xdr:colOff>
      <xdr:row>386</xdr:row>
      <xdr:rowOff>0</xdr:rowOff>
    </xdr:to>
    <xdr:sp macro="" textlink="">
      <xdr:nvSpPr>
        <xdr:cNvPr id="228" name="star6">
          <a:extLst>
            <a:ext uri="{FF2B5EF4-FFF2-40B4-BE49-F238E27FC236}">
              <a16:creationId xmlns:a16="http://schemas.microsoft.com/office/drawing/2014/main" id="{00000000-0008-0000-1E00-000080000000}"/>
            </a:ext>
          </a:extLst>
        </xdr:cNvPr>
        <xdr:cNvSpPr/>
      </xdr:nvSpPr>
      <xdr:spPr>
        <a:xfrm>
          <a:off x="38934237" y="6698495"/>
          <a:ext cx="400086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10</xdr:col>
      <xdr:colOff>100052</xdr:colOff>
      <xdr:row>385</xdr:row>
      <xdr:rowOff>62396</xdr:rowOff>
    </xdr:from>
    <xdr:to>
      <xdr:col>10</xdr:col>
      <xdr:colOff>500261</xdr:colOff>
      <xdr:row>386</xdr:row>
      <xdr:rowOff>0</xdr:rowOff>
    </xdr:to>
    <xdr:sp macro="" textlink="">
      <xdr:nvSpPr>
        <xdr:cNvPr id="239" name="star6">
          <a:extLst>
            <a:ext uri="{FF2B5EF4-FFF2-40B4-BE49-F238E27FC236}">
              <a16:creationId xmlns:a16="http://schemas.microsoft.com/office/drawing/2014/main" id="{00000000-0008-0000-1E00-00007B000000}"/>
            </a:ext>
          </a:extLst>
        </xdr:cNvPr>
        <xdr:cNvSpPr/>
      </xdr:nvSpPr>
      <xdr:spPr>
        <a:xfrm>
          <a:off x="1586371" y="119124896"/>
          <a:ext cx="400209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16</xdr:col>
      <xdr:colOff>1003633</xdr:colOff>
      <xdr:row>385</xdr:row>
      <xdr:rowOff>23998</xdr:rowOff>
    </xdr:from>
    <xdr:to>
      <xdr:col>17</xdr:col>
      <xdr:colOff>384544</xdr:colOff>
      <xdr:row>385</xdr:row>
      <xdr:rowOff>367977</xdr:rowOff>
    </xdr:to>
    <xdr:sp macro="" textlink="">
      <xdr:nvSpPr>
        <xdr:cNvPr id="253" name="star6">
          <a:extLst>
            <a:ext uri="{FF2B5EF4-FFF2-40B4-BE49-F238E27FC236}">
              <a16:creationId xmlns:a16="http://schemas.microsoft.com/office/drawing/2014/main" id="{00000000-0008-0000-1E00-00007C000000}"/>
            </a:ext>
          </a:extLst>
        </xdr:cNvPr>
        <xdr:cNvSpPr/>
      </xdr:nvSpPr>
      <xdr:spPr>
        <a:xfrm>
          <a:off x="12109155" y="119086498"/>
          <a:ext cx="521818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100052</xdr:colOff>
      <xdr:row>394</xdr:row>
      <xdr:rowOff>62396</xdr:rowOff>
    </xdr:from>
    <xdr:to>
      <xdr:col>1</xdr:col>
      <xdr:colOff>500261</xdr:colOff>
      <xdr:row>395</xdr:row>
      <xdr:rowOff>0</xdr:rowOff>
    </xdr:to>
    <xdr:sp macro="" textlink="">
      <xdr:nvSpPr>
        <xdr:cNvPr id="254" name="star6">
          <a:extLst>
            <a:ext uri="{FF2B5EF4-FFF2-40B4-BE49-F238E27FC236}">
              <a16:creationId xmlns:a16="http://schemas.microsoft.com/office/drawing/2014/main" id="{00000000-0008-0000-1E00-0000BD000000}"/>
            </a:ext>
          </a:extLst>
        </xdr:cNvPr>
        <xdr:cNvSpPr/>
      </xdr:nvSpPr>
      <xdr:spPr>
        <a:xfrm>
          <a:off x="1586371" y="37492506"/>
          <a:ext cx="400209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1013758</xdr:colOff>
      <xdr:row>394</xdr:row>
      <xdr:rowOff>23998</xdr:rowOff>
    </xdr:from>
    <xdr:to>
      <xdr:col>8</xdr:col>
      <xdr:colOff>381000</xdr:colOff>
      <xdr:row>394</xdr:row>
      <xdr:rowOff>367977</xdr:rowOff>
    </xdr:to>
    <xdr:sp macro="" textlink="">
      <xdr:nvSpPr>
        <xdr:cNvPr id="255" name="star6">
          <a:extLst>
            <a:ext uri="{FF2B5EF4-FFF2-40B4-BE49-F238E27FC236}">
              <a16:creationId xmlns:a16="http://schemas.microsoft.com/office/drawing/2014/main" id="{00000000-0008-0000-1E00-0000BE000000}"/>
            </a:ext>
          </a:extLst>
        </xdr:cNvPr>
        <xdr:cNvSpPr/>
      </xdr:nvSpPr>
      <xdr:spPr>
        <a:xfrm>
          <a:off x="12119280" y="37454108"/>
          <a:ext cx="508149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95025</xdr:colOff>
      <xdr:row>394</xdr:row>
      <xdr:rowOff>0</xdr:rowOff>
    </xdr:from>
    <xdr:to>
      <xdr:col>10</xdr:col>
      <xdr:colOff>494130</xdr:colOff>
      <xdr:row>394</xdr:row>
      <xdr:rowOff>342379</xdr:rowOff>
    </xdr:to>
    <xdr:sp macro="" textlink="">
      <xdr:nvSpPr>
        <xdr:cNvPr id="256" name="star6">
          <a:extLst>
            <a:ext uri="{FF2B5EF4-FFF2-40B4-BE49-F238E27FC236}">
              <a16:creationId xmlns:a16="http://schemas.microsoft.com/office/drawing/2014/main" id="{00000000-0008-0000-1E00-0000BF000000}"/>
            </a:ext>
          </a:extLst>
        </xdr:cNvPr>
        <xdr:cNvSpPr/>
      </xdr:nvSpPr>
      <xdr:spPr>
        <a:xfrm>
          <a:off x="14476728" y="37430110"/>
          <a:ext cx="399105" cy="3423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143226</xdr:colOff>
      <xdr:row>394</xdr:row>
      <xdr:rowOff>0</xdr:rowOff>
    </xdr:from>
    <xdr:to>
      <xdr:col>17</xdr:col>
      <xdr:colOff>543239</xdr:colOff>
      <xdr:row>394</xdr:row>
      <xdr:rowOff>329579</xdr:rowOff>
    </xdr:to>
    <xdr:sp macro="" textlink="">
      <xdr:nvSpPr>
        <xdr:cNvPr id="257" name="star6">
          <a:extLst>
            <a:ext uri="{FF2B5EF4-FFF2-40B4-BE49-F238E27FC236}">
              <a16:creationId xmlns:a16="http://schemas.microsoft.com/office/drawing/2014/main" id="{00000000-0008-0000-1E00-0000C0000000}"/>
            </a:ext>
          </a:extLst>
        </xdr:cNvPr>
        <xdr:cNvSpPr/>
      </xdr:nvSpPr>
      <xdr:spPr>
        <a:xfrm>
          <a:off x="28090204" y="37430110"/>
          <a:ext cx="400013" cy="3295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199445</xdr:colOff>
      <xdr:row>394</xdr:row>
      <xdr:rowOff>11199</xdr:rowOff>
    </xdr:from>
    <xdr:to>
      <xdr:col>19</xdr:col>
      <xdr:colOff>599972</xdr:colOff>
      <xdr:row>394</xdr:row>
      <xdr:rowOff>355178</xdr:rowOff>
    </xdr:to>
    <xdr:sp macro="" textlink="">
      <xdr:nvSpPr>
        <xdr:cNvPr id="264" name="star6">
          <a:extLst>
            <a:ext uri="{FF2B5EF4-FFF2-40B4-BE49-F238E27FC236}">
              <a16:creationId xmlns:a16="http://schemas.microsoft.com/office/drawing/2014/main" id="{00000000-0008-0000-1E00-0000C1000000}"/>
            </a:ext>
          </a:extLst>
        </xdr:cNvPr>
        <xdr:cNvSpPr/>
      </xdr:nvSpPr>
      <xdr:spPr>
        <a:xfrm>
          <a:off x="29402467" y="37441309"/>
          <a:ext cx="400527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7341</xdr:colOff>
      <xdr:row>394</xdr:row>
      <xdr:rowOff>23998</xdr:rowOff>
    </xdr:from>
    <xdr:to>
      <xdr:col>26</xdr:col>
      <xdr:colOff>407427</xdr:colOff>
      <xdr:row>394</xdr:row>
      <xdr:rowOff>355178</xdr:rowOff>
    </xdr:to>
    <xdr:sp macro="" textlink="">
      <xdr:nvSpPr>
        <xdr:cNvPr id="265" name="star6">
          <a:extLst>
            <a:ext uri="{FF2B5EF4-FFF2-40B4-BE49-F238E27FC236}">
              <a16:creationId xmlns:a16="http://schemas.microsoft.com/office/drawing/2014/main" id="{00000000-0008-0000-1E00-0000C2000000}"/>
            </a:ext>
          </a:extLst>
        </xdr:cNvPr>
        <xdr:cNvSpPr/>
      </xdr:nvSpPr>
      <xdr:spPr>
        <a:xfrm>
          <a:off x="38934237" y="37454108"/>
          <a:ext cx="400086" cy="33118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100052</xdr:colOff>
      <xdr:row>404</xdr:row>
      <xdr:rowOff>62396</xdr:rowOff>
    </xdr:from>
    <xdr:to>
      <xdr:col>1</xdr:col>
      <xdr:colOff>500261</xdr:colOff>
      <xdr:row>405</xdr:row>
      <xdr:rowOff>0</xdr:rowOff>
    </xdr:to>
    <xdr:sp macro="" textlink="">
      <xdr:nvSpPr>
        <xdr:cNvPr id="266" name="star6">
          <a:extLst>
            <a:ext uri="{FF2B5EF4-FFF2-40B4-BE49-F238E27FC236}">
              <a16:creationId xmlns:a16="http://schemas.microsoft.com/office/drawing/2014/main" id="{00000000-0008-0000-1E00-0000BD000000}"/>
            </a:ext>
          </a:extLst>
        </xdr:cNvPr>
        <xdr:cNvSpPr/>
      </xdr:nvSpPr>
      <xdr:spPr>
        <a:xfrm>
          <a:off x="1586371" y="123594319"/>
          <a:ext cx="400209" cy="345818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1013758</xdr:colOff>
      <xdr:row>404</xdr:row>
      <xdr:rowOff>23998</xdr:rowOff>
    </xdr:from>
    <xdr:to>
      <xdr:col>8</xdr:col>
      <xdr:colOff>381000</xdr:colOff>
      <xdr:row>404</xdr:row>
      <xdr:rowOff>367977</xdr:rowOff>
    </xdr:to>
    <xdr:sp macro="" textlink="">
      <xdr:nvSpPr>
        <xdr:cNvPr id="267" name="star6">
          <a:extLst>
            <a:ext uri="{FF2B5EF4-FFF2-40B4-BE49-F238E27FC236}">
              <a16:creationId xmlns:a16="http://schemas.microsoft.com/office/drawing/2014/main" id="{00000000-0008-0000-1E00-0000BE000000}"/>
            </a:ext>
          </a:extLst>
        </xdr:cNvPr>
        <xdr:cNvSpPr/>
      </xdr:nvSpPr>
      <xdr:spPr>
        <a:xfrm>
          <a:off x="12119280" y="123555921"/>
          <a:ext cx="508149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95025</xdr:colOff>
      <xdr:row>404</xdr:row>
      <xdr:rowOff>0</xdr:rowOff>
    </xdr:from>
    <xdr:to>
      <xdr:col>10</xdr:col>
      <xdr:colOff>494130</xdr:colOff>
      <xdr:row>404</xdr:row>
      <xdr:rowOff>342379</xdr:rowOff>
    </xdr:to>
    <xdr:sp macro="" textlink="">
      <xdr:nvSpPr>
        <xdr:cNvPr id="268" name="star6">
          <a:extLst>
            <a:ext uri="{FF2B5EF4-FFF2-40B4-BE49-F238E27FC236}">
              <a16:creationId xmlns:a16="http://schemas.microsoft.com/office/drawing/2014/main" id="{00000000-0008-0000-1E00-0000BF000000}"/>
            </a:ext>
          </a:extLst>
        </xdr:cNvPr>
        <xdr:cNvSpPr/>
      </xdr:nvSpPr>
      <xdr:spPr>
        <a:xfrm>
          <a:off x="14476728" y="123531923"/>
          <a:ext cx="399105" cy="3423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143226</xdr:colOff>
      <xdr:row>404</xdr:row>
      <xdr:rowOff>0</xdr:rowOff>
    </xdr:from>
    <xdr:to>
      <xdr:col>17</xdr:col>
      <xdr:colOff>543239</xdr:colOff>
      <xdr:row>404</xdr:row>
      <xdr:rowOff>329579</xdr:rowOff>
    </xdr:to>
    <xdr:sp macro="" textlink="">
      <xdr:nvSpPr>
        <xdr:cNvPr id="269" name="star6">
          <a:extLst>
            <a:ext uri="{FF2B5EF4-FFF2-40B4-BE49-F238E27FC236}">
              <a16:creationId xmlns:a16="http://schemas.microsoft.com/office/drawing/2014/main" id="{00000000-0008-0000-1E00-0000C0000000}"/>
            </a:ext>
          </a:extLst>
        </xdr:cNvPr>
        <xdr:cNvSpPr/>
      </xdr:nvSpPr>
      <xdr:spPr>
        <a:xfrm>
          <a:off x="28090204" y="123531923"/>
          <a:ext cx="400013" cy="3295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199445</xdr:colOff>
      <xdr:row>404</xdr:row>
      <xdr:rowOff>11199</xdr:rowOff>
    </xdr:from>
    <xdr:to>
      <xdr:col>19</xdr:col>
      <xdr:colOff>599972</xdr:colOff>
      <xdr:row>404</xdr:row>
      <xdr:rowOff>355178</xdr:rowOff>
    </xdr:to>
    <xdr:sp macro="" textlink="">
      <xdr:nvSpPr>
        <xdr:cNvPr id="270" name="star6">
          <a:extLst>
            <a:ext uri="{FF2B5EF4-FFF2-40B4-BE49-F238E27FC236}">
              <a16:creationId xmlns:a16="http://schemas.microsoft.com/office/drawing/2014/main" id="{00000000-0008-0000-1E00-0000C1000000}"/>
            </a:ext>
          </a:extLst>
        </xdr:cNvPr>
        <xdr:cNvSpPr/>
      </xdr:nvSpPr>
      <xdr:spPr>
        <a:xfrm>
          <a:off x="29695544" y="123543122"/>
          <a:ext cx="400527" cy="343979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7341</xdr:colOff>
      <xdr:row>404</xdr:row>
      <xdr:rowOff>23998</xdr:rowOff>
    </xdr:from>
    <xdr:to>
      <xdr:col>26</xdr:col>
      <xdr:colOff>407427</xdr:colOff>
      <xdr:row>404</xdr:row>
      <xdr:rowOff>355178</xdr:rowOff>
    </xdr:to>
    <xdr:sp macro="" textlink="">
      <xdr:nvSpPr>
        <xdr:cNvPr id="271" name="star6">
          <a:extLst>
            <a:ext uri="{FF2B5EF4-FFF2-40B4-BE49-F238E27FC236}">
              <a16:creationId xmlns:a16="http://schemas.microsoft.com/office/drawing/2014/main" id="{00000000-0008-0000-1E00-0000C2000000}"/>
            </a:ext>
          </a:extLst>
        </xdr:cNvPr>
        <xdr:cNvSpPr/>
      </xdr:nvSpPr>
      <xdr:spPr>
        <a:xfrm>
          <a:off x="39227314" y="123555921"/>
          <a:ext cx="400086" cy="331180"/>
        </a:xfrm>
        <a:prstGeom prst="star6">
          <a:avLst/>
        </a:prstGeom>
        <a:solidFill>
          <a:srgbClr val="FD98FE"/>
        </a:solidFill>
        <a:ln w="9525" cap="flat" cmpd="sng">
          <a:solidFill>
            <a:srgbClr val="36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ION%202025\Production%20Updated%20June%202024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1"/>
      <sheetName val="M-2"/>
      <sheetName val="M-3"/>
      <sheetName val="M-4"/>
      <sheetName val="M-5"/>
      <sheetName val="M-6"/>
      <sheetName val="Big Chair"/>
      <sheetName val="Activa"/>
      <sheetName val="XUV"/>
      <sheetName val="Sumo"/>
      <sheetName val="EV Chair"/>
      <sheetName val="Small Chair"/>
      <sheetName val="Innova"/>
      <sheetName val="Chota Heritage"/>
      <sheetName val="Aless"/>
      <sheetName val="Stool"/>
      <sheetName val="ClipON Stool"/>
      <sheetName val="M.P.Stool"/>
      <sheetName val="Garden Table"/>
      <sheetName val="Tea Table"/>
      <sheetName val="Jordan New"/>
      <sheetName val="Jordan Chair"/>
      <sheetName val="Baba Chair "/>
      <sheetName val="Baby Chair"/>
      <sheetName val="Yoddha"/>
      <sheetName val="Fruit Crate"/>
      <sheetName val="F.Stand &amp; C Table"/>
      <sheetName val="Sheet2"/>
      <sheetName val="Sheet1"/>
      <sheetName val="Dining Table"/>
      <sheetName val="Final Stock New"/>
      <sheetName val="Sheet3"/>
      <sheetName val="Sheet4"/>
    </sheetNames>
    <sheetDataSet>
      <sheetData sheetId="0">
        <row r="115">
          <cell r="AU115">
            <v>214</v>
          </cell>
          <cell r="AZ11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S125"/>
  <sheetViews>
    <sheetView workbookViewId="0">
      <pane xSplit="1" ySplit="4" topLeftCell="B73" activePane="bottomRight" state="frozen"/>
      <selection pane="topRight"/>
      <selection pane="bottomLeft"/>
      <selection pane="bottomRight" activeCell="Q82" sqref="Q82"/>
    </sheetView>
  </sheetViews>
  <sheetFormatPr defaultColWidth="9" defaultRowHeight="15"/>
  <cols>
    <col min="1" max="1" width="22.42578125" style="1970" customWidth="1"/>
    <col min="2" max="2" width="8.42578125" style="1" customWidth="1"/>
    <col min="3" max="3" width="11.42578125" style="1" customWidth="1"/>
    <col min="4" max="4" width="7.42578125" style="1971" customWidth="1"/>
    <col min="5" max="5" width="9.7109375" style="1971" customWidth="1"/>
    <col min="6" max="6" width="11.140625" style="1971" customWidth="1"/>
    <col min="7" max="21" width="9.85546875" style="1971" customWidth="1"/>
    <col min="22" max="24" width="9.7109375" style="1971" customWidth="1"/>
    <col min="25" max="26" width="14.42578125" style="1971" customWidth="1"/>
    <col min="27" max="27" width="9" style="1971" customWidth="1"/>
    <col min="28" max="28" width="9.28515625" style="1971" customWidth="1"/>
    <col min="29" max="30" width="7" style="1971" customWidth="1"/>
    <col min="31" max="32" width="8.140625" style="1971" customWidth="1"/>
    <col min="33" max="33" width="7" style="1971" customWidth="1"/>
    <col min="34" max="38" width="9.85546875" style="1971" customWidth="1"/>
    <col min="39" max="40" width="7" style="1971" customWidth="1"/>
    <col min="41" max="41" width="9.85546875" style="1971" customWidth="1"/>
    <col min="42" max="42" width="8.85546875" style="1971" customWidth="1"/>
    <col min="43" max="43" width="9.5703125" style="1971" customWidth="1"/>
    <col min="44" max="46" width="10.85546875" style="1971" customWidth="1"/>
    <col min="47" max="48" width="14.42578125" style="1971" customWidth="1"/>
    <col min="49" max="49" width="8.140625" style="1971" customWidth="1"/>
    <col min="50" max="50" width="8.28515625" style="1971" customWidth="1"/>
    <col min="51" max="51" width="9.5703125" style="1971" customWidth="1"/>
    <col min="52" max="52" width="13.85546875" style="1971" customWidth="1"/>
    <col min="53" max="53" width="18.7109375" customWidth="1"/>
    <col min="54" max="54" width="17.5703125" customWidth="1"/>
    <col min="55" max="55" width="12.28515625" style="1970" customWidth="1"/>
    <col min="56" max="56" width="16.140625" style="1970" customWidth="1"/>
    <col min="57" max="57" width="15.5703125" style="1970" customWidth="1"/>
    <col min="58" max="272" width="10" customWidth="1"/>
  </cols>
  <sheetData>
    <row r="1" spans="1:123" ht="21" thickBot="1">
      <c r="A1" s="1677">
        <v>46113</v>
      </c>
      <c r="B1" s="1673"/>
      <c r="C1" s="1673"/>
      <c r="D1" s="1673"/>
      <c r="E1" s="1673"/>
      <c r="F1" s="1673"/>
      <c r="G1" s="1673"/>
      <c r="H1" s="1673"/>
      <c r="I1" s="1673"/>
      <c r="J1" s="1673"/>
      <c r="K1" s="1673"/>
      <c r="L1" s="1673"/>
      <c r="M1" s="1673"/>
      <c r="N1" s="1673"/>
      <c r="O1" s="1673"/>
      <c r="P1" s="1673"/>
      <c r="Q1" s="1673"/>
      <c r="R1" s="1673"/>
      <c r="S1" s="1673"/>
      <c r="T1" s="1673"/>
      <c r="U1" s="1673"/>
      <c r="V1" s="1673"/>
      <c r="W1" s="1673"/>
      <c r="X1" s="1673"/>
      <c r="Y1" s="1673"/>
      <c r="Z1" s="1673"/>
      <c r="AA1" s="1673"/>
      <c r="AB1" s="1673"/>
      <c r="AC1" s="1673"/>
      <c r="AD1" s="1673"/>
      <c r="AE1" s="1673"/>
      <c r="AF1" s="1673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1673"/>
      <c r="AS1" s="1673"/>
      <c r="AT1" s="1673"/>
      <c r="AU1" s="1673"/>
      <c r="AV1" s="1673"/>
      <c r="AW1" s="1673"/>
      <c r="AX1" s="1673"/>
      <c r="AY1" s="1673"/>
      <c r="AZ1" s="1673"/>
      <c r="BA1" s="1673"/>
      <c r="BB1" s="1673"/>
      <c r="BC1" s="1673"/>
      <c r="BD1" s="1673"/>
      <c r="BE1" s="1673"/>
    </row>
    <row r="2" spans="1:123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1680"/>
      <c r="AX2" s="1680"/>
      <c r="AY2" s="1680"/>
      <c r="AZ2" s="1680"/>
      <c r="BA2" s="704"/>
      <c r="BB2" s="1932"/>
      <c r="BC2" s="1933">
        <v>1</v>
      </c>
      <c r="BD2" s="1274">
        <v>4</v>
      </c>
      <c r="BE2" s="1274">
        <v>2026</v>
      </c>
    </row>
    <row r="3" spans="1:123" ht="24" thickBot="1">
      <c r="A3" s="1681" t="s">
        <v>0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60"/>
      <c r="AA3" s="3661" t="s">
        <v>2</v>
      </c>
      <c r="AB3" s="3662"/>
      <c r="AC3" s="3662"/>
      <c r="AD3" s="3662"/>
      <c r="AE3" s="3662"/>
      <c r="AF3" s="3662"/>
      <c r="AG3" s="3662"/>
      <c r="AH3" s="3662"/>
      <c r="AI3" s="3662"/>
      <c r="AJ3" s="3662"/>
      <c r="AK3" s="3662"/>
      <c r="AL3" s="3662"/>
      <c r="AM3" s="3662"/>
      <c r="AN3" s="3662"/>
      <c r="AO3" s="3662"/>
      <c r="AP3" s="3662"/>
      <c r="AQ3" s="3662"/>
      <c r="AR3" s="3662"/>
      <c r="AS3" s="3662"/>
      <c r="AT3" s="3662"/>
      <c r="AU3" s="3662"/>
      <c r="AV3" s="3663"/>
      <c r="AW3" s="3664" t="s">
        <v>3</v>
      </c>
      <c r="AX3" s="3665"/>
      <c r="AY3" s="3665"/>
      <c r="AZ3" s="3666"/>
      <c r="BA3" s="704"/>
      <c r="BB3" s="1932"/>
      <c r="BC3" s="1678"/>
      <c r="BD3" s="2493" t="s">
        <v>4</v>
      </c>
      <c r="BE3" s="1934"/>
    </row>
    <row r="4" spans="1:123" ht="64.5" thickBot="1">
      <c r="A4" s="2341" t="s">
        <v>5</v>
      </c>
      <c r="B4" s="2271" t="s">
        <v>6</v>
      </c>
      <c r="C4" s="3667" t="s">
        <v>7</v>
      </c>
      <c r="D4" s="3668"/>
      <c r="E4" s="2809" t="s">
        <v>8</v>
      </c>
      <c r="F4" s="2810" t="s">
        <v>9</v>
      </c>
      <c r="G4" s="2811" t="s">
        <v>10</v>
      </c>
      <c r="H4" s="2812" t="s">
        <v>11</v>
      </c>
      <c r="I4" s="2813" t="s">
        <v>12</v>
      </c>
      <c r="J4" s="3419" t="s">
        <v>423</v>
      </c>
      <c r="K4" s="2814" t="s">
        <v>520</v>
      </c>
      <c r="L4" s="2815" t="s">
        <v>562</v>
      </c>
      <c r="M4" s="3269" t="s">
        <v>14</v>
      </c>
      <c r="N4" s="2770" t="s">
        <v>417</v>
      </c>
      <c r="O4" s="3355" t="s">
        <v>15</v>
      </c>
      <c r="P4" s="2796" t="s">
        <v>16</v>
      </c>
      <c r="Q4" s="2832" t="s">
        <v>17</v>
      </c>
      <c r="R4" s="2797" t="s">
        <v>18</v>
      </c>
      <c r="S4" s="2012" t="s">
        <v>19</v>
      </c>
      <c r="T4" s="2798" t="s">
        <v>20</v>
      </c>
      <c r="U4" s="2799" t="s">
        <v>21</v>
      </c>
      <c r="V4" s="2800" t="s">
        <v>568</v>
      </c>
      <c r="W4" s="2801" t="s">
        <v>22</v>
      </c>
      <c r="X4" s="2802" t="s">
        <v>23</v>
      </c>
      <c r="Y4" s="2305" t="s">
        <v>24</v>
      </c>
      <c r="Z4" s="2803" t="s">
        <v>197</v>
      </c>
      <c r="AA4" s="2804" t="s">
        <v>8</v>
      </c>
      <c r="AB4" s="2805" t="s">
        <v>9</v>
      </c>
      <c r="AC4" s="2806" t="s">
        <v>10</v>
      </c>
      <c r="AD4" s="2807" t="s">
        <v>11</v>
      </c>
      <c r="AE4" s="2808" t="s">
        <v>12</v>
      </c>
      <c r="AF4" s="3419" t="s">
        <v>423</v>
      </c>
      <c r="AG4" s="2814" t="s">
        <v>520</v>
      </c>
      <c r="AH4" s="2815" t="s">
        <v>562</v>
      </c>
      <c r="AI4" s="3269" t="s">
        <v>14</v>
      </c>
      <c r="AJ4" s="2788" t="s">
        <v>417</v>
      </c>
      <c r="AK4" s="3363" t="s">
        <v>15</v>
      </c>
      <c r="AL4" s="2789" t="s">
        <v>16</v>
      </c>
      <c r="AM4" s="2895" t="s">
        <v>17</v>
      </c>
      <c r="AN4" s="2790" t="str">
        <f>R4</f>
        <v>Heritage</v>
      </c>
      <c r="AO4" s="2132" t="s">
        <v>19</v>
      </c>
      <c r="AP4" s="2791" t="str">
        <f>T4</f>
        <v>Fruit Crate</v>
      </c>
      <c r="AQ4" s="2792" t="str">
        <f>U4</f>
        <v>ALess</v>
      </c>
      <c r="AR4" s="2800" t="s">
        <v>568</v>
      </c>
      <c r="AS4" s="2793" t="s">
        <v>22</v>
      </c>
      <c r="AT4" s="2794" t="s">
        <v>23</v>
      </c>
      <c r="AU4" s="1936" t="s">
        <v>24</v>
      </c>
      <c r="AV4" s="2795" t="s">
        <v>197</v>
      </c>
      <c r="AW4" s="2528" t="s">
        <v>498</v>
      </c>
      <c r="AX4" s="2010" t="s">
        <v>25</v>
      </c>
      <c r="AY4" s="2464" t="s">
        <v>445</v>
      </c>
      <c r="AZ4" s="2091" t="s">
        <v>26</v>
      </c>
      <c r="BA4" s="2093" t="s">
        <v>27</v>
      </c>
      <c r="BB4" s="2093" t="s">
        <v>28</v>
      </c>
      <c r="BC4" s="1953" t="s">
        <v>29</v>
      </c>
      <c r="BD4" s="1958" t="s">
        <v>30</v>
      </c>
      <c r="BE4" s="1953" t="s">
        <v>31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spans="1:123" ht="19.5" customHeight="1" thickBot="1">
      <c r="A5" s="3648">
        <v>46116</v>
      </c>
      <c r="B5" s="1995" t="s">
        <v>32</v>
      </c>
      <c r="C5" s="3649">
        <f>SUM(D5:D6)</f>
        <v>180</v>
      </c>
      <c r="D5" s="2342">
        <f t="shared" ref="D5:D16" si="0">SUM(E5:AZ5)</f>
        <v>180</v>
      </c>
      <c r="E5" s="2343"/>
      <c r="F5" s="2344"/>
      <c r="G5" s="2345"/>
      <c r="H5" s="2346"/>
      <c r="I5" s="2382"/>
      <c r="J5" s="3420"/>
      <c r="K5" s="2383"/>
      <c r="L5" s="2384"/>
      <c r="M5" s="3270"/>
      <c r="N5" s="2771"/>
      <c r="O5" s="3356"/>
      <c r="P5" s="2385"/>
      <c r="Q5" s="2386">
        <v>156</v>
      </c>
      <c r="R5" s="2387"/>
      <c r="S5" s="2388"/>
      <c r="T5" s="2424"/>
      <c r="U5" s="2425"/>
      <c r="V5" s="2426"/>
      <c r="W5" s="2757"/>
      <c r="X5" s="2427"/>
      <c r="Y5" s="2524"/>
      <c r="Z5" s="2736"/>
      <c r="AA5" s="1720"/>
      <c r="AB5" s="1721"/>
      <c r="AC5" s="2353"/>
      <c r="AD5" s="1723"/>
      <c r="AE5" s="1792"/>
      <c r="AF5" s="3422"/>
      <c r="AG5" s="1791"/>
      <c r="AH5" s="2396"/>
      <c r="AI5" s="3272"/>
      <c r="AJ5" s="2773"/>
      <c r="AK5" s="3358"/>
      <c r="AL5" s="2397"/>
      <c r="AM5" s="1793"/>
      <c r="AN5" s="1796"/>
      <c r="AO5" s="1797"/>
      <c r="AP5" s="2434"/>
      <c r="AQ5" s="1848"/>
      <c r="AR5" s="2080"/>
      <c r="AS5" s="2750"/>
      <c r="AT5" s="2081"/>
      <c r="AU5" s="1851"/>
      <c r="AV5" s="2743"/>
      <c r="AW5" s="2465"/>
      <c r="AX5" s="2386">
        <v>24</v>
      </c>
      <c r="AY5" s="2466"/>
      <c r="AZ5" s="2428"/>
      <c r="BA5" s="3634">
        <f>SUM(E5:Z6)</f>
        <v>156</v>
      </c>
      <c r="BB5" s="3634">
        <f>SUM(E5:AV6)</f>
        <v>156</v>
      </c>
      <c r="BC5" s="1954">
        <v>9003</v>
      </c>
      <c r="BD5" s="1954" t="s">
        <v>533</v>
      </c>
      <c r="BE5" s="3630" t="s">
        <v>33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</row>
    <row r="6" spans="1:123" ht="21" customHeight="1" thickBot="1">
      <c r="A6" s="3647"/>
      <c r="B6" s="1724" t="s">
        <v>34</v>
      </c>
      <c r="C6" s="3650"/>
      <c r="D6" s="1734">
        <f t="shared" si="0"/>
        <v>0</v>
      </c>
      <c r="E6" s="2352"/>
      <c r="F6" s="2185"/>
      <c r="G6" s="2350"/>
      <c r="H6" s="2351"/>
      <c r="I6" s="2389"/>
      <c r="J6" s="3421"/>
      <c r="K6" s="2390"/>
      <c r="L6" s="2391"/>
      <c r="M6" s="3271"/>
      <c r="N6" s="2772"/>
      <c r="O6" s="3357"/>
      <c r="P6" s="2392"/>
      <c r="Q6" s="2393"/>
      <c r="R6" s="2394"/>
      <c r="S6" s="2395"/>
      <c r="T6" s="2429"/>
      <c r="U6" s="2430"/>
      <c r="V6" s="2431"/>
      <c r="W6" s="2758"/>
      <c r="X6" s="2432"/>
      <c r="Y6" s="2463"/>
      <c r="Z6" s="2737"/>
      <c r="AA6" s="2184"/>
      <c r="AB6" s="2185"/>
      <c r="AC6" s="2356"/>
      <c r="AD6" s="2216"/>
      <c r="AE6" s="2398"/>
      <c r="AF6" s="3424"/>
      <c r="AG6" s="2399"/>
      <c r="AH6" s="2400"/>
      <c r="AI6" s="3274"/>
      <c r="AJ6" s="2774"/>
      <c r="AK6" s="3360"/>
      <c r="AL6" s="2401"/>
      <c r="AM6" s="2220"/>
      <c r="AN6" s="2245"/>
      <c r="AO6" s="2402"/>
      <c r="AP6" s="2436"/>
      <c r="AQ6" s="2246"/>
      <c r="AR6" s="2437"/>
      <c r="AS6" s="2752"/>
      <c r="AT6" s="2438"/>
      <c r="AU6" s="2262"/>
      <c r="AV6" s="2745"/>
      <c r="AW6" s="2468"/>
      <c r="AX6" s="2393"/>
      <c r="AY6" s="2467"/>
      <c r="AZ6" s="2433"/>
      <c r="BA6" s="3634"/>
      <c r="BB6" s="3634"/>
      <c r="BC6" s="1954"/>
      <c r="BD6" s="1954"/>
      <c r="BE6" s="363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</row>
    <row r="7" spans="1:123" ht="15.75" customHeight="1" thickBot="1">
      <c r="A7" s="3648">
        <v>46121</v>
      </c>
      <c r="B7" s="1688" t="s">
        <v>32</v>
      </c>
      <c r="C7" s="3639">
        <f>SUM(D7:D10)</f>
        <v>272</v>
      </c>
      <c r="D7" s="1689">
        <f t="shared" si="0"/>
        <v>272</v>
      </c>
      <c r="E7" s="1720"/>
      <c r="F7" s="1721"/>
      <c r="G7" s="2353"/>
      <c r="H7" s="1723"/>
      <c r="I7" s="1792"/>
      <c r="J7" s="3422"/>
      <c r="K7" s="1791"/>
      <c r="L7" s="2396"/>
      <c r="M7" s="3272"/>
      <c r="N7" s="2773"/>
      <c r="O7" s="3358"/>
      <c r="P7" s="2397"/>
      <c r="Q7" s="1793">
        <v>252</v>
      </c>
      <c r="R7" s="1796"/>
      <c r="S7" s="1797"/>
      <c r="T7" s="2434"/>
      <c r="U7" s="1848"/>
      <c r="V7" s="2435"/>
      <c r="W7" s="2759"/>
      <c r="X7" s="1850"/>
      <c r="Y7" s="2177"/>
      <c r="Z7" s="2738"/>
      <c r="AA7" s="1720"/>
      <c r="AB7" s="1721"/>
      <c r="AC7" s="2353"/>
      <c r="AD7" s="1723"/>
      <c r="AE7" s="1792"/>
      <c r="AF7" s="3422"/>
      <c r="AG7" s="1791"/>
      <c r="AH7" s="2396"/>
      <c r="AI7" s="3272"/>
      <c r="AJ7" s="2773"/>
      <c r="AK7" s="3358"/>
      <c r="AL7" s="2397"/>
      <c r="AM7" s="1793">
        <v>3</v>
      </c>
      <c r="AN7" s="1796"/>
      <c r="AO7" s="1797"/>
      <c r="AP7" s="2434"/>
      <c r="AQ7" s="1848"/>
      <c r="AR7" s="2080"/>
      <c r="AS7" s="2750"/>
      <c r="AT7" s="2081"/>
      <c r="AU7" s="1851"/>
      <c r="AV7" s="2743"/>
      <c r="AW7" s="2378"/>
      <c r="AX7" s="1793">
        <v>17</v>
      </c>
      <c r="AY7" s="2469"/>
      <c r="AZ7" s="1851"/>
      <c r="BA7" s="3633">
        <f>SUM(E7:Z10)</f>
        <v>252</v>
      </c>
      <c r="BB7" s="3633">
        <f>SUM(E7:AV10)</f>
        <v>255</v>
      </c>
      <c r="BC7" s="1954">
        <v>9003</v>
      </c>
      <c r="BD7" s="1942" t="s">
        <v>533</v>
      </c>
      <c r="BE7" s="3629" t="s">
        <v>33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spans="1:123" ht="15.75" customHeight="1" thickBot="1">
      <c r="A8" s="3646"/>
      <c r="B8" s="1694" t="s">
        <v>34</v>
      </c>
      <c r="C8" s="3640"/>
      <c r="D8" s="2357">
        <f t="shared" ref="D8" si="1">SUM(E8:AZ8)</f>
        <v>0</v>
      </c>
      <c r="E8" s="2348"/>
      <c r="F8" s="2349"/>
      <c r="G8" s="2350"/>
      <c r="H8" s="2351"/>
      <c r="I8" s="2389"/>
      <c r="J8" s="3421"/>
      <c r="K8" s="2390"/>
      <c r="L8" s="2391"/>
      <c r="M8" s="3271"/>
      <c r="N8" s="2772"/>
      <c r="O8" s="3357"/>
      <c r="P8" s="2392"/>
      <c r="Q8" s="2393"/>
      <c r="R8" s="2394"/>
      <c r="S8" s="2395"/>
      <c r="T8" s="2429"/>
      <c r="U8" s="2430"/>
      <c r="V8" s="2431"/>
      <c r="W8" s="2758"/>
      <c r="X8" s="2432"/>
      <c r="Y8" s="2463"/>
      <c r="Z8" s="2737"/>
      <c r="AA8" s="2534"/>
      <c r="AB8" s="2358"/>
      <c r="AC8" s="2359"/>
      <c r="AD8" s="2360"/>
      <c r="AE8" s="2403"/>
      <c r="AF8" s="3423"/>
      <c r="AG8" s="2404"/>
      <c r="AH8" s="2405"/>
      <c r="AI8" s="3273"/>
      <c r="AJ8" s="2775"/>
      <c r="AK8" s="3359"/>
      <c r="AL8" s="2406"/>
      <c r="AM8" s="2407"/>
      <c r="AN8" s="2408"/>
      <c r="AO8" s="2409"/>
      <c r="AP8" s="2439"/>
      <c r="AQ8" s="2440"/>
      <c r="AR8" s="2523"/>
      <c r="AS8" s="2751"/>
      <c r="AT8" s="2533"/>
      <c r="AU8" s="2443"/>
      <c r="AV8" s="2746"/>
      <c r="AW8" s="2468"/>
      <c r="AX8" s="2393"/>
      <c r="AY8" s="2467"/>
      <c r="AZ8" s="2433"/>
      <c r="BA8" s="3634"/>
      <c r="BB8" s="3634"/>
      <c r="BC8" s="1954"/>
      <c r="BD8" s="1942"/>
      <c r="BE8" s="3630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</row>
    <row r="9" spans="1:123" ht="15.75" customHeight="1" thickBot="1">
      <c r="A9" s="3646"/>
      <c r="B9" s="1694" t="s">
        <v>34</v>
      </c>
      <c r="C9" s="3640"/>
      <c r="D9" s="2357">
        <f t="shared" ref="D9" si="2">SUM(E9:AZ9)</f>
        <v>0</v>
      </c>
      <c r="E9" s="2348"/>
      <c r="F9" s="2349"/>
      <c r="G9" s="2350"/>
      <c r="H9" s="2351"/>
      <c r="I9" s="2389"/>
      <c r="J9" s="3421"/>
      <c r="K9" s="2390"/>
      <c r="L9" s="2391"/>
      <c r="M9" s="3271"/>
      <c r="N9" s="2772"/>
      <c r="O9" s="3357"/>
      <c r="P9" s="2392"/>
      <c r="Q9" s="2393"/>
      <c r="R9" s="2394"/>
      <c r="S9" s="2395"/>
      <c r="T9" s="2429"/>
      <c r="U9" s="2430"/>
      <c r="V9" s="2431"/>
      <c r="W9" s="2758"/>
      <c r="X9" s="2432"/>
      <c r="Y9" s="2463"/>
      <c r="Z9" s="2737"/>
      <c r="AA9" s="2534"/>
      <c r="AB9" s="2358"/>
      <c r="AC9" s="2359"/>
      <c r="AD9" s="2360"/>
      <c r="AE9" s="2403"/>
      <c r="AF9" s="3423"/>
      <c r="AG9" s="2404"/>
      <c r="AH9" s="2405"/>
      <c r="AI9" s="3273"/>
      <c r="AJ9" s="2775"/>
      <c r="AK9" s="3359"/>
      <c r="AL9" s="2406"/>
      <c r="AM9" s="2407"/>
      <c r="AN9" s="2408"/>
      <c r="AO9" s="2409"/>
      <c r="AP9" s="2439"/>
      <c r="AQ9" s="2440"/>
      <c r="AR9" s="2523"/>
      <c r="AS9" s="2751"/>
      <c r="AT9" s="2533"/>
      <c r="AU9" s="2443"/>
      <c r="AV9" s="2746"/>
      <c r="AW9" s="2468"/>
      <c r="AX9" s="2393"/>
      <c r="AY9" s="2467"/>
      <c r="AZ9" s="2433"/>
      <c r="BA9" s="3634"/>
      <c r="BB9" s="3634"/>
      <c r="BC9" s="1954"/>
      <c r="BD9" s="1942"/>
      <c r="BE9" s="3630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</row>
    <row r="10" spans="1:123" s="76" customFormat="1" ht="15.75" customHeight="1" thickBot="1">
      <c r="A10" s="3646"/>
      <c r="B10" s="1728" t="s">
        <v>34</v>
      </c>
      <c r="C10" s="3640"/>
      <c r="D10" s="1734">
        <f t="shared" si="0"/>
        <v>0</v>
      </c>
      <c r="E10" s="2355"/>
      <c r="F10" s="2349"/>
      <c r="G10" s="2350"/>
      <c r="H10" s="2351"/>
      <c r="I10" s="2389"/>
      <c r="J10" s="3421"/>
      <c r="K10" s="2390"/>
      <c r="L10" s="2391"/>
      <c r="M10" s="3271"/>
      <c r="N10" s="2772"/>
      <c r="O10" s="3357"/>
      <c r="P10" s="2392"/>
      <c r="Q10" s="2393"/>
      <c r="R10" s="2394"/>
      <c r="S10" s="2395"/>
      <c r="T10" s="2429"/>
      <c r="U10" s="2430"/>
      <c r="V10" s="2431"/>
      <c r="W10" s="2760"/>
      <c r="X10" s="2250"/>
      <c r="Y10" s="2183"/>
      <c r="Z10" s="2739"/>
      <c r="AA10" s="2184"/>
      <c r="AB10" s="2185"/>
      <c r="AC10" s="2356"/>
      <c r="AD10" s="2216"/>
      <c r="AE10" s="2398"/>
      <c r="AF10" s="3424"/>
      <c r="AG10" s="2399"/>
      <c r="AH10" s="2400"/>
      <c r="AI10" s="3274"/>
      <c r="AJ10" s="2774"/>
      <c r="AK10" s="3360"/>
      <c r="AL10" s="2401"/>
      <c r="AM10" s="2220"/>
      <c r="AN10" s="2245"/>
      <c r="AO10" s="2402"/>
      <c r="AP10" s="2436"/>
      <c r="AQ10" s="2246"/>
      <c r="AR10" s="2437"/>
      <c r="AS10" s="2752"/>
      <c r="AT10" s="2438"/>
      <c r="AU10" s="2262"/>
      <c r="AV10" s="2745"/>
      <c r="AW10" s="2468"/>
      <c r="AX10" s="2393"/>
      <c r="AY10" s="2467"/>
      <c r="AZ10" s="2433"/>
      <c r="BA10" s="3634"/>
      <c r="BB10" s="3634"/>
      <c r="BC10" s="1954"/>
      <c r="BD10" s="1942"/>
      <c r="BE10" s="3630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 ht="15.75" customHeight="1" thickBot="1">
      <c r="A11" s="3648">
        <v>46122</v>
      </c>
      <c r="B11" s="1688" t="s">
        <v>32</v>
      </c>
      <c r="C11" s="3651">
        <f>SUM(D11:D14)</f>
        <v>703</v>
      </c>
      <c r="D11" s="1719">
        <f t="shared" si="0"/>
        <v>227</v>
      </c>
      <c r="E11" s="1720"/>
      <c r="F11" s="1721"/>
      <c r="G11" s="2353"/>
      <c r="H11" s="1723"/>
      <c r="I11" s="1792"/>
      <c r="J11" s="3422"/>
      <c r="K11" s="1791"/>
      <c r="L11" s="2396"/>
      <c r="M11" s="3272"/>
      <c r="N11" s="2773"/>
      <c r="O11" s="3358"/>
      <c r="P11" s="2397"/>
      <c r="Q11" s="1793">
        <v>216</v>
      </c>
      <c r="R11" s="1796"/>
      <c r="S11" s="1797"/>
      <c r="T11" s="2434"/>
      <c r="U11" s="1848"/>
      <c r="V11" s="2080"/>
      <c r="W11" s="2761"/>
      <c r="X11" s="2456"/>
      <c r="Y11" s="2527"/>
      <c r="Z11" s="2740"/>
      <c r="AA11" s="1720"/>
      <c r="AB11" s="1721"/>
      <c r="AC11" s="2353"/>
      <c r="AD11" s="1723"/>
      <c r="AE11" s="1792"/>
      <c r="AF11" s="3422"/>
      <c r="AG11" s="1791"/>
      <c r="AH11" s="2396"/>
      <c r="AI11" s="3272"/>
      <c r="AJ11" s="2773"/>
      <c r="AK11" s="3358"/>
      <c r="AL11" s="2397"/>
      <c r="AM11" s="1793"/>
      <c r="AN11" s="1796"/>
      <c r="AO11" s="1797"/>
      <c r="AP11" s="2434"/>
      <c r="AQ11" s="1848"/>
      <c r="AR11" s="2080"/>
      <c r="AS11" s="2750"/>
      <c r="AT11" s="2081"/>
      <c r="AU11" s="1851"/>
      <c r="AV11" s="2743"/>
      <c r="AW11" s="2378"/>
      <c r="AX11" s="1793">
        <v>11</v>
      </c>
      <c r="AY11" s="2470"/>
      <c r="AZ11" s="1851"/>
      <c r="BA11" s="3642">
        <f>SUM(E11:Z14)</f>
        <v>680</v>
      </c>
      <c r="BB11" s="3636">
        <f>SUM(E11:AV14)</f>
        <v>687</v>
      </c>
      <c r="BC11" s="1954">
        <v>9003</v>
      </c>
      <c r="BD11" s="1942" t="s">
        <v>533</v>
      </c>
      <c r="BE11" s="3632" t="s">
        <v>33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</row>
    <row r="12" spans="1:123" ht="15.75" customHeight="1" thickBot="1">
      <c r="A12" s="3646"/>
      <c r="B12" s="1694" t="s">
        <v>34</v>
      </c>
      <c r="C12" s="3652"/>
      <c r="D12" s="2357">
        <f t="shared" si="0"/>
        <v>476</v>
      </c>
      <c r="E12" s="2348"/>
      <c r="F12" s="2349"/>
      <c r="G12" s="2350"/>
      <c r="H12" s="2351"/>
      <c r="I12" s="2389"/>
      <c r="J12" s="3421"/>
      <c r="K12" s="2390"/>
      <c r="L12" s="2391"/>
      <c r="M12" s="3271"/>
      <c r="N12" s="2772"/>
      <c r="O12" s="3357"/>
      <c r="P12" s="2392"/>
      <c r="Q12" s="2393"/>
      <c r="R12" s="2394"/>
      <c r="S12" s="2395"/>
      <c r="T12" s="2429"/>
      <c r="U12" s="2430"/>
      <c r="V12" s="2431"/>
      <c r="W12" s="2758">
        <v>464</v>
      </c>
      <c r="X12" s="2432"/>
      <c r="Y12" s="2463"/>
      <c r="Z12" s="2737"/>
      <c r="AA12" s="2534"/>
      <c r="AB12" s="2358"/>
      <c r="AC12" s="2359"/>
      <c r="AD12" s="2360"/>
      <c r="AE12" s="2403"/>
      <c r="AF12" s="3423"/>
      <c r="AG12" s="2404"/>
      <c r="AH12" s="2405"/>
      <c r="AI12" s="3273"/>
      <c r="AJ12" s="2775"/>
      <c r="AK12" s="3359"/>
      <c r="AL12" s="2406"/>
      <c r="AM12" s="2407"/>
      <c r="AN12" s="2408"/>
      <c r="AO12" s="2409"/>
      <c r="AP12" s="2439"/>
      <c r="AQ12" s="2440"/>
      <c r="AR12" s="2523"/>
      <c r="AS12" s="2751">
        <v>7</v>
      </c>
      <c r="AT12" s="2533"/>
      <c r="AU12" s="2443"/>
      <c r="AV12" s="2746"/>
      <c r="AW12" s="2468"/>
      <c r="AX12" s="2393"/>
      <c r="AY12" s="2467"/>
      <c r="AZ12" s="2433">
        <v>5</v>
      </c>
      <c r="BA12" s="3643"/>
      <c r="BB12" s="3637"/>
      <c r="BC12" s="1954" t="s">
        <v>614</v>
      </c>
      <c r="BD12" s="1942" t="s">
        <v>466</v>
      </c>
      <c r="BE12" s="3632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1:123" ht="15.75" customHeight="1" thickBot="1">
      <c r="A13" s="3646"/>
      <c r="B13" s="1694" t="s">
        <v>34</v>
      </c>
      <c r="C13" s="3652"/>
      <c r="D13" s="2357">
        <f t="shared" si="0"/>
        <v>0</v>
      </c>
      <c r="E13" s="2896"/>
      <c r="F13" s="2358"/>
      <c r="G13" s="2359"/>
      <c r="H13" s="2360"/>
      <c r="I13" s="2403"/>
      <c r="J13" s="3423"/>
      <c r="K13" s="2404"/>
      <c r="L13" s="2405"/>
      <c r="M13" s="3273"/>
      <c r="N13" s="2775"/>
      <c r="O13" s="3359"/>
      <c r="P13" s="2406"/>
      <c r="Q13" s="2407"/>
      <c r="R13" s="2408"/>
      <c r="S13" s="2409"/>
      <c r="T13" s="2439"/>
      <c r="U13" s="2440"/>
      <c r="V13" s="2441"/>
      <c r="W13" s="2763"/>
      <c r="X13" s="2442"/>
      <c r="Y13" s="2525"/>
      <c r="Z13" s="2746"/>
      <c r="AA13" s="2534"/>
      <c r="AB13" s="2358"/>
      <c r="AC13" s="2359"/>
      <c r="AD13" s="2360"/>
      <c r="AE13" s="2403"/>
      <c r="AF13" s="3423"/>
      <c r="AG13" s="2404"/>
      <c r="AH13" s="2405"/>
      <c r="AI13" s="3273"/>
      <c r="AJ13" s="2775"/>
      <c r="AK13" s="3359"/>
      <c r="AL13" s="2406"/>
      <c r="AM13" s="2407"/>
      <c r="AN13" s="2408"/>
      <c r="AO13" s="2409"/>
      <c r="AP13" s="2439"/>
      <c r="AQ13" s="2440"/>
      <c r="AR13" s="2523"/>
      <c r="AS13" s="2751"/>
      <c r="AT13" s="2533"/>
      <c r="AU13" s="2443"/>
      <c r="AV13" s="2746"/>
      <c r="AW13" s="2468"/>
      <c r="AX13" s="2393"/>
      <c r="AY13" s="2467"/>
      <c r="AZ13" s="2433"/>
      <c r="BA13" s="3643"/>
      <c r="BB13" s="3637"/>
      <c r="BC13" s="1954"/>
      <c r="BD13" s="1942"/>
      <c r="BE13" s="3632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</row>
    <row r="14" spans="1:123" ht="15.75" customHeight="1" thickBot="1">
      <c r="A14" s="3646"/>
      <c r="B14" s="1724" t="s">
        <v>34</v>
      </c>
      <c r="C14" s="3652"/>
      <c r="D14" s="1705">
        <f t="shared" si="0"/>
        <v>0</v>
      </c>
      <c r="E14" s="2184"/>
      <c r="F14" s="2185"/>
      <c r="G14" s="2356"/>
      <c r="H14" s="2216"/>
      <c r="I14" s="2398"/>
      <c r="J14" s="3424"/>
      <c r="K14" s="2399"/>
      <c r="L14" s="2400"/>
      <c r="M14" s="3274"/>
      <c r="N14" s="2774"/>
      <c r="O14" s="3360"/>
      <c r="P14" s="2401"/>
      <c r="Q14" s="2220"/>
      <c r="R14" s="2245"/>
      <c r="S14" s="2402"/>
      <c r="T14" s="2436"/>
      <c r="U14" s="2246"/>
      <c r="V14" s="2437"/>
      <c r="W14" s="2762"/>
      <c r="X14" s="2438"/>
      <c r="Y14" s="2183"/>
      <c r="Z14" s="2739"/>
      <c r="AA14" s="2184"/>
      <c r="AB14" s="2185"/>
      <c r="AC14" s="2356"/>
      <c r="AD14" s="2216"/>
      <c r="AE14" s="2398"/>
      <c r="AF14" s="3424"/>
      <c r="AG14" s="2399"/>
      <c r="AH14" s="2400"/>
      <c r="AI14" s="3274"/>
      <c r="AJ14" s="2774"/>
      <c r="AK14" s="3360"/>
      <c r="AL14" s="2401"/>
      <c r="AM14" s="2220"/>
      <c r="AN14" s="2245"/>
      <c r="AO14" s="2402"/>
      <c r="AP14" s="2436"/>
      <c r="AQ14" s="2246"/>
      <c r="AR14" s="2437"/>
      <c r="AS14" s="2752"/>
      <c r="AT14" s="2438"/>
      <c r="AU14" s="2262"/>
      <c r="AV14" s="2745"/>
      <c r="AW14" s="2529"/>
      <c r="AX14" s="2220"/>
      <c r="AY14" s="2471"/>
      <c r="AZ14" s="2262"/>
      <c r="BA14" s="3643"/>
      <c r="BB14" s="3637"/>
      <c r="BC14" s="1954"/>
      <c r="BD14" s="1942"/>
      <c r="BE14" s="3632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 ht="15.75" customHeight="1" thickBot="1">
      <c r="A15" s="3648">
        <v>46123</v>
      </c>
      <c r="B15" s="1688" t="s">
        <v>32</v>
      </c>
      <c r="C15" s="3639">
        <f>SUM(D15:D18)</f>
        <v>704</v>
      </c>
      <c r="D15" s="2001">
        <f t="shared" si="0"/>
        <v>256</v>
      </c>
      <c r="E15" s="2343"/>
      <c r="F15" s="2344"/>
      <c r="G15" s="2345"/>
      <c r="H15" s="2346"/>
      <c r="I15" s="2382"/>
      <c r="J15" s="3420"/>
      <c r="K15" s="2383"/>
      <c r="L15" s="2384"/>
      <c r="M15" s="3270"/>
      <c r="N15" s="2771"/>
      <c r="O15" s="3356"/>
      <c r="P15" s="2385"/>
      <c r="Q15" s="2386"/>
      <c r="R15" s="2387"/>
      <c r="S15" s="2388"/>
      <c r="T15" s="2424"/>
      <c r="U15" s="2425"/>
      <c r="V15" s="2426"/>
      <c r="W15" s="2757">
        <v>256</v>
      </c>
      <c r="X15" s="2427"/>
      <c r="Y15" s="2524"/>
      <c r="Z15" s="2736"/>
      <c r="AA15" s="1720"/>
      <c r="AB15" s="1721"/>
      <c r="AC15" s="2353"/>
      <c r="AD15" s="1723"/>
      <c r="AE15" s="1792"/>
      <c r="AF15" s="3422"/>
      <c r="AG15" s="1791"/>
      <c r="AH15" s="2396"/>
      <c r="AI15" s="3272"/>
      <c r="AJ15" s="2773"/>
      <c r="AK15" s="3358"/>
      <c r="AL15" s="2397"/>
      <c r="AM15" s="1793"/>
      <c r="AN15" s="1796"/>
      <c r="AO15" s="1797"/>
      <c r="AP15" s="2434"/>
      <c r="AQ15" s="1848"/>
      <c r="AR15" s="2080"/>
      <c r="AS15" s="2750"/>
      <c r="AT15" s="2081"/>
      <c r="AU15" s="1851"/>
      <c r="AV15" s="2743"/>
      <c r="AW15" s="2465"/>
      <c r="AX15" s="2386"/>
      <c r="AY15" s="2466"/>
      <c r="AZ15" s="2428"/>
      <c r="BA15" s="3633">
        <f>SUM(E15:Z18)</f>
        <v>688</v>
      </c>
      <c r="BB15" s="3633">
        <f>SUM(E15:AV18)</f>
        <v>695</v>
      </c>
      <c r="BC15" s="1954" t="s">
        <v>614</v>
      </c>
      <c r="BD15" s="1942" t="s">
        <v>615</v>
      </c>
      <c r="BE15" s="3629" t="s">
        <v>33</v>
      </c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</row>
    <row r="16" spans="1:123" ht="15.75" customHeight="1" thickBot="1">
      <c r="A16" s="3646"/>
      <c r="B16" s="1694" t="s">
        <v>34</v>
      </c>
      <c r="C16" s="3640"/>
      <c r="D16" s="2357">
        <f t="shared" si="0"/>
        <v>448</v>
      </c>
      <c r="E16" s="2896"/>
      <c r="F16" s="2358"/>
      <c r="G16" s="2359"/>
      <c r="H16" s="2360"/>
      <c r="I16" s="2403"/>
      <c r="J16" s="3423"/>
      <c r="K16" s="2404"/>
      <c r="L16" s="2405"/>
      <c r="M16" s="3273"/>
      <c r="N16" s="2775"/>
      <c r="O16" s="3359"/>
      <c r="P16" s="2406"/>
      <c r="Q16" s="2407"/>
      <c r="R16" s="2408"/>
      <c r="S16" s="2409"/>
      <c r="T16" s="2439"/>
      <c r="U16" s="2440"/>
      <c r="V16" s="2441"/>
      <c r="W16" s="2763">
        <f>368+64</f>
        <v>432</v>
      </c>
      <c r="X16" s="2442"/>
      <c r="Y16" s="2525"/>
      <c r="Z16" s="2746"/>
      <c r="AA16" s="2534"/>
      <c r="AB16" s="2358"/>
      <c r="AC16" s="2359"/>
      <c r="AD16" s="2360"/>
      <c r="AE16" s="2403"/>
      <c r="AF16" s="3423"/>
      <c r="AG16" s="2404"/>
      <c r="AH16" s="2405"/>
      <c r="AI16" s="3273"/>
      <c r="AJ16" s="2775"/>
      <c r="AK16" s="3359"/>
      <c r="AL16" s="2406"/>
      <c r="AM16" s="2407"/>
      <c r="AN16" s="2408"/>
      <c r="AO16" s="2409"/>
      <c r="AP16" s="2439"/>
      <c r="AQ16" s="2440"/>
      <c r="AR16" s="2523"/>
      <c r="AS16" s="2751">
        <f>4+3</f>
        <v>7</v>
      </c>
      <c r="AT16" s="2533"/>
      <c r="AU16" s="2443"/>
      <c r="AV16" s="2746"/>
      <c r="AW16" s="2468"/>
      <c r="AX16" s="2393"/>
      <c r="AY16" s="2467"/>
      <c r="AZ16" s="2433">
        <v>9</v>
      </c>
      <c r="BA16" s="3634"/>
      <c r="BB16" s="3634"/>
      <c r="BC16" s="1954"/>
      <c r="BD16" s="1942"/>
      <c r="BE16" s="3630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</row>
    <row r="17" spans="1:123" ht="15.75" customHeight="1" thickBot="1">
      <c r="A17" s="3646"/>
      <c r="B17" s="1694" t="s">
        <v>34</v>
      </c>
      <c r="C17" s="3640"/>
      <c r="D17" s="2357">
        <f t="shared" ref="D17" si="3">SUM(E17:AZ17)</f>
        <v>0</v>
      </c>
      <c r="E17" s="2896"/>
      <c r="F17" s="2358"/>
      <c r="G17" s="2359"/>
      <c r="H17" s="2360"/>
      <c r="I17" s="2403"/>
      <c r="J17" s="3423"/>
      <c r="K17" s="2404"/>
      <c r="L17" s="2405"/>
      <c r="M17" s="3273"/>
      <c r="N17" s="2775"/>
      <c r="O17" s="3359"/>
      <c r="P17" s="2406"/>
      <c r="Q17" s="2407"/>
      <c r="R17" s="2408"/>
      <c r="S17" s="2409"/>
      <c r="T17" s="2439"/>
      <c r="U17" s="2440"/>
      <c r="V17" s="2441"/>
      <c r="W17" s="2763"/>
      <c r="X17" s="2442"/>
      <c r="Y17" s="2525"/>
      <c r="Z17" s="2746"/>
      <c r="AA17" s="2534"/>
      <c r="AB17" s="2358"/>
      <c r="AC17" s="2359"/>
      <c r="AD17" s="2360"/>
      <c r="AE17" s="2403"/>
      <c r="AF17" s="3423"/>
      <c r="AG17" s="2404"/>
      <c r="AH17" s="2405"/>
      <c r="AI17" s="3273"/>
      <c r="AJ17" s="2775"/>
      <c r="AK17" s="3359"/>
      <c r="AL17" s="2406"/>
      <c r="AM17" s="2407"/>
      <c r="AN17" s="2408"/>
      <c r="AO17" s="2409"/>
      <c r="AP17" s="2439"/>
      <c r="AQ17" s="2440"/>
      <c r="AR17" s="2523"/>
      <c r="AS17" s="2751"/>
      <c r="AT17" s="2533"/>
      <c r="AU17" s="2443"/>
      <c r="AV17" s="2746"/>
      <c r="AW17" s="2468"/>
      <c r="AX17" s="2393"/>
      <c r="AY17" s="2467"/>
      <c r="AZ17" s="2433"/>
      <c r="BA17" s="3634"/>
      <c r="BB17" s="3634"/>
      <c r="BC17" s="1954"/>
      <c r="BD17" s="1942"/>
      <c r="BE17" s="3630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</row>
    <row r="18" spans="1:123" ht="15.75" customHeight="1" thickBot="1">
      <c r="A18" s="3646"/>
      <c r="B18" s="1724" t="s">
        <v>34</v>
      </c>
      <c r="C18" s="3640"/>
      <c r="D18" s="2361">
        <f t="shared" ref="D18:D20" si="4">SUM(E18:AZ18)</f>
        <v>0</v>
      </c>
      <c r="E18" s="2362"/>
      <c r="F18" s="2358"/>
      <c r="G18" s="2359"/>
      <c r="H18" s="2360"/>
      <c r="I18" s="2403"/>
      <c r="J18" s="3423"/>
      <c r="K18" s="2404"/>
      <c r="L18" s="2405"/>
      <c r="M18" s="3273"/>
      <c r="N18" s="2775"/>
      <c r="O18" s="3359"/>
      <c r="P18" s="2406"/>
      <c r="Q18" s="2407"/>
      <c r="R18" s="2408"/>
      <c r="S18" s="2409"/>
      <c r="T18" s="2439"/>
      <c r="U18" s="2440"/>
      <c r="V18" s="2441"/>
      <c r="W18" s="2763"/>
      <c r="X18" s="2442"/>
      <c r="Y18" s="2525"/>
      <c r="Z18" s="2741"/>
      <c r="AA18" s="2184"/>
      <c r="AB18" s="2185"/>
      <c r="AC18" s="2356"/>
      <c r="AD18" s="2216"/>
      <c r="AE18" s="2398"/>
      <c r="AF18" s="3424"/>
      <c r="AG18" s="2399"/>
      <c r="AH18" s="2400"/>
      <c r="AI18" s="3274"/>
      <c r="AJ18" s="2774"/>
      <c r="AK18" s="3360"/>
      <c r="AL18" s="2401"/>
      <c r="AM18" s="2220"/>
      <c r="AN18" s="2245"/>
      <c r="AO18" s="2402"/>
      <c r="AP18" s="2436"/>
      <c r="AQ18" s="2246"/>
      <c r="AR18" s="2437"/>
      <c r="AS18" s="2752"/>
      <c r="AT18" s="2438"/>
      <c r="AU18" s="2262"/>
      <c r="AV18" s="2745"/>
      <c r="AW18" s="2530"/>
      <c r="AX18" s="2407"/>
      <c r="AY18" s="2472"/>
      <c r="AZ18" s="2443"/>
      <c r="BA18" s="3634"/>
      <c r="BB18" s="3634"/>
      <c r="BC18" s="1954"/>
      <c r="BD18" s="1942"/>
      <c r="BE18" s="3630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</row>
    <row r="19" spans="1:123" ht="15.75" customHeight="1" thickBot="1">
      <c r="A19" s="3648">
        <v>46124</v>
      </c>
      <c r="B19" s="1688" t="s">
        <v>32</v>
      </c>
      <c r="C19" s="3639">
        <f>SUM(D19:D21)</f>
        <v>788</v>
      </c>
      <c r="D19" s="1689">
        <f t="shared" si="4"/>
        <v>322</v>
      </c>
      <c r="E19" s="2363"/>
      <c r="F19" s="1721"/>
      <c r="G19" s="2353"/>
      <c r="H19" s="1723"/>
      <c r="I19" s="1792"/>
      <c r="J19" s="3422"/>
      <c r="K19" s="1791"/>
      <c r="L19" s="2396"/>
      <c r="M19" s="3272"/>
      <c r="N19" s="2773"/>
      <c r="O19" s="3358"/>
      <c r="P19" s="2397"/>
      <c r="Q19" s="1793"/>
      <c r="R19" s="1796"/>
      <c r="S19" s="1797"/>
      <c r="T19" s="2434"/>
      <c r="U19" s="1848"/>
      <c r="V19" s="2435"/>
      <c r="W19" s="2764">
        <v>320</v>
      </c>
      <c r="X19" s="1850"/>
      <c r="Y19" s="2177"/>
      <c r="Z19" s="2738"/>
      <c r="AA19" s="1720"/>
      <c r="AB19" s="1721"/>
      <c r="AC19" s="2353"/>
      <c r="AD19" s="1723"/>
      <c r="AE19" s="1792"/>
      <c r="AF19" s="3422"/>
      <c r="AG19" s="1791"/>
      <c r="AH19" s="2396"/>
      <c r="AI19" s="3272"/>
      <c r="AJ19" s="2773"/>
      <c r="AK19" s="3358"/>
      <c r="AL19" s="2397"/>
      <c r="AM19" s="1793"/>
      <c r="AN19" s="1796"/>
      <c r="AO19" s="1797"/>
      <c r="AP19" s="2434"/>
      <c r="AQ19" s="1848"/>
      <c r="AR19" s="2080"/>
      <c r="AS19" s="2750"/>
      <c r="AT19" s="2081"/>
      <c r="AU19" s="1851"/>
      <c r="AV19" s="2743"/>
      <c r="AW19" s="2378"/>
      <c r="AX19" s="1793"/>
      <c r="AY19" s="2469"/>
      <c r="AZ19" s="1851">
        <v>2</v>
      </c>
      <c r="BA19" s="3633">
        <f>SUM(E19:Z21)</f>
        <v>768</v>
      </c>
      <c r="BB19" s="3633">
        <f>SUM(E19:AV21)</f>
        <v>768</v>
      </c>
      <c r="BC19" s="1954" t="s">
        <v>614</v>
      </c>
      <c r="BD19" s="1942" t="s">
        <v>532</v>
      </c>
      <c r="BE19" s="3629" t="s">
        <v>33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</row>
    <row r="20" spans="1:123" ht="15.75" customHeight="1" thickBot="1">
      <c r="A20" s="3646"/>
      <c r="B20" s="1694" t="s">
        <v>34</v>
      </c>
      <c r="C20" s="3640"/>
      <c r="D20" s="2357">
        <f t="shared" si="4"/>
        <v>466</v>
      </c>
      <c r="E20" s="2896"/>
      <c r="F20" s="2358"/>
      <c r="G20" s="2359"/>
      <c r="H20" s="2360"/>
      <c r="I20" s="2403"/>
      <c r="J20" s="3423"/>
      <c r="K20" s="2404"/>
      <c r="L20" s="2405"/>
      <c r="M20" s="3273"/>
      <c r="N20" s="2775"/>
      <c r="O20" s="3359"/>
      <c r="P20" s="2406"/>
      <c r="Q20" s="2407"/>
      <c r="R20" s="2408"/>
      <c r="S20" s="2409"/>
      <c r="T20" s="2439"/>
      <c r="U20" s="2440"/>
      <c r="V20" s="2441"/>
      <c r="W20" s="2763">
        <v>448</v>
      </c>
      <c r="X20" s="2442"/>
      <c r="Y20" s="2525"/>
      <c r="Z20" s="2746"/>
      <c r="AA20" s="2534"/>
      <c r="AB20" s="2358"/>
      <c r="AC20" s="2359"/>
      <c r="AD20" s="2360"/>
      <c r="AE20" s="2403"/>
      <c r="AF20" s="3423"/>
      <c r="AG20" s="2404"/>
      <c r="AH20" s="2405"/>
      <c r="AI20" s="3273"/>
      <c r="AJ20" s="2775"/>
      <c r="AK20" s="3359"/>
      <c r="AL20" s="2406"/>
      <c r="AM20" s="2407"/>
      <c r="AN20" s="2408"/>
      <c r="AO20" s="2409"/>
      <c r="AP20" s="2439"/>
      <c r="AQ20" s="2440"/>
      <c r="AR20" s="2523"/>
      <c r="AS20" s="2751"/>
      <c r="AT20" s="2533"/>
      <c r="AU20" s="2443"/>
      <c r="AV20" s="2746"/>
      <c r="AW20" s="3110"/>
      <c r="AX20" s="2407"/>
      <c r="AY20" s="2472"/>
      <c r="AZ20" s="2443">
        <v>18</v>
      </c>
      <c r="BA20" s="3634"/>
      <c r="BB20" s="3634"/>
      <c r="BC20" s="1954"/>
      <c r="BD20" s="1942"/>
      <c r="BE20" s="3630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</row>
    <row r="21" spans="1:123" ht="15.75" customHeight="1" thickBot="1">
      <c r="A21" s="3646"/>
      <c r="B21" s="1724" t="s">
        <v>34</v>
      </c>
      <c r="C21" s="3641"/>
      <c r="D21" s="2364">
        <f t="shared" ref="D21:D30" si="5">SUM(E21:AZ21)</f>
        <v>0</v>
      </c>
      <c r="E21" s="2365"/>
      <c r="F21" s="2366"/>
      <c r="G21" s="2367"/>
      <c r="H21" s="2368"/>
      <c r="I21" s="2410"/>
      <c r="J21" s="3425"/>
      <c r="K21" s="2411"/>
      <c r="L21" s="2412"/>
      <c r="M21" s="3275"/>
      <c r="N21" s="2776"/>
      <c r="O21" s="3361"/>
      <c r="P21" s="2413"/>
      <c r="Q21" s="2414"/>
      <c r="R21" s="2415"/>
      <c r="S21" s="2416"/>
      <c r="T21" s="2444"/>
      <c r="U21" s="2445"/>
      <c r="V21" s="2446"/>
      <c r="W21" s="2765"/>
      <c r="X21" s="2447"/>
      <c r="Y21" s="2526"/>
      <c r="Z21" s="2742"/>
      <c r="AA21" s="2184"/>
      <c r="AB21" s="2185"/>
      <c r="AC21" s="2356"/>
      <c r="AD21" s="2216"/>
      <c r="AE21" s="2398"/>
      <c r="AF21" s="3424"/>
      <c r="AG21" s="2399"/>
      <c r="AH21" s="2400"/>
      <c r="AI21" s="3274"/>
      <c r="AJ21" s="2774"/>
      <c r="AK21" s="3360"/>
      <c r="AL21" s="2401"/>
      <c r="AM21" s="2220"/>
      <c r="AN21" s="2245"/>
      <c r="AO21" s="2402"/>
      <c r="AP21" s="2436"/>
      <c r="AQ21" s="2246"/>
      <c r="AR21" s="2437"/>
      <c r="AS21" s="2752"/>
      <c r="AT21" s="2438"/>
      <c r="AU21" s="2262"/>
      <c r="AV21" s="2745"/>
      <c r="AW21" s="2531"/>
      <c r="AX21" s="2414"/>
      <c r="AY21" s="2473"/>
      <c r="AZ21" s="2448"/>
      <c r="BA21" s="3634"/>
      <c r="BB21" s="3635"/>
      <c r="BC21" s="1954"/>
      <c r="BD21" s="1942"/>
      <c r="BE21" s="363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</row>
    <row r="22" spans="1:123" ht="15.75" customHeight="1" thickBot="1">
      <c r="A22" s="3648">
        <v>46125</v>
      </c>
      <c r="B22" s="1688" t="s">
        <v>32</v>
      </c>
      <c r="C22" s="3639">
        <f>SUM(D22:D24)</f>
        <v>980</v>
      </c>
      <c r="D22" s="1689">
        <f t="shared" si="5"/>
        <v>497</v>
      </c>
      <c r="E22" s="1720"/>
      <c r="F22" s="1721"/>
      <c r="G22" s="2353"/>
      <c r="H22" s="1723"/>
      <c r="I22" s="1792"/>
      <c r="J22" s="3422"/>
      <c r="K22" s="1791"/>
      <c r="L22" s="2396"/>
      <c r="M22" s="3272"/>
      <c r="N22" s="2773"/>
      <c r="O22" s="3358"/>
      <c r="P22" s="2397"/>
      <c r="Q22" s="1793"/>
      <c r="R22" s="1796"/>
      <c r="S22" s="1797"/>
      <c r="T22" s="2434"/>
      <c r="U22" s="1848"/>
      <c r="V22" s="2435"/>
      <c r="W22" s="2764">
        <v>496</v>
      </c>
      <c r="X22" s="1850"/>
      <c r="Y22" s="2177"/>
      <c r="Z22" s="2738"/>
      <c r="AA22" s="1720"/>
      <c r="AB22" s="1721"/>
      <c r="AC22" s="2353"/>
      <c r="AD22" s="1723"/>
      <c r="AE22" s="1792"/>
      <c r="AF22" s="3422"/>
      <c r="AG22" s="1791"/>
      <c r="AH22" s="2396"/>
      <c r="AI22" s="3272"/>
      <c r="AJ22" s="2773"/>
      <c r="AK22" s="3358"/>
      <c r="AL22" s="2397"/>
      <c r="AM22" s="1793"/>
      <c r="AN22" s="1796"/>
      <c r="AO22" s="1797"/>
      <c r="AP22" s="2434"/>
      <c r="AQ22" s="1848"/>
      <c r="AR22" s="2080"/>
      <c r="AS22" s="2750"/>
      <c r="AT22" s="2081"/>
      <c r="AU22" s="1851"/>
      <c r="AV22" s="2743"/>
      <c r="AW22" s="2378"/>
      <c r="AX22" s="1793"/>
      <c r="AY22" s="2469"/>
      <c r="AZ22" s="1851">
        <v>1</v>
      </c>
      <c r="BA22" s="3633">
        <f>SUM(E22:Z24)</f>
        <v>976</v>
      </c>
      <c r="BB22" s="3633">
        <f>SUM(E22:AV24)</f>
        <v>976</v>
      </c>
      <c r="BC22" s="1954" t="s">
        <v>614</v>
      </c>
      <c r="BD22" s="1942" t="s">
        <v>532</v>
      </c>
      <c r="BE22" s="3629" t="s">
        <v>33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ht="15.75" customHeight="1" thickBot="1">
      <c r="A23" s="3646"/>
      <c r="B23" s="1694" t="s">
        <v>34</v>
      </c>
      <c r="C23" s="3640"/>
      <c r="D23" s="2357">
        <f t="shared" ref="D23" si="6">SUM(E23:AZ23)</f>
        <v>483</v>
      </c>
      <c r="E23" s="2348"/>
      <c r="F23" s="2349"/>
      <c r="G23" s="2350"/>
      <c r="H23" s="2351"/>
      <c r="I23" s="2389"/>
      <c r="J23" s="3421"/>
      <c r="K23" s="2390"/>
      <c r="L23" s="2391"/>
      <c r="M23" s="3271"/>
      <c r="N23" s="2772"/>
      <c r="O23" s="3357"/>
      <c r="P23" s="2392"/>
      <c r="Q23" s="2393"/>
      <c r="R23" s="2394"/>
      <c r="S23" s="2395"/>
      <c r="T23" s="2429"/>
      <c r="U23" s="2430"/>
      <c r="V23" s="2431"/>
      <c r="W23" s="2758">
        <v>480</v>
      </c>
      <c r="X23" s="2432"/>
      <c r="Y23" s="2463"/>
      <c r="Z23" s="2737"/>
      <c r="AA23" s="2534"/>
      <c r="AB23" s="2358"/>
      <c r="AC23" s="2359"/>
      <c r="AD23" s="2360"/>
      <c r="AE23" s="2403"/>
      <c r="AF23" s="3423"/>
      <c r="AG23" s="2404"/>
      <c r="AH23" s="2405"/>
      <c r="AI23" s="3273"/>
      <c r="AJ23" s="2775"/>
      <c r="AK23" s="3359"/>
      <c r="AL23" s="2406"/>
      <c r="AM23" s="2407"/>
      <c r="AN23" s="2408"/>
      <c r="AO23" s="2409"/>
      <c r="AP23" s="2439"/>
      <c r="AQ23" s="2440"/>
      <c r="AR23" s="2523"/>
      <c r="AS23" s="2751"/>
      <c r="AT23" s="2533"/>
      <c r="AU23" s="2443"/>
      <c r="AV23" s="2746"/>
      <c r="AW23" s="2468"/>
      <c r="AX23" s="2393"/>
      <c r="AY23" s="2467"/>
      <c r="AZ23" s="2433">
        <v>3</v>
      </c>
      <c r="BA23" s="3634"/>
      <c r="BB23" s="3634"/>
      <c r="BC23" s="1954"/>
      <c r="BD23" s="1942"/>
      <c r="BE23" s="3630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</row>
    <row r="24" spans="1:123" s="76" customFormat="1" ht="15.75" customHeight="1" thickBot="1">
      <c r="A24" s="3646"/>
      <c r="B24" s="1728" t="s">
        <v>34</v>
      </c>
      <c r="C24" s="3640"/>
      <c r="D24" s="1734">
        <f t="shared" si="5"/>
        <v>0</v>
      </c>
      <c r="E24" s="2355"/>
      <c r="F24" s="2349"/>
      <c r="G24" s="2350"/>
      <c r="H24" s="2351"/>
      <c r="I24" s="2389"/>
      <c r="J24" s="3421"/>
      <c r="K24" s="2390"/>
      <c r="L24" s="2391"/>
      <c r="M24" s="3271"/>
      <c r="N24" s="2772"/>
      <c r="O24" s="3357"/>
      <c r="P24" s="2392"/>
      <c r="Q24" s="2393"/>
      <c r="R24" s="2394"/>
      <c r="S24" s="2395"/>
      <c r="T24" s="2429"/>
      <c r="U24" s="2430"/>
      <c r="V24" s="2431"/>
      <c r="W24" s="2758"/>
      <c r="X24" s="2432"/>
      <c r="Y24" s="2463"/>
      <c r="Z24" s="2737"/>
      <c r="AA24" s="2184"/>
      <c r="AB24" s="2185"/>
      <c r="AC24" s="2356"/>
      <c r="AD24" s="2216"/>
      <c r="AE24" s="2398"/>
      <c r="AF24" s="3424"/>
      <c r="AG24" s="2399"/>
      <c r="AH24" s="2400"/>
      <c r="AI24" s="3274"/>
      <c r="AJ24" s="2774"/>
      <c r="AK24" s="3360"/>
      <c r="AL24" s="2401"/>
      <c r="AM24" s="2220"/>
      <c r="AN24" s="2245"/>
      <c r="AO24" s="2402"/>
      <c r="AP24" s="2436"/>
      <c r="AQ24" s="2246"/>
      <c r="AR24" s="2437"/>
      <c r="AS24" s="2752"/>
      <c r="AT24" s="2438"/>
      <c r="AU24" s="2262"/>
      <c r="AV24" s="2745"/>
      <c r="AW24" s="2468"/>
      <c r="AX24" s="2393"/>
      <c r="AY24" s="2467"/>
      <c r="AZ24" s="2433"/>
      <c r="BA24" s="3634"/>
      <c r="BB24" s="3634"/>
      <c r="BC24" s="1954"/>
      <c r="BD24" s="1942"/>
      <c r="BE24" s="3630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ht="15" customHeight="1" thickBot="1">
      <c r="A25" s="3648">
        <v>46126</v>
      </c>
      <c r="B25" s="1688" t="s">
        <v>32</v>
      </c>
      <c r="C25" s="3639">
        <f>SUM(D25:D28)</f>
        <v>747</v>
      </c>
      <c r="D25" s="1689">
        <f t="shared" si="5"/>
        <v>64</v>
      </c>
      <c r="E25" s="1720"/>
      <c r="F25" s="1721"/>
      <c r="G25" s="2353"/>
      <c r="H25" s="1723"/>
      <c r="I25" s="1792"/>
      <c r="J25" s="3422"/>
      <c r="K25" s="1791"/>
      <c r="L25" s="2396"/>
      <c r="M25" s="3272"/>
      <c r="N25" s="2773"/>
      <c r="O25" s="3358"/>
      <c r="P25" s="2397"/>
      <c r="Q25" s="1793"/>
      <c r="R25" s="1796"/>
      <c r="S25" s="1797"/>
      <c r="T25" s="2434"/>
      <c r="U25" s="1848"/>
      <c r="V25" s="2435"/>
      <c r="W25" s="2764">
        <v>64</v>
      </c>
      <c r="X25" s="1850"/>
      <c r="Y25" s="2177"/>
      <c r="Z25" s="2738"/>
      <c r="AA25" s="1720"/>
      <c r="AB25" s="1721"/>
      <c r="AC25" s="2353"/>
      <c r="AD25" s="1723"/>
      <c r="AE25" s="1792"/>
      <c r="AF25" s="3422"/>
      <c r="AG25" s="1791"/>
      <c r="AH25" s="2396"/>
      <c r="AI25" s="3272"/>
      <c r="AJ25" s="2773"/>
      <c r="AK25" s="3358"/>
      <c r="AL25" s="2397"/>
      <c r="AM25" s="1793"/>
      <c r="AN25" s="1796"/>
      <c r="AO25" s="1797"/>
      <c r="AP25" s="2434"/>
      <c r="AQ25" s="1848"/>
      <c r="AR25" s="2080"/>
      <c r="AS25" s="2750"/>
      <c r="AT25" s="2081"/>
      <c r="AU25" s="1851"/>
      <c r="AV25" s="2743"/>
      <c r="AW25" s="2378"/>
      <c r="AX25" s="1793"/>
      <c r="AY25" s="2469"/>
      <c r="AZ25" s="1851"/>
      <c r="BA25" s="3642">
        <f>SUM(E25:Z28)</f>
        <v>700</v>
      </c>
      <c r="BB25" s="3633">
        <f>SUM(E25:AV28)</f>
        <v>703</v>
      </c>
      <c r="BC25" s="1954" t="s">
        <v>614</v>
      </c>
      <c r="BD25" s="1942" t="s">
        <v>532</v>
      </c>
      <c r="BE25" s="3629" t="s">
        <v>33</v>
      </c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ht="15.75" customHeight="1" thickBot="1">
      <c r="A26" s="3646"/>
      <c r="B26" s="1728" t="s">
        <v>34</v>
      </c>
      <c r="C26" s="3640"/>
      <c r="D26" s="2357">
        <f t="shared" si="5"/>
        <v>193</v>
      </c>
      <c r="E26" s="2348"/>
      <c r="F26" s="2349"/>
      <c r="G26" s="2350"/>
      <c r="H26" s="2351"/>
      <c r="I26" s="2389"/>
      <c r="J26" s="3421"/>
      <c r="K26" s="2390"/>
      <c r="L26" s="2391"/>
      <c r="M26" s="3271"/>
      <c r="N26" s="2772"/>
      <c r="O26" s="3357"/>
      <c r="P26" s="2392"/>
      <c r="Q26" s="2393"/>
      <c r="R26" s="2394"/>
      <c r="S26" s="2395"/>
      <c r="T26" s="2429"/>
      <c r="U26" s="2430"/>
      <c r="V26" s="2431"/>
      <c r="W26" s="2758"/>
      <c r="X26" s="2432"/>
      <c r="Y26" s="2463">
        <v>156</v>
      </c>
      <c r="Z26" s="2737"/>
      <c r="AA26" s="2534"/>
      <c r="AB26" s="2358"/>
      <c r="AC26" s="2359"/>
      <c r="AD26" s="2360"/>
      <c r="AE26" s="2403"/>
      <c r="AF26" s="3423"/>
      <c r="AG26" s="2404"/>
      <c r="AH26" s="2405"/>
      <c r="AI26" s="3273"/>
      <c r="AJ26" s="2775"/>
      <c r="AK26" s="3359"/>
      <c r="AL26" s="2406"/>
      <c r="AM26" s="2407"/>
      <c r="AN26" s="2408"/>
      <c r="AO26" s="2409"/>
      <c r="AP26" s="2439"/>
      <c r="AQ26" s="2440"/>
      <c r="AR26" s="2523"/>
      <c r="AS26" s="2751"/>
      <c r="AT26" s="2533"/>
      <c r="AU26" s="2443">
        <v>3</v>
      </c>
      <c r="AV26" s="2746"/>
      <c r="AW26" s="2468"/>
      <c r="AX26" s="2393"/>
      <c r="AY26" s="2467"/>
      <c r="AZ26" s="2433">
        <v>34</v>
      </c>
      <c r="BA26" s="3643"/>
      <c r="BB26" s="3634"/>
      <c r="BC26" s="1954" t="s">
        <v>642</v>
      </c>
      <c r="BD26" s="1939" t="s">
        <v>532</v>
      </c>
      <c r="BE26" s="3630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spans="1:123" ht="15.75" customHeight="1" thickBot="1">
      <c r="A27" s="3646"/>
      <c r="B27" s="1728" t="s">
        <v>34</v>
      </c>
      <c r="C27" s="3640"/>
      <c r="D27" s="2347">
        <f t="shared" ref="D27" si="7">SUM(E27:AZ27)</f>
        <v>490</v>
      </c>
      <c r="E27" s="2348"/>
      <c r="F27" s="2349"/>
      <c r="G27" s="2350"/>
      <c r="H27" s="2351"/>
      <c r="I27" s="2389"/>
      <c r="J27" s="3421"/>
      <c r="K27" s="2390"/>
      <c r="L27" s="2391"/>
      <c r="M27" s="3271"/>
      <c r="N27" s="2772"/>
      <c r="O27" s="3357"/>
      <c r="P27" s="2392"/>
      <c r="Q27" s="2393"/>
      <c r="R27" s="2394"/>
      <c r="S27" s="2395"/>
      <c r="T27" s="2429"/>
      <c r="U27" s="2430"/>
      <c r="V27" s="2431"/>
      <c r="W27" s="2758"/>
      <c r="X27" s="2432"/>
      <c r="Y27" s="2463">
        <v>480</v>
      </c>
      <c r="Z27" s="2737"/>
      <c r="AA27" s="2534"/>
      <c r="AB27" s="2358"/>
      <c r="AC27" s="2359"/>
      <c r="AD27" s="2360"/>
      <c r="AE27" s="2403"/>
      <c r="AF27" s="3423"/>
      <c r="AG27" s="2404"/>
      <c r="AH27" s="2405"/>
      <c r="AI27" s="3273"/>
      <c r="AJ27" s="2775"/>
      <c r="AK27" s="3359"/>
      <c r="AL27" s="2406"/>
      <c r="AM27" s="2407"/>
      <c r="AN27" s="2408"/>
      <c r="AO27" s="2409"/>
      <c r="AP27" s="2439"/>
      <c r="AQ27" s="2440"/>
      <c r="AR27" s="2523"/>
      <c r="AS27" s="2751"/>
      <c r="AT27" s="2533"/>
      <c r="AU27" s="2443"/>
      <c r="AV27" s="2746"/>
      <c r="AW27" s="2468"/>
      <c r="AX27" s="2393"/>
      <c r="AY27" s="2467"/>
      <c r="AZ27" s="2433">
        <v>10</v>
      </c>
      <c r="BA27" s="3643"/>
      <c r="BB27" s="3634"/>
      <c r="BC27" s="1954"/>
      <c r="BD27" s="1945"/>
      <c r="BE27" s="3630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 spans="1:123" s="76" customFormat="1" ht="15.75" customHeight="1" thickBot="1">
      <c r="A28" s="3646"/>
      <c r="B28" s="1724" t="s">
        <v>34</v>
      </c>
      <c r="C28" s="3641"/>
      <c r="D28" s="2364">
        <f t="shared" si="5"/>
        <v>0</v>
      </c>
      <c r="E28" s="2184"/>
      <c r="F28" s="2185"/>
      <c r="G28" s="2356"/>
      <c r="H28" s="2216"/>
      <c r="I28" s="2398"/>
      <c r="J28" s="3424"/>
      <c r="K28" s="2399"/>
      <c r="L28" s="2400"/>
      <c r="M28" s="3274"/>
      <c r="N28" s="2774"/>
      <c r="O28" s="3360"/>
      <c r="P28" s="2401"/>
      <c r="Q28" s="2220"/>
      <c r="R28" s="2245"/>
      <c r="S28" s="2402"/>
      <c r="T28" s="2436"/>
      <c r="U28" s="2246"/>
      <c r="V28" s="2437"/>
      <c r="W28" s="2752"/>
      <c r="X28" s="2438"/>
      <c r="Y28" s="2183"/>
      <c r="Z28" s="2739"/>
      <c r="AA28" s="2184"/>
      <c r="AB28" s="2185"/>
      <c r="AC28" s="2356"/>
      <c r="AD28" s="2216"/>
      <c r="AE28" s="2398"/>
      <c r="AF28" s="3424"/>
      <c r="AG28" s="2399"/>
      <c r="AH28" s="2400"/>
      <c r="AI28" s="3274"/>
      <c r="AJ28" s="2774"/>
      <c r="AK28" s="3360"/>
      <c r="AL28" s="2401"/>
      <c r="AM28" s="2220"/>
      <c r="AN28" s="2245"/>
      <c r="AO28" s="2402"/>
      <c r="AP28" s="2436"/>
      <c r="AQ28" s="2246"/>
      <c r="AR28" s="2437"/>
      <c r="AS28" s="2752"/>
      <c r="AT28" s="2438"/>
      <c r="AU28" s="2262"/>
      <c r="AV28" s="2745"/>
      <c r="AW28" s="2529"/>
      <c r="AX28" s="2220"/>
      <c r="AY28" s="2471"/>
      <c r="AZ28" s="2262"/>
      <c r="BA28" s="3643"/>
      <c r="BB28" s="3634"/>
      <c r="BC28" s="1954"/>
      <c r="BD28" s="1942"/>
      <c r="BE28" s="3630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ht="15.75" customHeight="1" thickBot="1">
      <c r="A29" s="3648">
        <v>46127</v>
      </c>
      <c r="B29" s="1995" t="s">
        <v>32</v>
      </c>
      <c r="C29" s="3639">
        <f>SUM(D29:D32)</f>
        <v>826</v>
      </c>
      <c r="D29" s="1689">
        <f t="shared" si="5"/>
        <v>365</v>
      </c>
      <c r="E29" s="2369"/>
      <c r="F29" s="2370"/>
      <c r="G29" s="2371"/>
      <c r="H29" s="2372"/>
      <c r="I29" s="2417"/>
      <c r="J29" s="3426"/>
      <c r="K29" s="2418"/>
      <c r="L29" s="2419"/>
      <c r="M29" s="3276"/>
      <c r="N29" s="2777"/>
      <c r="O29" s="3362"/>
      <c r="P29" s="2420"/>
      <c r="Q29" s="2421"/>
      <c r="R29" s="2422"/>
      <c r="S29" s="2423"/>
      <c r="T29" s="2449"/>
      <c r="U29" s="2450"/>
      <c r="V29" s="2451"/>
      <c r="W29" s="2766"/>
      <c r="X29" s="2452"/>
      <c r="Y29" s="2527">
        <f>132+216</f>
        <v>348</v>
      </c>
      <c r="Z29" s="2740"/>
      <c r="AA29" s="1720"/>
      <c r="AB29" s="1721"/>
      <c r="AC29" s="2353"/>
      <c r="AD29" s="1723"/>
      <c r="AE29" s="1792"/>
      <c r="AF29" s="3422"/>
      <c r="AG29" s="1791"/>
      <c r="AH29" s="2396"/>
      <c r="AI29" s="3272"/>
      <c r="AJ29" s="2773"/>
      <c r="AK29" s="3358"/>
      <c r="AL29" s="2397"/>
      <c r="AM29" s="1793"/>
      <c r="AN29" s="1796"/>
      <c r="AO29" s="1797"/>
      <c r="AP29" s="2434"/>
      <c r="AQ29" s="1848"/>
      <c r="AR29" s="2080"/>
      <c r="AS29" s="2750"/>
      <c r="AT29" s="2081"/>
      <c r="AU29" s="1851">
        <v>17</v>
      </c>
      <c r="AV29" s="2743"/>
      <c r="AW29" s="2532"/>
      <c r="AX29" s="2421"/>
      <c r="AY29" s="2474"/>
      <c r="AZ29" s="2453"/>
      <c r="BA29" s="3633">
        <f>SUM(E29:Z32)</f>
        <v>804</v>
      </c>
      <c r="BB29" s="3633">
        <f>SUM(E29:AV32)</f>
        <v>826</v>
      </c>
      <c r="BC29" s="1954" t="s">
        <v>642</v>
      </c>
      <c r="BD29" s="1942" t="s">
        <v>616</v>
      </c>
      <c r="BE29" s="3629" t="s">
        <v>33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 ht="15.75" customHeight="1" thickBot="1">
      <c r="A30" s="3646"/>
      <c r="B30" s="1995" t="s">
        <v>34</v>
      </c>
      <c r="C30" s="3640"/>
      <c r="D30" s="2347">
        <f t="shared" si="5"/>
        <v>461</v>
      </c>
      <c r="E30" s="2348"/>
      <c r="F30" s="2349"/>
      <c r="G30" s="2350"/>
      <c r="H30" s="2351"/>
      <c r="I30" s="2389"/>
      <c r="J30" s="3421"/>
      <c r="K30" s="2390"/>
      <c r="L30" s="2391"/>
      <c r="M30" s="3271"/>
      <c r="N30" s="2772"/>
      <c r="O30" s="3357"/>
      <c r="P30" s="2392"/>
      <c r="Q30" s="2393"/>
      <c r="R30" s="2394"/>
      <c r="S30" s="2395"/>
      <c r="T30" s="2429"/>
      <c r="U30" s="2430"/>
      <c r="V30" s="2431"/>
      <c r="W30" s="2758"/>
      <c r="X30" s="2432"/>
      <c r="Y30" s="2463">
        <v>456</v>
      </c>
      <c r="Z30" s="2737"/>
      <c r="AA30" s="2534"/>
      <c r="AB30" s="2358"/>
      <c r="AC30" s="2359"/>
      <c r="AD30" s="2360"/>
      <c r="AE30" s="2403"/>
      <c r="AF30" s="3423"/>
      <c r="AG30" s="2404"/>
      <c r="AH30" s="2405"/>
      <c r="AI30" s="3273"/>
      <c r="AJ30" s="2775"/>
      <c r="AK30" s="3359"/>
      <c r="AL30" s="2406"/>
      <c r="AM30" s="2407"/>
      <c r="AN30" s="2408"/>
      <c r="AO30" s="2409"/>
      <c r="AP30" s="2439"/>
      <c r="AQ30" s="2440"/>
      <c r="AR30" s="2523"/>
      <c r="AS30" s="2751"/>
      <c r="AT30" s="2533"/>
      <c r="AU30" s="2443">
        <v>5</v>
      </c>
      <c r="AV30" s="2746"/>
      <c r="AW30" s="2468"/>
      <c r="AX30" s="2393"/>
      <c r="AY30" s="2467"/>
      <c r="AZ30" s="2433"/>
      <c r="BA30" s="3634"/>
      <c r="BB30" s="3634"/>
      <c r="BC30" s="1954"/>
      <c r="BD30" s="1945"/>
      <c r="BE30" s="3630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spans="1:123" ht="15.75" customHeight="1" thickBot="1">
      <c r="A31" s="3646"/>
      <c r="B31" s="1995" t="s">
        <v>34</v>
      </c>
      <c r="C31" s="3640"/>
      <c r="D31" s="2347">
        <f t="shared" ref="D31" si="8">SUM(E31:AZ31)</f>
        <v>0</v>
      </c>
      <c r="E31" s="2348"/>
      <c r="F31" s="2349"/>
      <c r="G31" s="2350"/>
      <c r="H31" s="2351"/>
      <c r="I31" s="2389"/>
      <c r="J31" s="3421"/>
      <c r="K31" s="2390"/>
      <c r="L31" s="2391"/>
      <c r="M31" s="3271"/>
      <c r="N31" s="2772"/>
      <c r="O31" s="3357"/>
      <c r="P31" s="2392"/>
      <c r="Q31" s="2393"/>
      <c r="R31" s="2394"/>
      <c r="S31" s="2395"/>
      <c r="T31" s="2429"/>
      <c r="U31" s="2430"/>
      <c r="V31" s="2431"/>
      <c r="W31" s="2758"/>
      <c r="X31" s="2432"/>
      <c r="Y31" s="2463"/>
      <c r="Z31" s="2737"/>
      <c r="AA31" s="2534"/>
      <c r="AB31" s="2358"/>
      <c r="AC31" s="2359"/>
      <c r="AD31" s="2360"/>
      <c r="AE31" s="2403"/>
      <c r="AF31" s="3423"/>
      <c r="AG31" s="2404"/>
      <c r="AH31" s="2405"/>
      <c r="AI31" s="3273"/>
      <c r="AJ31" s="2775"/>
      <c r="AK31" s="3359"/>
      <c r="AL31" s="2406"/>
      <c r="AM31" s="2407"/>
      <c r="AN31" s="2408"/>
      <c r="AO31" s="2409"/>
      <c r="AP31" s="2439"/>
      <c r="AQ31" s="2440"/>
      <c r="AR31" s="2523"/>
      <c r="AS31" s="2751"/>
      <c r="AT31" s="2533"/>
      <c r="AU31" s="2443"/>
      <c r="AV31" s="2746"/>
      <c r="AW31" s="2468"/>
      <c r="AX31" s="2393"/>
      <c r="AY31" s="2467"/>
      <c r="AZ31" s="2433"/>
      <c r="BA31" s="3634"/>
      <c r="BB31" s="3634"/>
      <c r="BC31" s="1954"/>
      <c r="BD31" s="1945"/>
      <c r="BE31" s="3630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spans="1:123" ht="15" customHeight="1" thickBot="1">
      <c r="A32" s="3647"/>
      <c r="B32" s="1694" t="s">
        <v>34</v>
      </c>
      <c r="C32" s="3640"/>
      <c r="D32" s="2373">
        <f>SUM(E32:AZ32)</f>
        <v>0</v>
      </c>
      <c r="E32" s="2374"/>
      <c r="F32" s="2185"/>
      <c r="G32" s="2356"/>
      <c r="H32" s="2216"/>
      <c r="I32" s="2398"/>
      <c r="J32" s="3424"/>
      <c r="K32" s="2399"/>
      <c r="L32" s="2400"/>
      <c r="M32" s="3274"/>
      <c r="N32" s="2774"/>
      <c r="O32" s="3360"/>
      <c r="P32" s="2401"/>
      <c r="Q32" s="2220"/>
      <c r="R32" s="2245"/>
      <c r="S32" s="2402"/>
      <c r="T32" s="2436"/>
      <c r="U32" s="2246"/>
      <c r="V32" s="2454"/>
      <c r="W32" s="2767"/>
      <c r="X32" s="2250"/>
      <c r="Y32" s="2183"/>
      <c r="Z32" s="2739"/>
      <c r="AA32" s="2184"/>
      <c r="AB32" s="2185"/>
      <c r="AC32" s="2356"/>
      <c r="AD32" s="2216"/>
      <c r="AE32" s="2398"/>
      <c r="AF32" s="3424"/>
      <c r="AG32" s="2399"/>
      <c r="AH32" s="2400"/>
      <c r="AI32" s="3274"/>
      <c r="AJ32" s="2774"/>
      <c r="AK32" s="3360"/>
      <c r="AL32" s="2401"/>
      <c r="AM32" s="2220"/>
      <c r="AN32" s="2245"/>
      <c r="AO32" s="2402"/>
      <c r="AP32" s="2436"/>
      <c r="AQ32" s="2246"/>
      <c r="AR32" s="2437"/>
      <c r="AS32" s="2752"/>
      <c r="AT32" s="2438"/>
      <c r="AU32" s="2262"/>
      <c r="AV32" s="2745"/>
      <c r="AW32" s="2529"/>
      <c r="AX32" s="2220"/>
      <c r="AY32" s="2475"/>
      <c r="AZ32" s="2262"/>
      <c r="BA32" s="3634"/>
      <c r="BB32" s="3634"/>
      <c r="BC32" s="1954"/>
      <c r="BD32" s="1945"/>
      <c r="BE32" s="3630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spans="1:95" s="76" customFormat="1" ht="16.5" thickBot="1">
      <c r="A33" s="3648">
        <v>46128</v>
      </c>
      <c r="B33" s="2375" t="s">
        <v>32</v>
      </c>
      <c r="C33" s="3639">
        <f>SUM(D33:D35)</f>
        <v>84</v>
      </c>
      <c r="D33" s="1689">
        <f>SUM(E33:AZ33)</f>
        <v>84</v>
      </c>
      <c r="E33" s="1720"/>
      <c r="F33" s="1721"/>
      <c r="G33" s="2353"/>
      <c r="H33" s="1723"/>
      <c r="I33" s="1792"/>
      <c r="J33" s="3422"/>
      <c r="K33" s="1791"/>
      <c r="L33" s="2396"/>
      <c r="M33" s="3272"/>
      <c r="N33" s="2773"/>
      <c r="O33" s="3358"/>
      <c r="P33" s="2397"/>
      <c r="Q33" s="1793"/>
      <c r="R33" s="1796"/>
      <c r="S33" s="1797"/>
      <c r="T33" s="2434"/>
      <c r="U33" s="1848"/>
      <c r="V33" s="2435"/>
      <c r="W33" s="2764"/>
      <c r="X33" s="1850"/>
      <c r="Y33" s="2177">
        <v>84</v>
      </c>
      <c r="Z33" s="2738"/>
      <c r="AA33" s="2369"/>
      <c r="AB33" s="2370"/>
      <c r="AC33" s="2371"/>
      <c r="AD33" s="2372"/>
      <c r="AE33" s="2417"/>
      <c r="AF33" s="3426"/>
      <c r="AG33" s="2418"/>
      <c r="AH33" s="2419"/>
      <c r="AI33" s="3276"/>
      <c r="AJ33" s="2777"/>
      <c r="AK33" s="3362"/>
      <c r="AL33" s="2420"/>
      <c r="AM33" s="2421"/>
      <c r="AN33" s="2422"/>
      <c r="AO33" s="2423"/>
      <c r="AP33" s="2449"/>
      <c r="AQ33" s="2450"/>
      <c r="AR33" s="2455"/>
      <c r="AS33" s="2753"/>
      <c r="AT33" s="2456"/>
      <c r="AU33" s="2453"/>
      <c r="AV33" s="2744"/>
      <c r="AW33" s="2378"/>
      <c r="AX33" s="1793"/>
      <c r="AY33" s="2469"/>
      <c r="AZ33" s="1851"/>
      <c r="BA33" s="3633">
        <f>SUM(E33:Z35)</f>
        <v>84</v>
      </c>
      <c r="BB33" s="3633">
        <f>SUM(E33:AV35)</f>
        <v>84</v>
      </c>
      <c r="BC33" s="1954" t="s">
        <v>642</v>
      </c>
      <c r="BD33" s="1939" t="s">
        <v>466</v>
      </c>
      <c r="BE33" s="3629" t="s">
        <v>33</v>
      </c>
    </row>
    <row r="34" spans="1:95" ht="15.75" customHeight="1" thickBot="1">
      <c r="A34" s="3646"/>
      <c r="B34" s="1728" t="s">
        <v>34</v>
      </c>
      <c r="C34" s="3640"/>
      <c r="D34" s="2357">
        <f t="shared" ref="D34" si="9">SUM(E34:AZ34)</f>
        <v>0</v>
      </c>
      <c r="E34" s="2896"/>
      <c r="F34" s="2358"/>
      <c r="G34" s="2359"/>
      <c r="H34" s="2360"/>
      <c r="I34" s="2403"/>
      <c r="J34" s="3423"/>
      <c r="K34" s="2404"/>
      <c r="L34" s="2405"/>
      <c r="M34" s="3273"/>
      <c r="N34" s="2775"/>
      <c r="O34" s="3359"/>
      <c r="P34" s="2406"/>
      <c r="Q34" s="2407"/>
      <c r="R34" s="2408"/>
      <c r="S34" s="2409"/>
      <c r="T34" s="2439"/>
      <c r="U34" s="2440"/>
      <c r="V34" s="2441"/>
      <c r="W34" s="2763"/>
      <c r="X34" s="2442"/>
      <c r="Y34" s="2525"/>
      <c r="Z34" s="2746"/>
      <c r="AA34" s="2534"/>
      <c r="AB34" s="2358"/>
      <c r="AC34" s="2359"/>
      <c r="AD34" s="2360"/>
      <c r="AE34" s="2403"/>
      <c r="AF34" s="3423"/>
      <c r="AG34" s="2404"/>
      <c r="AH34" s="2405"/>
      <c r="AI34" s="3273"/>
      <c r="AJ34" s="2775"/>
      <c r="AK34" s="3359"/>
      <c r="AL34" s="2406"/>
      <c r="AM34" s="2407"/>
      <c r="AN34" s="2408"/>
      <c r="AO34" s="2409"/>
      <c r="AP34" s="2439"/>
      <c r="AQ34" s="2440"/>
      <c r="AR34" s="2523"/>
      <c r="AS34" s="2751"/>
      <c r="AT34" s="2533"/>
      <c r="AU34" s="2443"/>
      <c r="AV34" s="2746"/>
      <c r="AW34" s="3110"/>
      <c r="AX34" s="2407"/>
      <c r="AY34" s="2472"/>
      <c r="AZ34" s="2443"/>
      <c r="BA34" s="3634"/>
      <c r="BB34" s="3634"/>
      <c r="BC34" s="1954"/>
      <c r="BD34" s="1939"/>
      <c r="BE34" s="3630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spans="1:95" ht="15.75" customHeight="1" thickBot="1">
      <c r="A35" s="3646"/>
      <c r="B35" s="2376" t="s">
        <v>34</v>
      </c>
      <c r="C35" s="3640"/>
      <c r="D35" s="1700">
        <f>SUM(E35:AZ35)</f>
        <v>0</v>
      </c>
      <c r="E35" s="2369"/>
      <c r="F35" s="2370"/>
      <c r="G35" s="2371"/>
      <c r="H35" s="2372"/>
      <c r="I35" s="2417"/>
      <c r="J35" s="3426"/>
      <c r="K35" s="2418"/>
      <c r="L35" s="2419"/>
      <c r="M35" s="3276"/>
      <c r="N35" s="2777"/>
      <c r="O35" s="3362"/>
      <c r="P35" s="2420"/>
      <c r="Q35" s="2421"/>
      <c r="R35" s="2422"/>
      <c r="S35" s="2423"/>
      <c r="T35" s="2449"/>
      <c r="U35" s="2450"/>
      <c r="V35" s="2451"/>
      <c r="W35" s="2766"/>
      <c r="X35" s="2452"/>
      <c r="Y35" s="2527"/>
      <c r="Z35" s="2740"/>
      <c r="AA35" s="2355"/>
      <c r="AB35" s="2349"/>
      <c r="AC35" s="2350"/>
      <c r="AD35" s="2351"/>
      <c r="AE35" s="2389"/>
      <c r="AF35" s="3421"/>
      <c r="AG35" s="2390"/>
      <c r="AH35" s="2391"/>
      <c r="AI35" s="3271"/>
      <c r="AJ35" s="2772"/>
      <c r="AK35" s="3357"/>
      <c r="AL35" s="2392"/>
      <c r="AM35" s="2393"/>
      <c r="AN35" s="2394"/>
      <c r="AO35" s="2395"/>
      <c r="AP35" s="2429"/>
      <c r="AQ35" s="2430"/>
      <c r="AR35" s="2458"/>
      <c r="AS35" s="2754"/>
      <c r="AT35" s="2459"/>
      <c r="AU35" s="2433"/>
      <c r="AV35" s="2747"/>
      <c r="AW35" s="2465"/>
      <c r="AX35" s="2386"/>
      <c r="AY35" s="2466"/>
      <c r="AZ35" s="2428"/>
      <c r="BA35" s="3634"/>
      <c r="BB35" s="3634"/>
      <c r="BC35" s="1945"/>
      <c r="BD35" s="1951"/>
      <c r="BE35" s="363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spans="1:95" ht="15.75" customHeight="1" thickBot="1">
      <c r="A36" s="3645">
        <v>46129</v>
      </c>
      <c r="B36" s="1688" t="s">
        <v>32</v>
      </c>
      <c r="C36" s="3639">
        <f>SUM(D36:D39)</f>
        <v>74</v>
      </c>
      <c r="D36" s="1719">
        <f>SUM(E36:AZ36)</f>
        <v>74</v>
      </c>
      <c r="E36" s="1720"/>
      <c r="F36" s="1721"/>
      <c r="G36" s="2353">
        <v>64</v>
      </c>
      <c r="H36" s="1723"/>
      <c r="I36" s="1792"/>
      <c r="J36" s="3422"/>
      <c r="K36" s="1791"/>
      <c r="L36" s="2396"/>
      <c r="M36" s="3272"/>
      <c r="N36" s="2773"/>
      <c r="O36" s="3358"/>
      <c r="P36" s="2397"/>
      <c r="Q36" s="1793"/>
      <c r="R36" s="1796"/>
      <c r="S36" s="1797"/>
      <c r="T36" s="2434"/>
      <c r="U36" s="1848"/>
      <c r="V36" s="2435"/>
      <c r="W36" s="2764"/>
      <c r="X36" s="1850"/>
      <c r="Y36" s="2177"/>
      <c r="Z36" s="2738"/>
      <c r="AA36" s="1720"/>
      <c r="AB36" s="1721"/>
      <c r="AC36" s="2353">
        <v>2</v>
      </c>
      <c r="AD36" s="1723"/>
      <c r="AE36" s="1792"/>
      <c r="AF36" s="3422"/>
      <c r="AG36" s="1791"/>
      <c r="AH36" s="2396"/>
      <c r="AI36" s="3272"/>
      <c r="AJ36" s="2773"/>
      <c r="AK36" s="3358"/>
      <c r="AL36" s="2397"/>
      <c r="AM36" s="1793"/>
      <c r="AN36" s="1796"/>
      <c r="AO36" s="1797"/>
      <c r="AP36" s="2434"/>
      <c r="AQ36" s="1848"/>
      <c r="AR36" s="2080"/>
      <c r="AS36" s="2750"/>
      <c r="AT36" s="2081"/>
      <c r="AU36" s="1851"/>
      <c r="AV36" s="2743"/>
      <c r="AW36" s="2378">
        <v>8</v>
      </c>
      <c r="AX36" s="1793"/>
      <c r="AY36" s="2469"/>
      <c r="AZ36" s="1851"/>
      <c r="BA36" s="3642">
        <f>SUM(E36:Z39)</f>
        <v>64</v>
      </c>
      <c r="BB36" s="3633">
        <f>SUM(E36:AV39)</f>
        <v>66</v>
      </c>
      <c r="BC36" s="1945">
        <v>8002</v>
      </c>
      <c r="BD36" s="1951" t="s">
        <v>466</v>
      </c>
      <c r="BE36" s="3630" t="s">
        <v>33</v>
      </c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spans="1:95" ht="15.75" customHeight="1" thickBot="1">
      <c r="A37" s="3646"/>
      <c r="B37" s="1728" t="s">
        <v>32</v>
      </c>
      <c r="C37" s="3640"/>
      <c r="D37" s="2347">
        <f t="shared" ref="D37" si="10">SUM(E37:AZ37)</f>
        <v>0</v>
      </c>
      <c r="E37" s="2348"/>
      <c r="F37" s="2349"/>
      <c r="G37" s="2350"/>
      <c r="H37" s="2351"/>
      <c r="I37" s="2389"/>
      <c r="J37" s="3421"/>
      <c r="K37" s="2390"/>
      <c r="L37" s="2391"/>
      <c r="M37" s="3271"/>
      <c r="N37" s="2772"/>
      <c r="O37" s="3357"/>
      <c r="P37" s="2392"/>
      <c r="Q37" s="2393"/>
      <c r="R37" s="2394"/>
      <c r="S37" s="2395"/>
      <c r="T37" s="2429"/>
      <c r="U37" s="2430"/>
      <c r="V37" s="2431"/>
      <c r="W37" s="2758"/>
      <c r="X37" s="2432"/>
      <c r="Y37" s="2463"/>
      <c r="Z37" s="2737"/>
      <c r="AA37" s="2534"/>
      <c r="AB37" s="2358"/>
      <c r="AC37" s="2359"/>
      <c r="AD37" s="2360"/>
      <c r="AE37" s="2403"/>
      <c r="AF37" s="3423"/>
      <c r="AG37" s="2404"/>
      <c r="AH37" s="2405"/>
      <c r="AI37" s="3273"/>
      <c r="AJ37" s="2775"/>
      <c r="AK37" s="3359"/>
      <c r="AL37" s="2406"/>
      <c r="AM37" s="2407"/>
      <c r="AN37" s="2408"/>
      <c r="AO37" s="2409"/>
      <c r="AP37" s="2439"/>
      <c r="AQ37" s="2440"/>
      <c r="AR37" s="2523"/>
      <c r="AS37" s="2751"/>
      <c r="AT37" s="2533"/>
      <c r="AU37" s="2443"/>
      <c r="AV37" s="2746"/>
      <c r="AW37" s="2468"/>
      <c r="AX37" s="2393"/>
      <c r="AY37" s="2467"/>
      <c r="AZ37" s="2433"/>
      <c r="BA37" s="3643"/>
      <c r="BB37" s="3634"/>
      <c r="BC37" s="1957"/>
      <c r="BD37" s="1945"/>
      <c r="BE37" s="3630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spans="1:95" ht="15.75" customHeight="1" thickBot="1">
      <c r="A38" s="3646"/>
      <c r="B38" s="1728" t="s">
        <v>34</v>
      </c>
      <c r="C38" s="3640"/>
      <c r="D38" s="2347">
        <f t="shared" ref="D38" si="11">SUM(E38:AZ38)</f>
        <v>0</v>
      </c>
      <c r="E38" s="2348"/>
      <c r="F38" s="2349"/>
      <c r="G38" s="2350"/>
      <c r="H38" s="2351"/>
      <c r="I38" s="2389"/>
      <c r="J38" s="3421"/>
      <c r="K38" s="2390"/>
      <c r="L38" s="2391"/>
      <c r="M38" s="3271"/>
      <c r="N38" s="2772"/>
      <c r="O38" s="3357"/>
      <c r="P38" s="2392"/>
      <c r="Q38" s="2393"/>
      <c r="R38" s="2394"/>
      <c r="S38" s="2395"/>
      <c r="T38" s="2429"/>
      <c r="U38" s="2430"/>
      <c r="V38" s="2431"/>
      <c r="W38" s="2758"/>
      <c r="X38" s="2432"/>
      <c r="Y38" s="2463"/>
      <c r="Z38" s="2737"/>
      <c r="AA38" s="2534"/>
      <c r="AB38" s="2358"/>
      <c r="AC38" s="2359"/>
      <c r="AD38" s="2360"/>
      <c r="AE38" s="2403"/>
      <c r="AF38" s="3423"/>
      <c r="AG38" s="2404"/>
      <c r="AH38" s="2405"/>
      <c r="AI38" s="3273"/>
      <c r="AJ38" s="2775"/>
      <c r="AK38" s="3359"/>
      <c r="AL38" s="2406"/>
      <c r="AM38" s="2407"/>
      <c r="AN38" s="2408"/>
      <c r="AO38" s="2409"/>
      <c r="AP38" s="2439"/>
      <c r="AQ38" s="2440"/>
      <c r="AR38" s="2523"/>
      <c r="AS38" s="2751"/>
      <c r="AT38" s="2533"/>
      <c r="AU38" s="2443"/>
      <c r="AV38" s="2746"/>
      <c r="AW38" s="2468"/>
      <c r="AX38" s="2393"/>
      <c r="AY38" s="2467"/>
      <c r="AZ38" s="2433"/>
      <c r="BA38" s="3643"/>
      <c r="BB38" s="3634"/>
      <c r="BC38" s="1957"/>
      <c r="BD38" s="1945"/>
      <c r="BE38" s="3630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spans="1:95" ht="15.75" customHeight="1" thickBot="1">
      <c r="A39" s="3646"/>
      <c r="B39" s="1999" t="s">
        <v>34</v>
      </c>
      <c r="C39" s="3640"/>
      <c r="D39" s="1705">
        <f>SUM(E39:AZ39)</f>
        <v>0</v>
      </c>
      <c r="E39" s="2184"/>
      <c r="F39" s="2185"/>
      <c r="G39" s="2356"/>
      <c r="H39" s="2216"/>
      <c r="I39" s="2398"/>
      <c r="J39" s="3424"/>
      <c r="K39" s="2399"/>
      <c r="L39" s="2400"/>
      <c r="M39" s="3274"/>
      <c r="N39" s="2774"/>
      <c r="O39" s="3360"/>
      <c r="P39" s="2401"/>
      <c r="Q39" s="2220"/>
      <c r="R39" s="2245"/>
      <c r="S39" s="2402"/>
      <c r="T39" s="2436"/>
      <c r="U39" s="2246"/>
      <c r="V39" s="2437"/>
      <c r="W39" s="2752"/>
      <c r="X39" s="2438"/>
      <c r="Y39" s="2183"/>
      <c r="Z39" s="2739"/>
      <c r="AA39" s="2184"/>
      <c r="AB39" s="2185"/>
      <c r="AC39" s="2356"/>
      <c r="AD39" s="2216"/>
      <c r="AE39" s="2398"/>
      <c r="AF39" s="3424"/>
      <c r="AG39" s="2399"/>
      <c r="AH39" s="2400"/>
      <c r="AI39" s="3274"/>
      <c r="AJ39" s="2774"/>
      <c r="AK39" s="3360"/>
      <c r="AL39" s="2401"/>
      <c r="AM39" s="2220"/>
      <c r="AN39" s="2245"/>
      <c r="AO39" s="2402"/>
      <c r="AP39" s="2436"/>
      <c r="AQ39" s="2246"/>
      <c r="AR39" s="2437"/>
      <c r="AS39" s="2752"/>
      <c r="AT39" s="2438"/>
      <c r="AU39" s="2262"/>
      <c r="AV39" s="2745"/>
      <c r="AW39" s="2529"/>
      <c r="AX39" s="2220"/>
      <c r="AY39" s="2471"/>
      <c r="AZ39" s="2262"/>
      <c r="BA39" s="3643"/>
      <c r="BB39" s="3635"/>
      <c r="BC39" s="1945"/>
      <c r="BD39" s="1951"/>
      <c r="BE39" s="363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spans="1:95" ht="15.75" customHeight="1" thickBot="1">
      <c r="A40" s="3645">
        <v>46130</v>
      </c>
      <c r="B40" s="1688" t="s">
        <v>32</v>
      </c>
      <c r="C40" s="3653">
        <f>SUM(D40:D43)</f>
        <v>782</v>
      </c>
      <c r="D40" s="1719">
        <f>SUM(E40:AZ40)</f>
        <v>516</v>
      </c>
      <c r="E40" s="1720"/>
      <c r="F40" s="1721"/>
      <c r="G40" s="2353">
        <v>496</v>
      </c>
      <c r="H40" s="1723"/>
      <c r="I40" s="1792"/>
      <c r="J40" s="3422"/>
      <c r="K40" s="1791"/>
      <c r="L40" s="2396"/>
      <c r="M40" s="3272"/>
      <c r="N40" s="2773"/>
      <c r="O40" s="3358"/>
      <c r="P40" s="2397"/>
      <c r="Q40" s="1793"/>
      <c r="R40" s="1796"/>
      <c r="S40" s="1797"/>
      <c r="T40" s="2434"/>
      <c r="U40" s="1848"/>
      <c r="V40" s="2435"/>
      <c r="W40" s="2764"/>
      <c r="X40" s="1850"/>
      <c r="Y40" s="2177"/>
      <c r="Z40" s="2738"/>
      <c r="AA40" s="1720"/>
      <c r="AB40" s="1721"/>
      <c r="AC40" s="2353">
        <v>3</v>
      </c>
      <c r="AD40" s="1723"/>
      <c r="AE40" s="1792"/>
      <c r="AF40" s="3422"/>
      <c r="AG40" s="1791"/>
      <c r="AH40" s="2396"/>
      <c r="AI40" s="3272"/>
      <c r="AJ40" s="2773"/>
      <c r="AK40" s="3358"/>
      <c r="AL40" s="2397"/>
      <c r="AM40" s="1793"/>
      <c r="AN40" s="1796"/>
      <c r="AO40" s="1797"/>
      <c r="AP40" s="2434"/>
      <c r="AQ40" s="1848"/>
      <c r="AR40" s="2080"/>
      <c r="AS40" s="2750"/>
      <c r="AT40" s="2081"/>
      <c r="AU40" s="1851"/>
      <c r="AV40" s="2743"/>
      <c r="AW40" s="2378">
        <v>17</v>
      </c>
      <c r="AX40" s="1793"/>
      <c r="AY40" s="2470"/>
      <c r="AZ40" s="1851"/>
      <c r="BA40" s="3642">
        <f>SUM(E40:Z43)</f>
        <v>736</v>
      </c>
      <c r="BB40" s="3633">
        <f>SUM(E40:AV43)</f>
        <v>745</v>
      </c>
      <c r="BC40" s="1945">
        <v>8002</v>
      </c>
      <c r="BD40" s="1951" t="s">
        <v>466</v>
      </c>
      <c r="BE40" s="3629" t="s">
        <v>33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spans="1:95" ht="15.75" customHeight="1" thickBot="1">
      <c r="A41" s="3646"/>
      <c r="B41" s="1728" t="s">
        <v>34</v>
      </c>
      <c r="C41" s="3654"/>
      <c r="D41" s="2347">
        <f>SUM(E41:AZ41)</f>
        <v>266</v>
      </c>
      <c r="E41" s="2348"/>
      <c r="F41" s="2349"/>
      <c r="G41" s="2350">
        <v>240</v>
      </c>
      <c r="H41" s="2351"/>
      <c r="I41" s="2389"/>
      <c r="J41" s="3421"/>
      <c r="K41" s="2390"/>
      <c r="L41" s="2391"/>
      <c r="M41" s="3271"/>
      <c r="N41" s="2772"/>
      <c r="O41" s="3357"/>
      <c r="P41" s="2392"/>
      <c r="Q41" s="2393"/>
      <c r="R41" s="2394"/>
      <c r="S41" s="2395"/>
      <c r="T41" s="2429"/>
      <c r="U41" s="2430"/>
      <c r="V41" s="2431"/>
      <c r="W41" s="2758"/>
      <c r="X41" s="2432"/>
      <c r="Y41" s="2463"/>
      <c r="Z41" s="2737"/>
      <c r="AA41" s="2534"/>
      <c r="AB41" s="2358"/>
      <c r="AC41" s="2359">
        <v>6</v>
      </c>
      <c r="AD41" s="2360"/>
      <c r="AE41" s="2403"/>
      <c r="AF41" s="3423"/>
      <c r="AG41" s="2404"/>
      <c r="AH41" s="2405"/>
      <c r="AI41" s="3273"/>
      <c r="AJ41" s="2775"/>
      <c r="AK41" s="3359"/>
      <c r="AL41" s="2406"/>
      <c r="AM41" s="2407"/>
      <c r="AN41" s="2408"/>
      <c r="AO41" s="2409"/>
      <c r="AP41" s="2439"/>
      <c r="AQ41" s="2440"/>
      <c r="AR41" s="2523"/>
      <c r="AS41" s="2751"/>
      <c r="AT41" s="2533"/>
      <c r="AU41" s="2443"/>
      <c r="AV41" s="2746"/>
      <c r="AW41" s="2468">
        <v>20</v>
      </c>
      <c r="AX41" s="2393"/>
      <c r="AY41" s="2467"/>
      <c r="AZ41" s="2433"/>
      <c r="BA41" s="3643"/>
      <c r="BB41" s="3634"/>
      <c r="BC41" s="1957"/>
      <c r="BD41" s="1945"/>
      <c r="BE41" s="3630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spans="1:95" ht="15.75" customHeight="1" thickBot="1">
      <c r="A42" s="3646"/>
      <c r="B42" s="1728" t="s">
        <v>34</v>
      </c>
      <c r="C42" s="3654"/>
      <c r="D42" s="2347">
        <f t="shared" ref="D42" si="12">SUM(E42:AZ42)</f>
        <v>0</v>
      </c>
      <c r="E42" s="2348"/>
      <c r="F42" s="2349"/>
      <c r="G42" s="2350"/>
      <c r="H42" s="2351"/>
      <c r="I42" s="2389"/>
      <c r="J42" s="3421"/>
      <c r="K42" s="2390"/>
      <c r="L42" s="2391"/>
      <c r="M42" s="3271"/>
      <c r="N42" s="2772"/>
      <c r="O42" s="3357"/>
      <c r="P42" s="2392"/>
      <c r="Q42" s="2393"/>
      <c r="R42" s="2394"/>
      <c r="S42" s="2395"/>
      <c r="T42" s="2429"/>
      <c r="U42" s="2430"/>
      <c r="V42" s="2431"/>
      <c r="W42" s="2758"/>
      <c r="X42" s="2432"/>
      <c r="Y42" s="2463"/>
      <c r="Z42" s="2737"/>
      <c r="AA42" s="2534"/>
      <c r="AB42" s="2358"/>
      <c r="AC42" s="2359"/>
      <c r="AD42" s="2360"/>
      <c r="AE42" s="2403"/>
      <c r="AF42" s="3423"/>
      <c r="AG42" s="2404"/>
      <c r="AH42" s="2405"/>
      <c r="AI42" s="3273"/>
      <c r="AJ42" s="2775"/>
      <c r="AK42" s="3359"/>
      <c r="AL42" s="2406"/>
      <c r="AM42" s="2407"/>
      <c r="AN42" s="2408"/>
      <c r="AO42" s="2409"/>
      <c r="AP42" s="2439"/>
      <c r="AQ42" s="2440"/>
      <c r="AR42" s="2523"/>
      <c r="AS42" s="2751"/>
      <c r="AT42" s="2533"/>
      <c r="AU42" s="2443"/>
      <c r="AV42" s="2746"/>
      <c r="AW42" s="2468"/>
      <c r="AX42" s="2393"/>
      <c r="AY42" s="2467"/>
      <c r="AZ42" s="2433"/>
      <c r="BA42" s="3643"/>
      <c r="BB42" s="3634"/>
      <c r="BC42" s="1957"/>
      <c r="BD42" s="1945"/>
      <c r="BE42" s="3630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spans="1:95" ht="15.75" customHeight="1" thickBot="1">
      <c r="A43" s="3646"/>
      <c r="B43" s="1724" t="s">
        <v>34</v>
      </c>
      <c r="C43" s="3655"/>
      <c r="D43" s="1710">
        <f t="shared" ref="D43:D56" si="13">SUM(E43:AZ43)</f>
        <v>0</v>
      </c>
      <c r="E43" s="2184"/>
      <c r="F43" s="2185"/>
      <c r="G43" s="2356"/>
      <c r="H43" s="2216"/>
      <c r="I43" s="2398"/>
      <c r="J43" s="3424"/>
      <c r="K43" s="2399"/>
      <c r="L43" s="2400"/>
      <c r="M43" s="3274"/>
      <c r="N43" s="2774"/>
      <c r="O43" s="3360"/>
      <c r="P43" s="2401"/>
      <c r="Q43" s="2220"/>
      <c r="R43" s="2245"/>
      <c r="S43" s="2402"/>
      <c r="T43" s="2436"/>
      <c r="U43" s="2246"/>
      <c r="V43" s="2454"/>
      <c r="W43" s="2767"/>
      <c r="X43" s="2250"/>
      <c r="Y43" s="2183"/>
      <c r="Z43" s="2739"/>
      <c r="AA43" s="2184"/>
      <c r="AB43" s="2185"/>
      <c r="AC43" s="2356"/>
      <c r="AD43" s="2216"/>
      <c r="AE43" s="2398"/>
      <c r="AF43" s="3424"/>
      <c r="AG43" s="2399"/>
      <c r="AH43" s="2400"/>
      <c r="AI43" s="3274"/>
      <c r="AJ43" s="2774"/>
      <c r="AK43" s="3360"/>
      <c r="AL43" s="2401"/>
      <c r="AM43" s="2220"/>
      <c r="AN43" s="2245"/>
      <c r="AO43" s="2402"/>
      <c r="AP43" s="2436"/>
      <c r="AQ43" s="2246"/>
      <c r="AR43" s="2437"/>
      <c r="AS43" s="2752"/>
      <c r="AT43" s="2438"/>
      <c r="AU43" s="2262"/>
      <c r="AV43" s="2745"/>
      <c r="AW43" s="2529"/>
      <c r="AX43" s="2220"/>
      <c r="AY43" s="2471"/>
      <c r="AZ43" s="2262"/>
      <c r="BA43" s="3644"/>
      <c r="BB43" s="3635"/>
      <c r="BC43" s="1945"/>
      <c r="BD43" s="1951"/>
      <c r="BE43" s="363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spans="1:95" ht="15.75" customHeight="1" thickBot="1">
      <c r="A44" s="3645">
        <v>46131</v>
      </c>
      <c r="B44" s="1688" t="s">
        <v>32</v>
      </c>
      <c r="C44" s="3639">
        <f>SUM(D44:D46)</f>
        <v>457</v>
      </c>
      <c r="D44" s="1996">
        <f t="shared" si="13"/>
        <v>457</v>
      </c>
      <c r="E44" s="2377"/>
      <c r="F44" s="2370"/>
      <c r="G44" s="2371">
        <v>432</v>
      </c>
      <c r="H44" s="2372"/>
      <c r="I44" s="2417"/>
      <c r="J44" s="3426"/>
      <c r="K44" s="2418"/>
      <c r="L44" s="2419"/>
      <c r="M44" s="3276"/>
      <c r="N44" s="2777"/>
      <c r="O44" s="3362"/>
      <c r="P44" s="2420"/>
      <c r="Q44" s="2421"/>
      <c r="R44" s="2422"/>
      <c r="S44" s="2423"/>
      <c r="T44" s="2449"/>
      <c r="U44" s="2450"/>
      <c r="V44" s="2455"/>
      <c r="W44" s="2753"/>
      <c r="X44" s="2456"/>
      <c r="Y44" s="2527"/>
      <c r="Z44" s="2740"/>
      <c r="AA44" s="2369"/>
      <c r="AB44" s="2370"/>
      <c r="AC44" s="2371">
        <v>8</v>
      </c>
      <c r="AD44" s="2372"/>
      <c r="AE44" s="2417"/>
      <c r="AF44" s="3426"/>
      <c r="AG44" s="2418"/>
      <c r="AH44" s="2419"/>
      <c r="AI44" s="3276"/>
      <c r="AJ44" s="2777"/>
      <c r="AK44" s="3362"/>
      <c r="AL44" s="2420"/>
      <c r="AM44" s="2421"/>
      <c r="AN44" s="2422"/>
      <c r="AO44" s="2423"/>
      <c r="AP44" s="2449"/>
      <c r="AQ44" s="2450"/>
      <c r="AR44" s="2455"/>
      <c r="AS44" s="2753"/>
      <c r="AT44" s="2456"/>
      <c r="AU44" s="2453"/>
      <c r="AV44" s="2744"/>
      <c r="AW44" s="2532">
        <v>17</v>
      </c>
      <c r="AX44" s="2421"/>
      <c r="AY44" s="2476"/>
      <c r="AZ44" s="2457"/>
      <c r="BA44" s="3642">
        <f>SUM(E44:Z46)</f>
        <v>432</v>
      </c>
      <c r="BB44" s="3634">
        <f>SUM(E44:AV46)</f>
        <v>440</v>
      </c>
      <c r="BC44" s="1945">
        <v>8002</v>
      </c>
      <c r="BD44" s="1951" t="s">
        <v>466</v>
      </c>
      <c r="BE44" s="3629" t="s">
        <v>33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spans="1:95" ht="15.75" customHeight="1" thickBot="1">
      <c r="A45" s="3646"/>
      <c r="B45" s="1728" t="s">
        <v>32</v>
      </c>
      <c r="C45" s="3640"/>
      <c r="D45" s="2347">
        <f>SUM(E45:AZ45)</f>
        <v>0</v>
      </c>
      <c r="E45" s="2348"/>
      <c r="F45" s="2349"/>
      <c r="G45" s="2350"/>
      <c r="H45" s="2351"/>
      <c r="I45" s="2389"/>
      <c r="J45" s="3421"/>
      <c r="K45" s="2390"/>
      <c r="L45" s="2391"/>
      <c r="M45" s="3271"/>
      <c r="N45" s="2772"/>
      <c r="O45" s="3357"/>
      <c r="P45" s="2392"/>
      <c r="Q45" s="2393"/>
      <c r="R45" s="2394"/>
      <c r="S45" s="2395"/>
      <c r="T45" s="2429"/>
      <c r="U45" s="2430"/>
      <c r="V45" s="2431"/>
      <c r="W45" s="2758"/>
      <c r="X45" s="2432"/>
      <c r="Y45" s="2463"/>
      <c r="Z45" s="2737"/>
      <c r="AA45" s="2534"/>
      <c r="AB45" s="2358"/>
      <c r="AC45" s="2359"/>
      <c r="AD45" s="2360"/>
      <c r="AE45" s="2403"/>
      <c r="AF45" s="3423"/>
      <c r="AG45" s="2404"/>
      <c r="AH45" s="2405"/>
      <c r="AI45" s="3273"/>
      <c r="AJ45" s="2775"/>
      <c r="AK45" s="3359"/>
      <c r="AL45" s="2406"/>
      <c r="AM45" s="2407"/>
      <c r="AN45" s="2408"/>
      <c r="AO45" s="2409"/>
      <c r="AP45" s="2439"/>
      <c r="AQ45" s="2440"/>
      <c r="AR45" s="2523"/>
      <c r="AS45" s="2751"/>
      <c r="AT45" s="2533"/>
      <c r="AU45" s="2443"/>
      <c r="AV45" s="2746"/>
      <c r="AW45" s="2468"/>
      <c r="AX45" s="2393"/>
      <c r="AY45" s="2467"/>
      <c r="AZ45" s="2433"/>
      <c r="BA45" s="3643"/>
      <c r="BB45" s="3634"/>
      <c r="BC45" s="1945"/>
      <c r="BD45" s="1945"/>
      <c r="BE45" s="3630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spans="1:95" ht="15.75" customHeight="1" thickBot="1">
      <c r="A46" s="3646"/>
      <c r="B46" s="1724" t="s">
        <v>34</v>
      </c>
      <c r="C46" s="3640"/>
      <c r="D46" s="2361">
        <f t="shared" si="13"/>
        <v>0</v>
      </c>
      <c r="E46" s="2355"/>
      <c r="F46" s="2349"/>
      <c r="G46" s="2350"/>
      <c r="H46" s="2351"/>
      <c r="I46" s="2389"/>
      <c r="J46" s="3421"/>
      <c r="K46" s="2390"/>
      <c r="L46" s="2391"/>
      <c r="M46" s="3271"/>
      <c r="N46" s="2772"/>
      <c r="O46" s="3357"/>
      <c r="P46" s="2392"/>
      <c r="Q46" s="2393"/>
      <c r="R46" s="2394"/>
      <c r="S46" s="2395"/>
      <c r="T46" s="2429"/>
      <c r="U46" s="2430"/>
      <c r="V46" s="2431"/>
      <c r="W46" s="2758"/>
      <c r="X46" s="2432"/>
      <c r="Y46" s="2463"/>
      <c r="Z46" s="2737"/>
      <c r="AA46" s="2355"/>
      <c r="AB46" s="2349"/>
      <c r="AC46" s="2350"/>
      <c r="AD46" s="2351"/>
      <c r="AE46" s="2389"/>
      <c r="AF46" s="3421"/>
      <c r="AG46" s="2390"/>
      <c r="AH46" s="2391"/>
      <c r="AI46" s="3271"/>
      <c r="AJ46" s="2772"/>
      <c r="AK46" s="3357"/>
      <c r="AL46" s="2392"/>
      <c r="AM46" s="2393"/>
      <c r="AN46" s="2394"/>
      <c r="AO46" s="2395"/>
      <c r="AP46" s="2429"/>
      <c r="AQ46" s="2430"/>
      <c r="AR46" s="2458"/>
      <c r="AS46" s="2754"/>
      <c r="AT46" s="2459"/>
      <c r="AU46" s="2433"/>
      <c r="AV46" s="2747"/>
      <c r="AW46" s="2468"/>
      <c r="AX46" s="2708"/>
      <c r="AY46" s="2709"/>
      <c r="AZ46" s="2710"/>
      <c r="BA46" s="3635"/>
      <c r="BB46" s="3634"/>
      <c r="BC46" s="1945"/>
      <c r="BD46" s="1951"/>
      <c r="BE46" s="363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spans="1:95" ht="15.75" customHeight="1" thickBot="1">
      <c r="A47" s="3656">
        <v>46132</v>
      </c>
      <c r="B47" s="1688" t="s">
        <v>32</v>
      </c>
      <c r="C47" s="3651">
        <f>SUM(D47:D50)</f>
        <v>357</v>
      </c>
      <c r="D47" s="3337">
        <f t="shared" si="13"/>
        <v>357</v>
      </c>
      <c r="E47" s="1720"/>
      <c r="F47" s="2344"/>
      <c r="G47" s="2353">
        <v>336</v>
      </c>
      <c r="H47" s="1723"/>
      <c r="I47" s="1792"/>
      <c r="J47" s="3422"/>
      <c r="K47" s="1791"/>
      <c r="L47" s="2396"/>
      <c r="M47" s="3272"/>
      <c r="N47" s="2773"/>
      <c r="O47" s="3358"/>
      <c r="P47" s="2397"/>
      <c r="Q47" s="1793"/>
      <c r="R47" s="1796"/>
      <c r="S47" s="1797"/>
      <c r="T47" s="2434"/>
      <c r="U47" s="1848"/>
      <c r="V47" s="2435"/>
      <c r="W47" s="2764"/>
      <c r="X47" s="1850"/>
      <c r="Y47" s="1851"/>
      <c r="Z47" s="2743"/>
      <c r="AA47" s="1720"/>
      <c r="AB47" s="1721"/>
      <c r="AC47" s="2353">
        <v>2</v>
      </c>
      <c r="AD47" s="1723"/>
      <c r="AE47" s="1792"/>
      <c r="AF47" s="3422"/>
      <c r="AG47" s="1791"/>
      <c r="AH47" s="2396"/>
      <c r="AI47" s="3272"/>
      <c r="AJ47" s="2773"/>
      <c r="AK47" s="3358"/>
      <c r="AL47" s="2397"/>
      <c r="AM47" s="1793"/>
      <c r="AN47" s="1796"/>
      <c r="AO47" s="1797"/>
      <c r="AP47" s="2434"/>
      <c r="AQ47" s="1848"/>
      <c r="AR47" s="2080"/>
      <c r="AS47" s="2750"/>
      <c r="AT47" s="2081"/>
      <c r="AU47" s="1851"/>
      <c r="AV47" s="2743"/>
      <c r="AW47" s="2378">
        <v>19</v>
      </c>
      <c r="AX47" s="1793"/>
      <c r="AY47" s="2469"/>
      <c r="AZ47" s="1851"/>
      <c r="BA47" s="3642">
        <f>SUM(E47:Z50)</f>
        <v>336</v>
      </c>
      <c r="BB47" s="3636">
        <f>SUM(E47:AV50)</f>
        <v>338</v>
      </c>
      <c r="BC47" s="1945">
        <v>8002</v>
      </c>
      <c r="BD47" s="1951" t="s">
        <v>466</v>
      </c>
      <c r="BE47" s="3630" t="s">
        <v>33</v>
      </c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spans="1:95" ht="15.75" customHeight="1" thickBot="1">
      <c r="A48" s="3657"/>
      <c r="B48" s="1728" t="s">
        <v>34</v>
      </c>
      <c r="C48" s="3652"/>
      <c r="D48" s="3338">
        <f t="shared" si="13"/>
        <v>0</v>
      </c>
      <c r="E48" s="2348"/>
      <c r="F48" s="2349"/>
      <c r="G48" s="2350"/>
      <c r="H48" s="2351"/>
      <c r="I48" s="2389"/>
      <c r="J48" s="3421"/>
      <c r="K48" s="2390"/>
      <c r="L48" s="2391"/>
      <c r="M48" s="3271"/>
      <c r="N48" s="2772"/>
      <c r="O48" s="3357"/>
      <c r="P48" s="2392"/>
      <c r="Q48" s="2393"/>
      <c r="R48" s="2394"/>
      <c r="S48" s="2395"/>
      <c r="T48" s="2429"/>
      <c r="U48" s="2430"/>
      <c r="V48" s="2431"/>
      <c r="W48" s="2758"/>
      <c r="X48" s="2432"/>
      <c r="Y48" s="2463"/>
      <c r="Z48" s="2747"/>
      <c r="AA48" s="2355"/>
      <c r="AB48" s="2349"/>
      <c r="AC48" s="2350"/>
      <c r="AD48" s="2351"/>
      <c r="AE48" s="2389"/>
      <c r="AF48" s="3421"/>
      <c r="AG48" s="2390"/>
      <c r="AH48" s="2391"/>
      <c r="AI48" s="3271"/>
      <c r="AJ48" s="2772"/>
      <c r="AK48" s="3357"/>
      <c r="AL48" s="2392"/>
      <c r="AM48" s="2393"/>
      <c r="AN48" s="2394"/>
      <c r="AO48" s="2395"/>
      <c r="AP48" s="2429"/>
      <c r="AQ48" s="2430"/>
      <c r="AR48" s="2458"/>
      <c r="AS48" s="2754"/>
      <c r="AT48" s="2459"/>
      <c r="AU48" s="2433"/>
      <c r="AV48" s="2747"/>
      <c r="AW48" s="2468"/>
      <c r="AX48" s="2393"/>
      <c r="AY48" s="2467"/>
      <c r="AZ48" s="2433"/>
      <c r="BA48" s="3643"/>
      <c r="BB48" s="3637"/>
      <c r="BC48" s="1945"/>
      <c r="BD48" s="1951"/>
      <c r="BE48" s="3630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spans="1:95" ht="15.75" customHeight="1" thickBot="1">
      <c r="A49" s="3657"/>
      <c r="B49" s="1728" t="s">
        <v>32</v>
      </c>
      <c r="C49" s="3652"/>
      <c r="D49" s="3338">
        <f t="shared" ref="D49" si="14">SUM(E49:AZ49)</f>
        <v>0</v>
      </c>
      <c r="E49" s="2348"/>
      <c r="F49" s="2349"/>
      <c r="G49" s="2350"/>
      <c r="H49" s="2351"/>
      <c r="I49" s="2389"/>
      <c r="J49" s="3421"/>
      <c r="K49" s="2390"/>
      <c r="L49" s="2391"/>
      <c r="M49" s="3271"/>
      <c r="N49" s="2772"/>
      <c r="O49" s="3357"/>
      <c r="P49" s="2392"/>
      <c r="Q49" s="2393"/>
      <c r="R49" s="2394"/>
      <c r="S49" s="2395"/>
      <c r="T49" s="2429"/>
      <c r="U49" s="2430"/>
      <c r="V49" s="2431"/>
      <c r="W49" s="2758"/>
      <c r="X49" s="2432"/>
      <c r="Y49" s="2463"/>
      <c r="Z49" s="2747"/>
      <c r="AA49" s="2355"/>
      <c r="AB49" s="2349"/>
      <c r="AC49" s="2350"/>
      <c r="AD49" s="2351"/>
      <c r="AE49" s="2389"/>
      <c r="AF49" s="3421"/>
      <c r="AG49" s="2390"/>
      <c r="AH49" s="2391"/>
      <c r="AI49" s="3271"/>
      <c r="AJ49" s="2772"/>
      <c r="AK49" s="3357"/>
      <c r="AL49" s="2392"/>
      <c r="AM49" s="2393"/>
      <c r="AN49" s="2394"/>
      <c r="AO49" s="2395"/>
      <c r="AP49" s="2429"/>
      <c r="AQ49" s="2430"/>
      <c r="AR49" s="2458"/>
      <c r="AS49" s="2754"/>
      <c r="AT49" s="2459"/>
      <c r="AU49" s="2433"/>
      <c r="AV49" s="2747"/>
      <c r="AW49" s="2468"/>
      <c r="AX49" s="2393"/>
      <c r="AY49" s="2467"/>
      <c r="AZ49" s="2433"/>
      <c r="BA49" s="3643"/>
      <c r="BB49" s="3637"/>
      <c r="BC49" s="1945"/>
      <c r="BD49" s="1951"/>
      <c r="BE49" s="3630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spans="1:95" ht="17.25" customHeight="1" thickBot="1">
      <c r="A50" s="3657"/>
      <c r="B50" s="1995" t="s">
        <v>34</v>
      </c>
      <c r="C50" s="3652"/>
      <c r="D50" s="3339">
        <f t="shared" si="13"/>
        <v>0</v>
      </c>
      <c r="E50" s="2184"/>
      <c r="F50" s="2185"/>
      <c r="G50" s="2356"/>
      <c r="H50" s="2216"/>
      <c r="I50" s="2398"/>
      <c r="J50" s="3424"/>
      <c r="K50" s="2399"/>
      <c r="L50" s="2400"/>
      <c r="M50" s="3274"/>
      <c r="N50" s="2774"/>
      <c r="O50" s="3360"/>
      <c r="P50" s="2401"/>
      <c r="Q50" s="2220"/>
      <c r="R50" s="2245"/>
      <c r="S50" s="2402"/>
      <c r="T50" s="2436"/>
      <c r="U50" s="2246"/>
      <c r="V50" s="2437"/>
      <c r="W50" s="2752"/>
      <c r="X50" s="2438"/>
      <c r="Y50" s="2217"/>
      <c r="Z50" s="2745"/>
      <c r="AA50" s="2184"/>
      <c r="AB50" s="2185"/>
      <c r="AC50" s="2356"/>
      <c r="AD50" s="2216"/>
      <c r="AE50" s="2398"/>
      <c r="AF50" s="3424"/>
      <c r="AG50" s="2399"/>
      <c r="AH50" s="2400"/>
      <c r="AI50" s="3274"/>
      <c r="AJ50" s="2774"/>
      <c r="AK50" s="3360"/>
      <c r="AL50" s="2401"/>
      <c r="AM50" s="2220"/>
      <c r="AN50" s="2245"/>
      <c r="AO50" s="2402"/>
      <c r="AP50" s="2436"/>
      <c r="AQ50" s="2246"/>
      <c r="AR50" s="2437"/>
      <c r="AS50" s="2752"/>
      <c r="AT50" s="2438"/>
      <c r="AU50" s="2217"/>
      <c r="AV50" s="3340"/>
      <c r="AW50" s="2185"/>
      <c r="AX50" s="2220"/>
      <c r="AY50" s="2471"/>
      <c r="AZ50" s="2262"/>
      <c r="BA50" s="3643"/>
      <c r="BB50" s="3637"/>
      <c r="BC50" s="1945"/>
      <c r="BD50" s="1951"/>
      <c r="BE50" s="3630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spans="1:95" ht="15.75" customHeight="1" thickBot="1">
      <c r="A51" s="3656">
        <v>46133</v>
      </c>
      <c r="B51" s="1688" t="s">
        <v>32</v>
      </c>
      <c r="C51" s="3651">
        <f>SUM(D51:D54)</f>
        <v>836</v>
      </c>
      <c r="D51" s="1700">
        <f t="shared" si="13"/>
        <v>415</v>
      </c>
      <c r="E51" s="2369"/>
      <c r="F51" s="2532"/>
      <c r="G51" s="2371">
        <f>208+176</f>
        <v>384</v>
      </c>
      <c r="H51" s="2372"/>
      <c r="I51" s="2417"/>
      <c r="J51" s="3426"/>
      <c r="K51" s="2418"/>
      <c r="L51" s="2419"/>
      <c r="M51" s="3276"/>
      <c r="N51" s="2777"/>
      <c r="O51" s="3362"/>
      <c r="P51" s="2420"/>
      <c r="Q51" s="2421"/>
      <c r="R51" s="2422"/>
      <c r="S51" s="2423"/>
      <c r="T51" s="2449"/>
      <c r="U51" s="2450"/>
      <c r="V51" s="2451"/>
      <c r="W51" s="2766"/>
      <c r="X51" s="2452"/>
      <c r="Y51" s="2527"/>
      <c r="Z51" s="2740"/>
      <c r="AA51" s="2369"/>
      <c r="AB51" s="2370"/>
      <c r="AC51" s="2371">
        <f>2+4</f>
        <v>6</v>
      </c>
      <c r="AD51" s="2372"/>
      <c r="AE51" s="2417"/>
      <c r="AF51" s="3426"/>
      <c r="AG51" s="2418"/>
      <c r="AH51" s="2419"/>
      <c r="AI51" s="3276"/>
      <c r="AJ51" s="2777"/>
      <c r="AK51" s="3362"/>
      <c r="AL51" s="2420"/>
      <c r="AM51" s="2421"/>
      <c r="AN51" s="2422"/>
      <c r="AO51" s="2423"/>
      <c r="AP51" s="2449"/>
      <c r="AQ51" s="2450"/>
      <c r="AR51" s="2455"/>
      <c r="AS51" s="2753"/>
      <c r="AT51" s="2456"/>
      <c r="AU51" s="2453"/>
      <c r="AV51" s="2744"/>
      <c r="AW51" s="2532">
        <v>25</v>
      </c>
      <c r="AX51" s="2421"/>
      <c r="AY51" s="2474"/>
      <c r="AZ51" s="2453"/>
      <c r="BA51" s="3633">
        <f>SUM(E51:Z54)</f>
        <v>800</v>
      </c>
      <c r="BB51" s="3636">
        <f>SUM(E51:Z54)</f>
        <v>800</v>
      </c>
      <c r="BC51" s="1945">
        <v>8002</v>
      </c>
      <c r="BD51" s="1951" t="s">
        <v>662</v>
      </c>
      <c r="BE51" s="3629" t="s">
        <v>33</v>
      </c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spans="1:95" ht="15.75" customHeight="1" thickBot="1">
      <c r="A52" s="3657"/>
      <c r="B52" s="1728" t="s">
        <v>34</v>
      </c>
      <c r="C52" s="3652"/>
      <c r="D52" s="2347">
        <f t="shared" ref="D52" si="15">SUM(E52:AZ52)</f>
        <v>421</v>
      </c>
      <c r="E52" s="2348"/>
      <c r="F52" s="2349"/>
      <c r="G52" s="2350">
        <v>416</v>
      </c>
      <c r="H52" s="2351"/>
      <c r="I52" s="2389"/>
      <c r="J52" s="3421"/>
      <c r="K52" s="2390"/>
      <c r="L52" s="2391"/>
      <c r="M52" s="3271"/>
      <c r="N52" s="2772"/>
      <c r="O52" s="3357"/>
      <c r="P52" s="2392"/>
      <c r="Q52" s="2393"/>
      <c r="R52" s="2394"/>
      <c r="S52" s="2395"/>
      <c r="T52" s="2429"/>
      <c r="U52" s="2430"/>
      <c r="V52" s="2431"/>
      <c r="W52" s="2758"/>
      <c r="X52" s="2432"/>
      <c r="Y52" s="2463"/>
      <c r="Z52" s="2737"/>
      <c r="AA52" s="2534"/>
      <c r="AB52" s="2358"/>
      <c r="AC52" s="2359"/>
      <c r="AD52" s="2360"/>
      <c r="AE52" s="2403"/>
      <c r="AF52" s="3423"/>
      <c r="AG52" s="2404"/>
      <c r="AH52" s="2405"/>
      <c r="AI52" s="3273"/>
      <c r="AJ52" s="2775"/>
      <c r="AK52" s="3359"/>
      <c r="AL52" s="2406"/>
      <c r="AM52" s="2407"/>
      <c r="AN52" s="2408"/>
      <c r="AO52" s="2409"/>
      <c r="AP52" s="2439"/>
      <c r="AQ52" s="2440"/>
      <c r="AR52" s="2523"/>
      <c r="AS52" s="2751"/>
      <c r="AT52" s="2533"/>
      <c r="AU52" s="2443"/>
      <c r="AV52" s="2746"/>
      <c r="AW52" s="2468">
        <v>5</v>
      </c>
      <c r="AX52" s="2393"/>
      <c r="AY52" s="2467"/>
      <c r="AZ52" s="2433"/>
      <c r="BA52" s="3634"/>
      <c r="BB52" s="3637"/>
      <c r="BC52" s="1945"/>
      <c r="BD52" s="1951"/>
      <c r="BE52" s="3630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spans="1:95" ht="15.75" customHeight="1" thickBot="1">
      <c r="A53" s="3657"/>
      <c r="B53" s="1728" t="s">
        <v>34</v>
      </c>
      <c r="C53" s="3652"/>
      <c r="D53" s="2347">
        <f t="shared" ref="D53" si="16">SUM(E53:AZ53)</f>
        <v>0</v>
      </c>
      <c r="E53" s="2348"/>
      <c r="F53" s="2349"/>
      <c r="G53" s="2350"/>
      <c r="H53" s="2351"/>
      <c r="I53" s="2389"/>
      <c r="J53" s="3421"/>
      <c r="K53" s="2390"/>
      <c r="L53" s="2391"/>
      <c r="M53" s="3271"/>
      <c r="N53" s="2772"/>
      <c r="O53" s="3357"/>
      <c r="P53" s="2392"/>
      <c r="Q53" s="2393"/>
      <c r="R53" s="2394"/>
      <c r="S53" s="2395"/>
      <c r="T53" s="2429"/>
      <c r="U53" s="2430"/>
      <c r="V53" s="2431"/>
      <c r="W53" s="2758"/>
      <c r="X53" s="2432"/>
      <c r="Y53" s="2463"/>
      <c r="Z53" s="2737"/>
      <c r="AA53" s="2534"/>
      <c r="AB53" s="2358"/>
      <c r="AC53" s="2359"/>
      <c r="AD53" s="2360"/>
      <c r="AE53" s="2403"/>
      <c r="AF53" s="3423"/>
      <c r="AG53" s="2404"/>
      <c r="AH53" s="2405"/>
      <c r="AI53" s="3273"/>
      <c r="AJ53" s="2775"/>
      <c r="AK53" s="3359"/>
      <c r="AL53" s="2406"/>
      <c r="AM53" s="2407"/>
      <c r="AN53" s="2408"/>
      <c r="AO53" s="2409"/>
      <c r="AP53" s="2439"/>
      <c r="AQ53" s="2440"/>
      <c r="AR53" s="2523"/>
      <c r="AS53" s="2751"/>
      <c r="AT53" s="2533"/>
      <c r="AU53" s="2443"/>
      <c r="AV53" s="2746"/>
      <c r="AW53" s="2468"/>
      <c r="AX53" s="2393"/>
      <c r="AY53" s="2467"/>
      <c r="AZ53" s="2433"/>
      <c r="BA53" s="3634"/>
      <c r="BB53" s="3637"/>
      <c r="BC53" s="1945"/>
      <c r="BD53" s="1951"/>
      <c r="BE53" s="3630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spans="1:95" ht="15.75" customHeight="1" thickBot="1">
      <c r="A54" s="3657"/>
      <c r="B54" s="1728" t="s">
        <v>34</v>
      </c>
      <c r="C54" s="3652"/>
      <c r="D54" s="2373">
        <f t="shared" si="13"/>
        <v>0</v>
      </c>
      <c r="E54" s="2379"/>
      <c r="F54" s="2380"/>
      <c r="G54" s="2356"/>
      <c r="H54" s="2216"/>
      <c r="I54" s="2398"/>
      <c r="J54" s="3424"/>
      <c r="K54" s="2399"/>
      <c r="L54" s="2400"/>
      <c r="M54" s="3274"/>
      <c r="N54" s="2774"/>
      <c r="O54" s="3360"/>
      <c r="P54" s="2401"/>
      <c r="Q54" s="2220"/>
      <c r="R54" s="2245"/>
      <c r="S54" s="2402"/>
      <c r="T54" s="2436"/>
      <c r="U54" s="2246"/>
      <c r="V54" s="2454"/>
      <c r="W54" s="2767"/>
      <c r="X54" s="2250"/>
      <c r="Y54" s="2183"/>
      <c r="Z54" s="2739"/>
      <c r="AA54" s="2355"/>
      <c r="AB54" s="2349"/>
      <c r="AC54" s="2350"/>
      <c r="AD54" s="2351"/>
      <c r="AE54" s="2389"/>
      <c r="AF54" s="3421"/>
      <c r="AG54" s="2390"/>
      <c r="AH54" s="2391"/>
      <c r="AI54" s="3271"/>
      <c r="AJ54" s="2772"/>
      <c r="AK54" s="3357"/>
      <c r="AL54" s="2392"/>
      <c r="AM54" s="2393"/>
      <c r="AN54" s="2394"/>
      <c r="AO54" s="2395"/>
      <c r="AP54" s="2429"/>
      <c r="AQ54" s="2430"/>
      <c r="AR54" s="2458"/>
      <c r="AS54" s="2754"/>
      <c r="AT54" s="2459"/>
      <c r="AU54" s="2433"/>
      <c r="AV54" s="2747"/>
      <c r="AW54" s="2530"/>
      <c r="AX54" s="2407"/>
      <c r="AY54" s="2472"/>
      <c r="AZ54" s="2443"/>
      <c r="BA54" s="3634"/>
      <c r="BB54" s="3637"/>
      <c r="BC54" s="1945"/>
      <c r="BD54" s="1951"/>
      <c r="BE54" s="3630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spans="1:95" ht="15.75" customHeight="1" thickBot="1">
      <c r="A55" s="3656">
        <v>46134</v>
      </c>
      <c r="B55" s="1688" t="s">
        <v>32</v>
      </c>
      <c r="C55" s="3651">
        <f>SUM(D55:D57)</f>
        <v>642</v>
      </c>
      <c r="D55" s="1996">
        <f t="shared" si="13"/>
        <v>51</v>
      </c>
      <c r="E55" s="1720"/>
      <c r="F55" s="2378"/>
      <c r="G55" s="2353">
        <v>48</v>
      </c>
      <c r="H55" s="1723"/>
      <c r="I55" s="1792"/>
      <c r="J55" s="3422"/>
      <c r="K55" s="1791"/>
      <c r="L55" s="2396"/>
      <c r="M55" s="3272"/>
      <c r="N55" s="2773"/>
      <c r="O55" s="3358"/>
      <c r="P55" s="2397"/>
      <c r="Q55" s="1793"/>
      <c r="R55" s="1796"/>
      <c r="S55" s="1797"/>
      <c r="T55" s="2434"/>
      <c r="U55" s="1848"/>
      <c r="V55" s="1849"/>
      <c r="W55" s="2768"/>
      <c r="X55" s="2460"/>
      <c r="Y55" s="2177"/>
      <c r="Z55" s="2738"/>
      <c r="AA55" s="1720"/>
      <c r="AB55" s="1721"/>
      <c r="AC55" s="2353"/>
      <c r="AD55" s="1723"/>
      <c r="AE55" s="1792"/>
      <c r="AF55" s="3422"/>
      <c r="AG55" s="1791"/>
      <c r="AH55" s="2396"/>
      <c r="AI55" s="3272"/>
      <c r="AJ55" s="2773"/>
      <c r="AK55" s="3358"/>
      <c r="AL55" s="2397"/>
      <c r="AM55" s="1793"/>
      <c r="AN55" s="1796"/>
      <c r="AO55" s="1797"/>
      <c r="AP55" s="2434"/>
      <c r="AQ55" s="1848"/>
      <c r="AR55" s="2080"/>
      <c r="AS55" s="2750"/>
      <c r="AT55" s="2081"/>
      <c r="AU55" s="1851"/>
      <c r="AV55" s="2743"/>
      <c r="AW55" s="2378">
        <v>3</v>
      </c>
      <c r="AX55" s="1793"/>
      <c r="AY55" s="2469"/>
      <c r="AZ55" s="1851"/>
      <c r="BA55" s="3642">
        <f>SUM(E55:Z57)</f>
        <v>608</v>
      </c>
      <c r="BB55" s="3636">
        <f>SUM(E55:AV57)</f>
        <v>627</v>
      </c>
      <c r="BC55" s="1945">
        <v>8002</v>
      </c>
      <c r="BD55" s="1951" t="s">
        <v>482</v>
      </c>
      <c r="BE55" s="3629" t="s">
        <v>33</v>
      </c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spans="1:95" ht="15.75" customHeight="1" thickBot="1">
      <c r="A56" s="3657"/>
      <c r="B56" s="1728" t="s">
        <v>34</v>
      </c>
      <c r="C56" s="3652"/>
      <c r="D56" s="1996">
        <f t="shared" si="13"/>
        <v>310</v>
      </c>
      <c r="E56" s="2348"/>
      <c r="F56" s="2349"/>
      <c r="G56" s="2350"/>
      <c r="H56" s="2351">
        <v>288</v>
      </c>
      <c r="I56" s="2389"/>
      <c r="J56" s="3421"/>
      <c r="K56" s="2390"/>
      <c r="L56" s="2391"/>
      <c r="M56" s="3271"/>
      <c r="N56" s="2772"/>
      <c r="O56" s="3357"/>
      <c r="P56" s="2392"/>
      <c r="Q56" s="2393"/>
      <c r="R56" s="2394"/>
      <c r="S56" s="2395"/>
      <c r="T56" s="2429"/>
      <c r="U56" s="2430"/>
      <c r="V56" s="2431"/>
      <c r="W56" s="2758"/>
      <c r="X56" s="2432"/>
      <c r="Y56" s="2463"/>
      <c r="Z56" s="2737"/>
      <c r="AA56" s="2534"/>
      <c r="AB56" s="2358"/>
      <c r="AC56" s="2359"/>
      <c r="AD56" s="2360">
        <v>13</v>
      </c>
      <c r="AE56" s="2403"/>
      <c r="AF56" s="3423"/>
      <c r="AG56" s="2404"/>
      <c r="AH56" s="2405"/>
      <c r="AI56" s="3273"/>
      <c r="AJ56" s="2775"/>
      <c r="AK56" s="3359"/>
      <c r="AL56" s="2406"/>
      <c r="AM56" s="2407"/>
      <c r="AN56" s="2408"/>
      <c r="AO56" s="2409"/>
      <c r="AP56" s="2439"/>
      <c r="AQ56" s="2440"/>
      <c r="AR56" s="2523"/>
      <c r="AS56" s="2751"/>
      <c r="AT56" s="2533"/>
      <c r="AU56" s="2443"/>
      <c r="AV56" s="2746"/>
      <c r="AW56" s="2468">
        <v>9</v>
      </c>
      <c r="AX56" s="2393"/>
      <c r="AY56" s="2467"/>
      <c r="AZ56" s="2433"/>
      <c r="BA56" s="3643"/>
      <c r="BB56" s="3637"/>
      <c r="BC56" s="1945">
        <v>7003</v>
      </c>
      <c r="BD56" s="1945" t="s">
        <v>523</v>
      </c>
      <c r="BE56" s="3630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spans="1:95" ht="15.75" customHeight="1" thickBot="1">
      <c r="A57" s="3657"/>
      <c r="B57" s="1724" t="s">
        <v>34</v>
      </c>
      <c r="C57" s="3652"/>
      <c r="D57" s="1996">
        <f t="shared" ref="D57:D72" si="17">SUM(E57:AZ57)</f>
        <v>281</v>
      </c>
      <c r="E57" s="2355"/>
      <c r="F57" s="2349"/>
      <c r="G57" s="2350"/>
      <c r="H57" s="2351">
        <v>272</v>
      </c>
      <c r="I57" s="2389"/>
      <c r="J57" s="3421"/>
      <c r="K57" s="2390"/>
      <c r="L57" s="2391"/>
      <c r="M57" s="3271"/>
      <c r="N57" s="2772"/>
      <c r="O57" s="3357"/>
      <c r="P57" s="2392"/>
      <c r="Q57" s="2393"/>
      <c r="R57" s="2394"/>
      <c r="S57" s="2395"/>
      <c r="T57" s="2434"/>
      <c r="U57" s="2430"/>
      <c r="V57" s="2461"/>
      <c r="W57" s="2769"/>
      <c r="X57" s="2462"/>
      <c r="Y57" s="2463"/>
      <c r="Z57" s="2737"/>
      <c r="AA57" s="2184"/>
      <c r="AB57" s="2185"/>
      <c r="AC57" s="2356"/>
      <c r="AD57" s="2216">
        <v>6</v>
      </c>
      <c r="AE57" s="2398"/>
      <c r="AF57" s="3424"/>
      <c r="AG57" s="2399"/>
      <c r="AH57" s="2400"/>
      <c r="AI57" s="3274"/>
      <c r="AJ57" s="2774"/>
      <c r="AK57" s="3360"/>
      <c r="AL57" s="2401"/>
      <c r="AM57" s="2220"/>
      <c r="AN57" s="2245"/>
      <c r="AO57" s="2402"/>
      <c r="AP57" s="2436"/>
      <c r="AQ57" s="2246"/>
      <c r="AR57" s="2437"/>
      <c r="AS57" s="2752"/>
      <c r="AT57" s="2438"/>
      <c r="AU57" s="2262"/>
      <c r="AV57" s="2745"/>
      <c r="AW57" s="2468">
        <v>3</v>
      </c>
      <c r="AX57" s="2393"/>
      <c r="AY57" s="2477"/>
      <c r="AZ57" s="2433"/>
      <c r="BA57" s="3643"/>
      <c r="BB57" s="3637"/>
      <c r="BC57" s="1945"/>
      <c r="BD57" s="1945"/>
      <c r="BE57" s="3630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spans="1:95" ht="15.75" customHeight="1" thickBot="1">
      <c r="A58" s="3645">
        <v>46135</v>
      </c>
      <c r="B58" s="1688" t="s">
        <v>32</v>
      </c>
      <c r="C58" s="3639">
        <f>SUM(D58:D61)</f>
        <v>916</v>
      </c>
      <c r="D58" s="1689">
        <f t="shared" si="17"/>
        <v>332</v>
      </c>
      <c r="E58" s="1720"/>
      <c r="F58" s="1721"/>
      <c r="G58" s="2353"/>
      <c r="H58" s="1723">
        <v>320</v>
      </c>
      <c r="I58" s="1792"/>
      <c r="J58" s="3422"/>
      <c r="K58" s="1791"/>
      <c r="L58" s="2396"/>
      <c r="M58" s="3272"/>
      <c r="N58" s="2773"/>
      <c r="O58" s="3358"/>
      <c r="P58" s="2397"/>
      <c r="Q58" s="1793"/>
      <c r="R58" s="1796"/>
      <c r="S58" s="1797"/>
      <c r="T58" s="2434"/>
      <c r="U58" s="1848"/>
      <c r="V58" s="2435"/>
      <c r="W58" s="2764"/>
      <c r="X58" s="1850"/>
      <c r="Y58" s="2177"/>
      <c r="Z58" s="2738"/>
      <c r="AA58" s="1720"/>
      <c r="AB58" s="1721"/>
      <c r="AC58" s="2353"/>
      <c r="AD58" s="1723">
        <v>4</v>
      </c>
      <c r="AE58" s="1792"/>
      <c r="AF58" s="3422"/>
      <c r="AG58" s="1791"/>
      <c r="AH58" s="2396"/>
      <c r="AI58" s="3272"/>
      <c r="AJ58" s="2773"/>
      <c r="AK58" s="3358"/>
      <c r="AL58" s="2397"/>
      <c r="AM58" s="1793"/>
      <c r="AN58" s="1796"/>
      <c r="AO58" s="1797"/>
      <c r="AP58" s="2434"/>
      <c r="AQ58" s="1848"/>
      <c r="AR58" s="2080"/>
      <c r="AS58" s="2750"/>
      <c r="AT58" s="2081"/>
      <c r="AU58" s="1851"/>
      <c r="AV58" s="2743"/>
      <c r="AW58" s="2378">
        <v>8</v>
      </c>
      <c r="AX58" s="1793"/>
      <c r="AY58" s="2469"/>
      <c r="AZ58" s="1851"/>
      <c r="BA58" s="3633">
        <f>SUM(E58:Z61)</f>
        <v>896</v>
      </c>
      <c r="BB58" s="3633">
        <f>SUM(E58:AV61)</f>
        <v>904</v>
      </c>
      <c r="BC58" s="1945">
        <v>7003</v>
      </c>
      <c r="BD58" s="1945" t="s">
        <v>523</v>
      </c>
      <c r="BE58" s="3629" t="s">
        <v>33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spans="1:95" ht="15.75" customHeight="1" thickBot="1">
      <c r="A59" s="3646"/>
      <c r="B59" s="1728" t="s">
        <v>34</v>
      </c>
      <c r="C59" s="3640"/>
      <c r="D59" s="2347">
        <f t="shared" ref="D59" si="18">SUM(E59:AZ59)</f>
        <v>584</v>
      </c>
      <c r="E59" s="2348"/>
      <c r="F59" s="2349"/>
      <c r="G59" s="2350"/>
      <c r="H59" s="2351">
        <f>176+400</f>
        <v>576</v>
      </c>
      <c r="I59" s="2389"/>
      <c r="J59" s="3421"/>
      <c r="K59" s="2390"/>
      <c r="L59" s="2391"/>
      <c r="M59" s="3271"/>
      <c r="N59" s="2772"/>
      <c r="O59" s="3357"/>
      <c r="P59" s="2392"/>
      <c r="Q59" s="2393"/>
      <c r="R59" s="2394"/>
      <c r="S59" s="2395"/>
      <c r="T59" s="2429"/>
      <c r="U59" s="2430"/>
      <c r="V59" s="2431"/>
      <c r="W59" s="2758"/>
      <c r="X59" s="2432"/>
      <c r="Y59" s="2463"/>
      <c r="Z59" s="2737"/>
      <c r="AA59" s="2534"/>
      <c r="AB59" s="2358"/>
      <c r="AC59" s="2359"/>
      <c r="AD59" s="2360">
        <v>4</v>
      </c>
      <c r="AE59" s="2403"/>
      <c r="AF59" s="3423"/>
      <c r="AG59" s="2404"/>
      <c r="AH59" s="2405"/>
      <c r="AI59" s="3273"/>
      <c r="AJ59" s="2775"/>
      <c r="AK59" s="3359"/>
      <c r="AL59" s="2406"/>
      <c r="AM59" s="2407"/>
      <c r="AN59" s="2408"/>
      <c r="AO59" s="2409"/>
      <c r="AP59" s="2439"/>
      <c r="AQ59" s="2440"/>
      <c r="AR59" s="2523"/>
      <c r="AS59" s="2751"/>
      <c r="AT59" s="2533"/>
      <c r="AU59" s="2443"/>
      <c r="AV59" s="2746"/>
      <c r="AW59" s="2468">
        <v>4</v>
      </c>
      <c r="AX59" s="2393"/>
      <c r="AY59" s="2467"/>
      <c r="AZ59" s="2433"/>
      <c r="BA59" s="3634"/>
      <c r="BB59" s="3634"/>
      <c r="BC59" s="1957"/>
      <c r="BD59" s="1945"/>
      <c r="BE59" s="3630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spans="1:95" ht="15.75" customHeight="1" thickBot="1">
      <c r="A60" s="3646"/>
      <c r="B60" s="1728" t="s">
        <v>34</v>
      </c>
      <c r="C60" s="3640"/>
      <c r="D60" s="2347">
        <f t="shared" ref="D60" si="19">SUM(E60:AZ60)</f>
        <v>0</v>
      </c>
      <c r="E60" s="2348"/>
      <c r="F60" s="2349"/>
      <c r="G60" s="2350"/>
      <c r="H60" s="2351"/>
      <c r="I60" s="2389"/>
      <c r="J60" s="3421"/>
      <c r="K60" s="2390"/>
      <c r="L60" s="2391"/>
      <c r="M60" s="3271"/>
      <c r="N60" s="2772"/>
      <c r="O60" s="3357"/>
      <c r="P60" s="2392"/>
      <c r="Q60" s="2393"/>
      <c r="R60" s="2394"/>
      <c r="S60" s="2395"/>
      <c r="T60" s="2429"/>
      <c r="U60" s="2430"/>
      <c r="V60" s="2431"/>
      <c r="W60" s="2758"/>
      <c r="X60" s="2432"/>
      <c r="Y60" s="2463"/>
      <c r="Z60" s="2737"/>
      <c r="AA60" s="2534"/>
      <c r="AB60" s="2358"/>
      <c r="AC60" s="2359"/>
      <c r="AD60" s="2360"/>
      <c r="AE60" s="2403"/>
      <c r="AF60" s="3423"/>
      <c r="AG60" s="2404"/>
      <c r="AH60" s="2405"/>
      <c r="AI60" s="3273"/>
      <c r="AJ60" s="2775"/>
      <c r="AK60" s="3359"/>
      <c r="AL60" s="2406"/>
      <c r="AM60" s="2407"/>
      <c r="AN60" s="2408"/>
      <c r="AO60" s="2409"/>
      <c r="AP60" s="2439"/>
      <c r="AQ60" s="2440"/>
      <c r="AR60" s="2523"/>
      <c r="AS60" s="2751"/>
      <c r="AT60" s="2533"/>
      <c r="AU60" s="2443"/>
      <c r="AV60" s="2746"/>
      <c r="AW60" s="2468"/>
      <c r="AX60" s="2393"/>
      <c r="AY60" s="2467"/>
      <c r="AZ60" s="2433"/>
      <c r="BA60" s="3634"/>
      <c r="BB60" s="3634"/>
      <c r="BC60" s="1957"/>
      <c r="BD60" s="1945"/>
      <c r="BE60" s="3630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spans="1:95" ht="15.75" customHeight="1" thickBot="1">
      <c r="A61" s="3647"/>
      <c r="B61" s="1694" t="s">
        <v>34</v>
      </c>
      <c r="C61" s="3641"/>
      <c r="D61" s="2347">
        <f t="shared" si="17"/>
        <v>0</v>
      </c>
      <c r="E61" s="2348"/>
      <c r="F61" s="2349"/>
      <c r="G61" s="2350"/>
      <c r="H61" s="2351"/>
      <c r="I61" s="2389"/>
      <c r="J61" s="3421"/>
      <c r="K61" s="2390"/>
      <c r="L61" s="2391"/>
      <c r="M61" s="3271"/>
      <c r="N61" s="2772"/>
      <c r="O61" s="3357"/>
      <c r="P61" s="2392"/>
      <c r="Q61" s="2393"/>
      <c r="R61" s="2394"/>
      <c r="S61" s="2395"/>
      <c r="T61" s="2429"/>
      <c r="U61" s="2430"/>
      <c r="V61" s="2431"/>
      <c r="W61" s="2758"/>
      <c r="X61" s="2432"/>
      <c r="Y61" s="2463"/>
      <c r="Z61" s="2737"/>
      <c r="AA61" s="2184"/>
      <c r="AB61" s="2185"/>
      <c r="AC61" s="2356"/>
      <c r="AD61" s="2216"/>
      <c r="AE61" s="2398"/>
      <c r="AF61" s="3424"/>
      <c r="AG61" s="2399"/>
      <c r="AH61" s="2400"/>
      <c r="AI61" s="3274"/>
      <c r="AJ61" s="2774"/>
      <c r="AK61" s="3360"/>
      <c r="AL61" s="2401"/>
      <c r="AM61" s="2220"/>
      <c r="AN61" s="2245"/>
      <c r="AO61" s="2402"/>
      <c r="AP61" s="2436"/>
      <c r="AQ61" s="2246"/>
      <c r="AR61" s="2437"/>
      <c r="AS61" s="2752"/>
      <c r="AT61" s="2438"/>
      <c r="AU61" s="2262"/>
      <c r="AV61" s="2745"/>
      <c r="AW61" s="2529"/>
      <c r="AX61" s="2220"/>
      <c r="AY61" s="2475"/>
      <c r="AZ61" s="2262"/>
      <c r="BA61" s="3635"/>
      <c r="BB61" s="3635"/>
      <c r="BC61" s="1945"/>
      <c r="BD61" s="1945"/>
      <c r="BE61" s="3630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spans="1:95" ht="15.75" customHeight="1" thickBot="1">
      <c r="A62" s="3656">
        <v>46136</v>
      </c>
      <c r="B62" s="1688" t="s">
        <v>32</v>
      </c>
      <c r="C62" s="3639">
        <f>SUM(D62:D64)</f>
        <v>1233</v>
      </c>
      <c r="D62" s="1719">
        <f t="shared" si="17"/>
        <v>642</v>
      </c>
      <c r="E62" s="1720"/>
      <c r="F62" s="1721"/>
      <c r="G62" s="2353"/>
      <c r="H62" s="1723">
        <v>640</v>
      </c>
      <c r="I62" s="1792"/>
      <c r="J62" s="3422"/>
      <c r="K62" s="1791"/>
      <c r="L62" s="2396"/>
      <c r="M62" s="3272"/>
      <c r="N62" s="2773"/>
      <c r="O62" s="3358"/>
      <c r="P62" s="2397"/>
      <c r="Q62" s="1793"/>
      <c r="R62" s="1796"/>
      <c r="S62" s="1797"/>
      <c r="T62" s="2434"/>
      <c r="U62" s="1848"/>
      <c r="V62" s="2080"/>
      <c r="W62" s="2750"/>
      <c r="X62" s="2081"/>
      <c r="Y62" s="2177"/>
      <c r="Z62" s="2738"/>
      <c r="AA62" s="2369"/>
      <c r="AB62" s="2370"/>
      <c r="AC62" s="2371"/>
      <c r="AD62" s="2372"/>
      <c r="AE62" s="2417"/>
      <c r="AF62" s="3426"/>
      <c r="AG62" s="2418"/>
      <c r="AH62" s="2419"/>
      <c r="AI62" s="3276"/>
      <c r="AJ62" s="2777"/>
      <c r="AK62" s="3362"/>
      <c r="AL62" s="2420"/>
      <c r="AM62" s="2421"/>
      <c r="AN62" s="2422"/>
      <c r="AO62" s="2423"/>
      <c r="AP62" s="2449"/>
      <c r="AQ62" s="2450"/>
      <c r="AR62" s="2455"/>
      <c r="AS62" s="2753"/>
      <c r="AT62" s="2456"/>
      <c r="AU62" s="2453"/>
      <c r="AV62" s="2744"/>
      <c r="AW62" s="2532">
        <v>2</v>
      </c>
      <c r="AX62" s="2421"/>
      <c r="AY62" s="2476"/>
      <c r="AZ62" s="2453"/>
      <c r="BA62" s="3642">
        <f>SUM(E62:Z64)</f>
        <v>1216</v>
      </c>
      <c r="BB62" s="3636">
        <f>SUM(E62:AV64)</f>
        <v>1223</v>
      </c>
      <c r="BC62" s="1945">
        <v>7003</v>
      </c>
      <c r="BD62" s="1945" t="s">
        <v>526</v>
      </c>
      <c r="BE62" s="3629" t="s">
        <v>33</v>
      </c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spans="1:95" ht="15.75" customHeight="1" thickBot="1">
      <c r="A63" s="3657"/>
      <c r="B63" s="1728" t="s">
        <v>34</v>
      </c>
      <c r="C63" s="3640"/>
      <c r="D63" s="2347">
        <f t="shared" si="17"/>
        <v>591</v>
      </c>
      <c r="E63" s="2348"/>
      <c r="F63" s="2349"/>
      <c r="G63" s="2350"/>
      <c r="H63" s="2351">
        <f>96+480</f>
        <v>576</v>
      </c>
      <c r="I63" s="2389"/>
      <c r="J63" s="3421"/>
      <c r="K63" s="2390"/>
      <c r="L63" s="2391"/>
      <c r="M63" s="3271"/>
      <c r="N63" s="2772"/>
      <c r="O63" s="3357"/>
      <c r="P63" s="2392"/>
      <c r="Q63" s="2393"/>
      <c r="R63" s="2394"/>
      <c r="S63" s="2395"/>
      <c r="T63" s="2429"/>
      <c r="U63" s="2430"/>
      <c r="V63" s="2431"/>
      <c r="W63" s="2758"/>
      <c r="X63" s="2432"/>
      <c r="Y63" s="2463"/>
      <c r="Z63" s="2737"/>
      <c r="AA63" s="2534"/>
      <c r="AB63" s="2358"/>
      <c r="AC63" s="2359"/>
      <c r="AD63" s="2360">
        <v>7</v>
      </c>
      <c r="AE63" s="2403"/>
      <c r="AF63" s="3423"/>
      <c r="AG63" s="2404"/>
      <c r="AH63" s="2405"/>
      <c r="AI63" s="3273"/>
      <c r="AJ63" s="2775"/>
      <c r="AK63" s="3359"/>
      <c r="AL63" s="2406"/>
      <c r="AM63" s="2407"/>
      <c r="AN63" s="2408"/>
      <c r="AO63" s="2409"/>
      <c r="AP63" s="2439"/>
      <c r="AQ63" s="2440"/>
      <c r="AR63" s="2523"/>
      <c r="AS63" s="2751"/>
      <c r="AT63" s="2533"/>
      <c r="AU63" s="2443"/>
      <c r="AV63" s="2746"/>
      <c r="AW63" s="2468">
        <v>8</v>
      </c>
      <c r="AX63" s="2393"/>
      <c r="AY63" s="2467"/>
      <c r="AZ63" s="2433"/>
      <c r="BA63" s="3643"/>
      <c r="BB63" s="3637"/>
      <c r="BC63" s="1945"/>
      <c r="BD63" s="1945"/>
      <c r="BE63" s="3630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spans="1:95" ht="15.75" customHeight="1" thickBot="1">
      <c r="A64" s="3657"/>
      <c r="B64" s="1694" t="s">
        <v>34</v>
      </c>
      <c r="C64" s="3640"/>
      <c r="D64" s="2381">
        <f t="shared" si="17"/>
        <v>0</v>
      </c>
      <c r="E64" s="2379"/>
      <c r="F64" s="2185"/>
      <c r="G64" s="2356"/>
      <c r="H64" s="2216"/>
      <c r="I64" s="2398"/>
      <c r="J64" s="3424"/>
      <c r="K64" s="2399"/>
      <c r="L64" s="2400"/>
      <c r="M64" s="3274"/>
      <c r="N64" s="2774"/>
      <c r="O64" s="3360"/>
      <c r="P64" s="2401"/>
      <c r="Q64" s="2220"/>
      <c r="R64" s="2245"/>
      <c r="S64" s="2402"/>
      <c r="T64" s="2436"/>
      <c r="U64" s="2246"/>
      <c r="V64" s="2437"/>
      <c r="W64" s="2752"/>
      <c r="X64" s="2438"/>
      <c r="Y64" s="2183"/>
      <c r="Z64" s="2739"/>
      <c r="AA64" s="2355"/>
      <c r="AB64" s="2349"/>
      <c r="AC64" s="2350"/>
      <c r="AD64" s="2351"/>
      <c r="AE64" s="2389"/>
      <c r="AF64" s="3421"/>
      <c r="AG64" s="2390"/>
      <c r="AH64" s="2391"/>
      <c r="AI64" s="3271"/>
      <c r="AJ64" s="2772"/>
      <c r="AK64" s="3357"/>
      <c r="AL64" s="2392"/>
      <c r="AM64" s="2393"/>
      <c r="AN64" s="2394"/>
      <c r="AO64" s="2395"/>
      <c r="AP64" s="2429"/>
      <c r="AQ64" s="2430"/>
      <c r="AR64" s="2458"/>
      <c r="AS64" s="2754"/>
      <c r="AT64" s="2459"/>
      <c r="AU64" s="2433"/>
      <c r="AV64" s="2747"/>
      <c r="AW64" s="2529"/>
      <c r="AX64" s="2220"/>
      <c r="AY64" s="2471"/>
      <c r="AZ64" s="2262"/>
      <c r="BA64" s="3644"/>
      <c r="BB64" s="3638"/>
      <c r="BC64" s="1945"/>
      <c r="BD64" s="1945"/>
      <c r="BE64" s="363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spans="1:95" ht="15.75" customHeight="1" thickBot="1">
      <c r="A65" s="3645">
        <v>46137</v>
      </c>
      <c r="B65" s="1688" t="s">
        <v>32</v>
      </c>
      <c r="C65" s="3639">
        <f>SUM(D65:D68)</f>
        <v>428</v>
      </c>
      <c r="D65" s="1689">
        <f t="shared" si="17"/>
        <v>66</v>
      </c>
      <c r="E65" s="1720"/>
      <c r="F65" s="1721"/>
      <c r="G65" s="2353"/>
      <c r="H65" s="1723">
        <v>64</v>
      </c>
      <c r="I65" s="1792"/>
      <c r="J65" s="3422"/>
      <c r="K65" s="1791"/>
      <c r="L65" s="2396"/>
      <c r="M65" s="3272"/>
      <c r="N65" s="2773"/>
      <c r="O65" s="3358"/>
      <c r="P65" s="2397"/>
      <c r="Q65" s="1793"/>
      <c r="R65" s="1796"/>
      <c r="S65" s="1797"/>
      <c r="T65" s="2434"/>
      <c r="U65" s="1848"/>
      <c r="V65" s="2435"/>
      <c r="W65" s="2764"/>
      <c r="X65" s="1850"/>
      <c r="Y65" s="2177"/>
      <c r="Z65" s="2738"/>
      <c r="AA65" s="1720"/>
      <c r="AB65" s="1721"/>
      <c r="AC65" s="2353"/>
      <c r="AD65" s="1723"/>
      <c r="AE65" s="1792"/>
      <c r="AF65" s="3422"/>
      <c r="AG65" s="1791"/>
      <c r="AH65" s="2396"/>
      <c r="AI65" s="3272"/>
      <c r="AJ65" s="2773"/>
      <c r="AK65" s="3358"/>
      <c r="AL65" s="2397"/>
      <c r="AM65" s="1793"/>
      <c r="AN65" s="1796"/>
      <c r="AO65" s="1797"/>
      <c r="AP65" s="2434"/>
      <c r="AQ65" s="1848"/>
      <c r="AR65" s="2080"/>
      <c r="AS65" s="2750"/>
      <c r="AT65" s="2081"/>
      <c r="AU65" s="1851"/>
      <c r="AV65" s="2743"/>
      <c r="AW65" s="2378">
        <v>2</v>
      </c>
      <c r="AX65" s="1793"/>
      <c r="AY65" s="2469"/>
      <c r="AZ65" s="1851"/>
      <c r="BA65" s="3633">
        <f>SUM(E65:Z68)</f>
        <v>424</v>
      </c>
      <c r="BB65" s="3633">
        <f>SUM(E65:AV68)</f>
        <v>424</v>
      </c>
      <c r="BC65" s="1945">
        <v>7003</v>
      </c>
      <c r="BD65" s="1945" t="s">
        <v>523</v>
      </c>
      <c r="BE65" s="3629" t="s">
        <v>33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spans="1:95" ht="15.75" customHeight="1" thickBot="1">
      <c r="A66" s="3646"/>
      <c r="B66" s="1728" t="s">
        <v>32</v>
      </c>
      <c r="C66" s="3640"/>
      <c r="D66" s="2347">
        <f t="shared" si="17"/>
        <v>362</v>
      </c>
      <c r="E66" s="2348"/>
      <c r="F66" s="2349"/>
      <c r="G66" s="2350"/>
      <c r="H66" s="2351"/>
      <c r="I66" s="2389"/>
      <c r="J66" s="3421"/>
      <c r="K66" s="2390"/>
      <c r="L66" s="2391"/>
      <c r="M66" s="3271"/>
      <c r="N66" s="2772"/>
      <c r="O66" s="3357"/>
      <c r="P66" s="2392"/>
      <c r="Q66" s="2393"/>
      <c r="R66" s="2394"/>
      <c r="S66" s="2395"/>
      <c r="T66" s="2429"/>
      <c r="U66" s="2430"/>
      <c r="V66" s="2431"/>
      <c r="W66" s="2758"/>
      <c r="X66" s="2432"/>
      <c r="Y66" s="2463"/>
      <c r="Z66" s="2737">
        <v>360</v>
      </c>
      <c r="AA66" s="2534"/>
      <c r="AB66" s="2358"/>
      <c r="AC66" s="2359"/>
      <c r="AD66" s="2360"/>
      <c r="AE66" s="2403"/>
      <c r="AF66" s="3423"/>
      <c r="AG66" s="2404"/>
      <c r="AH66" s="2405"/>
      <c r="AI66" s="3273"/>
      <c r="AJ66" s="2775"/>
      <c r="AK66" s="3359"/>
      <c r="AL66" s="2406"/>
      <c r="AM66" s="2407"/>
      <c r="AN66" s="2408"/>
      <c r="AO66" s="2409"/>
      <c r="AP66" s="2439"/>
      <c r="AQ66" s="2440"/>
      <c r="AR66" s="2523"/>
      <c r="AS66" s="2751"/>
      <c r="AT66" s="2533"/>
      <c r="AU66" s="2443"/>
      <c r="AV66" s="2746"/>
      <c r="AW66" s="2468"/>
      <c r="AX66" s="2393">
        <v>2</v>
      </c>
      <c r="AY66" s="2467"/>
      <c r="AZ66" s="2433"/>
      <c r="BA66" s="3634"/>
      <c r="BB66" s="3634"/>
      <c r="BC66" s="1945">
        <v>401</v>
      </c>
      <c r="BD66" s="1945" t="s">
        <v>539</v>
      </c>
      <c r="BE66" s="3630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spans="1:95" ht="15.75" customHeight="1" thickBot="1">
      <c r="A67" s="3646"/>
      <c r="B67" s="1728" t="s">
        <v>34</v>
      </c>
      <c r="C67" s="3640"/>
      <c r="D67" s="2347">
        <f t="shared" ref="D67" si="20">SUM(E67:AZ67)</f>
        <v>0</v>
      </c>
      <c r="E67" s="2348"/>
      <c r="F67" s="2349"/>
      <c r="G67" s="2350"/>
      <c r="H67" s="2351"/>
      <c r="I67" s="2389"/>
      <c r="J67" s="3421"/>
      <c r="K67" s="2390"/>
      <c r="L67" s="2391"/>
      <c r="M67" s="3271"/>
      <c r="N67" s="2772"/>
      <c r="O67" s="3357"/>
      <c r="P67" s="2392"/>
      <c r="Q67" s="2393"/>
      <c r="R67" s="2394"/>
      <c r="S67" s="2395"/>
      <c r="T67" s="2429"/>
      <c r="U67" s="2430"/>
      <c r="V67" s="2431"/>
      <c r="W67" s="2758"/>
      <c r="X67" s="2432"/>
      <c r="Y67" s="2463"/>
      <c r="Z67" s="2737"/>
      <c r="AA67" s="2534"/>
      <c r="AB67" s="2358"/>
      <c r="AC67" s="2359"/>
      <c r="AD67" s="2360"/>
      <c r="AE67" s="2403"/>
      <c r="AF67" s="3423"/>
      <c r="AG67" s="2404"/>
      <c r="AH67" s="2405"/>
      <c r="AI67" s="3273"/>
      <c r="AJ67" s="2775"/>
      <c r="AK67" s="3359"/>
      <c r="AL67" s="2406"/>
      <c r="AM67" s="2407"/>
      <c r="AN67" s="2408"/>
      <c r="AO67" s="2409"/>
      <c r="AP67" s="2439"/>
      <c r="AQ67" s="2440"/>
      <c r="AR67" s="2523"/>
      <c r="AS67" s="2751"/>
      <c r="AT67" s="2533"/>
      <c r="AU67" s="2443"/>
      <c r="AV67" s="2746"/>
      <c r="AW67" s="2468"/>
      <c r="AX67" s="2393"/>
      <c r="AY67" s="2467"/>
      <c r="AZ67" s="2433"/>
      <c r="BA67" s="3634"/>
      <c r="BB67" s="3634"/>
      <c r="BC67" s="1945"/>
      <c r="BD67" s="1945"/>
      <c r="BE67" s="3630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spans="1:95" ht="15.75" customHeight="1" thickBot="1">
      <c r="A68" s="3647"/>
      <c r="B68" s="1694" t="s">
        <v>34</v>
      </c>
      <c r="C68" s="3641"/>
      <c r="D68" s="2347">
        <f t="shared" si="17"/>
        <v>0</v>
      </c>
      <c r="E68" s="2348"/>
      <c r="F68" s="2349"/>
      <c r="G68" s="2350"/>
      <c r="H68" s="2351"/>
      <c r="I68" s="2389"/>
      <c r="J68" s="3421"/>
      <c r="K68" s="2390"/>
      <c r="L68" s="2391"/>
      <c r="M68" s="3271"/>
      <c r="N68" s="2772"/>
      <c r="O68" s="3357"/>
      <c r="P68" s="2392"/>
      <c r="Q68" s="2393"/>
      <c r="R68" s="2394"/>
      <c r="S68" s="2395"/>
      <c r="T68" s="2429"/>
      <c r="U68" s="2430"/>
      <c r="V68" s="2431"/>
      <c r="W68" s="2758"/>
      <c r="X68" s="2432"/>
      <c r="Y68" s="2463"/>
      <c r="Z68" s="2737"/>
      <c r="AA68" s="2184"/>
      <c r="AB68" s="2185"/>
      <c r="AC68" s="2356"/>
      <c r="AD68" s="2216"/>
      <c r="AE68" s="2398"/>
      <c r="AF68" s="3424"/>
      <c r="AG68" s="2399"/>
      <c r="AH68" s="2400"/>
      <c r="AI68" s="3274"/>
      <c r="AJ68" s="2774"/>
      <c r="AK68" s="3360"/>
      <c r="AL68" s="2401"/>
      <c r="AM68" s="2220"/>
      <c r="AN68" s="2245"/>
      <c r="AO68" s="2402"/>
      <c r="AP68" s="2436"/>
      <c r="AQ68" s="2246"/>
      <c r="AR68" s="2437"/>
      <c r="AS68" s="2752"/>
      <c r="AT68" s="2438"/>
      <c r="AU68" s="2262"/>
      <c r="AV68" s="2745"/>
      <c r="AW68" s="2468"/>
      <c r="AX68" s="2393"/>
      <c r="AY68" s="2467"/>
      <c r="AZ68" s="2433"/>
      <c r="BA68" s="3635"/>
      <c r="BB68" s="3635"/>
      <c r="BC68" s="1945"/>
      <c r="BD68" s="1945"/>
      <c r="BE68" s="3630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spans="1:95" ht="15.75" customHeight="1" thickBot="1">
      <c r="A69" s="3645">
        <v>46138</v>
      </c>
      <c r="B69" s="1688" t="s">
        <v>32</v>
      </c>
      <c r="C69" s="3639">
        <f>SUM(D69:D71)</f>
        <v>506</v>
      </c>
      <c r="D69" s="1689">
        <f t="shared" si="17"/>
        <v>506</v>
      </c>
      <c r="E69" s="1720"/>
      <c r="F69" s="1721"/>
      <c r="G69" s="2353"/>
      <c r="H69" s="1723"/>
      <c r="I69" s="1792"/>
      <c r="J69" s="3422"/>
      <c r="K69" s="1791"/>
      <c r="L69" s="2396"/>
      <c r="M69" s="3272"/>
      <c r="N69" s="2773"/>
      <c r="O69" s="3358"/>
      <c r="P69" s="2397"/>
      <c r="Q69" s="1793"/>
      <c r="R69" s="1796"/>
      <c r="S69" s="1797"/>
      <c r="T69" s="2434"/>
      <c r="U69" s="1848"/>
      <c r="V69" s="2435"/>
      <c r="W69" s="2764"/>
      <c r="X69" s="1850"/>
      <c r="Y69" s="2177"/>
      <c r="Z69" s="2738">
        <v>500</v>
      </c>
      <c r="AA69" s="1720"/>
      <c r="AB69" s="1721"/>
      <c r="AC69" s="2353"/>
      <c r="AD69" s="1723"/>
      <c r="AE69" s="1792"/>
      <c r="AF69" s="3422"/>
      <c r="AG69" s="1791"/>
      <c r="AH69" s="2396"/>
      <c r="AI69" s="3272"/>
      <c r="AJ69" s="2773"/>
      <c r="AK69" s="3358"/>
      <c r="AL69" s="2397"/>
      <c r="AM69" s="1793"/>
      <c r="AN69" s="1796"/>
      <c r="AO69" s="1797"/>
      <c r="AP69" s="2434"/>
      <c r="AQ69" s="1848"/>
      <c r="AR69" s="2080"/>
      <c r="AS69" s="2750"/>
      <c r="AT69" s="2081"/>
      <c r="AU69" s="1851"/>
      <c r="AV69" s="2743"/>
      <c r="AW69" s="2378"/>
      <c r="AX69" s="1793">
        <v>6</v>
      </c>
      <c r="AY69" s="2469"/>
      <c r="AZ69" s="1851"/>
      <c r="BA69" s="3633">
        <f>SUM(E69:Z71)</f>
        <v>500</v>
      </c>
      <c r="BB69" s="3633">
        <f>SUM(E69:AV71)</f>
        <v>500</v>
      </c>
      <c r="BC69" s="1957">
        <v>403</v>
      </c>
      <c r="BD69" s="1945" t="s">
        <v>539</v>
      </c>
      <c r="BE69" s="3629" t="s">
        <v>33</v>
      </c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spans="1:95" ht="15.75" customHeight="1" thickBot="1">
      <c r="A70" s="3646"/>
      <c r="B70" s="1728" t="s">
        <v>32</v>
      </c>
      <c r="C70" s="3640"/>
      <c r="D70" s="2347">
        <f t="shared" ref="D70" si="21">SUM(E70:AZ70)</f>
        <v>0</v>
      </c>
      <c r="E70" s="2348"/>
      <c r="F70" s="2349"/>
      <c r="G70" s="2350"/>
      <c r="H70" s="2351"/>
      <c r="I70" s="2389"/>
      <c r="J70" s="3421"/>
      <c r="K70" s="2390"/>
      <c r="L70" s="2391"/>
      <c r="M70" s="3271"/>
      <c r="N70" s="2772"/>
      <c r="O70" s="3357"/>
      <c r="P70" s="2392"/>
      <c r="Q70" s="2393"/>
      <c r="R70" s="2394"/>
      <c r="S70" s="2395"/>
      <c r="T70" s="2429"/>
      <c r="U70" s="2430"/>
      <c r="V70" s="2431"/>
      <c r="W70" s="2758"/>
      <c r="X70" s="2432"/>
      <c r="Y70" s="2463"/>
      <c r="Z70" s="2737"/>
      <c r="AA70" s="2534"/>
      <c r="AB70" s="2358"/>
      <c r="AC70" s="2359"/>
      <c r="AD70" s="2360"/>
      <c r="AE70" s="2403"/>
      <c r="AF70" s="3423"/>
      <c r="AG70" s="2404"/>
      <c r="AH70" s="2405"/>
      <c r="AI70" s="3273"/>
      <c r="AJ70" s="2775"/>
      <c r="AK70" s="3359"/>
      <c r="AL70" s="2406"/>
      <c r="AM70" s="2407"/>
      <c r="AN70" s="2408"/>
      <c r="AO70" s="2409"/>
      <c r="AP70" s="2439"/>
      <c r="AQ70" s="2440"/>
      <c r="AR70" s="2523"/>
      <c r="AS70" s="2751"/>
      <c r="AT70" s="2533"/>
      <c r="AU70" s="2443"/>
      <c r="AV70" s="2746"/>
      <c r="AW70" s="2468"/>
      <c r="AX70" s="2393"/>
      <c r="AY70" s="2467"/>
      <c r="AZ70" s="2433"/>
      <c r="BA70" s="3634"/>
      <c r="BB70" s="3634"/>
      <c r="BC70" s="1957"/>
      <c r="BD70" s="1957"/>
      <c r="BE70" s="3630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spans="1:95" ht="15.75" customHeight="1" thickBot="1">
      <c r="A71" s="3647"/>
      <c r="B71" s="1728" t="s">
        <v>34</v>
      </c>
      <c r="C71" s="3641"/>
      <c r="D71" s="2347">
        <f t="shared" si="17"/>
        <v>0</v>
      </c>
      <c r="E71" s="2348"/>
      <c r="F71" s="2349"/>
      <c r="G71" s="2350"/>
      <c r="H71" s="2351"/>
      <c r="I71" s="2389"/>
      <c r="J71" s="3421"/>
      <c r="K71" s="2390"/>
      <c r="L71" s="2391"/>
      <c r="M71" s="3271"/>
      <c r="N71" s="2772"/>
      <c r="O71" s="3357"/>
      <c r="P71" s="2392"/>
      <c r="Q71" s="2393"/>
      <c r="R71" s="2394"/>
      <c r="S71" s="2395"/>
      <c r="T71" s="2429"/>
      <c r="U71" s="2430"/>
      <c r="V71" s="2431"/>
      <c r="W71" s="2758"/>
      <c r="X71" s="2432"/>
      <c r="Y71" s="2463"/>
      <c r="Z71" s="2737"/>
      <c r="AA71" s="2184"/>
      <c r="AB71" s="2185"/>
      <c r="AC71" s="2356"/>
      <c r="AD71" s="2216"/>
      <c r="AE71" s="2398"/>
      <c r="AF71" s="3424"/>
      <c r="AG71" s="2399"/>
      <c r="AH71" s="2400"/>
      <c r="AI71" s="3274"/>
      <c r="AJ71" s="2774"/>
      <c r="AK71" s="3360"/>
      <c r="AL71" s="2401"/>
      <c r="AM71" s="2220"/>
      <c r="AN71" s="2245"/>
      <c r="AO71" s="2402"/>
      <c r="AP71" s="2436"/>
      <c r="AQ71" s="2246"/>
      <c r="AR71" s="2437"/>
      <c r="AS71" s="2752"/>
      <c r="AT71" s="2438"/>
      <c r="AU71" s="2262"/>
      <c r="AV71" s="2745"/>
      <c r="AW71" s="2529"/>
      <c r="AX71" s="2220"/>
      <c r="AY71" s="2475"/>
      <c r="AZ71" s="2262"/>
      <c r="BA71" s="3635"/>
      <c r="BB71" s="3635"/>
      <c r="BC71" s="1945"/>
      <c r="BD71" s="1945"/>
      <c r="BE71" s="3630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spans="1:95" ht="15.75" customHeight="1" thickBot="1">
      <c r="A72" s="3648">
        <v>46139</v>
      </c>
      <c r="B72" s="1688" t="s">
        <v>32</v>
      </c>
      <c r="C72" s="3639">
        <f>SUM(D72:D74)</f>
        <v>591</v>
      </c>
      <c r="D72" s="1689">
        <f t="shared" si="17"/>
        <v>591</v>
      </c>
      <c r="E72" s="1720"/>
      <c r="F72" s="1721"/>
      <c r="G72" s="2353"/>
      <c r="H72" s="1723"/>
      <c r="I72" s="1792"/>
      <c r="J72" s="3422"/>
      <c r="K72" s="1791"/>
      <c r="L72" s="2396"/>
      <c r="M72" s="3272"/>
      <c r="N72" s="2773"/>
      <c r="O72" s="3358"/>
      <c r="P72" s="2397"/>
      <c r="Q72" s="1793"/>
      <c r="R72" s="1796"/>
      <c r="S72" s="1797"/>
      <c r="T72" s="2434"/>
      <c r="U72" s="1848"/>
      <c r="V72" s="2435"/>
      <c r="W72" s="2764"/>
      <c r="X72" s="1850"/>
      <c r="Y72" s="2177"/>
      <c r="Z72" s="2738">
        <f>160+420</f>
        <v>580</v>
      </c>
      <c r="AA72" s="2369"/>
      <c r="AB72" s="2370"/>
      <c r="AC72" s="2371"/>
      <c r="AD72" s="2372"/>
      <c r="AE72" s="2417"/>
      <c r="AF72" s="3426"/>
      <c r="AG72" s="2418"/>
      <c r="AH72" s="2419"/>
      <c r="AI72" s="3276"/>
      <c r="AJ72" s="2777"/>
      <c r="AK72" s="3362"/>
      <c r="AL72" s="2420"/>
      <c r="AM72" s="2421"/>
      <c r="AN72" s="2422"/>
      <c r="AO72" s="2423"/>
      <c r="AP72" s="2449"/>
      <c r="AQ72" s="2450"/>
      <c r="AR72" s="2455"/>
      <c r="AS72" s="2753"/>
      <c r="AT72" s="2456"/>
      <c r="AU72" s="2453"/>
      <c r="AV72" s="2744">
        <v>9</v>
      </c>
      <c r="AW72" s="2532"/>
      <c r="AX72" s="2421">
        <v>2</v>
      </c>
      <c r="AY72" s="2474"/>
      <c r="AZ72" s="2453"/>
      <c r="BA72" s="3633">
        <f>SUM(E72:Z74)</f>
        <v>580</v>
      </c>
      <c r="BB72" s="3633">
        <f>SUM(E72:AV74)</f>
        <v>589</v>
      </c>
      <c r="BC72" s="1945">
        <v>403</v>
      </c>
      <c r="BD72" s="1957" t="s">
        <v>681</v>
      </c>
      <c r="BE72" s="3629" t="s">
        <v>33</v>
      </c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spans="1:95" ht="15.75" customHeight="1" thickBot="1">
      <c r="A73" s="3646"/>
      <c r="B73" s="1728" t="s">
        <v>34</v>
      </c>
      <c r="C73" s="3640"/>
      <c r="D73" s="2347">
        <f>SUM(E73:AZ73)</f>
        <v>0</v>
      </c>
      <c r="E73" s="2348"/>
      <c r="F73" s="2349"/>
      <c r="G73" s="2350"/>
      <c r="H73" s="2351"/>
      <c r="I73" s="2389"/>
      <c r="J73" s="3421"/>
      <c r="K73" s="2390"/>
      <c r="L73" s="2391"/>
      <c r="M73" s="3271"/>
      <c r="N73" s="2772"/>
      <c r="O73" s="3357"/>
      <c r="P73" s="2392"/>
      <c r="Q73" s="2393"/>
      <c r="R73" s="2394"/>
      <c r="S73" s="2395"/>
      <c r="T73" s="2429"/>
      <c r="U73" s="2430"/>
      <c r="V73" s="2431"/>
      <c r="W73" s="2758"/>
      <c r="X73" s="2432"/>
      <c r="Y73" s="2463"/>
      <c r="Z73" s="2737"/>
      <c r="AA73" s="2534"/>
      <c r="AB73" s="2358"/>
      <c r="AC73" s="2359"/>
      <c r="AD73" s="2360"/>
      <c r="AE73" s="2403"/>
      <c r="AF73" s="3423"/>
      <c r="AG73" s="2404"/>
      <c r="AH73" s="2405"/>
      <c r="AI73" s="3273"/>
      <c r="AJ73" s="2775"/>
      <c r="AK73" s="3359"/>
      <c r="AL73" s="2406"/>
      <c r="AM73" s="2407"/>
      <c r="AN73" s="2408"/>
      <c r="AO73" s="2409"/>
      <c r="AP73" s="2439"/>
      <c r="AQ73" s="2440"/>
      <c r="AR73" s="2523"/>
      <c r="AS73" s="2751"/>
      <c r="AT73" s="2533"/>
      <c r="AU73" s="2443"/>
      <c r="AV73" s="2746"/>
      <c r="AW73" s="2468"/>
      <c r="AX73" s="2393"/>
      <c r="AY73" s="2467"/>
      <c r="AZ73" s="2433"/>
      <c r="BA73" s="3634"/>
      <c r="BB73" s="3634"/>
      <c r="BC73" s="1957"/>
      <c r="BD73" s="1957"/>
      <c r="BE73" s="3630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spans="1:95" ht="15.75" customHeight="1" thickBot="1">
      <c r="A74" s="3647"/>
      <c r="B74" s="1728" t="s">
        <v>34</v>
      </c>
      <c r="C74" s="3641"/>
      <c r="D74" s="2347">
        <f t="shared" ref="D74:D79" si="22">SUM(E74:AZ74)</f>
        <v>0</v>
      </c>
      <c r="E74" s="2348"/>
      <c r="F74" s="2349"/>
      <c r="G74" s="2350"/>
      <c r="H74" s="2351"/>
      <c r="I74" s="2389"/>
      <c r="J74" s="3421"/>
      <c r="K74" s="2390"/>
      <c r="L74" s="2391"/>
      <c r="M74" s="3271"/>
      <c r="N74" s="2772"/>
      <c r="O74" s="3357"/>
      <c r="P74" s="2392"/>
      <c r="Q74" s="2393"/>
      <c r="R74" s="2394"/>
      <c r="S74" s="2395"/>
      <c r="T74" s="2429"/>
      <c r="U74" s="2430"/>
      <c r="V74" s="2431"/>
      <c r="W74" s="2758"/>
      <c r="X74" s="2432"/>
      <c r="Y74" s="2463"/>
      <c r="Z74" s="2737"/>
      <c r="AA74" s="2355"/>
      <c r="AB74" s="2349"/>
      <c r="AC74" s="2350"/>
      <c r="AD74" s="2351"/>
      <c r="AE74" s="2389"/>
      <c r="AF74" s="3421"/>
      <c r="AG74" s="2390"/>
      <c r="AH74" s="2391"/>
      <c r="AI74" s="3271"/>
      <c r="AJ74" s="2772"/>
      <c r="AK74" s="3357"/>
      <c r="AL74" s="2392"/>
      <c r="AM74" s="2393"/>
      <c r="AN74" s="2394"/>
      <c r="AO74" s="2395"/>
      <c r="AP74" s="2429"/>
      <c r="AQ74" s="2430"/>
      <c r="AR74" s="2458"/>
      <c r="AS74" s="2754"/>
      <c r="AT74" s="2459"/>
      <c r="AU74" s="2433"/>
      <c r="AV74" s="2747"/>
      <c r="AW74" s="2468"/>
      <c r="AX74" s="2393"/>
      <c r="AY74" s="2467"/>
      <c r="AZ74" s="2433"/>
      <c r="BA74" s="3635"/>
      <c r="BB74" s="3635"/>
      <c r="BC74" s="1945"/>
      <c r="BD74" s="1957"/>
      <c r="BE74" s="3630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spans="1:95" ht="15.75" customHeight="1" thickBot="1">
      <c r="A75" s="3645">
        <v>46140</v>
      </c>
      <c r="B75" s="1688" t="s">
        <v>32</v>
      </c>
      <c r="C75" s="3639">
        <f>SUM(D75:D77)</f>
        <v>424</v>
      </c>
      <c r="D75" s="1689">
        <f t="shared" si="22"/>
        <v>424</v>
      </c>
      <c r="E75" s="1720"/>
      <c r="F75" s="1721"/>
      <c r="G75" s="2353"/>
      <c r="H75" s="1723"/>
      <c r="I75" s="1792"/>
      <c r="J75" s="3422"/>
      <c r="K75" s="1791"/>
      <c r="L75" s="2396"/>
      <c r="M75" s="3272"/>
      <c r="N75" s="2773"/>
      <c r="O75" s="3358"/>
      <c r="P75" s="2397"/>
      <c r="Q75" s="1793"/>
      <c r="R75" s="1796"/>
      <c r="S75" s="1797"/>
      <c r="T75" s="2434"/>
      <c r="U75" s="1848"/>
      <c r="V75" s="2435"/>
      <c r="W75" s="2764"/>
      <c r="X75" s="1850"/>
      <c r="Y75" s="2177"/>
      <c r="Z75" s="2738">
        <v>420</v>
      </c>
      <c r="AA75" s="1720"/>
      <c r="AB75" s="1721"/>
      <c r="AC75" s="2353"/>
      <c r="AD75" s="1723"/>
      <c r="AE75" s="1792"/>
      <c r="AF75" s="3422"/>
      <c r="AG75" s="1791"/>
      <c r="AH75" s="2396"/>
      <c r="AI75" s="3272"/>
      <c r="AJ75" s="2773"/>
      <c r="AK75" s="3358"/>
      <c r="AL75" s="2397"/>
      <c r="AM75" s="1793"/>
      <c r="AN75" s="1796"/>
      <c r="AO75" s="1797"/>
      <c r="AP75" s="2434"/>
      <c r="AQ75" s="1848"/>
      <c r="AR75" s="2080"/>
      <c r="AS75" s="2750"/>
      <c r="AT75" s="2081"/>
      <c r="AU75" s="1851"/>
      <c r="AV75" s="2743"/>
      <c r="AW75" s="2378"/>
      <c r="AX75" s="1793">
        <v>4</v>
      </c>
      <c r="AY75" s="2469"/>
      <c r="AZ75" s="1851"/>
      <c r="BA75" s="3633">
        <f>SUM(E75:Z77)</f>
        <v>420</v>
      </c>
      <c r="BB75" s="3633">
        <f>SUM(E75:AV77)</f>
        <v>420</v>
      </c>
      <c r="BC75" s="1945">
        <v>403</v>
      </c>
      <c r="BD75" s="1957" t="s">
        <v>526</v>
      </c>
      <c r="BE75" s="3629" t="s">
        <v>33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spans="1:95" ht="15.75" customHeight="1" thickBot="1">
      <c r="A76" s="3646"/>
      <c r="B76" s="1728" t="s">
        <v>34</v>
      </c>
      <c r="C76" s="3640"/>
      <c r="D76" s="2347">
        <f t="shared" ref="D76" si="23">SUM(E76:AZ76)</f>
        <v>0</v>
      </c>
      <c r="E76" s="2348"/>
      <c r="F76" s="2349"/>
      <c r="G76" s="2350"/>
      <c r="H76" s="2351"/>
      <c r="I76" s="2389"/>
      <c r="J76" s="3421"/>
      <c r="K76" s="2390"/>
      <c r="L76" s="2391"/>
      <c r="M76" s="3271"/>
      <c r="N76" s="2772"/>
      <c r="O76" s="3357"/>
      <c r="P76" s="2392"/>
      <c r="Q76" s="2393"/>
      <c r="R76" s="2394"/>
      <c r="S76" s="2395"/>
      <c r="T76" s="2429"/>
      <c r="U76" s="2430"/>
      <c r="V76" s="2431"/>
      <c r="W76" s="2758"/>
      <c r="X76" s="2432"/>
      <c r="Y76" s="2463"/>
      <c r="Z76" s="2737"/>
      <c r="AA76" s="2534"/>
      <c r="AB76" s="2358"/>
      <c r="AC76" s="2359"/>
      <c r="AD76" s="2360"/>
      <c r="AE76" s="2403"/>
      <c r="AF76" s="3423"/>
      <c r="AG76" s="2404"/>
      <c r="AH76" s="2405"/>
      <c r="AI76" s="3273"/>
      <c r="AJ76" s="2775"/>
      <c r="AK76" s="3359"/>
      <c r="AL76" s="2406"/>
      <c r="AM76" s="2407"/>
      <c r="AN76" s="2408"/>
      <c r="AO76" s="2409"/>
      <c r="AP76" s="2439"/>
      <c r="AQ76" s="2440"/>
      <c r="AR76" s="2523"/>
      <c r="AS76" s="2751"/>
      <c r="AT76" s="2533"/>
      <c r="AU76" s="2443"/>
      <c r="AV76" s="2746"/>
      <c r="AW76" s="2468"/>
      <c r="AX76" s="2393"/>
      <c r="AY76" s="2467"/>
      <c r="AZ76" s="2433"/>
      <c r="BA76" s="3634"/>
      <c r="BB76" s="3634"/>
      <c r="BC76" s="1957"/>
      <c r="BD76" s="1945"/>
      <c r="BE76" s="3630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spans="1:95" ht="15.75" customHeight="1" thickBot="1">
      <c r="A77" s="3647"/>
      <c r="B77" s="1724" t="s">
        <v>34</v>
      </c>
      <c r="C77" s="3641"/>
      <c r="D77" s="2347">
        <f t="shared" si="22"/>
        <v>0</v>
      </c>
      <c r="E77" s="2348"/>
      <c r="F77" s="2349"/>
      <c r="G77" s="2350"/>
      <c r="H77" s="2351"/>
      <c r="I77" s="2389"/>
      <c r="J77" s="3421"/>
      <c r="K77" s="2390"/>
      <c r="L77" s="2391"/>
      <c r="M77" s="3271"/>
      <c r="N77" s="2772"/>
      <c r="O77" s="3357"/>
      <c r="P77" s="2392"/>
      <c r="Q77" s="2393"/>
      <c r="R77" s="2394"/>
      <c r="S77" s="2395"/>
      <c r="T77" s="2429"/>
      <c r="U77" s="2430"/>
      <c r="V77" s="2431"/>
      <c r="W77" s="2758"/>
      <c r="X77" s="2432"/>
      <c r="Y77" s="2463"/>
      <c r="Z77" s="2737"/>
      <c r="AA77" s="2184"/>
      <c r="AB77" s="2185"/>
      <c r="AC77" s="2356"/>
      <c r="AD77" s="2216"/>
      <c r="AE77" s="2398"/>
      <c r="AF77" s="3424"/>
      <c r="AG77" s="2399"/>
      <c r="AH77" s="2400"/>
      <c r="AI77" s="3274"/>
      <c r="AJ77" s="2774"/>
      <c r="AK77" s="3360"/>
      <c r="AL77" s="2401"/>
      <c r="AM77" s="2220"/>
      <c r="AN77" s="2245"/>
      <c r="AO77" s="2402"/>
      <c r="AP77" s="2436"/>
      <c r="AQ77" s="2246"/>
      <c r="AR77" s="2437"/>
      <c r="AS77" s="2752"/>
      <c r="AT77" s="2438"/>
      <c r="AU77" s="2262"/>
      <c r="AV77" s="2745"/>
      <c r="AW77" s="2468"/>
      <c r="AX77" s="2393"/>
      <c r="AY77" s="2467"/>
      <c r="AZ77" s="2433"/>
      <c r="BA77" s="3635"/>
      <c r="BB77" s="3635"/>
      <c r="BC77" s="1945"/>
      <c r="BD77" s="1957"/>
      <c r="BE77" s="3630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spans="1:95" ht="15.75" customHeight="1" thickBot="1">
      <c r="A78" s="3648">
        <v>46141</v>
      </c>
      <c r="B78" s="1688" t="s">
        <v>32</v>
      </c>
      <c r="C78" s="3639">
        <f>SUM(D78:D81)</f>
        <v>462</v>
      </c>
      <c r="D78" s="1689">
        <f t="shared" si="22"/>
        <v>462</v>
      </c>
      <c r="E78" s="1720"/>
      <c r="F78" s="1721"/>
      <c r="G78" s="2353"/>
      <c r="H78" s="1723"/>
      <c r="I78" s="1792"/>
      <c r="J78" s="3422"/>
      <c r="K78" s="1791"/>
      <c r="L78" s="2396"/>
      <c r="M78" s="3272"/>
      <c r="N78" s="2773"/>
      <c r="O78" s="3358"/>
      <c r="P78" s="2397"/>
      <c r="Q78" s="1793"/>
      <c r="R78" s="1796"/>
      <c r="S78" s="1797"/>
      <c r="T78" s="2434"/>
      <c r="U78" s="1848"/>
      <c r="V78" s="2435"/>
      <c r="W78" s="2764"/>
      <c r="X78" s="1850"/>
      <c r="Y78" s="2177"/>
      <c r="Z78" s="2738">
        <v>460</v>
      </c>
      <c r="AA78" s="1720"/>
      <c r="AB78" s="1721"/>
      <c r="AC78" s="2353"/>
      <c r="AD78" s="1723"/>
      <c r="AE78" s="1792"/>
      <c r="AF78" s="3422"/>
      <c r="AG78" s="1791"/>
      <c r="AH78" s="2396"/>
      <c r="AI78" s="3272"/>
      <c r="AJ78" s="2773"/>
      <c r="AK78" s="3358"/>
      <c r="AL78" s="2397"/>
      <c r="AM78" s="1793"/>
      <c r="AN78" s="1796"/>
      <c r="AO78" s="1797"/>
      <c r="AP78" s="2434"/>
      <c r="AQ78" s="1848"/>
      <c r="AR78" s="2080"/>
      <c r="AS78" s="2750"/>
      <c r="AT78" s="2081"/>
      <c r="AU78" s="1851"/>
      <c r="AV78" s="2743"/>
      <c r="AW78" s="2378"/>
      <c r="AX78" s="1793">
        <v>2</v>
      </c>
      <c r="AY78" s="2469"/>
      <c r="AZ78" s="1851"/>
      <c r="BA78" s="3633">
        <f>SUM(E78:Z81)</f>
        <v>460</v>
      </c>
      <c r="BB78" s="3633">
        <f>SUM(E78:AV81)</f>
        <v>460</v>
      </c>
      <c r="BC78" s="1951">
        <v>403</v>
      </c>
      <c r="BD78" s="1957" t="s">
        <v>526</v>
      </c>
      <c r="BE78" s="3629" t="s">
        <v>33</v>
      </c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spans="1:95" ht="15.75" customHeight="1" thickBot="1">
      <c r="A79" s="3646"/>
      <c r="B79" s="1728" t="s">
        <v>32</v>
      </c>
      <c r="C79" s="3640"/>
      <c r="D79" s="2347">
        <f t="shared" si="22"/>
        <v>0</v>
      </c>
      <c r="E79" s="2348"/>
      <c r="F79" s="2349"/>
      <c r="G79" s="2350"/>
      <c r="H79" s="2351"/>
      <c r="I79" s="2389"/>
      <c r="J79" s="3421"/>
      <c r="K79" s="2390"/>
      <c r="L79" s="2391"/>
      <c r="M79" s="3271"/>
      <c r="N79" s="2772"/>
      <c r="O79" s="3357"/>
      <c r="P79" s="2392"/>
      <c r="Q79" s="2393"/>
      <c r="R79" s="2394"/>
      <c r="S79" s="2395"/>
      <c r="T79" s="2429"/>
      <c r="U79" s="2430"/>
      <c r="V79" s="2431"/>
      <c r="W79" s="2758"/>
      <c r="X79" s="2432"/>
      <c r="Y79" s="2463"/>
      <c r="Z79" s="2737"/>
      <c r="AA79" s="2534"/>
      <c r="AB79" s="2358"/>
      <c r="AC79" s="2359"/>
      <c r="AD79" s="2360"/>
      <c r="AE79" s="2403"/>
      <c r="AF79" s="3423"/>
      <c r="AG79" s="2404"/>
      <c r="AH79" s="2405"/>
      <c r="AI79" s="3273"/>
      <c r="AJ79" s="2775"/>
      <c r="AK79" s="3359"/>
      <c r="AL79" s="2406"/>
      <c r="AM79" s="2407"/>
      <c r="AN79" s="2408"/>
      <c r="AO79" s="2409"/>
      <c r="AP79" s="2439"/>
      <c r="AQ79" s="2440"/>
      <c r="AR79" s="2523"/>
      <c r="AS79" s="2751"/>
      <c r="AT79" s="2533"/>
      <c r="AU79" s="2443"/>
      <c r="AV79" s="2746"/>
      <c r="AW79" s="2468"/>
      <c r="AX79" s="2393"/>
      <c r="AY79" s="2467"/>
      <c r="AZ79" s="2433"/>
      <c r="BA79" s="3634"/>
      <c r="BB79" s="3634"/>
      <c r="BC79" s="1957"/>
      <c r="BD79" s="1945"/>
      <c r="BE79" s="3630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spans="1:95" ht="15.75" customHeight="1" thickBot="1">
      <c r="A80" s="3646"/>
      <c r="B80" s="1728" t="s">
        <v>34</v>
      </c>
      <c r="C80" s="3640"/>
      <c r="D80" s="2347">
        <f t="shared" ref="D80" si="24">SUM(E80:AZ80)</f>
        <v>0</v>
      </c>
      <c r="E80" s="2348"/>
      <c r="F80" s="2349"/>
      <c r="G80" s="2350"/>
      <c r="H80" s="2351"/>
      <c r="I80" s="2389"/>
      <c r="J80" s="3421"/>
      <c r="K80" s="2390"/>
      <c r="L80" s="2391"/>
      <c r="M80" s="3271"/>
      <c r="N80" s="2772"/>
      <c r="O80" s="3357"/>
      <c r="P80" s="2392"/>
      <c r="Q80" s="2393"/>
      <c r="R80" s="2394"/>
      <c r="S80" s="2395"/>
      <c r="T80" s="2429"/>
      <c r="U80" s="2430"/>
      <c r="V80" s="2431"/>
      <c r="W80" s="2758"/>
      <c r="X80" s="2432"/>
      <c r="Y80" s="2463"/>
      <c r="Z80" s="2737"/>
      <c r="AA80" s="2534"/>
      <c r="AB80" s="2358"/>
      <c r="AC80" s="2359"/>
      <c r="AD80" s="2360"/>
      <c r="AE80" s="2403"/>
      <c r="AF80" s="3423"/>
      <c r="AG80" s="2404"/>
      <c r="AH80" s="2405"/>
      <c r="AI80" s="3273"/>
      <c r="AJ80" s="2775"/>
      <c r="AK80" s="3359"/>
      <c r="AL80" s="2406"/>
      <c r="AM80" s="2407"/>
      <c r="AN80" s="2408"/>
      <c r="AO80" s="2409"/>
      <c r="AP80" s="2439"/>
      <c r="AQ80" s="2440"/>
      <c r="AR80" s="2523"/>
      <c r="AS80" s="2751"/>
      <c r="AT80" s="2533"/>
      <c r="AU80" s="2443"/>
      <c r="AV80" s="2746"/>
      <c r="AW80" s="2468"/>
      <c r="AX80" s="2393"/>
      <c r="AY80" s="2467"/>
      <c r="AZ80" s="2433"/>
      <c r="BA80" s="3634"/>
      <c r="BB80" s="3634"/>
      <c r="BC80" s="1957"/>
      <c r="BD80" s="1945"/>
      <c r="BE80" s="3630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spans="1:95" ht="15.75" customHeight="1" thickBot="1">
      <c r="A81" s="3647"/>
      <c r="B81" s="1728" t="s">
        <v>34</v>
      </c>
      <c r="C81" s="3641"/>
      <c r="D81" s="2347">
        <f t="shared" ref="D81:D87" si="25">SUM(E81:AZ81)</f>
        <v>0</v>
      </c>
      <c r="E81" s="2348"/>
      <c r="F81" s="2349"/>
      <c r="G81" s="2350"/>
      <c r="H81" s="2351"/>
      <c r="I81" s="2389"/>
      <c r="J81" s="3421"/>
      <c r="K81" s="2390"/>
      <c r="L81" s="2391"/>
      <c r="M81" s="3271"/>
      <c r="N81" s="2772"/>
      <c r="O81" s="3357"/>
      <c r="P81" s="2392"/>
      <c r="Q81" s="2393"/>
      <c r="R81" s="2394"/>
      <c r="S81" s="2395"/>
      <c r="T81" s="2429"/>
      <c r="U81" s="2430"/>
      <c r="V81" s="2431"/>
      <c r="W81" s="2758"/>
      <c r="X81" s="2432"/>
      <c r="Y81" s="2463"/>
      <c r="Z81" s="2737"/>
      <c r="AA81" s="2184"/>
      <c r="AB81" s="2185"/>
      <c r="AC81" s="2356"/>
      <c r="AD81" s="2216"/>
      <c r="AE81" s="2398"/>
      <c r="AF81" s="3424"/>
      <c r="AG81" s="2399"/>
      <c r="AH81" s="2400"/>
      <c r="AI81" s="3274"/>
      <c r="AJ81" s="2774"/>
      <c r="AK81" s="3360"/>
      <c r="AL81" s="2401"/>
      <c r="AM81" s="2220"/>
      <c r="AN81" s="2245"/>
      <c r="AO81" s="2402"/>
      <c r="AP81" s="2436"/>
      <c r="AQ81" s="2246"/>
      <c r="AR81" s="2437"/>
      <c r="AS81" s="2752"/>
      <c r="AT81" s="2438"/>
      <c r="AU81" s="2262"/>
      <c r="AV81" s="2745"/>
      <c r="AW81" s="2468"/>
      <c r="AX81" s="2393"/>
      <c r="AY81" s="2467"/>
      <c r="AZ81" s="2433"/>
      <c r="BA81" s="3635"/>
      <c r="BB81" s="3635"/>
      <c r="BC81" s="1951"/>
      <c r="BD81" s="1957"/>
      <c r="BE81" s="3630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spans="1:95" ht="15.75" customHeight="1" thickBot="1">
      <c r="A82" s="3648">
        <v>46142</v>
      </c>
      <c r="B82" s="1688" t="s">
        <v>32</v>
      </c>
      <c r="C82" s="3639">
        <f>SUM(D82:D85)</f>
        <v>0</v>
      </c>
      <c r="D82" s="1689">
        <f t="shared" si="25"/>
        <v>0</v>
      </c>
      <c r="E82" s="1720"/>
      <c r="F82" s="1721"/>
      <c r="G82" s="2353"/>
      <c r="H82" s="1723"/>
      <c r="I82" s="1792"/>
      <c r="J82" s="3422"/>
      <c r="K82" s="1791"/>
      <c r="L82" s="2396"/>
      <c r="M82" s="3272"/>
      <c r="N82" s="2773"/>
      <c r="O82" s="3358"/>
      <c r="P82" s="2397"/>
      <c r="Q82" s="1793"/>
      <c r="R82" s="1796"/>
      <c r="S82" s="1797"/>
      <c r="T82" s="2434"/>
      <c r="U82" s="1848"/>
      <c r="V82" s="2435"/>
      <c r="W82" s="2764"/>
      <c r="X82" s="1850"/>
      <c r="Y82" s="2177"/>
      <c r="Z82" s="2738"/>
      <c r="AA82" s="2369"/>
      <c r="AB82" s="2370"/>
      <c r="AC82" s="2371"/>
      <c r="AD82" s="2372"/>
      <c r="AE82" s="2417"/>
      <c r="AF82" s="3426"/>
      <c r="AG82" s="2418"/>
      <c r="AH82" s="2419"/>
      <c r="AI82" s="3276"/>
      <c r="AJ82" s="2777"/>
      <c r="AK82" s="3362"/>
      <c r="AL82" s="2420"/>
      <c r="AM82" s="2421"/>
      <c r="AN82" s="2422"/>
      <c r="AO82" s="2423"/>
      <c r="AP82" s="2449"/>
      <c r="AQ82" s="2450"/>
      <c r="AR82" s="2455"/>
      <c r="AS82" s="2753"/>
      <c r="AT82" s="2456"/>
      <c r="AU82" s="2453"/>
      <c r="AV82" s="2744"/>
      <c r="AW82" s="2378"/>
      <c r="AX82" s="1793"/>
      <c r="AY82" s="2469"/>
      <c r="AZ82" s="1851"/>
      <c r="BA82" s="3633">
        <f>SUM(E82:Z85)</f>
        <v>0</v>
      </c>
      <c r="BB82" s="3633">
        <f>SUM(E82:AV85)</f>
        <v>0</v>
      </c>
      <c r="BC82" s="1957"/>
      <c r="BD82" s="1945"/>
      <c r="BE82" s="3629" t="s">
        <v>33</v>
      </c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spans="1:95" ht="15.75" customHeight="1" thickBot="1">
      <c r="A83" s="3646"/>
      <c r="B83" s="1728" t="s">
        <v>34</v>
      </c>
      <c r="C83" s="3640"/>
      <c r="D83" s="2347">
        <f t="shared" si="25"/>
        <v>0</v>
      </c>
      <c r="E83" s="2348"/>
      <c r="F83" s="2349"/>
      <c r="G83" s="2350"/>
      <c r="H83" s="2351"/>
      <c r="I83" s="2389"/>
      <c r="J83" s="3421"/>
      <c r="K83" s="2390"/>
      <c r="L83" s="2391"/>
      <c r="M83" s="3271"/>
      <c r="N83" s="2772"/>
      <c r="O83" s="3357"/>
      <c r="P83" s="2392"/>
      <c r="Q83" s="2393"/>
      <c r="R83" s="2394"/>
      <c r="S83" s="2395"/>
      <c r="T83" s="2429"/>
      <c r="U83" s="2430"/>
      <c r="V83" s="2431"/>
      <c r="W83" s="2758"/>
      <c r="X83" s="2432"/>
      <c r="Y83" s="2463"/>
      <c r="Z83" s="2737"/>
      <c r="AA83" s="2534"/>
      <c r="AB83" s="2358"/>
      <c r="AC83" s="2359"/>
      <c r="AD83" s="2360"/>
      <c r="AE83" s="2403"/>
      <c r="AF83" s="3423"/>
      <c r="AG83" s="2404"/>
      <c r="AH83" s="2405"/>
      <c r="AI83" s="3273"/>
      <c r="AJ83" s="2775"/>
      <c r="AK83" s="3359"/>
      <c r="AL83" s="2406"/>
      <c r="AM83" s="2407"/>
      <c r="AN83" s="2408"/>
      <c r="AO83" s="2409"/>
      <c r="AP83" s="2439"/>
      <c r="AQ83" s="2440"/>
      <c r="AR83" s="2523"/>
      <c r="AS83" s="2751"/>
      <c r="AT83" s="2533"/>
      <c r="AU83" s="2443"/>
      <c r="AV83" s="2746"/>
      <c r="AW83" s="2468"/>
      <c r="AX83" s="2393"/>
      <c r="AY83" s="2467"/>
      <c r="AZ83" s="2433"/>
      <c r="BA83" s="3634"/>
      <c r="BB83" s="3634"/>
      <c r="BC83" s="1957"/>
      <c r="BD83" s="1945"/>
      <c r="BE83" s="3630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spans="1:95" ht="15.75" customHeight="1" thickBot="1">
      <c r="A84" s="3646"/>
      <c r="B84" s="1728" t="s">
        <v>34</v>
      </c>
      <c r="C84" s="3640"/>
      <c r="D84" s="2347">
        <f t="shared" ref="D84" si="26">SUM(E84:AZ84)</f>
        <v>0</v>
      </c>
      <c r="E84" s="2348"/>
      <c r="F84" s="2349"/>
      <c r="G84" s="2350"/>
      <c r="H84" s="2351"/>
      <c r="I84" s="2389"/>
      <c r="J84" s="3421"/>
      <c r="K84" s="2390"/>
      <c r="L84" s="2391"/>
      <c r="M84" s="3271"/>
      <c r="N84" s="2772"/>
      <c r="O84" s="3357"/>
      <c r="P84" s="2392"/>
      <c r="Q84" s="2393"/>
      <c r="R84" s="2394"/>
      <c r="S84" s="2395"/>
      <c r="T84" s="2429"/>
      <c r="U84" s="2430"/>
      <c r="V84" s="2431"/>
      <c r="W84" s="2758"/>
      <c r="X84" s="2432"/>
      <c r="Y84" s="2463"/>
      <c r="Z84" s="2737"/>
      <c r="AA84" s="2534"/>
      <c r="AB84" s="2358"/>
      <c r="AC84" s="2359"/>
      <c r="AD84" s="2360"/>
      <c r="AE84" s="2403"/>
      <c r="AF84" s="3423"/>
      <c r="AG84" s="2404"/>
      <c r="AH84" s="2405"/>
      <c r="AI84" s="3273"/>
      <c r="AJ84" s="2775"/>
      <c r="AK84" s="3359"/>
      <c r="AL84" s="2406"/>
      <c r="AM84" s="2407"/>
      <c r="AN84" s="2408"/>
      <c r="AO84" s="2409"/>
      <c r="AP84" s="2439"/>
      <c r="AQ84" s="2440"/>
      <c r="AR84" s="2523"/>
      <c r="AS84" s="2751"/>
      <c r="AT84" s="2533"/>
      <c r="AU84" s="2443"/>
      <c r="AV84" s="2746"/>
      <c r="AW84" s="2468"/>
      <c r="AX84" s="2393"/>
      <c r="AY84" s="2467"/>
      <c r="AZ84" s="2433"/>
      <c r="BA84" s="3634"/>
      <c r="BB84" s="3634"/>
      <c r="BC84" s="1957"/>
      <c r="BD84" s="1945"/>
      <c r="BE84" s="3630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spans="1:95" ht="15.75" customHeight="1" thickBot="1">
      <c r="A85" s="3647"/>
      <c r="B85" s="1728" t="s">
        <v>34</v>
      </c>
      <c r="C85" s="3641"/>
      <c r="D85" s="2347">
        <f t="shared" si="25"/>
        <v>0</v>
      </c>
      <c r="E85" s="2348"/>
      <c r="F85" s="2349"/>
      <c r="G85" s="2350"/>
      <c r="H85" s="2351"/>
      <c r="I85" s="2389"/>
      <c r="J85" s="3421"/>
      <c r="K85" s="2390"/>
      <c r="L85" s="2391"/>
      <c r="M85" s="3271"/>
      <c r="N85" s="2772"/>
      <c r="O85" s="3357"/>
      <c r="P85" s="2392"/>
      <c r="Q85" s="2393"/>
      <c r="R85" s="2394"/>
      <c r="S85" s="2395"/>
      <c r="T85" s="2429"/>
      <c r="U85" s="2430"/>
      <c r="V85" s="2431"/>
      <c r="W85" s="2758"/>
      <c r="X85" s="2432"/>
      <c r="Y85" s="2463"/>
      <c r="Z85" s="2737"/>
      <c r="AA85" s="2355"/>
      <c r="AB85" s="2349"/>
      <c r="AC85" s="2350"/>
      <c r="AD85" s="2351"/>
      <c r="AE85" s="2389"/>
      <c r="AF85" s="3421"/>
      <c r="AG85" s="2390"/>
      <c r="AH85" s="2391"/>
      <c r="AI85" s="3271"/>
      <c r="AJ85" s="2772"/>
      <c r="AK85" s="3357"/>
      <c r="AL85" s="2392"/>
      <c r="AM85" s="2393"/>
      <c r="AN85" s="2394"/>
      <c r="AO85" s="2395"/>
      <c r="AP85" s="2429"/>
      <c r="AQ85" s="2430"/>
      <c r="AR85" s="2458"/>
      <c r="AS85" s="2754"/>
      <c r="AT85" s="2459"/>
      <c r="AU85" s="2433"/>
      <c r="AV85" s="2747"/>
      <c r="AW85" s="2468"/>
      <c r="AX85" s="2393"/>
      <c r="AY85" s="2467"/>
      <c r="AZ85" s="2433"/>
      <c r="BA85" s="3635"/>
      <c r="BB85" s="3635"/>
      <c r="BC85" s="1945"/>
      <c r="BD85" s="1945"/>
      <c r="BE85" s="3630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spans="1:95" ht="15.75" customHeight="1" thickBot="1">
      <c r="A86" s="3645"/>
      <c r="B86" s="1688" t="s">
        <v>32</v>
      </c>
      <c r="C86" s="3639">
        <f>SUM(D86:D88)</f>
        <v>0</v>
      </c>
      <c r="D86" s="1689">
        <f t="shared" si="25"/>
        <v>0</v>
      </c>
      <c r="E86" s="1720"/>
      <c r="F86" s="1721"/>
      <c r="G86" s="2353"/>
      <c r="H86" s="1723"/>
      <c r="I86" s="1792"/>
      <c r="J86" s="3422"/>
      <c r="K86" s="1791"/>
      <c r="L86" s="2396"/>
      <c r="M86" s="3272"/>
      <c r="N86" s="2773"/>
      <c r="O86" s="3358"/>
      <c r="P86" s="2397"/>
      <c r="Q86" s="1793"/>
      <c r="R86" s="1796"/>
      <c r="S86" s="1797"/>
      <c r="T86" s="2434"/>
      <c r="U86" s="1848"/>
      <c r="V86" s="2435"/>
      <c r="W86" s="2764"/>
      <c r="X86" s="1850"/>
      <c r="Y86" s="2177"/>
      <c r="Z86" s="2738"/>
      <c r="AA86" s="1720"/>
      <c r="AB86" s="1721"/>
      <c r="AC86" s="2353"/>
      <c r="AD86" s="1723"/>
      <c r="AE86" s="1792"/>
      <c r="AF86" s="3422"/>
      <c r="AG86" s="1791"/>
      <c r="AH86" s="2396"/>
      <c r="AI86" s="3272"/>
      <c r="AJ86" s="2773"/>
      <c r="AK86" s="3358"/>
      <c r="AL86" s="2397"/>
      <c r="AM86" s="1793"/>
      <c r="AN86" s="1796"/>
      <c r="AO86" s="1797"/>
      <c r="AP86" s="2434"/>
      <c r="AQ86" s="1848"/>
      <c r="AR86" s="2080"/>
      <c r="AS86" s="2750"/>
      <c r="AT86" s="2081"/>
      <c r="AU86" s="1851"/>
      <c r="AV86" s="2743"/>
      <c r="AW86" s="2378"/>
      <c r="AX86" s="1793"/>
      <c r="AY86" s="2469"/>
      <c r="AZ86" s="1851"/>
      <c r="BA86" s="3633">
        <f>SUM(E86:Z88)</f>
        <v>0</v>
      </c>
      <c r="BB86" s="3633">
        <f>SUM(E86:AV88)</f>
        <v>0</v>
      </c>
      <c r="BC86" s="1945"/>
      <c r="BD86" s="1945"/>
      <c r="BE86" s="3629" t="s">
        <v>33</v>
      </c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spans="1:95" ht="15.75" customHeight="1" thickBot="1">
      <c r="A87" s="3646"/>
      <c r="B87" s="1728" t="s">
        <v>34</v>
      </c>
      <c r="C87" s="3640"/>
      <c r="D87" s="2347">
        <f t="shared" si="25"/>
        <v>0</v>
      </c>
      <c r="E87" s="2348"/>
      <c r="F87" s="2349"/>
      <c r="G87" s="2350"/>
      <c r="H87" s="2351"/>
      <c r="I87" s="2389"/>
      <c r="J87" s="3421"/>
      <c r="K87" s="2390"/>
      <c r="L87" s="2391"/>
      <c r="M87" s="3271"/>
      <c r="N87" s="2772"/>
      <c r="O87" s="3357"/>
      <c r="P87" s="2392"/>
      <c r="Q87" s="2393"/>
      <c r="R87" s="2394"/>
      <c r="S87" s="2395"/>
      <c r="T87" s="2429"/>
      <c r="U87" s="2430"/>
      <c r="V87" s="2431"/>
      <c r="W87" s="2758"/>
      <c r="X87" s="2432"/>
      <c r="Y87" s="2463"/>
      <c r="Z87" s="2737"/>
      <c r="AA87" s="2534"/>
      <c r="AB87" s="2358"/>
      <c r="AC87" s="2359"/>
      <c r="AD87" s="2360"/>
      <c r="AE87" s="2403"/>
      <c r="AF87" s="3423"/>
      <c r="AG87" s="2404"/>
      <c r="AH87" s="2405"/>
      <c r="AI87" s="3273"/>
      <c r="AJ87" s="2775"/>
      <c r="AK87" s="3359"/>
      <c r="AL87" s="2406"/>
      <c r="AM87" s="2407"/>
      <c r="AN87" s="2408"/>
      <c r="AO87" s="2409"/>
      <c r="AP87" s="2439"/>
      <c r="AQ87" s="2440"/>
      <c r="AR87" s="2523"/>
      <c r="AS87" s="2751"/>
      <c r="AT87" s="2533"/>
      <c r="AU87" s="2443"/>
      <c r="AV87" s="2746"/>
      <c r="AW87" s="2468"/>
      <c r="AX87" s="2393"/>
      <c r="AY87" s="2467"/>
      <c r="AZ87" s="2433"/>
      <c r="BA87" s="3634"/>
      <c r="BB87" s="3634"/>
      <c r="BC87" s="1957"/>
      <c r="BD87" s="1945"/>
      <c r="BE87" s="3630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spans="1:95" ht="15.75" customHeight="1" thickBot="1">
      <c r="A88" s="3647"/>
      <c r="B88" s="1728" t="s">
        <v>34</v>
      </c>
      <c r="C88" s="3641"/>
      <c r="D88" s="2347">
        <f t="shared" ref="D88:D91" si="27">SUM(E88:AZ88)</f>
        <v>0</v>
      </c>
      <c r="E88" s="2348"/>
      <c r="F88" s="2349"/>
      <c r="G88" s="2350"/>
      <c r="H88" s="2351"/>
      <c r="I88" s="2389"/>
      <c r="J88" s="3421"/>
      <c r="K88" s="2390"/>
      <c r="L88" s="2391"/>
      <c r="M88" s="3271"/>
      <c r="N88" s="2772"/>
      <c r="O88" s="3357"/>
      <c r="P88" s="2392"/>
      <c r="Q88" s="2393"/>
      <c r="R88" s="2394"/>
      <c r="S88" s="2395"/>
      <c r="T88" s="2429"/>
      <c r="U88" s="2430"/>
      <c r="V88" s="2431"/>
      <c r="W88" s="2758"/>
      <c r="X88" s="2432"/>
      <c r="Y88" s="2463"/>
      <c r="Z88" s="2737"/>
      <c r="AA88" s="2184"/>
      <c r="AB88" s="2185"/>
      <c r="AC88" s="2356"/>
      <c r="AD88" s="2216"/>
      <c r="AE88" s="2398"/>
      <c r="AF88" s="3424"/>
      <c r="AG88" s="2399"/>
      <c r="AH88" s="2400"/>
      <c r="AI88" s="3274"/>
      <c r="AJ88" s="2774"/>
      <c r="AK88" s="3360"/>
      <c r="AL88" s="2401"/>
      <c r="AM88" s="2220"/>
      <c r="AN88" s="2245"/>
      <c r="AO88" s="2402"/>
      <c r="AP88" s="2436"/>
      <c r="AQ88" s="2246"/>
      <c r="AR88" s="2437"/>
      <c r="AS88" s="2752"/>
      <c r="AT88" s="2438"/>
      <c r="AU88" s="2262"/>
      <c r="AV88" s="2745"/>
      <c r="AW88" s="2468"/>
      <c r="AX88" s="2393"/>
      <c r="AY88" s="2467"/>
      <c r="AZ88" s="2433"/>
      <c r="BA88" s="3635"/>
      <c r="BB88" s="3635"/>
      <c r="BC88" s="1945"/>
      <c r="BD88" s="1942"/>
      <c r="BE88" s="3630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spans="1:95" ht="15.75" customHeight="1" thickBot="1">
      <c r="A89" s="3645"/>
      <c r="B89" s="1688" t="s">
        <v>32</v>
      </c>
      <c r="C89" s="3639">
        <f>SUM(D89:D92)</f>
        <v>0</v>
      </c>
      <c r="D89" s="1689">
        <f t="shared" si="27"/>
        <v>0</v>
      </c>
      <c r="E89" s="1720"/>
      <c r="F89" s="1721"/>
      <c r="G89" s="2353"/>
      <c r="H89" s="1723"/>
      <c r="I89" s="1792"/>
      <c r="J89" s="3422"/>
      <c r="K89" s="1791"/>
      <c r="L89" s="2396"/>
      <c r="M89" s="3272"/>
      <c r="N89" s="2773"/>
      <c r="O89" s="3358"/>
      <c r="P89" s="2397"/>
      <c r="Q89" s="1793"/>
      <c r="R89" s="1796"/>
      <c r="S89" s="1797"/>
      <c r="T89" s="2434"/>
      <c r="U89" s="1848"/>
      <c r="V89" s="2435"/>
      <c r="W89" s="2764"/>
      <c r="X89" s="1850"/>
      <c r="Y89" s="2177"/>
      <c r="Z89" s="2738"/>
      <c r="AA89" s="1720"/>
      <c r="AB89" s="1721"/>
      <c r="AC89" s="2353"/>
      <c r="AD89" s="1723"/>
      <c r="AE89" s="1792"/>
      <c r="AF89" s="3422"/>
      <c r="AG89" s="1791"/>
      <c r="AH89" s="2396"/>
      <c r="AI89" s="3272"/>
      <c r="AJ89" s="2773"/>
      <c r="AK89" s="3358"/>
      <c r="AL89" s="2397"/>
      <c r="AM89" s="1793"/>
      <c r="AN89" s="1796"/>
      <c r="AO89" s="1797"/>
      <c r="AP89" s="2434"/>
      <c r="AQ89" s="1848"/>
      <c r="AR89" s="2080"/>
      <c r="AS89" s="2750"/>
      <c r="AT89" s="2081"/>
      <c r="AU89" s="1851"/>
      <c r="AV89" s="2743"/>
      <c r="AW89" s="2378"/>
      <c r="AX89" s="1793"/>
      <c r="AY89" s="2469"/>
      <c r="AZ89" s="1851"/>
      <c r="BA89" s="3633">
        <f>SUM(E89:Z92)</f>
        <v>0</v>
      </c>
      <c r="BB89" s="3633">
        <f>SUM(E89:AV92)</f>
        <v>0</v>
      </c>
      <c r="BC89" s="1945"/>
      <c r="BD89" s="1942"/>
      <c r="BE89" s="3629" t="s">
        <v>33</v>
      </c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spans="1:95" ht="15.75" customHeight="1" thickBot="1">
      <c r="A90" s="3646"/>
      <c r="B90" s="1728" t="s">
        <v>34</v>
      </c>
      <c r="C90" s="3640"/>
      <c r="D90" s="2347">
        <f t="shared" si="27"/>
        <v>0</v>
      </c>
      <c r="E90" s="2348"/>
      <c r="F90" s="2349"/>
      <c r="G90" s="2350"/>
      <c r="H90" s="2351"/>
      <c r="I90" s="2389"/>
      <c r="J90" s="3421"/>
      <c r="K90" s="2390"/>
      <c r="L90" s="2391"/>
      <c r="M90" s="3271"/>
      <c r="N90" s="2772"/>
      <c r="O90" s="3357"/>
      <c r="P90" s="2392"/>
      <c r="Q90" s="2393"/>
      <c r="R90" s="2394"/>
      <c r="S90" s="2395"/>
      <c r="T90" s="2429"/>
      <c r="U90" s="2430"/>
      <c r="V90" s="2431"/>
      <c r="W90" s="2758"/>
      <c r="X90" s="2432"/>
      <c r="Y90" s="2463"/>
      <c r="Z90" s="2737"/>
      <c r="AA90" s="2534"/>
      <c r="AB90" s="2358"/>
      <c r="AC90" s="2359"/>
      <c r="AD90" s="2360"/>
      <c r="AE90" s="2403"/>
      <c r="AF90" s="3423"/>
      <c r="AG90" s="2404"/>
      <c r="AH90" s="2405"/>
      <c r="AI90" s="3273"/>
      <c r="AJ90" s="2775"/>
      <c r="AK90" s="3359"/>
      <c r="AL90" s="2406"/>
      <c r="AM90" s="2407"/>
      <c r="AN90" s="2408"/>
      <c r="AO90" s="2409"/>
      <c r="AP90" s="2439"/>
      <c r="AQ90" s="2440"/>
      <c r="AR90" s="2523"/>
      <c r="AS90" s="2751"/>
      <c r="AT90" s="2533"/>
      <c r="AU90" s="2443"/>
      <c r="AV90" s="2746"/>
      <c r="AW90" s="2468"/>
      <c r="AX90" s="2393"/>
      <c r="AY90" s="2467"/>
      <c r="AZ90" s="2433"/>
      <c r="BA90" s="3634"/>
      <c r="BB90" s="3634"/>
      <c r="BC90" s="1945"/>
      <c r="BD90" s="1942"/>
      <c r="BE90" s="3630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spans="1:95" ht="15.75" customHeight="1" thickBot="1">
      <c r="A91" s="3646"/>
      <c r="B91" s="1728" t="s">
        <v>34</v>
      </c>
      <c r="C91" s="3640"/>
      <c r="D91" s="2347">
        <f t="shared" si="27"/>
        <v>0</v>
      </c>
      <c r="E91" s="2348"/>
      <c r="F91" s="2349"/>
      <c r="G91" s="2350"/>
      <c r="H91" s="2351"/>
      <c r="I91" s="2389"/>
      <c r="J91" s="3421"/>
      <c r="K91" s="2390"/>
      <c r="L91" s="2391"/>
      <c r="M91" s="3271"/>
      <c r="N91" s="2772"/>
      <c r="O91" s="3357"/>
      <c r="P91" s="2392"/>
      <c r="Q91" s="2393"/>
      <c r="R91" s="2394"/>
      <c r="S91" s="2395"/>
      <c r="T91" s="2429"/>
      <c r="U91" s="2430"/>
      <c r="V91" s="2431"/>
      <c r="W91" s="2758"/>
      <c r="X91" s="2432"/>
      <c r="Y91" s="2463"/>
      <c r="Z91" s="2737"/>
      <c r="AA91" s="2534"/>
      <c r="AB91" s="2358"/>
      <c r="AC91" s="2359"/>
      <c r="AD91" s="2360"/>
      <c r="AE91" s="2403"/>
      <c r="AF91" s="3423"/>
      <c r="AG91" s="2404"/>
      <c r="AH91" s="2405"/>
      <c r="AI91" s="3273"/>
      <c r="AJ91" s="2775"/>
      <c r="AK91" s="3359"/>
      <c r="AL91" s="2406"/>
      <c r="AM91" s="2407"/>
      <c r="AN91" s="2408"/>
      <c r="AO91" s="2409"/>
      <c r="AP91" s="2439"/>
      <c r="AQ91" s="2440"/>
      <c r="AR91" s="2523"/>
      <c r="AS91" s="2751"/>
      <c r="AT91" s="2533"/>
      <c r="AU91" s="2443"/>
      <c r="AV91" s="2746"/>
      <c r="AW91" s="2468"/>
      <c r="AX91" s="2393"/>
      <c r="AY91" s="2467"/>
      <c r="AZ91" s="2433"/>
      <c r="BA91" s="3634"/>
      <c r="BB91" s="3634"/>
      <c r="BC91" s="1945"/>
      <c r="BD91" s="2485"/>
      <c r="BE91" s="3630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spans="1:95" ht="15.75" customHeight="1" thickBot="1">
      <c r="A92" s="3647"/>
      <c r="B92" s="1728" t="s">
        <v>34</v>
      </c>
      <c r="C92" s="3641"/>
      <c r="D92" s="2347">
        <f t="shared" ref="D92:D102" si="28">SUM(E92:AZ92)</f>
        <v>0</v>
      </c>
      <c r="E92" s="2348"/>
      <c r="F92" s="2349"/>
      <c r="G92" s="2350"/>
      <c r="H92" s="2351"/>
      <c r="I92" s="2389"/>
      <c r="J92" s="3421"/>
      <c r="K92" s="2390"/>
      <c r="L92" s="2391"/>
      <c r="M92" s="3271"/>
      <c r="N92" s="2772"/>
      <c r="O92" s="3357"/>
      <c r="P92" s="2392"/>
      <c r="Q92" s="2393"/>
      <c r="R92" s="2394"/>
      <c r="S92" s="2395"/>
      <c r="T92" s="2429"/>
      <c r="U92" s="2430"/>
      <c r="V92" s="2431"/>
      <c r="W92" s="2758"/>
      <c r="X92" s="2432"/>
      <c r="Y92" s="2463"/>
      <c r="Z92" s="2737"/>
      <c r="AA92" s="2184"/>
      <c r="AB92" s="2185"/>
      <c r="AC92" s="2356"/>
      <c r="AD92" s="2216"/>
      <c r="AE92" s="2398"/>
      <c r="AF92" s="3424"/>
      <c r="AG92" s="2399"/>
      <c r="AH92" s="2400"/>
      <c r="AI92" s="3274"/>
      <c r="AJ92" s="2774"/>
      <c r="AK92" s="3360"/>
      <c r="AL92" s="2401"/>
      <c r="AM92" s="2220"/>
      <c r="AN92" s="2245"/>
      <c r="AO92" s="2402"/>
      <c r="AP92" s="2436"/>
      <c r="AQ92" s="2246"/>
      <c r="AR92" s="2437"/>
      <c r="AS92" s="2752"/>
      <c r="AT92" s="2438"/>
      <c r="AU92" s="2262"/>
      <c r="AV92" s="2745"/>
      <c r="AW92" s="2468"/>
      <c r="AX92" s="2393"/>
      <c r="AY92" s="2467"/>
      <c r="AZ92" s="2433"/>
      <c r="BA92" s="3635"/>
      <c r="BB92" s="3635"/>
      <c r="BC92" s="1945"/>
      <c r="BD92" s="1942"/>
      <c r="BE92" s="3630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spans="1:95" ht="15.75" customHeight="1" thickBot="1">
      <c r="A93" s="3645"/>
      <c r="B93" s="1688" t="s">
        <v>32</v>
      </c>
      <c r="C93" s="3639">
        <f>SUM(D93:D96)</f>
        <v>0</v>
      </c>
      <c r="D93" s="1689">
        <f t="shared" si="28"/>
        <v>0</v>
      </c>
      <c r="E93" s="1720"/>
      <c r="F93" s="1721"/>
      <c r="G93" s="2353"/>
      <c r="H93" s="1723"/>
      <c r="I93" s="1792"/>
      <c r="J93" s="3422"/>
      <c r="K93" s="1791"/>
      <c r="L93" s="2396"/>
      <c r="M93" s="3272"/>
      <c r="N93" s="2773"/>
      <c r="O93" s="3358"/>
      <c r="P93" s="2397"/>
      <c r="Q93" s="1793"/>
      <c r="R93" s="1796"/>
      <c r="S93" s="1797"/>
      <c r="T93" s="2434"/>
      <c r="U93" s="1848"/>
      <c r="V93" s="2435"/>
      <c r="W93" s="2764"/>
      <c r="X93" s="1850"/>
      <c r="Y93" s="2177"/>
      <c r="Z93" s="2738"/>
      <c r="AA93" s="1720"/>
      <c r="AB93" s="1721"/>
      <c r="AC93" s="2353"/>
      <c r="AD93" s="1723"/>
      <c r="AE93" s="1792"/>
      <c r="AF93" s="3422"/>
      <c r="AG93" s="1791"/>
      <c r="AH93" s="2396"/>
      <c r="AI93" s="3272"/>
      <c r="AJ93" s="2773"/>
      <c r="AK93" s="3358"/>
      <c r="AL93" s="2397"/>
      <c r="AM93" s="1793"/>
      <c r="AN93" s="1796"/>
      <c r="AO93" s="1797"/>
      <c r="AP93" s="2434"/>
      <c r="AQ93" s="1848"/>
      <c r="AR93" s="2080"/>
      <c r="AS93" s="2750"/>
      <c r="AT93" s="2081"/>
      <c r="AU93" s="1851"/>
      <c r="AV93" s="2743"/>
      <c r="AW93" s="2378"/>
      <c r="AX93" s="1793"/>
      <c r="AY93" s="2469"/>
      <c r="AZ93" s="1851"/>
      <c r="BA93" s="3633">
        <f>SUM(E93:Z96)</f>
        <v>0</v>
      </c>
      <c r="BB93" s="3633">
        <f>SUM(E93:AV96)</f>
        <v>0</v>
      </c>
      <c r="BC93" s="1945"/>
      <c r="BD93" s="2486"/>
      <c r="BE93" s="3629" t="s">
        <v>33</v>
      </c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spans="1:95" ht="15.75" customHeight="1" thickBot="1">
      <c r="A94" s="3646"/>
      <c r="B94" s="1728" t="s">
        <v>34</v>
      </c>
      <c r="C94" s="3640"/>
      <c r="D94" s="2347">
        <f t="shared" ref="D94:D95" si="29">SUM(E94:AZ94)</f>
        <v>0</v>
      </c>
      <c r="E94" s="2348"/>
      <c r="F94" s="2349"/>
      <c r="G94" s="2350"/>
      <c r="H94" s="2351"/>
      <c r="I94" s="2389"/>
      <c r="J94" s="3421"/>
      <c r="K94" s="2390"/>
      <c r="L94" s="2391"/>
      <c r="M94" s="3271"/>
      <c r="N94" s="2772"/>
      <c r="O94" s="3357"/>
      <c r="P94" s="2392"/>
      <c r="Q94" s="2393"/>
      <c r="R94" s="2394"/>
      <c r="S94" s="2395"/>
      <c r="T94" s="2429"/>
      <c r="U94" s="2430"/>
      <c r="V94" s="2431"/>
      <c r="W94" s="2758"/>
      <c r="X94" s="2432"/>
      <c r="Y94" s="2463"/>
      <c r="Z94" s="2737"/>
      <c r="AA94" s="2534"/>
      <c r="AB94" s="2358"/>
      <c r="AC94" s="2359"/>
      <c r="AD94" s="2360"/>
      <c r="AE94" s="2403"/>
      <c r="AF94" s="3423"/>
      <c r="AG94" s="2404"/>
      <c r="AH94" s="2405"/>
      <c r="AI94" s="3273"/>
      <c r="AJ94" s="2775"/>
      <c r="AK94" s="3359"/>
      <c r="AL94" s="2406"/>
      <c r="AM94" s="2407"/>
      <c r="AN94" s="2408"/>
      <c r="AO94" s="2409"/>
      <c r="AP94" s="2439"/>
      <c r="AQ94" s="2440"/>
      <c r="AR94" s="2523"/>
      <c r="AS94" s="2751"/>
      <c r="AT94" s="2533"/>
      <c r="AU94" s="2443"/>
      <c r="AV94" s="2746"/>
      <c r="AW94" s="2468"/>
      <c r="AX94" s="2393"/>
      <c r="AY94" s="2467"/>
      <c r="AZ94" s="2433"/>
      <c r="BA94" s="3634"/>
      <c r="BB94" s="3634"/>
      <c r="BC94" s="1957"/>
      <c r="BD94" s="2485"/>
      <c r="BE94" s="3630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spans="1:95" ht="15.75" customHeight="1" thickBot="1">
      <c r="A95" s="3646"/>
      <c r="B95" s="1728" t="s">
        <v>34</v>
      </c>
      <c r="C95" s="3640"/>
      <c r="D95" s="2347">
        <f t="shared" si="29"/>
        <v>0</v>
      </c>
      <c r="E95" s="2348"/>
      <c r="F95" s="2349"/>
      <c r="G95" s="2350"/>
      <c r="H95" s="2351"/>
      <c r="I95" s="2389"/>
      <c r="J95" s="3421"/>
      <c r="K95" s="2390"/>
      <c r="L95" s="2391"/>
      <c r="M95" s="3271"/>
      <c r="N95" s="2772"/>
      <c r="O95" s="3357"/>
      <c r="P95" s="2392"/>
      <c r="Q95" s="2393"/>
      <c r="R95" s="2394"/>
      <c r="S95" s="2395"/>
      <c r="T95" s="2429"/>
      <c r="U95" s="2430"/>
      <c r="V95" s="2431"/>
      <c r="W95" s="2758"/>
      <c r="X95" s="2432"/>
      <c r="Y95" s="2463"/>
      <c r="Z95" s="2737"/>
      <c r="AA95" s="2534"/>
      <c r="AB95" s="2358"/>
      <c r="AC95" s="2359"/>
      <c r="AD95" s="2360"/>
      <c r="AE95" s="2403"/>
      <c r="AF95" s="3423"/>
      <c r="AG95" s="2404"/>
      <c r="AH95" s="2405"/>
      <c r="AI95" s="3273"/>
      <c r="AJ95" s="2775"/>
      <c r="AK95" s="3359"/>
      <c r="AL95" s="2406"/>
      <c r="AM95" s="2407"/>
      <c r="AN95" s="2408"/>
      <c r="AO95" s="2409"/>
      <c r="AP95" s="2439"/>
      <c r="AQ95" s="2440"/>
      <c r="AR95" s="2523"/>
      <c r="AS95" s="2751"/>
      <c r="AT95" s="2533"/>
      <c r="AU95" s="2443"/>
      <c r="AV95" s="2746"/>
      <c r="AW95" s="2468"/>
      <c r="AX95" s="2393"/>
      <c r="AY95" s="2467"/>
      <c r="AZ95" s="2433"/>
      <c r="BA95" s="3634"/>
      <c r="BB95" s="3634"/>
      <c r="BC95" s="1957"/>
      <c r="BD95" s="2485"/>
      <c r="BE95" s="3630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 spans="1:95" ht="15.75" customHeight="1" thickBot="1">
      <c r="A96" s="3647"/>
      <c r="B96" s="1728" t="s">
        <v>34</v>
      </c>
      <c r="C96" s="3641"/>
      <c r="D96" s="2347">
        <f t="shared" si="28"/>
        <v>0</v>
      </c>
      <c r="E96" s="2348"/>
      <c r="F96" s="2349"/>
      <c r="G96" s="2350"/>
      <c r="H96" s="2351"/>
      <c r="I96" s="2389"/>
      <c r="J96" s="3421"/>
      <c r="K96" s="2390"/>
      <c r="L96" s="2391"/>
      <c r="M96" s="3271"/>
      <c r="N96" s="2772"/>
      <c r="O96" s="3357"/>
      <c r="P96" s="2392"/>
      <c r="Q96" s="2393"/>
      <c r="R96" s="2394"/>
      <c r="S96" s="2395"/>
      <c r="T96" s="2429"/>
      <c r="U96" s="2430"/>
      <c r="V96" s="2431"/>
      <c r="W96" s="2758"/>
      <c r="X96" s="2432"/>
      <c r="Y96" s="2463"/>
      <c r="Z96" s="2737"/>
      <c r="AA96" s="2184"/>
      <c r="AB96" s="2185"/>
      <c r="AC96" s="2356"/>
      <c r="AD96" s="2216"/>
      <c r="AE96" s="2398"/>
      <c r="AF96" s="3424"/>
      <c r="AG96" s="2399"/>
      <c r="AH96" s="2400"/>
      <c r="AI96" s="3274"/>
      <c r="AJ96" s="2774"/>
      <c r="AK96" s="3360"/>
      <c r="AL96" s="2401"/>
      <c r="AM96" s="2220"/>
      <c r="AN96" s="2245"/>
      <c r="AO96" s="2402"/>
      <c r="AP96" s="2436"/>
      <c r="AQ96" s="2246"/>
      <c r="AR96" s="2437"/>
      <c r="AS96" s="2752"/>
      <c r="AT96" s="2438"/>
      <c r="AU96" s="2262"/>
      <c r="AV96" s="2745"/>
      <c r="AW96" s="2529"/>
      <c r="AX96" s="2220"/>
      <c r="AY96" s="2475"/>
      <c r="AZ96" s="2262"/>
      <c r="BA96" s="3635"/>
      <c r="BB96" s="3635"/>
      <c r="BC96" s="1957"/>
      <c r="BD96" s="2486"/>
      <c r="BE96" s="3630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 spans="1:95" ht="15.75" customHeight="1">
      <c r="A97" s="3648"/>
      <c r="B97" s="1688" t="s">
        <v>32</v>
      </c>
      <c r="C97" s="3639">
        <f>SUM(D97:D99)</f>
        <v>0</v>
      </c>
      <c r="D97" s="1689">
        <f t="shared" si="28"/>
        <v>0</v>
      </c>
      <c r="E97" s="1720"/>
      <c r="F97" s="1721"/>
      <c r="G97" s="2353"/>
      <c r="H97" s="1723"/>
      <c r="I97" s="1792"/>
      <c r="J97" s="3422"/>
      <c r="K97" s="1791"/>
      <c r="L97" s="2396"/>
      <c r="M97" s="3272"/>
      <c r="N97" s="2773"/>
      <c r="O97" s="3358"/>
      <c r="P97" s="2397"/>
      <c r="Q97" s="1793"/>
      <c r="R97" s="1796"/>
      <c r="S97" s="1797"/>
      <c r="T97" s="2434"/>
      <c r="U97" s="1848"/>
      <c r="V97" s="2435"/>
      <c r="W97" s="2764"/>
      <c r="X97" s="1850"/>
      <c r="Y97" s="2177"/>
      <c r="Z97" s="2738"/>
      <c r="AA97" s="1720"/>
      <c r="AB97" s="1721"/>
      <c r="AC97" s="2353"/>
      <c r="AD97" s="1723"/>
      <c r="AE97" s="1792"/>
      <c r="AF97" s="3422"/>
      <c r="AG97" s="1791"/>
      <c r="AH97" s="2396"/>
      <c r="AI97" s="3272"/>
      <c r="AJ97" s="2773"/>
      <c r="AK97" s="3358"/>
      <c r="AL97" s="2397"/>
      <c r="AM97" s="1793"/>
      <c r="AN97" s="1796"/>
      <c r="AO97" s="1797"/>
      <c r="AP97" s="2434"/>
      <c r="AQ97" s="1848"/>
      <c r="AR97" s="2080"/>
      <c r="AS97" s="2750"/>
      <c r="AT97" s="2081"/>
      <c r="AU97" s="1851"/>
      <c r="AV97" s="2743"/>
      <c r="AW97" s="2532"/>
      <c r="AX97" s="2421"/>
      <c r="AY97" s="2474"/>
      <c r="AZ97" s="2453"/>
      <c r="BA97" s="3633">
        <f>SUM(E97:Z99)</f>
        <v>0</v>
      </c>
      <c r="BB97" s="3633">
        <f>SUM(E97:AV99)</f>
        <v>0</v>
      </c>
      <c r="BC97" s="1957"/>
      <c r="BD97" s="2485"/>
      <c r="BE97" s="3629" t="s">
        <v>33</v>
      </c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 spans="1:95" ht="15.75" customHeight="1" thickBot="1">
      <c r="A98" s="3647"/>
      <c r="B98" s="1728" t="s">
        <v>34</v>
      </c>
      <c r="C98" s="3641"/>
      <c r="D98" s="2347">
        <f t="shared" si="28"/>
        <v>0</v>
      </c>
      <c r="E98" s="2348"/>
      <c r="F98" s="2349"/>
      <c r="G98" s="2350"/>
      <c r="H98" s="2351"/>
      <c r="I98" s="2389"/>
      <c r="J98" s="3421"/>
      <c r="K98" s="2390"/>
      <c r="L98" s="2391"/>
      <c r="M98" s="3271"/>
      <c r="N98" s="2772"/>
      <c r="O98" s="3357"/>
      <c r="P98" s="2392"/>
      <c r="Q98" s="2393"/>
      <c r="R98" s="2394"/>
      <c r="S98" s="2395"/>
      <c r="T98" s="2429"/>
      <c r="U98" s="2430"/>
      <c r="V98" s="2431"/>
      <c r="W98" s="2758"/>
      <c r="X98" s="2432"/>
      <c r="Y98" s="2463"/>
      <c r="Z98" s="2737"/>
      <c r="AA98" s="2534"/>
      <c r="AB98" s="2358"/>
      <c r="AC98" s="2359"/>
      <c r="AD98" s="2360"/>
      <c r="AE98" s="2403"/>
      <c r="AF98" s="3423"/>
      <c r="AG98" s="2404"/>
      <c r="AH98" s="2405"/>
      <c r="AI98" s="3273"/>
      <c r="AJ98" s="2775"/>
      <c r="AK98" s="3359"/>
      <c r="AL98" s="2406"/>
      <c r="AM98" s="2407"/>
      <c r="AN98" s="2408"/>
      <c r="AO98" s="2409"/>
      <c r="AP98" s="2439"/>
      <c r="AQ98" s="2440"/>
      <c r="AR98" s="2523"/>
      <c r="AS98" s="2751"/>
      <c r="AT98" s="2533"/>
      <c r="AU98" s="2443"/>
      <c r="AV98" s="2746"/>
      <c r="AW98" s="2468"/>
      <c r="AX98" s="2393"/>
      <c r="AY98" s="2467"/>
      <c r="AZ98" s="2433"/>
      <c r="BA98" s="3635"/>
      <c r="BB98" s="3635"/>
      <c r="BC98" s="1957"/>
      <c r="BD98" s="2485"/>
      <c r="BE98" s="3630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 spans="1:95" ht="15.75" customHeight="1" thickBot="1">
      <c r="A99" s="3647"/>
      <c r="B99" s="1728" t="s">
        <v>34</v>
      </c>
      <c r="C99" s="3641"/>
      <c r="D99" s="2347">
        <f t="shared" si="28"/>
        <v>0</v>
      </c>
      <c r="E99" s="2348"/>
      <c r="F99" s="2349"/>
      <c r="G99" s="2350"/>
      <c r="H99" s="2351"/>
      <c r="I99" s="2389"/>
      <c r="J99" s="3421"/>
      <c r="K99" s="2390"/>
      <c r="L99" s="2391"/>
      <c r="M99" s="3271"/>
      <c r="N99" s="2772"/>
      <c r="O99" s="3357"/>
      <c r="P99" s="2392"/>
      <c r="Q99" s="2393"/>
      <c r="R99" s="2394"/>
      <c r="S99" s="2395"/>
      <c r="T99" s="2429"/>
      <c r="U99" s="2430"/>
      <c r="V99" s="2431"/>
      <c r="W99" s="2758"/>
      <c r="X99" s="2432"/>
      <c r="Y99" s="2463"/>
      <c r="Z99" s="2737"/>
      <c r="AA99" s="2184"/>
      <c r="AB99" s="2185"/>
      <c r="AC99" s="2356"/>
      <c r="AD99" s="2216"/>
      <c r="AE99" s="2398"/>
      <c r="AF99" s="3424"/>
      <c r="AG99" s="2399"/>
      <c r="AH99" s="2400"/>
      <c r="AI99" s="3274"/>
      <c r="AJ99" s="2774"/>
      <c r="AK99" s="3360"/>
      <c r="AL99" s="2401"/>
      <c r="AM99" s="2220"/>
      <c r="AN99" s="2245"/>
      <c r="AO99" s="2402"/>
      <c r="AP99" s="2436"/>
      <c r="AQ99" s="2246"/>
      <c r="AR99" s="2437"/>
      <c r="AS99" s="2752"/>
      <c r="AT99" s="2438"/>
      <c r="AU99" s="2262"/>
      <c r="AV99" s="2745"/>
      <c r="AW99" s="2468"/>
      <c r="AX99" s="2393"/>
      <c r="AY99" s="2467"/>
      <c r="AZ99" s="2433"/>
      <c r="BA99" s="3635"/>
      <c r="BB99" s="3635"/>
      <c r="BC99" s="1957"/>
      <c r="BD99" s="2486"/>
      <c r="BE99" s="3630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 spans="1:95" ht="15.75" customHeight="1" thickBot="1">
      <c r="A100" s="3648"/>
      <c r="B100" s="1688" t="s">
        <v>32</v>
      </c>
      <c r="C100" s="3639">
        <f>SUM(D100:D102)</f>
        <v>0</v>
      </c>
      <c r="D100" s="1689">
        <f t="shared" si="28"/>
        <v>0</v>
      </c>
      <c r="E100" s="1720"/>
      <c r="F100" s="1721"/>
      <c r="G100" s="2353"/>
      <c r="H100" s="1723"/>
      <c r="I100" s="1792"/>
      <c r="J100" s="3422"/>
      <c r="K100" s="1791"/>
      <c r="L100" s="2396"/>
      <c r="M100" s="3272"/>
      <c r="N100" s="2773"/>
      <c r="O100" s="3358"/>
      <c r="P100" s="2397"/>
      <c r="Q100" s="1793"/>
      <c r="R100" s="1796"/>
      <c r="S100" s="1797"/>
      <c r="T100" s="2434"/>
      <c r="U100" s="1848"/>
      <c r="V100" s="2435"/>
      <c r="W100" s="2764"/>
      <c r="X100" s="1850"/>
      <c r="Y100" s="2177"/>
      <c r="Z100" s="2738"/>
      <c r="AA100" s="2369"/>
      <c r="AB100" s="2370"/>
      <c r="AC100" s="2371"/>
      <c r="AD100" s="2372"/>
      <c r="AE100" s="2417"/>
      <c r="AF100" s="3426"/>
      <c r="AG100" s="2418"/>
      <c r="AH100" s="2419"/>
      <c r="AI100" s="3276"/>
      <c r="AJ100" s="2777"/>
      <c r="AK100" s="3362"/>
      <c r="AL100" s="2420"/>
      <c r="AM100" s="2421"/>
      <c r="AN100" s="2422"/>
      <c r="AO100" s="2423"/>
      <c r="AP100" s="2449"/>
      <c r="AQ100" s="2450"/>
      <c r="AR100" s="2455"/>
      <c r="AS100" s="2753"/>
      <c r="AT100" s="2456"/>
      <c r="AU100" s="2453"/>
      <c r="AV100" s="2744"/>
      <c r="AW100" s="2378"/>
      <c r="AX100" s="1793"/>
      <c r="AY100" s="2469"/>
      <c r="AZ100" s="1851"/>
      <c r="BA100" s="3633">
        <f>SUM(E100:Z102)</f>
        <v>0</v>
      </c>
      <c r="BB100" s="3633">
        <f>SUM(E100:AV102)</f>
        <v>0</v>
      </c>
      <c r="BC100" s="1957"/>
      <c r="BD100" s="2486"/>
      <c r="BE100" s="1959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 spans="1:95" ht="15.75" customHeight="1" thickBot="1">
      <c r="A101" s="3646"/>
      <c r="B101" s="1728" t="s">
        <v>34</v>
      </c>
      <c r="C101" s="3640"/>
      <c r="D101" s="2347">
        <f t="shared" ref="D101" si="30">SUM(E101:AZ101)</f>
        <v>0</v>
      </c>
      <c r="E101" s="2348"/>
      <c r="F101" s="2349"/>
      <c r="G101" s="2350"/>
      <c r="H101" s="2351"/>
      <c r="I101" s="2389"/>
      <c r="J101" s="3421"/>
      <c r="K101" s="2390"/>
      <c r="L101" s="2391"/>
      <c r="M101" s="3271"/>
      <c r="N101" s="2772"/>
      <c r="O101" s="3357"/>
      <c r="P101" s="2392"/>
      <c r="Q101" s="2393"/>
      <c r="R101" s="2394"/>
      <c r="S101" s="2395"/>
      <c r="T101" s="2429"/>
      <c r="U101" s="2430"/>
      <c r="V101" s="2431"/>
      <c r="W101" s="2758"/>
      <c r="X101" s="2432"/>
      <c r="Y101" s="2463"/>
      <c r="Z101" s="2737"/>
      <c r="AA101" s="2534"/>
      <c r="AB101" s="2358"/>
      <c r="AC101" s="2359"/>
      <c r="AD101" s="2360"/>
      <c r="AE101" s="2403"/>
      <c r="AF101" s="3423"/>
      <c r="AG101" s="2404"/>
      <c r="AH101" s="2405"/>
      <c r="AI101" s="3273"/>
      <c r="AJ101" s="2775"/>
      <c r="AK101" s="3359"/>
      <c r="AL101" s="2406"/>
      <c r="AM101" s="2407"/>
      <c r="AN101" s="2408"/>
      <c r="AO101" s="2409"/>
      <c r="AP101" s="2439"/>
      <c r="AQ101" s="2440"/>
      <c r="AR101" s="2523"/>
      <c r="AS101" s="2751"/>
      <c r="AT101" s="2533"/>
      <c r="AU101" s="2443"/>
      <c r="AV101" s="2746"/>
      <c r="AW101" s="2468"/>
      <c r="AX101" s="2393"/>
      <c r="AY101" s="2467"/>
      <c r="AZ101" s="2433"/>
      <c r="BA101" s="3634"/>
      <c r="BB101" s="3634"/>
      <c r="BC101" s="1957"/>
      <c r="BD101" s="2486"/>
      <c r="BE101" s="1960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 spans="1:95" ht="15.75" customHeight="1" thickBot="1">
      <c r="A102" s="3647"/>
      <c r="B102" s="1728" t="s">
        <v>34</v>
      </c>
      <c r="C102" s="3641"/>
      <c r="D102" s="2347">
        <f t="shared" si="28"/>
        <v>0</v>
      </c>
      <c r="E102" s="2348"/>
      <c r="F102" s="2349"/>
      <c r="G102" s="2350"/>
      <c r="H102" s="2351"/>
      <c r="I102" s="2389"/>
      <c r="J102" s="3421"/>
      <c r="K102" s="2390"/>
      <c r="L102" s="2391"/>
      <c r="M102" s="3271"/>
      <c r="N102" s="2772"/>
      <c r="O102" s="3357"/>
      <c r="P102" s="2392"/>
      <c r="Q102" s="2393"/>
      <c r="R102" s="2394"/>
      <c r="S102" s="2395"/>
      <c r="T102" s="2429"/>
      <c r="U102" s="2430"/>
      <c r="V102" s="2431"/>
      <c r="W102" s="2758"/>
      <c r="X102" s="2432"/>
      <c r="Y102" s="2463"/>
      <c r="Z102" s="2737"/>
      <c r="AA102" s="2355"/>
      <c r="AB102" s="2349"/>
      <c r="AC102" s="2350"/>
      <c r="AD102" s="2351"/>
      <c r="AE102" s="2389"/>
      <c r="AF102" s="3421"/>
      <c r="AG102" s="2390"/>
      <c r="AH102" s="2391"/>
      <c r="AI102" s="3271"/>
      <c r="AJ102" s="2772"/>
      <c r="AK102" s="3357"/>
      <c r="AL102" s="2392"/>
      <c r="AM102" s="2393"/>
      <c r="AN102" s="2394"/>
      <c r="AO102" s="2395"/>
      <c r="AP102" s="2429"/>
      <c r="AQ102" s="2430"/>
      <c r="AR102" s="2458"/>
      <c r="AS102" s="2754"/>
      <c r="AT102" s="2459"/>
      <c r="AU102" s="2433"/>
      <c r="AV102" s="2747"/>
      <c r="AW102" s="2468"/>
      <c r="AX102" s="2393"/>
      <c r="AY102" s="2467"/>
      <c r="AZ102" s="2433"/>
      <c r="BA102" s="3635"/>
      <c r="BB102" s="3635"/>
      <c r="BC102" s="1945"/>
      <c r="BD102" s="1952"/>
      <c r="BE102" s="1960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 spans="1:95" ht="15.75" customHeight="1">
      <c r="A103" s="3648"/>
      <c r="B103" s="1688" t="s">
        <v>32</v>
      </c>
      <c r="C103" s="3639">
        <f>SUM(D103:D107)</f>
        <v>0</v>
      </c>
      <c r="D103" s="1689">
        <f t="shared" ref="D103:D107" si="31">SUM(E103:AZ103)</f>
        <v>0</v>
      </c>
      <c r="E103" s="1720"/>
      <c r="F103" s="1721"/>
      <c r="G103" s="2353"/>
      <c r="H103" s="1723"/>
      <c r="I103" s="1792"/>
      <c r="J103" s="3422"/>
      <c r="K103" s="1791"/>
      <c r="L103" s="2396"/>
      <c r="M103" s="3272"/>
      <c r="N103" s="2773"/>
      <c r="O103" s="3358"/>
      <c r="P103" s="2397"/>
      <c r="Q103" s="1793"/>
      <c r="R103" s="1796"/>
      <c r="S103" s="1797"/>
      <c r="T103" s="2434"/>
      <c r="U103" s="1848"/>
      <c r="V103" s="2435"/>
      <c r="W103" s="2764"/>
      <c r="X103" s="1850"/>
      <c r="Y103" s="2177"/>
      <c r="Z103" s="2738"/>
      <c r="AA103" s="1720"/>
      <c r="AB103" s="1721"/>
      <c r="AC103" s="2353"/>
      <c r="AD103" s="1723"/>
      <c r="AE103" s="1792"/>
      <c r="AF103" s="3422"/>
      <c r="AG103" s="1791"/>
      <c r="AH103" s="2396"/>
      <c r="AI103" s="3272"/>
      <c r="AJ103" s="2773"/>
      <c r="AK103" s="3358"/>
      <c r="AL103" s="2397"/>
      <c r="AM103" s="1793"/>
      <c r="AN103" s="1796"/>
      <c r="AO103" s="1797"/>
      <c r="AP103" s="2434"/>
      <c r="AQ103" s="1848"/>
      <c r="AR103" s="2080"/>
      <c r="AS103" s="2750"/>
      <c r="AT103" s="2081"/>
      <c r="AU103" s="1851"/>
      <c r="AV103" s="2743"/>
      <c r="AW103" s="2378"/>
      <c r="AX103" s="1793"/>
      <c r="AY103" s="2469"/>
      <c r="AZ103" s="1851"/>
      <c r="BA103" s="3633">
        <f>SUM(E103:Z107)</f>
        <v>0</v>
      </c>
      <c r="BB103" s="3633">
        <f>SUM(E103:AV107)</f>
        <v>0</v>
      </c>
      <c r="BC103" s="1942"/>
      <c r="BD103" s="2340"/>
      <c r="BE103" s="1959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 spans="1:95" ht="15.75" customHeight="1" thickBot="1">
      <c r="A104" s="3646"/>
      <c r="B104" s="1728" t="s">
        <v>34</v>
      </c>
      <c r="C104" s="3640"/>
      <c r="D104" s="2347">
        <f t="shared" si="31"/>
        <v>0</v>
      </c>
      <c r="E104" s="2348"/>
      <c r="F104" s="2349"/>
      <c r="G104" s="2350"/>
      <c r="H104" s="2351"/>
      <c r="I104" s="2389"/>
      <c r="J104" s="3421"/>
      <c r="K104" s="2390"/>
      <c r="L104" s="2391"/>
      <c r="M104" s="3271"/>
      <c r="N104" s="2772"/>
      <c r="O104" s="3357"/>
      <c r="P104" s="2392"/>
      <c r="Q104" s="2393"/>
      <c r="R104" s="2394"/>
      <c r="S104" s="2395"/>
      <c r="T104" s="2429"/>
      <c r="U104" s="2430"/>
      <c r="V104" s="2431"/>
      <c r="W104" s="2758"/>
      <c r="X104" s="2432"/>
      <c r="Y104" s="2463"/>
      <c r="Z104" s="2737"/>
      <c r="AA104" s="2534"/>
      <c r="AB104" s="2358"/>
      <c r="AC104" s="2359"/>
      <c r="AD104" s="2360"/>
      <c r="AE104" s="2403"/>
      <c r="AF104" s="3423"/>
      <c r="AG104" s="2404"/>
      <c r="AH104" s="2405"/>
      <c r="AI104" s="3273"/>
      <c r="AJ104" s="2775"/>
      <c r="AK104" s="3359"/>
      <c r="AL104" s="2406"/>
      <c r="AM104" s="2407"/>
      <c r="AN104" s="2408"/>
      <c r="AO104" s="2409"/>
      <c r="AP104" s="2439"/>
      <c r="AQ104" s="2440"/>
      <c r="AR104" s="2523"/>
      <c r="AS104" s="2751"/>
      <c r="AT104" s="2533"/>
      <c r="AU104" s="2443"/>
      <c r="AV104" s="2746"/>
      <c r="AW104" s="2468"/>
      <c r="AX104" s="2393"/>
      <c r="AY104" s="2467"/>
      <c r="AZ104" s="2433"/>
      <c r="BA104" s="3634"/>
      <c r="BB104" s="3634"/>
      <c r="BC104" s="1957"/>
      <c r="BD104" s="2485"/>
      <c r="BE104" s="1960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 spans="1:95" ht="15.75" customHeight="1" thickBot="1">
      <c r="A105" s="3646"/>
      <c r="B105" s="1728" t="s">
        <v>32</v>
      </c>
      <c r="C105" s="3640"/>
      <c r="D105" s="2347">
        <f t="shared" ref="D105" si="32">SUM(E105:AZ105)</f>
        <v>0</v>
      </c>
      <c r="E105" s="2348"/>
      <c r="F105" s="2349"/>
      <c r="G105" s="2350"/>
      <c r="H105" s="2351"/>
      <c r="I105" s="2389"/>
      <c r="J105" s="3421"/>
      <c r="K105" s="2390"/>
      <c r="L105" s="2391"/>
      <c r="M105" s="3271"/>
      <c r="N105" s="2772"/>
      <c r="O105" s="3357"/>
      <c r="P105" s="2392"/>
      <c r="Q105" s="2393"/>
      <c r="R105" s="2394"/>
      <c r="S105" s="2395"/>
      <c r="T105" s="2429"/>
      <c r="U105" s="2430"/>
      <c r="V105" s="2431"/>
      <c r="W105" s="2758"/>
      <c r="X105" s="2432"/>
      <c r="Y105" s="2463"/>
      <c r="Z105" s="2737"/>
      <c r="AA105" s="2534"/>
      <c r="AB105" s="2358"/>
      <c r="AC105" s="2359"/>
      <c r="AD105" s="2360"/>
      <c r="AE105" s="2403"/>
      <c r="AF105" s="3423"/>
      <c r="AG105" s="2404"/>
      <c r="AH105" s="2405"/>
      <c r="AI105" s="3273"/>
      <c r="AJ105" s="2775"/>
      <c r="AK105" s="3359"/>
      <c r="AL105" s="2406"/>
      <c r="AM105" s="2407"/>
      <c r="AN105" s="2408"/>
      <c r="AO105" s="2409"/>
      <c r="AP105" s="2439"/>
      <c r="AQ105" s="2440"/>
      <c r="AR105" s="2523"/>
      <c r="AS105" s="2751"/>
      <c r="AT105" s="2533"/>
      <c r="AU105" s="2443"/>
      <c r="AV105" s="2746"/>
      <c r="AW105" s="2468"/>
      <c r="AX105" s="2393"/>
      <c r="AY105" s="2467"/>
      <c r="AZ105" s="2433"/>
      <c r="BA105" s="3634"/>
      <c r="BB105" s="3634"/>
      <c r="BC105" s="1957"/>
      <c r="BD105" s="2485"/>
      <c r="BE105" s="1960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 spans="1:95" ht="15.75" customHeight="1" thickBot="1">
      <c r="A106" s="3646"/>
      <c r="B106" s="1728" t="s">
        <v>34</v>
      </c>
      <c r="C106" s="3640"/>
      <c r="D106" s="2347">
        <f t="shared" ref="D106" si="33">SUM(E106:AZ106)</f>
        <v>0</v>
      </c>
      <c r="E106" s="2348"/>
      <c r="F106" s="2349"/>
      <c r="G106" s="2350"/>
      <c r="H106" s="2351"/>
      <c r="I106" s="2389"/>
      <c r="J106" s="3421"/>
      <c r="K106" s="2390"/>
      <c r="L106" s="2391"/>
      <c r="M106" s="3271"/>
      <c r="N106" s="2772"/>
      <c r="O106" s="3357"/>
      <c r="P106" s="2392"/>
      <c r="Q106" s="2393"/>
      <c r="R106" s="2394"/>
      <c r="S106" s="2395"/>
      <c r="T106" s="2429"/>
      <c r="U106" s="2430"/>
      <c r="V106" s="2431"/>
      <c r="W106" s="2758"/>
      <c r="X106" s="2432"/>
      <c r="Y106" s="2463"/>
      <c r="Z106" s="2737"/>
      <c r="AA106" s="2534"/>
      <c r="AB106" s="2358"/>
      <c r="AC106" s="2359"/>
      <c r="AD106" s="2360"/>
      <c r="AE106" s="2403"/>
      <c r="AF106" s="3423"/>
      <c r="AG106" s="2404"/>
      <c r="AH106" s="2405"/>
      <c r="AI106" s="3273"/>
      <c r="AJ106" s="2775"/>
      <c r="AK106" s="3359"/>
      <c r="AL106" s="2406"/>
      <c r="AM106" s="2407"/>
      <c r="AN106" s="2408"/>
      <c r="AO106" s="2409"/>
      <c r="AP106" s="2439"/>
      <c r="AQ106" s="2440"/>
      <c r="AR106" s="2523"/>
      <c r="AS106" s="2751"/>
      <c r="AT106" s="2533"/>
      <c r="AU106" s="2443"/>
      <c r="AV106" s="2746"/>
      <c r="AW106" s="2468"/>
      <c r="AX106" s="2393"/>
      <c r="AY106" s="2467"/>
      <c r="AZ106" s="2433"/>
      <c r="BA106" s="3634"/>
      <c r="BB106" s="3634"/>
      <c r="BC106" s="1957"/>
      <c r="BD106" s="2485"/>
      <c r="BE106" s="1960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 spans="1:95" ht="15.75" customHeight="1" thickBot="1">
      <c r="A107" s="3647"/>
      <c r="B107" s="1728" t="s">
        <v>34</v>
      </c>
      <c r="C107" s="3641"/>
      <c r="D107" s="2347">
        <f t="shared" si="31"/>
        <v>0</v>
      </c>
      <c r="E107" s="2348"/>
      <c r="F107" s="2349"/>
      <c r="G107" s="2350"/>
      <c r="H107" s="2351"/>
      <c r="I107" s="2389"/>
      <c r="J107" s="3421"/>
      <c r="K107" s="2390"/>
      <c r="L107" s="2391"/>
      <c r="M107" s="3271"/>
      <c r="N107" s="2772"/>
      <c r="O107" s="3357"/>
      <c r="P107" s="2392"/>
      <c r="Q107" s="2393"/>
      <c r="R107" s="2394"/>
      <c r="S107" s="2395"/>
      <c r="T107" s="2429"/>
      <c r="U107" s="2430"/>
      <c r="V107" s="2431"/>
      <c r="W107" s="2758"/>
      <c r="X107" s="2432"/>
      <c r="Y107" s="2463"/>
      <c r="Z107" s="2737"/>
      <c r="AA107" s="2184"/>
      <c r="AB107" s="2185"/>
      <c r="AC107" s="2356"/>
      <c r="AD107" s="2216"/>
      <c r="AE107" s="2398"/>
      <c r="AF107" s="3424"/>
      <c r="AG107" s="2399"/>
      <c r="AH107" s="2400"/>
      <c r="AI107" s="3274"/>
      <c r="AJ107" s="2774"/>
      <c r="AK107" s="3360"/>
      <c r="AL107" s="2401"/>
      <c r="AM107" s="2220"/>
      <c r="AN107" s="2245"/>
      <c r="AO107" s="2402"/>
      <c r="AP107" s="2436"/>
      <c r="AQ107" s="2246"/>
      <c r="AR107" s="2437"/>
      <c r="AS107" s="2752"/>
      <c r="AT107" s="2438"/>
      <c r="AU107" s="2262"/>
      <c r="AV107" s="2745"/>
      <c r="AW107" s="2468"/>
      <c r="AX107" s="2393"/>
      <c r="AY107" s="2467"/>
      <c r="AZ107" s="2433"/>
      <c r="BA107" s="3635"/>
      <c r="BB107" s="3635"/>
      <c r="BC107" s="1945"/>
      <c r="BD107" s="1952"/>
      <c r="BE107" s="1960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 spans="1:95" ht="15.75" customHeight="1">
      <c r="A108" s="3648"/>
      <c r="B108" s="1688" t="s">
        <v>32</v>
      </c>
      <c r="C108" s="3639">
        <f>SUM(D108:D111)</f>
        <v>0</v>
      </c>
      <c r="D108" s="1689">
        <f t="shared" ref="D108:D111" si="34">SUM(E108:AZ108)</f>
        <v>0</v>
      </c>
      <c r="E108" s="1720"/>
      <c r="F108" s="1721"/>
      <c r="G108" s="2353"/>
      <c r="H108" s="1723"/>
      <c r="I108" s="1792"/>
      <c r="J108" s="3422"/>
      <c r="K108" s="1791"/>
      <c r="L108" s="2396"/>
      <c r="M108" s="3272"/>
      <c r="N108" s="2773"/>
      <c r="O108" s="3358"/>
      <c r="P108" s="2397"/>
      <c r="Q108" s="1793"/>
      <c r="R108" s="1796"/>
      <c r="S108" s="1797"/>
      <c r="T108" s="2434"/>
      <c r="U108" s="1848"/>
      <c r="V108" s="2435"/>
      <c r="W108" s="2764"/>
      <c r="X108" s="1850"/>
      <c r="Y108" s="2177"/>
      <c r="Z108" s="2738"/>
      <c r="AA108" s="1720"/>
      <c r="AB108" s="1721"/>
      <c r="AC108" s="2353"/>
      <c r="AD108" s="1723"/>
      <c r="AE108" s="1792"/>
      <c r="AF108" s="3422"/>
      <c r="AG108" s="1791"/>
      <c r="AH108" s="2396"/>
      <c r="AI108" s="3272"/>
      <c r="AJ108" s="2773"/>
      <c r="AK108" s="3358"/>
      <c r="AL108" s="2397"/>
      <c r="AM108" s="1793"/>
      <c r="AN108" s="1796"/>
      <c r="AO108" s="1797"/>
      <c r="AP108" s="2434"/>
      <c r="AQ108" s="1848"/>
      <c r="AR108" s="2080"/>
      <c r="AS108" s="2750"/>
      <c r="AT108" s="2081"/>
      <c r="AU108" s="1851"/>
      <c r="AV108" s="2743"/>
      <c r="AW108" s="2378"/>
      <c r="AX108" s="1793"/>
      <c r="AY108" s="2469"/>
      <c r="AZ108" s="1851"/>
      <c r="BA108" s="3633">
        <f>SUM(E108:Z111)</f>
        <v>0</v>
      </c>
      <c r="BB108" s="3633">
        <f>SUM(E108:AV111)</f>
        <v>0</v>
      </c>
      <c r="BC108" s="1942"/>
      <c r="BD108" s="2340"/>
      <c r="BE108" s="1959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 spans="1:95" ht="15.75" customHeight="1" thickBot="1">
      <c r="A109" s="3646"/>
      <c r="B109" s="1728" t="s">
        <v>34</v>
      </c>
      <c r="C109" s="3640"/>
      <c r="D109" s="2347">
        <f t="shared" ref="D109" si="35">SUM(E109:AZ109)</f>
        <v>0</v>
      </c>
      <c r="E109" s="2348"/>
      <c r="F109" s="2349"/>
      <c r="G109" s="2350"/>
      <c r="H109" s="2351"/>
      <c r="I109" s="2389"/>
      <c r="J109" s="3421"/>
      <c r="K109" s="2390"/>
      <c r="L109" s="2391"/>
      <c r="M109" s="3271"/>
      <c r="N109" s="2772"/>
      <c r="O109" s="3357"/>
      <c r="P109" s="2392"/>
      <c r="Q109" s="2393"/>
      <c r="R109" s="2394"/>
      <c r="S109" s="2395"/>
      <c r="T109" s="2429"/>
      <c r="U109" s="2430"/>
      <c r="V109" s="2431"/>
      <c r="W109" s="2758"/>
      <c r="X109" s="2432"/>
      <c r="Y109" s="2463"/>
      <c r="Z109" s="2737"/>
      <c r="AA109" s="2534"/>
      <c r="AB109" s="2358"/>
      <c r="AC109" s="2359"/>
      <c r="AD109" s="2360"/>
      <c r="AE109" s="2403"/>
      <c r="AF109" s="3423"/>
      <c r="AG109" s="2404"/>
      <c r="AH109" s="2405"/>
      <c r="AI109" s="3273"/>
      <c r="AJ109" s="2775"/>
      <c r="AK109" s="3359"/>
      <c r="AL109" s="2406"/>
      <c r="AM109" s="2407"/>
      <c r="AN109" s="2408"/>
      <c r="AO109" s="2409"/>
      <c r="AP109" s="2439"/>
      <c r="AQ109" s="2440"/>
      <c r="AR109" s="2523"/>
      <c r="AS109" s="2751"/>
      <c r="AT109" s="2533"/>
      <c r="AU109" s="2443"/>
      <c r="AV109" s="2746"/>
      <c r="AW109" s="2468"/>
      <c r="AX109" s="2393"/>
      <c r="AY109" s="2467"/>
      <c r="AZ109" s="2433"/>
      <c r="BA109" s="3634"/>
      <c r="BB109" s="3634"/>
      <c r="BC109" s="1945"/>
      <c r="BD109" s="1952"/>
      <c r="BE109" s="1960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 spans="1:95" ht="15.75" customHeight="1" thickBot="1">
      <c r="A110" s="3646"/>
      <c r="B110" s="1728" t="s">
        <v>34</v>
      </c>
      <c r="C110" s="3640"/>
      <c r="D110" s="2347">
        <f t="shared" ref="D110" si="36">SUM(E110:AZ110)</f>
        <v>0</v>
      </c>
      <c r="E110" s="2348"/>
      <c r="F110" s="2349"/>
      <c r="G110" s="2350"/>
      <c r="H110" s="2351"/>
      <c r="I110" s="2389"/>
      <c r="J110" s="3421"/>
      <c r="K110" s="2390"/>
      <c r="L110" s="2391"/>
      <c r="M110" s="3271"/>
      <c r="N110" s="2772"/>
      <c r="O110" s="3357"/>
      <c r="P110" s="2392"/>
      <c r="Q110" s="2393"/>
      <c r="R110" s="2394"/>
      <c r="S110" s="2395"/>
      <c r="T110" s="2429"/>
      <c r="U110" s="2430"/>
      <c r="V110" s="2431"/>
      <c r="W110" s="2758"/>
      <c r="X110" s="2432"/>
      <c r="Y110" s="2463"/>
      <c r="Z110" s="2737"/>
      <c r="AA110" s="2534"/>
      <c r="AB110" s="2358"/>
      <c r="AC110" s="2359"/>
      <c r="AD110" s="2360"/>
      <c r="AE110" s="2403"/>
      <c r="AF110" s="3423"/>
      <c r="AG110" s="2404"/>
      <c r="AH110" s="2405"/>
      <c r="AI110" s="3273"/>
      <c r="AJ110" s="2775"/>
      <c r="AK110" s="3359"/>
      <c r="AL110" s="2406"/>
      <c r="AM110" s="2407"/>
      <c r="AN110" s="2408"/>
      <c r="AO110" s="2409"/>
      <c r="AP110" s="2439"/>
      <c r="AQ110" s="2440"/>
      <c r="AR110" s="2523"/>
      <c r="AS110" s="2751"/>
      <c r="AT110" s="2533"/>
      <c r="AU110" s="2443"/>
      <c r="AV110" s="2746"/>
      <c r="AW110" s="2468"/>
      <c r="AX110" s="2393"/>
      <c r="AY110" s="2467"/>
      <c r="AZ110" s="2433"/>
      <c r="BA110" s="3634"/>
      <c r="BB110" s="3634"/>
      <c r="BC110" s="1945"/>
      <c r="BD110" s="1952"/>
      <c r="BE110" s="1960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 spans="1:95" ht="15.75" customHeight="1" thickBot="1">
      <c r="A111" s="3647"/>
      <c r="B111" s="1728" t="s">
        <v>34</v>
      </c>
      <c r="C111" s="3641"/>
      <c r="D111" s="2347">
        <f t="shared" si="34"/>
        <v>0</v>
      </c>
      <c r="E111" s="2348"/>
      <c r="F111" s="2349"/>
      <c r="G111" s="2350"/>
      <c r="H111" s="2351"/>
      <c r="I111" s="2389"/>
      <c r="J111" s="3421"/>
      <c r="K111" s="2390"/>
      <c r="L111" s="2391"/>
      <c r="M111" s="3271"/>
      <c r="N111" s="2772"/>
      <c r="O111" s="3357"/>
      <c r="P111" s="2392"/>
      <c r="Q111" s="2393"/>
      <c r="R111" s="2394"/>
      <c r="S111" s="2395"/>
      <c r="T111" s="2429"/>
      <c r="U111" s="2430"/>
      <c r="V111" s="2431"/>
      <c r="W111" s="2758"/>
      <c r="X111" s="2432"/>
      <c r="Y111" s="2463"/>
      <c r="Z111" s="2737"/>
      <c r="AA111" s="2184"/>
      <c r="AB111" s="2185"/>
      <c r="AC111" s="2356"/>
      <c r="AD111" s="2216"/>
      <c r="AE111" s="2398"/>
      <c r="AF111" s="3424"/>
      <c r="AG111" s="2399"/>
      <c r="AH111" s="2400"/>
      <c r="AI111" s="3274"/>
      <c r="AJ111" s="2774"/>
      <c r="AK111" s="3360"/>
      <c r="AL111" s="2401"/>
      <c r="AM111" s="2220"/>
      <c r="AN111" s="2245"/>
      <c r="AO111" s="2402"/>
      <c r="AP111" s="2436"/>
      <c r="AQ111" s="2246"/>
      <c r="AR111" s="2437"/>
      <c r="AS111" s="2752"/>
      <c r="AT111" s="2438"/>
      <c r="AU111" s="2262"/>
      <c r="AV111" s="2745"/>
      <c r="AW111" s="2468"/>
      <c r="AX111" s="2393"/>
      <c r="AY111" s="2467"/>
      <c r="AZ111" s="2433"/>
      <c r="BA111" s="3635"/>
      <c r="BB111" s="3635"/>
      <c r="BC111" s="1945"/>
      <c r="BD111" s="1952"/>
      <c r="BE111" s="1960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 spans="1:95" ht="15.75" customHeight="1" thickBot="1">
      <c r="A112" s="3648"/>
      <c r="B112" s="1688" t="s">
        <v>32</v>
      </c>
      <c r="C112" s="3639">
        <f>SUM(D112:D113)</f>
        <v>0</v>
      </c>
      <c r="D112" s="1689">
        <f t="shared" ref="D112:D113" si="37">SUM(E112:AZ112)</f>
        <v>0</v>
      </c>
      <c r="E112" s="1720"/>
      <c r="F112" s="1721"/>
      <c r="G112" s="2353"/>
      <c r="H112" s="1723"/>
      <c r="I112" s="1792"/>
      <c r="J112" s="3422"/>
      <c r="K112" s="1791"/>
      <c r="L112" s="2396"/>
      <c r="M112" s="3272"/>
      <c r="N112" s="2773"/>
      <c r="O112" s="3358"/>
      <c r="P112" s="2397"/>
      <c r="Q112" s="1793"/>
      <c r="R112" s="1796"/>
      <c r="S112" s="1797"/>
      <c r="T112" s="2434"/>
      <c r="U112" s="1848"/>
      <c r="V112" s="2435"/>
      <c r="W112" s="2764"/>
      <c r="X112" s="1850"/>
      <c r="Y112" s="2177"/>
      <c r="Z112" s="2738"/>
      <c r="AA112" s="2538"/>
      <c r="AB112" s="2539"/>
      <c r="AC112" s="2540"/>
      <c r="AD112" s="2541"/>
      <c r="AE112" s="2542"/>
      <c r="AF112" s="3427"/>
      <c r="AG112" s="2543"/>
      <c r="AH112" s="2544"/>
      <c r="AI112" s="3277"/>
      <c r="AJ112" s="2816"/>
      <c r="AK112" s="3364"/>
      <c r="AL112" s="2545"/>
      <c r="AM112" s="2546"/>
      <c r="AN112" s="2547"/>
      <c r="AO112" s="2548"/>
      <c r="AP112" s="2549"/>
      <c r="AQ112" s="2550"/>
      <c r="AR112" s="2551"/>
      <c r="AS112" s="2755"/>
      <c r="AT112" s="2552"/>
      <c r="AU112" s="2553"/>
      <c r="AV112" s="2748"/>
      <c r="AW112" s="2378"/>
      <c r="AX112" s="1793"/>
      <c r="AY112" s="2469"/>
      <c r="AZ112" s="1851"/>
      <c r="BA112" s="3633">
        <f>SUM(E112:Z113)</f>
        <v>0</v>
      </c>
      <c r="BB112" s="3633">
        <f>SUM(E112:AV113)</f>
        <v>0</v>
      </c>
      <c r="BC112" s="1942"/>
      <c r="BD112" s="2340"/>
      <c r="BE112" s="1959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 spans="1:95" ht="15.75" customHeight="1" thickBot="1">
      <c r="A113" s="3647"/>
      <c r="B113" s="1728" t="s">
        <v>34</v>
      </c>
      <c r="C113" s="3641"/>
      <c r="D113" s="2347">
        <f t="shared" si="37"/>
        <v>0</v>
      </c>
      <c r="E113" s="2348"/>
      <c r="F113" s="2349"/>
      <c r="G113" s="2350"/>
      <c r="H113" s="2351"/>
      <c r="I113" s="2389"/>
      <c r="J113" s="3421"/>
      <c r="K113" s="2390"/>
      <c r="L113" s="2391"/>
      <c r="M113" s="3271"/>
      <c r="N113" s="2772"/>
      <c r="O113" s="3357"/>
      <c r="P113" s="2392"/>
      <c r="Q113" s="2393"/>
      <c r="R113" s="2394"/>
      <c r="S113" s="2395"/>
      <c r="T113" s="2429"/>
      <c r="U113" s="2430"/>
      <c r="V113" s="2431"/>
      <c r="W113" s="2758"/>
      <c r="X113" s="2432"/>
      <c r="Y113" s="2463"/>
      <c r="Z113" s="2737"/>
      <c r="AA113" s="2535"/>
      <c r="AB113" s="2366"/>
      <c r="AC113" s="2367"/>
      <c r="AD113" s="2368"/>
      <c r="AE113" s="2410"/>
      <c r="AF113" s="3425"/>
      <c r="AG113" s="2411"/>
      <c r="AH113" s="2412"/>
      <c r="AI113" s="3275"/>
      <c r="AJ113" s="2776"/>
      <c r="AK113" s="3361"/>
      <c r="AL113" s="2413"/>
      <c r="AM113" s="2414"/>
      <c r="AN113" s="2415"/>
      <c r="AO113" s="2416"/>
      <c r="AP113" s="2444"/>
      <c r="AQ113" s="2445"/>
      <c r="AR113" s="2536"/>
      <c r="AS113" s="2756"/>
      <c r="AT113" s="2537"/>
      <c r="AU113" s="2448"/>
      <c r="AV113" s="2749"/>
      <c r="AW113" s="2468"/>
      <c r="AX113" s="2393"/>
      <c r="AY113" s="2467"/>
      <c r="AZ113" s="2433"/>
      <c r="BA113" s="3635"/>
      <c r="BB113" s="3635"/>
      <c r="BC113" s="1945"/>
      <c r="BD113" s="1952"/>
      <c r="BE113" s="1960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 spans="1:95" ht="22.5" customHeight="1" thickBot="1">
      <c r="A114" s="2478"/>
      <c r="B114" s="2005"/>
      <c r="C114" s="2354"/>
      <c r="D114" s="1969"/>
      <c r="E114" s="2479">
        <f t="shared" ref="E114:AU114" si="38">SUM(E5:E113)</f>
        <v>0</v>
      </c>
      <c r="F114" s="2479">
        <f t="shared" si="38"/>
        <v>0</v>
      </c>
      <c r="G114" s="2479">
        <f t="shared" si="38"/>
        <v>2416</v>
      </c>
      <c r="H114" s="2479">
        <f t="shared" si="38"/>
        <v>2736</v>
      </c>
      <c r="I114" s="3416">
        <f t="shared" ref="I114" si="39">SUM(I5:I113)</f>
        <v>0</v>
      </c>
      <c r="J114" s="2479">
        <f t="shared" si="38"/>
        <v>0</v>
      </c>
      <c r="K114" s="2479">
        <f t="shared" si="38"/>
        <v>0</v>
      </c>
      <c r="L114" s="2479">
        <f t="shared" si="38"/>
        <v>0</v>
      </c>
      <c r="M114" s="2479">
        <f t="shared" si="38"/>
        <v>0</v>
      </c>
      <c r="N114" s="2479">
        <f t="shared" si="38"/>
        <v>0</v>
      </c>
      <c r="O114" s="2479">
        <f t="shared" si="38"/>
        <v>0</v>
      </c>
      <c r="P114" s="2479">
        <f t="shared" si="38"/>
        <v>0</v>
      </c>
      <c r="Q114" s="2479">
        <f t="shared" si="38"/>
        <v>624</v>
      </c>
      <c r="R114" s="2479">
        <f t="shared" si="38"/>
        <v>0</v>
      </c>
      <c r="S114" s="2479">
        <f t="shared" si="38"/>
        <v>0</v>
      </c>
      <c r="T114" s="2479">
        <f t="shared" si="38"/>
        <v>0</v>
      </c>
      <c r="U114" s="2479">
        <f t="shared" si="38"/>
        <v>0</v>
      </c>
      <c r="V114" s="2479">
        <f t="shared" si="38"/>
        <v>0</v>
      </c>
      <c r="W114" s="2479">
        <f t="shared" si="38"/>
        <v>2960</v>
      </c>
      <c r="X114" s="2479">
        <f t="shared" si="38"/>
        <v>0</v>
      </c>
      <c r="Y114" s="2479">
        <f t="shared" si="38"/>
        <v>1524</v>
      </c>
      <c r="Z114" s="2479">
        <f t="shared" si="38"/>
        <v>2320</v>
      </c>
      <c r="AA114" s="2496">
        <f t="shared" si="38"/>
        <v>0</v>
      </c>
      <c r="AB114" s="2496">
        <f t="shared" si="38"/>
        <v>0</v>
      </c>
      <c r="AC114" s="2496">
        <f t="shared" si="38"/>
        <v>27</v>
      </c>
      <c r="AD114" s="2496">
        <f t="shared" si="38"/>
        <v>34</v>
      </c>
      <c r="AE114" s="3417">
        <f t="shared" ref="AE114" si="40">SUM(AE5:AE113)</f>
        <v>0</v>
      </c>
      <c r="AF114" s="2496">
        <f t="shared" si="38"/>
        <v>0</v>
      </c>
      <c r="AG114" s="2496">
        <f t="shared" si="38"/>
        <v>0</v>
      </c>
      <c r="AH114" s="2496">
        <f t="shared" si="38"/>
        <v>0</v>
      </c>
      <c r="AI114" s="2496">
        <f t="shared" si="38"/>
        <v>0</v>
      </c>
      <c r="AJ114" s="2496">
        <f t="shared" si="38"/>
        <v>0</v>
      </c>
      <c r="AK114" s="2496">
        <f t="shared" si="38"/>
        <v>0</v>
      </c>
      <c r="AL114" s="2496">
        <f t="shared" si="38"/>
        <v>0</v>
      </c>
      <c r="AM114" s="2496">
        <f t="shared" si="38"/>
        <v>3</v>
      </c>
      <c r="AN114" s="2496">
        <f t="shared" si="38"/>
        <v>0</v>
      </c>
      <c r="AO114" s="2496">
        <f t="shared" si="38"/>
        <v>0</v>
      </c>
      <c r="AP114" s="2496">
        <f t="shared" si="38"/>
        <v>0</v>
      </c>
      <c r="AQ114" s="2496">
        <f t="shared" si="38"/>
        <v>0</v>
      </c>
      <c r="AR114" s="2496">
        <f t="shared" si="38"/>
        <v>0</v>
      </c>
      <c r="AS114" s="2496">
        <f t="shared" si="38"/>
        <v>14</v>
      </c>
      <c r="AT114" s="2496">
        <f t="shared" si="38"/>
        <v>0</v>
      </c>
      <c r="AU114" s="2496">
        <f t="shared" si="38"/>
        <v>25</v>
      </c>
      <c r="AV114" s="2496">
        <f t="shared" ref="AV114:BB114" si="41">SUM(AV5:AV113)</f>
        <v>9</v>
      </c>
      <c r="AW114" s="2479">
        <f t="shared" si="41"/>
        <v>150</v>
      </c>
      <c r="AX114" s="2479">
        <f t="shared" si="41"/>
        <v>68</v>
      </c>
      <c r="AY114" s="2479">
        <f t="shared" si="41"/>
        <v>0</v>
      </c>
      <c r="AZ114" s="2479">
        <f t="shared" si="41"/>
        <v>82</v>
      </c>
      <c r="BA114" s="2479">
        <f t="shared" si="41"/>
        <v>12580</v>
      </c>
      <c r="BB114" s="2479">
        <f t="shared" si="41"/>
        <v>12686</v>
      </c>
      <c r="BC114" s="2265"/>
      <c r="BD114" s="2095"/>
      <c r="BE114" s="196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 spans="1:95" ht="24" customHeight="1" thickBot="1">
      <c r="A115" s="2480" t="s">
        <v>35</v>
      </c>
      <c r="B115" s="1730"/>
      <c r="C115" s="2481">
        <f>SUM(C5:C114)</f>
        <v>12992</v>
      </c>
      <c r="D115" s="1969"/>
      <c r="E115" s="3669">
        <f>SUM(E114:Z114)</f>
        <v>12580</v>
      </c>
      <c r="F115" s="3669"/>
      <c r="G115" s="3669"/>
      <c r="H115" s="3669"/>
      <c r="I115" s="3669"/>
      <c r="J115" s="3669"/>
      <c r="K115" s="3669"/>
      <c r="L115" s="3669"/>
      <c r="M115" s="3669"/>
      <c r="N115" s="3669"/>
      <c r="O115" s="3669"/>
      <c r="P115" s="3669"/>
      <c r="Q115" s="3669"/>
      <c r="R115" s="3669"/>
      <c r="S115" s="3669"/>
      <c r="T115" s="3669"/>
      <c r="U115" s="3669"/>
      <c r="V115" s="3669"/>
      <c r="W115" s="3669"/>
      <c r="X115" s="3669"/>
      <c r="Y115" s="3669"/>
      <c r="Z115" s="3670"/>
      <c r="AA115" s="3671">
        <f>SUM(AA114:AV114)</f>
        <v>112</v>
      </c>
      <c r="AB115" s="3669"/>
      <c r="AC115" s="3669"/>
      <c r="AD115" s="3669"/>
      <c r="AE115" s="3669"/>
      <c r="AF115" s="3669"/>
      <c r="AG115" s="3669"/>
      <c r="AH115" s="3669"/>
      <c r="AI115" s="3669"/>
      <c r="AJ115" s="3669"/>
      <c r="AK115" s="3669"/>
      <c r="AL115" s="3669"/>
      <c r="AM115" s="3669"/>
      <c r="AN115" s="3669"/>
      <c r="AO115" s="3669"/>
      <c r="AP115" s="3669"/>
      <c r="AQ115" s="3669"/>
      <c r="AR115" s="3669"/>
      <c r="AS115" s="3669"/>
      <c r="AT115" s="3669"/>
      <c r="AU115" s="3669"/>
      <c r="AV115" s="3670"/>
      <c r="AW115" s="3671">
        <f>SUM(AW114:AZ114)</f>
        <v>300</v>
      </c>
      <c r="AX115" s="3669"/>
      <c r="AY115" s="3669"/>
      <c r="AZ115" s="3670"/>
      <c r="BA115" s="2487"/>
      <c r="BB115" s="2488"/>
      <c r="BC115" s="1939"/>
      <c r="BD115" s="2094"/>
      <c r="BE115" s="2492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 spans="1:95" ht="24" customHeight="1" thickBot="1">
      <c r="B116" s="2482"/>
      <c r="C116" s="217"/>
      <c r="G116" s="1972"/>
      <c r="H116" s="1972"/>
      <c r="I116" s="1972"/>
      <c r="J116" s="1972"/>
      <c r="K116" s="1972"/>
      <c r="L116" s="1972"/>
      <c r="M116" s="1972"/>
      <c r="N116" s="1972"/>
      <c r="O116" s="1972"/>
      <c r="P116" s="1972"/>
      <c r="Q116" s="1972"/>
      <c r="R116" s="1972"/>
      <c r="S116" s="1972"/>
      <c r="T116" s="1972"/>
      <c r="U116" s="1972"/>
      <c r="V116" s="1978"/>
      <c r="W116" s="1978"/>
      <c r="X116" s="1978"/>
      <c r="Y116" s="1978"/>
      <c r="Z116" s="1978"/>
      <c r="AH116" s="1972"/>
      <c r="AI116" s="1972"/>
      <c r="AJ116" s="1972"/>
      <c r="AK116" s="1972"/>
      <c r="AL116" s="1972"/>
      <c r="AO116" s="1972"/>
      <c r="BC116" s="2489"/>
      <c r="BD116" s="2489"/>
      <c r="BE116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 spans="1:95" ht="24" thickBot="1">
      <c r="B117" s="2482"/>
      <c r="F117" s="2483">
        <f>SUM(BB33)</f>
        <v>84</v>
      </c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H117" s="216"/>
      <c r="AI117" s="216"/>
      <c r="AJ117" s="216"/>
      <c r="AK117" s="216"/>
      <c r="AL117" s="216"/>
      <c r="AO117" s="216"/>
      <c r="BB117" s="873"/>
      <c r="BC117" s="2490"/>
      <c r="BD117" s="2490"/>
      <c r="BE117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 spans="1:95" ht="19.5" thickBot="1">
      <c r="B118" s="2482"/>
      <c r="F118" s="2483">
        <f>SUM(E33:Z35)</f>
        <v>84</v>
      </c>
      <c r="G118" s="2484"/>
      <c r="H118" s="2484"/>
      <c r="I118" s="2484"/>
      <c r="J118" s="2484"/>
      <c r="K118" s="2484"/>
      <c r="L118" s="2484"/>
      <c r="M118" s="2484"/>
      <c r="N118" s="2484"/>
      <c r="O118" s="2484"/>
      <c r="P118" s="2484"/>
      <c r="Q118" s="2484"/>
      <c r="R118" s="2484"/>
      <c r="S118" s="2484"/>
      <c r="T118" s="2484"/>
      <c r="U118" s="2484"/>
      <c r="V118" s="2484"/>
      <c r="W118" s="2484"/>
      <c r="X118" s="2484"/>
      <c r="Y118" s="2484"/>
      <c r="Z118" s="2484"/>
      <c r="AA118" s="138">
        <f>SUM(AB33:AW35)</f>
        <v>0</v>
      </c>
      <c r="AB118" s="1981"/>
      <c r="AC118" s="1981"/>
      <c r="AD118" s="1981"/>
      <c r="AE118" s="1981"/>
      <c r="AF118" s="1981"/>
      <c r="AG118" s="1981"/>
      <c r="AH118" s="2484"/>
      <c r="AI118" s="2484"/>
      <c r="AJ118" s="2484"/>
      <c r="AK118" s="2484"/>
      <c r="AL118" s="2484"/>
      <c r="AM118" s="1981"/>
      <c r="AN118" s="1981"/>
      <c r="AO118" s="2484"/>
      <c r="AP118" s="1981"/>
      <c r="AQ118" s="1981"/>
      <c r="AR118" s="1981"/>
      <c r="AS118" s="1981"/>
      <c r="AT118" s="1981"/>
      <c r="AU118" s="1981"/>
      <c r="AV118" s="1981"/>
      <c r="AW118" s="138">
        <f>SUM(AW33:AZ35)</f>
        <v>0</v>
      </c>
      <c r="BC118" s="1"/>
      <c r="BD118" s="1"/>
      <c r="BE118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 spans="1:95" ht="19.5" thickBot="1">
      <c r="B119" s="2482"/>
      <c r="U119" s="3672">
        <f>SUM(F118:AA118)</f>
        <v>84</v>
      </c>
      <c r="V119" s="3673"/>
      <c r="W119" s="3673"/>
      <c r="X119" s="3673"/>
      <c r="Y119" s="3673"/>
      <c r="Z119" s="3674"/>
      <c r="AR119" s="2483"/>
      <c r="AS119" s="2483"/>
      <c r="AT119" s="2483">
        <f>SUM(E118:AV118)</f>
        <v>84</v>
      </c>
      <c r="AU119" s="2483">
        <f>SUM(E118:AV118)</f>
        <v>84</v>
      </c>
      <c r="AV119" s="2483">
        <f>SUM(F118:AW118)</f>
        <v>84</v>
      </c>
      <c r="BA119" s="147"/>
      <c r="BB119" s="2491"/>
      <c r="BC119"/>
      <c r="BD119"/>
      <c r="BE119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 spans="1:95" ht="18.75">
      <c r="A120" s="216"/>
      <c r="B120" s="2482"/>
      <c r="BC120"/>
      <c r="BD120"/>
    </row>
    <row r="121" spans="1:95">
      <c r="B121" s="2482"/>
      <c r="BC121"/>
      <c r="BD121"/>
    </row>
    <row r="122" spans="1:95">
      <c r="B122" s="2482"/>
    </row>
    <row r="123" spans="1:95">
      <c r="B123" s="2482"/>
    </row>
    <row r="124" spans="1:95">
      <c r="B124" s="2482"/>
    </row>
    <row r="125" spans="1:95">
      <c r="B125" s="2482"/>
    </row>
  </sheetData>
  <mergeCells count="159">
    <mergeCell ref="E3:Z3"/>
    <mergeCell ref="AA3:AV3"/>
    <mergeCell ref="AW3:AZ3"/>
    <mergeCell ref="C4:D4"/>
    <mergeCell ref="E115:Z115"/>
    <mergeCell ref="AA115:AV115"/>
    <mergeCell ref="AW115:AZ115"/>
    <mergeCell ref="U119:Z119"/>
    <mergeCell ref="A5:A6"/>
    <mergeCell ref="A7:A10"/>
    <mergeCell ref="A11:A14"/>
    <mergeCell ref="A15:A18"/>
    <mergeCell ref="A19:A21"/>
    <mergeCell ref="A22:A24"/>
    <mergeCell ref="A25:A28"/>
    <mergeCell ref="A29:A32"/>
    <mergeCell ref="A33:A35"/>
    <mergeCell ref="A36:A39"/>
    <mergeCell ref="A40:A43"/>
    <mergeCell ref="A44:A46"/>
    <mergeCell ref="A47:A50"/>
    <mergeCell ref="A51:A54"/>
    <mergeCell ref="A55:A57"/>
    <mergeCell ref="A58:A61"/>
    <mergeCell ref="A62:A64"/>
    <mergeCell ref="A65:A68"/>
    <mergeCell ref="A69:A71"/>
    <mergeCell ref="A72:A74"/>
    <mergeCell ref="A75:A77"/>
    <mergeCell ref="A78:A81"/>
    <mergeCell ref="A82:A85"/>
    <mergeCell ref="A86:A88"/>
    <mergeCell ref="A89:A92"/>
    <mergeCell ref="A93:A96"/>
    <mergeCell ref="A97:A99"/>
    <mergeCell ref="A100:A102"/>
    <mergeCell ref="A103:A107"/>
    <mergeCell ref="A108:A111"/>
    <mergeCell ref="A112:A113"/>
    <mergeCell ref="C5:C6"/>
    <mergeCell ref="C7:C10"/>
    <mergeCell ref="C11:C14"/>
    <mergeCell ref="C15:C18"/>
    <mergeCell ref="C19:C21"/>
    <mergeCell ref="C22:C24"/>
    <mergeCell ref="C25:C28"/>
    <mergeCell ref="C29:C32"/>
    <mergeCell ref="C33:C35"/>
    <mergeCell ref="C36:C39"/>
    <mergeCell ref="C40:C43"/>
    <mergeCell ref="C44:C46"/>
    <mergeCell ref="C47:C50"/>
    <mergeCell ref="C51:C54"/>
    <mergeCell ref="C55:C57"/>
    <mergeCell ref="C58:C61"/>
    <mergeCell ref="C62:C64"/>
    <mergeCell ref="C65:C68"/>
    <mergeCell ref="C69:C71"/>
    <mergeCell ref="C72:C74"/>
    <mergeCell ref="C75:C77"/>
    <mergeCell ref="C78:C81"/>
    <mergeCell ref="C82:C85"/>
    <mergeCell ref="C86:C88"/>
    <mergeCell ref="C89:C92"/>
    <mergeCell ref="C93:C96"/>
    <mergeCell ref="C97:C99"/>
    <mergeCell ref="C100:C102"/>
    <mergeCell ref="C103:C107"/>
    <mergeCell ref="C108:C111"/>
    <mergeCell ref="C112:C113"/>
    <mergeCell ref="BA5:BA6"/>
    <mergeCell ref="BA7:BA10"/>
    <mergeCell ref="BA11:BA14"/>
    <mergeCell ref="BA15:BA18"/>
    <mergeCell ref="BA19:BA21"/>
    <mergeCell ref="BA22:BA24"/>
    <mergeCell ref="BA25:BA28"/>
    <mergeCell ref="BA29:BA32"/>
    <mergeCell ref="BA33:BA35"/>
    <mergeCell ref="BA36:BA39"/>
    <mergeCell ref="BA40:BA43"/>
    <mergeCell ref="BA44:BA46"/>
    <mergeCell ref="BA47:BA50"/>
    <mergeCell ref="BA51:BA54"/>
    <mergeCell ref="BA55:BA57"/>
    <mergeCell ref="BA58:BA61"/>
    <mergeCell ref="BA62:BA64"/>
    <mergeCell ref="BA65:BA68"/>
    <mergeCell ref="BA69:BA71"/>
    <mergeCell ref="BA72:BA74"/>
    <mergeCell ref="BA75:BA77"/>
    <mergeCell ref="BA78:BA81"/>
    <mergeCell ref="BA82:BA85"/>
    <mergeCell ref="BA86:BA88"/>
    <mergeCell ref="BA89:BA92"/>
    <mergeCell ref="BA93:BA96"/>
    <mergeCell ref="BA97:BA99"/>
    <mergeCell ref="BA100:BA102"/>
    <mergeCell ref="BA103:BA107"/>
    <mergeCell ref="BA108:BA111"/>
    <mergeCell ref="BA112:BA113"/>
    <mergeCell ref="BB5:BB6"/>
    <mergeCell ref="BB7:BB10"/>
    <mergeCell ref="BB11:BB14"/>
    <mergeCell ref="BB15:BB18"/>
    <mergeCell ref="BB19:BB21"/>
    <mergeCell ref="BB22:BB24"/>
    <mergeCell ref="BB25:BB28"/>
    <mergeCell ref="BB29:BB32"/>
    <mergeCell ref="BB33:BB35"/>
    <mergeCell ref="BB36:BB39"/>
    <mergeCell ref="BB40:BB43"/>
    <mergeCell ref="BB44:BB46"/>
    <mergeCell ref="BB47:BB50"/>
    <mergeCell ref="BB51:BB54"/>
    <mergeCell ref="BB55:BB57"/>
    <mergeCell ref="BB58:BB61"/>
    <mergeCell ref="BB62:BB64"/>
    <mergeCell ref="BB65:BB68"/>
    <mergeCell ref="BB69:BB71"/>
    <mergeCell ref="BB72:BB74"/>
    <mergeCell ref="BB75:BB77"/>
    <mergeCell ref="BB78:BB81"/>
    <mergeCell ref="BB82:BB85"/>
    <mergeCell ref="BB86:BB88"/>
    <mergeCell ref="BB89:BB92"/>
    <mergeCell ref="BB93:BB96"/>
    <mergeCell ref="BB97:BB99"/>
    <mergeCell ref="BB100:BB102"/>
    <mergeCell ref="BB103:BB107"/>
    <mergeCell ref="BB108:BB111"/>
    <mergeCell ref="BB112:BB113"/>
    <mergeCell ref="BE5:BE6"/>
    <mergeCell ref="BE7:BE10"/>
    <mergeCell ref="BE11:BE14"/>
    <mergeCell ref="BE15:BE18"/>
    <mergeCell ref="BE19:BE21"/>
    <mergeCell ref="BE22:BE24"/>
    <mergeCell ref="BE25:BE28"/>
    <mergeCell ref="BE29:BE32"/>
    <mergeCell ref="BE33:BE35"/>
    <mergeCell ref="BE36:BE39"/>
    <mergeCell ref="BE40:BE43"/>
    <mergeCell ref="BE44:BE46"/>
    <mergeCell ref="BE47:BE50"/>
    <mergeCell ref="BE51:BE54"/>
    <mergeCell ref="BE55:BE57"/>
    <mergeCell ref="BE58:BE61"/>
    <mergeCell ref="BE62:BE64"/>
    <mergeCell ref="BE65:BE68"/>
    <mergeCell ref="BE69:BE71"/>
    <mergeCell ref="BE72:BE74"/>
    <mergeCell ref="BE75:BE77"/>
    <mergeCell ref="BE78:BE81"/>
    <mergeCell ref="BE82:BE85"/>
    <mergeCell ref="BE86:BE88"/>
    <mergeCell ref="BE89:BE92"/>
    <mergeCell ref="BE93:BE96"/>
    <mergeCell ref="BE97:BE99"/>
  </mergeCells>
  <printOptions horizontalCentered="1"/>
  <pageMargins left="0.25902777777777802" right="0.28888888888888897" top="0.4" bottom="0.3" header="0.31388888888888899" footer="0.15902777777777799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N128"/>
  <sheetViews>
    <sheetView workbookViewId="0">
      <pane xSplit="1" ySplit="4" topLeftCell="B70" activePane="bottomRight" state="frozen"/>
      <selection pane="topRight"/>
      <selection pane="bottomLeft"/>
      <selection pane="bottomRight" activeCell="E81" sqref="E81"/>
    </sheetView>
  </sheetViews>
  <sheetFormatPr defaultColWidth="9" defaultRowHeight="15"/>
  <cols>
    <col min="1" max="1" width="17.7109375" style="1970" customWidth="1"/>
    <col min="2" max="2" width="8.42578125" style="1" customWidth="1"/>
    <col min="3" max="3" width="12.28515625" style="1" customWidth="1"/>
    <col min="4" max="4" width="7.42578125" style="1971" customWidth="1"/>
    <col min="5" max="5" width="9.7109375" style="1977" customWidth="1"/>
    <col min="6" max="6" width="14" style="1971" customWidth="1"/>
    <col min="7" max="13" width="9.5703125" style="1971" customWidth="1"/>
    <col min="14" max="14" width="9.5703125" style="1977" customWidth="1"/>
    <col min="15" max="15" width="9.5703125" style="1971" customWidth="1"/>
    <col min="16" max="21" width="9.5703125" style="1977" customWidth="1"/>
    <col min="22" max="23" width="9.85546875" style="1971" customWidth="1"/>
    <col min="24" max="24" width="14.42578125" style="1971" customWidth="1"/>
    <col min="25" max="25" width="9.28515625" style="1977" customWidth="1"/>
    <col min="26" max="26" width="9.28515625" style="1971" customWidth="1"/>
    <col min="27" max="29" width="7.7109375" style="1971" customWidth="1"/>
    <col min="30" max="32" width="9.5703125" style="1971" customWidth="1"/>
    <col min="33" max="33" width="7.7109375" style="1971" customWidth="1"/>
    <col min="34" max="35" width="10.140625" style="1971" customWidth="1"/>
    <col min="36" max="36" width="9.5703125" style="1971" customWidth="1"/>
    <col min="37" max="37" width="7.7109375" style="1971" customWidth="1"/>
    <col min="38" max="38" width="9.28515625" style="1971" customWidth="1"/>
    <col min="39" max="41" width="9.5703125" style="1977" customWidth="1"/>
    <col min="42" max="42" width="9.28515625" style="1971" customWidth="1"/>
    <col min="43" max="43" width="7" style="1971" customWidth="1"/>
    <col min="44" max="44" width="14.42578125" style="1971" customWidth="1"/>
    <col min="45" max="45" width="8.140625" style="1977" customWidth="1"/>
    <col min="46" max="46" width="7.85546875" style="1971" customWidth="1"/>
    <col min="47" max="47" width="7" style="1971" customWidth="1"/>
    <col min="48" max="48" width="13.85546875" style="1971" customWidth="1"/>
    <col min="49" max="49" width="12.5703125" customWidth="1"/>
    <col min="50" max="50" width="14.7109375" customWidth="1"/>
    <col min="51" max="51" width="9" style="1970" customWidth="1"/>
    <col min="52" max="52" width="18.5703125" style="1970" customWidth="1"/>
    <col min="53" max="53" width="15.5703125" style="1970" customWidth="1"/>
    <col min="54" max="269" width="10" customWidth="1"/>
  </cols>
  <sheetData>
    <row r="1" spans="1:144" ht="21" thickBot="1">
      <c r="A1" s="1677">
        <v>46113</v>
      </c>
      <c r="B1" s="1673"/>
      <c r="C1" s="1673"/>
      <c r="D1" s="1673"/>
      <c r="E1" s="704"/>
      <c r="F1" s="1673"/>
      <c r="G1" s="1673"/>
      <c r="H1" s="1673"/>
      <c r="I1" s="1673"/>
      <c r="J1" s="1673"/>
      <c r="K1" s="1673"/>
      <c r="L1" s="1673"/>
      <c r="M1" s="1673"/>
      <c r="N1" s="704"/>
      <c r="O1" s="1673"/>
      <c r="P1" s="704"/>
      <c r="Q1" s="704"/>
      <c r="R1" s="704"/>
      <c r="S1" s="704"/>
      <c r="T1" s="704"/>
      <c r="U1" s="704"/>
      <c r="V1" s="1673"/>
      <c r="W1" s="1673"/>
      <c r="X1" s="1673"/>
      <c r="Y1" s="704"/>
      <c r="Z1" s="1673"/>
      <c r="AA1" s="1673"/>
      <c r="AB1" s="1673"/>
      <c r="AC1" s="1673"/>
      <c r="AD1" s="1673"/>
      <c r="AE1" s="1673"/>
      <c r="AF1" s="1673"/>
      <c r="AG1" s="1673"/>
      <c r="AH1" s="1673"/>
      <c r="AI1" s="1673"/>
      <c r="AJ1" s="1673"/>
      <c r="AK1" s="1673"/>
      <c r="AL1" s="1673"/>
      <c r="AM1" s="704"/>
      <c r="AN1" s="704"/>
      <c r="AO1" s="704"/>
      <c r="AP1" s="1673"/>
      <c r="AQ1" s="1673"/>
      <c r="AR1" s="1673"/>
      <c r="AS1" s="704"/>
      <c r="AT1" s="1673"/>
      <c r="AU1" s="1673"/>
      <c r="AV1" s="1673"/>
      <c r="AW1" s="1673"/>
      <c r="AX1" s="1673"/>
      <c r="AY1" s="1673"/>
      <c r="AZ1" s="1673"/>
      <c r="BA1" s="1673"/>
    </row>
    <row r="2" spans="1:144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704"/>
      <c r="AX2" s="1932"/>
      <c r="AY2" s="1933">
        <v>1</v>
      </c>
      <c r="AZ2" s="1274">
        <v>4</v>
      </c>
      <c r="BA2" s="1274">
        <v>2025</v>
      </c>
    </row>
    <row r="3" spans="1:144" ht="24" thickBot="1">
      <c r="A3" s="1681" t="s">
        <v>36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60"/>
      <c r="Y3" s="3696" t="s">
        <v>2</v>
      </c>
      <c r="Z3" s="3697"/>
      <c r="AA3" s="3697"/>
      <c r="AB3" s="3697"/>
      <c r="AC3" s="3697"/>
      <c r="AD3" s="3697"/>
      <c r="AE3" s="3697"/>
      <c r="AF3" s="3697"/>
      <c r="AG3" s="3697"/>
      <c r="AH3" s="3697"/>
      <c r="AI3" s="3697"/>
      <c r="AJ3" s="3697"/>
      <c r="AK3" s="3697"/>
      <c r="AL3" s="3697"/>
      <c r="AM3" s="3697"/>
      <c r="AN3" s="3697"/>
      <c r="AO3" s="3697"/>
      <c r="AP3" s="3697"/>
      <c r="AQ3" s="3697"/>
      <c r="AR3" s="3698"/>
      <c r="AS3" s="3664" t="s">
        <v>3</v>
      </c>
      <c r="AT3" s="3665"/>
      <c r="AU3" s="3665"/>
      <c r="AV3" s="3666"/>
      <c r="AW3" s="704"/>
      <c r="AX3" s="1932"/>
      <c r="AY3" s="1678"/>
      <c r="AZ3" s="1934"/>
      <c r="BA3" s="1934"/>
    </row>
    <row r="4" spans="1:144" ht="64.5" thickBot="1">
      <c r="A4" s="2270" t="s">
        <v>5</v>
      </c>
      <c r="B4" s="2271" t="s">
        <v>6</v>
      </c>
      <c r="C4" s="3667" t="s">
        <v>7</v>
      </c>
      <c r="D4" s="3668"/>
      <c r="E4" s="1991" t="s">
        <v>8</v>
      </c>
      <c r="F4" s="1992" t="s">
        <v>9</v>
      </c>
      <c r="G4" s="2272" t="s">
        <v>10</v>
      </c>
      <c r="H4" s="1994" t="s">
        <v>11</v>
      </c>
      <c r="I4" s="2007" t="s">
        <v>13</v>
      </c>
      <c r="J4" s="2286" t="s">
        <v>14</v>
      </c>
      <c r="K4" s="1993" t="s">
        <v>596</v>
      </c>
      <c r="L4" s="2287" t="s">
        <v>16</v>
      </c>
      <c r="M4" s="2010" t="s">
        <v>17</v>
      </c>
      <c r="N4" s="2011" t="s">
        <v>18</v>
      </c>
      <c r="O4" s="2006" t="s">
        <v>12</v>
      </c>
      <c r="P4" s="2073" t="s">
        <v>19</v>
      </c>
      <c r="Q4" s="2301" t="s">
        <v>20</v>
      </c>
      <c r="R4" s="2044" t="s">
        <v>21</v>
      </c>
      <c r="S4" s="2302" t="s">
        <v>37</v>
      </c>
      <c r="T4" s="2303" t="s">
        <v>38</v>
      </c>
      <c r="U4" s="2515" t="s">
        <v>197</v>
      </c>
      <c r="V4" s="2304" t="s">
        <v>22</v>
      </c>
      <c r="W4" s="2046" t="s">
        <v>23</v>
      </c>
      <c r="X4" s="2305" t="s">
        <v>24</v>
      </c>
      <c r="Y4" s="1991" t="s">
        <v>8</v>
      </c>
      <c r="Z4" s="1992" t="s">
        <v>9</v>
      </c>
      <c r="AA4" s="2272" t="s">
        <v>10</v>
      </c>
      <c r="AB4" s="1994" t="s">
        <v>11</v>
      </c>
      <c r="AC4" s="2007" t="s">
        <v>13</v>
      </c>
      <c r="AD4" s="2286" t="s">
        <v>14</v>
      </c>
      <c r="AE4" s="1993" t="s">
        <v>596</v>
      </c>
      <c r="AF4" s="2287" t="s">
        <v>16</v>
      </c>
      <c r="AG4" s="2010" t="s">
        <v>17</v>
      </c>
      <c r="AH4" s="2011" t="s">
        <v>18</v>
      </c>
      <c r="AI4" s="2073" t="s">
        <v>19</v>
      </c>
      <c r="AJ4" s="2321" t="s">
        <v>12</v>
      </c>
      <c r="AK4" s="2043" t="s">
        <v>20</v>
      </c>
      <c r="AL4" s="2044" t="s">
        <v>39</v>
      </c>
      <c r="AM4" s="2302" t="s">
        <v>37</v>
      </c>
      <c r="AN4" s="2303" t="s">
        <v>38</v>
      </c>
      <c r="AO4" s="2515" t="s">
        <v>197</v>
      </c>
      <c r="AP4" s="2045" t="s">
        <v>22</v>
      </c>
      <c r="AQ4" s="2046" t="s">
        <v>23</v>
      </c>
      <c r="AR4" s="2305" t="s">
        <v>24</v>
      </c>
      <c r="AS4" s="1991" t="s">
        <v>40</v>
      </c>
      <c r="AT4" s="2010" t="s">
        <v>25</v>
      </c>
      <c r="AU4" s="2090" t="s">
        <v>20</v>
      </c>
      <c r="AV4" s="2091" t="s">
        <v>26</v>
      </c>
      <c r="AW4" s="2092" t="s">
        <v>27</v>
      </c>
      <c r="AX4" s="2093" t="s">
        <v>28</v>
      </c>
      <c r="AY4" s="1939" t="s">
        <v>29</v>
      </c>
      <c r="AZ4" s="2094" t="s">
        <v>30</v>
      </c>
      <c r="BA4" s="2094" t="s">
        <v>31</v>
      </c>
    </row>
    <row r="5" spans="1:144" ht="15" customHeight="1" thickBot="1">
      <c r="A5" s="3686">
        <v>46116</v>
      </c>
      <c r="B5" s="1694" t="s">
        <v>32</v>
      </c>
      <c r="C5" s="3678">
        <f>SUM(D5:D7)</f>
        <v>797</v>
      </c>
      <c r="D5" s="2273">
        <f>SUM(E5:AV5)</f>
        <v>309</v>
      </c>
      <c r="E5" s="1726"/>
      <c r="F5" s="1691"/>
      <c r="G5" s="2274"/>
      <c r="H5" s="1713"/>
      <c r="I5" s="1782"/>
      <c r="J5" s="2300"/>
      <c r="K5" s="1748"/>
      <c r="L5" s="2199"/>
      <c r="M5" s="1747"/>
      <c r="N5" s="1750"/>
      <c r="O5" s="1746"/>
      <c r="P5" s="1751"/>
      <c r="Q5" s="1816"/>
      <c r="R5" s="1817"/>
      <c r="S5" s="2163"/>
      <c r="T5" s="2306"/>
      <c r="U5" s="2516">
        <v>300</v>
      </c>
      <c r="V5" s="1911"/>
      <c r="W5" s="1819"/>
      <c r="X5" s="1865"/>
      <c r="Y5" s="1690"/>
      <c r="Z5" s="1691"/>
      <c r="AA5" s="2282"/>
      <c r="AB5" s="1893"/>
      <c r="AC5" s="2065"/>
      <c r="AD5" s="2300"/>
      <c r="AE5" s="1748"/>
      <c r="AF5" s="2199"/>
      <c r="AG5" s="1873"/>
      <c r="AH5" s="1874"/>
      <c r="AI5" s="1909"/>
      <c r="AJ5" s="2333"/>
      <c r="AK5" s="2078"/>
      <c r="AL5" s="1910"/>
      <c r="AM5" s="2163"/>
      <c r="AN5" s="2306"/>
      <c r="AO5" s="2516">
        <v>2</v>
      </c>
      <c r="AP5" s="1911"/>
      <c r="AQ5" s="1864"/>
      <c r="AR5" s="1865"/>
      <c r="AS5" s="1726"/>
      <c r="AT5" s="1873">
        <v>7</v>
      </c>
      <c r="AU5" s="1940"/>
      <c r="AV5" s="1865"/>
      <c r="AW5" s="3643">
        <f>SUM(E5:X7)</f>
        <v>780</v>
      </c>
      <c r="AX5" s="3633">
        <f>SUM(E5:AR7)</f>
        <v>786</v>
      </c>
      <c r="AY5" s="1942">
        <v>402</v>
      </c>
      <c r="AZ5" s="1942" t="s">
        <v>466</v>
      </c>
      <c r="BA5" s="3675" t="s">
        <v>33</v>
      </c>
    </row>
    <row r="6" spans="1:144" ht="15" customHeight="1" thickBot="1">
      <c r="A6" s="3687"/>
      <c r="B6" s="1694" t="s">
        <v>34</v>
      </c>
      <c r="C6" s="3679"/>
      <c r="D6" s="1705">
        <f t="shared" ref="D6" si="0">SUM(E6:AV6)</f>
        <v>488</v>
      </c>
      <c r="E6" s="2352"/>
      <c r="F6" s="1707"/>
      <c r="G6" s="2277"/>
      <c r="H6" s="1712"/>
      <c r="I6" s="1779"/>
      <c r="J6" s="2293"/>
      <c r="K6" s="1769"/>
      <c r="L6" s="2202"/>
      <c r="M6" s="1768"/>
      <c r="N6" s="1771"/>
      <c r="O6" s="1767"/>
      <c r="P6" s="1772"/>
      <c r="Q6" s="1835"/>
      <c r="R6" s="1836"/>
      <c r="S6" s="2165"/>
      <c r="T6" s="2311"/>
      <c r="U6" s="2519">
        <v>480</v>
      </c>
      <c r="V6" s="1922"/>
      <c r="W6" s="1838"/>
      <c r="X6" s="1924"/>
      <c r="Y6" s="1947"/>
      <c r="Z6" s="1707"/>
      <c r="AA6" s="2318"/>
      <c r="AB6" s="1888"/>
      <c r="AC6" s="2064"/>
      <c r="AD6" s="2293"/>
      <c r="AE6" s="1769"/>
      <c r="AF6" s="2202"/>
      <c r="AG6" s="1891"/>
      <c r="AH6" s="1892"/>
      <c r="AI6" s="1920"/>
      <c r="AJ6" s="2327"/>
      <c r="AK6" s="2076"/>
      <c r="AL6" s="1921"/>
      <c r="AM6" s="2165"/>
      <c r="AN6" s="2311"/>
      <c r="AO6" s="2519">
        <v>4</v>
      </c>
      <c r="AP6" s="1922"/>
      <c r="AQ6" s="1923"/>
      <c r="AR6" s="1924"/>
      <c r="AS6" s="1947"/>
      <c r="AT6" s="1891">
        <v>4</v>
      </c>
      <c r="AU6" s="1948"/>
      <c r="AV6" s="1924"/>
      <c r="AW6" s="3643"/>
      <c r="AX6" s="3634"/>
      <c r="AY6" s="2261"/>
      <c r="AZ6" s="1942"/>
      <c r="BA6" s="3632"/>
    </row>
    <row r="7" spans="1:144" ht="15.75" customHeight="1" thickBot="1">
      <c r="A7" s="3687"/>
      <c r="B7" s="1995" t="s">
        <v>34</v>
      </c>
      <c r="C7" s="3679"/>
      <c r="D7" s="2273">
        <f>SUM(E7:AV7)</f>
        <v>0</v>
      </c>
      <c r="E7" s="1720"/>
      <c r="F7" s="1697"/>
      <c r="G7" s="2275"/>
      <c r="H7" s="1732"/>
      <c r="I7" s="1800"/>
      <c r="J7" s="2289"/>
      <c r="K7" s="1755"/>
      <c r="L7" s="2205"/>
      <c r="M7" s="1754"/>
      <c r="N7" s="1880"/>
      <c r="O7" s="1753"/>
      <c r="P7" s="1758"/>
      <c r="Q7" s="1822"/>
      <c r="R7" s="1823"/>
      <c r="S7" s="2167"/>
      <c r="T7" s="2307"/>
      <c r="U7" s="2517"/>
      <c r="V7" s="2308"/>
      <c r="W7" s="1866"/>
      <c r="X7" s="1867"/>
      <c r="Y7" s="1696"/>
      <c r="Z7" s="1697"/>
      <c r="AA7" s="2283"/>
      <c r="AB7" s="1895"/>
      <c r="AC7" s="2066"/>
      <c r="AD7" s="2289"/>
      <c r="AE7" s="1755"/>
      <c r="AF7" s="2205"/>
      <c r="AG7" s="1879"/>
      <c r="AH7" s="1880"/>
      <c r="AI7" s="1912"/>
      <c r="AJ7" s="2323"/>
      <c r="AK7" s="2079"/>
      <c r="AL7" s="1913"/>
      <c r="AM7" s="2167"/>
      <c r="AN7" s="2307"/>
      <c r="AO7" s="2517"/>
      <c r="AP7" s="1914"/>
      <c r="AQ7" s="1866"/>
      <c r="AR7" s="1867"/>
      <c r="AS7" s="1696"/>
      <c r="AT7" s="1879"/>
      <c r="AU7" s="1822"/>
      <c r="AV7" s="1867"/>
      <c r="AW7" s="3643"/>
      <c r="AX7" s="3634"/>
      <c r="AY7" s="2261"/>
      <c r="AZ7" s="1942"/>
      <c r="BA7" s="3632"/>
    </row>
    <row r="8" spans="1:144" s="246" customFormat="1" ht="15" customHeight="1" thickBot="1">
      <c r="A8" s="3686">
        <v>46117</v>
      </c>
      <c r="B8" s="1688" t="s">
        <v>32</v>
      </c>
      <c r="C8" s="3678">
        <f>SUM(D8:D11)</f>
        <v>1071</v>
      </c>
      <c r="D8" s="2273">
        <f>SUM(E8:AV8)</f>
        <v>490</v>
      </c>
      <c r="E8" s="2348"/>
      <c r="F8" s="1691"/>
      <c r="G8" s="2274"/>
      <c r="H8" s="1713"/>
      <c r="I8" s="1782"/>
      <c r="J8" s="2300"/>
      <c r="K8" s="1748"/>
      <c r="L8" s="2199"/>
      <c r="M8" s="1747"/>
      <c r="N8" s="1750"/>
      <c r="O8" s="1746"/>
      <c r="P8" s="1751"/>
      <c r="Q8" s="1816"/>
      <c r="R8" s="1817"/>
      <c r="S8" s="2163"/>
      <c r="T8" s="2306"/>
      <c r="U8" s="2516">
        <v>480</v>
      </c>
      <c r="V8" s="1911"/>
      <c r="W8" s="1819"/>
      <c r="X8" s="1865"/>
      <c r="Y8" s="1690"/>
      <c r="Z8" s="1691"/>
      <c r="AA8" s="2282"/>
      <c r="AB8" s="1893"/>
      <c r="AC8" s="2065"/>
      <c r="AD8" s="2300"/>
      <c r="AE8" s="1748"/>
      <c r="AF8" s="2199"/>
      <c r="AG8" s="1873"/>
      <c r="AH8" s="1874"/>
      <c r="AI8" s="1909"/>
      <c r="AJ8" s="2333"/>
      <c r="AK8" s="2078"/>
      <c r="AL8" s="1910"/>
      <c r="AM8" s="2163"/>
      <c r="AN8" s="2306"/>
      <c r="AO8" s="2516">
        <v>5</v>
      </c>
      <c r="AP8" s="1911"/>
      <c r="AQ8" s="1864"/>
      <c r="AR8" s="1865"/>
      <c r="AS8" s="1726"/>
      <c r="AT8" s="1873">
        <v>5</v>
      </c>
      <c r="AU8" s="1940"/>
      <c r="AV8" s="1865"/>
      <c r="AW8" s="3642">
        <f>SUM(E8:X11)</f>
        <v>1040</v>
      </c>
      <c r="AX8" s="3633">
        <f>SUM(E8:AR11)</f>
        <v>1050</v>
      </c>
      <c r="AY8" s="2261">
        <v>402</v>
      </c>
      <c r="AZ8" s="1942" t="s">
        <v>466</v>
      </c>
      <c r="BA8" s="3675" t="s">
        <v>33</v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</row>
    <row r="9" spans="1:144" ht="15" customHeight="1" thickBot="1">
      <c r="A9" s="3687"/>
      <c r="B9" s="1694" t="s">
        <v>34</v>
      </c>
      <c r="C9" s="3679"/>
      <c r="D9" s="1705">
        <f t="shared" ref="D9" si="1">SUM(E9:AV9)</f>
        <v>581</v>
      </c>
      <c r="E9" s="1706"/>
      <c r="F9" s="1707"/>
      <c r="G9" s="2277"/>
      <c r="H9" s="1712"/>
      <c r="I9" s="1779"/>
      <c r="J9" s="2293"/>
      <c r="K9" s="1769"/>
      <c r="L9" s="2202"/>
      <c r="M9" s="1768"/>
      <c r="N9" s="1771"/>
      <c r="O9" s="1767"/>
      <c r="P9" s="1772"/>
      <c r="Q9" s="1835"/>
      <c r="R9" s="1836"/>
      <c r="S9" s="2165"/>
      <c r="T9" s="2311"/>
      <c r="U9" s="2519">
        <v>560</v>
      </c>
      <c r="V9" s="1922"/>
      <c r="W9" s="1838"/>
      <c r="X9" s="1924"/>
      <c r="Y9" s="1947"/>
      <c r="Z9" s="1707"/>
      <c r="AA9" s="2318"/>
      <c r="AB9" s="1888"/>
      <c r="AC9" s="2064"/>
      <c r="AD9" s="2293"/>
      <c r="AE9" s="1769"/>
      <c r="AF9" s="2202"/>
      <c r="AG9" s="1891"/>
      <c r="AH9" s="1892"/>
      <c r="AI9" s="1920"/>
      <c r="AJ9" s="2327"/>
      <c r="AK9" s="2076"/>
      <c r="AL9" s="1921"/>
      <c r="AM9" s="2165"/>
      <c r="AN9" s="2311"/>
      <c r="AO9" s="2519">
        <v>5</v>
      </c>
      <c r="AP9" s="1922"/>
      <c r="AQ9" s="1923"/>
      <c r="AR9" s="1924"/>
      <c r="AS9" s="1947"/>
      <c r="AT9" s="1891">
        <v>16</v>
      </c>
      <c r="AU9" s="1948"/>
      <c r="AV9" s="1924"/>
      <c r="AW9" s="3643"/>
      <c r="AX9" s="3634"/>
      <c r="AY9" s="2261"/>
      <c r="AZ9" s="1942"/>
      <c r="BA9" s="3632"/>
    </row>
    <row r="10" spans="1:144" ht="15" customHeight="1" thickBot="1">
      <c r="A10" s="3687"/>
      <c r="B10" s="1694" t="s">
        <v>34</v>
      </c>
      <c r="C10" s="3679"/>
      <c r="D10" s="1705">
        <f t="shared" ref="D10" si="2">SUM(E10:AV10)</f>
        <v>0</v>
      </c>
      <c r="E10" s="1706"/>
      <c r="F10" s="1707"/>
      <c r="G10" s="2277"/>
      <c r="H10" s="1712"/>
      <c r="I10" s="1779"/>
      <c r="J10" s="2293"/>
      <c r="K10" s="1769"/>
      <c r="L10" s="2202"/>
      <c r="M10" s="1768"/>
      <c r="N10" s="1771"/>
      <c r="O10" s="1767"/>
      <c r="P10" s="1772"/>
      <c r="Q10" s="1835"/>
      <c r="R10" s="1836"/>
      <c r="S10" s="2165"/>
      <c r="T10" s="2311"/>
      <c r="U10" s="2519"/>
      <c r="V10" s="1922"/>
      <c r="W10" s="1838"/>
      <c r="X10" s="1924"/>
      <c r="Y10" s="1947"/>
      <c r="Z10" s="1707"/>
      <c r="AA10" s="2318"/>
      <c r="AB10" s="1888"/>
      <c r="AC10" s="2064"/>
      <c r="AD10" s="2293"/>
      <c r="AE10" s="1769"/>
      <c r="AF10" s="2202"/>
      <c r="AG10" s="1891"/>
      <c r="AH10" s="1892"/>
      <c r="AI10" s="1920"/>
      <c r="AJ10" s="2327"/>
      <c r="AK10" s="2076"/>
      <c r="AL10" s="1921"/>
      <c r="AM10" s="2165"/>
      <c r="AN10" s="2311"/>
      <c r="AO10" s="2519"/>
      <c r="AP10" s="1922"/>
      <c r="AQ10" s="1923"/>
      <c r="AR10" s="1924"/>
      <c r="AS10" s="1947"/>
      <c r="AT10" s="1891"/>
      <c r="AU10" s="1948"/>
      <c r="AV10" s="1924"/>
      <c r="AW10" s="3643"/>
      <c r="AX10" s="3634"/>
      <c r="AY10" s="2261"/>
      <c r="AZ10" s="1942"/>
      <c r="BA10" s="3632"/>
    </row>
    <row r="11" spans="1:144" ht="15" customHeight="1" thickBot="1">
      <c r="A11" s="3688"/>
      <c r="B11" s="1999" t="s">
        <v>34</v>
      </c>
      <c r="C11" s="3680"/>
      <c r="D11" s="2273">
        <f t="shared" ref="D11:D16" si="3">SUM(E11:AV11)</f>
        <v>0</v>
      </c>
      <c r="E11" s="1696"/>
      <c r="F11" s="1697"/>
      <c r="G11" s="2275"/>
      <c r="H11" s="1732"/>
      <c r="I11" s="1800"/>
      <c r="J11" s="2294"/>
      <c r="K11" s="1698"/>
      <c r="L11" s="2135"/>
      <c r="M11" s="1799"/>
      <c r="N11" s="1757"/>
      <c r="O11" s="1798"/>
      <c r="P11" s="1758"/>
      <c r="Q11" s="1822"/>
      <c r="R11" s="1823"/>
      <c r="S11" s="2167"/>
      <c r="T11" s="2307"/>
      <c r="U11" s="2517"/>
      <c r="V11" s="1914"/>
      <c r="W11" s="1825"/>
      <c r="X11" s="1826"/>
      <c r="Y11" s="1696"/>
      <c r="Z11" s="1697"/>
      <c r="AA11" s="2283"/>
      <c r="AB11" s="1895"/>
      <c r="AC11" s="2066"/>
      <c r="AD11" s="2294"/>
      <c r="AE11" s="1698"/>
      <c r="AF11" s="2135"/>
      <c r="AG11" s="1879"/>
      <c r="AH11" s="1880"/>
      <c r="AI11" s="1912"/>
      <c r="AJ11" s="2328"/>
      <c r="AK11" s="2079"/>
      <c r="AL11" s="1913"/>
      <c r="AM11" s="2167"/>
      <c r="AN11" s="2307"/>
      <c r="AO11" s="2517"/>
      <c r="AP11" s="1914"/>
      <c r="AQ11" s="1866"/>
      <c r="AR11" s="1867"/>
      <c r="AS11" s="1696"/>
      <c r="AT11" s="1879"/>
      <c r="AU11" s="1944"/>
      <c r="AV11" s="1867"/>
      <c r="AW11" s="3644"/>
      <c r="AX11" s="3635"/>
      <c r="AY11" s="2261"/>
      <c r="AZ11" s="1942"/>
      <c r="BA11" s="3631"/>
      <c r="BB11" s="1"/>
      <c r="BC11" s="1"/>
      <c r="BD11" s="1"/>
      <c r="BE11" s="1"/>
      <c r="BF11" s="1"/>
    </row>
    <row r="12" spans="1:144" ht="15.75" thickBot="1">
      <c r="A12" s="3648">
        <v>46118</v>
      </c>
      <c r="B12" s="1688" t="s">
        <v>32</v>
      </c>
      <c r="C12" s="3678">
        <f>SUM(D12:D14)</f>
        <v>1025</v>
      </c>
      <c r="D12" s="2273">
        <f t="shared" si="3"/>
        <v>473</v>
      </c>
      <c r="E12" s="1726"/>
      <c r="F12" s="1691"/>
      <c r="G12" s="2274"/>
      <c r="H12" s="1713"/>
      <c r="I12" s="1782"/>
      <c r="J12" s="2300"/>
      <c r="K12" s="1748"/>
      <c r="L12" s="2199"/>
      <c r="M12" s="1747"/>
      <c r="N12" s="1750"/>
      <c r="O12" s="1746"/>
      <c r="P12" s="1751"/>
      <c r="Q12" s="1816"/>
      <c r="R12" s="1817"/>
      <c r="S12" s="2163"/>
      <c r="T12" s="2306"/>
      <c r="U12" s="2516">
        <f>320+120</f>
        <v>440</v>
      </c>
      <c r="V12" s="1911"/>
      <c r="W12" s="1819"/>
      <c r="X12" s="1865"/>
      <c r="Y12" s="1690"/>
      <c r="Z12" s="1691"/>
      <c r="AA12" s="2282"/>
      <c r="AB12" s="1893"/>
      <c r="AC12" s="2065"/>
      <c r="AD12" s="2300"/>
      <c r="AE12" s="1748"/>
      <c r="AF12" s="2199"/>
      <c r="AG12" s="1873"/>
      <c r="AH12" s="1874"/>
      <c r="AI12" s="1909"/>
      <c r="AJ12" s="2333"/>
      <c r="AK12" s="2078"/>
      <c r="AL12" s="1910"/>
      <c r="AM12" s="2163"/>
      <c r="AN12" s="2306"/>
      <c r="AO12" s="2516">
        <f>3+10</f>
        <v>13</v>
      </c>
      <c r="AP12" s="1911"/>
      <c r="AQ12" s="1864"/>
      <c r="AR12" s="1865"/>
      <c r="AS12" s="1726"/>
      <c r="AT12" s="1873">
        <f>13+7</f>
        <v>20</v>
      </c>
      <c r="AU12" s="1940"/>
      <c r="AV12" s="1865"/>
      <c r="AW12" s="3634">
        <f>SUM(E12:X14)</f>
        <v>960</v>
      </c>
      <c r="AX12" s="3634">
        <f>SUM(E12:AR14)</f>
        <v>973</v>
      </c>
      <c r="AY12" s="2261">
        <v>402</v>
      </c>
      <c r="AZ12" s="1942" t="s">
        <v>610</v>
      </c>
      <c r="BA12" s="3632" t="s">
        <v>33</v>
      </c>
    </row>
    <row r="13" spans="1:144" ht="15" customHeight="1" thickBot="1">
      <c r="A13" s="3646"/>
      <c r="B13" s="1724" t="s">
        <v>34</v>
      </c>
      <c r="C13" s="3679"/>
      <c r="D13" s="2273">
        <f t="shared" ref="D13" si="4">SUM(E13:AV13)</f>
        <v>552</v>
      </c>
      <c r="E13" s="1706"/>
      <c r="F13" s="1707"/>
      <c r="G13" s="2277"/>
      <c r="H13" s="1712"/>
      <c r="I13" s="1779"/>
      <c r="J13" s="2293"/>
      <c r="K13" s="1769"/>
      <c r="L13" s="2202"/>
      <c r="M13" s="1768"/>
      <c r="N13" s="1771"/>
      <c r="O13" s="1767"/>
      <c r="P13" s="1772"/>
      <c r="Q13" s="1835"/>
      <c r="R13" s="1836"/>
      <c r="S13" s="2165"/>
      <c r="T13" s="2311"/>
      <c r="U13" s="2519">
        <v>520</v>
      </c>
      <c r="V13" s="1922"/>
      <c r="W13" s="1838"/>
      <c r="X13" s="1924"/>
      <c r="Y13" s="1947"/>
      <c r="Z13" s="1707"/>
      <c r="AA13" s="2318"/>
      <c r="AB13" s="1888"/>
      <c r="AC13" s="2064"/>
      <c r="AD13" s="2293"/>
      <c r="AE13" s="1769"/>
      <c r="AF13" s="2202"/>
      <c r="AG13" s="1891"/>
      <c r="AH13" s="1892"/>
      <c r="AI13" s="1920"/>
      <c r="AJ13" s="2327"/>
      <c r="AK13" s="2076"/>
      <c r="AL13" s="1921"/>
      <c r="AM13" s="2165"/>
      <c r="AN13" s="2311"/>
      <c r="AO13" s="2519"/>
      <c r="AP13" s="1922"/>
      <c r="AQ13" s="1923"/>
      <c r="AR13" s="1924"/>
      <c r="AS13" s="1947"/>
      <c r="AT13" s="1891">
        <v>32</v>
      </c>
      <c r="AU13" s="1948"/>
      <c r="AV13" s="1924"/>
      <c r="AW13" s="3634"/>
      <c r="AX13" s="3634"/>
      <c r="AY13" s="2261"/>
      <c r="AZ13" s="1942"/>
      <c r="BA13" s="3632"/>
    </row>
    <row r="14" spans="1:144" ht="15" customHeight="1" thickBot="1">
      <c r="A14" s="3647"/>
      <c r="B14" s="1724" t="s">
        <v>34</v>
      </c>
      <c r="C14" s="3680"/>
      <c r="D14" s="2273">
        <f t="shared" si="3"/>
        <v>0</v>
      </c>
      <c r="E14" s="1706"/>
      <c r="F14" s="1707"/>
      <c r="G14" s="2277"/>
      <c r="H14" s="1712"/>
      <c r="I14" s="1779"/>
      <c r="J14" s="2296"/>
      <c r="K14" s="1708"/>
      <c r="L14" s="2134"/>
      <c r="M14" s="1781"/>
      <c r="N14" s="1892"/>
      <c r="O14" s="1780"/>
      <c r="P14" s="1772"/>
      <c r="Q14" s="1835"/>
      <c r="R14" s="1836"/>
      <c r="S14" s="2165"/>
      <c r="T14" s="2311"/>
      <c r="U14" s="2519"/>
      <c r="V14" s="1922"/>
      <c r="W14" s="1838"/>
      <c r="X14" s="1839"/>
      <c r="Y14" s="1706"/>
      <c r="Z14" s="1707"/>
      <c r="AA14" s="2318"/>
      <c r="AB14" s="1888"/>
      <c r="AC14" s="2064"/>
      <c r="AD14" s="2296"/>
      <c r="AE14" s="1708"/>
      <c r="AF14" s="2134"/>
      <c r="AG14" s="1891"/>
      <c r="AH14" s="1892"/>
      <c r="AI14" s="1920"/>
      <c r="AJ14" s="2330"/>
      <c r="AK14" s="2076"/>
      <c r="AL14" s="1921"/>
      <c r="AM14" s="2165"/>
      <c r="AN14" s="2311"/>
      <c r="AO14" s="2519"/>
      <c r="AP14" s="1922"/>
      <c r="AQ14" s="1923"/>
      <c r="AR14" s="1924"/>
      <c r="AS14" s="2281"/>
      <c r="AT14" s="1891"/>
      <c r="AU14" s="1948"/>
      <c r="AV14" s="1924"/>
      <c r="AW14" s="3634"/>
      <c r="AX14" s="3634"/>
      <c r="AY14" s="2261"/>
      <c r="AZ14" s="1942"/>
      <c r="BA14" s="3632"/>
    </row>
    <row r="15" spans="1:144" ht="15" customHeight="1" thickBot="1">
      <c r="A15" s="3694">
        <v>46119</v>
      </c>
      <c r="B15" s="1724" t="s">
        <v>32</v>
      </c>
      <c r="C15" s="3678">
        <f>SUM(D15:D19)</f>
        <v>1153</v>
      </c>
      <c r="D15" s="2273">
        <f t="shared" si="3"/>
        <v>549</v>
      </c>
      <c r="E15" s="1726"/>
      <c r="F15" s="1691"/>
      <c r="G15" s="2274"/>
      <c r="H15" s="1713"/>
      <c r="I15" s="1782"/>
      <c r="J15" s="2300"/>
      <c r="K15" s="1748"/>
      <c r="L15" s="2199"/>
      <c r="M15" s="1747"/>
      <c r="N15" s="1750"/>
      <c r="O15" s="1746"/>
      <c r="P15" s="1751"/>
      <c r="Q15" s="1816"/>
      <c r="R15" s="1817"/>
      <c r="S15" s="2163"/>
      <c r="T15" s="2306"/>
      <c r="U15" s="2516">
        <v>540</v>
      </c>
      <c r="V15" s="1911"/>
      <c r="W15" s="1819"/>
      <c r="X15" s="1865"/>
      <c r="Y15" s="1690"/>
      <c r="Z15" s="1691"/>
      <c r="AA15" s="2282"/>
      <c r="AB15" s="1893"/>
      <c r="AC15" s="2065"/>
      <c r="AD15" s="2300"/>
      <c r="AE15" s="1748"/>
      <c r="AF15" s="2199"/>
      <c r="AG15" s="1873"/>
      <c r="AH15" s="1874"/>
      <c r="AI15" s="1909"/>
      <c r="AJ15" s="2333"/>
      <c r="AK15" s="2078"/>
      <c r="AL15" s="1910"/>
      <c r="AM15" s="2163"/>
      <c r="AN15" s="2306"/>
      <c r="AO15" s="2516"/>
      <c r="AP15" s="1911"/>
      <c r="AQ15" s="1864"/>
      <c r="AR15" s="1865"/>
      <c r="AS15" s="1726"/>
      <c r="AT15" s="1873">
        <v>9</v>
      </c>
      <c r="AU15" s="1940"/>
      <c r="AV15" s="1865"/>
      <c r="AW15" s="3633">
        <f>SUM(E15:X19)</f>
        <v>1120</v>
      </c>
      <c r="AX15" s="3633">
        <f>SUM(E15:AR19)</f>
        <v>1120</v>
      </c>
      <c r="AY15" s="2261">
        <v>402</v>
      </c>
      <c r="AZ15" s="1942" t="s">
        <v>532</v>
      </c>
      <c r="BA15" s="3629" t="s">
        <v>33</v>
      </c>
    </row>
    <row r="16" spans="1:144" ht="15" customHeight="1" thickBot="1">
      <c r="A16" s="3695"/>
      <c r="B16" s="1724" t="s">
        <v>34</v>
      </c>
      <c r="C16" s="3679"/>
      <c r="D16" s="1705">
        <f t="shared" si="3"/>
        <v>604</v>
      </c>
      <c r="E16" s="1706"/>
      <c r="F16" s="1707"/>
      <c r="G16" s="2277"/>
      <c r="H16" s="1712"/>
      <c r="I16" s="1779"/>
      <c r="J16" s="2293"/>
      <c r="K16" s="1769"/>
      <c r="L16" s="2202"/>
      <c r="M16" s="1768"/>
      <c r="N16" s="1771"/>
      <c r="O16" s="1767"/>
      <c r="P16" s="1772"/>
      <c r="Q16" s="1835"/>
      <c r="R16" s="1836"/>
      <c r="S16" s="2165"/>
      <c r="T16" s="2311"/>
      <c r="U16" s="2519">
        <v>580</v>
      </c>
      <c r="V16" s="1922"/>
      <c r="W16" s="1838"/>
      <c r="X16" s="1924"/>
      <c r="Y16" s="1947"/>
      <c r="Z16" s="1707"/>
      <c r="AA16" s="2318"/>
      <c r="AB16" s="1888"/>
      <c r="AC16" s="2064"/>
      <c r="AD16" s="2293"/>
      <c r="AE16" s="1769"/>
      <c r="AF16" s="2202"/>
      <c r="AG16" s="1891"/>
      <c r="AH16" s="1892"/>
      <c r="AI16" s="1920"/>
      <c r="AJ16" s="2327"/>
      <c r="AK16" s="2076"/>
      <c r="AL16" s="1921"/>
      <c r="AM16" s="2165"/>
      <c r="AN16" s="2311"/>
      <c r="AO16" s="2519"/>
      <c r="AP16" s="1922"/>
      <c r="AQ16" s="1923"/>
      <c r="AR16" s="1924"/>
      <c r="AS16" s="1947"/>
      <c r="AT16" s="1891">
        <v>24</v>
      </c>
      <c r="AU16" s="1948"/>
      <c r="AV16" s="1924"/>
      <c r="AW16" s="3634"/>
      <c r="AX16" s="3634"/>
      <c r="AY16" s="2261"/>
      <c r="AZ16" s="1942"/>
      <c r="BA16" s="3630"/>
    </row>
    <row r="17" spans="1:144" ht="15" customHeight="1" thickBot="1">
      <c r="A17" s="3695"/>
      <c r="B17" s="1724" t="s">
        <v>32</v>
      </c>
      <c r="C17" s="3679"/>
      <c r="D17" s="1705">
        <f t="shared" ref="D17" si="5">SUM(E17:AV17)</f>
        <v>0</v>
      </c>
      <c r="E17" s="1706"/>
      <c r="F17" s="1707"/>
      <c r="G17" s="2277"/>
      <c r="H17" s="1712"/>
      <c r="I17" s="1779"/>
      <c r="J17" s="2293"/>
      <c r="K17" s="1769"/>
      <c r="L17" s="2202"/>
      <c r="M17" s="1768"/>
      <c r="N17" s="1771"/>
      <c r="O17" s="1767"/>
      <c r="P17" s="1772"/>
      <c r="Q17" s="1835"/>
      <c r="R17" s="1836"/>
      <c r="S17" s="2165"/>
      <c r="T17" s="2311"/>
      <c r="U17" s="2519"/>
      <c r="V17" s="1922"/>
      <c r="W17" s="1838"/>
      <c r="X17" s="1924"/>
      <c r="Y17" s="1947"/>
      <c r="Z17" s="1707"/>
      <c r="AA17" s="2318"/>
      <c r="AB17" s="1888"/>
      <c r="AC17" s="2064"/>
      <c r="AD17" s="2293"/>
      <c r="AE17" s="1769"/>
      <c r="AF17" s="2202"/>
      <c r="AG17" s="1891"/>
      <c r="AH17" s="1892"/>
      <c r="AI17" s="1920"/>
      <c r="AJ17" s="2327"/>
      <c r="AK17" s="2076"/>
      <c r="AL17" s="1921"/>
      <c r="AM17" s="2165"/>
      <c r="AN17" s="2311"/>
      <c r="AO17" s="2519"/>
      <c r="AP17" s="1922"/>
      <c r="AQ17" s="1923"/>
      <c r="AR17" s="1924"/>
      <c r="AS17" s="1947"/>
      <c r="AT17" s="1891"/>
      <c r="AU17" s="1948"/>
      <c r="AV17" s="1924"/>
      <c r="AW17" s="3634"/>
      <c r="AX17" s="3634"/>
      <c r="AY17" s="2261"/>
      <c r="AZ17" s="1942"/>
      <c r="BA17" s="3630"/>
    </row>
    <row r="18" spans="1:144" ht="15" customHeight="1" thickBot="1">
      <c r="A18" s="3695"/>
      <c r="B18" s="1694" t="s">
        <v>34</v>
      </c>
      <c r="C18" s="3679"/>
      <c r="D18" s="1705">
        <f t="shared" ref="D18" si="6">SUM(E18:AV18)</f>
        <v>0</v>
      </c>
      <c r="E18" s="1706"/>
      <c r="F18" s="1707"/>
      <c r="G18" s="2277"/>
      <c r="H18" s="1712"/>
      <c r="I18" s="1779"/>
      <c r="J18" s="2293"/>
      <c r="K18" s="1769"/>
      <c r="L18" s="2202"/>
      <c r="M18" s="1768"/>
      <c r="N18" s="1771"/>
      <c r="O18" s="1767"/>
      <c r="P18" s="1772"/>
      <c r="Q18" s="1835"/>
      <c r="R18" s="1836"/>
      <c r="S18" s="2165"/>
      <c r="T18" s="2311"/>
      <c r="U18" s="2519"/>
      <c r="V18" s="1922"/>
      <c r="W18" s="1838"/>
      <c r="X18" s="1924"/>
      <c r="Y18" s="1947"/>
      <c r="Z18" s="1707"/>
      <c r="AA18" s="2318"/>
      <c r="AB18" s="1888"/>
      <c r="AC18" s="2064"/>
      <c r="AD18" s="2293"/>
      <c r="AE18" s="1769"/>
      <c r="AF18" s="2202"/>
      <c r="AG18" s="1891"/>
      <c r="AH18" s="1892"/>
      <c r="AI18" s="1920"/>
      <c r="AJ18" s="2327"/>
      <c r="AK18" s="2076"/>
      <c r="AL18" s="1921"/>
      <c r="AM18" s="2165"/>
      <c r="AN18" s="2311"/>
      <c r="AO18" s="2519"/>
      <c r="AP18" s="1922"/>
      <c r="AQ18" s="1923"/>
      <c r="AR18" s="1924"/>
      <c r="AS18" s="1947"/>
      <c r="AT18" s="1891"/>
      <c r="AU18" s="1948"/>
      <c r="AV18" s="1924"/>
      <c r="AW18" s="3634"/>
      <c r="AX18" s="3634"/>
      <c r="AY18" s="2261"/>
      <c r="AZ18" s="1942"/>
      <c r="BA18" s="3630"/>
    </row>
    <row r="19" spans="1:144" ht="15" customHeight="1" thickBot="1">
      <c r="A19" s="3695"/>
      <c r="B19" s="1724" t="s">
        <v>34</v>
      </c>
      <c r="C19" s="3680"/>
      <c r="D19" s="2273">
        <f t="shared" ref="D19:D27" si="7">SUM(E19:AV19)</f>
        <v>0</v>
      </c>
      <c r="E19" s="1706"/>
      <c r="F19" s="1707"/>
      <c r="G19" s="2277"/>
      <c r="H19" s="1712"/>
      <c r="I19" s="1779"/>
      <c r="J19" s="2296"/>
      <c r="K19" s="1708"/>
      <c r="L19" s="2134"/>
      <c r="M19" s="1781"/>
      <c r="N19" s="1892"/>
      <c r="O19" s="1780"/>
      <c r="P19" s="1772"/>
      <c r="Q19" s="1835"/>
      <c r="R19" s="1836"/>
      <c r="S19" s="2165"/>
      <c r="T19" s="2311"/>
      <c r="U19" s="2519"/>
      <c r="V19" s="1922"/>
      <c r="W19" s="1838"/>
      <c r="X19" s="1839"/>
      <c r="Y19" s="1706"/>
      <c r="Z19" s="1707"/>
      <c r="AA19" s="2318"/>
      <c r="AB19" s="1888"/>
      <c r="AC19" s="2064"/>
      <c r="AD19" s="2296"/>
      <c r="AE19" s="1708"/>
      <c r="AF19" s="2134"/>
      <c r="AG19" s="1891"/>
      <c r="AH19" s="1892"/>
      <c r="AI19" s="1920"/>
      <c r="AJ19" s="2330"/>
      <c r="AK19" s="2076"/>
      <c r="AL19" s="1921"/>
      <c r="AM19" s="2165"/>
      <c r="AN19" s="2311"/>
      <c r="AO19" s="2519"/>
      <c r="AP19" s="1922"/>
      <c r="AQ19" s="1923"/>
      <c r="AR19" s="1924"/>
      <c r="AS19" s="1947"/>
      <c r="AT19" s="1891"/>
      <c r="AU19" s="1948"/>
      <c r="AV19" s="1924"/>
      <c r="AW19" s="3634"/>
      <c r="AX19" s="3634"/>
      <c r="AY19" s="2261"/>
      <c r="AZ19" s="1942"/>
      <c r="BA19" s="3631"/>
      <c r="BB19" s="1"/>
      <c r="BC19" s="1"/>
      <c r="BD19" s="1"/>
      <c r="BE19" s="1"/>
      <c r="BF19" s="1"/>
    </row>
    <row r="20" spans="1:144" ht="15.75" customHeight="1" thickBot="1">
      <c r="A20" s="3694">
        <v>46120</v>
      </c>
      <c r="B20" s="1688" t="s">
        <v>32</v>
      </c>
      <c r="C20" s="3678">
        <f>SUM(D20:D22)</f>
        <v>963</v>
      </c>
      <c r="D20" s="2273">
        <f t="shared" si="7"/>
        <v>485</v>
      </c>
      <c r="E20" s="1726"/>
      <c r="F20" s="1691"/>
      <c r="G20" s="2274"/>
      <c r="H20" s="1713"/>
      <c r="I20" s="1782"/>
      <c r="J20" s="2300"/>
      <c r="K20" s="1748"/>
      <c r="L20" s="2199"/>
      <c r="M20" s="1747"/>
      <c r="N20" s="1750"/>
      <c r="O20" s="1746"/>
      <c r="P20" s="1751"/>
      <c r="Q20" s="1816"/>
      <c r="R20" s="1817"/>
      <c r="S20" s="2163"/>
      <c r="T20" s="2306"/>
      <c r="U20" s="2516">
        <v>460</v>
      </c>
      <c r="V20" s="1911"/>
      <c r="W20" s="1819"/>
      <c r="X20" s="1865"/>
      <c r="Y20" s="1690"/>
      <c r="Z20" s="1691"/>
      <c r="AA20" s="2282"/>
      <c r="AB20" s="1893"/>
      <c r="AC20" s="2065"/>
      <c r="AD20" s="2300"/>
      <c r="AE20" s="1748"/>
      <c r="AF20" s="2199"/>
      <c r="AG20" s="1873"/>
      <c r="AH20" s="1874"/>
      <c r="AI20" s="1909"/>
      <c r="AJ20" s="2333"/>
      <c r="AK20" s="2078"/>
      <c r="AL20" s="1910"/>
      <c r="AM20" s="2163"/>
      <c r="AN20" s="2306"/>
      <c r="AO20" s="2516"/>
      <c r="AP20" s="1911"/>
      <c r="AQ20" s="1864"/>
      <c r="AR20" s="1865"/>
      <c r="AS20" s="1726"/>
      <c r="AT20" s="1873">
        <v>25</v>
      </c>
      <c r="AU20" s="1940"/>
      <c r="AV20" s="1865"/>
      <c r="AW20" s="3633">
        <f>SUM(E20:X22)</f>
        <v>900</v>
      </c>
      <c r="AX20" s="3633">
        <f>SUM(E20:AR22)</f>
        <v>900</v>
      </c>
      <c r="AY20" s="2261">
        <v>402</v>
      </c>
      <c r="AZ20" s="1942" t="s">
        <v>532</v>
      </c>
      <c r="BA20" s="3629" t="s">
        <v>33</v>
      </c>
      <c r="BB20" s="1"/>
      <c r="BC20" s="1"/>
      <c r="BD20" s="1"/>
      <c r="BE20" s="1"/>
      <c r="BF20" s="1"/>
    </row>
    <row r="21" spans="1:144" ht="15" customHeight="1" thickBot="1">
      <c r="A21" s="3695"/>
      <c r="B21" s="1694" t="s">
        <v>34</v>
      </c>
      <c r="C21" s="3679"/>
      <c r="D21" s="1705">
        <f t="shared" si="7"/>
        <v>478</v>
      </c>
      <c r="E21" s="1706"/>
      <c r="F21" s="1707"/>
      <c r="G21" s="2277"/>
      <c r="H21" s="1712"/>
      <c r="I21" s="1779"/>
      <c r="J21" s="2293"/>
      <c r="K21" s="1769"/>
      <c r="L21" s="2202"/>
      <c r="M21" s="1768"/>
      <c r="N21" s="1771"/>
      <c r="O21" s="1767"/>
      <c r="P21" s="1772"/>
      <c r="Q21" s="1835"/>
      <c r="R21" s="1836"/>
      <c r="S21" s="2165"/>
      <c r="T21" s="2311"/>
      <c r="U21" s="2519">
        <v>440</v>
      </c>
      <c r="V21" s="1922"/>
      <c r="W21" s="1838"/>
      <c r="X21" s="1924"/>
      <c r="Y21" s="1947"/>
      <c r="Z21" s="1707"/>
      <c r="AA21" s="2318"/>
      <c r="AB21" s="1888"/>
      <c r="AC21" s="2064"/>
      <c r="AD21" s="2293"/>
      <c r="AE21" s="1769"/>
      <c r="AF21" s="2202"/>
      <c r="AG21" s="1891"/>
      <c r="AH21" s="1892"/>
      <c r="AI21" s="1920"/>
      <c r="AJ21" s="2327"/>
      <c r="AK21" s="2076"/>
      <c r="AL21" s="1921"/>
      <c r="AM21" s="2165"/>
      <c r="AN21" s="2311"/>
      <c r="AO21" s="2519"/>
      <c r="AP21" s="1922"/>
      <c r="AQ21" s="1923"/>
      <c r="AR21" s="1924"/>
      <c r="AS21" s="1947"/>
      <c r="AT21" s="1891">
        <v>38</v>
      </c>
      <c r="AU21" s="1948"/>
      <c r="AV21" s="1924"/>
      <c r="AW21" s="3634"/>
      <c r="AX21" s="3634"/>
      <c r="AY21" s="2261"/>
      <c r="AZ21" s="1942"/>
      <c r="BA21" s="3630"/>
    </row>
    <row r="22" spans="1:144" ht="15.75" customHeight="1" thickBot="1">
      <c r="A22" s="3695"/>
      <c r="B22" s="1694" t="s">
        <v>34</v>
      </c>
      <c r="C22" s="3680"/>
      <c r="D22" s="2279">
        <f t="shared" si="7"/>
        <v>0</v>
      </c>
      <c r="E22" s="1735"/>
      <c r="F22" s="1716"/>
      <c r="G22" s="2280"/>
      <c r="H22" s="1718"/>
      <c r="I22" s="1785"/>
      <c r="J22" s="2297"/>
      <c r="K22" s="1717"/>
      <c r="L22" s="2160"/>
      <c r="M22" s="1787"/>
      <c r="N22" s="1902"/>
      <c r="O22" s="1786"/>
      <c r="P22" s="1790"/>
      <c r="Q22" s="1841"/>
      <c r="R22" s="1842"/>
      <c r="S22" s="2194"/>
      <c r="T22" s="2313"/>
      <c r="U22" s="2521"/>
      <c r="V22" s="1927"/>
      <c r="W22" s="1860"/>
      <c r="X22" s="1861"/>
      <c r="Y22" s="1715"/>
      <c r="Z22" s="1716"/>
      <c r="AA22" s="2320"/>
      <c r="AB22" s="1898"/>
      <c r="AC22" s="2067"/>
      <c r="AD22" s="2297"/>
      <c r="AE22" s="1717"/>
      <c r="AF22" s="2160"/>
      <c r="AG22" s="1901"/>
      <c r="AH22" s="1902"/>
      <c r="AI22" s="1925"/>
      <c r="AJ22" s="2331"/>
      <c r="AK22" s="2083"/>
      <c r="AL22" s="1926"/>
      <c r="AM22" s="2194"/>
      <c r="AN22" s="2313"/>
      <c r="AO22" s="2521"/>
      <c r="AP22" s="1927"/>
      <c r="AQ22" s="1844"/>
      <c r="AR22" s="1845"/>
      <c r="AS22" s="1715"/>
      <c r="AT22" s="1901"/>
      <c r="AU22" s="1949"/>
      <c r="AV22" s="1845"/>
      <c r="AW22" s="3635"/>
      <c r="AX22" s="3635"/>
      <c r="AY22" s="2261"/>
      <c r="AZ22" s="1942"/>
      <c r="BA22" s="3630"/>
    </row>
    <row r="23" spans="1:144" s="246" customFormat="1" ht="15" customHeight="1" thickBot="1">
      <c r="A23" s="3686">
        <v>46125</v>
      </c>
      <c r="B23" s="1688" t="s">
        <v>32</v>
      </c>
      <c r="C23" s="3678">
        <f>SUM(D23:D25)</f>
        <v>622</v>
      </c>
      <c r="D23" s="2273">
        <f t="shared" si="7"/>
        <v>622</v>
      </c>
      <c r="E23" s="1726"/>
      <c r="F23" s="2193"/>
      <c r="G23" s="2276"/>
      <c r="H23" s="2154"/>
      <c r="I23" s="2155"/>
      <c r="J23" s="2290"/>
      <c r="K23" s="2124"/>
      <c r="L23" s="2157"/>
      <c r="M23" s="95"/>
      <c r="N23" s="2158"/>
      <c r="O23" s="2291"/>
      <c r="P23" s="2292"/>
      <c r="Q23" s="2186"/>
      <c r="R23" s="2187"/>
      <c r="S23" s="2188"/>
      <c r="T23" s="2309"/>
      <c r="U23" s="2518">
        <v>580</v>
      </c>
      <c r="V23" s="2254"/>
      <c r="W23" s="2310"/>
      <c r="X23" s="2191"/>
      <c r="Y23" s="1690"/>
      <c r="Z23" s="2193"/>
      <c r="AA23" s="2316"/>
      <c r="AB23" s="2223"/>
      <c r="AC23" s="2317"/>
      <c r="AD23" s="2290"/>
      <c r="AE23" s="2124"/>
      <c r="AF23" s="2157"/>
      <c r="AG23" s="2228"/>
      <c r="AH23" s="2251"/>
      <c r="AI23" s="2324"/>
      <c r="AJ23" s="2325"/>
      <c r="AK23" s="2326"/>
      <c r="AL23" s="2252"/>
      <c r="AM23" s="2188"/>
      <c r="AN23" s="2309"/>
      <c r="AO23" s="2518">
        <v>12</v>
      </c>
      <c r="AP23" s="2254"/>
      <c r="AQ23" s="2256"/>
      <c r="AR23" s="2264"/>
      <c r="AS23" s="1855"/>
      <c r="AT23" s="2228">
        <v>30</v>
      </c>
      <c r="AU23" s="2334"/>
      <c r="AV23" s="2264"/>
      <c r="AW23" s="3642">
        <f>SUM(E23:X25)</f>
        <v>580</v>
      </c>
      <c r="AX23" s="3633">
        <f>SUM(E23:AR25)</f>
        <v>592</v>
      </c>
      <c r="AY23" s="1942">
        <v>402</v>
      </c>
      <c r="AZ23" s="1942" t="s">
        <v>466</v>
      </c>
      <c r="BA23" s="3675" t="s">
        <v>33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</row>
    <row r="24" spans="1:144" ht="15" customHeight="1" thickBot="1">
      <c r="A24" s="3687"/>
      <c r="B24" s="1694" t="s">
        <v>34</v>
      </c>
      <c r="C24" s="3679"/>
      <c r="D24" s="1705">
        <f t="shared" si="7"/>
        <v>0</v>
      </c>
      <c r="E24" s="1706"/>
      <c r="F24" s="1707"/>
      <c r="G24" s="2277"/>
      <c r="H24" s="1712"/>
      <c r="I24" s="1779"/>
      <c r="J24" s="2293"/>
      <c r="K24" s="1769"/>
      <c r="L24" s="2202"/>
      <c r="M24" s="1768"/>
      <c r="N24" s="1771"/>
      <c r="O24" s="1767"/>
      <c r="P24" s="1772"/>
      <c r="Q24" s="1835"/>
      <c r="R24" s="1836"/>
      <c r="S24" s="2165"/>
      <c r="T24" s="2311"/>
      <c r="U24" s="2519"/>
      <c r="V24" s="1922"/>
      <c r="W24" s="1838"/>
      <c r="X24" s="1924"/>
      <c r="Y24" s="1947"/>
      <c r="Z24" s="1707"/>
      <c r="AA24" s="2318"/>
      <c r="AB24" s="1888"/>
      <c r="AC24" s="2064"/>
      <c r="AD24" s="2293"/>
      <c r="AE24" s="1769"/>
      <c r="AF24" s="2202"/>
      <c r="AG24" s="1891"/>
      <c r="AH24" s="1892"/>
      <c r="AI24" s="1920"/>
      <c r="AJ24" s="2327"/>
      <c r="AK24" s="2076"/>
      <c r="AL24" s="1921"/>
      <c r="AM24" s="2165"/>
      <c r="AN24" s="2311"/>
      <c r="AO24" s="2519"/>
      <c r="AP24" s="1922"/>
      <c r="AQ24" s="1923"/>
      <c r="AR24" s="1924"/>
      <c r="AS24" s="1947"/>
      <c r="AT24" s="1891"/>
      <c r="AU24" s="1948"/>
      <c r="AV24" s="1924"/>
      <c r="AW24" s="3643"/>
      <c r="AX24" s="3634"/>
      <c r="AY24" s="1951"/>
      <c r="AZ24" s="1942"/>
      <c r="BA24" s="3632"/>
    </row>
    <row r="25" spans="1:144" ht="15" customHeight="1" thickBot="1">
      <c r="A25" s="3688"/>
      <c r="B25" s="1999" t="s">
        <v>34</v>
      </c>
      <c r="C25" s="3680"/>
      <c r="D25" s="3418">
        <f t="shared" si="7"/>
        <v>0</v>
      </c>
      <c r="E25" s="1735"/>
      <c r="F25" s="1716"/>
      <c r="G25" s="2280"/>
      <c r="H25" s="1718"/>
      <c r="I25" s="1785"/>
      <c r="J25" s="2297"/>
      <c r="K25" s="1717"/>
      <c r="L25" s="2160"/>
      <c r="M25" s="1787"/>
      <c r="N25" s="1789"/>
      <c r="O25" s="1786"/>
      <c r="P25" s="1790"/>
      <c r="Q25" s="1841"/>
      <c r="R25" s="1842"/>
      <c r="S25" s="2194"/>
      <c r="T25" s="2313"/>
      <c r="U25" s="2521"/>
      <c r="V25" s="1927"/>
      <c r="W25" s="1860"/>
      <c r="X25" s="1861"/>
      <c r="Y25" s="1715"/>
      <c r="Z25" s="1716"/>
      <c r="AA25" s="2320"/>
      <c r="AB25" s="1898"/>
      <c r="AC25" s="2067"/>
      <c r="AD25" s="2297"/>
      <c r="AE25" s="1717"/>
      <c r="AF25" s="2160"/>
      <c r="AG25" s="1901"/>
      <c r="AH25" s="1902"/>
      <c r="AI25" s="1925"/>
      <c r="AJ25" s="2331"/>
      <c r="AK25" s="2083"/>
      <c r="AL25" s="1926"/>
      <c r="AM25" s="2194"/>
      <c r="AN25" s="2313"/>
      <c r="AO25" s="2521"/>
      <c r="AP25" s="1927"/>
      <c r="AQ25" s="1844"/>
      <c r="AR25" s="1845"/>
      <c r="AS25" s="1715"/>
      <c r="AT25" s="1901"/>
      <c r="AU25" s="1949"/>
      <c r="AV25" s="1845"/>
      <c r="AW25" s="3643"/>
      <c r="AX25" s="3634"/>
      <c r="AY25" s="1953"/>
      <c r="AZ25" s="1953"/>
      <c r="BA25" s="3630"/>
      <c r="BB25" s="1"/>
      <c r="BC25" s="1"/>
      <c r="BD25" s="1"/>
      <c r="BE25" s="1"/>
      <c r="BF25" s="1"/>
    </row>
    <row r="26" spans="1:144" ht="16.5" customHeight="1">
      <c r="A26" s="3686">
        <v>46126</v>
      </c>
      <c r="B26" s="3428" t="s">
        <v>32</v>
      </c>
      <c r="C26" s="3689">
        <f>SUM(D26:D29)</f>
        <v>631</v>
      </c>
      <c r="D26" s="3430">
        <f t="shared" si="7"/>
        <v>198</v>
      </c>
      <c r="E26" s="3470"/>
      <c r="F26" s="3432"/>
      <c r="G26" s="3433"/>
      <c r="H26" s="3434"/>
      <c r="I26" s="3435"/>
      <c r="J26" s="3436"/>
      <c r="K26" s="3437"/>
      <c r="L26" s="3438"/>
      <c r="M26" s="3439"/>
      <c r="N26" s="3440"/>
      <c r="O26" s="3441"/>
      <c r="P26" s="3442"/>
      <c r="Q26" s="3443"/>
      <c r="R26" s="3444"/>
      <c r="S26" s="3445"/>
      <c r="T26" s="3446"/>
      <c r="U26" s="3447">
        <v>180</v>
      </c>
      <c r="V26" s="3448"/>
      <c r="W26" s="3449"/>
      <c r="X26" s="3450"/>
      <c r="Y26" s="3431"/>
      <c r="Z26" s="3432"/>
      <c r="AA26" s="3451"/>
      <c r="AB26" s="3452"/>
      <c r="AC26" s="3453"/>
      <c r="AD26" s="3436"/>
      <c r="AE26" s="3437"/>
      <c r="AF26" s="3438"/>
      <c r="AG26" s="3454"/>
      <c r="AH26" s="3455"/>
      <c r="AI26" s="3456"/>
      <c r="AJ26" s="3457"/>
      <c r="AK26" s="3458"/>
      <c r="AL26" s="3459"/>
      <c r="AM26" s="3445"/>
      <c r="AN26" s="3446"/>
      <c r="AO26" s="3447"/>
      <c r="AP26" s="3448"/>
      <c r="AQ26" s="3449"/>
      <c r="AR26" s="3450"/>
      <c r="AS26" s="3431"/>
      <c r="AT26" s="3454">
        <v>18</v>
      </c>
      <c r="AU26" s="3443"/>
      <c r="AV26" s="3450"/>
      <c r="AW26" s="3677">
        <f>SUM(E26:X29)</f>
        <v>596</v>
      </c>
      <c r="AX26" s="3677">
        <f>SUM(E26:AR29)</f>
        <v>596</v>
      </c>
      <c r="AY26" s="3430">
        <v>402</v>
      </c>
      <c r="AZ26" s="3430" t="s">
        <v>466</v>
      </c>
      <c r="BA26" s="3676"/>
      <c r="BB26" s="1"/>
      <c r="BC26" s="1"/>
      <c r="BD26" s="1"/>
      <c r="BE26" s="1"/>
      <c r="BF26" s="1"/>
    </row>
    <row r="27" spans="1:144" ht="15" customHeight="1">
      <c r="A27" s="3687"/>
      <c r="B27" s="3429" t="s">
        <v>34</v>
      </c>
      <c r="C27" s="3690"/>
      <c r="D27" s="3430">
        <f t="shared" si="7"/>
        <v>433</v>
      </c>
      <c r="E27" s="3470">
        <v>416</v>
      </c>
      <c r="F27" s="3432"/>
      <c r="G27" s="3433"/>
      <c r="H27" s="3434"/>
      <c r="I27" s="3435"/>
      <c r="J27" s="3469"/>
      <c r="K27" s="3437"/>
      <c r="L27" s="3438"/>
      <c r="M27" s="3439"/>
      <c r="N27" s="3440"/>
      <c r="O27" s="3441"/>
      <c r="P27" s="3442"/>
      <c r="Q27" s="3443"/>
      <c r="R27" s="3444"/>
      <c r="S27" s="3445"/>
      <c r="T27" s="3446"/>
      <c r="U27" s="3447"/>
      <c r="V27" s="3448"/>
      <c r="W27" s="3449"/>
      <c r="X27" s="3450"/>
      <c r="Y27" s="3431"/>
      <c r="Z27" s="3432"/>
      <c r="AA27" s="3451"/>
      <c r="AB27" s="3452"/>
      <c r="AC27" s="3453"/>
      <c r="AD27" s="3469"/>
      <c r="AE27" s="3437"/>
      <c r="AF27" s="3438"/>
      <c r="AG27" s="3454"/>
      <c r="AH27" s="3455"/>
      <c r="AI27" s="3456"/>
      <c r="AJ27" s="3457"/>
      <c r="AK27" s="3458"/>
      <c r="AL27" s="3459"/>
      <c r="AM27" s="3445"/>
      <c r="AN27" s="3446"/>
      <c r="AO27" s="3447"/>
      <c r="AP27" s="3448"/>
      <c r="AQ27" s="3449"/>
      <c r="AR27" s="3450"/>
      <c r="AS27" s="3431">
        <v>17</v>
      </c>
      <c r="AT27" s="3454"/>
      <c r="AU27" s="3443"/>
      <c r="AV27" s="3450"/>
      <c r="AW27" s="3677"/>
      <c r="AX27" s="3677"/>
      <c r="AY27" s="3430">
        <v>10001</v>
      </c>
      <c r="AZ27" s="3430" t="s">
        <v>41</v>
      </c>
      <c r="BA27" s="3676"/>
    </row>
    <row r="28" spans="1:144" ht="15" customHeight="1">
      <c r="A28" s="3687"/>
      <c r="B28" s="3429" t="s">
        <v>34</v>
      </c>
      <c r="C28" s="3690"/>
      <c r="D28" s="3430">
        <f t="shared" ref="D28" si="8">SUM(E28:AV28)</f>
        <v>0</v>
      </c>
      <c r="E28" s="3431"/>
      <c r="F28" s="3432"/>
      <c r="G28" s="3433"/>
      <c r="H28" s="3434"/>
      <c r="I28" s="3435"/>
      <c r="J28" s="3469"/>
      <c r="K28" s="3437"/>
      <c r="L28" s="3438"/>
      <c r="M28" s="3439"/>
      <c r="N28" s="3440"/>
      <c r="O28" s="3441"/>
      <c r="P28" s="3442"/>
      <c r="Q28" s="3443"/>
      <c r="R28" s="3444"/>
      <c r="S28" s="3445"/>
      <c r="T28" s="3446"/>
      <c r="U28" s="3447"/>
      <c r="V28" s="3448"/>
      <c r="W28" s="3449"/>
      <c r="X28" s="3450"/>
      <c r="Y28" s="3431"/>
      <c r="Z28" s="3432"/>
      <c r="AA28" s="3451"/>
      <c r="AB28" s="3452"/>
      <c r="AC28" s="3453"/>
      <c r="AD28" s="3469"/>
      <c r="AE28" s="3437"/>
      <c r="AF28" s="3438"/>
      <c r="AG28" s="3454"/>
      <c r="AH28" s="3455"/>
      <c r="AI28" s="3456"/>
      <c r="AJ28" s="3457"/>
      <c r="AK28" s="3458"/>
      <c r="AL28" s="3459"/>
      <c r="AM28" s="3445"/>
      <c r="AN28" s="3446"/>
      <c r="AO28" s="3447"/>
      <c r="AP28" s="3448"/>
      <c r="AQ28" s="3449"/>
      <c r="AR28" s="3450"/>
      <c r="AS28" s="3431"/>
      <c r="AT28" s="3471"/>
      <c r="AU28" s="3443"/>
      <c r="AV28" s="3450"/>
      <c r="AW28" s="3677"/>
      <c r="AX28" s="3677"/>
      <c r="AY28" s="3430"/>
      <c r="AZ28" s="3430"/>
      <c r="BA28" s="3676"/>
    </row>
    <row r="29" spans="1:144" ht="15.75" customHeight="1" thickBot="1">
      <c r="A29" s="3688"/>
      <c r="B29" s="3429" t="s">
        <v>34</v>
      </c>
      <c r="C29" s="3690"/>
      <c r="D29" s="3430">
        <f t="shared" ref="D29:D41" si="9">SUM(E29:AV29)</f>
        <v>0</v>
      </c>
      <c r="E29" s="3431"/>
      <c r="F29" s="3432"/>
      <c r="G29" s="3433"/>
      <c r="H29" s="3434"/>
      <c r="I29" s="3435"/>
      <c r="J29" s="3460"/>
      <c r="K29" s="3461"/>
      <c r="L29" s="3462"/>
      <c r="M29" s="3463"/>
      <c r="N29" s="3440"/>
      <c r="O29" s="3464"/>
      <c r="P29" s="3442"/>
      <c r="Q29" s="3443"/>
      <c r="R29" s="3444"/>
      <c r="S29" s="3445"/>
      <c r="T29" s="3446"/>
      <c r="U29" s="3447"/>
      <c r="V29" s="3448"/>
      <c r="W29" s="3449"/>
      <c r="X29" s="3450"/>
      <c r="Y29" s="3431"/>
      <c r="Z29" s="3432"/>
      <c r="AA29" s="3451"/>
      <c r="AB29" s="3452"/>
      <c r="AC29" s="3453"/>
      <c r="AD29" s="3460"/>
      <c r="AE29" s="3461"/>
      <c r="AF29" s="3462"/>
      <c r="AG29" s="3454"/>
      <c r="AH29" s="3455"/>
      <c r="AI29" s="3456"/>
      <c r="AJ29" s="3465"/>
      <c r="AK29" s="3458"/>
      <c r="AL29" s="3459"/>
      <c r="AM29" s="3445"/>
      <c r="AN29" s="3446"/>
      <c r="AO29" s="3447"/>
      <c r="AP29" s="3448"/>
      <c r="AQ29" s="3449"/>
      <c r="AR29" s="3450"/>
      <c r="AS29" s="3431"/>
      <c r="AT29" s="3454"/>
      <c r="AU29" s="3443"/>
      <c r="AV29" s="3450"/>
      <c r="AW29" s="3677"/>
      <c r="AX29" s="3677"/>
      <c r="AY29" s="3430"/>
      <c r="AZ29" s="3430"/>
      <c r="BA29" s="3676"/>
    </row>
    <row r="30" spans="1:144" ht="15" customHeight="1" thickBot="1">
      <c r="A30" s="3694">
        <v>46127</v>
      </c>
      <c r="B30" s="1688" t="s">
        <v>32</v>
      </c>
      <c r="C30" s="3678">
        <f>SUM(D30:D33)</f>
        <v>809</v>
      </c>
      <c r="D30" s="2279">
        <f t="shared" si="9"/>
        <v>336</v>
      </c>
      <c r="E30" s="1833">
        <v>320</v>
      </c>
      <c r="F30" s="1702"/>
      <c r="G30" s="2278"/>
      <c r="H30" s="1711"/>
      <c r="I30" s="1776"/>
      <c r="J30" s="2295"/>
      <c r="K30" s="1762"/>
      <c r="L30" s="2208"/>
      <c r="M30" s="1761"/>
      <c r="N30" s="1764"/>
      <c r="O30" s="1760"/>
      <c r="P30" s="1765"/>
      <c r="Q30" s="1828"/>
      <c r="R30" s="1829"/>
      <c r="S30" s="2169"/>
      <c r="T30" s="2312"/>
      <c r="U30" s="2520"/>
      <c r="V30" s="1917"/>
      <c r="W30" s="1831"/>
      <c r="X30" s="1919"/>
      <c r="Y30" s="1701"/>
      <c r="Z30" s="1702"/>
      <c r="AA30" s="2319"/>
      <c r="AB30" s="1882"/>
      <c r="AC30" s="2063"/>
      <c r="AD30" s="2295"/>
      <c r="AE30" s="1762"/>
      <c r="AF30" s="2208"/>
      <c r="AG30" s="1885"/>
      <c r="AH30" s="1886"/>
      <c r="AI30" s="1915"/>
      <c r="AJ30" s="2329"/>
      <c r="AK30" s="2074"/>
      <c r="AL30" s="1916"/>
      <c r="AM30" s="2169"/>
      <c r="AN30" s="2312"/>
      <c r="AO30" s="2520"/>
      <c r="AP30" s="1917"/>
      <c r="AQ30" s="1918"/>
      <c r="AR30" s="1919"/>
      <c r="AS30" s="1833">
        <v>16</v>
      </c>
      <c r="AT30" s="1885"/>
      <c r="AU30" s="1946"/>
      <c r="AV30" s="1919"/>
      <c r="AW30" s="3634">
        <f>SUM(E30:X33)</f>
        <v>768</v>
      </c>
      <c r="AX30" s="3634">
        <f>SUM(E30:AR33)</f>
        <v>768</v>
      </c>
      <c r="AY30" s="1941">
        <v>10001</v>
      </c>
      <c r="AZ30" s="1941" t="s">
        <v>41</v>
      </c>
      <c r="BA30" s="3630" t="s">
        <v>33</v>
      </c>
    </row>
    <row r="31" spans="1:144" ht="15" customHeight="1" thickBot="1">
      <c r="A31" s="3695"/>
      <c r="B31" s="1688" t="s">
        <v>34</v>
      </c>
      <c r="C31" s="3679"/>
      <c r="D31" s="1705">
        <f t="shared" ref="D31" si="10">SUM(E31:AV31)</f>
        <v>473</v>
      </c>
      <c r="E31" s="1706">
        <v>448</v>
      </c>
      <c r="F31" s="1707"/>
      <c r="G31" s="2277"/>
      <c r="H31" s="1712"/>
      <c r="I31" s="1779"/>
      <c r="J31" s="2293"/>
      <c r="K31" s="1769"/>
      <c r="L31" s="2202"/>
      <c r="M31" s="1768"/>
      <c r="N31" s="1771"/>
      <c r="O31" s="1767"/>
      <c r="P31" s="1772"/>
      <c r="Q31" s="1835"/>
      <c r="R31" s="1836"/>
      <c r="S31" s="2165"/>
      <c r="T31" s="2311"/>
      <c r="U31" s="2519"/>
      <c r="V31" s="1922"/>
      <c r="W31" s="1838"/>
      <c r="X31" s="1924"/>
      <c r="Y31" s="1947"/>
      <c r="Z31" s="1707"/>
      <c r="AA31" s="2318"/>
      <c r="AB31" s="1888"/>
      <c r="AC31" s="2064"/>
      <c r="AD31" s="2293"/>
      <c r="AE31" s="1769"/>
      <c r="AF31" s="2202"/>
      <c r="AG31" s="1891"/>
      <c r="AH31" s="1892"/>
      <c r="AI31" s="1920"/>
      <c r="AJ31" s="2327"/>
      <c r="AK31" s="2076"/>
      <c r="AL31" s="1921"/>
      <c r="AM31" s="2165"/>
      <c r="AN31" s="2311"/>
      <c r="AO31" s="2519"/>
      <c r="AP31" s="1922"/>
      <c r="AQ31" s="1923"/>
      <c r="AR31" s="1924"/>
      <c r="AS31" s="1947">
        <v>25</v>
      </c>
      <c r="AT31" s="1891"/>
      <c r="AU31" s="1948"/>
      <c r="AV31" s="1924"/>
      <c r="AW31" s="3643"/>
      <c r="AX31" s="3634"/>
      <c r="AY31" s="1951"/>
      <c r="AZ31" s="1942"/>
      <c r="BA31" s="3630"/>
    </row>
    <row r="32" spans="1:144" ht="15" customHeight="1" thickBot="1">
      <c r="A32" s="3695"/>
      <c r="B32" s="1688" t="s">
        <v>34</v>
      </c>
      <c r="C32" s="3679"/>
      <c r="D32" s="1705">
        <f t="shared" si="9"/>
        <v>0</v>
      </c>
      <c r="E32" s="1706"/>
      <c r="F32" s="1707"/>
      <c r="G32" s="2277"/>
      <c r="H32" s="1712"/>
      <c r="I32" s="1779"/>
      <c r="J32" s="2293"/>
      <c r="K32" s="1769"/>
      <c r="L32" s="2202"/>
      <c r="M32" s="1768"/>
      <c r="N32" s="1771"/>
      <c r="O32" s="1767"/>
      <c r="P32" s="1772"/>
      <c r="Q32" s="1835"/>
      <c r="R32" s="1836"/>
      <c r="S32" s="2165"/>
      <c r="T32" s="2311"/>
      <c r="U32" s="2519"/>
      <c r="V32" s="1922"/>
      <c r="W32" s="1838"/>
      <c r="X32" s="1924"/>
      <c r="Y32" s="1947"/>
      <c r="Z32" s="1707"/>
      <c r="AA32" s="2318"/>
      <c r="AB32" s="1888"/>
      <c r="AC32" s="2064"/>
      <c r="AD32" s="2293"/>
      <c r="AE32" s="1769"/>
      <c r="AF32" s="2202"/>
      <c r="AG32" s="1891"/>
      <c r="AH32" s="1892"/>
      <c r="AI32" s="1920"/>
      <c r="AJ32" s="2327"/>
      <c r="AK32" s="2076"/>
      <c r="AL32" s="1921"/>
      <c r="AM32" s="2165"/>
      <c r="AN32" s="2311"/>
      <c r="AO32" s="2519"/>
      <c r="AP32" s="1922"/>
      <c r="AQ32" s="1923"/>
      <c r="AR32" s="1924"/>
      <c r="AS32" s="1947"/>
      <c r="AT32" s="1891"/>
      <c r="AU32" s="1948"/>
      <c r="AV32" s="1924"/>
      <c r="AW32" s="3643"/>
      <c r="AX32" s="3634"/>
      <c r="AY32" s="1951"/>
      <c r="AZ32" s="1942"/>
      <c r="BA32" s="3630"/>
    </row>
    <row r="33" spans="1:53" ht="15" customHeight="1" thickBot="1">
      <c r="A33" s="3695"/>
      <c r="B33" s="1995" t="s">
        <v>34</v>
      </c>
      <c r="C33" s="3679"/>
      <c r="D33" s="2273">
        <f t="shared" si="9"/>
        <v>0</v>
      </c>
      <c r="E33" s="2281"/>
      <c r="F33" s="1707"/>
      <c r="G33" s="2277"/>
      <c r="H33" s="1712"/>
      <c r="I33" s="1779"/>
      <c r="J33" s="2296"/>
      <c r="K33" s="1708"/>
      <c r="L33" s="2134"/>
      <c r="M33" s="1781"/>
      <c r="N33" s="1771"/>
      <c r="O33" s="1780"/>
      <c r="P33" s="1772"/>
      <c r="Q33" s="1835"/>
      <c r="R33" s="1836"/>
      <c r="S33" s="2165"/>
      <c r="T33" s="2311"/>
      <c r="U33" s="2519"/>
      <c r="V33" s="2314"/>
      <c r="W33" s="2315"/>
      <c r="X33" s="1889"/>
      <c r="Y33" s="2281"/>
      <c r="Z33" s="1707"/>
      <c r="AA33" s="2318"/>
      <c r="AB33" s="1888"/>
      <c r="AC33" s="2064"/>
      <c r="AD33" s="2296"/>
      <c r="AE33" s="1708"/>
      <c r="AF33" s="2134"/>
      <c r="AG33" s="1891"/>
      <c r="AH33" s="1892"/>
      <c r="AI33" s="1920"/>
      <c r="AJ33" s="2330"/>
      <c r="AK33" s="2076"/>
      <c r="AL33" s="1921"/>
      <c r="AM33" s="2165"/>
      <c r="AN33" s="2311"/>
      <c r="AO33" s="2519"/>
      <c r="AP33" s="2314"/>
      <c r="AQ33" s="2315"/>
      <c r="AR33" s="1889"/>
      <c r="AS33" s="2281"/>
      <c r="AT33" s="1891"/>
      <c r="AU33" s="1835"/>
      <c r="AV33" s="1889"/>
      <c r="AW33" s="3644"/>
      <c r="AX33" s="3634"/>
      <c r="AY33" s="1942"/>
      <c r="AZ33" s="1942"/>
      <c r="BA33" s="3630"/>
    </row>
    <row r="34" spans="1:53" ht="15" customHeight="1" thickBot="1">
      <c r="A34" s="3686">
        <v>46128</v>
      </c>
      <c r="B34" s="1688" t="s">
        <v>32</v>
      </c>
      <c r="C34" s="3678">
        <f>SUM(D34:D35)</f>
        <v>921</v>
      </c>
      <c r="D34" s="2273">
        <f t="shared" si="9"/>
        <v>539</v>
      </c>
      <c r="E34" s="1833">
        <v>528</v>
      </c>
      <c r="F34" s="1702"/>
      <c r="G34" s="2278"/>
      <c r="H34" s="1711"/>
      <c r="I34" s="1776"/>
      <c r="J34" s="2295"/>
      <c r="K34" s="1762"/>
      <c r="L34" s="2208"/>
      <c r="M34" s="1761"/>
      <c r="N34" s="1764"/>
      <c r="O34" s="1760"/>
      <c r="P34" s="1765"/>
      <c r="Q34" s="1828"/>
      <c r="R34" s="1829"/>
      <c r="S34" s="2169"/>
      <c r="T34" s="2312"/>
      <c r="U34" s="2520"/>
      <c r="V34" s="1917"/>
      <c r="W34" s="1831"/>
      <c r="X34" s="1919"/>
      <c r="Y34" s="1701"/>
      <c r="Z34" s="1702"/>
      <c r="AA34" s="2319"/>
      <c r="AB34" s="1882"/>
      <c r="AC34" s="2063"/>
      <c r="AD34" s="2295"/>
      <c r="AE34" s="1762"/>
      <c r="AF34" s="2208"/>
      <c r="AG34" s="1885"/>
      <c r="AH34" s="1886"/>
      <c r="AI34" s="1915"/>
      <c r="AJ34" s="2329"/>
      <c r="AK34" s="2074"/>
      <c r="AL34" s="1916"/>
      <c r="AM34" s="2169"/>
      <c r="AN34" s="2312"/>
      <c r="AO34" s="2520"/>
      <c r="AP34" s="1917"/>
      <c r="AQ34" s="1918"/>
      <c r="AR34" s="1919"/>
      <c r="AS34" s="1701">
        <v>11</v>
      </c>
      <c r="AT34" s="1885"/>
      <c r="AU34" s="1946"/>
      <c r="AV34" s="1919"/>
      <c r="AW34" s="3643">
        <f>SUM(E34:X37)</f>
        <v>880</v>
      </c>
      <c r="AX34" s="3633">
        <f>SUM(E34:AR37)</f>
        <v>880</v>
      </c>
      <c r="AY34" s="1942">
        <v>10001</v>
      </c>
      <c r="AZ34" s="1942" t="s">
        <v>41</v>
      </c>
      <c r="BA34" s="3629" t="s">
        <v>33</v>
      </c>
    </row>
    <row r="35" spans="1:53" ht="15" customHeight="1" thickBot="1">
      <c r="A35" s="3687"/>
      <c r="B35" s="1728" t="s">
        <v>34</v>
      </c>
      <c r="C35" s="3679"/>
      <c r="D35" s="2273">
        <f t="shared" si="9"/>
        <v>382</v>
      </c>
      <c r="E35" s="1706">
        <v>352</v>
      </c>
      <c r="F35" s="1707"/>
      <c r="G35" s="2277"/>
      <c r="H35" s="1712"/>
      <c r="I35" s="1779"/>
      <c r="J35" s="2293"/>
      <c r="K35" s="1769"/>
      <c r="L35" s="2202"/>
      <c r="M35" s="1768"/>
      <c r="N35" s="1771"/>
      <c r="O35" s="1767"/>
      <c r="P35" s="1772"/>
      <c r="Q35" s="1835"/>
      <c r="R35" s="1836"/>
      <c r="S35" s="2165"/>
      <c r="T35" s="2311"/>
      <c r="U35" s="2519"/>
      <c r="V35" s="1922"/>
      <c r="W35" s="1838"/>
      <c r="X35" s="1924"/>
      <c r="Y35" s="1947"/>
      <c r="Z35" s="1707"/>
      <c r="AA35" s="2318"/>
      <c r="AB35" s="1888"/>
      <c r="AC35" s="2064"/>
      <c r="AD35" s="2293"/>
      <c r="AE35" s="1769"/>
      <c r="AF35" s="2202"/>
      <c r="AG35" s="1891"/>
      <c r="AH35" s="1892"/>
      <c r="AI35" s="1920"/>
      <c r="AJ35" s="2327"/>
      <c r="AK35" s="2076"/>
      <c r="AL35" s="1921"/>
      <c r="AM35" s="2165"/>
      <c r="AN35" s="2311"/>
      <c r="AO35" s="2519"/>
      <c r="AP35" s="1922"/>
      <c r="AQ35" s="1923"/>
      <c r="AR35" s="1924"/>
      <c r="AS35" s="1947">
        <v>30</v>
      </c>
      <c r="AT35" s="1891"/>
      <c r="AU35" s="1948"/>
      <c r="AV35" s="1924"/>
      <c r="AW35" s="3643"/>
      <c r="AX35" s="3634"/>
      <c r="AY35" s="1942"/>
      <c r="AZ35" s="1942"/>
      <c r="BA35" s="3630"/>
    </row>
    <row r="36" spans="1:53" ht="15" customHeight="1" thickBot="1">
      <c r="A36" s="3687"/>
      <c r="B36" s="1694" t="s">
        <v>34</v>
      </c>
      <c r="C36" s="3679"/>
      <c r="D36" s="1705">
        <f t="shared" ref="D36" si="11">SUM(E36:AV36)</f>
        <v>0</v>
      </c>
      <c r="E36" s="1706"/>
      <c r="F36" s="1707"/>
      <c r="G36" s="2277"/>
      <c r="H36" s="1712"/>
      <c r="I36" s="1779"/>
      <c r="J36" s="2293"/>
      <c r="K36" s="1769"/>
      <c r="L36" s="2202"/>
      <c r="M36" s="1768"/>
      <c r="N36" s="1771"/>
      <c r="O36" s="1767"/>
      <c r="P36" s="1772"/>
      <c r="Q36" s="1835"/>
      <c r="R36" s="1836"/>
      <c r="S36" s="2165"/>
      <c r="T36" s="2311"/>
      <c r="U36" s="2519"/>
      <c r="V36" s="1922"/>
      <c r="W36" s="1838"/>
      <c r="X36" s="1924"/>
      <c r="Y36" s="1947"/>
      <c r="Z36" s="1707"/>
      <c r="AA36" s="2318"/>
      <c r="AB36" s="1888"/>
      <c r="AC36" s="2064"/>
      <c r="AD36" s="2293"/>
      <c r="AE36" s="1769"/>
      <c r="AF36" s="2202"/>
      <c r="AG36" s="1891"/>
      <c r="AH36" s="1892"/>
      <c r="AI36" s="1920"/>
      <c r="AJ36" s="2327"/>
      <c r="AK36" s="2076"/>
      <c r="AL36" s="1921"/>
      <c r="AM36" s="2165"/>
      <c r="AN36" s="2311"/>
      <c r="AO36" s="2519"/>
      <c r="AP36" s="1922"/>
      <c r="AQ36" s="1923"/>
      <c r="AR36" s="1924"/>
      <c r="AS36" s="1947"/>
      <c r="AT36" s="1891"/>
      <c r="AU36" s="1948"/>
      <c r="AV36" s="1924"/>
      <c r="AW36" s="3643"/>
      <c r="AX36" s="3634"/>
      <c r="AY36" s="1951"/>
      <c r="AZ36" s="1942"/>
      <c r="BA36" s="3630"/>
    </row>
    <row r="37" spans="1:53" ht="15" customHeight="1" thickBot="1">
      <c r="A37" s="3687"/>
      <c r="B37" s="1724" t="s">
        <v>34</v>
      </c>
      <c r="C37" s="3680"/>
      <c r="D37" s="2273">
        <f t="shared" si="9"/>
        <v>0</v>
      </c>
      <c r="E37" s="1966"/>
      <c r="F37" s="2497"/>
      <c r="G37" s="2498"/>
      <c r="H37" s="2499"/>
      <c r="I37" s="2500"/>
      <c r="J37" s="2501"/>
      <c r="K37" s="2502"/>
      <c r="L37" s="2503"/>
      <c r="M37" s="2504"/>
      <c r="N37" s="2505"/>
      <c r="O37" s="2506"/>
      <c r="P37" s="2507"/>
      <c r="Q37" s="2508"/>
      <c r="R37" s="2509"/>
      <c r="S37" s="2510"/>
      <c r="T37" s="2511"/>
      <c r="U37" s="2522"/>
      <c r="V37" s="2512"/>
      <c r="W37" s="2513"/>
      <c r="X37" s="2514"/>
      <c r="Y37" s="2129"/>
      <c r="Z37" s="2108"/>
      <c r="AA37" s="2275"/>
      <c r="AB37" s="1895"/>
      <c r="AC37" s="2066"/>
      <c r="AD37" s="2294"/>
      <c r="AE37" s="1698"/>
      <c r="AF37" s="2135"/>
      <c r="AG37" s="1879"/>
      <c r="AH37" s="1880"/>
      <c r="AI37" s="1912"/>
      <c r="AJ37" s="2328"/>
      <c r="AK37" s="2079"/>
      <c r="AL37" s="1913"/>
      <c r="AM37" s="2167"/>
      <c r="AN37" s="2307"/>
      <c r="AO37" s="2522"/>
      <c r="AP37" s="1929"/>
      <c r="AQ37" s="1857"/>
      <c r="AR37" s="1858"/>
      <c r="AS37" s="1859"/>
      <c r="AT37" s="1879"/>
      <c r="AU37" s="1822"/>
      <c r="AV37" s="1867"/>
      <c r="AW37" s="3643"/>
      <c r="AX37" s="3634"/>
      <c r="AY37" s="1951"/>
      <c r="AZ37" s="1942"/>
      <c r="BA37" s="3630"/>
    </row>
    <row r="38" spans="1:53" ht="15.75" customHeight="1" thickBot="1">
      <c r="A38" s="3686">
        <v>46129</v>
      </c>
      <c r="B38" s="1688" t="s">
        <v>32</v>
      </c>
      <c r="C38" s="3678">
        <f>SUM(D38:D42)</f>
        <v>943</v>
      </c>
      <c r="D38" s="2273">
        <f t="shared" si="9"/>
        <v>563</v>
      </c>
      <c r="E38" s="1726">
        <v>560</v>
      </c>
      <c r="F38" s="1691"/>
      <c r="G38" s="2274"/>
      <c r="H38" s="1713"/>
      <c r="I38" s="1782"/>
      <c r="J38" s="2300"/>
      <c r="K38" s="1748"/>
      <c r="L38" s="2199"/>
      <c r="M38" s="1747"/>
      <c r="N38" s="1750"/>
      <c r="O38" s="1746"/>
      <c r="P38" s="1751"/>
      <c r="Q38" s="1816"/>
      <c r="R38" s="1817"/>
      <c r="S38" s="2163"/>
      <c r="T38" s="2306"/>
      <c r="U38" s="2516"/>
      <c r="V38" s="1911"/>
      <c r="W38" s="1819"/>
      <c r="X38" s="1865"/>
      <c r="Y38" s="1690"/>
      <c r="Z38" s="1691"/>
      <c r="AA38" s="2282"/>
      <c r="AB38" s="1893"/>
      <c r="AC38" s="2065"/>
      <c r="AD38" s="2300"/>
      <c r="AE38" s="1748"/>
      <c r="AF38" s="2199"/>
      <c r="AG38" s="1873"/>
      <c r="AH38" s="1874"/>
      <c r="AI38" s="1909"/>
      <c r="AJ38" s="2333"/>
      <c r="AK38" s="2078"/>
      <c r="AL38" s="1910"/>
      <c r="AM38" s="2163"/>
      <c r="AN38" s="2306"/>
      <c r="AO38" s="2516"/>
      <c r="AP38" s="1911"/>
      <c r="AQ38" s="1864"/>
      <c r="AR38" s="1865"/>
      <c r="AS38" s="1726">
        <v>3</v>
      </c>
      <c r="AT38" s="1873"/>
      <c r="AU38" s="1940"/>
      <c r="AV38" s="1865"/>
      <c r="AW38" s="3633">
        <f>SUM(E38:X42)</f>
        <v>928</v>
      </c>
      <c r="AX38" s="3633">
        <f>SUM(E38:AR42)</f>
        <v>928</v>
      </c>
      <c r="AY38" s="1951">
        <v>10001</v>
      </c>
      <c r="AZ38" s="1942" t="s">
        <v>41</v>
      </c>
      <c r="BA38" s="3629" t="s">
        <v>33</v>
      </c>
    </row>
    <row r="39" spans="1:53" ht="15" customHeight="1" thickBot="1">
      <c r="A39" s="3687"/>
      <c r="B39" s="1694" t="s">
        <v>34</v>
      </c>
      <c r="C39" s="3679"/>
      <c r="D39" s="1705">
        <f t="shared" ref="D39" si="12">SUM(E39:AV39)</f>
        <v>380</v>
      </c>
      <c r="E39" s="1706">
        <v>368</v>
      </c>
      <c r="F39" s="1707"/>
      <c r="G39" s="2277"/>
      <c r="H39" s="1712"/>
      <c r="I39" s="1779"/>
      <c r="J39" s="2293"/>
      <c r="K39" s="1769"/>
      <c r="L39" s="2202"/>
      <c r="M39" s="1768"/>
      <c r="N39" s="1771"/>
      <c r="O39" s="1767"/>
      <c r="P39" s="1772"/>
      <c r="Q39" s="1835"/>
      <c r="R39" s="1836"/>
      <c r="S39" s="2165"/>
      <c r="T39" s="2311"/>
      <c r="U39" s="2519"/>
      <c r="V39" s="1922"/>
      <c r="W39" s="1838"/>
      <c r="X39" s="1924"/>
      <c r="Y39" s="1947"/>
      <c r="Z39" s="1707"/>
      <c r="AA39" s="2318"/>
      <c r="AB39" s="1888"/>
      <c r="AC39" s="2064"/>
      <c r="AD39" s="2293"/>
      <c r="AE39" s="1769"/>
      <c r="AF39" s="2202"/>
      <c r="AG39" s="1891"/>
      <c r="AH39" s="1892"/>
      <c r="AI39" s="1920"/>
      <c r="AJ39" s="2327"/>
      <c r="AK39" s="2076"/>
      <c r="AL39" s="1921"/>
      <c r="AM39" s="2165"/>
      <c r="AN39" s="2311"/>
      <c r="AO39" s="2519"/>
      <c r="AP39" s="1922"/>
      <c r="AQ39" s="1923"/>
      <c r="AR39" s="1924"/>
      <c r="AS39" s="1947">
        <v>12</v>
      </c>
      <c r="AT39" s="1891"/>
      <c r="AU39" s="1948"/>
      <c r="AV39" s="1924"/>
      <c r="AW39" s="3634"/>
      <c r="AX39" s="3634"/>
      <c r="AY39" s="1942"/>
      <c r="AZ39" s="1942"/>
      <c r="BA39" s="3630"/>
    </row>
    <row r="40" spans="1:53" ht="15" customHeight="1" thickBot="1">
      <c r="A40" s="3687"/>
      <c r="B40" s="1694" t="s">
        <v>34</v>
      </c>
      <c r="C40" s="3679"/>
      <c r="D40" s="1705">
        <f t="shared" si="9"/>
        <v>0</v>
      </c>
      <c r="E40" s="1706"/>
      <c r="F40" s="1707"/>
      <c r="G40" s="2277"/>
      <c r="H40" s="1712"/>
      <c r="I40" s="1779"/>
      <c r="J40" s="2293"/>
      <c r="K40" s="1769"/>
      <c r="L40" s="2202"/>
      <c r="M40" s="1768"/>
      <c r="N40" s="1771"/>
      <c r="O40" s="1767"/>
      <c r="P40" s="1772"/>
      <c r="Q40" s="1835"/>
      <c r="R40" s="1836"/>
      <c r="S40" s="2165"/>
      <c r="T40" s="2311"/>
      <c r="U40" s="2519"/>
      <c r="V40" s="1922"/>
      <c r="W40" s="1838"/>
      <c r="X40" s="1924"/>
      <c r="Y40" s="1947"/>
      <c r="Z40" s="1707"/>
      <c r="AA40" s="2318"/>
      <c r="AB40" s="1888"/>
      <c r="AC40" s="2064"/>
      <c r="AD40" s="2293"/>
      <c r="AE40" s="1769"/>
      <c r="AF40" s="2202"/>
      <c r="AG40" s="1891"/>
      <c r="AH40" s="1892"/>
      <c r="AI40" s="1920"/>
      <c r="AJ40" s="2327"/>
      <c r="AK40" s="2076"/>
      <c r="AL40" s="1921"/>
      <c r="AM40" s="2165"/>
      <c r="AN40" s="2311"/>
      <c r="AO40" s="2519"/>
      <c r="AP40" s="1922"/>
      <c r="AQ40" s="1923"/>
      <c r="AR40" s="1924"/>
      <c r="AS40" s="1947"/>
      <c r="AT40" s="1891"/>
      <c r="AU40" s="1948"/>
      <c r="AV40" s="1924"/>
      <c r="AW40" s="3634"/>
      <c r="AX40" s="3634"/>
      <c r="AY40" s="1942"/>
      <c r="AZ40" s="1942"/>
      <c r="BA40" s="3630"/>
    </row>
    <row r="41" spans="1:53" ht="15" customHeight="1" thickBot="1">
      <c r="A41" s="3687"/>
      <c r="B41" s="1694" t="s">
        <v>34</v>
      </c>
      <c r="C41" s="3679"/>
      <c r="D41" s="1705">
        <f t="shared" si="9"/>
        <v>0</v>
      </c>
      <c r="E41" s="1706"/>
      <c r="F41" s="1707"/>
      <c r="G41" s="2277"/>
      <c r="H41" s="1712"/>
      <c r="I41" s="1779"/>
      <c r="J41" s="2293"/>
      <c r="K41" s="1769"/>
      <c r="L41" s="2202"/>
      <c r="M41" s="1768"/>
      <c r="N41" s="1771"/>
      <c r="O41" s="1767"/>
      <c r="P41" s="1772"/>
      <c r="Q41" s="1835"/>
      <c r="R41" s="1836"/>
      <c r="S41" s="2165"/>
      <c r="T41" s="2311"/>
      <c r="U41" s="2519"/>
      <c r="V41" s="1922"/>
      <c r="W41" s="1838"/>
      <c r="X41" s="1924"/>
      <c r="Y41" s="1947"/>
      <c r="Z41" s="1707"/>
      <c r="AA41" s="2318"/>
      <c r="AB41" s="1888"/>
      <c r="AC41" s="2064"/>
      <c r="AD41" s="2293"/>
      <c r="AE41" s="1769"/>
      <c r="AF41" s="2202"/>
      <c r="AG41" s="1891"/>
      <c r="AH41" s="1892"/>
      <c r="AI41" s="1920"/>
      <c r="AJ41" s="2327"/>
      <c r="AK41" s="2076"/>
      <c r="AL41" s="1921"/>
      <c r="AM41" s="2165"/>
      <c r="AN41" s="2311"/>
      <c r="AO41" s="2519"/>
      <c r="AP41" s="1922"/>
      <c r="AQ41" s="1923"/>
      <c r="AR41" s="1924"/>
      <c r="AS41" s="1947"/>
      <c r="AT41" s="1891"/>
      <c r="AU41" s="1948"/>
      <c r="AV41" s="1924"/>
      <c r="AW41" s="3634"/>
      <c r="AX41" s="3634"/>
      <c r="AY41" s="1951"/>
      <c r="AZ41" s="1942"/>
      <c r="BA41" s="3630"/>
    </row>
    <row r="42" spans="1:53" ht="15" customHeight="1" thickBot="1">
      <c r="A42" s="3687"/>
      <c r="B42" s="1724" t="s">
        <v>34</v>
      </c>
      <c r="C42" s="3680"/>
      <c r="D42" s="2279">
        <f t="shared" ref="D42:D50" si="13">SUM(E42:AV42)</f>
        <v>0</v>
      </c>
      <c r="E42" s="1696"/>
      <c r="F42" s="2284"/>
      <c r="G42" s="2275"/>
      <c r="H42" s="1732"/>
      <c r="I42" s="1800"/>
      <c r="J42" s="2298"/>
      <c r="K42" s="1875"/>
      <c r="L42" s="2299"/>
      <c r="M42" s="1879"/>
      <c r="N42" s="1757"/>
      <c r="O42" s="1896"/>
      <c r="P42" s="1758"/>
      <c r="Q42" s="1822"/>
      <c r="R42" s="1823"/>
      <c r="S42" s="2167"/>
      <c r="T42" s="2307"/>
      <c r="U42" s="2517"/>
      <c r="V42" s="1914"/>
      <c r="W42" s="1825"/>
      <c r="X42" s="1867"/>
      <c r="Y42" s="1943"/>
      <c r="Z42" s="1697"/>
      <c r="AA42" s="2283"/>
      <c r="AB42" s="1895"/>
      <c r="AC42" s="2066"/>
      <c r="AD42" s="2298"/>
      <c r="AE42" s="1875"/>
      <c r="AF42" s="2299"/>
      <c r="AG42" s="1879"/>
      <c r="AH42" s="1880"/>
      <c r="AI42" s="1912"/>
      <c r="AJ42" s="2332"/>
      <c r="AK42" s="2079"/>
      <c r="AL42" s="1913"/>
      <c r="AM42" s="2167"/>
      <c r="AN42" s="2307"/>
      <c r="AO42" s="2517"/>
      <c r="AP42" s="1914"/>
      <c r="AQ42" s="1866"/>
      <c r="AR42" s="1867"/>
      <c r="AS42" s="1859"/>
      <c r="AT42" s="1879"/>
      <c r="AU42" s="1944"/>
      <c r="AV42" s="1867"/>
      <c r="AW42" s="3634"/>
      <c r="AX42" s="3634"/>
      <c r="AY42" s="1951"/>
      <c r="AZ42" s="1942"/>
      <c r="BA42" s="3630"/>
    </row>
    <row r="43" spans="1:53" ht="15" customHeight="1" thickBot="1">
      <c r="A43" s="3686">
        <v>46130</v>
      </c>
      <c r="B43" s="1688" t="s">
        <v>32</v>
      </c>
      <c r="C43" s="3678">
        <f>SUM(D43:D45)</f>
        <v>1105</v>
      </c>
      <c r="D43" s="2273">
        <f t="shared" si="13"/>
        <v>545</v>
      </c>
      <c r="E43" s="1726">
        <v>544</v>
      </c>
      <c r="F43" s="1691"/>
      <c r="G43" s="2274"/>
      <c r="H43" s="1713"/>
      <c r="I43" s="1782"/>
      <c r="J43" s="2300"/>
      <c r="K43" s="1748"/>
      <c r="L43" s="2199"/>
      <c r="M43" s="1747"/>
      <c r="N43" s="1750"/>
      <c r="O43" s="1746"/>
      <c r="P43" s="1751"/>
      <c r="Q43" s="1816"/>
      <c r="R43" s="1817"/>
      <c r="S43" s="2163"/>
      <c r="T43" s="2306"/>
      <c r="U43" s="2516"/>
      <c r="V43" s="1911"/>
      <c r="W43" s="1819"/>
      <c r="X43" s="1865"/>
      <c r="Y43" s="1690"/>
      <c r="Z43" s="1691"/>
      <c r="AA43" s="2282"/>
      <c r="AB43" s="1893"/>
      <c r="AC43" s="2065"/>
      <c r="AD43" s="2300"/>
      <c r="AE43" s="1748"/>
      <c r="AF43" s="2199"/>
      <c r="AG43" s="1873"/>
      <c r="AH43" s="1874"/>
      <c r="AI43" s="1909"/>
      <c r="AJ43" s="2333"/>
      <c r="AK43" s="2078"/>
      <c r="AL43" s="1910"/>
      <c r="AM43" s="2163"/>
      <c r="AN43" s="2306"/>
      <c r="AO43" s="2516"/>
      <c r="AP43" s="1911"/>
      <c r="AQ43" s="1864"/>
      <c r="AR43" s="1865"/>
      <c r="AS43" s="1726">
        <v>1</v>
      </c>
      <c r="AT43" s="1873"/>
      <c r="AU43" s="1940"/>
      <c r="AV43" s="1865"/>
      <c r="AW43" s="3633">
        <f>SUM(E43:X45)</f>
        <v>1104</v>
      </c>
      <c r="AX43" s="3633">
        <f>SUM(E43:AR45)</f>
        <v>1104</v>
      </c>
      <c r="AY43" s="1951">
        <v>10001</v>
      </c>
      <c r="AZ43" s="1942" t="s">
        <v>41</v>
      </c>
      <c r="BA43" s="3629"/>
    </row>
    <row r="44" spans="1:53" ht="15" customHeight="1" thickBot="1">
      <c r="A44" s="3687"/>
      <c r="B44" s="1694" t="s">
        <v>34</v>
      </c>
      <c r="C44" s="3679"/>
      <c r="D44" s="1705">
        <f t="shared" si="13"/>
        <v>560</v>
      </c>
      <c r="E44" s="1706">
        <v>560</v>
      </c>
      <c r="F44" s="1707"/>
      <c r="G44" s="2277"/>
      <c r="H44" s="1712"/>
      <c r="I44" s="1779"/>
      <c r="J44" s="2293"/>
      <c r="K44" s="1769"/>
      <c r="L44" s="2202"/>
      <c r="M44" s="1768"/>
      <c r="N44" s="1771"/>
      <c r="O44" s="1767"/>
      <c r="P44" s="1772"/>
      <c r="Q44" s="1835"/>
      <c r="R44" s="1836"/>
      <c r="S44" s="2165"/>
      <c r="T44" s="2311"/>
      <c r="U44" s="2519"/>
      <c r="V44" s="1922"/>
      <c r="W44" s="1838"/>
      <c r="X44" s="1924"/>
      <c r="Y44" s="1947"/>
      <c r="Z44" s="1707"/>
      <c r="AA44" s="2318"/>
      <c r="AB44" s="1888"/>
      <c r="AC44" s="2064"/>
      <c r="AD44" s="2293"/>
      <c r="AE44" s="1769"/>
      <c r="AF44" s="2202"/>
      <c r="AG44" s="1891"/>
      <c r="AH44" s="1892"/>
      <c r="AI44" s="1920"/>
      <c r="AJ44" s="2327"/>
      <c r="AK44" s="2076"/>
      <c r="AL44" s="1921"/>
      <c r="AM44" s="2165"/>
      <c r="AN44" s="2311"/>
      <c r="AO44" s="2519"/>
      <c r="AP44" s="1922"/>
      <c r="AQ44" s="1923"/>
      <c r="AR44" s="1924"/>
      <c r="AS44" s="1947"/>
      <c r="AT44" s="1891"/>
      <c r="AU44" s="1948"/>
      <c r="AV44" s="1924"/>
      <c r="AW44" s="3634"/>
      <c r="AX44" s="3634"/>
      <c r="AY44" s="1951"/>
      <c r="AZ44" s="1942"/>
      <c r="BA44" s="3630"/>
    </row>
    <row r="45" spans="1:53" ht="15" customHeight="1" thickBot="1">
      <c r="A45" s="3688"/>
      <c r="B45" s="1995" t="s">
        <v>34</v>
      </c>
      <c r="C45" s="3680"/>
      <c r="D45" s="2273">
        <f t="shared" si="13"/>
        <v>0</v>
      </c>
      <c r="E45" s="1833"/>
      <c r="F45" s="1697"/>
      <c r="G45" s="2278"/>
      <c r="H45" s="1711"/>
      <c r="I45" s="1776"/>
      <c r="J45" s="2295"/>
      <c r="K45" s="1762"/>
      <c r="L45" s="2208"/>
      <c r="M45" s="1761"/>
      <c r="N45" s="1764"/>
      <c r="O45" s="1760"/>
      <c r="P45" s="1765"/>
      <c r="Q45" s="1828"/>
      <c r="R45" s="1829"/>
      <c r="S45" s="2169"/>
      <c r="T45" s="2312"/>
      <c r="U45" s="2520"/>
      <c r="V45" s="1917"/>
      <c r="W45" s="1831"/>
      <c r="X45" s="1919"/>
      <c r="Y45" s="1701"/>
      <c r="Z45" s="1702"/>
      <c r="AA45" s="2319"/>
      <c r="AB45" s="1882"/>
      <c r="AC45" s="2063"/>
      <c r="AD45" s="2295"/>
      <c r="AE45" s="1762"/>
      <c r="AF45" s="2208"/>
      <c r="AG45" s="1885"/>
      <c r="AH45" s="1886"/>
      <c r="AI45" s="1915"/>
      <c r="AJ45" s="2329"/>
      <c r="AK45" s="2074"/>
      <c r="AL45" s="1916"/>
      <c r="AM45" s="2169"/>
      <c r="AN45" s="2312"/>
      <c r="AO45" s="2520"/>
      <c r="AP45" s="1917"/>
      <c r="AQ45" s="1918"/>
      <c r="AR45" s="1919"/>
      <c r="AS45" s="2335"/>
      <c r="AT45" s="1885"/>
      <c r="AU45" s="1946"/>
      <c r="AV45" s="1919"/>
      <c r="AW45" s="3635"/>
      <c r="AX45" s="3635"/>
      <c r="AY45" s="1951"/>
      <c r="AZ45" s="1942"/>
      <c r="BA45" s="3631"/>
    </row>
    <row r="46" spans="1:53" ht="15" customHeight="1" thickBot="1">
      <c r="A46" s="3686">
        <v>46131</v>
      </c>
      <c r="B46" s="1688" t="s">
        <v>32</v>
      </c>
      <c r="C46" s="3678">
        <f>SUM(D46:D48)</f>
        <v>1002</v>
      </c>
      <c r="D46" s="2273">
        <f t="shared" si="13"/>
        <v>518</v>
      </c>
      <c r="E46" s="1726">
        <v>512</v>
      </c>
      <c r="F46" s="1691"/>
      <c r="G46" s="2274"/>
      <c r="H46" s="1713"/>
      <c r="I46" s="1782"/>
      <c r="J46" s="2300"/>
      <c r="K46" s="1748"/>
      <c r="L46" s="2199"/>
      <c r="M46" s="1747"/>
      <c r="N46" s="1750"/>
      <c r="O46" s="1746"/>
      <c r="P46" s="1751"/>
      <c r="Q46" s="1816"/>
      <c r="R46" s="1817"/>
      <c r="S46" s="2163"/>
      <c r="T46" s="2306"/>
      <c r="U46" s="2516"/>
      <c r="V46" s="1911"/>
      <c r="W46" s="1819"/>
      <c r="X46" s="1865"/>
      <c r="Y46" s="1690"/>
      <c r="Z46" s="1691"/>
      <c r="AA46" s="2282"/>
      <c r="AB46" s="1893"/>
      <c r="AC46" s="2065"/>
      <c r="AD46" s="2300"/>
      <c r="AE46" s="1748"/>
      <c r="AF46" s="2199"/>
      <c r="AG46" s="1873"/>
      <c r="AH46" s="1874"/>
      <c r="AI46" s="1909"/>
      <c r="AJ46" s="2333"/>
      <c r="AK46" s="2078"/>
      <c r="AL46" s="1910"/>
      <c r="AM46" s="2163"/>
      <c r="AN46" s="2306"/>
      <c r="AO46" s="2516"/>
      <c r="AP46" s="1911"/>
      <c r="AQ46" s="1864"/>
      <c r="AR46" s="1865"/>
      <c r="AS46" s="1726">
        <v>6</v>
      </c>
      <c r="AT46" s="1873"/>
      <c r="AU46" s="1940"/>
      <c r="AV46" s="1865"/>
      <c r="AW46" s="3633">
        <f>SUM(E46:X48)</f>
        <v>976</v>
      </c>
      <c r="AX46" s="3633">
        <f>SUM(E46:AR48)</f>
        <v>976</v>
      </c>
      <c r="AY46" s="1942">
        <v>10001</v>
      </c>
      <c r="AZ46" s="1942" t="s">
        <v>41</v>
      </c>
      <c r="BA46" s="3629" t="s">
        <v>33</v>
      </c>
    </row>
    <row r="47" spans="1:53" ht="15" customHeight="1" thickBot="1">
      <c r="A47" s="3687"/>
      <c r="B47" s="1694" t="s">
        <v>34</v>
      </c>
      <c r="C47" s="3679"/>
      <c r="D47" s="1705">
        <f t="shared" ref="D47" si="14">SUM(E47:AV47)</f>
        <v>484</v>
      </c>
      <c r="E47" s="1706">
        <v>464</v>
      </c>
      <c r="F47" s="1707"/>
      <c r="G47" s="2277"/>
      <c r="H47" s="1712"/>
      <c r="I47" s="1779"/>
      <c r="J47" s="2293"/>
      <c r="K47" s="1769"/>
      <c r="L47" s="2202"/>
      <c r="M47" s="1768"/>
      <c r="N47" s="1771"/>
      <c r="O47" s="1767"/>
      <c r="P47" s="1772"/>
      <c r="Q47" s="1835"/>
      <c r="R47" s="1836"/>
      <c r="S47" s="2165"/>
      <c r="T47" s="2311"/>
      <c r="U47" s="2519"/>
      <c r="V47" s="1922"/>
      <c r="W47" s="1838"/>
      <c r="X47" s="1924"/>
      <c r="Y47" s="1947"/>
      <c r="Z47" s="1707"/>
      <c r="AA47" s="2318"/>
      <c r="AB47" s="1888"/>
      <c r="AC47" s="2064"/>
      <c r="AD47" s="2293"/>
      <c r="AE47" s="1769"/>
      <c r="AF47" s="2202"/>
      <c r="AG47" s="1891"/>
      <c r="AH47" s="1892"/>
      <c r="AI47" s="1920"/>
      <c r="AJ47" s="2327"/>
      <c r="AK47" s="2076"/>
      <c r="AL47" s="1921"/>
      <c r="AM47" s="2165"/>
      <c r="AN47" s="2311"/>
      <c r="AO47" s="2519"/>
      <c r="AP47" s="1922"/>
      <c r="AQ47" s="1923"/>
      <c r="AR47" s="1924"/>
      <c r="AS47" s="1947">
        <v>20</v>
      </c>
      <c r="AT47" s="1891"/>
      <c r="AU47" s="1948"/>
      <c r="AV47" s="1924"/>
      <c r="AW47" s="3634"/>
      <c r="AX47" s="3634"/>
      <c r="AY47" s="1942"/>
      <c r="AZ47" s="1942"/>
      <c r="BA47" s="3630"/>
    </row>
    <row r="48" spans="1:53" ht="15" customHeight="1" thickBot="1">
      <c r="A48" s="3687"/>
      <c r="B48" s="1724" t="s">
        <v>34</v>
      </c>
      <c r="C48" s="3680"/>
      <c r="D48" s="2273">
        <f t="shared" si="13"/>
        <v>0</v>
      </c>
      <c r="E48" s="1706"/>
      <c r="F48" s="1707"/>
      <c r="G48" s="2277"/>
      <c r="H48" s="1712"/>
      <c r="I48" s="1779"/>
      <c r="J48" s="2296"/>
      <c r="K48" s="1708"/>
      <c r="L48" s="2134"/>
      <c r="M48" s="1781"/>
      <c r="N48" s="1771"/>
      <c r="O48" s="1780"/>
      <c r="P48" s="1772"/>
      <c r="Q48" s="1835"/>
      <c r="R48" s="1836"/>
      <c r="S48" s="2165"/>
      <c r="T48" s="2311"/>
      <c r="U48" s="2519"/>
      <c r="V48" s="1922"/>
      <c r="W48" s="1838"/>
      <c r="X48" s="1924"/>
      <c r="Y48" s="1947"/>
      <c r="Z48" s="1707"/>
      <c r="AA48" s="2318"/>
      <c r="AB48" s="1888"/>
      <c r="AC48" s="2064"/>
      <c r="AD48" s="2296"/>
      <c r="AE48" s="1708"/>
      <c r="AF48" s="2134"/>
      <c r="AG48" s="1891"/>
      <c r="AH48" s="1892"/>
      <c r="AI48" s="1920"/>
      <c r="AJ48" s="2330"/>
      <c r="AK48" s="2076"/>
      <c r="AL48" s="1921"/>
      <c r="AM48" s="2165"/>
      <c r="AN48" s="2311"/>
      <c r="AO48" s="2519"/>
      <c r="AP48" s="1922"/>
      <c r="AQ48" s="1923"/>
      <c r="AR48" s="1924"/>
      <c r="AS48" s="2281"/>
      <c r="AT48" s="1891"/>
      <c r="AU48" s="1948"/>
      <c r="AV48" s="1924"/>
      <c r="AW48" s="3634"/>
      <c r="AX48" s="3634"/>
      <c r="AY48" s="1942"/>
      <c r="AZ48" s="1942"/>
      <c r="BA48" s="3630"/>
    </row>
    <row r="49" spans="1:53" ht="15" customHeight="1" thickBot="1">
      <c r="A49" s="3686">
        <v>46132</v>
      </c>
      <c r="B49" s="1688" t="s">
        <v>32</v>
      </c>
      <c r="C49" s="3678">
        <f>SUM(D49:D51)</f>
        <v>1051</v>
      </c>
      <c r="D49" s="2273">
        <f t="shared" si="13"/>
        <v>530</v>
      </c>
      <c r="E49" s="1726">
        <v>528</v>
      </c>
      <c r="F49" s="1691"/>
      <c r="G49" s="2274"/>
      <c r="H49" s="1713"/>
      <c r="I49" s="1782"/>
      <c r="J49" s="2288"/>
      <c r="K49" s="1692"/>
      <c r="L49" s="2133"/>
      <c r="M49" s="1784"/>
      <c r="N49" s="1750"/>
      <c r="O49" s="1783"/>
      <c r="P49" s="1751"/>
      <c r="Q49" s="1816"/>
      <c r="R49" s="1817"/>
      <c r="S49" s="2163"/>
      <c r="T49" s="2306"/>
      <c r="U49" s="2516"/>
      <c r="V49" s="1911"/>
      <c r="W49" s="1819"/>
      <c r="X49" s="1865"/>
      <c r="Y49" s="1690"/>
      <c r="Z49" s="1691"/>
      <c r="AA49" s="2282"/>
      <c r="AB49" s="1893"/>
      <c r="AC49" s="2065"/>
      <c r="AD49" s="2288"/>
      <c r="AE49" s="1692"/>
      <c r="AF49" s="2133"/>
      <c r="AG49" s="1873"/>
      <c r="AH49" s="1874"/>
      <c r="AI49" s="1909"/>
      <c r="AJ49" s="2322"/>
      <c r="AK49" s="2078"/>
      <c r="AL49" s="1910"/>
      <c r="AM49" s="2163"/>
      <c r="AN49" s="2306"/>
      <c r="AO49" s="2516"/>
      <c r="AP49" s="1911"/>
      <c r="AQ49" s="1864"/>
      <c r="AR49" s="1865"/>
      <c r="AS49" s="1855">
        <v>2</v>
      </c>
      <c r="AT49" s="1873"/>
      <c r="AU49" s="1940"/>
      <c r="AV49" s="1865"/>
      <c r="AW49" s="3633">
        <f>SUM(E49:X51)</f>
        <v>1040</v>
      </c>
      <c r="AX49" s="3633">
        <f>SUM(E49:AR51)</f>
        <v>1040</v>
      </c>
      <c r="AY49" s="1942">
        <v>10001</v>
      </c>
      <c r="AZ49" s="1942" t="s">
        <v>41</v>
      </c>
      <c r="BA49" s="3629" t="s">
        <v>33</v>
      </c>
    </row>
    <row r="50" spans="1:53" ht="15" customHeight="1" thickBot="1">
      <c r="A50" s="3687"/>
      <c r="B50" s="1694" t="s">
        <v>34</v>
      </c>
      <c r="C50" s="3679"/>
      <c r="D50" s="1705">
        <f t="shared" si="13"/>
        <v>521</v>
      </c>
      <c r="E50" s="1706">
        <v>512</v>
      </c>
      <c r="F50" s="1707"/>
      <c r="G50" s="2277"/>
      <c r="H50" s="1712"/>
      <c r="I50" s="1779"/>
      <c r="J50" s="2293"/>
      <c r="K50" s="1769"/>
      <c r="L50" s="2202"/>
      <c r="M50" s="1768"/>
      <c r="N50" s="1771"/>
      <c r="O50" s="1767"/>
      <c r="P50" s="1772"/>
      <c r="Q50" s="1835"/>
      <c r="R50" s="1836"/>
      <c r="S50" s="2165"/>
      <c r="T50" s="2311"/>
      <c r="U50" s="2519"/>
      <c r="V50" s="1922"/>
      <c r="W50" s="1838"/>
      <c r="X50" s="1924"/>
      <c r="Y50" s="1947"/>
      <c r="Z50" s="1707"/>
      <c r="AA50" s="2318"/>
      <c r="AB50" s="1888"/>
      <c r="AC50" s="2064"/>
      <c r="AD50" s="2293"/>
      <c r="AE50" s="1769"/>
      <c r="AF50" s="2202"/>
      <c r="AG50" s="1891"/>
      <c r="AH50" s="1892"/>
      <c r="AI50" s="1920"/>
      <c r="AJ50" s="2327"/>
      <c r="AK50" s="2076"/>
      <c r="AL50" s="1921"/>
      <c r="AM50" s="2165"/>
      <c r="AN50" s="2311"/>
      <c r="AO50" s="2519"/>
      <c r="AP50" s="1922"/>
      <c r="AQ50" s="1923"/>
      <c r="AR50" s="1924"/>
      <c r="AS50" s="1947">
        <v>9</v>
      </c>
      <c r="AT50" s="1891"/>
      <c r="AU50" s="1948"/>
      <c r="AV50" s="1924"/>
      <c r="AW50" s="3634"/>
      <c r="AX50" s="3634"/>
      <c r="AY50" s="1942"/>
      <c r="AZ50" s="1942"/>
      <c r="BA50" s="3630"/>
    </row>
    <row r="51" spans="1:53" ht="15" customHeight="1" thickBot="1">
      <c r="A51" s="3687"/>
      <c r="B51" s="1724" t="s">
        <v>34</v>
      </c>
      <c r="C51" s="3681"/>
      <c r="D51" s="2273">
        <f t="shared" ref="D51:D61" si="15">SUM(E51:AV51)</f>
        <v>0</v>
      </c>
      <c r="E51" s="1706"/>
      <c r="F51" s="1707"/>
      <c r="G51" s="2277"/>
      <c r="H51" s="1712"/>
      <c r="I51" s="1779"/>
      <c r="J51" s="2296"/>
      <c r="K51" s="1708"/>
      <c r="L51" s="2134"/>
      <c r="M51" s="1781"/>
      <c r="N51" s="1771"/>
      <c r="O51" s="1780"/>
      <c r="P51" s="1772"/>
      <c r="Q51" s="1835"/>
      <c r="R51" s="1836"/>
      <c r="S51" s="2165"/>
      <c r="T51" s="2311"/>
      <c r="U51" s="2519"/>
      <c r="V51" s="1922"/>
      <c r="W51" s="1838"/>
      <c r="X51" s="1924"/>
      <c r="Y51" s="1947"/>
      <c r="Z51" s="1707"/>
      <c r="AA51" s="2318"/>
      <c r="AB51" s="1888"/>
      <c r="AC51" s="2064"/>
      <c r="AD51" s="2296"/>
      <c r="AE51" s="1708"/>
      <c r="AF51" s="2134"/>
      <c r="AG51" s="1891"/>
      <c r="AH51" s="1892"/>
      <c r="AI51" s="1920"/>
      <c r="AJ51" s="2330"/>
      <c r="AK51" s="2076"/>
      <c r="AL51" s="1921"/>
      <c r="AM51" s="2165"/>
      <c r="AN51" s="2311"/>
      <c r="AO51" s="2519"/>
      <c r="AP51" s="1922"/>
      <c r="AQ51" s="1923"/>
      <c r="AR51" s="1924"/>
      <c r="AS51" s="2281"/>
      <c r="AT51" s="1891"/>
      <c r="AU51" s="1948"/>
      <c r="AV51" s="1924"/>
      <c r="AW51" s="3634"/>
      <c r="AX51" s="3634"/>
      <c r="AY51" s="1942"/>
      <c r="AZ51" s="1942"/>
      <c r="BA51" s="3630"/>
    </row>
    <row r="52" spans="1:53" ht="15" customHeight="1" thickBot="1">
      <c r="A52" s="3694">
        <v>46133</v>
      </c>
      <c r="B52" s="1688" t="s">
        <v>32</v>
      </c>
      <c r="C52" s="3678">
        <f>SUM(D52:D55)</f>
        <v>921</v>
      </c>
      <c r="D52" s="2273">
        <f t="shared" si="15"/>
        <v>489</v>
      </c>
      <c r="E52" s="1726">
        <v>464</v>
      </c>
      <c r="F52" s="1691"/>
      <c r="G52" s="2274"/>
      <c r="H52" s="1713"/>
      <c r="I52" s="1782"/>
      <c r="J52" s="2288"/>
      <c r="K52" s="1692"/>
      <c r="L52" s="2133"/>
      <c r="M52" s="1784"/>
      <c r="N52" s="1750"/>
      <c r="O52" s="1783"/>
      <c r="P52" s="1751"/>
      <c r="Q52" s="1816"/>
      <c r="R52" s="1817"/>
      <c r="S52" s="2163"/>
      <c r="T52" s="2306"/>
      <c r="U52" s="2516"/>
      <c r="V52" s="1911"/>
      <c r="W52" s="1819"/>
      <c r="X52" s="1865"/>
      <c r="Y52" s="1690"/>
      <c r="Z52" s="1691"/>
      <c r="AA52" s="2282"/>
      <c r="AB52" s="1893"/>
      <c r="AC52" s="2065"/>
      <c r="AD52" s="2288"/>
      <c r="AE52" s="1692"/>
      <c r="AF52" s="2133"/>
      <c r="AG52" s="1873"/>
      <c r="AH52" s="1874"/>
      <c r="AI52" s="1909"/>
      <c r="AJ52" s="2322"/>
      <c r="AK52" s="2078"/>
      <c r="AL52" s="1910"/>
      <c r="AM52" s="2163"/>
      <c r="AN52" s="2306"/>
      <c r="AO52" s="2516"/>
      <c r="AP52" s="1911"/>
      <c r="AQ52" s="1864"/>
      <c r="AR52" s="1865"/>
      <c r="AS52" s="1855">
        <v>25</v>
      </c>
      <c r="AT52" s="1873"/>
      <c r="AU52" s="1940"/>
      <c r="AV52" s="1865"/>
      <c r="AW52" s="3633">
        <f>SUM(E52:X55)</f>
        <v>896</v>
      </c>
      <c r="AX52" s="3633">
        <f>SUM(E52:AR55)</f>
        <v>896</v>
      </c>
      <c r="AY52" s="1942">
        <v>10001</v>
      </c>
      <c r="AZ52" s="1942" t="s">
        <v>41</v>
      </c>
      <c r="BA52" s="3629" t="s">
        <v>33</v>
      </c>
    </row>
    <row r="53" spans="1:53" ht="15" customHeight="1" thickBot="1">
      <c r="A53" s="3695"/>
      <c r="B53" s="1688" t="s">
        <v>34</v>
      </c>
      <c r="C53" s="3679"/>
      <c r="D53" s="1705">
        <f t="shared" ref="D53" si="16">SUM(E53:AV53)</f>
        <v>432</v>
      </c>
      <c r="E53" s="1706">
        <v>432</v>
      </c>
      <c r="F53" s="1707"/>
      <c r="G53" s="2277"/>
      <c r="H53" s="1712"/>
      <c r="I53" s="1779"/>
      <c r="J53" s="2293"/>
      <c r="K53" s="1769"/>
      <c r="L53" s="2202"/>
      <c r="M53" s="1768"/>
      <c r="N53" s="1771"/>
      <c r="O53" s="1767"/>
      <c r="P53" s="1772"/>
      <c r="Q53" s="1835"/>
      <c r="R53" s="1836"/>
      <c r="S53" s="2165"/>
      <c r="T53" s="2311"/>
      <c r="U53" s="2519"/>
      <c r="V53" s="1922"/>
      <c r="W53" s="1838"/>
      <c r="X53" s="1924"/>
      <c r="Y53" s="1947"/>
      <c r="Z53" s="1707"/>
      <c r="AA53" s="2318"/>
      <c r="AB53" s="1888"/>
      <c r="AC53" s="2064"/>
      <c r="AD53" s="2293"/>
      <c r="AE53" s="1769"/>
      <c r="AF53" s="2202"/>
      <c r="AG53" s="1891"/>
      <c r="AH53" s="1892"/>
      <c r="AI53" s="1920"/>
      <c r="AJ53" s="2327"/>
      <c r="AK53" s="2076"/>
      <c r="AL53" s="1921"/>
      <c r="AM53" s="2165"/>
      <c r="AN53" s="2311"/>
      <c r="AO53" s="2519"/>
      <c r="AP53" s="1922"/>
      <c r="AQ53" s="1923"/>
      <c r="AR53" s="1924"/>
      <c r="AS53" s="1947"/>
      <c r="AT53" s="1891"/>
      <c r="AU53" s="1948"/>
      <c r="AV53" s="1924"/>
      <c r="AW53" s="3634"/>
      <c r="AX53" s="3634"/>
      <c r="AY53" s="1951"/>
      <c r="AZ53" s="1942"/>
      <c r="BA53" s="3630"/>
    </row>
    <row r="54" spans="1:53" ht="15" customHeight="1" thickBot="1">
      <c r="A54" s="3695"/>
      <c r="B54" s="1688" t="s">
        <v>34</v>
      </c>
      <c r="C54" s="3679"/>
      <c r="D54" s="1705">
        <f t="shared" si="15"/>
        <v>0</v>
      </c>
      <c r="E54" s="1706"/>
      <c r="F54" s="1707"/>
      <c r="G54" s="2277"/>
      <c r="H54" s="1712"/>
      <c r="I54" s="1779"/>
      <c r="J54" s="2293"/>
      <c r="K54" s="1769"/>
      <c r="L54" s="2202"/>
      <c r="M54" s="1768"/>
      <c r="N54" s="1771"/>
      <c r="O54" s="1767"/>
      <c r="P54" s="1772"/>
      <c r="Q54" s="1835"/>
      <c r="R54" s="1836"/>
      <c r="S54" s="2165"/>
      <c r="T54" s="2311"/>
      <c r="U54" s="2519"/>
      <c r="V54" s="1922"/>
      <c r="W54" s="1838"/>
      <c r="X54" s="1924"/>
      <c r="Y54" s="1947"/>
      <c r="Z54" s="1707"/>
      <c r="AA54" s="2318"/>
      <c r="AB54" s="1888"/>
      <c r="AC54" s="2064"/>
      <c r="AD54" s="2293"/>
      <c r="AE54" s="1769"/>
      <c r="AF54" s="2202"/>
      <c r="AG54" s="1891"/>
      <c r="AH54" s="1892"/>
      <c r="AI54" s="1920"/>
      <c r="AJ54" s="2327"/>
      <c r="AK54" s="2076"/>
      <c r="AL54" s="1921"/>
      <c r="AM54" s="2165"/>
      <c r="AN54" s="2311"/>
      <c r="AO54" s="2519"/>
      <c r="AP54" s="1922"/>
      <c r="AQ54" s="1923"/>
      <c r="AR54" s="1924"/>
      <c r="AS54" s="1947"/>
      <c r="AT54" s="1891"/>
      <c r="AU54" s="1948"/>
      <c r="AV54" s="1924"/>
      <c r="AW54" s="3634"/>
      <c r="AX54" s="3634"/>
      <c r="AY54" s="1951"/>
      <c r="AZ54" s="1942"/>
      <c r="BA54" s="3630"/>
    </row>
    <row r="55" spans="1:53" ht="15" customHeight="1" thickBot="1">
      <c r="A55" s="3695"/>
      <c r="B55" s="1728" t="s">
        <v>34</v>
      </c>
      <c r="C55" s="3680"/>
      <c r="D55" s="2273">
        <f t="shared" si="15"/>
        <v>0</v>
      </c>
      <c r="E55" s="1706"/>
      <c r="F55" s="1707"/>
      <c r="G55" s="2277"/>
      <c r="H55" s="1712"/>
      <c r="I55" s="1779"/>
      <c r="J55" s="2296"/>
      <c r="K55" s="1708"/>
      <c r="L55" s="2134"/>
      <c r="M55" s="1781"/>
      <c r="N55" s="1771"/>
      <c r="O55" s="1780"/>
      <c r="P55" s="1772"/>
      <c r="Q55" s="1835"/>
      <c r="R55" s="1836"/>
      <c r="S55" s="2165"/>
      <c r="T55" s="2311"/>
      <c r="U55" s="2519"/>
      <c r="V55" s="1922"/>
      <c r="W55" s="1838"/>
      <c r="X55" s="1924"/>
      <c r="Y55" s="1947"/>
      <c r="Z55" s="1707"/>
      <c r="AA55" s="2318"/>
      <c r="AB55" s="1888"/>
      <c r="AC55" s="2064"/>
      <c r="AD55" s="2296"/>
      <c r="AE55" s="1708"/>
      <c r="AF55" s="2134"/>
      <c r="AG55" s="1891"/>
      <c r="AH55" s="1892"/>
      <c r="AI55" s="1920"/>
      <c r="AJ55" s="2330"/>
      <c r="AK55" s="2076"/>
      <c r="AL55" s="1921"/>
      <c r="AM55" s="2165"/>
      <c r="AN55" s="2311"/>
      <c r="AO55" s="2519"/>
      <c r="AP55" s="1922"/>
      <c r="AQ55" s="1923"/>
      <c r="AR55" s="1924"/>
      <c r="AS55" s="2281"/>
      <c r="AT55" s="1891"/>
      <c r="AU55" s="1948"/>
      <c r="AV55" s="1924"/>
      <c r="AW55" s="3634"/>
      <c r="AX55" s="3634"/>
      <c r="AY55" s="1951"/>
      <c r="AZ55" s="1942"/>
      <c r="BA55" s="3630"/>
    </row>
    <row r="56" spans="1:53" ht="15" customHeight="1" thickBot="1">
      <c r="A56" s="3694">
        <v>46134</v>
      </c>
      <c r="B56" s="2005" t="s">
        <v>32</v>
      </c>
      <c r="C56" s="3678">
        <f>SUM(D56:D59)</f>
        <v>983</v>
      </c>
      <c r="D56" s="2273">
        <f t="shared" si="15"/>
        <v>525</v>
      </c>
      <c r="E56" s="1726">
        <v>512</v>
      </c>
      <c r="F56" s="1691"/>
      <c r="G56" s="2274"/>
      <c r="H56" s="1713"/>
      <c r="I56" s="1782"/>
      <c r="J56" s="2288"/>
      <c r="K56" s="1692"/>
      <c r="L56" s="2133"/>
      <c r="M56" s="1784"/>
      <c r="N56" s="1750"/>
      <c r="O56" s="1783"/>
      <c r="P56" s="1751"/>
      <c r="Q56" s="1816"/>
      <c r="R56" s="1817"/>
      <c r="S56" s="2163"/>
      <c r="T56" s="2306"/>
      <c r="U56" s="2516"/>
      <c r="V56" s="1911"/>
      <c r="W56" s="1819"/>
      <c r="X56" s="1865"/>
      <c r="Y56" s="1690"/>
      <c r="Z56" s="1691"/>
      <c r="AA56" s="2282"/>
      <c r="AB56" s="1893"/>
      <c r="AC56" s="2065"/>
      <c r="AD56" s="2288"/>
      <c r="AE56" s="1692"/>
      <c r="AF56" s="2133"/>
      <c r="AG56" s="1873"/>
      <c r="AH56" s="1874"/>
      <c r="AI56" s="1909"/>
      <c r="AJ56" s="2322"/>
      <c r="AK56" s="2078"/>
      <c r="AL56" s="1910"/>
      <c r="AM56" s="2163"/>
      <c r="AN56" s="2306"/>
      <c r="AO56" s="2516"/>
      <c r="AP56" s="1911"/>
      <c r="AQ56" s="1864"/>
      <c r="AR56" s="1865"/>
      <c r="AS56" s="1726">
        <v>13</v>
      </c>
      <c r="AT56" s="1873"/>
      <c r="AU56" s="1940"/>
      <c r="AV56" s="1865"/>
      <c r="AW56" s="3633">
        <f>SUM(E56:X59)</f>
        <v>960</v>
      </c>
      <c r="AX56" s="3633">
        <f>SUM(E56:AR59)</f>
        <v>960</v>
      </c>
      <c r="AY56" s="1951">
        <v>10001</v>
      </c>
      <c r="AZ56" s="1942" t="s">
        <v>41</v>
      </c>
      <c r="BA56" s="3629" t="s">
        <v>33</v>
      </c>
    </row>
    <row r="57" spans="1:53" ht="15" customHeight="1" thickBot="1">
      <c r="A57" s="3695"/>
      <c r="B57" s="1694" t="s">
        <v>34</v>
      </c>
      <c r="C57" s="3679"/>
      <c r="D57" s="1705">
        <f t="shared" si="15"/>
        <v>458</v>
      </c>
      <c r="E57" s="1706">
        <v>448</v>
      </c>
      <c r="F57" s="1707"/>
      <c r="G57" s="2277"/>
      <c r="H57" s="1712"/>
      <c r="I57" s="1779"/>
      <c r="J57" s="2293"/>
      <c r="K57" s="1769"/>
      <c r="L57" s="2202"/>
      <c r="M57" s="1768"/>
      <c r="N57" s="1771"/>
      <c r="O57" s="1767"/>
      <c r="P57" s="1772"/>
      <c r="Q57" s="1835"/>
      <c r="R57" s="1836"/>
      <c r="S57" s="2165"/>
      <c r="T57" s="2311"/>
      <c r="U57" s="2519"/>
      <c r="V57" s="1922"/>
      <c r="W57" s="1838"/>
      <c r="X57" s="1924"/>
      <c r="Y57" s="1947"/>
      <c r="Z57" s="1707"/>
      <c r="AA57" s="2318"/>
      <c r="AB57" s="1888"/>
      <c r="AC57" s="2064"/>
      <c r="AD57" s="2293"/>
      <c r="AE57" s="1769"/>
      <c r="AF57" s="2202"/>
      <c r="AG57" s="1891"/>
      <c r="AH57" s="1892"/>
      <c r="AI57" s="1920"/>
      <c r="AJ57" s="2327"/>
      <c r="AK57" s="2076"/>
      <c r="AL57" s="1921"/>
      <c r="AM57" s="2165"/>
      <c r="AN57" s="2311"/>
      <c r="AO57" s="2519"/>
      <c r="AP57" s="1922"/>
      <c r="AQ57" s="1923"/>
      <c r="AR57" s="1924"/>
      <c r="AS57" s="1947">
        <v>10</v>
      </c>
      <c r="AT57" s="1891"/>
      <c r="AU57" s="1948"/>
      <c r="AV57" s="1924"/>
      <c r="AW57" s="3634"/>
      <c r="AX57" s="3634"/>
      <c r="AY57" s="1951"/>
      <c r="AZ57" s="1942"/>
      <c r="BA57" s="3630"/>
    </row>
    <row r="58" spans="1:53" ht="15" customHeight="1" thickBot="1">
      <c r="A58" s="3695"/>
      <c r="B58" s="1694" t="s">
        <v>34</v>
      </c>
      <c r="C58" s="3679"/>
      <c r="D58" s="1705">
        <f t="shared" ref="D58" si="17">SUM(E58:AV58)</f>
        <v>0</v>
      </c>
      <c r="E58" s="1706"/>
      <c r="F58" s="1707"/>
      <c r="G58" s="2277"/>
      <c r="H58" s="1712"/>
      <c r="I58" s="1779"/>
      <c r="J58" s="2293"/>
      <c r="K58" s="1769"/>
      <c r="L58" s="2202"/>
      <c r="M58" s="1768"/>
      <c r="N58" s="1771"/>
      <c r="O58" s="1767"/>
      <c r="P58" s="1772"/>
      <c r="Q58" s="1835"/>
      <c r="R58" s="1836"/>
      <c r="S58" s="2165"/>
      <c r="T58" s="2311"/>
      <c r="U58" s="2519"/>
      <c r="V58" s="1922"/>
      <c r="W58" s="1838"/>
      <c r="X58" s="1924"/>
      <c r="Y58" s="1947"/>
      <c r="Z58" s="1707"/>
      <c r="AA58" s="2318"/>
      <c r="AB58" s="1888"/>
      <c r="AC58" s="2064"/>
      <c r="AD58" s="2293"/>
      <c r="AE58" s="1769"/>
      <c r="AF58" s="2202"/>
      <c r="AG58" s="1891"/>
      <c r="AH58" s="1892"/>
      <c r="AI58" s="1920"/>
      <c r="AJ58" s="2327"/>
      <c r="AK58" s="2076"/>
      <c r="AL58" s="1921"/>
      <c r="AM58" s="2165"/>
      <c r="AN58" s="2311"/>
      <c r="AO58" s="2519"/>
      <c r="AP58" s="1922"/>
      <c r="AQ58" s="1923"/>
      <c r="AR58" s="1924"/>
      <c r="AS58" s="1947"/>
      <c r="AT58" s="1891"/>
      <c r="AU58" s="1948"/>
      <c r="AV58" s="1924"/>
      <c r="AW58" s="3634"/>
      <c r="AX58" s="3634"/>
      <c r="AY58" s="1951"/>
      <c r="AZ58" s="1942"/>
      <c r="BA58" s="3630"/>
    </row>
    <row r="59" spans="1:53" ht="15" customHeight="1" thickBot="1">
      <c r="A59" s="3695"/>
      <c r="B59" s="1728" t="s">
        <v>34</v>
      </c>
      <c r="C59" s="3691"/>
      <c r="D59" s="2273">
        <f t="shared" si="15"/>
        <v>0</v>
      </c>
      <c r="E59" s="1706"/>
      <c r="F59" s="1707"/>
      <c r="G59" s="2277"/>
      <c r="H59" s="1713"/>
      <c r="I59" s="1782"/>
      <c r="J59" s="2296"/>
      <c r="K59" s="1708"/>
      <c r="L59" s="2134"/>
      <c r="M59" s="1781"/>
      <c r="N59" s="1771"/>
      <c r="O59" s="1780"/>
      <c r="P59" s="1772"/>
      <c r="Q59" s="1835"/>
      <c r="R59" s="1836"/>
      <c r="S59" s="2165"/>
      <c r="T59" s="2311"/>
      <c r="U59" s="2519"/>
      <c r="V59" s="1922"/>
      <c r="W59" s="1838"/>
      <c r="X59" s="1924"/>
      <c r="Y59" s="1947"/>
      <c r="Z59" s="1707"/>
      <c r="AA59" s="2318"/>
      <c r="AB59" s="1888"/>
      <c r="AC59" s="2064"/>
      <c r="AD59" s="2296"/>
      <c r="AE59" s="1708"/>
      <c r="AF59" s="2134"/>
      <c r="AG59" s="1891"/>
      <c r="AH59" s="1892"/>
      <c r="AI59" s="1920"/>
      <c r="AJ59" s="2330"/>
      <c r="AK59" s="2076"/>
      <c r="AL59" s="1921"/>
      <c r="AM59" s="2165"/>
      <c r="AN59" s="2311"/>
      <c r="AO59" s="2519"/>
      <c r="AP59" s="1922"/>
      <c r="AQ59" s="1923"/>
      <c r="AR59" s="1924"/>
      <c r="AS59" s="1947"/>
      <c r="AT59" s="1891"/>
      <c r="AU59" s="1948"/>
      <c r="AV59" s="1924"/>
      <c r="AW59" s="3634"/>
      <c r="AX59" s="3634"/>
      <c r="AY59" s="1951"/>
      <c r="AZ59" s="1942"/>
      <c r="BA59" s="3630"/>
    </row>
    <row r="60" spans="1:53" ht="15" customHeight="1" thickBot="1">
      <c r="A60" s="3694">
        <v>46135</v>
      </c>
      <c r="B60" s="1997" t="s">
        <v>32</v>
      </c>
      <c r="C60" s="3692">
        <f>SUM(D60:D62)</f>
        <v>824</v>
      </c>
      <c r="D60" s="2273">
        <f t="shared" si="15"/>
        <v>276</v>
      </c>
      <c r="E60" s="1726">
        <v>272</v>
      </c>
      <c r="F60" s="1691"/>
      <c r="G60" s="2274"/>
      <c r="H60" s="1713"/>
      <c r="I60" s="1782"/>
      <c r="J60" s="2300"/>
      <c r="K60" s="1748"/>
      <c r="L60" s="2199"/>
      <c r="M60" s="1747"/>
      <c r="N60" s="1750"/>
      <c r="O60" s="1746"/>
      <c r="P60" s="1751"/>
      <c r="Q60" s="1816"/>
      <c r="R60" s="1817"/>
      <c r="S60" s="2163"/>
      <c r="T60" s="2306"/>
      <c r="U60" s="2516"/>
      <c r="V60" s="1911"/>
      <c r="W60" s="1819"/>
      <c r="X60" s="1865"/>
      <c r="Y60" s="1690"/>
      <c r="Z60" s="1691"/>
      <c r="AA60" s="2282"/>
      <c r="AB60" s="1893"/>
      <c r="AC60" s="2065"/>
      <c r="AD60" s="2300"/>
      <c r="AE60" s="1748"/>
      <c r="AF60" s="2199"/>
      <c r="AG60" s="1873"/>
      <c r="AH60" s="1874"/>
      <c r="AI60" s="1909"/>
      <c r="AJ60" s="2333"/>
      <c r="AK60" s="2078"/>
      <c r="AL60" s="1910"/>
      <c r="AM60" s="2163"/>
      <c r="AN60" s="2306"/>
      <c r="AO60" s="2516"/>
      <c r="AP60" s="1911"/>
      <c r="AQ60" s="1864"/>
      <c r="AR60" s="1865"/>
      <c r="AS60" s="1726">
        <v>4</v>
      </c>
      <c r="AT60" s="1873"/>
      <c r="AU60" s="1940"/>
      <c r="AV60" s="1865"/>
      <c r="AW60" s="3633">
        <f>SUM(E60:X62)</f>
        <v>816</v>
      </c>
      <c r="AX60" s="3633">
        <f>SUM(E60:AR62)</f>
        <v>816</v>
      </c>
      <c r="AY60" s="1951">
        <v>10001</v>
      </c>
      <c r="AZ60" s="1942" t="s">
        <v>41</v>
      </c>
      <c r="BA60" s="3629" t="s">
        <v>33</v>
      </c>
    </row>
    <row r="61" spans="1:53" ht="15" customHeight="1" thickBot="1">
      <c r="A61" s="3695"/>
      <c r="B61" s="1694" t="s">
        <v>34</v>
      </c>
      <c r="C61" s="3679"/>
      <c r="D61" s="1705">
        <f t="shared" si="15"/>
        <v>548</v>
      </c>
      <c r="E61" s="1706">
        <v>544</v>
      </c>
      <c r="F61" s="1707"/>
      <c r="G61" s="2277"/>
      <c r="H61" s="1712"/>
      <c r="I61" s="1779"/>
      <c r="J61" s="2293"/>
      <c r="K61" s="1769"/>
      <c r="L61" s="2202"/>
      <c r="M61" s="1768"/>
      <c r="N61" s="1771"/>
      <c r="O61" s="1767"/>
      <c r="P61" s="1772"/>
      <c r="Q61" s="1835"/>
      <c r="R61" s="1836"/>
      <c r="S61" s="2165"/>
      <c r="T61" s="2311"/>
      <c r="U61" s="2519"/>
      <c r="V61" s="1922"/>
      <c r="W61" s="1838"/>
      <c r="X61" s="1924"/>
      <c r="Y61" s="1947"/>
      <c r="Z61" s="1707"/>
      <c r="AA61" s="2318"/>
      <c r="AB61" s="1888"/>
      <c r="AC61" s="2064"/>
      <c r="AD61" s="2293"/>
      <c r="AE61" s="1769"/>
      <c r="AF61" s="2202"/>
      <c r="AG61" s="1891"/>
      <c r="AH61" s="1892"/>
      <c r="AI61" s="1920"/>
      <c r="AJ61" s="2327"/>
      <c r="AK61" s="2076"/>
      <c r="AL61" s="1921"/>
      <c r="AM61" s="2165"/>
      <c r="AN61" s="2311"/>
      <c r="AO61" s="2519"/>
      <c r="AP61" s="1922"/>
      <c r="AQ61" s="1923"/>
      <c r="AR61" s="1924"/>
      <c r="AS61" s="1947">
        <v>4</v>
      </c>
      <c r="AT61" s="1891"/>
      <c r="AU61" s="1948"/>
      <c r="AV61" s="1924"/>
      <c r="AW61" s="3634"/>
      <c r="AX61" s="3634"/>
      <c r="AY61" s="1951"/>
      <c r="AZ61" s="1942"/>
      <c r="BA61" s="3630"/>
    </row>
    <row r="62" spans="1:53" ht="15" customHeight="1" thickBot="1">
      <c r="A62" s="3695"/>
      <c r="B62" s="2285" t="s">
        <v>34</v>
      </c>
      <c r="C62" s="3693"/>
      <c r="D62" s="2273">
        <f t="shared" ref="D62:D67" si="18">SUM(E62:AV62)</f>
        <v>0</v>
      </c>
      <c r="E62" s="1706"/>
      <c r="F62" s="1707"/>
      <c r="G62" s="2277"/>
      <c r="H62" s="1712"/>
      <c r="I62" s="1779"/>
      <c r="J62" s="2293"/>
      <c r="K62" s="1769"/>
      <c r="L62" s="2202"/>
      <c r="M62" s="1768"/>
      <c r="N62" s="1771"/>
      <c r="O62" s="1767"/>
      <c r="P62" s="1772"/>
      <c r="Q62" s="1835"/>
      <c r="R62" s="1836"/>
      <c r="S62" s="2165"/>
      <c r="T62" s="2311"/>
      <c r="U62" s="2519"/>
      <c r="V62" s="1922"/>
      <c r="W62" s="1838"/>
      <c r="X62" s="1924"/>
      <c r="Y62" s="1947"/>
      <c r="Z62" s="1707"/>
      <c r="AA62" s="2318"/>
      <c r="AB62" s="1888"/>
      <c r="AC62" s="2064"/>
      <c r="AD62" s="2293"/>
      <c r="AE62" s="1769"/>
      <c r="AF62" s="2202"/>
      <c r="AG62" s="1891"/>
      <c r="AH62" s="1892"/>
      <c r="AI62" s="1920"/>
      <c r="AJ62" s="2327"/>
      <c r="AK62" s="2076"/>
      <c r="AL62" s="1921"/>
      <c r="AM62" s="2165"/>
      <c r="AN62" s="2311"/>
      <c r="AO62" s="2519"/>
      <c r="AP62" s="1922"/>
      <c r="AQ62" s="1923"/>
      <c r="AR62" s="1924"/>
      <c r="AS62" s="1947"/>
      <c r="AT62" s="1891"/>
      <c r="AU62" s="1948"/>
      <c r="AV62" s="1924"/>
      <c r="AW62" s="3634"/>
      <c r="AX62" s="3634"/>
      <c r="AY62" s="1951"/>
      <c r="AZ62" s="1942"/>
      <c r="BA62" s="3630"/>
    </row>
    <row r="63" spans="1:53" ht="15" customHeight="1" thickBot="1">
      <c r="A63" s="3694">
        <v>46136</v>
      </c>
      <c r="B63" s="1688" t="s">
        <v>32</v>
      </c>
      <c r="C63" s="3678">
        <f>SUM(D63:D65)</f>
        <v>1023</v>
      </c>
      <c r="D63" s="2273">
        <f t="shared" si="18"/>
        <v>527</v>
      </c>
      <c r="E63" s="1726">
        <v>512</v>
      </c>
      <c r="F63" s="1691"/>
      <c r="G63" s="2274"/>
      <c r="H63" s="1713"/>
      <c r="I63" s="1782"/>
      <c r="J63" s="2300"/>
      <c r="K63" s="1748"/>
      <c r="L63" s="2199"/>
      <c r="M63" s="1747"/>
      <c r="N63" s="1750"/>
      <c r="O63" s="1746"/>
      <c r="P63" s="1751"/>
      <c r="Q63" s="1816"/>
      <c r="R63" s="1817"/>
      <c r="S63" s="2163"/>
      <c r="T63" s="2306"/>
      <c r="U63" s="2516"/>
      <c r="V63" s="1911"/>
      <c r="W63" s="1819"/>
      <c r="X63" s="1865"/>
      <c r="Y63" s="1690"/>
      <c r="Z63" s="1691"/>
      <c r="AA63" s="2282"/>
      <c r="AB63" s="1893"/>
      <c r="AC63" s="2065"/>
      <c r="AD63" s="2300"/>
      <c r="AE63" s="1748"/>
      <c r="AF63" s="2199"/>
      <c r="AG63" s="1873"/>
      <c r="AH63" s="1874"/>
      <c r="AI63" s="1909"/>
      <c r="AJ63" s="2333"/>
      <c r="AK63" s="2078"/>
      <c r="AL63" s="1910"/>
      <c r="AM63" s="2163"/>
      <c r="AN63" s="2306"/>
      <c r="AO63" s="2516"/>
      <c r="AP63" s="1911"/>
      <c r="AQ63" s="1864"/>
      <c r="AR63" s="1865"/>
      <c r="AS63" s="1726">
        <v>15</v>
      </c>
      <c r="AT63" s="1873"/>
      <c r="AU63" s="1940"/>
      <c r="AV63" s="1865"/>
      <c r="AW63" s="3633">
        <f>SUM(E63:X65)</f>
        <v>992</v>
      </c>
      <c r="AX63" s="3633">
        <f>SUM(E63:AR65)</f>
        <v>992</v>
      </c>
      <c r="AY63" s="1951">
        <v>10001</v>
      </c>
      <c r="AZ63" s="1942" t="s">
        <v>41</v>
      </c>
      <c r="BA63" s="3629" t="s">
        <v>33</v>
      </c>
    </row>
    <row r="64" spans="1:53" ht="15" customHeight="1" thickBot="1">
      <c r="A64" s="3695"/>
      <c r="B64" s="1694" t="s">
        <v>32</v>
      </c>
      <c r="C64" s="3679"/>
      <c r="D64" s="1705">
        <f t="shared" ref="D64" si="19">SUM(E64:AV64)</f>
        <v>496</v>
      </c>
      <c r="E64" s="1706">
        <v>480</v>
      </c>
      <c r="F64" s="1707"/>
      <c r="G64" s="2277"/>
      <c r="H64" s="1712"/>
      <c r="I64" s="1779"/>
      <c r="J64" s="2293"/>
      <c r="K64" s="1769"/>
      <c r="L64" s="2202"/>
      <c r="M64" s="1768"/>
      <c r="N64" s="1771"/>
      <c r="O64" s="1767"/>
      <c r="P64" s="1772"/>
      <c r="Q64" s="1835"/>
      <c r="R64" s="1836"/>
      <c r="S64" s="2165"/>
      <c r="T64" s="2311"/>
      <c r="U64" s="2519"/>
      <c r="V64" s="1922"/>
      <c r="W64" s="1838"/>
      <c r="X64" s="1924"/>
      <c r="Y64" s="1947"/>
      <c r="Z64" s="1707"/>
      <c r="AA64" s="2318"/>
      <c r="AB64" s="1888"/>
      <c r="AC64" s="2064"/>
      <c r="AD64" s="2293"/>
      <c r="AE64" s="1769"/>
      <c r="AF64" s="2202"/>
      <c r="AG64" s="1891"/>
      <c r="AH64" s="1892"/>
      <c r="AI64" s="1920"/>
      <c r="AJ64" s="2327"/>
      <c r="AK64" s="2076"/>
      <c r="AL64" s="1921"/>
      <c r="AM64" s="2165"/>
      <c r="AN64" s="2311"/>
      <c r="AO64" s="2519"/>
      <c r="AP64" s="1922"/>
      <c r="AQ64" s="1923"/>
      <c r="AR64" s="1924"/>
      <c r="AS64" s="1947">
        <v>16</v>
      </c>
      <c r="AT64" s="1891"/>
      <c r="AU64" s="1948"/>
      <c r="AV64" s="1924"/>
      <c r="AW64" s="3634"/>
      <c r="AX64" s="3634"/>
      <c r="AY64" s="1951"/>
      <c r="AZ64" s="1942"/>
      <c r="BA64" s="3630"/>
    </row>
    <row r="65" spans="1:53" ht="15" customHeight="1" thickBot="1">
      <c r="A65" s="3695"/>
      <c r="B65" s="1724" t="s">
        <v>34</v>
      </c>
      <c r="C65" s="3680"/>
      <c r="D65" s="2273">
        <f t="shared" si="18"/>
        <v>0</v>
      </c>
      <c r="E65" s="1706"/>
      <c r="F65" s="1707"/>
      <c r="G65" s="2277"/>
      <c r="H65" s="1712"/>
      <c r="I65" s="1779"/>
      <c r="J65" s="2293"/>
      <c r="K65" s="1769"/>
      <c r="L65" s="2202"/>
      <c r="M65" s="1768"/>
      <c r="N65" s="1771"/>
      <c r="O65" s="1767"/>
      <c r="P65" s="1772"/>
      <c r="Q65" s="1835"/>
      <c r="R65" s="1836"/>
      <c r="S65" s="2165"/>
      <c r="T65" s="2311"/>
      <c r="U65" s="2519"/>
      <c r="V65" s="1922"/>
      <c r="W65" s="1838"/>
      <c r="X65" s="1924"/>
      <c r="Y65" s="1947"/>
      <c r="Z65" s="1707"/>
      <c r="AA65" s="2318"/>
      <c r="AB65" s="1888"/>
      <c r="AC65" s="2064"/>
      <c r="AD65" s="2293"/>
      <c r="AE65" s="1769"/>
      <c r="AF65" s="2202"/>
      <c r="AG65" s="1891"/>
      <c r="AH65" s="1892"/>
      <c r="AI65" s="1920"/>
      <c r="AJ65" s="2327"/>
      <c r="AK65" s="2076"/>
      <c r="AL65" s="1921"/>
      <c r="AM65" s="2165"/>
      <c r="AN65" s="2311"/>
      <c r="AO65" s="2519"/>
      <c r="AP65" s="1922"/>
      <c r="AQ65" s="1923"/>
      <c r="AR65" s="1924"/>
      <c r="AS65" s="1947"/>
      <c r="AT65" s="1891"/>
      <c r="AU65" s="1948"/>
      <c r="AV65" s="1924"/>
      <c r="AW65" s="3634"/>
      <c r="AX65" s="3634"/>
      <c r="AY65" s="1941"/>
      <c r="AZ65" s="1942"/>
      <c r="BA65" s="3630"/>
    </row>
    <row r="66" spans="1:53" ht="15" customHeight="1" thickBot="1">
      <c r="A66" s="3694">
        <v>46137</v>
      </c>
      <c r="B66" s="2005" t="s">
        <v>32</v>
      </c>
      <c r="C66" s="3678">
        <f>SUM(D66:D68)</f>
        <v>1023</v>
      </c>
      <c r="D66" s="2273">
        <f t="shared" si="18"/>
        <v>514</v>
      </c>
      <c r="E66" s="1726">
        <v>512</v>
      </c>
      <c r="F66" s="1691"/>
      <c r="G66" s="2274"/>
      <c r="H66" s="1713"/>
      <c r="I66" s="1782"/>
      <c r="J66" s="2300"/>
      <c r="K66" s="1748"/>
      <c r="L66" s="2199"/>
      <c r="M66" s="1747"/>
      <c r="N66" s="1750"/>
      <c r="O66" s="1746"/>
      <c r="P66" s="1751"/>
      <c r="Q66" s="1816"/>
      <c r="R66" s="1817"/>
      <c r="S66" s="2163"/>
      <c r="T66" s="2306"/>
      <c r="U66" s="2516"/>
      <c r="V66" s="1911"/>
      <c r="W66" s="1819"/>
      <c r="X66" s="1865"/>
      <c r="Y66" s="1690"/>
      <c r="Z66" s="1691"/>
      <c r="AA66" s="2282"/>
      <c r="AB66" s="1893"/>
      <c r="AC66" s="2065"/>
      <c r="AD66" s="2300"/>
      <c r="AE66" s="1748"/>
      <c r="AF66" s="2199"/>
      <c r="AG66" s="1873"/>
      <c r="AH66" s="1874"/>
      <c r="AI66" s="1909"/>
      <c r="AJ66" s="2333"/>
      <c r="AK66" s="2078"/>
      <c r="AL66" s="1910"/>
      <c r="AM66" s="2163"/>
      <c r="AN66" s="2306"/>
      <c r="AO66" s="2516"/>
      <c r="AP66" s="1911"/>
      <c r="AQ66" s="1864"/>
      <c r="AR66" s="1865"/>
      <c r="AS66" s="1726">
        <v>2</v>
      </c>
      <c r="AT66" s="1873"/>
      <c r="AU66" s="1940"/>
      <c r="AV66" s="1865"/>
      <c r="AW66" s="3633">
        <f>SUM(E66:X68)</f>
        <v>1008</v>
      </c>
      <c r="AX66" s="3633">
        <f>SUM(E66:AR68)</f>
        <v>1008</v>
      </c>
      <c r="AY66" s="1942">
        <v>10001</v>
      </c>
      <c r="AZ66" s="1942" t="s">
        <v>41</v>
      </c>
      <c r="BA66" s="3629" t="s">
        <v>33</v>
      </c>
    </row>
    <row r="67" spans="1:53" ht="15" customHeight="1" thickBot="1">
      <c r="A67" s="3695"/>
      <c r="B67" s="1694" t="s">
        <v>34</v>
      </c>
      <c r="C67" s="3679"/>
      <c r="D67" s="1705">
        <f t="shared" si="18"/>
        <v>509</v>
      </c>
      <c r="E67" s="1706">
        <v>496</v>
      </c>
      <c r="F67" s="1707"/>
      <c r="G67" s="2277"/>
      <c r="H67" s="1712"/>
      <c r="I67" s="1779"/>
      <c r="J67" s="2293"/>
      <c r="K67" s="1769"/>
      <c r="L67" s="2202"/>
      <c r="M67" s="1768"/>
      <c r="N67" s="1771"/>
      <c r="O67" s="1767"/>
      <c r="P67" s="1772"/>
      <c r="Q67" s="1835"/>
      <c r="R67" s="1836"/>
      <c r="S67" s="2165"/>
      <c r="T67" s="2311"/>
      <c r="U67" s="2519"/>
      <c r="V67" s="1922"/>
      <c r="W67" s="1838"/>
      <c r="X67" s="1924"/>
      <c r="Y67" s="1947"/>
      <c r="Z67" s="1707"/>
      <c r="AA67" s="2318"/>
      <c r="AB67" s="1888"/>
      <c r="AC67" s="2064"/>
      <c r="AD67" s="2293"/>
      <c r="AE67" s="1769"/>
      <c r="AF67" s="2202"/>
      <c r="AG67" s="1891"/>
      <c r="AH67" s="1892"/>
      <c r="AI67" s="1920"/>
      <c r="AJ67" s="2327"/>
      <c r="AK67" s="2076"/>
      <c r="AL67" s="1921"/>
      <c r="AM67" s="2165"/>
      <c r="AN67" s="2311"/>
      <c r="AO67" s="2519"/>
      <c r="AP67" s="1922"/>
      <c r="AQ67" s="1923"/>
      <c r="AR67" s="1924"/>
      <c r="AS67" s="1947">
        <v>13</v>
      </c>
      <c r="AT67" s="1891"/>
      <c r="AU67" s="1948"/>
      <c r="AV67" s="1924"/>
      <c r="AW67" s="3634"/>
      <c r="AX67" s="3634"/>
      <c r="AY67" s="1951"/>
      <c r="AZ67" s="1942"/>
      <c r="BA67" s="3630"/>
    </row>
    <row r="68" spans="1:53" ht="15" customHeight="1" thickBot="1">
      <c r="A68" s="3695"/>
      <c r="B68" s="1728" t="s">
        <v>34</v>
      </c>
      <c r="C68" s="3681"/>
      <c r="D68" s="2279">
        <f t="shared" ref="D68:D77" si="20">SUM(E68:AV68)</f>
        <v>0</v>
      </c>
      <c r="E68" s="1706"/>
      <c r="F68" s="1707"/>
      <c r="G68" s="2277"/>
      <c r="H68" s="1712"/>
      <c r="I68" s="1779"/>
      <c r="J68" s="2293"/>
      <c r="K68" s="1769"/>
      <c r="L68" s="2202"/>
      <c r="M68" s="1768"/>
      <c r="N68" s="1771"/>
      <c r="O68" s="1767"/>
      <c r="P68" s="1772"/>
      <c r="Q68" s="1835"/>
      <c r="R68" s="1836"/>
      <c r="S68" s="2165"/>
      <c r="T68" s="2311"/>
      <c r="U68" s="2519"/>
      <c r="V68" s="1922"/>
      <c r="W68" s="1838"/>
      <c r="X68" s="1924"/>
      <c r="Y68" s="1947"/>
      <c r="Z68" s="1707"/>
      <c r="AA68" s="2318"/>
      <c r="AB68" s="1888"/>
      <c r="AC68" s="2064"/>
      <c r="AD68" s="2293"/>
      <c r="AE68" s="1769"/>
      <c r="AF68" s="2202"/>
      <c r="AG68" s="1891"/>
      <c r="AH68" s="1892"/>
      <c r="AI68" s="1920"/>
      <c r="AJ68" s="2327"/>
      <c r="AK68" s="2076"/>
      <c r="AL68" s="1921"/>
      <c r="AM68" s="2165"/>
      <c r="AN68" s="2311"/>
      <c r="AO68" s="2519"/>
      <c r="AP68" s="1922"/>
      <c r="AQ68" s="1923"/>
      <c r="AR68" s="1924"/>
      <c r="AS68" s="1947"/>
      <c r="AT68" s="1891"/>
      <c r="AU68" s="1948"/>
      <c r="AV68" s="1924"/>
      <c r="AW68" s="3634"/>
      <c r="AX68" s="3634"/>
      <c r="AY68" s="1945"/>
      <c r="AZ68" s="1942"/>
      <c r="BA68" s="3630"/>
    </row>
    <row r="69" spans="1:53" ht="15" customHeight="1" thickBot="1">
      <c r="A69" s="3694">
        <v>46138</v>
      </c>
      <c r="B69" s="2005" t="s">
        <v>32</v>
      </c>
      <c r="C69" s="3678">
        <f>SUM(D69:D71)</f>
        <v>1027</v>
      </c>
      <c r="D69" s="2273">
        <f t="shared" si="20"/>
        <v>522</v>
      </c>
      <c r="E69" s="1726">
        <v>496</v>
      </c>
      <c r="F69" s="1691"/>
      <c r="G69" s="2274"/>
      <c r="H69" s="1713"/>
      <c r="I69" s="1782"/>
      <c r="J69" s="2300"/>
      <c r="K69" s="1748"/>
      <c r="L69" s="2199"/>
      <c r="M69" s="1747"/>
      <c r="N69" s="1750"/>
      <c r="O69" s="1746"/>
      <c r="P69" s="1751"/>
      <c r="Q69" s="1816"/>
      <c r="R69" s="1817"/>
      <c r="S69" s="2163"/>
      <c r="T69" s="2306"/>
      <c r="U69" s="2516"/>
      <c r="V69" s="1911"/>
      <c r="W69" s="1819"/>
      <c r="X69" s="1865"/>
      <c r="Y69" s="1690"/>
      <c r="Z69" s="1691"/>
      <c r="AA69" s="2282"/>
      <c r="AB69" s="1893"/>
      <c r="AC69" s="2065"/>
      <c r="AD69" s="2300"/>
      <c r="AE69" s="1748"/>
      <c r="AF69" s="2199"/>
      <c r="AG69" s="1873"/>
      <c r="AH69" s="1874"/>
      <c r="AI69" s="1909"/>
      <c r="AJ69" s="2333"/>
      <c r="AK69" s="2078"/>
      <c r="AL69" s="1910"/>
      <c r="AM69" s="2163"/>
      <c r="AN69" s="2306"/>
      <c r="AO69" s="2516"/>
      <c r="AP69" s="1911"/>
      <c r="AQ69" s="1864"/>
      <c r="AR69" s="1865"/>
      <c r="AS69" s="1726">
        <v>26</v>
      </c>
      <c r="AT69" s="1873"/>
      <c r="AU69" s="1940"/>
      <c r="AV69" s="1865"/>
      <c r="AW69" s="3633">
        <f>SUM(E69:X71)</f>
        <v>992</v>
      </c>
      <c r="AX69" s="3633">
        <f>SUM(E69:AR71)</f>
        <v>992</v>
      </c>
      <c r="AY69" s="1941">
        <v>10001</v>
      </c>
      <c r="AZ69" s="1942" t="s">
        <v>41</v>
      </c>
      <c r="BA69" s="3629" t="s">
        <v>33</v>
      </c>
    </row>
    <row r="70" spans="1:53" ht="15" customHeight="1" thickBot="1">
      <c r="A70" s="3695"/>
      <c r="B70" s="1694" t="s">
        <v>34</v>
      </c>
      <c r="C70" s="3679"/>
      <c r="D70" s="1705">
        <f t="shared" ref="D70" si="21">SUM(E70:AV70)</f>
        <v>505</v>
      </c>
      <c r="E70" s="1706">
        <v>496</v>
      </c>
      <c r="F70" s="1707"/>
      <c r="G70" s="2277"/>
      <c r="H70" s="1712"/>
      <c r="I70" s="1779"/>
      <c r="J70" s="2293"/>
      <c r="K70" s="1769"/>
      <c r="L70" s="2202"/>
      <c r="M70" s="1768"/>
      <c r="N70" s="1771"/>
      <c r="O70" s="1767"/>
      <c r="P70" s="1772"/>
      <c r="Q70" s="1835"/>
      <c r="R70" s="1836"/>
      <c r="S70" s="2165"/>
      <c r="T70" s="2311"/>
      <c r="U70" s="2519"/>
      <c r="V70" s="1922"/>
      <c r="W70" s="1838"/>
      <c r="X70" s="1924"/>
      <c r="Y70" s="1947"/>
      <c r="Z70" s="1707"/>
      <c r="AA70" s="2318"/>
      <c r="AB70" s="1888"/>
      <c r="AC70" s="2064"/>
      <c r="AD70" s="2293"/>
      <c r="AE70" s="1769"/>
      <c r="AF70" s="2202"/>
      <c r="AG70" s="1891"/>
      <c r="AH70" s="1892"/>
      <c r="AI70" s="1920"/>
      <c r="AJ70" s="2327"/>
      <c r="AK70" s="2076"/>
      <c r="AL70" s="1921"/>
      <c r="AM70" s="2165"/>
      <c r="AN70" s="2311"/>
      <c r="AO70" s="2519"/>
      <c r="AP70" s="1922"/>
      <c r="AQ70" s="1923"/>
      <c r="AR70" s="1924"/>
      <c r="AS70" s="1947">
        <v>9</v>
      </c>
      <c r="AT70" s="1891"/>
      <c r="AU70" s="1948"/>
      <c r="AV70" s="1924"/>
      <c r="AW70" s="3634"/>
      <c r="AX70" s="3634"/>
      <c r="AY70" s="1951"/>
      <c r="AZ70" s="1942"/>
      <c r="BA70" s="3630"/>
    </row>
    <row r="71" spans="1:53" ht="17.25" customHeight="1" thickBot="1">
      <c r="A71" s="3695"/>
      <c r="B71" s="1694" t="s">
        <v>34</v>
      </c>
      <c r="C71" s="3680"/>
      <c r="D71" s="2279">
        <f t="shared" si="20"/>
        <v>0</v>
      </c>
      <c r="E71" s="1706"/>
      <c r="F71" s="1707"/>
      <c r="G71" s="2277"/>
      <c r="H71" s="1712"/>
      <c r="I71" s="1779"/>
      <c r="J71" s="2293"/>
      <c r="K71" s="1769"/>
      <c r="L71" s="2202"/>
      <c r="M71" s="1768"/>
      <c r="N71" s="1771"/>
      <c r="O71" s="1767"/>
      <c r="P71" s="1772"/>
      <c r="Q71" s="1835"/>
      <c r="R71" s="1836"/>
      <c r="S71" s="2165"/>
      <c r="T71" s="2311"/>
      <c r="U71" s="2519"/>
      <c r="V71" s="1922"/>
      <c r="W71" s="1838"/>
      <c r="X71" s="1924"/>
      <c r="Y71" s="1947"/>
      <c r="Z71" s="1707"/>
      <c r="AA71" s="2318"/>
      <c r="AB71" s="1888"/>
      <c r="AC71" s="2064"/>
      <c r="AD71" s="2293"/>
      <c r="AE71" s="1769"/>
      <c r="AF71" s="2202"/>
      <c r="AG71" s="1891"/>
      <c r="AH71" s="1892"/>
      <c r="AI71" s="1920"/>
      <c r="AJ71" s="2327"/>
      <c r="AK71" s="2076"/>
      <c r="AL71" s="1921"/>
      <c r="AM71" s="2165"/>
      <c r="AN71" s="2311"/>
      <c r="AO71" s="2519"/>
      <c r="AP71" s="1922"/>
      <c r="AQ71" s="1923"/>
      <c r="AR71" s="1924"/>
      <c r="AS71" s="1947"/>
      <c r="AT71" s="1891"/>
      <c r="AU71" s="1948"/>
      <c r="AV71" s="1924"/>
      <c r="AW71" s="3634"/>
      <c r="AX71" s="3634"/>
      <c r="AY71" s="1945"/>
      <c r="AZ71" s="1942"/>
      <c r="BA71" s="3630"/>
    </row>
    <row r="72" spans="1:53" ht="15" customHeight="1" thickBot="1">
      <c r="A72" s="3694">
        <v>46139</v>
      </c>
      <c r="B72" s="1688" t="s">
        <v>32</v>
      </c>
      <c r="C72" s="3678">
        <f>SUM(D72:D74)</f>
        <v>1021</v>
      </c>
      <c r="D72" s="2273">
        <f t="shared" si="20"/>
        <v>533</v>
      </c>
      <c r="E72" s="1726">
        <v>528</v>
      </c>
      <c r="F72" s="1691"/>
      <c r="G72" s="2274"/>
      <c r="H72" s="1713"/>
      <c r="I72" s="1782"/>
      <c r="J72" s="2300"/>
      <c r="K72" s="1748"/>
      <c r="L72" s="2199"/>
      <c r="M72" s="1747"/>
      <c r="N72" s="1750"/>
      <c r="O72" s="1746"/>
      <c r="P72" s="1751"/>
      <c r="Q72" s="1816"/>
      <c r="R72" s="1817"/>
      <c r="S72" s="2163"/>
      <c r="T72" s="2306"/>
      <c r="U72" s="2516"/>
      <c r="V72" s="1911"/>
      <c r="W72" s="1819"/>
      <c r="X72" s="1865"/>
      <c r="Y72" s="1690"/>
      <c r="Z72" s="1691"/>
      <c r="AA72" s="2282"/>
      <c r="AB72" s="1893"/>
      <c r="AC72" s="2065"/>
      <c r="AD72" s="2300"/>
      <c r="AE72" s="1748"/>
      <c r="AF72" s="2199"/>
      <c r="AG72" s="1873"/>
      <c r="AH72" s="1874"/>
      <c r="AI72" s="1909"/>
      <c r="AJ72" s="2333"/>
      <c r="AK72" s="2078"/>
      <c r="AL72" s="1910"/>
      <c r="AM72" s="2163"/>
      <c r="AN72" s="2306"/>
      <c r="AO72" s="2516"/>
      <c r="AP72" s="1911"/>
      <c r="AQ72" s="1864"/>
      <c r="AR72" s="1865"/>
      <c r="AS72" s="1726">
        <v>5</v>
      </c>
      <c r="AT72" s="1873"/>
      <c r="AU72" s="1940"/>
      <c r="AV72" s="1865"/>
      <c r="AW72" s="3633">
        <f>SUM(E72:X74)</f>
        <v>992</v>
      </c>
      <c r="AX72" s="3633">
        <f>SUM(E72:AR74)</f>
        <v>992</v>
      </c>
      <c r="AY72" s="1942">
        <v>10001</v>
      </c>
      <c r="AZ72" s="1942" t="s">
        <v>41</v>
      </c>
      <c r="BA72" s="3629" t="s">
        <v>33</v>
      </c>
    </row>
    <row r="73" spans="1:53" ht="15" customHeight="1" thickBot="1">
      <c r="A73" s="3695"/>
      <c r="B73" s="1694" t="s">
        <v>34</v>
      </c>
      <c r="C73" s="3679"/>
      <c r="D73" s="1705">
        <f t="shared" si="20"/>
        <v>488</v>
      </c>
      <c r="E73" s="1706">
        <v>464</v>
      </c>
      <c r="F73" s="1707"/>
      <c r="G73" s="2277"/>
      <c r="H73" s="1712"/>
      <c r="I73" s="1779"/>
      <c r="J73" s="2293"/>
      <c r="K73" s="1769"/>
      <c r="L73" s="2202"/>
      <c r="M73" s="1768"/>
      <c r="N73" s="1771"/>
      <c r="O73" s="1767"/>
      <c r="P73" s="1772"/>
      <c r="Q73" s="1835"/>
      <c r="R73" s="1836"/>
      <c r="S73" s="2165"/>
      <c r="T73" s="2311"/>
      <c r="U73" s="2519"/>
      <c r="V73" s="1922"/>
      <c r="W73" s="1838"/>
      <c r="X73" s="1924"/>
      <c r="Y73" s="1947"/>
      <c r="Z73" s="1707"/>
      <c r="AA73" s="2318"/>
      <c r="AB73" s="1888"/>
      <c r="AC73" s="2064"/>
      <c r="AD73" s="2293"/>
      <c r="AE73" s="1769"/>
      <c r="AF73" s="2202"/>
      <c r="AG73" s="1891"/>
      <c r="AH73" s="1892"/>
      <c r="AI73" s="1920"/>
      <c r="AJ73" s="2327"/>
      <c r="AK73" s="2076"/>
      <c r="AL73" s="1921"/>
      <c r="AM73" s="2165"/>
      <c r="AN73" s="2311"/>
      <c r="AO73" s="2519"/>
      <c r="AP73" s="1922"/>
      <c r="AQ73" s="1923"/>
      <c r="AR73" s="1924"/>
      <c r="AS73" s="1947">
        <v>24</v>
      </c>
      <c r="AT73" s="1891"/>
      <c r="AU73" s="1948"/>
      <c r="AV73" s="1924"/>
      <c r="AW73" s="3634"/>
      <c r="AX73" s="3634"/>
      <c r="AY73" s="1951"/>
      <c r="AZ73" s="1942"/>
      <c r="BA73" s="3630"/>
    </row>
    <row r="74" spans="1:53" ht="15" customHeight="1" thickBot="1">
      <c r="A74" s="3695"/>
      <c r="B74" s="1724" t="s">
        <v>34</v>
      </c>
      <c r="C74" s="3680"/>
      <c r="D74" s="2273">
        <f t="shared" si="20"/>
        <v>0</v>
      </c>
      <c r="E74" s="1706"/>
      <c r="F74" s="1707"/>
      <c r="G74" s="2277"/>
      <c r="H74" s="1712"/>
      <c r="I74" s="1779"/>
      <c r="J74" s="2293"/>
      <c r="K74" s="1769"/>
      <c r="L74" s="2202"/>
      <c r="M74" s="1768"/>
      <c r="N74" s="1771"/>
      <c r="O74" s="1767"/>
      <c r="P74" s="1772"/>
      <c r="Q74" s="1835"/>
      <c r="R74" s="1836"/>
      <c r="S74" s="2165"/>
      <c r="T74" s="2311"/>
      <c r="U74" s="2519"/>
      <c r="V74" s="1922"/>
      <c r="W74" s="1838"/>
      <c r="X74" s="1924"/>
      <c r="Y74" s="1947"/>
      <c r="Z74" s="1707"/>
      <c r="AA74" s="2318"/>
      <c r="AB74" s="1888"/>
      <c r="AC74" s="2064"/>
      <c r="AD74" s="2293"/>
      <c r="AE74" s="1769"/>
      <c r="AF74" s="2202"/>
      <c r="AG74" s="1891"/>
      <c r="AH74" s="1892"/>
      <c r="AI74" s="1920"/>
      <c r="AJ74" s="2327"/>
      <c r="AK74" s="2076"/>
      <c r="AL74" s="1921"/>
      <c r="AM74" s="2165"/>
      <c r="AN74" s="2311"/>
      <c r="AO74" s="2519"/>
      <c r="AP74" s="1922"/>
      <c r="AQ74" s="1923"/>
      <c r="AR74" s="1924"/>
      <c r="AS74" s="1947"/>
      <c r="AT74" s="1891"/>
      <c r="AU74" s="1948"/>
      <c r="AV74" s="1924"/>
      <c r="AW74" s="3634"/>
      <c r="AX74" s="3634"/>
      <c r="AY74" s="1945"/>
      <c r="AZ74" s="1942"/>
      <c r="BA74" s="3630"/>
    </row>
    <row r="75" spans="1:53" ht="15" customHeight="1" thickBot="1">
      <c r="A75" s="3686">
        <v>46140</v>
      </c>
      <c r="B75" s="1995" t="s">
        <v>32</v>
      </c>
      <c r="C75" s="3678">
        <f>SUM(D75:D78)</f>
        <v>981</v>
      </c>
      <c r="D75" s="2273">
        <f t="shared" si="20"/>
        <v>505</v>
      </c>
      <c r="E75" s="1726">
        <v>496</v>
      </c>
      <c r="F75" s="1691"/>
      <c r="G75" s="2274"/>
      <c r="H75" s="1713"/>
      <c r="I75" s="1782"/>
      <c r="J75" s="2300"/>
      <c r="K75" s="1748"/>
      <c r="L75" s="2199"/>
      <c r="M75" s="1747"/>
      <c r="N75" s="1750"/>
      <c r="O75" s="1746"/>
      <c r="P75" s="1751"/>
      <c r="Q75" s="1816"/>
      <c r="R75" s="1817"/>
      <c r="S75" s="2163"/>
      <c r="T75" s="2306"/>
      <c r="U75" s="2516"/>
      <c r="V75" s="1911"/>
      <c r="W75" s="1819"/>
      <c r="X75" s="1865"/>
      <c r="Y75" s="1690"/>
      <c r="Z75" s="1691"/>
      <c r="AA75" s="2282"/>
      <c r="AB75" s="1893"/>
      <c r="AC75" s="2065"/>
      <c r="AD75" s="2300"/>
      <c r="AE75" s="1748"/>
      <c r="AF75" s="2199"/>
      <c r="AG75" s="1873"/>
      <c r="AH75" s="1874"/>
      <c r="AI75" s="1909"/>
      <c r="AJ75" s="2333"/>
      <c r="AK75" s="2078"/>
      <c r="AL75" s="1910"/>
      <c r="AM75" s="2163"/>
      <c r="AN75" s="2306"/>
      <c r="AO75" s="2516"/>
      <c r="AP75" s="1911"/>
      <c r="AQ75" s="1864"/>
      <c r="AR75" s="1865"/>
      <c r="AS75" s="1726">
        <v>9</v>
      </c>
      <c r="AT75" s="1873"/>
      <c r="AU75" s="1940"/>
      <c r="AV75" s="1865"/>
      <c r="AW75" s="3633">
        <f>SUM(E75:X78)</f>
        <v>944</v>
      </c>
      <c r="AX75" s="3633">
        <f>SUM(E75:AR78)</f>
        <v>944</v>
      </c>
      <c r="AY75" s="1941">
        <v>10001</v>
      </c>
      <c r="AZ75" s="1942" t="s">
        <v>41</v>
      </c>
      <c r="BA75" s="3629" t="s">
        <v>33</v>
      </c>
    </row>
    <row r="76" spans="1:53" ht="15" customHeight="1" thickBot="1">
      <c r="A76" s="3687"/>
      <c r="B76" s="1694" t="s">
        <v>34</v>
      </c>
      <c r="C76" s="3679"/>
      <c r="D76" s="1705">
        <f t="shared" si="20"/>
        <v>476</v>
      </c>
      <c r="E76" s="1706">
        <v>448</v>
      </c>
      <c r="F76" s="1707"/>
      <c r="G76" s="2277"/>
      <c r="H76" s="1712"/>
      <c r="I76" s="1779"/>
      <c r="J76" s="2293"/>
      <c r="K76" s="1769"/>
      <c r="L76" s="2202"/>
      <c r="M76" s="1768"/>
      <c r="N76" s="1771"/>
      <c r="O76" s="1767"/>
      <c r="P76" s="1772"/>
      <c r="Q76" s="1835"/>
      <c r="R76" s="1836"/>
      <c r="S76" s="2165"/>
      <c r="T76" s="2311"/>
      <c r="U76" s="2519"/>
      <c r="V76" s="1922"/>
      <c r="W76" s="1838"/>
      <c r="X76" s="1924"/>
      <c r="Y76" s="1947"/>
      <c r="Z76" s="1707"/>
      <c r="AA76" s="2318"/>
      <c r="AB76" s="1888"/>
      <c r="AC76" s="2064"/>
      <c r="AD76" s="2293"/>
      <c r="AE76" s="1769"/>
      <c r="AF76" s="2202"/>
      <c r="AG76" s="1891"/>
      <c r="AH76" s="1892"/>
      <c r="AI76" s="1920"/>
      <c r="AJ76" s="2327"/>
      <c r="AK76" s="2076"/>
      <c r="AL76" s="1921"/>
      <c r="AM76" s="2165"/>
      <c r="AN76" s="2311"/>
      <c r="AO76" s="2519"/>
      <c r="AP76" s="1922"/>
      <c r="AQ76" s="1923"/>
      <c r="AR76" s="1924"/>
      <c r="AS76" s="1947">
        <v>28</v>
      </c>
      <c r="AT76" s="1891"/>
      <c r="AU76" s="1948"/>
      <c r="AV76" s="1924"/>
      <c r="AW76" s="3634"/>
      <c r="AX76" s="3634"/>
      <c r="AY76" s="1951"/>
      <c r="AZ76" s="1942"/>
      <c r="BA76" s="3630"/>
    </row>
    <row r="77" spans="1:53" ht="15" customHeight="1" thickBot="1">
      <c r="A77" s="3687"/>
      <c r="B77" s="1694" t="s">
        <v>34</v>
      </c>
      <c r="C77" s="3679"/>
      <c r="D77" s="1705">
        <f t="shared" si="20"/>
        <v>0</v>
      </c>
      <c r="E77" s="1706"/>
      <c r="F77" s="1707"/>
      <c r="G77" s="2277"/>
      <c r="H77" s="1712"/>
      <c r="I77" s="1779"/>
      <c r="J77" s="2293"/>
      <c r="K77" s="1769"/>
      <c r="L77" s="2202"/>
      <c r="M77" s="1768"/>
      <c r="N77" s="1771"/>
      <c r="O77" s="1767"/>
      <c r="P77" s="1772"/>
      <c r="Q77" s="1835"/>
      <c r="R77" s="1836"/>
      <c r="S77" s="2165"/>
      <c r="T77" s="2311"/>
      <c r="U77" s="2519"/>
      <c r="V77" s="1922"/>
      <c r="W77" s="1838"/>
      <c r="X77" s="1924"/>
      <c r="Y77" s="1947"/>
      <c r="Z77" s="1707"/>
      <c r="AA77" s="2318"/>
      <c r="AB77" s="1888"/>
      <c r="AC77" s="2064"/>
      <c r="AD77" s="2293"/>
      <c r="AE77" s="1769"/>
      <c r="AF77" s="2202"/>
      <c r="AG77" s="1891"/>
      <c r="AH77" s="1892"/>
      <c r="AI77" s="1920"/>
      <c r="AJ77" s="2327"/>
      <c r="AK77" s="2076"/>
      <c r="AL77" s="1921"/>
      <c r="AM77" s="2165"/>
      <c r="AN77" s="2311"/>
      <c r="AO77" s="2519"/>
      <c r="AP77" s="1922"/>
      <c r="AQ77" s="1923"/>
      <c r="AR77" s="1924"/>
      <c r="AS77" s="1947"/>
      <c r="AT77" s="1891"/>
      <c r="AU77" s="1948"/>
      <c r="AV77" s="1924"/>
      <c r="AW77" s="3634"/>
      <c r="AX77" s="3634"/>
      <c r="AY77" s="1951"/>
      <c r="AZ77" s="1942"/>
      <c r="BA77" s="3630"/>
    </row>
    <row r="78" spans="1:53" ht="15" customHeight="1" thickBot="1">
      <c r="A78" s="3688"/>
      <c r="B78" s="2005" t="s">
        <v>34</v>
      </c>
      <c r="C78" s="3680"/>
      <c r="D78" s="2273">
        <f t="shared" ref="D78:D98" si="22">SUM(E78:AV78)</f>
        <v>0</v>
      </c>
      <c r="E78" s="1706"/>
      <c r="F78" s="1707"/>
      <c r="G78" s="2277"/>
      <c r="H78" s="1712"/>
      <c r="I78" s="1779"/>
      <c r="J78" s="2293"/>
      <c r="K78" s="1769"/>
      <c r="L78" s="2202"/>
      <c r="M78" s="1768"/>
      <c r="N78" s="1771"/>
      <c r="O78" s="1767"/>
      <c r="P78" s="1772"/>
      <c r="Q78" s="1835"/>
      <c r="R78" s="1836"/>
      <c r="S78" s="2165"/>
      <c r="T78" s="2311"/>
      <c r="U78" s="2519"/>
      <c r="V78" s="1922"/>
      <c r="W78" s="1838"/>
      <c r="X78" s="1924"/>
      <c r="Y78" s="1947"/>
      <c r="Z78" s="1707"/>
      <c r="AA78" s="2318"/>
      <c r="AB78" s="1888"/>
      <c r="AC78" s="2064"/>
      <c r="AD78" s="2293"/>
      <c r="AE78" s="1769"/>
      <c r="AF78" s="2202"/>
      <c r="AG78" s="1891"/>
      <c r="AH78" s="1892"/>
      <c r="AI78" s="1920"/>
      <c r="AJ78" s="2327"/>
      <c r="AK78" s="2076"/>
      <c r="AL78" s="1921"/>
      <c r="AM78" s="2165"/>
      <c r="AN78" s="2311"/>
      <c r="AO78" s="2519"/>
      <c r="AP78" s="1922"/>
      <c r="AQ78" s="1923"/>
      <c r="AR78" s="1924"/>
      <c r="AS78" s="1947"/>
      <c r="AT78" s="1891"/>
      <c r="AU78" s="1948"/>
      <c r="AV78" s="1924"/>
      <c r="AW78" s="3635"/>
      <c r="AX78" s="3635"/>
      <c r="AY78" s="1957"/>
      <c r="AZ78" s="1942"/>
      <c r="BA78" s="3631"/>
    </row>
    <row r="79" spans="1:53" ht="15.75" thickBot="1">
      <c r="A79" s="3686">
        <v>46141</v>
      </c>
      <c r="B79" s="1738" t="s">
        <v>32</v>
      </c>
      <c r="C79" s="3678">
        <f>SUM(D79:D83)</f>
        <v>883</v>
      </c>
      <c r="D79" s="2273">
        <f t="shared" si="22"/>
        <v>501</v>
      </c>
      <c r="E79" s="1726">
        <v>496</v>
      </c>
      <c r="F79" s="1691"/>
      <c r="G79" s="2274"/>
      <c r="H79" s="1713"/>
      <c r="I79" s="1782"/>
      <c r="J79" s="2300"/>
      <c r="K79" s="1748"/>
      <c r="L79" s="2199"/>
      <c r="M79" s="1747"/>
      <c r="N79" s="1750"/>
      <c r="O79" s="1746"/>
      <c r="P79" s="1751"/>
      <c r="Q79" s="1816"/>
      <c r="R79" s="1817"/>
      <c r="S79" s="2163"/>
      <c r="T79" s="2306"/>
      <c r="U79" s="2516"/>
      <c r="V79" s="1911"/>
      <c r="W79" s="1819"/>
      <c r="X79" s="1865"/>
      <c r="Y79" s="1690"/>
      <c r="Z79" s="1691"/>
      <c r="AA79" s="2282"/>
      <c r="AB79" s="1893"/>
      <c r="AC79" s="2065"/>
      <c r="AD79" s="2300"/>
      <c r="AE79" s="1748"/>
      <c r="AF79" s="2199"/>
      <c r="AG79" s="1873"/>
      <c r="AH79" s="1874"/>
      <c r="AI79" s="1909"/>
      <c r="AJ79" s="2333"/>
      <c r="AK79" s="2078"/>
      <c r="AL79" s="1910"/>
      <c r="AM79" s="2163"/>
      <c r="AN79" s="2306"/>
      <c r="AO79" s="2516"/>
      <c r="AP79" s="1911"/>
      <c r="AQ79" s="1864"/>
      <c r="AR79" s="1865"/>
      <c r="AS79" s="1726">
        <v>5</v>
      </c>
      <c r="AT79" s="1873"/>
      <c r="AU79" s="1940"/>
      <c r="AV79" s="1865"/>
      <c r="AW79" s="3633">
        <f>SUM(E79:X83)</f>
        <v>848</v>
      </c>
      <c r="AX79" s="3633">
        <f>SUM(E79:AR83)</f>
        <v>848</v>
      </c>
      <c r="AY79" s="1951">
        <v>10001</v>
      </c>
      <c r="AZ79" s="1942" t="s">
        <v>41</v>
      </c>
      <c r="BA79" s="3629" t="s">
        <v>33</v>
      </c>
    </row>
    <row r="80" spans="1:53" ht="15" customHeight="1" thickBot="1">
      <c r="A80" s="3687"/>
      <c r="B80" s="1694" t="s">
        <v>34</v>
      </c>
      <c r="C80" s="3679"/>
      <c r="D80" s="1705">
        <f t="shared" ref="D80" si="23">SUM(E80:AV80)</f>
        <v>382</v>
      </c>
      <c r="E80" s="1706">
        <v>352</v>
      </c>
      <c r="F80" s="1707"/>
      <c r="G80" s="2277"/>
      <c r="H80" s="1712"/>
      <c r="I80" s="1779"/>
      <c r="J80" s="2293"/>
      <c r="K80" s="1769"/>
      <c r="L80" s="2202"/>
      <c r="M80" s="1768"/>
      <c r="N80" s="1771"/>
      <c r="O80" s="1767"/>
      <c r="P80" s="1772"/>
      <c r="Q80" s="1835"/>
      <c r="R80" s="1836"/>
      <c r="S80" s="2165"/>
      <c r="T80" s="2311"/>
      <c r="U80" s="2519"/>
      <c r="V80" s="1922"/>
      <c r="W80" s="1838"/>
      <c r="X80" s="1924"/>
      <c r="Y80" s="1947"/>
      <c r="Z80" s="1707"/>
      <c r="AA80" s="2318"/>
      <c r="AB80" s="1888"/>
      <c r="AC80" s="2064"/>
      <c r="AD80" s="2293"/>
      <c r="AE80" s="1769"/>
      <c r="AF80" s="2202"/>
      <c r="AG80" s="1891"/>
      <c r="AH80" s="1892"/>
      <c r="AI80" s="1920"/>
      <c r="AJ80" s="2327"/>
      <c r="AK80" s="2076"/>
      <c r="AL80" s="1921"/>
      <c r="AM80" s="2165"/>
      <c r="AN80" s="2311"/>
      <c r="AO80" s="2519"/>
      <c r="AP80" s="1922"/>
      <c r="AQ80" s="1923"/>
      <c r="AR80" s="1924"/>
      <c r="AS80" s="1947">
        <v>30</v>
      </c>
      <c r="AT80" s="1891"/>
      <c r="AU80" s="1948"/>
      <c r="AV80" s="1924"/>
      <c r="AW80" s="3634"/>
      <c r="AX80" s="3634"/>
      <c r="AY80" s="1951"/>
      <c r="AZ80" s="1942"/>
      <c r="BA80" s="3630"/>
    </row>
    <row r="81" spans="1:53" ht="15" customHeight="1" thickBot="1">
      <c r="A81" s="3687"/>
      <c r="B81" s="1694" t="s">
        <v>34</v>
      </c>
      <c r="C81" s="3679"/>
      <c r="D81" s="1705">
        <f t="shared" ref="D81" si="24">SUM(E81:AV81)</f>
        <v>0</v>
      </c>
      <c r="E81" s="1706"/>
      <c r="F81" s="1707"/>
      <c r="G81" s="2277"/>
      <c r="H81" s="1712"/>
      <c r="I81" s="1779"/>
      <c r="J81" s="2293"/>
      <c r="K81" s="1769"/>
      <c r="L81" s="2202"/>
      <c r="M81" s="1768"/>
      <c r="N81" s="1771"/>
      <c r="O81" s="1767"/>
      <c r="P81" s="1772"/>
      <c r="Q81" s="1835"/>
      <c r="R81" s="1836"/>
      <c r="S81" s="2165"/>
      <c r="T81" s="2311"/>
      <c r="U81" s="2519"/>
      <c r="V81" s="1922"/>
      <c r="W81" s="1838"/>
      <c r="X81" s="1924"/>
      <c r="Y81" s="1947"/>
      <c r="Z81" s="1707"/>
      <c r="AA81" s="2318"/>
      <c r="AB81" s="1888"/>
      <c r="AC81" s="2064"/>
      <c r="AD81" s="2293"/>
      <c r="AE81" s="1769"/>
      <c r="AF81" s="2202"/>
      <c r="AG81" s="1891"/>
      <c r="AH81" s="1892"/>
      <c r="AI81" s="1920"/>
      <c r="AJ81" s="2327"/>
      <c r="AK81" s="2076"/>
      <c r="AL81" s="1921"/>
      <c r="AM81" s="2165"/>
      <c r="AN81" s="2311"/>
      <c r="AO81" s="2519"/>
      <c r="AP81" s="1922"/>
      <c r="AQ81" s="1923"/>
      <c r="AR81" s="1924"/>
      <c r="AS81" s="1947"/>
      <c r="AT81" s="1891"/>
      <c r="AU81" s="1948"/>
      <c r="AV81" s="1924"/>
      <c r="AW81" s="3634"/>
      <c r="AX81" s="3634"/>
      <c r="AY81" s="1951"/>
      <c r="AZ81" s="1942"/>
      <c r="BA81" s="3630"/>
    </row>
    <row r="82" spans="1:53" ht="15" customHeight="1" thickBot="1">
      <c r="A82" s="3687"/>
      <c r="B82" s="1694" t="s">
        <v>34</v>
      </c>
      <c r="C82" s="3679"/>
      <c r="D82" s="1705">
        <f t="shared" ref="D82" si="25">SUM(E82:AV82)</f>
        <v>0</v>
      </c>
      <c r="E82" s="1706"/>
      <c r="F82" s="1707"/>
      <c r="G82" s="2277"/>
      <c r="H82" s="1712"/>
      <c r="I82" s="1779"/>
      <c r="J82" s="2293"/>
      <c r="K82" s="1769"/>
      <c r="L82" s="2202"/>
      <c r="M82" s="1768"/>
      <c r="N82" s="1771"/>
      <c r="O82" s="1767"/>
      <c r="P82" s="1772"/>
      <c r="Q82" s="1835"/>
      <c r="R82" s="1836"/>
      <c r="S82" s="2165"/>
      <c r="T82" s="2311"/>
      <c r="U82" s="2519"/>
      <c r="V82" s="1922"/>
      <c r="W82" s="1838"/>
      <c r="X82" s="1924"/>
      <c r="Y82" s="1947"/>
      <c r="Z82" s="1707"/>
      <c r="AA82" s="2318"/>
      <c r="AB82" s="1888"/>
      <c r="AC82" s="2064"/>
      <c r="AD82" s="2293"/>
      <c r="AE82" s="1769"/>
      <c r="AF82" s="2202"/>
      <c r="AG82" s="1891"/>
      <c r="AH82" s="1892"/>
      <c r="AI82" s="1920"/>
      <c r="AJ82" s="2327"/>
      <c r="AK82" s="2076"/>
      <c r="AL82" s="1921"/>
      <c r="AM82" s="2165"/>
      <c r="AN82" s="2311"/>
      <c r="AO82" s="2519"/>
      <c r="AP82" s="1922"/>
      <c r="AQ82" s="1923"/>
      <c r="AR82" s="1924"/>
      <c r="AS82" s="1947"/>
      <c r="AT82" s="1891"/>
      <c r="AU82" s="1948"/>
      <c r="AV82" s="1924"/>
      <c r="AW82" s="3634"/>
      <c r="AX82" s="3634"/>
      <c r="AY82" s="1951"/>
      <c r="AZ82" s="1942"/>
      <c r="BA82" s="3630"/>
    </row>
    <row r="83" spans="1:53" ht="15" customHeight="1" thickBot="1">
      <c r="A83" s="3688"/>
      <c r="B83" s="1728" t="s">
        <v>34</v>
      </c>
      <c r="C83" s="3680"/>
      <c r="D83" s="2273">
        <f t="shared" si="22"/>
        <v>0</v>
      </c>
      <c r="E83" s="1715"/>
      <c r="F83" s="1716"/>
      <c r="G83" s="2280"/>
      <c r="H83" s="1718"/>
      <c r="I83" s="1785"/>
      <c r="J83" s="2337"/>
      <c r="K83" s="1804"/>
      <c r="L83" s="2231"/>
      <c r="M83" s="1803"/>
      <c r="N83" s="1789"/>
      <c r="O83" s="1802"/>
      <c r="P83" s="1790"/>
      <c r="Q83" s="1841"/>
      <c r="R83" s="1842"/>
      <c r="S83" s="2194"/>
      <c r="T83" s="2313"/>
      <c r="U83" s="2521"/>
      <c r="V83" s="1927"/>
      <c r="W83" s="1860"/>
      <c r="X83" s="1845"/>
      <c r="Y83" s="1735"/>
      <c r="Z83" s="1716"/>
      <c r="AA83" s="2320"/>
      <c r="AB83" s="1898"/>
      <c r="AC83" s="2067"/>
      <c r="AD83" s="2337"/>
      <c r="AE83" s="1804"/>
      <c r="AF83" s="2231"/>
      <c r="AG83" s="1901"/>
      <c r="AH83" s="1902"/>
      <c r="AI83" s="1925"/>
      <c r="AJ83" s="2338"/>
      <c r="AK83" s="2083"/>
      <c r="AL83" s="1926"/>
      <c r="AM83" s="2194"/>
      <c r="AN83" s="2313"/>
      <c r="AO83" s="2521"/>
      <c r="AP83" s="1927"/>
      <c r="AQ83" s="1844"/>
      <c r="AR83" s="1845"/>
      <c r="AS83" s="1735"/>
      <c r="AT83" s="1901"/>
      <c r="AU83" s="1949"/>
      <c r="AV83" s="1845"/>
      <c r="AW83" s="3634"/>
      <c r="AX83" s="3634"/>
      <c r="AY83" s="1951"/>
      <c r="AZ83" s="1942"/>
      <c r="BA83" s="3630"/>
    </row>
    <row r="84" spans="1:53" ht="15.75" thickBot="1">
      <c r="A84" s="3686"/>
      <c r="B84" s="1738" t="s">
        <v>32</v>
      </c>
      <c r="C84" s="3678">
        <f>SUM(D84:D88)</f>
        <v>0</v>
      </c>
      <c r="D84" s="2273">
        <f t="shared" si="22"/>
        <v>0</v>
      </c>
      <c r="E84" s="1726"/>
      <c r="F84" s="1691"/>
      <c r="G84" s="2274"/>
      <c r="H84" s="1713"/>
      <c r="I84" s="1782"/>
      <c r="J84" s="2300"/>
      <c r="K84" s="1748"/>
      <c r="L84" s="2199"/>
      <c r="M84" s="1747"/>
      <c r="N84" s="1750"/>
      <c r="O84" s="1746"/>
      <c r="P84" s="1751"/>
      <c r="Q84" s="1816"/>
      <c r="R84" s="1817"/>
      <c r="S84" s="2163"/>
      <c r="T84" s="2306"/>
      <c r="U84" s="2516"/>
      <c r="V84" s="1911"/>
      <c r="W84" s="1819"/>
      <c r="X84" s="1865"/>
      <c r="Y84" s="1690"/>
      <c r="Z84" s="1691"/>
      <c r="AA84" s="2282"/>
      <c r="AB84" s="1893"/>
      <c r="AC84" s="2065"/>
      <c r="AD84" s="2300"/>
      <c r="AE84" s="1748"/>
      <c r="AF84" s="2199"/>
      <c r="AG84" s="1873"/>
      <c r="AH84" s="1874"/>
      <c r="AI84" s="1909"/>
      <c r="AJ84" s="2333"/>
      <c r="AK84" s="2078"/>
      <c r="AL84" s="1910"/>
      <c r="AM84" s="2163"/>
      <c r="AN84" s="2306"/>
      <c r="AO84" s="2516"/>
      <c r="AP84" s="1911"/>
      <c r="AQ84" s="1864"/>
      <c r="AR84" s="1865"/>
      <c r="AS84" s="1726"/>
      <c r="AT84" s="1873"/>
      <c r="AU84" s="1940"/>
      <c r="AV84" s="1865"/>
      <c r="AW84" s="3633">
        <f>SUM(E84:X88)</f>
        <v>0</v>
      </c>
      <c r="AX84" s="3633">
        <f>SUM(E84:AR88)</f>
        <v>0</v>
      </c>
      <c r="AY84" s="1942"/>
      <c r="AZ84" s="1942"/>
      <c r="BA84" s="3629" t="s">
        <v>33</v>
      </c>
    </row>
    <row r="85" spans="1:53" ht="15" customHeight="1" thickBot="1">
      <c r="A85" s="3687"/>
      <c r="B85" s="1694" t="s">
        <v>34</v>
      </c>
      <c r="C85" s="3679"/>
      <c r="D85" s="1705">
        <f t="shared" ref="D85" si="26">SUM(E85:AV85)</f>
        <v>0</v>
      </c>
      <c r="E85" s="1706"/>
      <c r="F85" s="1707"/>
      <c r="G85" s="2277"/>
      <c r="H85" s="1712"/>
      <c r="I85" s="1779"/>
      <c r="J85" s="2293"/>
      <c r="K85" s="1769"/>
      <c r="L85" s="2202"/>
      <c r="M85" s="1768"/>
      <c r="N85" s="1771"/>
      <c r="O85" s="1767"/>
      <c r="P85" s="1772"/>
      <c r="Q85" s="1835"/>
      <c r="R85" s="1836"/>
      <c r="S85" s="2165"/>
      <c r="T85" s="2311"/>
      <c r="U85" s="2519"/>
      <c r="V85" s="1922"/>
      <c r="W85" s="1838"/>
      <c r="X85" s="1924"/>
      <c r="Y85" s="1947"/>
      <c r="Z85" s="1707"/>
      <c r="AA85" s="2318"/>
      <c r="AB85" s="1888"/>
      <c r="AC85" s="2064"/>
      <c r="AD85" s="2293"/>
      <c r="AE85" s="1769"/>
      <c r="AF85" s="2202"/>
      <c r="AG85" s="1891"/>
      <c r="AH85" s="1892"/>
      <c r="AI85" s="1920"/>
      <c r="AJ85" s="2327"/>
      <c r="AK85" s="2076"/>
      <c r="AL85" s="1921"/>
      <c r="AM85" s="2165"/>
      <c r="AN85" s="2311"/>
      <c r="AO85" s="2519"/>
      <c r="AP85" s="1922"/>
      <c r="AQ85" s="1923"/>
      <c r="AR85" s="1924"/>
      <c r="AS85" s="1947"/>
      <c r="AT85" s="1891"/>
      <c r="AU85" s="1948"/>
      <c r="AV85" s="1924"/>
      <c r="AW85" s="3634"/>
      <c r="AX85" s="3634"/>
      <c r="AY85" s="1951"/>
      <c r="AZ85" s="1942"/>
      <c r="BA85" s="3630"/>
    </row>
    <row r="86" spans="1:53" ht="15" customHeight="1" thickBot="1">
      <c r="A86" s="3687"/>
      <c r="B86" s="1694" t="s">
        <v>32</v>
      </c>
      <c r="C86" s="3679"/>
      <c r="D86" s="1705">
        <f t="shared" ref="D86" si="27">SUM(E86:AV86)</f>
        <v>0</v>
      </c>
      <c r="E86" s="1706"/>
      <c r="F86" s="1707"/>
      <c r="G86" s="2277"/>
      <c r="H86" s="1712"/>
      <c r="I86" s="1779"/>
      <c r="J86" s="2293"/>
      <c r="K86" s="1769"/>
      <c r="L86" s="2202"/>
      <c r="M86" s="1768"/>
      <c r="N86" s="1771"/>
      <c r="O86" s="1767"/>
      <c r="P86" s="1772"/>
      <c r="Q86" s="1835"/>
      <c r="R86" s="1836"/>
      <c r="S86" s="2165"/>
      <c r="T86" s="2311"/>
      <c r="U86" s="2519"/>
      <c r="V86" s="1922"/>
      <c r="W86" s="1838"/>
      <c r="X86" s="1924"/>
      <c r="Y86" s="1947"/>
      <c r="Z86" s="1707"/>
      <c r="AA86" s="2318"/>
      <c r="AB86" s="1888"/>
      <c r="AC86" s="2064"/>
      <c r="AD86" s="2293"/>
      <c r="AE86" s="1769"/>
      <c r="AF86" s="2202"/>
      <c r="AG86" s="1891"/>
      <c r="AH86" s="1892"/>
      <c r="AI86" s="1920"/>
      <c r="AJ86" s="2327"/>
      <c r="AK86" s="2076"/>
      <c r="AL86" s="1921"/>
      <c r="AM86" s="2165"/>
      <c r="AN86" s="2311"/>
      <c r="AO86" s="2519"/>
      <c r="AP86" s="1922"/>
      <c r="AQ86" s="1923"/>
      <c r="AR86" s="1924"/>
      <c r="AS86" s="1947"/>
      <c r="AT86" s="1891"/>
      <c r="AU86" s="1948"/>
      <c r="AV86" s="1924"/>
      <c r="AW86" s="3634"/>
      <c r="AX86" s="3634"/>
      <c r="AY86" s="1951"/>
      <c r="AZ86" s="1942"/>
      <c r="BA86" s="3630"/>
    </row>
    <row r="87" spans="1:53" ht="15" customHeight="1" thickBot="1">
      <c r="A87" s="3687"/>
      <c r="B87" s="1694" t="s">
        <v>32</v>
      </c>
      <c r="C87" s="3679"/>
      <c r="D87" s="1705">
        <f t="shared" ref="D87" si="28">SUM(E87:AV87)</f>
        <v>0</v>
      </c>
      <c r="E87" s="1706"/>
      <c r="F87" s="1707"/>
      <c r="G87" s="2277"/>
      <c r="H87" s="1712"/>
      <c r="I87" s="1779"/>
      <c r="J87" s="2293"/>
      <c r="K87" s="1769"/>
      <c r="L87" s="2202"/>
      <c r="M87" s="1768"/>
      <c r="N87" s="1771"/>
      <c r="O87" s="1767"/>
      <c r="P87" s="1772"/>
      <c r="Q87" s="1835"/>
      <c r="R87" s="1836"/>
      <c r="S87" s="2165"/>
      <c r="T87" s="2311"/>
      <c r="U87" s="2519"/>
      <c r="V87" s="1922"/>
      <c r="W87" s="1838"/>
      <c r="X87" s="1924"/>
      <c r="Y87" s="1947"/>
      <c r="Z87" s="1707"/>
      <c r="AA87" s="2318"/>
      <c r="AB87" s="1888"/>
      <c r="AC87" s="2064"/>
      <c r="AD87" s="2293"/>
      <c r="AE87" s="1769"/>
      <c r="AF87" s="2202"/>
      <c r="AG87" s="1891"/>
      <c r="AH87" s="1892"/>
      <c r="AI87" s="1920"/>
      <c r="AJ87" s="2327"/>
      <c r="AK87" s="2076"/>
      <c r="AL87" s="1921"/>
      <c r="AM87" s="2165"/>
      <c r="AN87" s="2311"/>
      <c r="AO87" s="2519"/>
      <c r="AP87" s="1922"/>
      <c r="AQ87" s="1923"/>
      <c r="AR87" s="1924"/>
      <c r="AS87" s="1947"/>
      <c r="AT87" s="1891"/>
      <c r="AU87" s="1948"/>
      <c r="AV87" s="1924"/>
      <c r="AW87" s="3634"/>
      <c r="AX87" s="3634"/>
      <c r="AY87" s="1951"/>
      <c r="AZ87" s="1942"/>
      <c r="BA87" s="3630"/>
    </row>
    <row r="88" spans="1:53" ht="15" customHeight="1" thickBot="1">
      <c r="A88" s="3688"/>
      <c r="B88" s="1728" t="s">
        <v>34</v>
      </c>
      <c r="C88" s="3681"/>
      <c r="D88" s="2273">
        <f t="shared" si="22"/>
        <v>0</v>
      </c>
      <c r="E88" s="1696"/>
      <c r="F88" s="1697"/>
      <c r="G88" s="2275"/>
      <c r="H88" s="1732"/>
      <c r="I88" s="1800"/>
      <c r="J88" s="2289"/>
      <c r="K88" s="1755"/>
      <c r="L88" s="2205"/>
      <c r="M88" s="1754"/>
      <c r="N88" s="1757"/>
      <c r="O88" s="1753"/>
      <c r="P88" s="1758"/>
      <c r="Q88" s="1822"/>
      <c r="R88" s="1823"/>
      <c r="S88" s="2167"/>
      <c r="T88" s="2307"/>
      <c r="U88" s="2517"/>
      <c r="V88" s="1914"/>
      <c r="W88" s="1825"/>
      <c r="X88" s="1867"/>
      <c r="Y88" s="1943"/>
      <c r="Z88" s="1697"/>
      <c r="AA88" s="2283"/>
      <c r="AB88" s="1895"/>
      <c r="AC88" s="2066"/>
      <c r="AD88" s="2289"/>
      <c r="AE88" s="1755"/>
      <c r="AF88" s="2205"/>
      <c r="AG88" s="1879"/>
      <c r="AH88" s="1880"/>
      <c r="AI88" s="1912"/>
      <c r="AJ88" s="2323"/>
      <c r="AK88" s="2079"/>
      <c r="AL88" s="1913"/>
      <c r="AM88" s="2167"/>
      <c r="AN88" s="2307"/>
      <c r="AO88" s="2517"/>
      <c r="AP88" s="1914"/>
      <c r="AQ88" s="1866"/>
      <c r="AR88" s="1867"/>
      <c r="AS88" s="1943"/>
      <c r="AT88" s="1879"/>
      <c r="AU88" s="1944"/>
      <c r="AV88" s="1867"/>
      <c r="AW88" s="3635"/>
      <c r="AX88" s="3635"/>
      <c r="AY88" s="1951"/>
      <c r="AZ88" s="1942"/>
      <c r="BA88" s="3631"/>
    </row>
    <row r="89" spans="1:53" ht="15" customHeight="1" thickBot="1">
      <c r="A89" s="3688"/>
      <c r="B89" s="1999" t="s">
        <v>32</v>
      </c>
      <c r="C89" s="3678">
        <f>SUM(D89:D92)</f>
        <v>0</v>
      </c>
      <c r="D89" s="2273">
        <f t="shared" si="22"/>
        <v>0</v>
      </c>
      <c r="E89" s="1833"/>
      <c r="F89" s="1702"/>
      <c r="G89" s="2278"/>
      <c r="H89" s="1711"/>
      <c r="I89" s="1776"/>
      <c r="J89" s="2295"/>
      <c r="K89" s="1762"/>
      <c r="L89" s="2208"/>
      <c r="M89" s="1761"/>
      <c r="N89" s="1764"/>
      <c r="O89" s="1760"/>
      <c r="P89" s="1765"/>
      <c r="Q89" s="1828"/>
      <c r="R89" s="1829"/>
      <c r="S89" s="2169"/>
      <c r="T89" s="2312"/>
      <c r="U89" s="2520"/>
      <c r="V89" s="1917"/>
      <c r="W89" s="1831"/>
      <c r="X89" s="1919"/>
      <c r="Y89" s="1701"/>
      <c r="Z89" s="1702"/>
      <c r="AA89" s="2319"/>
      <c r="AB89" s="1882"/>
      <c r="AC89" s="2063"/>
      <c r="AD89" s="2295"/>
      <c r="AE89" s="1762"/>
      <c r="AF89" s="2208"/>
      <c r="AG89" s="1885"/>
      <c r="AH89" s="1886"/>
      <c r="AI89" s="1915"/>
      <c r="AJ89" s="2329"/>
      <c r="AK89" s="2074"/>
      <c r="AL89" s="1916"/>
      <c r="AM89" s="2169"/>
      <c r="AN89" s="2312"/>
      <c r="AO89" s="2520"/>
      <c r="AP89" s="1917"/>
      <c r="AQ89" s="1918"/>
      <c r="AR89" s="1919"/>
      <c r="AS89" s="1701"/>
      <c r="AT89" s="1885"/>
      <c r="AU89" s="1946"/>
      <c r="AV89" s="1919"/>
      <c r="AW89" s="3633">
        <f>SUM(E89:X92)</f>
        <v>0</v>
      </c>
      <c r="AX89" s="3633">
        <f>SUM(E89:AR92)</f>
        <v>0</v>
      </c>
      <c r="AY89" s="1951"/>
      <c r="AZ89" s="1942"/>
      <c r="BA89" s="3630" t="s">
        <v>33</v>
      </c>
    </row>
    <row r="90" spans="1:53" ht="15" customHeight="1" thickBot="1">
      <c r="A90" s="3688"/>
      <c r="B90" s="1694" t="s">
        <v>34</v>
      </c>
      <c r="C90" s="3679"/>
      <c r="D90" s="1705">
        <f t="shared" si="22"/>
        <v>0</v>
      </c>
      <c r="E90" s="1706"/>
      <c r="F90" s="1707"/>
      <c r="G90" s="2277"/>
      <c r="H90" s="1712"/>
      <c r="I90" s="1779"/>
      <c r="J90" s="2293"/>
      <c r="K90" s="1769"/>
      <c r="L90" s="2202"/>
      <c r="M90" s="1768"/>
      <c r="N90" s="1771"/>
      <c r="O90" s="1767"/>
      <c r="P90" s="1772"/>
      <c r="Q90" s="1835"/>
      <c r="R90" s="1836"/>
      <c r="S90" s="2165"/>
      <c r="T90" s="2311"/>
      <c r="U90" s="2519"/>
      <c r="V90" s="1922"/>
      <c r="W90" s="1838"/>
      <c r="X90" s="1924"/>
      <c r="Y90" s="1947"/>
      <c r="Z90" s="1707"/>
      <c r="AA90" s="2318"/>
      <c r="AB90" s="1888"/>
      <c r="AC90" s="2064"/>
      <c r="AD90" s="2293"/>
      <c r="AE90" s="1769"/>
      <c r="AF90" s="2202"/>
      <c r="AG90" s="1891"/>
      <c r="AH90" s="1892"/>
      <c r="AI90" s="1920"/>
      <c r="AJ90" s="2327"/>
      <c r="AK90" s="2076"/>
      <c r="AL90" s="1921"/>
      <c r="AM90" s="2165"/>
      <c r="AN90" s="2311"/>
      <c r="AO90" s="2519"/>
      <c r="AP90" s="1922"/>
      <c r="AQ90" s="1923"/>
      <c r="AR90" s="1924"/>
      <c r="AS90" s="1947"/>
      <c r="AT90" s="1891"/>
      <c r="AU90" s="1948"/>
      <c r="AV90" s="1924"/>
      <c r="AW90" s="3634"/>
      <c r="AX90" s="3634"/>
      <c r="AY90" s="1951"/>
      <c r="AZ90" s="1942"/>
      <c r="BA90" s="3630"/>
    </row>
    <row r="91" spans="1:53" ht="15" customHeight="1" thickBot="1">
      <c r="A91" s="3688"/>
      <c r="B91" s="1694" t="s">
        <v>34</v>
      </c>
      <c r="C91" s="3679"/>
      <c r="D91" s="1705">
        <f t="shared" ref="D91" si="29">SUM(E91:AV91)</f>
        <v>0</v>
      </c>
      <c r="E91" s="1706"/>
      <c r="F91" s="1707"/>
      <c r="G91" s="2277"/>
      <c r="H91" s="1712"/>
      <c r="I91" s="1779"/>
      <c r="J91" s="2293"/>
      <c r="K91" s="1769"/>
      <c r="L91" s="2202"/>
      <c r="M91" s="1768"/>
      <c r="N91" s="1771"/>
      <c r="O91" s="1767"/>
      <c r="P91" s="1772"/>
      <c r="Q91" s="1835"/>
      <c r="R91" s="1836"/>
      <c r="S91" s="2165"/>
      <c r="T91" s="2311"/>
      <c r="U91" s="2519"/>
      <c r="V91" s="1922"/>
      <c r="W91" s="1838"/>
      <c r="X91" s="1924"/>
      <c r="Y91" s="1947"/>
      <c r="Z91" s="1707"/>
      <c r="AA91" s="2318"/>
      <c r="AB91" s="1888"/>
      <c r="AC91" s="2064"/>
      <c r="AD91" s="2293"/>
      <c r="AE91" s="1769"/>
      <c r="AF91" s="2202"/>
      <c r="AG91" s="1891"/>
      <c r="AH91" s="1892"/>
      <c r="AI91" s="1920"/>
      <c r="AJ91" s="2327"/>
      <c r="AK91" s="2076"/>
      <c r="AL91" s="1921"/>
      <c r="AM91" s="2165"/>
      <c r="AN91" s="2311"/>
      <c r="AO91" s="2519"/>
      <c r="AP91" s="1922"/>
      <c r="AQ91" s="1923"/>
      <c r="AR91" s="1924"/>
      <c r="AS91" s="1947"/>
      <c r="AT91" s="1891"/>
      <c r="AU91" s="1948"/>
      <c r="AV91" s="1924"/>
      <c r="AW91" s="3634"/>
      <c r="AX91" s="3634"/>
      <c r="AY91" s="1951"/>
      <c r="AZ91" s="1951"/>
      <c r="BA91" s="3630"/>
    </row>
    <row r="92" spans="1:53" ht="15" customHeight="1" thickBot="1">
      <c r="A92" s="3688"/>
      <c r="B92" s="1999" t="s">
        <v>34</v>
      </c>
      <c r="C92" s="3681"/>
      <c r="D92" s="2273">
        <f t="shared" si="22"/>
        <v>0</v>
      </c>
      <c r="E92" s="1715"/>
      <c r="F92" s="1716"/>
      <c r="G92" s="2280"/>
      <c r="H92" s="1718"/>
      <c r="I92" s="1785"/>
      <c r="J92" s="2337"/>
      <c r="K92" s="1804"/>
      <c r="L92" s="2231"/>
      <c r="M92" s="1803"/>
      <c r="N92" s="1789"/>
      <c r="O92" s="1802"/>
      <c r="P92" s="1790"/>
      <c r="Q92" s="1841"/>
      <c r="R92" s="1842"/>
      <c r="S92" s="2194"/>
      <c r="T92" s="2313"/>
      <c r="U92" s="2521"/>
      <c r="V92" s="1927"/>
      <c r="W92" s="1860"/>
      <c r="X92" s="1845"/>
      <c r="Y92" s="1735"/>
      <c r="Z92" s="1716"/>
      <c r="AA92" s="2320"/>
      <c r="AB92" s="1898"/>
      <c r="AC92" s="2067"/>
      <c r="AD92" s="2337"/>
      <c r="AE92" s="1804"/>
      <c r="AF92" s="2231"/>
      <c r="AG92" s="1901"/>
      <c r="AH92" s="1902"/>
      <c r="AI92" s="1925"/>
      <c r="AJ92" s="2338"/>
      <c r="AK92" s="2083"/>
      <c r="AL92" s="1926"/>
      <c r="AM92" s="2194"/>
      <c r="AN92" s="2313"/>
      <c r="AO92" s="2521"/>
      <c r="AP92" s="1927"/>
      <c r="AQ92" s="1844"/>
      <c r="AR92" s="1845"/>
      <c r="AS92" s="1735"/>
      <c r="AT92" s="1901"/>
      <c r="AU92" s="1949"/>
      <c r="AV92" s="1845"/>
      <c r="AW92" s="3634"/>
      <c r="AX92" s="3634"/>
      <c r="AY92" s="1951"/>
      <c r="AZ92" s="1951"/>
      <c r="BA92" s="3630"/>
    </row>
    <row r="93" spans="1:53" ht="18" customHeight="1" thickBot="1">
      <c r="A93" s="3686"/>
      <c r="B93" s="1738" t="s">
        <v>32</v>
      </c>
      <c r="C93" s="3678">
        <f>SUM(D93:D96)</f>
        <v>0</v>
      </c>
      <c r="D93" s="2273">
        <f t="shared" si="22"/>
        <v>0</v>
      </c>
      <c r="E93" s="1726"/>
      <c r="F93" s="1691"/>
      <c r="G93" s="2274"/>
      <c r="H93" s="1713"/>
      <c r="I93" s="1782"/>
      <c r="J93" s="2300"/>
      <c r="K93" s="1748"/>
      <c r="L93" s="2199"/>
      <c r="M93" s="1747"/>
      <c r="N93" s="1750"/>
      <c r="O93" s="1746"/>
      <c r="P93" s="1751"/>
      <c r="Q93" s="1816"/>
      <c r="R93" s="1817"/>
      <c r="S93" s="2163"/>
      <c r="T93" s="2306"/>
      <c r="U93" s="2516"/>
      <c r="V93" s="1911"/>
      <c r="W93" s="1819"/>
      <c r="X93" s="1865"/>
      <c r="Y93" s="1690"/>
      <c r="Z93" s="1691"/>
      <c r="AA93" s="2282"/>
      <c r="AB93" s="1893"/>
      <c r="AC93" s="2065"/>
      <c r="AD93" s="2300"/>
      <c r="AE93" s="1748"/>
      <c r="AF93" s="2199"/>
      <c r="AG93" s="1873"/>
      <c r="AH93" s="1874"/>
      <c r="AI93" s="1909"/>
      <c r="AJ93" s="2333"/>
      <c r="AK93" s="2078"/>
      <c r="AL93" s="1910"/>
      <c r="AM93" s="2163"/>
      <c r="AN93" s="2306"/>
      <c r="AO93" s="2516"/>
      <c r="AP93" s="1911"/>
      <c r="AQ93" s="1864"/>
      <c r="AR93" s="1865"/>
      <c r="AS93" s="1726"/>
      <c r="AT93" s="1873"/>
      <c r="AU93" s="1940"/>
      <c r="AV93" s="1865"/>
      <c r="AW93" s="3633">
        <f>SUM(E93:X96)</f>
        <v>0</v>
      </c>
      <c r="AX93" s="3633">
        <f>SUM(E93:AR96)</f>
        <v>0</v>
      </c>
      <c r="AY93" s="1942"/>
      <c r="AZ93" s="1951"/>
      <c r="BA93" s="3629" t="s">
        <v>33</v>
      </c>
    </row>
    <row r="94" spans="1:53" ht="15" customHeight="1" thickBot="1">
      <c r="A94" s="3687"/>
      <c r="B94" s="1694" t="s">
        <v>34</v>
      </c>
      <c r="C94" s="3679"/>
      <c r="D94" s="1705">
        <f t="shared" si="22"/>
        <v>0</v>
      </c>
      <c r="E94" s="1706"/>
      <c r="F94" s="1707"/>
      <c r="G94" s="2277"/>
      <c r="H94" s="1712"/>
      <c r="I94" s="1779"/>
      <c r="J94" s="2293"/>
      <c r="K94" s="1769"/>
      <c r="L94" s="2202"/>
      <c r="M94" s="1768"/>
      <c r="N94" s="1771"/>
      <c r="O94" s="1767"/>
      <c r="P94" s="1772"/>
      <c r="Q94" s="1835"/>
      <c r="R94" s="1836"/>
      <c r="S94" s="2165"/>
      <c r="T94" s="2311"/>
      <c r="U94" s="2519"/>
      <c r="V94" s="1922"/>
      <c r="W94" s="1838"/>
      <c r="X94" s="1924"/>
      <c r="Y94" s="1947"/>
      <c r="Z94" s="1707"/>
      <c r="AA94" s="2318"/>
      <c r="AB94" s="1888"/>
      <c r="AC94" s="2064"/>
      <c r="AD94" s="2293"/>
      <c r="AE94" s="1769"/>
      <c r="AF94" s="2202"/>
      <c r="AG94" s="1891"/>
      <c r="AH94" s="1892"/>
      <c r="AI94" s="1920"/>
      <c r="AJ94" s="2327"/>
      <c r="AK94" s="2076"/>
      <c r="AL94" s="1921"/>
      <c r="AM94" s="2165"/>
      <c r="AN94" s="2311"/>
      <c r="AO94" s="2519"/>
      <c r="AP94" s="1922"/>
      <c r="AQ94" s="1923"/>
      <c r="AR94" s="1924"/>
      <c r="AS94" s="1947"/>
      <c r="AT94" s="1891"/>
      <c r="AU94" s="1948"/>
      <c r="AV94" s="1924"/>
      <c r="AW94" s="3634"/>
      <c r="AX94" s="3634"/>
      <c r="AY94" s="1951"/>
      <c r="AZ94" s="1951"/>
      <c r="BA94" s="3630"/>
    </row>
    <row r="95" spans="1:53" ht="15" customHeight="1" thickBot="1">
      <c r="A95" s="3687"/>
      <c r="B95" s="1694" t="s">
        <v>34</v>
      </c>
      <c r="C95" s="3679"/>
      <c r="D95" s="1705">
        <f t="shared" ref="D95" si="30">SUM(E95:AV95)</f>
        <v>0</v>
      </c>
      <c r="E95" s="1706"/>
      <c r="F95" s="1707"/>
      <c r="G95" s="2277"/>
      <c r="H95" s="1712"/>
      <c r="I95" s="1779"/>
      <c r="J95" s="2293"/>
      <c r="K95" s="1769"/>
      <c r="L95" s="2202"/>
      <c r="M95" s="1768"/>
      <c r="N95" s="1771"/>
      <c r="O95" s="1767"/>
      <c r="P95" s="1772"/>
      <c r="Q95" s="1835"/>
      <c r="R95" s="1836"/>
      <c r="S95" s="2165"/>
      <c r="T95" s="2311"/>
      <c r="U95" s="2519"/>
      <c r="V95" s="1922"/>
      <c r="W95" s="1838"/>
      <c r="X95" s="1924"/>
      <c r="Y95" s="1947"/>
      <c r="Z95" s="1707"/>
      <c r="AA95" s="2318"/>
      <c r="AB95" s="1888"/>
      <c r="AC95" s="2064"/>
      <c r="AD95" s="2293"/>
      <c r="AE95" s="1769"/>
      <c r="AF95" s="2202"/>
      <c r="AG95" s="1891"/>
      <c r="AH95" s="1892"/>
      <c r="AI95" s="1920"/>
      <c r="AJ95" s="2327"/>
      <c r="AK95" s="2076"/>
      <c r="AL95" s="1921"/>
      <c r="AM95" s="2165"/>
      <c r="AN95" s="2311"/>
      <c r="AO95" s="2519"/>
      <c r="AP95" s="1922"/>
      <c r="AQ95" s="1923"/>
      <c r="AR95" s="1924"/>
      <c r="AS95" s="1947"/>
      <c r="AT95" s="1891"/>
      <c r="AU95" s="1948"/>
      <c r="AV95" s="1924"/>
      <c r="AW95" s="3634"/>
      <c r="AX95" s="3634"/>
      <c r="AY95" s="1951"/>
      <c r="AZ95" s="1951"/>
      <c r="BA95" s="3630"/>
    </row>
    <row r="96" spans="1:53" ht="17.25" customHeight="1" thickBot="1">
      <c r="A96" s="3688"/>
      <c r="B96" s="1999" t="s">
        <v>34</v>
      </c>
      <c r="C96" s="3681"/>
      <c r="D96" s="2273">
        <f t="shared" si="22"/>
        <v>0</v>
      </c>
      <c r="E96" s="1696"/>
      <c r="F96" s="1697"/>
      <c r="G96" s="2275"/>
      <c r="H96" s="1732"/>
      <c r="I96" s="1800"/>
      <c r="J96" s="2289"/>
      <c r="K96" s="1755"/>
      <c r="L96" s="2205"/>
      <c r="M96" s="1754"/>
      <c r="N96" s="1757"/>
      <c r="O96" s="1753"/>
      <c r="P96" s="1758"/>
      <c r="Q96" s="1822"/>
      <c r="R96" s="1823"/>
      <c r="S96" s="2167"/>
      <c r="T96" s="2307"/>
      <c r="U96" s="2517"/>
      <c r="V96" s="1914"/>
      <c r="W96" s="1825"/>
      <c r="X96" s="1867"/>
      <c r="Y96" s="1943"/>
      <c r="Z96" s="1697"/>
      <c r="AA96" s="2283"/>
      <c r="AB96" s="1895"/>
      <c r="AC96" s="2066"/>
      <c r="AD96" s="2289"/>
      <c r="AE96" s="1755"/>
      <c r="AF96" s="2205"/>
      <c r="AG96" s="1879"/>
      <c r="AH96" s="1880"/>
      <c r="AI96" s="1912"/>
      <c r="AJ96" s="2323"/>
      <c r="AK96" s="2079"/>
      <c r="AL96" s="1913"/>
      <c r="AM96" s="2167"/>
      <c r="AN96" s="2307"/>
      <c r="AO96" s="2517"/>
      <c r="AP96" s="1914"/>
      <c r="AQ96" s="1866"/>
      <c r="AR96" s="1867"/>
      <c r="AS96" s="1943"/>
      <c r="AT96" s="1879"/>
      <c r="AU96" s="1944"/>
      <c r="AV96" s="1867"/>
      <c r="AW96" s="3635"/>
      <c r="AX96" s="3635"/>
      <c r="AY96" s="1951"/>
      <c r="AZ96" s="1951"/>
      <c r="BA96" s="3631"/>
    </row>
    <row r="97" spans="1:53" ht="15" customHeight="1" thickBot="1">
      <c r="A97" s="3685"/>
      <c r="B97" s="1688" t="s">
        <v>32</v>
      </c>
      <c r="C97" s="3682">
        <f>SUM(D97:D99)</f>
        <v>0</v>
      </c>
      <c r="D97" s="2273">
        <f t="shared" si="22"/>
        <v>0</v>
      </c>
      <c r="E97" s="1833"/>
      <c r="F97" s="1702"/>
      <c r="G97" s="2278"/>
      <c r="H97" s="1711"/>
      <c r="I97" s="1776"/>
      <c r="J97" s="2295"/>
      <c r="K97" s="1762"/>
      <c r="L97" s="2208"/>
      <c r="M97" s="1761"/>
      <c r="N97" s="1764"/>
      <c r="O97" s="1760"/>
      <c r="P97" s="1765"/>
      <c r="Q97" s="1828"/>
      <c r="R97" s="1829"/>
      <c r="S97" s="2169"/>
      <c r="T97" s="2312"/>
      <c r="U97" s="2520"/>
      <c r="V97" s="1917"/>
      <c r="W97" s="1831"/>
      <c r="X97" s="1919"/>
      <c r="Y97" s="1701"/>
      <c r="Z97" s="1702"/>
      <c r="AA97" s="2319"/>
      <c r="AB97" s="1882"/>
      <c r="AC97" s="2063"/>
      <c r="AD97" s="2295"/>
      <c r="AE97" s="1762"/>
      <c r="AF97" s="2208"/>
      <c r="AG97" s="1885"/>
      <c r="AH97" s="1886"/>
      <c r="AI97" s="1915"/>
      <c r="AJ97" s="2329"/>
      <c r="AK97" s="2074"/>
      <c r="AL97" s="1916"/>
      <c r="AM97" s="2169"/>
      <c r="AN97" s="2312"/>
      <c r="AO97" s="2520"/>
      <c r="AP97" s="1917"/>
      <c r="AQ97" s="1918"/>
      <c r="AR97" s="1919"/>
      <c r="AS97" s="1701"/>
      <c r="AT97" s="1885"/>
      <c r="AU97" s="1946"/>
      <c r="AV97" s="1919"/>
      <c r="AW97" s="3633">
        <f>SUM(E97:X99)</f>
        <v>0</v>
      </c>
      <c r="AX97" s="3636">
        <f>SUM(E97:AR99)</f>
        <v>0</v>
      </c>
      <c r="AY97" s="1942"/>
      <c r="AZ97" s="1951"/>
      <c r="BA97" s="3630" t="s">
        <v>33</v>
      </c>
    </row>
    <row r="98" spans="1:53" ht="15" customHeight="1" thickBot="1">
      <c r="A98" s="3685"/>
      <c r="B98" s="1694" t="s">
        <v>34</v>
      </c>
      <c r="C98" s="3683"/>
      <c r="D98" s="1705">
        <f t="shared" si="22"/>
        <v>0</v>
      </c>
      <c r="E98" s="1706"/>
      <c r="F98" s="1707"/>
      <c r="G98" s="2277"/>
      <c r="H98" s="1712"/>
      <c r="I98" s="1779"/>
      <c r="J98" s="2293"/>
      <c r="K98" s="1769"/>
      <c r="L98" s="2202"/>
      <c r="M98" s="1768"/>
      <c r="N98" s="1771"/>
      <c r="O98" s="1767"/>
      <c r="P98" s="1772"/>
      <c r="Q98" s="1835"/>
      <c r="R98" s="1836"/>
      <c r="S98" s="2165"/>
      <c r="T98" s="2311"/>
      <c r="U98" s="2519"/>
      <c r="V98" s="1922"/>
      <c r="W98" s="1838"/>
      <c r="X98" s="1924"/>
      <c r="Y98" s="1947"/>
      <c r="Z98" s="1707"/>
      <c r="AA98" s="2318"/>
      <c r="AB98" s="1888"/>
      <c r="AC98" s="2064"/>
      <c r="AD98" s="2293"/>
      <c r="AE98" s="1769"/>
      <c r="AF98" s="2202"/>
      <c r="AG98" s="1891"/>
      <c r="AH98" s="1892"/>
      <c r="AI98" s="1920"/>
      <c r="AJ98" s="2327"/>
      <c r="AK98" s="2076"/>
      <c r="AL98" s="1921"/>
      <c r="AM98" s="2165"/>
      <c r="AN98" s="2311"/>
      <c r="AO98" s="2519"/>
      <c r="AP98" s="1922"/>
      <c r="AQ98" s="1923"/>
      <c r="AR98" s="1924"/>
      <c r="AS98" s="1947"/>
      <c r="AT98" s="1891"/>
      <c r="AU98" s="1948"/>
      <c r="AV98" s="1924"/>
      <c r="AW98" s="3634"/>
      <c r="AX98" s="3637"/>
      <c r="AY98" s="1951"/>
      <c r="AZ98" s="2339"/>
      <c r="BA98" s="3630"/>
    </row>
    <row r="99" spans="1:53" ht="15" customHeight="1" thickBot="1">
      <c r="A99" s="3685"/>
      <c r="B99" s="1728" t="s">
        <v>34</v>
      </c>
      <c r="C99" s="3684"/>
      <c r="D99" s="2273">
        <f t="shared" ref="D99:D117" si="31">SUM(E99:AV99)</f>
        <v>0</v>
      </c>
      <c r="E99" s="1706"/>
      <c r="F99" s="1707"/>
      <c r="G99" s="2277"/>
      <c r="H99" s="1712"/>
      <c r="I99" s="1779"/>
      <c r="J99" s="2293"/>
      <c r="K99" s="1769"/>
      <c r="L99" s="2202"/>
      <c r="M99" s="1768"/>
      <c r="N99" s="1771"/>
      <c r="O99" s="1767"/>
      <c r="P99" s="1772"/>
      <c r="Q99" s="1835"/>
      <c r="R99" s="1836"/>
      <c r="S99" s="2165"/>
      <c r="T99" s="2311"/>
      <c r="U99" s="2519"/>
      <c r="V99" s="1922"/>
      <c r="W99" s="1838"/>
      <c r="X99" s="1924"/>
      <c r="Y99" s="1947"/>
      <c r="Z99" s="1707"/>
      <c r="AA99" s="2318"/>
      <c r="AB99" s="1888"/>
      <c r="AC99" s="2064"/>
      <c r="AD99" s="2293"/>
      <c r="AE99" s="1769"/>
      <c r="AF99" s="2202"/>
      <c r="AG99" s="1891"/>
      <c r="AH99" s="1892"/>
      <c r="AI99" s="1920"/>
      <c r="AJ99" s="2327"/>
      <c r="AK99" s="2076"/>
      <c r="AL99" s="1921"/>
      <c r="AM99" s="2165"/>
      <c r="AN99" s="2311"/>
      <c r="AO99" s="2519"/>
      <c r="AP99" s="1922"/>
      <c r="AQ99" s="1923"/>
      <c r="AR99" s="1924"/>
      <c r="AS99" s="1947"/>
      <c r="AT99" s="1891"/>
      <c r="AU99" s="1948"/>
      <c r="AV99" s="1924"/>
      <c r="AW99" s="3635"/>
      <c r="AX99" s="3638"/>
      <c r="AY99" s="1945"/>
      <c r="AZ99" s="2339"/>
      <c r="BA99" s="3630"/>
    </row>
    <row r="100" spans="1:53" ht="12" customHeight="1" thickBot="1">
      <c r="A100" s="3686"/>
      <c r="B100" s="2005" t="s">
        <v>32</v>
      </c>
      <c r="C100" s="3678">
        <f>SUM(D100:D103)</f>
        <v>0</v>
      </c>
      <c r="D100" s="2273">
        <f t="shared" si="31"/>
        <v>0</v>
      </c>
      <c r="E100" s="1726"/>
      <c r="F100" s="1691"/>
      <c r="G100" s="2274"/>
      <c r="H100" s="1713"/>
      <c r="I100" s="1782"/>
      <c r="J100" s="2300"/>
      <c r="K100" s="1748"/>
      <c r="L100" s="2199"/>
      <c r="M100" s="1747"/>
      <c r="N100" s="1750"/>
      <c r="O100" s="1746"/>
      <c r="P100" s="1751"/>
      <c r="Q100" s="1816"/>
      <c r="R100" s="1817"/>
      <c r="S100" s="2163"/>
      <c r="T100" s="2306"/>
      <c r="U100" s="2516"/>
      <c r="V100" s="1911"/>
      <c r="W100" s="1819"/>
      <c r="X100" s="1865"/>
      <c r="Y100" s="1690"/>
      <c r="Z100" s="1691"/>
      <c r="AA100" s="2282"/>
      <c r="AB100" s="1893"/>
      <c r="AC100" s="2065"/>
      <c r="AD100" s="2300"/>
      <c r="AE100" s="1748"/>
      <c r="AF100" s="2199"/>
      <c r="AG100" s="1873"/>
      <c r="AH100" s="1874"/>
      <c r="AI100" s="1909"/>
      <c r="AJ100" s="2333"/>
      <c r="AK100" s="2078"/>
      <c r="AL100" s="1910"/>
      <c r="AM100" s="2163"/>
      <c r="AN100" s="2306"/>
      <c r="AO100" s="2516"/>
      <c r="AP100" s="1911"/>
      <c r="AQ100" s="1864"/>
      <c r="AR100" s="1865"/>
      <c r="AS100" s="1726"/>
      <c r="AT100" s="1873"/>
      <c r="AU100" s="1940"/>
      <c r="AV100" s="1865"/>
      <c r="AW100" s="3633">
        <f>SUM(E100:X103)</f>
        <v>0</v>
      </c>
      <c r="AX100" s="3633">
        <f>SUM(E100:AR103)</f>
        <v>0</v>
      </c>
      <c r="AY100" s="1945"/>
      <c r="AZ100" s="2339"/>
      <c r="BA100" s="3629" t="s">
        <v>33</v>
      </c>
    </row>
    <row r="101" spans="1:53" ht="15" customHeight="1" thickBot="1">
      <c r="A101" s="3687"/>
      <c r="B101" s="1694" t="s">
        <v>34</v>
      </c>
      <c r="C101" s="3679"/>
      <c r="D101" s="1705">
        <f t="shared" si="31"/>
        <v>0</v>
      </c>
      <c r="E101" s="1706"/>
      <c r="F101" s="1707"/>
      <c r="G101" s="2277"/>
      <c r="H101" s="1712"/>
      <c r="I101" s="1779"/>
      <c r="J101" s="2293"/>
      <c r="K101" s="1769"/>
      <c r="L101" s="2202"/>
      <c r="M101" s="1768"/>
      <c r="N101" s="1771"/>
      <c r="O101" s="1767"/>
      <c r="P101" s="1772"/>
      <c r="Q101" s="1835"/>
      <c r="R101" s="1836"/>
      <c r="S101" s="2165"/>
      <c r="T101" s="2311"/>
      <c r="U101" s="2519"/>
      <c r="V101" s="1922"/>
      <c r="W101" s="1838"/>
      <c r="X101" s="1924"/>
      <c r="Y101" s="1947"/>
      <c r="Z101" s="1707"/>
      <c r="AA101" s="2318"/>
      <c r="AB101" s="1888"/>
      <c r="AC101" s="2064"/>
      <c r="AD101" s="2293"/>
      <c r="AE101" s="1769"/>
      <c r="AF101" s="2202"/>
      <c r="AG101" s="1891"/>
      <c r="AH101" s="1892"/>
      <c r="AI101" s="1920"/>
      <c r="AJ101" s="2327"/>
      <c r="AK101" s="2076"/>
      <c r="AL101" s="1921"/>
      <c r="AM101" s="2165"/>
      <c r="AN101" s="2311"/>
      <c r="AO101" s="2519"/>
      <c r="AP101" s="1922"/>
      <c r="AQ101" s="1923"/>
      <c r="AR101" s="1924"/>
      <c r="AS101" s="1947"/>
      <c r="AT101" s="1891"/>
      <c r="AU101" s="1948"/>
      <c r="AV101" s="1924"/>
      <c r="AW101" s="3634"/>
      <c r="AX101" s="3634"/>
      <c r="AY101" s="1945"/>
      <c r="AZ101" s="2339"/>
      <c r="BA101" s="3630"/>
    </row>
    <row r="102" spans="1:53" ht="15" customHeight="1" thickBot="1">
      <c r="A102" s="3687"/>
      <c r="B102" s="1694" t="s">
        <v>34</v>
      </c>
      <c r="C102" s="3679"/>
      <c r="D102" s="1705">
        <f t="shared" si="31"/>
        <v>0</v>
      </c>
      <c r="E102" s="1706"/>
      <c r="F102" s="1707"/>
      <c r="G102" s="2277"/>
      <c r="H102" s="1712"/>
      <c r="I102" s="1779"/>
      <c r="J102" s="2293"/>
      <c r="K102" s="1769"/>
      <c r="L102" s="2202"/>
      <c r="M102" s="1768"/>
      <c r="N102" s="1771"/>
      <c r="O102" s="1767"/>
      <c r="P102" s="1772"/>
      <c r="Q102" s="1835"/>
      <c r="R102" s="1836"/>
      <c r="S102" s="2165"/>
      <c r="T102" s="2311"/>
      <c r="U102" s="2519"/>
      <c r="V102" s="1922"/>
      <c r="W102" s="1838"/>
      <c r="X102" s="1924"/>
      <c r="Y102" s="1947"/>
      <c r="Z102" s="1707"/>
      <c r="AA102" s="2318"/>
      <c r="AB102" s="1888"/>
      <c r="AC102" s="2064"/>
      <c r="AD102" s="2293"/>
      <c r="AE102" s="1769"/>
      <c r="AF102" s="2202"/>
      <c r="AG102" s="1891"/>
      <c r="AH102" s="1892"/>
      <c r="AI102" s="1920"/>
      <c r="AJ102" s="2327"/>
      <c r="AK102" s="2076"/>
      <c r="AL102" s="1921"/>
      <c r="AM102" s="2165"/>
      <c r="AN102" s="2311"/>
      <c r="AO102" s="2519"/>
      <c r="AP102" s="1922"/>
      <c r="AQ102" s="1923"/>
      <c r="AR102" s="1924"/>
      <c r="AS102" s="1947"/>
      <c r="AT102" s="1891"/>
      <c r="AU102" s="1948"/>
      <c r="AV102" s="1924"/>
      <c r="AW102" s="3634"/>
      <c r="AX102" s="3634"/>
      <c r="AY102" s="1945"/>
      <c r="AZ102" s="2339"/>
      <c r="BA102" s="3630"/>
    </row>
    <row r="103" spans="1:53" ht="15" customHeight="1" thickBot="1">
      <c r="A103" s="3688"/>
      <c r="B103" s="1999" t="s">
        <v>34</v>
      </c>
      <c r="C103" s="3681"/>
      <c r="D103" s="2273">
        <f t="shared" si="31"/>
        <v>0</v>
      </c>
      <c r="E103" s="1706"/>
      <c r="F103" s="1707"/>
      <c r="G103" s="2277"/>
      <c r="H103" s="1712"/>
      <c r="I103" s="1779"/>
      <c r="J103" s="2293"/>
      <c r="K103" s="1769"/>
      <c r="L103" s="2202"/>
      <c r="M103" s="1768"/>
      <c r="N103" s="1771"/>
      <c r="O103" s="1767"/>
      <c r="P103" s="1772"/>
      <c r="Q103" s="1835"/>
      <c r="R103" s="1836"/>
      <c r="S103" s="2165"/>
      <c r="T103" s="2311"/>
      <c r="U103" s="2519"/>
      <c r="V103" s="1922"/>
      <c r="W103" s="1838"/>
      <c r="X103" s="1924"/>
      <c r="Y103" s="1947"/>
      <c r="Z103" s="1707"/>
      <c r="AA103" s="2318"/>
      <c r="AB103" s="1888"/>
      <c r="AC103" s="2064"/>
      <c r="AD103" s="2293"/>
      <c r="AE103" s="1769"/>
      <c r="AF103" s="2202"/>
      <c r="AG103" s="1891"/>
      <c r="AH103" s="1892"/>
      <c r="AI103" s="1920"/>
      <c r="AJ103" s="2327"/>
      <c r="AK103" s="2076"/>
      <c r="AL103" s="1921"/>
      <c r="AM103" s="2165"/>
      <c r="AN103" s="2311"/>
      <c r="AO103" s="2519"/>
      <c r="AP103" s="1922"/>
      <c r="AQ103" s="1923"/>
      <c r="AR103" s="1924"/>
      <c r="AS103" s="1947"/>
      <c r="AT103" s="1891"/>
      <c r="AU103" s="1948"/>
      <c r="AV103" s="1924"/>
      <c r="AW103" s="3634"/>
      <c r="AX103" s="3635"/>
      <c r="AY103" s="1945"/>
      <c r="AZ103" s="2339"/>
      <c r="BA103" s="3630"/>
    </row>
    <row r="104" spans="1:53" ht="12" customHeight="1" thickBot="1">
      <c r="A104" s="3686"/>
      <c r="B104" s="1738" t="s">
        <v>32</v>
      </c>
      <c r="C104" s="3678">
        <f t="shared" ref="C104" si="32">SUM(D104:D109)</f>
        <v>0</v>
      </c>
      <c r="D104" s="1689">
        <f t="shared" si="31"/>
        <v>0</v>
      </c>
      <c r="E104" s="1726"/>
      <c r="F104" s="1691"/>
      <c r="G104" s="2274"/>
      <c r="H104" s="1713"/>
      <c r="I104" s="1782"/>
      <c r="J104" s="2300"/>
      <c r="K104" s="1748"/>
      <c r="L104" s="2199"/>
      <c r="M104" s="1747"/>
      <c r="N104" s="1750"/>
      <c r="O104" s="1746"/>
      <c r="P104" s="1751"/>
      <c r="Q104" s="1816"/>
      <c r="R104" s="1817"/>
      <c r="S104" s="2163"/>
      <c r="T104" s="2306"/>
      <c r="U104" s="2516"/>
      <c r="V104" s="1911"/>
      <c r="W104" s="1819"/>
      <c r="X104" s="1865"/>
      <c r="Y104" s="1690"/>
      <c r="Z104" s="1691"/>
      <c r="AA104" s="2282"/>
      <c r="AB104" s="1893"/>
      <c r="AC104" s="2065"/>
      <c r="AD104" s="2300"/>
      <c r="AE104" s="1748"/>
      <c r="AF104" s="2199"/>
      <c r="AG104" s="1873"/>
      <c r="AH104" s="1874"/>
      <c r="AI104" s="1909"/>
      <c r="AJ104" s="2333"/>
      <c r="AK104" s="2078"/>
      <c r="AL104" s="1910"/>
      <c r="AM104" s="2163"/>
      <c r="AN104" s="2306"/>
      <c r="AO104" s="2516"/>
      <c r="AP104" s="1911"/>
      <c r="AQ104" s="1864"/>
      <c r="AR104" s="1865"/>
      <c r="AS104" s="1726"/>
      <c r="AT104" s="1873"/>
      <c r="AU104" s="1940"/>
      <c r="AV104" s="1865"/>
      <c r="AW104" s="3633">
        <f t="shared" ref="AW104" si="33">SUM(E104:X109)</f>
        <v>0</v>
      </c>
      <c r="AX104" s="3633">
        <f t="shared" ref="AX104" si="34">SUM(E104:AR109)</f>
        <v>0</v>
      </c>
      <c r="AY104" s="1945"/>
      <c r="AZ104" s="2339"/>
      <c r="BA104" s="3629" t="s">
        <v>33</v>
      </c>
    </row>
    <row r="105" spans="1:53" ht="15" customHeight="1" thickBot="1">
      <c r="A105" s="3687"/>
      <c r="B105" s="1694" t="s">
        <v>34</v>
      </c>
      <c r="C105" s="3679"/>
      <c r="D105" s="1705">
        <f t="shared" ref="D105" si="35">SUM(E105:AV105)</f>
        <v>0</v>
      </c>
      <c r="E105" s="1706"/>
      <c r="F105" s="1707"/>
      <c r="G105" s="2277"/>
      <c r="H105" s="1712"/>
      <c r="I105" s="1779"/>
      <c r="J105" s="2293"/>
      <c r="K105" s="1769"/>
      <c r="L105" s="2202"/>
      <c r="M105" s="1768"/>
      <c r="N105" s="1771"/>
      <c r="O105" s="1767"/>
      <c r="P105" s="1772"/>
      <c r="Q105" s="1835"/>
      <c r="R105" s="1836"/>
      <c r="S105" s="2165"/>
      <c r="T105" s="2311"/>
      <c r="U105" s="2519"/>
      <c r="V105" s="1922"/>
      <c r="W105" s="1838"/>
      <c r="X105" s="1924"/>
      <c r="Y105" s="1947"/>
      <c r="Z105" s="1707"/>
      <c r="AA105" s="2318"/>
      <c r="AB105" s="1888"/>
      <c r="AC105" s="2064"/>
      <c r="AD105" s="2293"/>
      <c r="AE105" s="1769"/>
      <c r="AF105" s="2202"/>
      <c r="AG105" s="1891"/>
      <c r="AH105" s="1892"/>
      <c r="AI105" s="1920"/>
      <c r="AJ105" s="2327"/>
      <c r="AK105" s="2076"/>
      <c r="AL105" s="1921"/>
      <c r="AM105" s="2165"/>
      <c r="AN105" s="2311"/>
      <c r="AO105" s="2519"/>
      <c r="AP105" s="1922"/>
      <c r="AQ105" s="1923"/>
      <c r="AR105" s="1924"/>
      <c r="AS105" s="1947"/>
      <c r="AT105" s="1891"/>
      <c r="AU105" s="1948"/>
      <c r="AV105" s="1924"/>
      <c r="AW105" s="3634"/>
      <c r="AX105" s="3634"/>
      <c r="AY105" s="1945"/>
      <c r="AZ105" s="2339"/>
      <c r="BA105" s="3630"/>
    </row>
    <row r="106" spans="1:53" ht="15" customHeight="1" thickBot="1">
      <c r="A106" s="3687"/>
      <c r="B106" s="1694" t="s">
        <v>34</v>
      </c>
      <c r="C106" s="3679"/>
      <c r="D106" s="1705">
        <f t="shared" ref="D106:D108" si="36">SUM(E106:AV106)</f>
        <v>0</v>
      </c>
      <c r="E106" s="1706"/>
      <c r="F106" s="1707"/>
      <c r="G106" s="2277"/>
      <c r="H106" s="1712"/>
      <c r="I106" s="1779"/>
      <c r="J106" s="2293"/>
      <c r="K106" s="1769"/>
      <c r="L106" s="2202"/>
      <c r="M106" s="1768"/>
      <c r="N106" s="1771"/>
      <c r="O106" s="1767"/>
      <c r="P106" s="1772"/>
      <c r="Q106" s="1835"/>
      <c r="R106" s="1836"/>
      <c r="S106" s="2165"/>
      <c r="T106" s="2311"/>
      <c r="U106" s="2519"/>
      <c r="V106" s="1922"/>
      <c r="W106" s="1838"/>
      <c r="X106" s="1924"/>
      <c r="Y106" s="1947"/>
      <c r="Z106" s="1707"/>
      <c r="AA106" s="2318"/>
      <c r="AB106" s="1888"/>
      <c r="AC106" s="2064"/>
      <c r="AD106" s="2293"/>
      <c r="AE106" s="1769"/>
      <c r="AF106" s="2202"/>
      <c r="AG106" s="1891"/>
      <c r="AH106" s="1892"/>
      <c r="AI106" s="1920"/>
      <c r="AJ106" s="2327"/>
      <c r="AK106" s="2076"/>
      <c r="AL106" s="1921"/>
      <c r="AM106" s="2165"/>
      <c r="AN106" s="2311"/>
      <c r="AO106" s="2519"/>
      <c r="AP106" s="1922"/>
      <c r="AQ106" s="1923"/>
      <c r="AR106" s="1924"/>
      <c r="AS106" s="1947"/>
      <c r="AT106" s="1891"/>
      <c r="AU106" s="1948"/>
      <c r="AV106" s="1924"/>
      <c r="AW106" s="3634"/>
      <c r="AX106" s="3634"/>
      <c r="AY106" s="1945"/>
      <c r="AZ106" s="2339"/>
      <c r="BA106" s="3630"/>
    </row>
    <row r="107" spans="1:53" ht="15" customHeight="1" thickBot="1">
      <c r="A107" s="3687"/>
      <c r="B107" s="1694" t="s">
        <v>34</v>
      </c>
      <c r="C107" s="3679"/>
      <c r="D107" s="1705">
        <f t="shared" ref="D107" si="37">SUM(E107:AV107)</f>
        <v>0</v>
      </c>
      <c r="E107" s="1706"/>
      <c r="F107" s="1707"/>
      <c r="G107" s="2277"/>
      <c r="H107" s="1712"/>
      <c r="I107" s="1779"/>
      <c r="J107" s="2293"/>
      <c r="K107" s="1769"/>
      <c r="L107" s="2202"/>
      <c r="M107" s="1768"/>
      <c r="N107" s="1771"/>
      <c r="O107" s="1767"/>
      <c r="P107" s="1772"/>
      <c r="Q107" s="1835"/>
      <c r="R107" s="1836"/>
      <c r="S107" s="2165"/>
      <c r="T107" s="2311"/>
      <c r="U107" s="2519"/>
      <c r="V107" s="1922"/>
      <c r="W107" s="1838"/>
      <c r="X107" s="1924"/>
      <c r="Y107" s="1947"/>
      <c r="Z107" s="1707"/>
      <c r="AA107" s="2318"/>
      <c r="AB107" s="1888"/>
      <c r="AC107" s="2064"/>
      <c r="AD107" s="2293"/>
      <c r="AE107" s="1769"/>
      <c r="AF107" s="2202"/>
      <c r="AG107" s="1891"/>
      <c r="AH107" s="1892"/>
      <c r="AI107" s="1920"/>
      <c r="AJ107" s="2327"/>
      <c r="AK107" s="2076"/>
      <c r="AL107" s="1921"/>
      <c r="AM107" s="2165"/>
      <c r="AN107" s="2311"/>
      <c r="AO107" s="2519"/>
      <c r="AP107" s="1922"/>
      <c r="AQ107" s="1923"/>
      <c r="AR107" s="1924"/>
      <c r="AS107" s="1947"/>
      <c r="AT107" s="1891"/>
      <c r="AU107" s="1948"/>
      <c r="AV107" s="1924"/>
      <c r="AW107" s="3634"/>
      <c r="AX107" s="3634"/>
      <c r="AY107" s="1945"/>
      <c r="AZ107" s="2339"/>
      <c r="BA107" s="3630"/>
    </row>
    <row r="108" spans="1:53" ht="15" customHeight="1" thickBot="1">
      <c r="A108" s="3687"/>
      <c r="B108" s="1694" t="s">
        <v>34</v>
      </c>
      <c r="C108" s="3679"/>
      <c r="D108" s="1705">
        <f t="shared" si="36"/>
        <v>0</v>
      </c>
      <c r="E108" s="1706"/>
      <c r="F108" s="1707"/>
      <c r="G108" s="2277"/>
      <c r="H108" s="1712"/>
      <c r="I108" s="1779"/>
      <c r="J108" s="2293"/>
      <c r="K108" s="1769"/>
      <c r="L108" s="2202"/>
      <c r="M108" s="1768"/>
      <c r="N108" s="1771"/>
      <c r="O108" s="1767"/>
      <c r="P108" s="1772"/>
      <c r="Q108" s="1835"/>
      <c r="R108" s="1836"/>
      <c r="S108" s="2165"/>
      <c r="T108" s="2311"/>
      <c r="U108" s="2519"/>
      <c r="V108" s="1922"/>
      <c r="W108" s="1838"/>
      <c r="X108" s="1924"/>
      <c r="Y108" s="1947"/>
      <c r="Z108" s="1707"/>
      <c r="AA108" s="2318"/>
      <c r="AB108" s="1888"/>
      <c r="AC108" s="2064"/>
      <c r="AD108" s="2293"/>
      <c r="AE108" s="1769"/>
      <c r="AF108" s="2202"/>
      <c r="AG108" s="1891"/>
      <c r="AH108" s="1892"/>
      <c r="AI108" s="1920"/>
      <c r="AJ108" s="2327"/>
      <c r="AK108" s="2076"/>
      <c r="AL108" s="1921"/>
      <c r="AM108" s="2165"/>
      <c r="AN108" s="2311"/>
      <c r="AO108" s="2519"/>
      <c r="AP108" s="1922"/>
      <c r="AQ108" s="1923"/>
      <c r="AR108" s="1924"/>
      <c r="AS108" s="1947"/>
      <c r="AT108" s="1891"/>
      <c r="AU108" s="1948"/>
      <c r="AV108" s="1924"/>
      <c r="AW108" s="3634"/>
      <c r="AX108" s="3634"/>
      <c r="AY108" s="1945"/>
      <c r="AZ108" s="2339"/>
      <c r="BA108" s="3630"/>
    </row>
    <row r="109" spans="1:53" ht="15" customHeight="1" thickBot="1">
      <c r="A109" s="3688"/>
      <c r="B109" s="1728" t="s">
        <v>34</v>
      </c>
      <c r="C109" s="3679"/>
      <c r="D109" s="1705">
        <f t="shared" si="31"/>
        <v>0</v>
      </c>
      <c r="E109" s="1706"/>
      <c r="F109" s="1707"/>
      <c r="G109" s="2277"/>
      <c r="H109" s="1712"/>
      <c r="I109" s="1779"/>
      <c r="J109" s="2293"/>
      <c r="K109" s="1769"/>
      <c r="L109" s="2202"/>
      <c r="M109" s="1768"/>
      <c r="N109" s="1771"/>
      <c r="O109" s="1767"/>
      <c r="P109" s="1772"/>
      <c r="Q109" s="1835"/>
      <c r="R109" s="1836"/>
      <c r="S109" s="2165"/>
      <c r="T109" s="2311"/>
      <c r="U109" s="2519"/>
      <c r="V109" s="1922"/>
      <c r="W109" s="1838"/>
      <c r="X109" s="1924"/>
      <c r="Y109" s="1947"/>
      <c r="Z109" s="1707"/>
      <c r="AA109" s="2318"/>
      <c r="AB109" s="1888"/>
      <c r="AC109" s="2064"/>
      <c r="AD109" s="2293"/>
      <c r="AE109" s="1769"/>
      <c r="AF109" s="2202"/>
      <c r="AG109" s="1891"/>
      <c r="AH109" s="1892"/>
      <c r="AI109" s="1920"/>
      <c r="AJ109" s="2327"/>
      <c r="AK109" s="2076"/>
      <c r="AL109" s="1921"/>
      <c r="AM109" s="2165"/>
      <c r="AN109" s="2311"/>
      <c r="AO109" s="2519"/>
      <c r="AP109" s="1922"/>
      <c r="AQ109" s="1923"/>
      <c r="AR109" s="1924"/>
      <c r="AS109" s="1947"/>
      <c r="AT109" s="1891"/>
      <c r="AU109" s="1948"/>
      <c r="AV109" s="1924"/>
      <c r="AW109" s="3634"/>
      <c r="AX109" s="3634"/>
      <c r="AY109" s="1945"/>
      <c r="AZ109" s="1951"/>
      <c r="BA109" s="3630"/>
    </row>
    <row r="110" spans="1:53" ht="17.25" customHeight="1" thickBot="1">
      <c r="A110" s="3686"/>
      <c r="B110" s="2005" t="s">
        <v>32</v>
      </c>
      <c r="C110" s="3678">
        <f>SUM(D110:D112)</f>
        <v>0</v>
      </c>
      <c r="D110" s="1689">
        <f t="shared" si="31"/>
        <v>0</v>
      </c>
      <c r="E110" s="1726"/>
      <c r="F110" s="1691"/>
      <c r="G110" s="2274"/>
      <c r="H110" s="1713"/>
      <c r="I110" s="1782"/>
      <c r="J110" s="2300"/>
      <c r="K110" s="1748"/>
      <c r="L110" s="2199"/>
      <c r="M110" s="1747"/>
      <c r="N110" s="1750"/>
      <c r="O110" s="1746"/>
      <c r="P110" s="1751"/>
      <c r="Q110" s="1816"/>
      <c r="R110" s="1817"/>
      <c r="S110" s="2163"/>
      <c r="T110" s="2306"/>
      <c r="U110" s="2516"/>
      <c r="V110" s="1911"/>
      <c r="W110" s="1819"/>
      <c r="X110" s="1865"/>
      <c r="Y110" s="1690"/>
      <c r="Z110" s="1691"/>
      <c r="AA110" s="2282"/>
      <c r="AB110" s="1893"/>
      <c r="AC110" s="2065"/>
      <c r="AD110" s="2300"/>
      <c r="AE110" s="1748"/>
      <c r="AF110" s="2199"/>
      <c r="AG110" s="1873"/>
      <c r="AH110" s="1874"/>
      <c r="AI110" s="1909"/>
      <c r="AJ110" s="2333"/>
      <c r="AK110" s="2078"/>
      <c r="AL110" s="1910"/>
      <c r="AM110" s="2163"/>
      <c r="AN110" s="2306"/>
      <c r="AO110" s="2516"/>
      <c r="AP110" s="1911"/>
      <c r="AQ110" s="1864"/>
      <c r="AR110" s="1865"/>
      <c r="AS110" s="1726"/>
      <c r="AT110" s="1873"/>
      <c r="AU110" s="1940"/>
      <c r="AV110" s="1865"/>
      <c r="AW110" s="3633">
        <f>SUM(E110:X112)</f>
        <v>0</v>
      </c>
      <c r="AX110" s="3633">
        <f>SUM(E110:AR112)</f>
        <v>0</v>
      </c>
      <c r="AY110" s="1945"/>
      <c r="AZ110" s="1951"/>
      <c r="BA110" s="3629" t="s">
        <v>33</v>
      </c>
    </row>
    <row r="111" spans="1:53" ht="15" customHeight="1" thickBot="1">
      <c r="A111" s="3687"/>
      <c r="B111" s="1694" t="s">
        <v>34</v>
      </c>
      <c r="C111" s="3679"/>
      <c r="D111" s="1705">
        <f t="shared" si="31"/>
        <v>0</v>
      </c>
      <c r="E111" s="1706"/>
      <c r="F111" s="1707"/>
      <c r="G111" s="2277"/>
      <c r="H111" s="1712"/>
      <c r="I111" s="1779"/>
      <c r="J111" s="2293"/>
      <c r="K111" s="1769"/>
      <c r="L111" s="2202"/>
      <c r="M111" s="1768"/>
      <c r="N111" s="1771"/>
      <c r="O111" s="1767"/>
      <c r="P111" s="1772"/>
      <c r="Q111" s="1835"/>
      <c r="R111" s="1836"/>
      <c r="S111" s="2165"/>
      <c r="T111" s="2311"/>
      <c r="U111" s="2519"/>
      <c r="V111" s="1922"/>
      <c r="W111" s="1838"/>
      <c r="X111" s="1924"/>
      <c r="Y111" s="1947"/>
      <c r="Z111" s="1707"/>
      <c r="AA111" s="2318"/>
      <c r="AB111" s="1888"/>
      <c r="AC111" s="2064"/>
      <c r="AD111" s="2293"/>
      <c r="AE111" s="1769"/>
      <c r="AF111" s="2202"/>
      <c r="AG111" s="1891"/>
      <c r="AH111" s="1892"/>
      <c r="AI111" s="1920"/>
      <c r="AJ111" s="2327"/>
      <c r="AK111" s="2076"/>
      <c r="AL111" s="1921"/>
      <c r="AM111" s="2165"/>
      <c r="AN111" s="2311"/>
      <c r="AO111" s="2519"/>
      <c r="AP111" s="1922"/>
      <c r="AQ111" s="1923"/>
      <c r="AR111" s="1924"/>
      <c r="AS111" s="1947"/>
      <c r="AT111" s="1891"/>
      <c r="AU111" s="1948"/>
      <c r="AV111" s="1924"/>
      <c r="AW111" s="3634"/>
      <c r="AX111" s="3634"/>
      <c r="AY111" s="1951"/>
      <c r="AZ111" s="2339"/>
      <c r="BA111" s="3630"/>
    </row>
    <row r="112" spans="1:53" ht="18" customHeight="1" thickBot="1">
      <c r="A112" s="3688"/>
      <c r="B112" s="1694" t="s">
        <v>34</v>
      </c>
      <c r="C112" s="3679"/>
      <c r="D112" s="1705">
        <f t="shared" si="31"/>
        <v>0</v>
      </c>
      <c r="E112" s="1706"/>
      <c r="F112" s="1707"/>
      <c r="G112" s="2277"/>
      <c r="H112" s="1712"/>
      <c r="I112" s="1779"/>
      <c r="J112" s="2293"/>
      <c r="K112" s="1769"/>
      <c r="L112" s="2202"/>
      <c r="M112" s="1768"/>
      <c r="N112" s="1771"/>
      <c r="O112" s="1767"/>
      <c r="P112" s="1772"/>
      <c r="Q112" s="1835"/>
      <c r="R112" s="1836"/>
      <c r="S112" s="2165"/>
      <c r="T112" s="2311"/>
      <c r="U112" s="2519"/>
      <c r="V112" s="1922"/>
      <c r="W112" s="1838"/>
      <c r="X112" s="1924"/>
      <c r="Y112" s="1947"/>
      <c r="Z112" s="1707"/>
      <c r="AA112" s="2318"/>
      <c r="AB112" s="1888"/>
      <c r="AC112" s="2064"/>
      <c r="AD112" s="2293"/>
      <c r="AE112" s="1769"/>
      <c r="AF112" s="2202"/>
      <c r="AG112" s="1891"/>
      <c r="AH112" s="1892"/>
      <c r="AI112" s="1920"/>
      <c r="AJ112" s="2327"/>
      <c r="AK112" s="2076"/>
      <c r="AL112" s="1921"/>
      <c r="AM112" s="2165"/>
      <c r="AN112" s="2311"/>
      <c r="AO112" s="2519"/>
      <c r="AP112" s="1922"/>
      <c r="AQ112" s="1923"/>
      <c r="AR112" s="1924"/>
      <c r="AS112" s="1947"/>
      <c r="AT112" s="1891"/>
      <c r="AU112" s="1948"/>
      <c r="AV112" s="1924"/>
      <c r="AW112" s="3634"/>
      <c r="AX112" s="3634"/>
      <c r="AY112" s="1951"/>
      <c r="AZ112" s="1951"/>
      <c r="BA112" s="3630"/>
    </row>
    <row r="113" spans="1:53" ht="12" customHeight="1" thickBot="1">
      <c r="A113" s="3686"/>
      <c r="B113" s="2005" t="s">
        <v>32</v>
      </c>
      <c r="C113" s="3678">
        <f>SUM(D113:D115)</f>
        <v>0</v>
      </c>
      <c r="D113" s="1689">
        <f t="shared" ref="D113:D115" si="38">SUM(E113:AV113)</f>
        <v>0</v>
      </c>
      <c r="E113" s="1726"/>
      <c r="F113" s="1691"/>
      <c r="G113" s="2274"/>
      <c r="H113" s="1713"/>
      <c r="I113" s="1782"/>
      <c r="J113" s="2300"/>
      <c r="K113" s="1748"/>
      <c r="L113" s="2199"/>
      <c r="M113" s="1747"/>
      <c r="N113" s="1750"/>
      <c r="O113" s="1746"/>
      <c r="P113" s="1751"/>
      <c r="Q113" s="1816"/>
      <c r="R113" s="1817"/>
      <c r="S113" s="2163"/>
      <c r="T113" s="2306"/>
      <c r="U113" s="2516"/>
      <c r="V113" s="1911"/>
      <c r="W113" s="1819"/>
      <c r="X113" s="1865"/>
      <c r="Y113" s="1690"/>
      <c r="Z113" s="1691"/>
      <c r="AA113" s="2282"/>
      <c r="AB113" s="1893"/>
      <c r="AC113" s="2065"/>
      <c r="AD113" s="2300"/>
      <c r="AE113" s="1748"/>
      <c r="AF113" s="2199"/>
      <c r="AG113" s="1873"/>
      <c r="AH113" s="1874"/>
      <c r="AI113" s="1909"/>
      <c r="AJ113" s="2333"/>
      <c r="AK113" s="2078"/>
      <c r="AL113" s="1910"/>
      <c r="AM113" s="2163"/>
      <c r="AN113" s="2306"/>
      <c r="AO113" s="2516"/>
      <c r="AP113" s="1911"/>
      <c r="AQ113" s="1864"/>
      <c r="AR113" s="1865"/>
      <c r="AS113" s="1726"/>
      <c r="AT113" s="1873"/>
      <c r="AU113" s="1940"/>
      <c r="AV113" s="1865"/>
      <c r="AW113" s="3633">
        <f>SUM(E113:X115)</f>
        <v>0</v>
      </c>
      <c r="AX113" s="3633">
        <f>SUM(E113:AR115)</f>
        <v>0</v>
      </c>
      <c r="AY113" s="1941"/>
      <c r="AZ113" s="1951"/>
      <c r="BA113" s="3629" t="s">
        <v>33</v>
      </c>
    </row>
    <row r="114" spans="1:53" ht="15" customHeight="1" thickBot="1">
      <c r="A114" s="3687"/>
      <c r="B114" s="1694" t="s">
        <v>34</v>
      </c>
      <c r="C114" s="3679"/>
      <c r="D114" s="1705">
        <f t="shared" si="38"/>
        <v>0</v>
      </c>
      <c r="E114" s="1706"/>
      <c r="F114" s="1707"/>
      <c r="G114" s="2277"/>
      <c r="H114" s="1712"/>
      <c r="I114" s="1779"/>
      <c r="J114" s="2293"/>
      <c r="K114" s="1769"/>
      <c r="L114" s="2202"/>
      <c r="M114" s="1768"/>
      <c r="N114" s="1771"/>
      <c r="O114" s="1767"/>
      <c r="P114" s="1772"/>
      <c r="Q114" s="1835"/>
      <c r="R114" s="1836"/>
      <c r="S114" s="2165"/>
      <c r="T114" s="2311"/>
      <c r="U114" s="2519"/>
      <c r="V114" s="1922"/>
      <c r="W114" s="1838"/>
      <c r="X114" s="1924"/>
      <c r="Y114" s="1947"/>
      <c r="Z114" s="1707"/>
      <c r="AA114" s="2318"/>
      <c r="AB114" s="1888"/>
      <c r="AC114" s="2064"/>
      <c r="AD114" s="2293"/>
      <c r="AE114" s="1769"/>
      <c r="AF114" s="2202"/>
      <c r="AG114" s="1891"/>
      <c r="AH114" s="1892"/>
      <c r="AI114" s="1920"/>
      <c r="AJ114" s="2327"/>
      <c r="AK114" s="2076"/>
      <c r="AL114" s="1921"/>
      <c r="AM114" s="2165"/>
      <c r="AN114" s="2311"/>
      <c r="AO114" s="2519"/>
      <c r="AP114" s="1922"/>
      <c r="AQ114" s="1923"/>
      <c r="AR114" s="1924"/>
      <c r="AS114" s="1947"/>
      <c r="AT114" s="1891"/>
      <c r="AU114" s="1948"/>
      <c r="AV114" s="1924"/>
      <c r="AW114" s="3634"/>
      <c r="AX114" s="3634"/>
      <c r="AY114" s="1951"/>
      <c r="AZ114" s="2339"/>
      <c r="BA114" s="3630"/>
    </row>
    <row r="115" spans="1:53" ht="15" customHeight="1" thickBot="1">
      <c r="A115" s="3688"/>
      <c r="B115" s="1694" t="s">
        <v>34</v>
      </c>
      <c r="C115" s="3679"/>
      <c r="D115" s="1705">
        <f t="shared" si="38"/>
        <v>0</v>
      </c>
      <c r="E115" s="1706"/>
      <c r="F115" s="1707"/>
      <c r="G115" s="2277"/>
      <c r="H115" s="1712"/>
      <c r="I115" s="1779"/>
      <c r="J115" s="2293"/>
      <c r="K115" s="1769"/>
      <c r="L115" s="2202"/>
      <c r="M115" s="1768"/>
      <c r="N115" s="1771"/>
      <c r="O115" s="1767"/>
      <c r="P115" s="1772"/>
      <c r="Q115" s="1835"/>
      <c r="R115" s="1836"/>
      <c r="S115" s="2165"/>
      <c r="T115" s="2311"/>
      <c r="U115" s="2519"/>
      <c r="V115" s="1922"/>
      <c r="W115" s="1838"/>
      <c r="X115" s="1924"/>
      <c r="Y115" s="1947"/>
      <c r="Z115" s="1707"/>
      <c r="AA115" s="2318"/>
      <c r="AB115" s="1888"/>
      <c r="AC115" s="2064"/>
      <c r="AD115" s="2293"/>
      <c r="AE115" s="1769"/>
      <c r="AF115" s="2202"/>
      <c r="AG115" s="1891"/>
      <c r="AH115" s="1892"/>
      <c r="AI115" s="1920"/>
      <c r="AJ115" s="2327"/>
      <c r="AK115" s="2076"/>
      <c r="AL115" s="1921"/>
      <c r="AM115" s="2165"/>
      <c r="AN115" s="2311"/>
      <c r="AO115" s="2519"/>
      <c r="AP115" s="1922"/>
      <c r="AQ115" s="1923"/>
      <c r="AR115" s="1924"/>
      <c r="AS115" s="1947"/>
      <c r="AT115" s="1891"/>
      <c r="AU115" s="1948"/>
      <c r="AV115" s="1924"/>
      <c r="AW115" s="3634"/>
      <c r="AX115" s="3634"/>
      <c r="AY115" s="1951"/>
      <c r="AZ115" s="1951"/>
      <c r="BA115" s="3630"/>
    </row>
    <row r="116" spans="1:53" ht="12" customHeight="1">
      <c r="A116" s="3686"/>
      <c r="B116" s="2005" t="s">
        <v>32</v>
      </c>
      <c r="C116" s="3678">
        <f>SUM(D116:D117)</f>
        <v>0</v>
      </c>
      <c r="D116" s="1689">
        <f t="shared" si="31"/>
        <v>0</v>
      </c>
      <c r="E116" s="1726"/>
      <c r="F116" s="1691"/>
      <c r="G116" s="2274"/>
      <c r="H116" s="1713"/>
      <c r="I116" s="1782"/>
      <c r="J116" s="2300"/>
      <c r="K116" s="1748"/>
      <c r="L116" s="2199"/>
      <c r="M116" s="1747"/>
      <c r="N116" s="1750"/>
      <c r="O116" s="1746"/>
      <c r="P116" s="1751"/>
      <c r="Q116" s="1816"/>
      <c r="R116" s="1817"/>
      <c r="S116" s="2163"/>
      <c r="T116" s="2306"/>
      <c r="U116" s="2516"/>
      <c r="V116" s="1911"/>
      <c r="W116" s="1819"/>
      <c r="X116" s="1865"/>
      <c r="Y116" s="1690"/>
      <c r="Z116" s="1691"/>
      <c r="AA116" s="2282"/>
      <c r="AB116" s="1893"/>
      <c r="AC116" s="2065"/>
      <c r="AD116" s="2300"/>
      <c r="AE116" s="1748"/>
      <c r="AF116" s="2199"/>
      <c r="AG116" s="1873"/>
      <c r="AH116" s="1874"/>
      <c r="AI116" s="1909"/>
      <c r="AJ116" s="2333"/>
      <c r="AK116" s="2078"/>
      <c r="AL116" s="1910"/>
      <c r="AM116" s="2163"/>
      <c r="AN116" s="2306"/>
      <c r="AO116" s="2516"/>
      <c r="AP116" s="1911"/>
      <c r="AQ116" s="1864"/>
      <c r="AR116" s="1865"/>
      <c r="AS116" s="1726"/>
      <c r="AT116" s="1873"/>
      <c r="AU116" s="1940"/>
      <c r="AV116" s="1865"/>
      <c r="AW116" s="3633">
        <f>SUM(E116:X117)</f>
        <v>0</v>
      </c>
      <c r="AX116" s="3633">
        <f>SUM(E116:AR117)</f>
        <v>0</v>
      </c>
      <c r="AY116" s="1941"/>
      <c r="AZ116" s="2340"/>
      <c r="BA116" s="3629" t="s">
        <v>33</v>
      </c>
    </row>
    <row r="117" spans="1:53" ht="15" customHeight="1" thickBot="1">
      <c r="A117" s="3688"/>
      <c r="B117" s="1694" t="s">
        <v>34</v>
      </c>
      <c r="C117" s="3679"/>
      <c r="D117" s="1705">
        <f t="shared" si="31"/>
        <v>0</v>
      </c>
      <c r="E117" s="1696"/>
      <c r="F117" s="1697"/>
      <c r="G117" s="2275"/>
      <c r="H117" s="1732"/>
      <c r="I117" s="1800"/>
      <c r="J117" s="2289"/>
      <c r="K117" s="1755"/>
      <c r="L117" s="2205"/>
      <c r="M117" s="1754"/>
      <c r="N117" s="1757"/>
      <c r="O117" s="1753"/>
      <c r="P117" s="1758"/>
      <c r="Q117" s="1822"/>
      <c r="R117" s="1823"/>
      <c r="S117" s="2167"/>
      <c r="T117" s="2307"/>
      <c r="U117" s="2517"/>
      <c r="V117" s="1914"/>
      <c r="W117" s="1825"/>
      <c r="X117" s="1867"/>
      <c r="Y117" s="1947"/>
      <c r="Z117" s="1707"/>
      <c r="AA117" s="2318"/>
      <c r="AB117" s="1888"/>
      <c r="AC117" s="2064"/>
      <c r="AD117" s="2293"/>
      <c r="AE117" s="1769"/>
      <c r="AF117" s="2202"/>
      <c r="AG117" s="1891"/>
      <c r="AH117" s="1892"/>
      <c r="AI117" s="1920"/>
      <c r="AJ117" s="2327"/>
      <c r="AK117" s="2076"/>
      <c r="AL117" s="1921"/>
      <c r="AM117" s="2165"/>
      <c r="AN117" s="2311"/>
      <c r="AO117" s="2517"/>
      <c r="AP117" s="1922"/>
      <c r="AQ117" s="1923"/>
      <c r="AR117" s="1924"/>
      <c r="AS117" s="1947"/>
      <c r="AT117" s="1891"/>
      <c r="AU117" s="1948"/>
      <c r="AV117" s="1924"/>
      <c r="AW117" s="3634"/>
      <c r="AX117" s="3634"/>
      <c r="AY117" s="1951"/>
      <c r="AZ117" s="2339"/>
      <c r="BA117" s="3630"/>
    </row>
    <row r="118" spans="1:53" ht="15.75" customHeight="1" thickBot="1">
      <c r="A118" s="1963"/>
      <c r="B118" s="1724"/>
      <c r="C118" s="1964"/>
      <c r="D118" s="1965"/>
      <c r="E118" s="1966">
        <f t="shared" ref="E118:AR118" si="39">SUM(E5:E117)</f>
        <v>14560</v>
      </c>
      <c r="F118" s="1966">
        <f t="shared" si="39"/>
        <v>0</v>
      </c>
      <c r="G118" s="1966">
        <f t="shared" si="39"/>
        <v>0</v>
      </c>
      <c r="H118" s="1966">
        <f t="shared" si="39"/>
        <v>0</v>
      </c>
      <c r="I118" s="1966">
        <f t="shared" si="39"/>
        <v>0</v>
      </c>
      <c r="J118" s="1966">
        <f t="shared" si="39"/>
        <v>0</v>
      </c>
      <c r="K118" s="1966">
        <f t="shared" si="39"/>
        <v>0</v>
      </c>
      <c r="L118" s="1966">
        <f t="shared" si="39"/>
        <v>0</v>
      </c>
      <c r="M118" s="1966">
        <f t="shared" si="39"/>
        <v>0</v>
      </c>
      <c r="N118" s="1966">
        <f t="shared" si="39"/>
        <v>0</v>
      </c>
      <c r="O118" s="1966">
        <f t="shared" si="39"/>
        <v>0</v>
      </c>
      <c r="P118" s="1966">
        <f t="shared" si="39"/>
        <v>0</v>
      </c>
      <c r="Q118" s="1966">
        <f t="shared" si="39"/>
        <v>0</v>
      </c>
      <c r="R118" s="1966">
        <f t="shared" si="39"/>
        <v>0</v>
      </c>
      <c r="S118" s="1966">
        <f t="shared" si="39"/>
        <v>0</v>
      </c>
      <c r="T118" s="1966">
        <f t="shared" si="39"/>
        <v>0</v>
      </c>
      <c r="U118" s="1966">
        <f t="shared" si="39"/>
        <v>5560</v>
      </c>
      <c r="V118" s="1966">
        <f t="shared" si="39"/>
        <v>0</v>
      </c>
      <c r="W118" s="1966">
        <f t="shared" si="39"/>
        <v>0</v>
      </c>
      <c r="X118" s="1966">
        <f t="shared" si="39"/>
        <v>0</v>
      </c>
      <c r="Y118" s="1966">
        <f>SUM(Y5:Y117)</f>
        <v>0</v>
      </c>
      <c r="Z118" s="1966">
        <f t="shared" si="39"/>
        <v>0</v>
      </c>
      <c r="AA118" s="1966">
        <f t="shared" si="39"/>
        <v>0</v>
      </c>
      <c r="AB118" s="1966">
        <f t="shared" si="39"/>
        <v>0</v>
      </c>
      <c r="AC118" s="1966">
        <f t="shared" si="39"/>
        <v>0</v>
      </c>
      <c r="AD118" s="1966">
        <f t="shared" si="39"/>
        <v>0</v>
      </c>
      <c r="AE118" s="1966">
        <f t="shared" si="39"/>
        <v>0</v>
      </c>
      <c r="AF118" s="1966">
        <f t="shared" si="39"/>
        <v>0</v>
      </c>
      <c r="AG118" s="1966">
        <f t="shared" si="39"/>
        <v>0</v>
      </c>
      <c r="AH118" s="1966">
        <f t="shared" si="39"/>
        <v>0</v>
      </c>
      <c r="AI118" s="1966">
        <f t="shared" si="39"/>
        <v>0</v>
      </c>
      <c r="AJ118" s="1966">
        <f t="shared" si="39"/>
        <v>0</v>
      </c>
      <c r="AK118" s="1966">
        <f t="shared" si="39"/>
        <v>0</v>
      </c>
      <c r="AL118" s="1966">
        <f t="shared" si="39"/>
        <v>0</v>
      </c>
      <c r="AM118" s="1966">
        <f t="shared" si="39"/>
        <v>0</v>
      </c>
      <c r="AN118" s="1966">
        <f t="shared" si="39"/>
        <v>0</v>
      </c>
      <c r="AO118" s="1966">
        <f t="shared" si="39"/>
        <v>41</v>
      </c>
      <c r="AP118" s="1966">
        <f t="shared" si="39"/>
        <v>0</v>
      </c>
      <c r="AQ118" s="1966">
        <f t="shared" si="39"/>
        <v>0</v>
      </c>
      <c r="AR118" s="1966">
        <f t="shared" si="39"/>
        <v>0</v>
      </c>
      <c r="AS118" s="1966">
        <f t="shared" ref="AS118:AX118" si="40">SUM(AS5:AS117)</f>
        <v>390</v>
      </c>
      <c r="AT118" s="1966">
        <f t="shared" si="40"/>
        <v>228</v>
      </c>
      <c r="AU118" s="1966">
        <f t="shared" si="40"/>
        <v>0</v>
      </c>
      <c r="AV118" s="1966">
        <f t="shared" si="40"/>
        <v>0</v>
      </c>
      <c r="AW118" s="1966">
        <f t="shared" si="40"/>
        <v>20120</v>
      </c>
      <c r="AX118" s="1966">
        <f t="shared" si="40"/>
        <v>20161</v>
      </c>
      <c r="AY118" s="1966"/>
      <c r="AZ118" s="1939"/>
      <c r="BA118" s="1989"/>
    </row>
    <row r="119" spans="1:53" ht="21.75" thickBot="1">
      <c r="A119" s="1967"/>
      <c r="B119" s="1730"/>
      <c r="C119" s="1968">
        <f>SUM(C5:C92)</f>
        <v>20779</v>
      </c>
      <c r="D119" s="1969"/>
      <c r="E119" s="3699">
        <f>SUM(E118:X118)</f>
        <v>20120</v>
      </c>
      <c r="F119" s="3700"/>
      <c r="G119" s="3700"/>
      <c r="H119" s="3700"/>
      <c r="I119" s="3700"/>
      <c r="J119" s="3700"/>
      <c r="K119" s="3700"/>
      <c r="L119" s="3700"/>
      <c r="M119" s="3700"/>
      <c r="N119" s="3700"/>
      <c r="O119" s="3700"/>
      <c r="P119" s="3700"/>
      <c r="Q119" s="3700"/>
      <c r="R119" s="3701"/>
      <c r="S119" s="3701"/>
      <c r="T119" s="3701"/>
      <c r="U119" s="3701"/>
      <c r="V119" s="3701"/>
      <c r="W119" s="3701"/>
      <c r="X119" s="3702"/>
      <c r="Y119" s="3703">
        <f>SUM(Y118:AR118)</f>
        <v>41</v>
      </c>
      <c r="Z119" s="3704"/>
      <c r="AA119" s="3704"/>
      <c r="AB119" s="3704"/>
      <c r="AC119" s="3704"/>
      <c r="AD119" s="3704"/>
      <c r="AE119" s="3704"/>
      <c r="AF119" s="3704"/>
      <c r="AG119" s="3704"/>
      <c r="AH119" s="3704"/>
      <c r="AI119" s="3704"/>
      <c r="AJ119" s="3704"/>
      <c r="AK119" s="3704"/>
      <c r="AL119" s="3705"/>
      <c r="AM119" s="3705"/>
      <c r="AN119" s="3705"/>
      <c r="AO119" s="3705"/>
      <c r="AP119" s="3705"/>
      <c r="AQ119" s="3705"/>
      <c r="AR119" s="3706"/>
      <c r="AS119" s="3699">
        <f>SUM(AS118:AV118)</f>
        <v>618</v>
      </c>
      <c r="AT119" s="3701"/>
      <c r="AU119" s="3701"/>
      <c r="AV119" s="3702"/>
    </row>
    <row r="120" spans="1:53" ht="15.75" thickBot="1">
      <c r="E120" s="1972"/>
      <c r="F120" s="1972"/>
      <c r="G120" s="1972"/>
      <c r="H120" s="1972"/>
      <c r="I120" s="1972"/>
      <c r="J120" s="1972"/>
      <c r="K120" s="1972"/>
      <c r="L120" s="1972"/>
      <c r="M120" s="1972"/>
      <c r="N120" s="1972"/>
      <c r="O120" s="1972"/>
      <c r="P120" s="1972"/>
      <c r="Q120" s="1972"/>
      <c r="R120" s="1972"/>
      <c r="S120" s="1972"/>
      <c r="T120" s="1972"/>
      <c r="U120" s="1972"/>
      <c r="V120" s="1978"/>
      <c r="W120" s="1978"/>
      <c r="X120" s="1978"/>
      <c r="AD120" s="1972"/>
      <c r="AE120" s="1972"/>
      <c r="AF120" s="1972"/>
      <c r="AJ120" s="1972"/>
      <c r="AM120" s="1972"/>
      <c r="AN120" s="1972"/>
      <c r="AO120" s="1972"/>
      <c r="AS120" s="1983"/>
      <c r="AT120" s="1984"/>
      <c r="AU120" s="1984"/>
      <c r="AV120" s="1984"/>
    </row>
    <row r="121" spans="1:53" ht="21.75" thickBot="1">
      <c r="E121" s="1972"/>
      <c r="F121" s="1973">
        <f>SUM(AX66)</f>
        <v>1008</v>
      </c>
      <c r="G121" s="1974"/>
      <c r="H121" s="1974"/>
      <c r="I121" s="1974"/>
      <c r="J121" s="1974"/>
      <c r="K121" s="1974"/>
      <c r="L121" s="1974"/>
      <c r="M121" s="1974"/>
      <c r="N121" s="1974"/>
      <c r="O121" s="1974"/>
      <c r="P121" s="1974"/>
      <c r="Q121" s="1974"/>
      <c r="R121" s="1974"/>
      <c r="S121" s="1974"/>
      <c r="T121" s="1974"/>
      <c r="U121" s="1974"/>
      <c r="V121" s="1978"/>
      <c r="W121" s="1978"/>
      <c r="X121" s="1978"/>
      <c r="AD121" s="1974"/>
      <c r="AE121" s="1974"/>
      <c r="AF121" s="1974"/>
      <c r="AJ121" s="1974"/>
      <c r="AM121" s="1974"/>
      <c r="AN121" s="1974"/>
      <c r="AO121" s="1974"/>
      <c r="AS121" s="1983"/>
      <c r="AT121" s="1983">
        <f>'M-1'!AW115</f>
        <v>300</v>
      </c>
      <c r="AU121" s="1984"/>
      <c r="AV121" s="1984"/>
      <c r="AW121" s="1985">
        <f>SUM(AS119:AV121)</f>
        <v>918</v>
      </c>
    </row>
    <row r="122" spans="1:53" ht="21.75" thickBot="1">
      <c r="E122" s="1972"/>
      <c r="F122" s="2336">
        <f>SUM(E66:X68)</f>
        <v>1008</v>
      </c>
      <c r="G122" s="1976"/>
      <c r="H122" s="1976"/>
      <c r="I122" s="1976"/>
      <c r="J122" s="1976"/>
      <c r="K122" s="1976"/>
      <c r="L122" s="1976"/>
      <c r="M122" s="1976"/>
      <c r="N122" s="1976"/>
      <c r="O122" s="1976"/>
      <c r="P122" s="1976"/>
      <c r="Q122" s="1976"/>
      <c r="R122" s="1976"/>
      <c r="S122" s="1976"/>
      <c r="T122" s="1976"/>
      <c r="U122" s="1976"/>
      <c r="V122" s="1979"/>
      <c r="W122" s="1979"/>
      <c r="X122" s="1979"/>
      <c r="Y122" s="140">
        <f>SUM(Y66:AR68)</f>
        <v>0</v>
      </c>
      <c r="Z122" s="1980"/>
      <c r="AA122" s="1980"/>
      <c r="AB122" s="1980"/>
      <c r="AC122" s="1980"/>
      <c r="AD122" s="1976"/>
      <c r="AE122" s="1976"/>
      <c r="AF122" s="1976"/>
      <c r="AG122" s="1980"/>
      <c r="AH122" s="1980"/>
      <c r="AI122" s="1980"/>
      <c r="AJ122" s="1976"/>
      <c r="AK122" s="1980"/>
      <c r="AL122" s="1980"/>
      <c r="AM122" s="1976"/>
      <c r="AN122" s="1976"/>
      <c r="AO122" s="1976"/>
      <c r="AP122" s="1980"/>
      <c r="AQ122" s="1981"/>
      <c r="AR122" s="1981"/>
      <c r="AS122" s="140">
        <f>SUM(AS66:AV68)</f>
        <v>15</v>
      </c>
      <c r="AT122" s="1986"/>
    </row>
    <row r="123" spans="1:53" ht="19.5" thickBot="1">
      <c r="N123" s="1971"/>
      <c r="P123" s="1971"/>
      <c r="Q123" s="1971"/>
      <c r="R123" s="3707">
        <f>SUM(F122:Y122)</f>
        <v>1008</v>
      </c>
      <c r="S123" s="3708"/>
      <c r="T123" s="3708"/>
      <c r="U123" s="3708"/>
      <c r="V123" s="3708"/>
      <c r="W123" s="3708"/>
      <c r="X123" s="3709"/>
      <c r="AA123" s="216"/>
      <c r="AB123" s="216"/>
      <c r="AC123" s="216"/>
      <c r="AG123" s="216"/>
      <c r="AH123" s="216"/>
      <c r="AI123" s="216"/>
      <c r="AK123" s="216"/>
      <c r="AL123" s="1982">
        <f>SUM(F122:AS122)</f>
        <v>1023</v>
      </c>
      <c r="AM123" s="216"/>
      <c r="AN123" s="216"/>
      <c r="AO123" s="216"/>
      <c r="AP123" s="216"/>
      <c r="AW123" s="147" t="s">
        <v>42</v>
      </c>
      <c r="AX123" s="1987">
        <f>AX118+'M-1'!BB115</f>
        <v>20161</v>
      </c>
    </row>
    <row r="128" spans="1:53">
      <c r="M128" s="1977"/>
      <c r="O128" s="1977"/>
      <c r="R128" s="1971"/>
      <c r="S128" s="1971"/>
      <c r="T128" s="1971"/>
      <c r="U128" s="1971"/>
      <c r="V128" s="1977"/>
      <c r="W128" s="1977"/>
      <c r="X128" s="1977"/>
      <c r="Y128" s="1971"/>
      <c r="AJ128" s="1977"/>
      <c r="AM128" s="1971"/>
      <c r="AN128" s="1971"/>
      <c r="AO128" s="1971"/>
      <c r="AQ128" s="1977"/>
      <c r="AR128" s="1977"/>
      <c r="AS128" s="1971"/>
      <c r="AV128"/>
      <c r="AX128" s="1970"/>
      <c r="BA128"/>
    </row>
  </sheetData>
  <mergeCells count="163">
    <mergeCell ref="E3:X3"/>
    <mergeCell ref="Y3:AR3"/>
    <mergeCell ref="AS3:AV3"/>
    <mergeCell ref="C4:D4"/>
    <mergeCell ref="E119:X119"/>
    <mergeCell ref="Y119:AR119"/>
    <mergeCell ref="AS119:AV119"/>
    <mergeCell ref="R123:X123"/>
    <mergeCell ref="A5:A7"/>
    <mergeCell ref="A8:A11"/>
    <mergeCell ref="A12:A14"/>
    <mergeCell ref="A15:A19"/>
    <mergeCell ref="A20:A22"/>
    <mergeCell ref="A23:A25"/>
    <mergeCell ref="A26:A29"/>
    <mergeCell ref="A30:A33"/>
    <mergeCell ref="A34:A37"/>
    <mergeCell ref="A38:A42"/>
    <mergeCell ref="A43:A45"/>
    <mergeCell ref="A46:A48"/>
    <mergeCell ref="A49:A51"/>
    <mergeCell ref="A52:A55"/>
    <mergeCell ref="A56:A59"/>
    <mergeCell ref="A60:A62"/>
    <mergeCell ref="A63:A65"/>
    <mergeCell ref="A66:A68"/>
    <mergeCell ref="A69:A71"/>
    <mergeCell ref="A72:A74"/>
    <mergeCell ref="A75:A78"/>
    <mergeCell ref="A79:A83"/>
    <mergeCell ref="A84:A88"/>
    <mergeCell ref="A89:A92"/>
    <mergeCell ref="A93:A96"/>
    <mergeCell ref="A97:A99"/>
    <mergeCell ref="A100:A103"/>
    <mergeCell ref="A104:A109"/>
    <mergeCell ref="A110:A112"/>
    <mergeCell ref="A113:A115"/>
    <mergeCell ref="A116:A117"/>
    <mergeCell ref="C5:C7"/>
    <mergeCell ref="C8:C11"/>
    <mergeCell ref="C12:C14"/>
    <mergeCell ref="C15:C19"/>
    <mergeCell ref="C20:C22"/>
    <mergeCell ref="C23:C25"/>
    <mergeCell ref="C26:C29"/>
    <mergeCell ref="C30:C33"/>
    <mergeCell ref="C34:C37"/>
    <mergeCell ref="C38:C42"/>
    <mergeCell ref="C43:C45"/>
    <mergeCell ref="C46:C48"/>
    <mergeCell ref="C49:C51"/>
    <mergeCell ref="C52:C55"/>
    <mergeCell ref="C56:C59"/>
    <mergeCell ref="C60:C62"/>
    <mergeCell ref="C63:C65"/>
    <mergeCell ref="C66:C68"/>
    <mergeCell ref="C69:C71"/>
    <mergeCell ref="C72:C74"/>
    <mergeCell ref="C75:C78"/>
    <mergeCell ref="C79:C83"/>
    <mergeCell ref="C84:C88"/>
    <mergeCell ref="C89:C92"/>
    <mergeCell ref="C93:C96"/>
    <mergeCell ref="C97:C99"/>
    <mergeCell ref="C100:C103"/>
    <mergeCell ref="C104:C109"/>
    <mergeCell ref="C110:C112"/>
    <mergeCell ref="C113:C115"/>
    <mergeCell ref="C116:C117"/>
    <mergeCell ref="AW5:AW7"/>
    <mergeCell ref="AW8:AW11"/>
    <mergeCell ref="AW12:AW14"/>
    <mergeCell ref="AW15:AW19"/>
    <mergeCell ref="AW20:AW22"/>
    <mergeCell ref="AW23:AW25"/>
    <mergeCell ref="AW26:AW29"/>
    <mergeCell ref="AW30:AW33"/>
    <mergeCell ref="AW34:AW37"/>
    <mergeCell ref="AW38:AW42"/>
    <mergeCell ref="AW43:AW45"/>
    <mergeCell ref="AW46:AW48"/>
    <mergeCell ref="AW49:AW51"/>
    <mergeCell ref="AW52:AW55"/>
    <mergeCell ref="AW56:AW59"/>
    <mergeCell ref="AW60:AW62"/>
    <mergeCell ref="AW63:AW65"/>
    <mergeCell ref="AW66:AW68"/>
    <mergeCell ref="AW69:AW71"/>
    <mergeCell ref="AW72:AW74"/>
    <mergeCell ref="AW75:AW78"/>
    <mergeCell ref="AW79:AW83"/>
    <mergeCell ref="AW84:AW88"/>
    <mergeCell ref="AW89:AW92"/>
    <mergeCell ref="AW93:AW96"/>
    <mergeCell ref="AW97:AW99"/>
    <mergeCell ref="AW100:AW103"/>
    <mergeCell ref="AW104:AW109"/>
    <mergeCell ref="AW110:AW112"/>
    <mergeCell ref="AW113:AW115"/>
    <mergeCell ref="AW116:AW117"/>
    <mergeCell ref="AX5:AX7"/>
    <mergeCell ref="AX8:AX11"/>
    <mergeCell ref="AX12:AX14"/>
    <mergeCell ref="AX15:AX19"/>
    <mergeCell ref="AX20:AX22"/>
    <mergeCell ref="AX23:AX25"/>
    <mergeCell ref="AX26:AX29"/>
    <mergeCell ref="AX30:AX33"/>
    <mergeCell ref="AX34:AX37"/>
    <mergeCell ref="AX38:AX42"/>
    <mergeCell ref="AX43:AX45"/>
    <mergeCell ref="AX46:AX48"/>
    <mergeCell ref="AX49:AX51"/>
    <mergeCell ref="AX52:AX55"/>
    <mergeCell ref="AX56:AX59"/>
    <mergeCell ref="AX60:AX62"/>
    <mergeCell ref="AX63:AX65"/>
    <mergeCell ref="AX66:AX68"/>
    <mergeCell ref="AX69:AX71"/>
    <mergeCell ref="AX72:AX74"/>
    <mergeCell ref="AX75:AX78"/>
    <mergeCell ref="AX79:AX83"/>
    <mergeCell ref="AX84:AX88"/>
    <mergeCell ref="AX89:AX92"/>
    <mergeCell ref="AX93:AX96"/>
    <mergeCell ref="AX97:AX99"/>
    <mergeCell ref="AX100:AX103"/>
    <mergeCell ref="AX104:AX109"/>
    <mergeCell ref="AX110:AX112"/>
    <mergeCell ref="AX113:AX115"/>
    <mergeCell ref="AX116:AX117"/>
    <mergeCell ref="BA5:BA7"/>
    <mergeCell ref="BA8:BA11"/>
    <mergeCell ref="BA12:BA14"/>
    <mergeCell ref="BA15:BA19"/>
    <mergeCell ref="BA20:BA22"/>
    <mergeCell ref="BA23:BA25"/>
    <mergeCell ref="BA26:BA29"/>
    <mergeCell ref="BA30:BA33"/>
    <mergeCell ref="BA34:BA37"/>
    <mergeCell ref="BA38:BA42"/>
    <mergeCell ref="BA43:BA45"/>
    <mergeCell ref="BA46:BA48"/>
    <mergeCell ref="BA49:BA51"/>
    <mergeCell ref="BA52:BA55"/>
    <mergeCell ref="BA56:BA59"/>
    <mergeCell ref="BA60:BA62"/>
    <mergeCell ref="BA63:BA65"/>
    <mergeCell ref="BA66:BA68"/>
    <mergeCell ref="BA104:BA109"/>
    <mergeCell ref="BA110:BA112"/>
    <mergeCell ref="BA113:BA115"/>
    <mergeCell ref="BA116:BA117"/>
    <mergeCell ref="BA69:BA71"/>
    <mergeCell ref="BA72:BA74"/>
    <mergeCell ref="BA75:BA78"/>
    <mergeCell ref="BA79:BA83"/>
    <mergeCell ref="BA84:BA88"/>
    <mergeCell ref="BA89:BA92"/>
    <mergeCell ref="BA93:BA96"/>
    <mergeCell ref="BA97:BA99"/>
    <mergeCell ref="BA100:BA103"/>
  </mergeCells>
  <printOptions horizontalCentered="1"/>
  <pageMargins left="0.25902777777777802" right="0.2" top="0.22916666666666699" bottom="0.179166666666667" header="0.15902777777777799" footer="0.15902777777777799"/>
  <pageSetup paperSize="9" scale="1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4"/>
  <sheetViews>
    <sheetView topLeftCell="A69" zoomScale="91" zoomScaleNormal="91" workbookViewId="0">
      <selection activeCell="F88" sqref="F88"/>
    </sheetView>
  </sheetViews>
  <sheetFormatPr defaultColWidth="9" defaultRowHeight="15"/>
  <cols>
    <col min="1" max="1" width="17.7109375" style="1970" customWidth="1"/>
    <col min="2" max="3" width="8.42578125" style="1" customWidth="1"/>
    <col min="4" max="4" width="7.42578125" style="1971" customWidth="1"/>
    <col min="5" max="5" width="9.7109375" style="1977" customWidth="1"/>
    <col min="6" max="6" width="12.85546875" style="1971" customWidth="1"/>
    <col min="7" max="8" width="9.85546875" style="1971" customWidth="1"/>
    <col min="9" max="19" width="9.5703125" style="1971" customWidth="1"/>
    <col min="20" max="25" width="9.5703125" style="1977" customWidth="1"/>
    <col min="26" max="27" width="9.85546875" style="1971" customWidth="1"/>
    <col min="28" max="29" width="14.7109375" style="1971" customWidth="1"/>
    <col min="30" max="30" width="9.28515625" style="1977" customWidth="1"/>
    <col min="31" max="31" width="9.28515625" style="1971" customWidth="1"/>
    <col min="32" max="35" width="7.7109375" style="1971" customWidth="1"/>
    <col min="36" max="42" width="9.5703125" style="1971" customWidth="1"/>
    <col min="43" max="43" width="10.140625" style="1971" customWidth="1"/>
    <col min="44" max="46" width="9.5703125" style="1977" customWidth="1"/>
    <col min="47" max="47" width="7.7109375" style="1971" customWidth="1"/>
    <col min="48" max="48" width="8.7109375" style="1971" customWidth="1"/>
    <col min="49" max="53" width="7" style="1971" customWidth="1"/>
    <col min="54" max="55" width="14.7109375" style="1971" customWidth="1"/>
    <col min="56" max="56" width="8.140625" style="1977" customWidth="1"/>
    <col min="57" max="57" width="7.85546875" style="1971" customWidth="1"/>
    <col min="58" max="58" width="7" style="1971" customWidth="1"/>
    <col min="59" max="59" width="14.140625" style="1971" customWidth="1"/>
    <col min="60" max="60" width="12.5703125" customWidth="1"/>
    <col min="61" max="61" width="14.7109375" customWidth="1"/>
    <col min="62" max="62" width="11.42578125" style="1970" bestFit="1" customWidth="1"/>
    <col min="63" max="63" width="21.140625" style="1970" customWidth="1"/>
    <col min="64" max="64" width="12.7109375" style="1970" customWidth="1"/>
    <col min="65" max="279" width="10" customWidth="1"/>
  </cols>
  <sheetData>
    <row r="1" spans="1:64" ht="21" thickBot="1">
      <c r="A1" s="1677">
        <v>46113</v>
      </c>
      <c r="B1" s="1673"/>
      <c r="C1" s="1673"/>
      <c r="D1" s="1673"/>
      <c r="E1" s="704"/>
      <c r="F1" s="1673"/>
      <c r="G1" s="1673"/>
      <c r="H1" s="1673"/>
      <c r="I1" s="1673"/>
      <c r="J1" s="1673"/>
      <c r="K1" s="1673"/>
      <c r="L1" s="1673"/>
      <c r="M1" s="1673"/>
      <c r="N1" s="1673"/>
      <c r="O1" s="1673"/>
      <c r="P1" s="1673"/>
      <c r="Q1" s="1673"/>
      <c r="R1" s="1673"/>
      <c r="S1" s="1673"/>
      <c r="T1" s="704"/>
      <c r="U1" s="704"/>
      <c r="V1" s="704"/>
      <c r="W1" s="704"/>
      <c r="X1" s="704"/>
      <c r="Y1" s="704"/>
      <c r="Z1" s="1673"/>
      <c r="AA1" s="1673"/>
      <c r="AB1" s="1673"/>
      <c r="AC1" s="1673"/>
      <c r="AD1" s="704"/>
      <c r="AE1" s="1673"/>
      <c r="AF1" s="1673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704"/>
      <c r="AS1" s="704"/>
      <c r="AT1" s="704"/>
      <c r="AU1" s="1673"/>
      <c r="AV1" s="1673"/>
      <c r="AW1" s="1673"/>
      <c r="AX1" s="1673"/>
      <c r="AY1" s="1673"/>
      <c r="AZ1" s="1673"/>
      <c r="BA1" s="1673"/>
      <c r="BB1" s="1673"/>
      <c r="BC1" s="1673"/>
      <c r="BD1" s="704"/>
      <c r="BE1" s="1673"/>
      <c r="BF1" s="1673"/>
      <c r="BG1" s="1673"/>
      <c r="BH1" s="1673"/>
      <c r="BI1" s="1673"/>
      <c r="BJ1" s="1673"/>
      <c r="BK1" s="1673"/>
      <c r="BL1" s="1673"/>
    </row>
    <row r="2" spans="1:64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1680"/>
      <c r="AX2" s="1680"/>
      <c r="AY2" s="1680"/>
      <c r="AZ2" s="1680"/>
      <c r="BA2" s="1680"/>
      <c r="BB2" s="1680"/>
      <c r="BC2" s="1680"/>
      <c r="BD2" s="1680"/>
      <c r="BE2" s="1680"/>
      <c r="BF2" s="1680"/>
      <c r="BG2" s="1680"/>
      <c r="BH2" s="704"/>
      <c r="BI2" s="1932"/>
      <c r="BJ2" s="1933">
        <v>1</v>
      </c>
      <c r="BK2" s="1274">
        <v>4</v>
      </c>
      <c r="BL2" s="1274">
        <v>2025</v>
      </c>
    </row>
    <row r="3" spans="1:64" ht="24" thickBot="1">
      <c r="A3" s="1681" t="s">
        <v>507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59"/>
      <c r="AA3" s="3659"/>
      <c r="AB3" s="3659"/>
      <c r="AC3" s="3660"/>
      <c r="AD3" s="3696" t="s">
        <v>2</v>
      </c>
      <c r="AE3" s="3697"/>
      <c r="AF3" s="3697"/>
      <c r="AG3" s="3697"/>
      <c r="AH3" s="3697"/>
      <c r="AI3" s="3697"/>
      <c r="AJ3" s="3697"/>
      <c r="AK3" s="3697"/>
      <c r="AL3" s="3697"/>
      <c r="AM3" s="3697"/>
      <c r="AN3" s="3697"/>
      <c r="AO3" s="3697"/>
      <c r="AP3" s="3697"/>
      <c r="AQ3" s="3697"/>
      <c r="AR3" s="3697"/>
      <c r="AS3" s="3697"/>
      <c r="AT3" s="3697"/>
      <c r="AU3" s="3697"/>
      <c r="AV3" s="3697"/>
      <c r="AW3" s="3697"/>
      <c r="AX3" s="3697"/>
      <c r="AY3" s="3697"/>
      <c r="AZ3" s="3697"/>
      <c r="BA3" s="3697"/>
      <c r="BB3" s="3697"/>
      <c r="BC3" s="3698"/>
      <c r="BD3" s="3664" t="s">
        <v>3</v>
      </c>
      <c r="BE3" s="3665"/>
      <c r="BF3" s="3665"/>
      <c r="BG3" s="3666"/>
      <c r="BH3" s="704"/>
      <c r="BI3" s="1932"/>
      <c r="BJ3" s="1678"/>
      <c r="BK3" s="1934"/>
      <c r="BL3" s="1934"/>
    </row>
    <row r="4" spans="1:64" ht="64.5" thickBot="1">
      <c r="A4" s="2270" t="s">
        <v>5</v>
      </c>
      <c r="B4" s="1683" t="s">
        <v>6</v>
      </c>
      <c r="C4" s="3689" t="s">
        <v>7</v>
      </c>
      <c r="D4" s="3716"/>
      <c r="E4" s="1684" t="s">
        <v>8</v>
      </c>
      <c r="F4" s="1685" t="s">
        <v>9</v>
      </c>
      <c r="G4" s="1686" t="s">
        <v>10</v>
      </c>
      <c r="H4" s="2100" t="s">
        <v>44</v>
      </c>
      <c r="I4" s="1687" t="s">
        <v>11</v>
      </c>
      <c r="J4" s="1739" t="s">
        <v>554</v>
      </c>
      <c r="K4" s="3185" t="s">
        <v>427</v>
      </c>
      <c r="L4" s="2130" t="s">
        <v>405</v>
      </c>
      <c r="M4" s="3287" t="s">
        <v>458</v>
      </c>
      <c r="N4" s="2824" t="s">
        <v>570</v>
      </c>
      <c r="O4" s="3095" t="s">
        <v>383</v>
      </c>
      <c r="P4" s="1686" t="s">
        <v>16</v>
      </c>
      <c r="Q4" s="2131" t="s">
        <v>15</v>
      </c>
      <c r="R4" s="2992" t="s">
        <v>402</v>
      </c>
      <c r="S4" s="1741" t="s">
        <v>17</v>
      </c>
      <c r="T4" s="1743" t="s">
        <v>586</v>
      </c>
      <c r="U4" s="2132" t="s">
        <v>46</v>
      </c>
      <c r="V4" s="2778" t="s">
        <v>12</v>
      </c>
      <c r="W4" s="1810" t="s">
        <v>20</v>
      </c>
      <c r="X4" s="1811" t="s">
        <v>21</v>
      </c>
      <c r="Y4" s="2161" t="s">
        <v>47</v>
      </c>
      <c r="Z4" s="2162" t="s">
        <v>48</v>
      </c>
      <c r="AA4" s="1813" t="s">
        <v>23</v>
      </c>
      <c r="AB4" s="1814" t="s">
        <v>24</v>
      </c>
      <c r="AC4" s="2846" t="s">
        <v>197</v>
      </c>
      <c r="AD4" s="1684" t="s">
        <v>8</v>
      </c>
      <c r="AE4" s="1685" t="s">
        <v>9</v>
      </c>
      <c r="AF4" s="1686" t="s">
        <v>10</v>
      </c>
      <c r="AG4" s="2196" t="s">
        <v>44</v>
      </c>
      <c r="AH4" s="1687" t="s">
        <v>11</v>
      </c>
      <c r="AI4" s="1739" t="s">
        <v>554</v>
      </c>
      <c r="AJ4" s="2130" t="s">
        <v>405</v>
      </c>
      <c r="AK4" s="2824" t="s">
        <v>570</v>
      </c>
      <c r="AL4" s="3287" t="s">
        <v>400</v>
      </c>
      <c r="AM4" s="3095" t="s">
        <v>383</v>
      </c>
      <c r="AN4" s="1686" t="s">
        <v>16</v>
      </c>
      <c r="AO4" s="2131" t="s">
        <v>15</v>
      </c>
      <c r="AP4" s="2992" t="s">
        <v>402</v>
      </c>
      <c r="AQ4" s="1743" t="s">
        <v>586</v>
      </c>
      <c r="AR4" s="2132" t="s">
        <v>46</v>
      </c>
      <c r="AS4" s="3080" t="s">
        <v>17</v>
      </c>
      <c r="AT4" s="2778" t="s">
        <v>12</v>
      </c>
      <c r="AU4" s="1810" t="s">
        <v>20</v>
      </c>
      <c r="AV4" s="1811" t="s">
        <v>39</v>
      </c>
      <c r="AW4" s="2232" t="s">
        <v>45</v>
      </c>
      <c r="AX4" s="3193" t="s">
        <v>427</v>
      </c>
      <c r="AY4" s="1812" t="s">
        <v>22</v>
      </c>
      <c r="AZ4" s="2233" t="s">
        <v>49</v>
      </c>
      <c r="BA4" s="1813" t="s">
        <v>23</v>
      </c>
      <c r="BB4" s="1936" t="s">
        <v>24</v>
      </c>
      <c r="BC4" s="2855" t="s">
        <v>197</v>
      </c>
      <c r="BD4" s="1684" t="s">
        <v>50</v>
      </c>
      <c r="BE4" s="1741" t="s">
        <v>51</v>
      </c>
      <c r="BF4" s="1935" t="s">
        <v>434</v>
      </c>
      <c r="BG4" s="1936" t="s">
        <v>26</v>
      </c>
      <c r="BH4" s="1937" t="s">
        <v>27</v>
      </c>
      <c r="BI4" s="1938" t="s">
        <v>28</v>
      </c>
      <c r="BJ4" s="1939" t="s">
        <v>29</v>
      </c>
      <c r="BK4" s="1939" t="s">
        <v>30</v>
      </c>
      <c r="BL4" s="1958" t="s">
        <v>31</v>
      </c>
    </row>
    <row r="5" spans="1:64" ht="15.75" thickBot="1">
      <c r="A5" s="3648">
        <v>46116</v>
      </c>
      <c r="B5" s="1688" t="s">
        <v>32</v>
      </c>
      <c r="C5" s="3678">
        <f>SUM(D5:D7)</f>
        <v>661</v>
      </c>
      <c r="D5" s="1689">
        <f>SUM(E5:BG5)</f>
        <v>266</v>
      </c>
      <c r="E5" s="2101"/>
      <c r="F5" s="2102"/>
      <c r="G5" s="1692"/>
      <c r="H5" s="2103"/>
      <c r="I5" s="1713"/>
      <c r="J5" s="1782"/>
      <c r="K5" s="3186"/>
      <c r="L5" s="2019"/>
      <c r="M5" s="3278"/>
      <c r="N5" s="2818"/>
      <c r="O5" s="2929"/>
      <c r="P5" s="1692"/>
      <c r="Q5" s="2133"/>
      <c r="R5" s="2993"/>
      <c r="S5" s="1784"/>
      <c r="T5" s="1750"/>
      <c r="U5" s="2020">
        <v>264</v>
      </c>
      <c r="V5" s="2779"/>
      <c r="W5" s="1816"/>
      <c r="X5" s="1817"/>
      <c r="Y5" s="2163"/>
      <c r="Z5" s="1818"/>
      <c r="AA5" s="2164"/>
      <c r="AB5" s="1820"/>
      <c r="AC5" s="2847"/>
      <c r="AD5" s="1726"/>
      <c r="AE5" s="1691"/>
      <c r="AF5" s="1869"/>
      <c r="AG5" s="2197"/>
      <c r="AH5" s="1870"/>
      <c r="AI5" s="1871"/>
      <c r="AJ5" s="2198"/>
      <c r="AK5" s="2825"/>
      <c r="AL5" s="3278"/>
      <c r="AM5" s="2929"/>
      <c r="AN5" s="1748"/>
      <c r="AO5" s="2199"/>
      <c r="AP5" s="3002"/>
      <c r="AQ5" s="1874"/>
      <c r="AR5" s="2020">
        <v>2</v>
      </c>
      <c r="AS5" s="3081"/>
      <c r="AT5" s="2779"/>
      <c r="AU5" s="1816"/>
      <c r="AV5" s="1910"/>
      <c r="AW5" s="2234"/>
      <c r="AX5" s="3194"/>
      <c r="AY5" s="1911"/>
      <c r="AZ5" s="2235"/>
      <c r="BA5" s="1864"/>
      <c r="BB5" s="1865"/>
      <c r="BC5" s="2856"/>
      <c r="BD5" s="1726"/>
      <c r="BE5" s="1873"/>
      <c r="BF5" s="1940"/>
      <c r="BG5" s="1865"/>
      <c r="BH5" s="3633">
        <f>SUM(E5:AC7)</f>
        <v>648</v>
      </c>
      <c r="BI5" s="3633">
        <f>SUM(E5:BC7)</f>
        <v>657</v>
      </c>
      <c r="BJ5" s="2258">
        <v>1003</v>
      </c>
      <c r="BK5" s="1942" t="s">
        <v>482</v>
      </c>
      <c r="BL5" s="3675" t="s">
        <v>33</v>
      </c>
    </row>
    <row r="6" spans="1:64" ht="18" customHeight="1" thickBot="1">
      <c r="A6" s="3646"/>
      <c r="B6" s="1694" t="s">
        <v>34</v>
      </c>
      <c r="C6" s="3679"/>
      <c r="D6" s="1705">
        <f t="shared" ref="D6" si="0">SUM(E6:BG6)</f>
        <v>395</v>
      </c>
      <c r="E6" s="2104"/>
      <c r="F6" s="2105"/>
      <c r="G6" s="1708"/>
      <c r="H6" s="2106"/>
      <c r="I6" s="1712"/>
      <c r="J6" s="1779"/>
      <c r="K6" s="3187"/>
      <c r="L6" s="2024"/>
      <c r="M6" s="3279"/>
      <c r="N6" s="2819"/>
      <c r="O6" s="2928"/>
      <c r="P6" s="1708"/>
      <c r="Q6" s="2134"/>
      <c r="R6" s="2996"/>
      <c r="S6" s="1781"/>
      <c r="T6" s="1771"/>
      <c r="U6" s="2018">
        <f>360+24</f>
        <v>384</v>
      </c>
      <c r="V6" s="2780"/>
      <c r="W6" s="1835"/>
      <c r="X6" s="1836"/>
      <c r="Y6" s="2165"/>
      <c r="Z6" s="1837"/>
      <c r="AA6" s="2166"/>
      <c r="AB6" s="1839"/>
      <c r="AC6" s="2850"/>
      <c r="AD6" s="1706"/>
      <c r="AE6" s="1707"/>
      <c r="AF6" s="1887"/>
      <c r="AG6" s="2200"/>
      <c r="AH6" s="1888"/>
      <c r="AI6" s="1889"/>
      <c r="AJ6" s="2201"/>
      <c r="AK6" s="2826"/>
      <c r="AL6" s="3279"/>
      <c r="AM6" s="2928"/>
      <c r="AN6" s="1769"/>
      <c r="AO6" s="2202"/>
      <c r="AP6" s="3005"/>
      <c r="AQ6" s="1892"/>
      <c r="AR6" s="2018">
        <f>3+4</f>
        <v>7</v>
      </c>
      <c r="AS6" s="3084"/>
      <c r="AT6" s="2780"/>
      <c r="AU6" s="1835"/>
      <c r="AV6" s="1921"/>
      <c r="AW6" s="2236"/>
      <c r="AX6" s="3195"/>
      <c r="AY6" s="1927"/>
      <c r="AZ6" s="2242"/>
      <c r="BA6" s="1866"/>
      <c r="BB6" s="1867"/>
      <c r="BC6" s="2857"/>
      <c r="BD6" s="1706"/>
      <c r="BE6" s="1891">
        <v>4</v>
      </c>
      <c r="BF6" s="1948"/>
      <c r="BG6" s="1924"/>
      <c r="BH6" s="3634"/>
      <c r="BI6" s="3634"/>
      <c r="BJ6" s="2258"/>
      <c r="BK6" s="1942"/>
      <c r="BL6" s="3632"/>
    </row>
    <row r="7" spans="1:64" ht="15.75" thickBot="1">
      <c r="A7" s="3646"/>
      <c r="B7" s="1688" t="s">
        <v>34</v>
      </c>
      <c r="C7" s="3679"/>
      <c r="D7" s="1710">
        <f t="shared" ref="D7" si="1">SUM(E7:BG7)</f>
        <v>0</v>
      </c>
      <c r="E7" s="2107"/>
      <c r="F7" s="2108"/>
      <c r="G7" s="1698"/>
      <c r="H7" s="2109"/>
      <c r="I7" s="1732"/>
      <c r="J7" s="1800"/>
      <c r="K7" s="3188"/>
      <c r="L7" s="2021"/>
      <c r="M7" s="3280"/>
      <c r="N7" s="2820"/>
      <c r="O7" s="2932"/>
      <c r="P7" s="1698"/>
      <c r="Q7" s="2135"/>
      <c r="R7" s="2994"/>
      <c r="S7" s="1799"/>
      <c r="T7" s="1757"/>
      <c r="U7" s="2022"/>
      <c r="V7" s="2781"/>
      <c r="W7" s="1822"/>
      <c r="X7" s="1823"/>
      <c r="Y7" s="2167"/>
      <c r="Z7" s="1824"/>
      <c r="AA7" s="2168"/>
      <c r="AB7" s="1826"/>
      <c r="AC7" s="2848"/>
      <c r="AD7" s="1696"/>
      <c r="AE7" s="1697"/>
      <c r="AF7" s="1875"/>
      <c r="AG7" s="2203"/>
      <c r="AH7" s="1895"/>
      <c r="AI7" s="1858"/>
      <c r="AJ7" s="2204"/>
      <c r="AK7" s="2827"/>
      <c r="AL7" s="3280"/>
      <c r="AM7" s="2932"/>
      <c r="AN7" s="1755"/>
      <c r="AO7" s="2205"/>
      <c r="AP7" s="3003"/>
      <c r="AQ7" s="1880"/>
      <c r="AR7" s="2022"/>
      <c r="AS7" s="3082"/>
      <c r="AT7" s="2781"/>
      <c r="AU7" s="1822"/>
      <c r="AV7" s="1913"/>
      <c r="AW7" s="2238"/>
      <c r="AX7" s="3196"/>
      <c r="AY7" s="1914"/>
      <c r="AZ7" s="2239"/>
      <c r="BA7" s="1866"/>
      <c r="BB7" s="1867"/>
      <c r="BC7" s="2857"/>
      <c r="BD7" s="1696"/>
      <c r="BE7" s="1879"/>
      <c r="BF7" s="1944"/>
      <c r="BG7" s="1867"/>
      <c r="BH7" s="3634"/>
      <c r="BI7" s="3634"/>
      <c r="BJ7" s="2258"/>
      <c r="BK7" s="1942"/>
      <c r="BL7" s="3632"/>
    </row>
    <row r="8" spans="1:64" ht="15.75" thickBot="1">
      <c r="A8" s="3694">
        <v>46117</v>
      </c>
      <c r="B8" s="1688" t="s">
        <v>32</v>
      </c>
      <c r="C8" s="3678">
        <f>SUM(D8:D10)</f>
        <v>604</v>
      </c>
      <c r="D8" s="1700">
        <f>SUM(E8:BG8)</f>
        <v>436</v>
      </c>
      <c r="E8" s="2110"/>
      <c r="F8" s="2111"/>
      <c r="G8" s="1703"/>
      <c r="H8" s="2112"/>
      <c r="I8" s="1711"/>
      <c r="J8" s="1776"/>
      <c r="K8" s="3189"/>
      <c r="L8" s="2023"/>
      <c r="M8" s="3281"/>
      <c r="N8" s="2821"/>
      <c r="O8" s="2927"/>
      <c r="P8" s="1703"/>
      <c r="Q8" s="2136"/>
      <c r="R8" s="2995"/>
      <c r="S8" s="1778"/>
      <c r="T8" s="1764"/>
      <c r="U8" s="2015">
        <v>432</v>
      </c>
      <c r="V8" s="2782"/>
      <c r="W8" s="1828"/>
      <c r="X8" s="1829"/>
      <c r="Y8" s="2169"/>
      <c r="Z8" s="1830"/>
      <c r="AA8" s="2170"/>
      <c r="AB8" s="1832"/>
      <c r="AC8" s="2849"/>
      <c r="AD8" s="1833"/>
      <c r="AE8" s="1702"/>
      <c r="AF8" s="1881"/>
      <c r="AG8" s="2206"/>
      <c r="AH8" s="1882"/>
      <c r="AI8" s="1883"/>
      <c r="AJ8" s="2207"/>
      <c r="AK8" s="2828"/>
      <c r="AL8" s="3281"/>
      <c r="AM8" s="2927"/>
      <c r="AN8" s="1762"/>
      <c r="AO8" s="2208"/>
      <c r="AP8" s="3004"/>
      <c r="AQ8" s="1886"/>
      <c r="AR8" s="2015"/>
      <c r="AS8" s="3083"/>
      <c r="AT8" s="2782"/>
      <c r="AU8" s="1828"/>
      <c r="AV8" s="1916"/>
      <c r="AW8" s="2240"/>
      <c r="AX8" s="3197"/>
      <c r="AY8" s="1917"/>
      <c r="AZ8" s="2241"/>
      <c r="BA8" s="1918"/>
      <c r="BB8" s="1919"/>
      <c r="BC8" s="2858"/>
      <c r="BD8" s="1833"/>
      <c r="BE8" s="1885">
        <v>4</v>
      </c>
      <c r="BF8" s="1946"/>
      <c r="BG8" s="1919"/>
      <c r="BH8" s="3633">
        <f>SUM(E8:AC10)</f>
        <v>600</v>
      </c>
      <c r="BI8" s="3633">
        <f>SUM(E8:BC10)</f>
        <v>600</v>
      </c>
      <c r="BJ8" s="1955">
        <v>1003</v>
      </c>
      <c r="BK8" s="1942" t="s">
        <v>466</v>
      </c>
      <c r="BL8" s="3675" t="s">
        <v>33</v>
      </c>
    </row>
    <row r="9" spans="1:64" ht="18" customHeight="1" thickBot="1">
      <c r="A9" s="3695"/>
      <c r="B9" s="1694" t="s">
        <v>34</v>
      </c>
      <c r="C9" s="3679"/>
      <c r="D9" s="1705">
        <f t="shared" ref="D9" si="2">SUM(E9:BG9)</f>
        <v>168</v>
      </c>
      <c r="E9" s="2104"/>
      <c r="F9" s="2105"/>
      <c r="G9" s="1708"/>
      <c r="H9" s="2106"/>
      <c r="I9" s="1712"/>
      <c r="J9" s="1779"/>
      <c r="K9" s="3187"/>
      <c r="L9" s="2024"/>
      <c r="M9" s="3279"/>
      <c r="N9" s="2819"/>
      <c r="O9" s="2928"/>
      <c r="P9" s="1708"/>
      <c r="Q9" s="2134"/>
      <c r="R9" s="2996"/>
      <c r="S9" s="1781"/>
      <c r="T9" s="1771"/>
      <c r="U9" s="2018">
        <v>168</v>
      </c>
      <c r="V9" s="2780"/>
      <c r="W9" s="1835"/>
      <c r="X9" s="1836"/>
      <c r="Y9" s="2165"/>
      <c r="Z9" s="1837"/>
      <c r="AA9" s="2166"/>
      <c r="AB9" s="1839"/>
      <c r="AC9" s="2850"/>
      <c r="AD9" s="1706"/>
      <c r="AE9" s="1707"/>
      <c r="AF9" s="1887"/>
      <c r="AG9" s="2200"/>
      <c r="AH9" s="1888"/>
      <c r="AI9" s="1889"/>
      <c r="AJ9" s="2201"/>
      <c r="AK9" s="2826"/>
      <c r="AL9" s="3279"/>
      <c r="AM9" s="2928"/>
      <c r="AN9" s="1769"/>
      <c r="AO9" s="2202"/>
      <c r="AP9" s="3005"/>
      <c r="AQ9" s="1892"/>
      <c r="AR9" s="2018"/>
      <c r="AS9" s="3084"/>
      <c r="AT9" s="2780"/>
      <c r="AU9" s="1835"/>
      <c r="AV9" s="1921"/>
      <c r="AW9" s="2236"/>
      <c r="AX9" s="3195"/>
      <c r="AY9" s="1927"/>
      <c r="AZ9" s="2242"/>
      <c r="BA9" s="1866"/>
      <c r="BB9" s="1867"/>
      <c r="BC9" s="2857"/>
      <c r="BD9" s="1706"/>
      <c r="BE9" s="1891"/>
      <c r="BF9" s="1948"/>
      <c r="BG9" s="1924"/>
      <c r="BH9" s="3634"/>
      <c r="BI9" s="3634"/>
      <c r="BJ9" s="1955"/>
      <c r="BK9" s="1942"/>
      <c r="BL9" s="3632"/>
    </row>
    <row r="10" spans="1:64" ht="15" customHeight="1" thickBot="1">
      <c r="A10" s="3695"/>
      <c r="B10" s="1688" t="s">
        <v>34</v>
      </c>
      <c r="C10" s="3679"/>
      <c r="D10" s="1705">
        <f>SUM(E10:BG10)</f>
        <v>0</v>
      </c>
      <c r="E10" s="2104"/>
      <c r="F10" s="2105"/>
      <c r="G10" s="1708"/>
      <c r="H10" s="2106"/>
      <c r="I10" s="1712"/>
      <c r="J10" s="1779"/>
      <c r="K10" s="3187"/>
      <c r="L10" s="2024"/>
      <c r="M10" s="3279"/>
      <c r="N10" s="2819"/>
      <c r="O10" s="2928"/>
      <c r="P10" s="1708"/>
      <c r="Q10" s="2134"/>
      <c r="R10" s="2996"/>
      <c r="S10" s="1781"/>
      <c r="T10" s="1771"/>
      <c r="U10" s="2018"/>
      <c r="V10" s="2780"/>
      <c r="W10" s="1835"/>
      <c r="X10" s="1836"/>
      <c r="Y10" s="2165"/>
      <c r="Z10" s="1837"/>
      <c r="AA10" s="2166"/>
      <c r="AB10" s="1839"/>
      <c r="AC10" s="2850"/>
      <c r="AD10" s="1706"/>
      <c r="AE10" s="1707"/>
      <c r="AF10" s="1887"/>
      <c r="AG10" s="2200"/>
      <c r="AH10" s="1888"/>
      <c r="AI10" s="1889"/>
      <c r="AJ10" s="2201"/>
      <c r="AK10" s="2826"/>
      <c r="AL10" s="3279"/>
      <c r="AM10" s="2928"/>
      <c r="AN10" s="1769"/>
      <c r="AO10" s="2202"/>
      <c r="AP10" s="3005"/>
      <c r="AQ10" s="1892"/>
      <c r="AR10" s="2018"/>
      <c r="AS10" s="3084"/>
      <c r="AT10" s="2780"/>
      <c r="AU10" s="1835"/>
      <c r="AV10" s="1921"/>
      <c r="AW10" s="2236"/>
      <c r="AX10" s="3195"/>
      <c r="AY10" s="1922"/>
      <c r="AZ10" s="2237"/>
      <c r="BA10" s="1923"/>
      <c r="BB10" s="1924"/>
      <c r="BC10" s="2859"/>
      <c r="BD10" s="1706"/>
      <c r="BE10" s="1891"/>
      <c r="BF10" s="1948"/>
      <c r="BG10" s="1924"/>
      <c r="BH10" s="3634"/>
      <c r="BI10" s="3634"/>
      <c r="BJ10" s="1955"/>
      <c r="BK10" s="1939"/>
      <c r="BL10" s="3632"/>
    </row>
    <row r="11" spans="1:64" ht="15" customHeight="1" thickBot="1">
      <c r="A11" s="3686">
        <v>46120</v>
      </c>
      <c r="B11" s="1688" t="s">
        <v>32</v>
      </c>
      <c r="C11" s="3678">
        <f>SUM(D11:D14)</f>
        <v>330</v>
      </c>
      <c r="D11" s="1719">
        <f t="shared" ref="D11:D21" si="3">SUM(E11:BG11)</f>
        <v>330</v>
      </c>
      <c r="E11" s="2113"/>
      <c r="F11" s="2102"/>
      <c r="G11" s="1692"/>
      <c r="H11" s="2103"/>
      <c r="I11" s="1713"/>
      <c r="J11" s="1782"/>
      <c r="K11" s="3186"/>
      <c r="L11" s="2019"/>
      <c r="M11" s="3278"/>
      <c r="N11" s="2818"/>
      <c r="O11" s="2929"/>
      <c r="P11" s="1692"/>
      <c r="Q11" s="2133"/>
      <c r="R11" s="2993"/>
      <c r="S11" s="1784"/>
      <c r="T11" s="1750"/>
      <c r="U11" s="2020">
        <v>324</v>
      </c>
      <c r="V11" s="2779"/>
      <c r="W11" s="1816"/>
      <c r="X11" s="1817"/>
      <c r="Y11" s="2163"/>
      <c r="Z11" s="1852"/>
      <c r="AA11" s="2171"/>
      <c r="AB11" s="1820"/>
      <c r="AC11" s="2847"/>
      <c r="AD11" s="1726"/>
      <c r="AE11" s="1691"/>
      <c r="AF11" s="1869"/>
      <c r="AG11" s="2197"/>
      <c r="AH11" s="1893"/>
      <c r="AI11" s="1854"/>
      <c r="AJ11" s="2198"/>
      <c r="AK11" s="2825"/>
      <c r="AL11" s="3278"/>
      <c r="AM11" s="2929"/>
      <c r="AN11" s="1692"/>
      <c r="AO11" s="2133"/>
      <c r="AP11" s="2993"/>
      <c r="AQ11" s="1874"/>
      <c r="AR11" s="2020">
        <v>5</v>
      </c>
      <c r="AS11" s="3081"/>
      <c r="AT11" s="2779"/>
      <c r="AU11" s="1816"/>
      <c r="AV11" s="1910"/>
      <c r="AW11" s="2234"/>
      <c r="AX11" s="3194"/>
      <c r="AY11" s="1911"/>
      <c r="AZ11" s="2235"/>
      <c r="BA11" s="1853"/>
      <c r="BB11" s="1865"/>
      <c r="BC11" s="2856"/>
      <c r="BD11" s="1726"/>
      <c r="BE11" s="1873">
        <v>1</v>
      </c>
      <c r="BF11" s="1816"/>
      <c r="BG11" s="1865"/>
      <c r="BH11" s="3633">
        <f>SUM(E11:AC14)</f>
        <v>324</v>
      </c>
      <c r="BI11" s="3633">
        <f>SUM(E11:BC14)</f>
        <v>329</v>
      </c>
      <c r="BJ11" s="1955">
        <v>1003</v>
      </c>
      <c r="BK11" s="1939" t="s">
        <v>533</v>
      </c>
      <c r="BL11" s="3675"/>
    </row>
    <row r="12" spans="1:64" ht="18" customHeight="1" thickBot="1">
      <c r="A12" s="3687"/>
      <c r="B12" s="1694" t="s">
        <v>34</v>
      </c>
      <c r="C12" s="3679"/>
      <c r="D12" s="1705">
        <f t="shared" si="3"/>
        <v>0</v>
      </c>
      <c r="E12" s="2104"/>
      <c r="F12" s="2105"/>
      <c r="G12" s="1708"/>
      <c r="H12" s="2106"/>
      <c r="I12" s="1712"/>
      <c r="J12" s="1779"/>
      <c r="K12" s="3187"/>
      <c r="L12" s="2024"/>
      <c r="M12" s="3279"/>
      <c r="N12" s="2819"/>
      <c r="O12" s="2928"/>
      <c r="P12" s="1708"/>
      <c r="Q12" s="2134"/>
      <c r="R12" s="2996"/>
      <c r="S12" s="1781"/>
      <c r="T12" s="1771"/>
      <c r="U12" s="2018"/>
      <c r="V12" s="2780"/>
      <c r="W12" s="1835"/>
      <c r="X12" s="1836"/>
      <c r="Y12" s="2165"/>
      <c r="Z12" s="1837"/>
      <c r="AA12" s="2166"/>
      <c r="AB12" s="1839"/>
      <c r="AC12" s="2850"/>
      <c r="AD12" s="1706"/>
      <c r="AE12" s="1707"/>
      <c r="AF12" s="1887"/>
      <c r="AG12" s="2200"/>
      <c r="AH12" s="1888"/>
      <c r="AI12" s="1889"/>
      <c r="AJ12" s="2201"/>
      <c r="AK12" s="2826"/>
      <c r="AL12" s="3279"/>
      <c r="AM12" s="2928"/>
      <c r="AN12" s="1769"/>
      <c r="AO12" s="2202"/>
      <c r="AP12" s="3005"/>
      <c r="AQ12" s="1892"/>
      <c r="AR12" s="2018"/>
      <c r="AS12" s="3084"/>
      <c r="AT12" s="2780"/>
      <c r="AU12" s="1835"/>
      <c r="AV12" s="1921"/>
      <c r="AW12" s="2236"/>
      <c r="AX12" s="3195"/>
      <c r="AY12" s="1927"/>
      <c r="AZ12" s="2242"/>
      <c r="BA12" s="1866"/>
      <c r="BB12" s="1867"/>
      <c r="BC12" s="2857"/>
      <c r="BD12" s="1706"/>
      <c r="BE12" s="1891"/>
      <c r="BF12" s="1948"/>
      <c r="BG12" s="1924"/>
      <c r="BH12" s="3634"/>
      <c r="BI12" s="3634"/>
      <c r="BJ12" s="1955"/>
      <c r="BK12" s="1939"/>
      <c r="BL12" s="3632"/>
    </row>
    <row r="13" spans="1:64" ht="18" customHeight="1" thickBot="1">
      <c r="A13" s="3687"/>
      <c r="B13" s="1694" t="s">
        <v>34</v>
      </c>
      <c r="C13" s="3679"/>
      <c r="D13" s="1705">
        <f t="shared" ref="D13" si="4">SUM(E13:BG13)</f>
        <v>0</v>
      </c>
      <c r="E13" s="2104"/>
      <c r="F13" s="2105"/>
      <c r="G13" s="1708"/>
      <c r="H13" s="2106"/>
      <c r="I13" s="1712"/>
      <c r="J13" s="1779"/>
      <c r="K13" s="3187"/>
      <c r="L13" s="2024"/>
      <c r="M13" s="3279"/>
      <c r="N13" s="2819"/>
      <c r="O13" s="2928"/>
      <c r="P13" s="1708"/>
      <c r="Q13" s="2134"/>
      <c r="R13" s="2996"/>
      <c r="S13" s="1781"/>
      <c r="T13" s="1771"/>
      <c r="U13" s="2018"/>
      <c r="V13" s="2780"/>
      <c r="W13" s="1835"/>
      <c r="X13" s="1836"/>
      <c r="Y13" s="2165"/>
      <c r="Z13" s="1837"/>
      <c r="AA13" s="2166"/>
      <c r="AB13" s="1839"/>
      <c r="AC13" s="2850"/>
      <c r="AD13" s="1706"/>
      <c r="AE13" s="1707"/>
      <c r="AF13" s="1887"/>
      <c r="AG13" s="2200"/>
      <c r="AH13" s="1888"/>
      <c r="AI13" s="1889"/>
      <c r="AJ13" s="2201"/>
      <c r="AK13" s="2826"/>
      <c r="AL13" s="3279"/>
      <c r="AM13" s="2928"/>
      <c r="AN13" s="1769"/>
      <c r="AO13" s="2202"/>
      <c r="AP13" s="3005"/>
      <c r="AQ13" s="1892"/>
      <c r="AR13" s="2018"/>
      <c r="AS13" s="3084"/>
      <c r="AT13" s="2780"/>
      <c r="AU13" s="1835"/>
      <c r="AV13" s="1921"/>
      <c r="AW13" s="2236"/>
      <c r="AX13" s="3195"/>
      <c r="AY13" s="1927"/>
      <c r="AZ13" s="2242"/>
      <c r="BA13" s="1866"/>
      <c r="BB13" s="1867"/>
      <c r="BC13" s="2857"/>
      <c r="BD13" s="1706"/>
      <c r="BE13" s="1891"/>
      <c r="BF13" s="1948"/>
      <c r="BG13" s="1924"/>
      <c r="BH13" s="3634"/>
      <c r="BI13" s="3634"/>
      <c r="BJ13" s="1955"/>
      <c r="BK13" s="1939"/>
      <c r="BL13" s="3632"/>
    </row>
    <row r="14" spans="1:64" ht="15" customHeight="1" thickBot="1">
      <c r="A14" s="3688"/>
      <c r="B14" s="1724" t="s">
        <v>34</v>
      </c>
      <c r="C14" s="3681"/>
      <c r="D14" s="1731">
        <f t="shared" si="3"/>
        <v>0</v>
      </c>
      <c r="E14" s="2107"/>
      <c r="F14" s="2108"/>
      <c r="G14" s="1698"/>
      <c r="H14" s="2109"/>
      <c r="I14" s="1732"/>
      <c r="J14" s="1800"/>
      <c r="K14" s="3188"/>
      <c r="L14" s="2021"/>
      <c r="M14" s="3280"/>
      <c r="N14" s="2820"/>
      <c r="O14" s="2932"/>
      <c r="P14" s="1698"/>
      <c r="Q14" s="2135"/>
      <c r="R14" s="2994"/>
      <c r="S14" s="1799"/>
      <c r="T14" s="1757"/>
      <c r="U14" s="2022"/>
      <c r="V14" s="2781"/>
      <c r="W14" s="1822"/>
      <c r="X14" s="1823"/>
      <c r="Y14" s="2167"/>
      <c r="Z14" s="1856"/>
      <c r="AA14" s="2172"/>
      <c r="AB14" s="1826"/>
      <c r="AC14" s="2848"/>
      <c r="AD14" s="1696"/>
      <c r="AE14" s="1697"/>
      <c r="AF14" s="1875"/>
      <c r="AG14" s="2203"/>
      <c r="AH14" s="1895"/>
      <c r="AI14" s="1858"/>
      <c r="AJ14" s="2204"/>
      <c r="AK14" s="2827"/>
      <c r="AL14" s="3280"/>
      <c r="AM14" s="2932"/>
      <c r="AN14" s="1698"/>
      <c r="AO14" s="2135"/>
      <c r="AP14" s="2994"/>
      <c r="AQ14" s="1880"/>
      <c r="AR14" s="2022"/>
      <c r="AS14" s="3082"/>
      <c r="AT14" s="2781"/>
      <c r="AU14" s="1822"/>
      <c r="AV14" s="1913"/>
      <c r="AW14" s="2238"/>
      <c r="AX14" s="3196"/>
      <c r="AY14" s="1914"/>
      <c r="AZ14" s="2239"/>
      <c r="BA14" s="1857"/>
      <c r="BB14" s="1867"/>
      <c r="BC14" s="2857"/>
      <c r="BD14" s="1696"/>
      <c r="BE14" s="1879"/>
      <c r="BF14" s="1822"/>
      <c r="BG14" s="1867"/>
      <c r="BH14" s="3635"/>
      <c r="BI14" s="3635"/>
      <c r="BJ14" s="1955"/>
      <c r="BK14" s="1939"/>
      <c r="BL14" s="3632"/>
    </row>
    <row r="15" spans="1:64" ht="15" customHeight="1" thickBot="1">
      <c r="A15" s="3686">
        <v>46121</v>
      </c>
      <c r="B15" s="1688" t="s">
        <v>32</v>
      </c>
      <c r="C15" s="3711">
        <f>SUM(D15:D19)</f>
        <v>776</v>
      </c>
      <c r="D15" s="1689">
        <f t="shared" si="3"/>
        <v>280</v>
      </c>
      <c r="E15" s="2114"/>
      <c r="F15" s="2111"/>
      <c r="G15" s="1703"/>
      <c r="H15" s="2112"/>
      <c r="I15" s="1711"/>
      <c r="J15" s="1776"/>
      <c r="K15" s="3189"/>
      <c r="L15" s="2023"/>
      <c r="M15" s="3281"/>
      <c r="N15" s="2821"/>
      <c r="O15" s="2927"/>
      <c r="P15" s="1703"/>
      <c r="Q15" s="2136"/>
      <c r="R15" s="2995"/>
      <c r="S15" s="1778"/>
      <c r="T15" s="1764"/>
      <c r="U15" s="2015">
        <v>276</v>
      </c>
      <c r="V15" s="2782"/>
      <c r="W15" s="1828"/>
      <c r="X15" s="1829"/>
      <c r="Y15" s="2169"/>
      <c r="Z15" s="1830"/>
      <c r="AA15" s="2170"/>
      <c r="AB15" s="1832"/>
      <c r="AC15" s="2849"/>
      <c r="AD15" s="1833"/>
      <c r="AE15" s="1702"/>
      <c r="AF15" s="1881"/>
      <c r="AG15" s="2206"/>
      <c r="AH15" s="1882"/>
      <c r="AI15" s="1883"/>
      <c r="AJ15" s="2207"/>
      <c r="AK15" s="2828"/>
      <c r="AL15" s="3281"/>
      <c r="AM15" s="2927"/>
      <c r="AN15" s="1703"/>
      <c r="AO15" s="2136"/>
      <c r="AP15" s="2995"/>
      <c r="AQ15" s="1886"/>
      <c r="AR15" s="2015"/>
      <c r="AS15" s="3083"/>
      <c r="AT15" s="2782"/>
      <c r="AU15" s="1828"/>
      <c r="AV15" s="1916"/>
      <c r="AW15" s="2240"/>
      <c r="AX15" s="3197"/>
      <c r="AY15" s="1917"/>
      <c r="AZ15" s="2241"/>
      <c r="BA15" s="1918"/>
      <c r="BB15" s="1919"/>
      <c r="BC15" s="2858"/>
      <c r="BD15" s="1833"/>
      <c r="BE15" s="1885">
        <v>4</v>
      </c>
      <c r="BF15" s="1946"/>
      <c r="BG15" s="1919"/>
      <c r="BH15" s="3642">
        <f>SUM(E15:AC19)</f>
        <v>768</v>
      </c>
      <c r="BI15" s="3633">
        <f>SUM(E15:BC19)</f>
        <v>768</v>
      </c>
      <c r="BJ15" s="1955">
        <v>1003</v>
      </c>
      <c r="BK15" s="1939" t="s">
        <v>533</v>
      </c>
      <c r="BL15" s="3675" t="s">
        <v>33</v>
      </c>
    </row>
    <row r="16" spans="1:64" ht="18" customHeight="1" thickBot="1">
      <c r="A16" s="3687"/>
      <c r="B16" s="1694" t="s">
        <v>34</v>
      </c>
      <c r="C16" s="3712"/>
      <c r="D16" s="1705">
        <f t="shared" si="3"/>
        <v>496</v>
      </c>
      <c r="E16" s="2104"/>
      <c r="F16" s="2105"/>
      <c r="G16" s="1708"/>
      <c r="H16" s="2106"/>
      <c r="I16" s="1712"/>
      <c r="J16" s="1779"/>
      <c r="K16" s="3187"/>
      <c r="L16" s="2024"/>
      <c r="M16" s="3279"/>
      <c r="N16" s="2819"/>
      <c r="O16" s="2928"/>
      <c r="P16" s="1708"/>
      <c r="Q16" s="2134"/>
      <c r="R16" s="2996"/>
      <c r="S16" s="1781"/>
      <c r="T16" s="1771"/>
      <c r="U16" s="2018">
        <v>492</v>
      </c>
      <c r="V16" s="2780"/>
      <c r="W16" s="1835"/>
      <c r="X16" s="1836"/>
      <c r="Y16" s="2165"/>
      <c r="Z16" s="1837"/>
      <c r="AA16" s="2166"/>
      <c r="AB16" s="1839"/>
      <c r="AC16" s="2850"/>
      <c r="AD16" s="1706"/>
      <c r="AE16" s="1707"/>
      <c r="AF16" s="1887"/>
      <c r="AG16" s="2200"/>
      <c r="AH16" s="1888"/>
      <c r="AI16" s="1889"/>
      <c r="AJ16" s="2201"/>
      <c r="AK16" s="2826"/>
      <c r="AL16" s="3279"/>
      <c r="AM16" s="2928"/>
      <c r="AN16" s="1769"/>
      <c r="AO16" s="2202"/>
      <c r="AP16" s="3005"/>
      <c r="AQ16" s="1892"/>
      <c r="AR16" s="2018"/>
      <c r="AS16" s="3084"/>
      <c r="AT16" s="2780"/>
      <c r="AU16" s="1835"/>
      <c r="AV16" s="1921"/>
      <c r="AW16" s="2236"/>
      <c r="AX16" s="3195"/>
      <c r="AY16" s="1927"/>
      <c r="AZ16" s="2242"/>
      <c r="BA16" s="1866"/>
      <c r="BB16" s="1867"/>
      <c r="BC16" s="2857"/>
      <c r="BD16" s="1706"/>
      <c r="BE16" s="1891">
        <v>4</v>
      </c>
      <c r="BF16" s="1948"/>
      <c r="BG16" s="1924"/>
      <c r="BH16" s="3643"/>
      <c r="BI16" s="3634"/>
      <c r="BJ16" s="1955"/>
      <c r="BK16" s="1939"/>
      <c r="BL16" s="3632"/>
    </row>
    <row r="17" spans="1:102" ht="18" customHeight="1" thickBot="1">
      <c r="A17" s="3687"/>
      <c r="B17" s="1694" t="s">
        <v>34</v>
      </c>
      <c r="C17" s="3712"/>
      <c r="D17" s="1705">
        <f t="shared" ref="D17" si="5">SUM(E17:BG17)</f>
        <v>0</v>
      </c>
      <c r="E17" s="2104"/>
      <c r="F17" s="2105"/>
      <c r="G17" s="1708"/>
      <c r="H17" s="2106"/>
      <c r="I17" s="1712"/>
      <c r="J17" s="1779"/>
      <c r="K17" s="3187"/>
      <c r="L17" s="2024"/>
      <c r="M17" s="3279"/>
      <c r="N17" s="2819"/>
      <c r="O17" s="2928"/>
      <c r="P17" s="1708"/>
      <c r="Q17" s="2134"/>
      <c r="R17" s="2996"/>
      <c r="S17" s="1781"/>
      <c r="T17" s="1771"/>
      <c r="U17" s="2018"/>
      <c r="V17" s="2780"/>
      <c r="W17" s="1835"/>
      <c r="X17" s="1836"/>
      <c r="Y17" s="2165"/>
      <c r="Z17" s="1837"/>
      <c r="AA17" s="2166"/>
      <c r="AB17" s="1839"/>
      <c r="AC17" s="2850"/>
      <c r="AD17" s="1706"/>
      <c r="AE17" s="1707"/>
      <c r="AF17" s="1887"/>
      <c r="AG17" s="2200"/>
      <c r="AH17" s="1888"/>
      <c r="AI17" s="1889"/>
      <c r="AJ17" s="2201"/>
      <c r="AK17" s="2826"/>
      <c r="AL17" s="3279"/>
      <c r="AM17" s="2928"/>
      <c r="AN17" s="1769"/>
      <c r="AO17" s="2202"/>
      <c r="AP17" s="3005"/>
      <c r="AQ17" s="1892"/>
      <c r="AR17" s="2018"/>
      <c r="AS17" s="3084"/>
      <c r="AT17" s="2780"/>
      <c r="AU17" s="1835"/>
      <c r="AV17" s="1921"/>
      <c r="AW17" s="2236"/>
      <c r="AX17" s="3195"/>
      <c r="AY17" s="1927"/>
      <c r="AZ17" s="2242"/>
      <c r="BA17" s="1866"/>
      <c r="BB17" s="1867"/>
      <c r="BC17" s="2857"/>
      <c r="BD17" s="1706"/>
      <c r="BE17" s="1891"/>
      <c r="BF17" s="1948"/>
      <c r="BG17" s="1924"/>
      <c r="BH17" s="3643"/>
      <c r="BI17" s="3634"/>
      <c r="BJ17" s="1955"/>
      <c r="BK17" s="1939"/>
      <c r="BL17" s="3632"/>
    </row>
    <row r="18" spans="1:102" ht="18" customHeight="1" thickBot="1">
      <c r="A18" s="3687"/>
      <c r="B18" s="1694" t="s">
        <v>34</v>
      </c>
      <c r="C18" s="3712"/>
      <c r="D18" s="1705">
        <f t="shared" ref="D18" si="6">SUM(E18:BG18)</f>
        <v>0</v>
      </c>
      <c r="E18" s="2104"/>
      <c r="F18" s="2105"/>
      <c r="G18" s="1708"/>
      <c r="H18" s="2106"/>
      <c r="I18" s="1712"/>
      <c r="J18" s="1779"/>
      <c r="K18" s="3187"/>
      <c r="L18" s="2024"/>
      <c r="M18" s="3279"/>
      <c r="N18" s="2819"/>
      <c r="O18" s="2928"/>
      <c r="P18" s="1708"/>
      <c r="Q18" s="2134"/>
      <c r="R18" s="2996"/>
      <c r="S18" s="1781"/>
      <c r="T18" s="1771"/>
      <c r="U18" s="2018"/>
      <c r="V18" s="2780"/>
      <c r="W18" s="1835"/>
      <c r="X18" s="1836"/>
      <c r="Y18" s="2165"/>
      <c r="Z18" s="1837"/>
      <c r="AA18" s="2166"/>
      <c r="AB18" s="1839"/>
      <c r="AC18" s="2850"/>
      <c r="AD18" s="1706"/>
      <c r="AE18" s="1707"/>
      <c r="AF18" s="1887"/>
      <c r="AG18" s="2200"/>
      <c r="AH18" s="1888"/>
      <c r="AI18" s="1889"/>
      <c r="AJ18" s="2201"/>
      <c r="AK18" s="2826"/>
      <c r="AL18" s="3279"/>
      <c r="AM18" s="2928"/>
      <c r="AN18" s="1769"/>
      <c r="AO18" s="2202"/>
      <c r="AP18" s="3005"/>
      <c r="AQ18" s="1892"/>
      <c r="AR18" s="2018"/>
      <c r="AS18" s="3084"/>
      <c r="AT18" s="2780"/>
      <c r="AU18" s="1835"/>
      <c r="AV18" s="1921"/>
      <c r="AW18" s="2236"/>
      <c r="AX18" s="3195"/>
      <c r="AY18" s="1927"/>
      <c r="AZ18" s="2242"/>
      <c r="BA18" s="1866"/>
      <c r="BB18" s="1867"/>
      <c r="BC18" s="2857"/>
      <c r="BD18" s="1706"/>
      <c r="BE18" s="1891"/>
      <c r="BF18" s="1948"/>
      <c r="BG18" s="1924"/>
      <c r="BH18" s="3643"/>
      <c r="BI18" s="3634"/>
      <c r="BJ18" s="1955"/>
      <c r="BK18" s="1939"/>
      <c r="BL18" s="3632"/>
    </row>
    <row r="19" spans="1:102" ht="15" customHeight="1" thickBot="1">
      <c r="A19" s="3687"/>
      <c r="B19" s="1995" t="s">
        <v>34</v>
      </c>
      <c r="C19" s="3712"/>
      <c r="D19" s="1695">
        <f t="shared" si="3"/>
        <v>0</v>
      </c>
      <c r="E19" s="2107"/>
      <c r="F19" s="2108"/>
      <c r="G19" s="1698"/>
      <c r="H19" s="2109"/>
      <c r="I19" s="1732"/>
      <c r="J19" s="1800"/>
      <c r="K19" s="3188"/>
      <c r="L19" s="2021"/>
      <c r="M19" s="3280"/>
      <c r="N19" s="2820"/>
      <c r="O19" s="2932"/>
      <c r="P19" s="1698"/>
      <c r="Q19" s="2135"/>
      <c r="R19" s="2994"/>
      <c r="S19" s="1799"/>
      <c r="T19" s="1757"/>
      <c r="U19" s="2022"/>
      <c r="V19" s="2781"/>
      <c r="W19" s="1822"/>
      <c r="X19" s="1823"/>
      <c r="Y19" s="2167"/>
      <c r="Z19" s="1824"/>
      <c r="AA19" s="2168"/>
      <c r="AB19" s="1826"/>
      <c r="AC19" s="2848"/>
      <c r="AD19" s="1696"/>
      <c r="AE19" s="1697"/>
      <c r="AF19" s="1875"/>
      <c r="AG19" s="2203"/>
      <c r="AH19" s="1895"/>
      <c r="AI19" s="1858"/>
      <c r="AJ19" s="2204"/>
      <c r="AK19" s="2827"/>
      <c r="AL19" s="3280"/>
      <c r="AM19" s="2932"/>
      <c r="AN19" s="1698"/>
      <c r="AO19" s="2135"/>
      <c r="AP19" s="2994"/>
      <c r="AQ19" s="1880"/>
      <c r="AR19" s="2022"/>
      <c r="AS19" s="3082"/>
      <c r="AT19" s="2781"/>
      <c r="AU19" s="1822"/>
      <c r="AV19" s="1913"/>
      <c r="AW19" s="2238"/>
      <c r="AX19" s="3196"/>
      <c r="AY19" s="1914"/>
      <c r="AZ19" s="2239"/>
      <c r="BA19" s="1866"/>
      <c r="BB19" s="1867"/>
      <c r="BC19" s="2857"/>
      <c r="BD19" s="1696"/>
      <c r="BE19" s="1879"/>
      <c r="BF19" s="1822"/>
      <c r="BG19" s="1867"/>
      <c r="BH19" s="3643"/>
      <c r="BI19" s="3634"/>
      <c r="BJ19" s="1955"/>
      <c r="BK19" s="1939"/>
      <c r="BL19" s="3632"/>
    </row>
    <row r="20" spans="1:102" ht="15" customHeight="1" thickBot="1">
      <c r="A20" s="3694">
        <v>46122</v>
      </c>
      <c r="B20" s="1688" t="s">
        <v>32</v>
      </c>
      <c r="C20" s="3678">
        <f>SUM(D20:D22)</f>
        <v>602</v>
      </c>
      <c r="D20" s="1700">
        <f t="shared" si="3"/>
        <v>36</v>
      </c>
      <c r="E20" s="2110"/>
      <c r="F20" s="2111"/>
      <c r="G20" s="1703"/>
      <c r="H20" s="2112"/>
      <c r="I20" s="2137"/>
      <c r="J20" s="2138"/>
      <c r="K20" s="3216"/>
      <c r="L20" s="2023"/>
      <c r="M20" s="3281"/>
      <c r="N20" s="2821"/>
      <c r="O20" s="2927"/>
      <c r="P20" s="1703"/>
      <c r="Q20" s="2136"/>
      <c r="R20" s="2995"/>
      <c r="S20" s="1778"/>
      <c r="T20" s="1764"/>
      <c r="U20" s="2015">
        <v>36</v>
      </c>
      <c r="V20" s="2782"/>
      <c r="W20" s="1828"/>
      <c r="X20" s="1829"/>
      <c r="Y20" s="2169"/>
      <c r="Z20" s="1830"/>
      <c r="AA20" s="2170"/>
      <c r="AB20" s="1832"/>
      <c r="AC20" s="2849"/>
      <c r="AD20" s="1833"/>
      <c r="AE20" s="1702"/>
      <c r="AF20" s="1881"/>
      <c r="AG20" s="2206"/>
      <c r="AH20" s="2209"/>
      <c r="AI20" s="1919"/>
      <c r="AJ20" s="2207"/>
      <c r="AK20" s="2828"/>
      <c r="AL20" s="3281"/>
      <c r="AM20" s="2927"/>
      <c r="AN20" s="1703"/>
      <c r="AO20" s="2136"/>
      <c r="AP20" s="2995"/>
      <c r="AQ20" s="1886"/>
      <c r="AR20" s="2015"/>
      <c r="AS20" s="3083"/>
      <c r="AT20" s="2782"/>
      <c r="AU20" s="1828"/>
      <c r="AV20" s="1916"/>
      <c r="AW20" s="2240"/>
      <c r="AX20" s="3197"/>
      <c r="AY20" s="1917"/>
      <c r="AZ20" s="2241"/>
      <c r="BA20" s="1918"/>
      <c r="BB20" s="1919"/>
      <c r="BC20" s="2858"/>
      <c r="BD20" s="1833"/>
      <c r="BE20" s="2259"/>
      <c r="BF20" s="1946"/>
      <c r="BG20" s="1919"/>
      <c r="BH20" s="3633">
        <f>SUM(E20:AC22)</f>
        <v>536</v>
      </c>
      <c r="BI20" s="3633">
        <f>SUM(E20:BC22)</f>
        <v>542</v>
      </c>
      <c r="BJ20" s="1955">
        <v>1003</v>
      </c>
      <c r="BK20" s="1939" t="s">
        <v>533</v>
      </c>
      <c r="BL20" s="3675" t="s">
        <v>33</v>
      </c>
    </row>
    <row r="21" spans="1:102" ht="18" customHeight="1" thickBot="1">
      <c r="A21" s="3695"/>
      <c r="B21" s="1694" t="s">
        <v>34</v>
      </c>
      <c r="C21" s="3679"/>
      <c r="D21" s="1705">
        <f t="shared" si="3"/>
        <v>208</v>
      </c>
      <c r="E21" s="2104"/>
      <c r="F21" s="2105"/>
      <c r="G21" s="1708"/>
      <c r="H21" s="2106"/>
      <c r="I21" s="1712"/>
      <c r="J21" s="1779"/>
      <c r="K21" s="3187"/>
      <c r="L21" s="2024"/>
      <c r="M21" s="3279"/>
      <c r="N21" s="2819">
        <v>160</v>
      </c>
      <c r="O21" s="2928"/>
      <c r="P21" s="1708"/>
      <c r="Q21" s="2134"/>
      <c r="R21" s="2996"/>
      <c r="S21" s="1781"/>
      <c r="T21" s="1771"/>
      <c r="U21" s="2018"/>
      <c r="V21" s="2780"/>
      <c r="W21" s="1835"/>
      <c r="X21" s="1836"/>
      <c r="Y21" s="2165"/>
      <c r="Z21" s="1837"/>
      <c r="AA21" s="2166"/>
      <c r="AB21" s="1839"/>
      <c r="AC21" s="2850"/>
      <c r="AD21" s="1706"/>
      <c r="AE21" s="1707"/>
      <c r="AF21" s="1887"/>
      <c r="AG21" s="2200"/>
      <c r="AH21" s="1888"/>
      <c r="AI21" s="1889"/>
      <c r="AJ21" s="2201"/>
      <c r="AK21" s="2826">
        <v>6</v>
      </c>
      <c r="AL21" s="3279"/>
      <c r="AM21" s="2928"/>
      <c r="AN21" s="1769"/>
      <c r="AO21" s="2202"/>
      <c r="AP21" s="3005"/>
      <c r="AQ21" s="1892"/>
      <c r="AR21" s="2018"/>
      <c r="AS21" s="3084"/>
      <c r="AT21" s="2780"/>
      <c r="AU21" s="1835"/>
      <c r="AV21" s="1921"/>
      <c r="AW21" s="2236"/>
      <c r="AX21" s="3195"/>
      <c r="AY21" s="1927"/>
      <c r="AZ21" s="2242"/>
      <c r="BA21" s="1866"/>
      <c r="BB21" s="1867"/>
      <c r="BC21" s="2857"/>
      <c r="BD21" s="1706"/>
      <c r="BE21" s="1891">
        <v>42</v>
      </c>
      <c r="BF21" s="1948"/>
      <c r="BG21" s="1924"/>
      <c r="BH21" s="3634"/>
      <c r="BI21" s="3634"/>
      <c r="BJ21" s="1955" t="s">
        <v>570</v>
      </c>
      <c r="BK21" s="1939" t="s">
        <v>533</v>
      </c>
      <c r="BL21" s="3632"/>
    </row>
    <row r="22" spans="1:102" ht="15" customHeight="1" thickBot="1">
      <c r="A22" s="3695"/>
      <c r="B22" s="1694" t="s">
        <v>34</v>
      </c>
      <c r="C22" s="3679"/>
      <c r="D22" s="1705">
        <f t="shared" ref="D22:D28" si="7">SUM(E22:BG22)</f>
        <v>358</v>
      </c>
      <c r="E22" s="2104"/>
      <c r="F22" s="2105"/>
      <c r="G22" s="1708"/>
      <c r="H22" s="2106"/>
      <c r="I22" s="2139"/>
      <c r="J22" s="2140"/>
      <c r="K22" s="3217"/>
      <c r="L22" s="2024"/>
      <c r="M22" s="3279"/>
      <c r="N22" s="2819">
        <v>340</v>
      </c>
      <c r="O22" s="2928"/>
      <c r="P22" s="1708"/>
      <c r="Q22" s="2134"/>
      <c r="R22" s="2996"/>
      <c r="S22" s="1781"/>
      <c r="T22" s="1771"/>
      <c r="U22" s="2018"/>
      <c r="V22" s="2780"/>
      <c r="W22" s="1835"/>
      <c r="X22" s="1836"/>
      <c r="Y22" s="2165"/>
      <c r="Z22" s="1837"/>
      <c r="AA22" s="2166"/>
      <c r="AB22" s="1839"/>
      <c r="AC22" s="2850"/>
      <c r="AD22" s="1706"/>
      <c r="AE22" s="1707"/>
      <c r="AF22" s="1887"/>
      <c r="AG22" s="2200"/>
      <c r="AH22" s="2210"/>
      <c r="AI22" s="1924"/>
      <c r="AJ22" s="2201"/>
      <c r="AK22" s="2826"/>
      <c r="AL22" s="3279"/>
      <c r="AM22" s="2928"/>
      <c r="AN22" s="1708"/>
      <c r="AO22" s="2134"/>
      <c r="AP22" s="2996"/>
      <c r="AQ22" s="1892"/>
      <c r="AR22" s="2018"/>
      <c r="AS22" s="3084"/>
      <c r="AT22" s="2780"/>
      <c r="AU22" s="1835"/>
      <c r="AV22" s="1921"/>
      <c r="AW22" s="2236"/>
      <c r="AX22" s="3195"/>
      <c r="AY22" s="1922"/>
      <c r="AZ22" s="2237"/>
      <c r="BA22" s="1923"/>
      <c r="BB22" s="1924"/>
      <c r="BC22" s="2859"/>
      <c r="BD22" s="1706"/>
      <c r="BE22" s="2260">
        <v>18</v>
      </c>
      <c r="BF22" s="1948"/>
      <c r="BG22" s="1924"/>
      <c r="BH22" s="3634"/>
      <c r="BI22" s="3634"/>
      <c r="BJ22" s="1955"/>
      <c r="BK22" s="1939"/>
      <c r="BL22" s="3632"/>
      <c r="BM22" s="1"/>
      <c r="BN22" s="1"/>
      <c r="BO22" s="1"/>
      <c r="BP22" s="1"/>
      <c r="BQ22" s="1"/>
    </row>
    <row r="23" spans="1:102" ht="15" customHeight="1" thickBot="1">
      <c r="A23" s="3686">
        <v>46123</v>
      </c>
      <c r="B23" s="1688" t="s">
        <v>32</v>
      </c>
      <c r="C23" s="3678">
        <f>SUM(D23:D26)</f>
        <v>617</v>
      </c>
      <c r="D23" s="1689">
        <f t="shared" si="7"/>
        <v>234</v>
      </c>
      <c r="E23" s="2113"/>
      <c r="F23" s="2102"/>
      <c r="G23" s="1692"/>
      <c r="H23" s="2103"/>
      <c r="I23" s="1713"/>
      <c r="J23" s="1782"/>
      <c r="K23" s="3186"/>
      <c r="L23" s="2019"/>
      <c r="M23" s="3278"/>
      <c r="N23" s="2818">
        <v>220</v>
      </c>
      <c r="O23" s="2929"/>
      <c r="P23" s="1692"/>
      <c r="Q23" s="2133"/>
      <c r="R23" s="2993"/>
      <c r="S23" s="1784"/>
      <c r="T23" s="1750"/>
      <c r="U23" s="2020"/>
      <c r="V23" s="2779"/>
      <c r="W23" s="1816"/>
      <c r="X23" s="1817"/>
      <c r="Y23" s="2163"/>
      <c r="Z23" s="1818"/>
      <c r="AA23" s="2164"/>
      <c r="AB23" s="1820"/>
      <c r="AC23" s="2847"/>
      <c r="AD23" s="1726"/>
      <c r="AE23" s="1691"/>
      <c r="AF23" s="1869"/>
      <c r="AG23" s="2197"/>
      <c r="AH23" s="1893"/>
      <c r="AI23" s="1854"/>
      <c r="AJ23" s="2198"/>
      <c r="AK23" s="2825">
        <v>3</v>
      </c>
      <c r="AL23" s="3278"/>
      <c r="AM23" s="2929"/>
      <c r="AN23" s="1692"/>
      <c r="AO23" s="2133"/>
      <c r="AP23" s="2993"/>
      <c r="AQ23" s="1874"/>
      <c r="AR23" s="2020"/>
      <c r="AS23" s="3081"/>
      <c r="AT23" s="2779"/>
      <c r="AU23" s="1816"/>
      <c r="AV23" s="1910"/>
      <c r="AW23" s="2234"/>
      <c r="AX23" s="3194"/>
      <c r="AY23" s="1911"/>
      <c r="AZ23" s="2235"/>
      <c r="BA23" s="1864"/>
      <c r="BB23" s="1865"/>
      <c r="BC23" s="2856"/>
      <c r="BD23" s="1726"/>
      <c r="BE23" s="1873">
        <v>11</v>
      </c>
      <c r="BF23" s="1940"/>
      <c r="BG23" s="1865"/>
      <c r="BH23" s="3633">
        <f>SUM(E23:AC26)</f>
        <v>600</v>
      </c>
      <c r="BI23" s="3633">
        <f>SUM(E23:BC26)</f>
        <v>603</v>
      </c>
      <c r="BJ23" s="1955" t="s">
        <v>570</v>
      </c>
      <c r="BK23" s="1939" t="s">
        <v>533</v>
      </c>
      <c r="BL23" s="3675" t="s">
        <v>33</v>
      </c>
    </row>
    <row r="24" spans="1:102" ht="18" customHeight="1" thickBot="1">
      <c r="A24" s="3687"/>
      <c r="B24" s="1694" t="s">
        <v>32</v>
      </c>
      <c r="C24" s="3679"/>
      <c r="D24" s="1705">
        <f t="shared" si="7"/>
        <v>383</v>
      </c>
      <c r="E24" s="2104"/>
      <c r="F24" s="2105"/>
      <c r="G24" s="1708"/>
      <c r="H24" s="2106"/>
      <c r="I24" s="1712"/>
      <c r="J24" s="1779"/>
      <c r="K24" s="3187"/>
      <c r="L24" s="2024"/>
      <c r="M24" s="3279"/>
      <c r="N24" s="2819">
        <v>380</v>
      </c>
      <c r="O24" s="2928"/>
      <c r="P24" s="1708"/>
      <c r="Q24" s="2134"/>
      <c r="R24" s="2996"/>
      <c r="S24" s="1781"/>
      <c r="T24" s="1771"/>
      <c r="U24" s="2018"/>
      <c r="V24" s="2780"/>
      <c r="W24" s="1835"/>
      <c r="X24" s="1836"/>
      <c r="Y24" s="2165"/>
      <c r="Z24" s="1837"/>
      <c r="AA24" s="2166"/>
      <c r="AB24" s="1839"/>
      <c r="AC24" s="2850"/>
      <c r="AD24" s="1706"/>
      <c r="AE24" s="1707"/>
      <c r="AF24" s="1887"/>
      <c r="AG24" s="2200"/>
      <c r="AH24" s="1888"/>
      <c r="AI24" s="1889"/>
      <c r="AJ24" s="2201"/>
      <c r="AK24" s="2826"/>
      <c r="AL24" s="3279"/>
      <c r="AM24" s="2928"/>
      <c r="AN24" s="1769"/>
      <c r="AO24" s="2202"/>
      <c r="AP24" s="3005"/>
      <c r="AQ24" s="1892"/>
      <c r="AR24" s="2018"/>
      <c r="AS24" s="3084"/>
      <c r="AT24" s="2780"/>
      <c r="AU24" s="1835"/>
      <c r="AV24" s="1921"/>
      <c r="AW24" s="2236"/>
      <c r="AX24" s="3195"/>
      <c r="AY24" s="1927"/>
      <c r="AZ24" s="2242"/>
      <c r="BA24" s="1866"/>
      <c r="BB24" s="1867"/>
      <c r="BC24" s="2857"/>
      <c r="BD24" s="1706"/>
      <c r="BE24" s="1891">
        <v>3</v>
      </c>
      <c r="BF24" s="1948"/>
      <c r="BG24" s="1924"/>
      <c r="BH24" s="3634"/>
      <c r="BI24" s="3634"/>
      <c r="BJ24" s="1955"/>
      <c r="BK24" s="1939"/>
      <c r="BL24" s="3632"/>
    </row>
    <row r="25" spans="1:102" ht="18" customHeight="1" thickBot="1">
      <c r="A25" s="3687"/>
      <c r="B25" s="1694" t="s">
        <v>32</v>
      </c>
      <c r="C25" s="3679"/>
      <c r="D25" s="1705">
        <f t="shared" ref="D25" si="8">SUM(E25:BG25)</f>
        <v>0</v>
      </c>
      <c r="E25" s="2104"/>
      <c r="F25" s="2105"/>
      <c r="G25" s="1708"/>
      <c r="H25" s="2106"/>
      <c r="I25" s="1712"/>
      <c r="J25" s="1779"/>
      <c r="K25" s="3187"/>
      <c r="L25" s="2024"/>
      <c r="M25" s="3279"/>
      <c r="N25" s="2819"/>
      <c r="O25" s="2928"/>
      <c r="P25" s="1708"/>
      <c r="Q25" s="2134"/>
      <c r="R25" s="2996"/>
      <c r="S25" s="1781"/>
      <c r="T25" s="1771"/>
      <c r="U25" s="2018"/>
      <c r="V25" s="2780"/>
      <c r="W25" s="1835"/>
      <c r="X25" s="1836"/>
      <c r="Y25" s="2165"/>
      <c r="Z25" s="1837"/>
      <c r="AA25" s="2166"/>
      <c r="AB25" s="1839"/>
      <c r="AC25" s="2850"/>
      <c r="AD25" s="1706"/>
      <c r="AE25" s="1707"/>
      <c r="AF25" s="1887"/>
      <c r="AG25" s="2200"/>
      <c r="AH25" s="1888"/>
      <c r="AI25" s="1889"/>
      <c r="AJ25" s="2201"/>
      <c r="AK25" s="2826"/>
      <c r="AL25" s="3279"/>
      <c r="AM25" s="2928"/>
      <c r="AN25" s="1769"/>
      <c r="AO25" s="2202"/>
      <c r="AP25" s="3005"/>
      <c r="AQ25" s="1892"/>
      <c r="AR25" s="2018"/>
      <c r="AS25" s="3084"/>
      <c r="AT25" s="2780"/>
      <c r="AU25" s="1835"/>
      <c r="AV25" s="1921"/>
      <c r="AW25" s="2236"/>
      <c r="AX25" s="3195"/>
      <c r="AY25" s="1927"/>
      <c r="AZ25" s="2242"/>
      <c r="BA25" s="1866"/>
      <c r="BB25" s="1867"/>
      <c r="BC25" s="2857"/>
      <c r="BD25" s="1706"/>
      <c r="BE25" s="1891"/>
      <c r="BF25" s="1948"/>
      <c r="BG25" s="1924"/>
      <c r="BH25" s="3634"/>
      <c r="BI25" s="3634"/>
      <c r="BJ25" s="1955"/>
      <c r="BK25" s="1939"/>
      <c r="BL25" s="3632"/>
    </row>
    <row r="26" spans="1:102" ht="18" customHeight="1" thickBot="1">
      <c r="A26" s="3687"/>
      <c r="B26" s="1694" t="s">
        <v>34</v>
      </c>
      <c r="C26" s="3679"/>
      <c r="D26" s="1705">
        <f t="shared" ref="D26" si="9">SUM(E26:BG26)</f>
        <v>0</v>
      </c>
      <c r="E26" s="2104"/>
      <c r="F26" s="2105"/>
      <c r="G26" s="1708"/>
      <c r="H26" s="2106"/>
      <c r="I26" s="1712"/>
      <c r="J26" s="1779"/>
      <c r="K26" s="3187"/>
      <c r="L26" s="2024"/>
      <c r="M26" s="3279"/>
      <c r="N26" s="2819"/>
      <c r="O26" s="2928"/>
      <c r="P26" s="1708"/>
      <c r="Q26" s="2134"/>
      <c r="R26" s="2996"/>
      <c r="S26" s="1781"/>
      <c r="T26" s="1771"/>
      <c r="U26" s="2018"/>
      <c r="V26" s="2780"/>
      <c r="W26" s="1835"/>
      <c r="X26" s="1836"/>
      <c r="Y26" s="2165"/>
      <c r="Z26" s="1837"/>
      <c r="AA26" s="2166"/>
      <c r="AB26" s="1839"/>
      <c r="AC26" s="2850"/>
      <c r="AD26" s="1706"/>
      <c r="AE26" s="1707"/>
      <c r="AF26" s="1887"/>
      <c r="AG26" s="2200"/>
      <c r="AH26" s="1888"/>
      <c r="AI26" s="1889"/>
      <c r="AJ26" s="2201"/>
      <c r="AK26" s="2826"/>
      <c r="AL26" s="3279"/>
      <c r="AM26" s="2928"/>
      <c r="AN26" s="1769"/>
      <c r="AO26" s="2202"/>
      <c r="AP26" s="3005"/>
      <c r="AQ26" s="1892"/>
      <c r="AR26" s="2018"/>
      <c r="AS26" s="3084"/>
      <c r="AT26" s="2780"/>
      <c r="AU26" s="1835"/>
      <c r="AV26" s="1921"/>
      <c r="AW26" s="2236"/>
      <c r="AX26" s="3195"/>
      <c r="AY26" s="1927"/>
      <c r="AZ26" s="2242"/>
      <c r="BA26" s="1866"/>
      <c r="BB26" s="1867"/>
      <c r="BC26" s="2857"/>
      <c r="BD26" s="1706"/>
      <c r="BE26" s="1891"/>
      <c r="BF26" s="1948"/>
      <c r="BG26" s="1924"/>
      <c r="BH26" s="3634"/>
      <c r="BI26" s="3634"/>
      <c r="BJ26" s="2261"/>
      <c r="BK26" s="1939"/>
      <c r="BL26" s="3632"/>
    </row>
    <row r="27" spans="1:102" ht="15.75" customHeight="1" thickBot="1">
      <c r="A27" s="3686">
        <v>46124</v>
      </c>
      <c r="B27" s="1995" t="s">
        <v>32</v>
      </c>
      <c r="C27" s="3678">
        <f>SUM(D27:D30)</f>
        <v>720</v>
      </c>
      <c r="D27" s="1700">
        <f t="shared" si="7"/>
        <v>320</v>
      </c>
      <c r="E27" s="2115"/>
      <c r="F27" s="2116"/>
      <c r="G27" s="1722"/>
      <c r="H27" s="2117"/>
      <c r="I27" s="2141"/>
      <c r="J27" s="2142"/>
      <c r="K27" s="3218"/>
      <c r="L27" s="2143"/>
      <c r="M27" s="3282"/>
      <c r="N27" s="2986">
        <v>320</v>
      </c>
      <c r="O27" s="3091"/>
      <c r="P27" s="1722"/>
      <c r="Q27" s="2144"/>
      <c r="R27" s="2997"/>
      <c r="S27" s="2145"/>
      <c r="T27" s="2146"/>
      <c r="U27" s="2026"/>
      <c r="V27" s="2783"/>
      <c r="W27" s="1847"/>
      <c r="X27" s="2173"/>
      <c r="Y27" s="2174"/>
      <c r="Z27" s="2175"/>
      <c r="AA27" s="2176"/>
      <c r="AB27" s="2177"/>
      <c r="AC27" s="2851"/>
      <c r="AD27" s="1720"/>
      <c r="AE27" s="1721"/>
      <c r="AF27" s="1794"/>
      <c r="AG27" s="2211"/>
      <c r="AH27" s="1723"/>
      <c r="AI27" s="1903"/>
      <c r="AJ27" s="2212"/>
      <c r="AK27" s="2830"/>
      <c r="AL27" s="3282"/>
      <c r="AM27" s="3091"/>
      <c r="AN27" s="1794"/>
      <c r="AO27" s="2213"/>
      <c r="AP27" s="3006"/>
      <c r="AQ27" s="1796"/>
      <c r="AR27" s="2026"/>
      <c r="AS27" s="3085"/>
      <c r="AT27" s="2783"/>
      <c r="AU27" s="1847"/>
      <c r="AV27" s="1848"/>
      <c r="AW27" s="2243"/>
      <c r="AX27" s="3199"/>
      <c r="AY27" s="1849"/>
      <c r="AZ27" s="2244"/>
      <c r="BA27" s="1850"/>
      <c r="BB27" s="1851"/>
      <c r="BC27" s="2860"/>
      <c r="BD27" s="1720"/>
      <c r="BE27" s="1793"/>
      <c r="BF27" s="1950"/>
      <c r="BG27" s="1851"/>
      <c r="BH27" s="3633">
        <f>SUM(E27:AC30)</f>
        <v>720</v>
      </c>
      <c r="BI27" s="3633">
        <f>SUM(E27:BC30)</f>
        <v>720</v>
      </c>
      <c r="BJ27" s="2261" t="s">
        <v>570</v>
      </c>
      <c r="BK27" s="1939" t="s">
        <v>533</v>
      </c>
      <c r="BL27" s="3632" t="s">
        <v>33</v>
      </c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ht="18" customHeight="1" thickBot="1">
      <c r="A28" s="3687"/>
      <c r="B28" s="1694" t="s">
        <v>34</v>
      </c>
      <c r="C28" s="3679"/>
      <c r="D28" s="1705">
        <f t="shared" si="7"/>
        <v>400</v>
      </c>
      <c r="E28" s="2104"/>
      <c r="F28" s="2105"/>
      <c r="G28" s="1708"/>
      <c r="H28" s="2106"/>
      <c r="I28" s="1712"/>
      <c r="J28" s="1779"/>
      <c r="K28" s="3187"/>
      <c r="L28" s="2024"/>
      <c r="M28" s="3279"/>
      <c r="N28" s="2819">
        <v>400</v>
      </c>
      <c r="O28" s="2928"/>
      <c r="P28" s="1708"/>
      <c r="Q28" s="2134"/>
      <c r="R28" s="2996"/>
      <c r="S28" s="1781"/>
      <c r="T28" s="1771"/>
      <c r="U28" s="2018"/>
      <c r="V28" s="2780"/>
      <c r="W28" s="1835"/>
      <c r="X28" s="1836"/>
      <c r="Y28" s="2165"/>
      <c r="Z28" s="1837"/>
      <c r="AA28" s="2166"/>
      <c r="AB28" s="1839"/>
      <c r="AC28" s="2850"/>
      <c r="AD28" s="1706"/>
      <c r="AE28" s="1707"/>
      <c r="AF28" s="1887"/>
      <c r="AG28" s="2200"/>
      <c r="AH28" s="1888"/>
      <c r="AI28" s="1889"/>
      <c r="AJ28" s="2201"/>
      <c r="AK28" s="2826"/>
      <c r="AL28" s="3279"/>
      <c r="AM28" s="2928"/>
      <c r="AN28" s="1769"/>
      <c r="AO28" s="2202"/>
      <c r="AP28" s="3005"/>
      <c r="AQ28" s="1892"/>
      <c r="AR28" s="2018"/>
      <c r="AS28" s="3084"/>
      <c r="AT28" s="2780"/>
      <c r="AU28" s="1835"/>
      <c r="AV28" s="1921"/>
      <c r="AW28" s="2236"/>
      <c r="AX28" s="3195"/>
      <c r="AY28" s="1927"/>
      <c r="AZ28" s="2242"/>
      <c r="BA28" s="1866"/>
      <c r="BB28" s="1867"/>
      <c r="BC28" s="2857"/>
      <c r="BD28" s="1706"/>
      <c r="BE28" s="1891"/>
      <c r="BF28" s="1948"/>
      <c r="BG28" s="1924"/>
      <c r="BH28" s="3634"/>
      <c r="BI28" s="3634"/>
      <c r="BJ28" s="2261"/>
      <c r="BK28" s="1939"/>
      <c r="BL28" s="3632"/>
    </row>
    <row r="29" spans="1:102" ht="18" customHeight="1" thickBot="1">
      <c r="A29" s="3687"/>
      <c r="B29" s="1694" t="s">
        <v>34</v>
      </c>
      <c r="C29" s="3679"/>
      <c r="D29" s="1705">
        <f t="shared" ref="D29" si="10">SUM(E29:BG29)</f>
        <v>0</v>
      </c>
      <c r="E29" s="2104"/>
      <c r="F29" s="2105"/>
      <c r="G29" s="1708"/>
      <c r="H29" s="2106"/>
      <c r="I29" s="1712"/>
      <c r="J29" s="1779"/>
      <c r="K29" s="3187"/>
      <c r="L29" s="2024"/>
      <c r="M29" s="3279"/>
      <c r="N29" s="2819"/>
      <c r="O29" s="2928"/>
      <c r="P29" s="1708"/>
      <c r="Q29" s="2134"/>
      <c r="R29" s="2996"/>
      <c r="S29" s="1781"/>
      <c r="T29" s="1771"/>
      <c r="U29" s="2018"/>
      <c r="V29" s="2780"/>
      <c r="W29" s="1835"/>
      <c r="X29" s="1836"/>
      <c r="Y29" s="2165"/>
      <c r="Z29" s="1837"/>
      <c r="AA29" s="2166"/>
      <c r="AB29" s="1839"/>
      <c r="AC29" s="2850"/>
      <c r="AD29" s="1706"/>
      <c r="AE29" s="1707"/>
      <c r="AF29" s="1887"/>
      <c r="AG29" s="2200"/>
      <c r="AH29" s="1888"/>
      <c r="AI29" s="1889"/>
      <c r="AJ29" s="2201"/>
      <c r="AK29" s="2826"/>
      <c r="AL29" s="3279"/>
      <c r="AM29" s="2928"/>
      <c r="AN29" s="1769"/>
      <c r="AO29" s="2202"/>
      <c r="AP29" s="3005"/>
      <c r="AQ29" s="1892"/>
      <c r="AR29" s="2018"/>
      <c r="AS29" s="3084"/>
      <c r="AT29" s="2780"/>
      <c r="AU29" s="1835"/>
      <c r="AV29" s="1921"/>
      <c r="AW29" s="2236"/>
      <c r="AX29" s="3195"/>
      <c r="AY29" s="1927"/>
      <c r="AZ29" s="2242"/>
      <c r="BA29" s="1866"/>
      <c r="BB29" s="1867"/>
      <c r="BC29" s="2857"/>
      <c r="BD29" s="1706"/>
      <c r="BE29" s="1891"/>
      <c r="BF29" s="1948"/>
      <c r="BG29" s="1924"/>
      <c r="BH29" s="3634"/>
      <c r="BI29" s="3634"/>
      <c r="BJ29" s="1955"/>
      <c r="BK29" s="1951"/>
      <c r="BL29" s="3632"/>
    </row>
    <row r="30" spans="1:102" ht="15.75" customHeight="1" thickBot="1">
      <c r="A30" s="3688"/>
      <c r="B30" s="1724" t="s">
        <v>34</v>
      </c>
      <c r="C30" s="3681"/>
      <c r="D30" s="1695">
        <f t="shared" ref="D30:D43" si="11">SUM(E30:BG30)</f>
        <v>0</v>
      </c>
      <c r="E30" s="2118"/>
      <c r="F30" s="2119"/>
      <c r="G30" s="2120"/>
      <c r="H30" s="2121"/>
      <c r="I30" s="2147"/>
      <c r="J30" s="2148"/>
      <c r="K30" s="3219"/>
      <c r="L30" s="2149"/>
      <c r="M30" s="3283"/>
      <c r="N30" s="2987"/>
      <c r="O30" s="3092"/>
      <c r="P30" s="2120"/>
      <c r="Q30" s="2150"/>
      <c r="R30" s="2998"/>
      <c r="S30" s="2151"/>
      <c r="T30" s="2152"/>
      <c r="U30" s="2153"/>
      <c r="V30" s="2784"/>
      <c r="W30" s="2178"/>
      <c r="X30" s="2179"/>
      <c r="Y30" s="2180"/>
      <c r="Z30" s="2181"/>
      <c r="AA30" s="2182"/>
      <c r="AB30" s="2183"/>
      <c r="AC30" s="2852"/>
      <c r="AD30" s="2184"/>
      <c r="AE30" s="2185"/>
      <c r="AF30" s="2214"/>
      <c r="AG30" s="2215"/>
      <c r="AH30" s="2216"/>
      <c r="AI30" s="2217"/>
      <c r="AJ30" s="2218"/>
      <c r="AK30" s="2990"/>
      <c r="AL30" s="3283"/>
      <c r="AM30" s="3092"/>
      <c r="AN30" s="2214"/>
      <c r="AO30" s="2219"/>
      <c r="AP30" s="3007"/>
      <c r="AQ30" s="2245"/>
      <c r="AR30" s="2153"/>
      <c r="AS30" s="3086"/>
      <c r="AT30" s="2784"/>
      <c r="AU30" s="2178"/>
      <c r="AV30" s="2246"/>
      <c r="AW30" s="2247"/>
      <c r="AX30" s="3221"/>
      <c r="AY30" s="2248"/>
      <c r="AZ30" s="2249"/>
      <c r="BA30" s="2250"/>
      <c r="BB30" s="2262"/>
      <c r="BC30" s="2861"/>
      <c r="BD30" s="2184"/>
      <c r="BE30" s="2220"/>
      <c r="BF30" s="2263"/>
      <c r="BG30" s="2262"/>
      <c r="BH30" s="3635"/>
      <c r="BI30" s="3635"/>
      <c r="BJ30" s="1955"/>
      <c r="BK30" s="1939"/>
      <c r="BL30" s="3632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ht="15" customHeight="1" thickBot="1">
      <c r="A31" s="3686">
        <v>46125</v>
      </c>
      <c r="B31" s="1688" t="s">
        <v>32</v>
      </c>
      <c r="C31" s="3678">
        <f>SUM(D31:D33)</f>
        <v>283</v>
      </c>
      <c r="D31" s="1689">
        <f t="shared" si="11"/>
        <v>283</v>
      </c>
      <c r="E31" s="2113"/>
      <c r="F31" s="2102"/>
      <c r="G31" s="1692"/>
      <c r="H31" s="2103"/>
      <c r="I31" s="1713"/>
      <c r="J31" s="1782"/>
      <c r="K31" s="3186"/>
      <c r="L31" s="2019"/>
      <c r="M31" s="3278"/>
      <c r="N31" s="2818">
        <v>280</v>
      </c>
      <c r="O31" s="2929"/>
      <c r="P31" s="1692"/>
      <c r="Q31" s="2133"/>
      <c r="R31" s="2993"/>
      <c r="S31" s="1784"/>
      <c r="T31" s="1750"/>
      <c r="U31" s="2020"/>
      <c r="V31" s="2779"/>
      <c r="W31" s="1816"/>
      <c r="X31" s="1817"/>
      <c r="Y31" s="2163"/>
      <c r="Z31" s="1818"/>
      <c r="AA31" s="2164"/>
      <c r="AB31" s="1820"/>
      <c r="AC31" s="2847"/>
      <c r="AD31" s="1726"/>
      <c r="AE31" s="1691"/>
      <c r="AF31" s="1869"/>
      <c r="AG31" s="2197"/>
      <c r="AH31" s="1893"/>
      <c r="AI31" s="1854"/>
      <c r="AJ31" s="2198"/>
      <c r="AK31" s="2825"/>
      <c r="AL31" s="3278"/>
      <c r="AM31" s="2929"/>
      <c r="AN31" s="1692"/>
      <c r="AO31" s="2133"/>
      <c r="AP31" s="2993"/>
      <c r="AQ31" s="1874"/>
      <c r="AR31" s="2020"/>
      <c r="AS31" s="3081"/>
      <c r="AT31" s="2779"/>
      <c r="AU31" s="1816"/>
      <c r="AV31" s="1910"/>
      <c r="AW31" s="2234"/>
      <c r="AX31" s="3194"/>
      <c r="AY31" s="1911"/>
      <c r="AZ31" s="2235"/>
      <c r="BA31" s="1864"/>
      <c r="BB31" s="1865"/>
      <c r="BC31" s="2856"/>
      <c r="BD31" s="1726"/>
      <c r="BE31" s="1873">
        <v>3</v>
      </c>
      <c r="BF31" s="1940"/>
      <c r="BG31" s="1865"/>
      <c r="BH31" s="3633">
        <f>SUM(E31:AC33)</f>
        <v>280</v>
      </c>
      <c r="BI31" s="3633">
        <f>SUM(E31:BC33)</f>
        <v>280</v>
      </c>
      <c r="BJ31" s="1955" t="s">
        <v>570</v>
      </c>
      <c r="BK31" s="1939" t="s">
        <v>533</v>
      </c>
      <c r="BL31" s="3675" t="s">
        <v>33</v>
      </c>
    </row>
    <row r="32" spans="1:102" ht="18" customHeight="1" thickBot="1">
      <c r="A32" s="3687"/>
      <c r="B32" s="1694" t="s">
        <v>34</v>
      </c>
      <c r="C32" s="3679"/>
      <c r="D32" s="1705">
        <f t="shared" ref="D32" si="12">SUM(E32:BG32)</f>
        <v>0</v>
      </c>
      <c r="E32" s="2104"/>
      <c r="F32" s="2105"/>
      <c r="G32" s="1708"/>
      <c r="H32" s="2106"/>
      <c r="I32" s="1712"/>
      <c r="J32" s="1779"/>
      <c r="K32" s="3187"/>
      <c r="L32" s="2024"/>
      <c r="M32" s="3279"/>
      <c r="N32" s="2819"/>
      <c r="O32" s="2928"/>
      <c r="P32" s="1708"/>
      <c r="Q32" s="2134"/>
      <c r="R32" s="2996"/>
      <c r="S32" s="1781"/>
      <c r="T32" s="1771"/>
      <c r="U32" s="2018"/>
      <c r="V32" s="2780"/>
      <c r="W32" s="1835"/>
      <c r="X32" s="1836"/>
      <c r="Y32" s="2165"/>
      <c r="Z32" s="1837"/>
      <c r="AA32" s="2166"/>
      <c r="AB32" s="1839"/>
      <c r="AC32" s="2850"/>
      <c r="AD32" s="1706"/>
      <c r="AE32" s="1707"/>
      <c r="AF32" s="1887"/>
      <c r="AG32" s="2200"/>
      <c r="AH32" s="1888"/>
      <c r="AI32" s="1889"/>
      <c r="AJ32" s="2201"/>
      <c r="AK32" s="2826"/>
      <c r="AL32" s="3279"/>
      <c r="AM32" s="2928"/>
      <c r="AN32" s="1769"/>
      <c r="AO32" s="2202"/>
      <c r="AP32" s="3005"/>
      <c r="AQ32" s="1892"/>
      <c r="AR32" s="2018"/>
      <c r="AS32" s="3084"/>
      <c r="AT32" s="2780"/>
      <c r="AU32" s="1835"/>
      <c r="AV32" s="1921"/>
      <c r="AW32" s="2236"/>
      <c r="AX32" s="3195"/>
      <c r="AY32" s="1927"/>
      <c r="AZ32" s="2242"/>
      <c r="BA32" s="1866"/>
      <c r="BB32" s="1867"/>
      <c r="BC32" s="2857"/>
      <c r="BD32" s="1706"/>
      <c r="BE32" s="1891"/>
      <c r="BF32" s="1948"/>
      <c r="BG32" s="1924"/>
      <c r="BH32" s="3634"/>
      <c r="BI32" s="3634"/>
      <c r="BJ32" s="1955"/>
      <c r="BK32" s="1939"/>
      <c r="BL32" s="3632"/>
    </row>
    <row r="33" spans="1:64" ht="15.75" customHeight="1" thickBot="1">
      <c r="A33" s="3688"/>
      <c r="B33" s="1995" t="s">
        <v>34</v>
      </c>
      <c r="C33" s="3681"/>
      <c r="D33" s="1695">
        <f t="shared" si="11"/>
        <v>0</v>
      </c>
      <c r="E33" s="2107"/>
      <c r="F33" s="2108"/>
      <c r="G33" s="1698"/>
      <c r="H33" s="2109"/>
      <c r="I33" s="1732"/>
      <c r="J33" s="1800"/>
      <c r="K33" s="3188"/>
      <c r="L33" s="2021"/>
      <c r="M33" s="3280"/>
      <c r="N33" s="2820"/>
      <c r="O33" s="2932"/>
      <c r="P33" s="1698"/>
      <c r="Q33" s="2135"/>
      <c r="R33" s="2994"/>
      <c r="S33" s="1799"/>
      <c r="T33" s="1757"/>
      <c r="U33" s="2022"/>
      <c r="V33" s="2781"/>
      <c r="W33" s="1822"/>
      <c r="X33" s="1823"/>
      <c r="Y33" s="2167"/>
      <c r="Z33" s="1824"/>
      <c r="AA33" s="2168"/>
      <c r="AB33" s="1826"/>
      <c r="AC33" s="2848"/>
      <c r="AD33" s="1696"/>
      <c r="AE33" s="1697"/>
      <c r="AF33" s="1875"/>
      <c r="AG33" s="2203"/>
      <c r="AH33" s="1895"/>
      <c r="AI33" s="1858"/>
      <c r="AJ33" s="2204"/>
      <c r="AK33" s="2827"/>
      <c r="AL33" s="3280"/>
      <c r="AM33" s="2932"/>
      <c r="AN33" s="1698"/>
      <c r="AO33" s="2135"/>
      <c r="AP33" s="2994"/>
      <c r="AQ33" s="1880"/>
      <c r="AR33" s="2022"/>
      <c r="AS33" s="3082"/>
      <c r="AT33" s="2781"/>
      <c r="AU33" s="1822"/>
      <c r="AV33" s="1913"/>
      <c r="AW33" s="2238"/>
      <c r="AX33" s="3196"/>
      <c r="AY33" s="1914"/>
      <c r="AZ33" s="2239"/>
      <c r="BA33" s="1866"/>
      <c r="BB33" s="1867"/>
      <c r="BC33" s="2857"/>
      <c r="BD33" s="1696"/>
      <c r="BE33" s="1879"/>
      <c r="BF33" s="1944"/>
      <c r="BG33" s="1867"/>
      <c r="BH33" s="3635"/>
      <c r="BI33" s="3635"/>
      <c r="BJ33" s="1955"/>
      <c r="BK33" s="1951"/>
      <c r="BL33" s="3710"/>
    </row>
    <row r="34" spans="1:64" ht="15.75" thickBot="1">
      <c r="A34" s="3694">
        <v>46127</v>
      </c>
      <c r="B34" s="1688" t="s">
        <v>32</v>
      </c>
      <c r="C34" s="3678">
        <f>SUM(D34:D36)</f>
        <v>594</v>
      </c>
      <c r="D34" s="1689">
        <f t="shared" si="11"/>
        <v>171</v>
      </c>
      <c r="E34" s="2101"/>
      <c r="F34" s="2102"/>
      <c r="G34" s="1692"/>
      <c r="H34" s="2103">
        <v>160</v>
      </c>
      <c r="I34" s="1713"/>
      <c r="J34" s="1782"/>
      <c r="K34" s="3186"/>
      <c r="L34" s="2019"/>
      <c r="M34" s="3278"/>
      <c r="N34" s="2818"/>
      <c r="O34" s="2929"/>
      <c r="P34" s="1692"/>
      <c r="Q34" s="2133"/>
      <c r="R34" s="2993"/>
      <c r="S34" s="1784"/>
      <c r="T34" s="1750"/>
      <c r="U34" s="2020"/>
      <c r="V34" s="2779"/>
      <c r="W34" s="1816"/>
      <c r="X34" s="1817"/>
      <c r="Y34" s="2163"/>
      <c r="Z34" s="1818"/>
      <c r="AA34" s="2164"/>
      <c r="AB34" s="1820"/>
      <c r="AC34" s="2847"/>
      <c r="AD34" s="1726"/>
      <c r="AE34" s="1691"/>
      <c r="AF34" s="1869"/>
      <c r="AG34" s="2197">
        <v>1</v>
      </c>
      <c r="AH34" s="1893"/>
      <c r="AI34" s="1854"/>
      <c r="AJ34" s="2198"/>
      <c r="AK34" s="2825"/>
      <c r="AL34" s="3278"/>
      <c r="AM34" s="2929"/>
      <c r="AN34" s="1748"/>
      <c r="AO34" s="2199"/>
      <c r="AP34" s="3002"/>
      <c r="AQ34" s="1874"/>
      <c r="AR34" s="2020"/>
      <c r="AS34" s="3081"/>
      <c r="AT34" s="2779"/>
      <c r="AU34" s="1816"/>
      <c r="AV34" s="1910"/>
      <c r="AW34" s="2234"/>
      <c r="AX34" s="3194"/>
      <c r="AY34" s="1911"/>
      <c r="AZ34" s="2235"/>
      <c r="BA34" s="1864"/>
      <c r="BB34" s="1865"/>
      <c r="BC34" s="2856"/>
      <c r="BD34" s="1726"/>
      <c r="BE34" s="1873">
        <v>10</v>
      </c>
      <c r="BF34" s="1940"/>
      <c r="BG34" s="1865"/>
      <c r="BH34" s="3633">
        <f>SUM(E34:AC36)</f>
        <v>576</v>
      </c>
      <c r="BI34" s="3633">
        <f>SUM(E34:BC36)</f>
        <v>577</v>
      </c>
      <c r="BJ34" s="1955">
        <v>301</v>
      </c>
      <c r="BK34" s="1951" t="s">
        <v>532</v>
      </c>
      <c r="BL34" s="3675" t="s">
        <v>33</v>
      </c>
    </row>
    <row r="35" spans="1:64" ht="18" customHeight="1" thickBot="1">
      <c r="A35" s="3687"/>
      <c r="B35" s="1694" t="s">
        <v>34</v>
      </c>
      <c r="C35" s="3679"/>
      <c r="D35" s="1705">
        <f t="shared" si="11"/>
        <v>423</v>
      </c>
      <c r="E35" s="2104"/>
      <c r="F35" s="2105"/>
      <c r="G35" s="1708"/>
      <c r="H35" s="2106">
        <v>416</v>
      </c>
      <c r="I35" s="1712"/>
      <c r="J35" s="1779"/>
      <c r="K35" s="3187"/>
      <c r="L35" s="2024"/>
      <c r="M35" s="3279"/>
      <c r="N35" s="2819"/>
      <c r="O35" s="2928"/>
      <c r="P35" s="1708"/>
      <c r="Q35" s="2134"/>
      <c r="R35" s="2996"/>
      <c r="S35" s="1781"/>
      <c r="T35" s="1771"/>
      <c r="U35" s="2018"/>
      <c r="V35" s="2780"/>
      <c r="W35" s="1835"/>
      <c r="X35" s="1836"/>
      <c r="Y35" s="2165"/>
      <c r="Z35" s="1837"/>
      <c r="AA35" s="2166"/>
      <c r="AB35" s="1839"/>
      <c r="AC35" s="2850"/>
      <c r="AD35" s="1706"/>
      <c r="AE35" s="1707"/>
      <c r="AF35" s="1887"/>
      <c r="AG35" s="2200"/>
      <c r="AH35" s="1888"/>
      <c r="AI35" s="1889"/>
      <c r="AJ35" s="2201"/>
      <c r="AK35" s="2826"/>
      <c r="AL35" s="3279"/>
      <c r="AM35" s="2928"/>
      <c r="AN35" s="1769"/>
      <c r="AO35" s="2202"/>
      <c r="AP35" s="3005"/>
      <c r="AQ35" s="1892"/>
      <c r="AR35" s="2018"/>
      <c r="AS35" s="3084"/>
      <c r="AT35" s="2780"/>
      <c r="AU35" s="1835"/>
      <c r="AV35" s="1921"/>
      <c r="AW35" s="2236"/>
      <c r="AX35" s="3195"/>
      <c r="AY35" s="1927"/>
      <c r="AZ35" s="2242"/>
      <c r="BA35" s="1866"/>
      <c r="BB35" s="1867"/>
      <c r="BC35" s="2857"/>
      <c r="BD35" s="1706"/>
      <c r="BE35" s="1891">
        <v>7</v>
      </c>
      <c r="BF35" s="1948"/>
      <c r="BG35" s="1924"/>
      <c r="BH35" s="3634"/>
      <c r="BI35" s="3634"/>
      <c r="BJ35" s="1955"/>
      <c r="BK35" s="1951"/>
      <c r="BL35" s="3632"/>
    </row>
    <row r="36" spans="1:64" ht="18" customHeight="1" thickBot="1">
      <c r="A36" s="3695"/>
      <c r="B36" s="1694" t="s">
        <v>34</v>
      </c>
      <c r="C36" s="3679"/>
      <c r="D36" s="1705">
        <f t="shared" ref="D36" si="13">SUM(E36:BG36)</f>
        <v>0</v>
      </c>
      <c r="E36" s="2104"/>
      <c r="F36" s="2105"/>
      <c r="G36" s="1708"/>
      <c r="H36" s="2106"/>
      <c r="I36" s="1712"/>
      <c r="J36" s="1779"/>
      <c r="K36" s="3187"/>
      <c r="L36" s="2024"/>
      <c r="M36" s="3279"/>
      <c r="N36" s="2819"/>
      <c r="O36" s="2928"/>
      <c r="P36" s="1708"/>
      <c r="Q36" s="2134"/>
      <c r="R36" s="2996"/>
      <c r="S36" s="1781"/>
      <c r="T36" s="1771"/>
      <c r="U36" s="2018"/>
      <c r="V36" s="2780"/>
      <c r="W36" s="1835"/>
      <c r="X36" s="1836"/>
      <c r="Y36" s="2165"/>
      <c r="Z36" s="1837"/>
      <c r="AA36" s="2166"/>
      <c r="AB36" s="1839"/>
      <c r="AC36" s="2850"/>
      <c r="AD36" s="1706"/>
      <c r="AE36" s="1707"/>
      <c r="AF36" s="1887"/>
      <c r="AG36" s="2200"/>
      <c r="AH36" s="1888"/>
      <c r="AI36" s="1889"/>
      <c r="AJ36" s="2201"/>
      <c r="AK36" s="2826"/>
      <c r="AL36" s="3279"/>
      <c r="AM36" s="2928"/>
      <c r="AN36" s="1769"/>
      <c r="AO36" s="2202"/>
      <c r="AP36" s="3005"/>
      <c r="AQ36" s="1892"/>
      <c r="AR36" s="2018"/>
      <c r="AS36" s="3084"/>
      <c r="AT36" s="2780"/>
      <c r="AU36" s="1835"/>
      <c r="AV36" s="1921"/>
      <c r="AW36" s="2236"/>
      <c r="AX36" s="3195"/>
      <c r="AY36" s="1927"/>
      <c r="AZ36" s="2242"/>
      <c r="BA36" s="1866"/>
      <c r="BB36" s="1867"/>
      <c r="BC36" s="2857"/>
      <c r="BD36" s="1706"/>
      <c r="BE36" s="1891"/>
      <c r="BF36" s="1948"/>
      <c r="BG36" s="1924"/>
      <c r="BH36" s="3634"/>
      <c r="BI36" s="3634"/>
      <c r="BJ36" s="1955"/>
      <c r="BK36" s="1951"/>
      <c r="BL36" s="3632"/>
    </row>
    <row r="37" spans="1:64" ht="15.75" thickBot="1">
      <c r="A37" s="3686">
        <v>46128</v>
      </c>
      <c r="B37" s="1995" t="s">
        <v>32</v>
      </c>
      <c r="C37" s="3678">
        <f>SUM(D37:D40)</f>
        <v>721</v>
      </c>
      <c r="D37" s="2001">
        <f t="shared" si="11"/>
        <v>439</v>
      </c>
      <c r="E37" s="2122"/>
      <c r="F37" s="2123"/>
      <c r="G37" s="2124"/>
      <c r="H37" s="2125">
        <v>432</v>
      </c>
      <c r="I37" s="2154"/>
      <c r="J37" s="2155"/>
      <c r="K37" s="3220"/>
      <c r="L37" s="2156"/>
      <c r="M37" s="3284"/>
      <c r="N37" s="2988"/>
      <c r="O37" s="3093"/>
      <c r="P37" s="2124"/>
      <c r="Q37" s="2157"/>
      <c r="R37" s="2999"/>
      <c r="S37" s="95"/>
      <c r="T37" s="2158"/>
      <c r="U37" s="2159"/>
      <c r="V37" s="2785"/>
      <c r="W37" s="2186"/>
      <c r="X37" s="2187"/>
      <c r="Y37" s="2188"/>
      <c r="Z37" s="2189"/>
      <c r="AA37" s="2190"/>
      <c r="AB37" s="2191"/>
      <c r="AC37" s="2853"/>
      <c r="AD37" s="2192"/>
      <c r="AE37" s="2193"/>
      <c r="AF37" s="2221"/>
      <c r="AG37" s="2222">
        <v>1</v>
      </c>
      <c r="AH37" s="2223"/>
      <c r="AI37" s="2224"/>
      <c r="AJ37" s="2225"/>
      <c r="AK37" s="2991"/>
      <c r="AL37" s="3284"/>
      <c r="AM37" s="3093"/>
      <c r="AN37" s="2226"/>
      <c r="AO37" s="2227"/>
      <c r="AP37" s="3008"/>
      <c r="AQ37" s="2251"/>
      <c r="AR37" s="2159"/>
      <c r="AS37" s="3087"/>
      <c r="AT37" s="2785"/>
      <c r="AU37" s="2186"/>
      <c r="AV37" s="2252"/>
      <c r="AW37" s="2253"/>
      <c r="AX37" s="3222"/>
      <c r="AY37" s="2254"/>
      <c r="AZ37" s="2255"/>
      <c r="BA37" s="2256"/>
      <c r="BB37" s="2264"/>
      <c r="BC37" s="2862"/>
      <c r="BD37" s="2192"/>
      <c r="BE37" s="2228">
        <v>6</v>
      </c>
      <c r="BF37" s="1940"/>
      <c r="BG37" s="1865"/>
      <c r="BH37" s="3633">
        <f>SUM(E37:AC40)</f>
        <v>704</v>
      </c>
      <c r="BI37" s="3633">
        <f>SUM(E37:BC40)</f>
        <v>705</v>
      </c>
      <c r="BJ37" s="1955">
        <v>301</v>
      </c>
      <c r="BK37" s="1951" t="s">
        <v>532</v>
      </c>
      <c r="BL37" s="3675" t="s">
        <v>33</v>
      </c>
    </row>
    <row r="38" spans="1:64" ht="15.75" customHeight="1" thickBot="1">
      <c r="A38" s="3687"/>
      <c r="B38" s="1728" t="s">
        <v>34</v>
      </c>
      <c r="C38" s="3679"/>
      <c r="D38" s="1705">
        <f t="shared" ref="D38" si="14">SUM(E38:BG38)</f>
        <v>282</v>
      </c>
      <c r="E38" s="2104"/>
      <c r="F38" s="2105"/>
      <c r="G38" s="1708"/>
      <c r="H38" s="2106">
        <v>272</v>
      </c>
      <c r="I38" s="1712"/>
      <c r="J38" s="1779"/>
      <c r="K38" s="3187"/>
      <c r="L38" s="2024"/>
      <c r="M38" s="3279"/>
      <c r="N38" s="2819"/>
      <c r="O38" s="2928"/>
      <c r="P38" s="1708"/>
      <c r="Q38" s="2134"/>
      <c r="R38" s="2996"/>
      <c r="S38" s="1781"/>
      <c r="T38" s="1771"/>
      <c r="U38" s="2018"/>
      <c r="V38" s="2780"/>
      <c r="W38" s="1835"/>
      <c r="X38" s="1836"/>
      <c r="Y38" s="2165"/>
      <c r="Z38" s="1837"/>
      <c r="AA38" s="2166"/>
      <c r="AB38" s="1839"/>
      <c r="AC38" s="2850"/>
      <c r="AD38" s="1706"/>
      <c r="AE38" s="1707"/>
      <c r="AF38" s="1887"/>
      <c r="AG38" s="2200"/>
      <c r="AH38" s="1888"/>
      <c r="AI38" s="1889"/>
      <c r="AJ38" s="2201"/>
      <c r="AK38" s="2826"/>
      <c r="AL38" s="3279"/>
      <c r="AM38" s="2928"/>
      <c r="AN38" s="1769"/>
      <c r="AO38" s="2202"/>
      <c r="AP38" s="3005"/>
      <c r="AQ38" s="1892"/>
      <c r="AR38" s="2018"/>
      <c r="AS38" s="3084"/>
      <c r="AT38" s="2780"/>
      <c r="AU38" s="1835"/>
      <c r="AV38" s="1921"/>
      <c r="AW38" s="2236"/>
      <c r="AX38" s="3195"/>
      <c r="AY38" s="1922"/>
      <c r="AZ38" s="2237"/>
      <c r="BA38" s="1923"/>
      <c r="BB38" s="1924"/>
      <c r="BC38" s="2859"/>
      <c r="BD38" s="1706"/>
      <c r="BE38" s="1891">
        <v>10</v>
      </c>
      <c r="BF38" s="1948"/>
      <c r="BG38" s="1924"/>
      <c r="BH38" s="3634"/>
      <c r="BI38" s="3634"/>
      <c r="BJ38" s="1955"/>
      <c r="BK38" s="1951"/>
      <c r="BL38" s="3632"/>
    </row>
    <row r="39" spans="1:64" ht="15.75" customHeight="1" thickBot="1">
      <c r="A39" s="3687"/>
      <c r="B39" s="1728" t="s">
        <v>34</v>
      </c>
      <c r="C39" s="3679"/>
      <c r="D39" s="1705">
        <f t="shared" ref="D39" si="15">SUM(E39:BG39)</f>
        <v>0</v>
      </c>
      <c r="E39" s="2104"/>
      <c r="F39" s="2105"/>
      <c r="G39" s="1708"/>
      <c r="H39" s="2106"/>
      <c r="I39" s="1712"/>
      <c r="J39" s="1779"/>
      <c r="K39" s="3187"/>
      <c r="L39" s="2024"/>
      <c r="M39" s="3279"/>
      <c r="N39" s="2819"/>
      <c r="O39" s="2928"/>
      <c r="P39" s="1708"/>
      <c r="Q39" s="2134"/>
      <c r="R39" s="2996"/>
      <c r="S39" s="1781"/>
      <c r="T39" s="1771"/>
      <c r="U39" s="2018"/>
      <c r="V39" s="2780"/>
      <c r="W39" s="1835"/>
      <c r="X39" s="1836"/>
      <c r="Y39" s="2165"/>
      <c r="Z39" s="1837"/>
      <c r="AA39" s="2166"/>
      <c r="AB39" s="1839"/>
      <c r="AC39" s="2850"/>
      <c r="AD39" s="1706"/>
      <c r="AE39" s="1707"/>
      <c r="AF39" s="1887"/>
      <c r="AG39" s="2200"/>
      <c r="AH39" s="1888"/>
      <c r="AI39" s="1889"/>
      <c r="AJ39" s="2201"/>
      <c r="AK39" s="2826"/>
      <c r="AL39" s="3279"/>
      <c r="AM39" s="2928"/>
      <c r="AN39" s="1769"/>
      <c r="AO39" s="2202"/>
      <c r="AP39" s="3005"/>
      <c r="AQ39" s="1892"/>
      <c r="AR39" s="2018"/>
      <c r="AS39" s="3084"/>
      <c r="AT39" s="2780"/>
      <c r="AU39" s="1835"/>
      <c r="AV39" s="1921"/>
      <c r="AW39" s="2236"/>
      <c r="AX39" s="3195"/>
      <c r="AY39" s="1922"/>
      <c r="AZ39" s="2237"/>
      <c r="BA39" s="1923"/>
      <c r="BB39" s="1924"/>
      <c r="BC39" s="2859"/>
      <c r="BD39" s="1706"/>
      <c r="BE39" s="1891"/>
      <c r="BF39" s="1948"/>
      <c r="BG39" s="1924"/>
      <c r="BH39" s="3634"/>
      <c r="BI39" s="3634"/>
      <c r="BJ39" s="1955"/>
      <c r="BK39" s="1951"/>
      <c r="BL39" s="3632"/>
    </row>
    <row r="40" spans="1:64" ht="15.75" thickBot="1">
      <c r="A40" s="3687"/>
      <c r="B40" s="2005" t="s">
        <v>34</v>
      </c>
      <c r="C40" s="3679"/>
      <c r="D40" s="1734">
        <f t="shared" si="11"/>
        <v>0</v>
      </c>
      <c r="E40" s="2126"/>
      <c r="F40" s="2127"/>
      <c r="G40" s="1717"/>
      <c r="H40" s="2128"/>
      <c r="I40" s="1718"/>
      <c r="J40" s="1785"/>
      <c r="K40" s="3190"/>
      <c r="L40" s="2027"/>
      <c r="M40" s="3285"/>
      <c r="N40" s="2822"/>
      <c r="O40" s="2930"/>
      <c r="P40" s="1717"/>
      <c r="Q40" s="2160"/>
      <c r="R40" s="3000"/>
      <c r="S40" s="1787"/>
      <c r="T40" s="1789"/>
      <c r="U40" s="2028"/>
      <c r="V40" s="2786"/>
      <c r="W40" s="1841"/>
      <c r="X40" s="1842"/>
      <c r="Y40" s="2194"/>
      <c r="Z40" s="1843"/>
      <c r="AA40" s="2195"/>
      <c r="AB40" s="1861"/>
      <c r="AC40" s="2854"/>
      <c r="AD40" s="1715"/>
      <c r="AE40" s="1716"/>
      <c r="AF40" s="1897"/>
      <c r="AG40" s="2229"/>
      <c r="AH40" s="1898"/>
      <c r="AI40" s="1899"/>
      <c r="AJ40" s="2230"/>
      <c r="AK40" s="2829"/>
      <c r="AL40" s="3285"/>
      <c r="AM40" s="2930"/>
      <c r="AN40" s="1804"/>
      <c r="AO40" s="2231"/>
      <c r="AP40" s="3009"/>
      <c r="AQ40" s="1902"/>
      <c r="AR40" s="2028"/>
      <c r="AS40" s="3088"/>
      <c r="AT40" s="2786"/>
      <c r="AU40" s="1841"/>
      <c r="AV40" s="1926"/>
      <c r="AW40" s="2257"/>
      <c r="AX40" s="3198"/>
      <c r="AY40" s="1927"/>
      <c r="AZ40" s="2242"/>
      <c r="BA40" s="1844"/>
      <c r="BB40" s="1845"/>
      <c r="BC40" s="2863"/>
      <c r="BD40" s="1715"/>
      <c r="BE40" s="1901"/>
      <c r="BF40" s="1949"/>
      <c r="BG40" s="1845"/>
      <c r="BH40" s="3634"/>
      <c r="BI40" s="3634"/>
      <c r="BJ40" s="1955"/>
      <c r="BK40" s="1951"/>
      <c r="BL40" s="3632"/>
    </row>
    <row r="41" spans="1:64" s="1990" customFormat="1" ht="15" customHeight="1" thickBot="1">
      <c r="A41" s="3686">
        <v>46129</v>
      </c>
      <c r="B41" s="1688" t="s">
        <v>32</v>
      </c>
      <c r="C41" s="3678">
        <f>SUM(D41:D44)</f>
        <v>488</v>
      </c>
      <c r="D41" s="1689">
        <f t="shared" si="11"/>
        <v>488</v>
      </c>
      <c r="E41" s="2113"/>
      <c r="F41" s="2102"/>
      <c r="G41" s="1692"/>
      <c r="H41" s="2103">
        <f>96+384</f>
        <v>480</v>
      </c>
      <c r="I41" s="1713"/>
      <c r="J41" s="1782"/>
      <c r="K41" s="3186"/>
      <c r="L41" s="2019"/>
      <c r="M41" s="3278"/>
      <c r="N41" s="2818"/>
      <c r="O41" s="2929"/>
      <c r="P41" s="1692"/>
      <c r="Q41" s="2133"/>
      <c r="R41" s="2993"/>
      <c r="S41" s="1784"/>
      <c r="T41" s="1750"/>
      <c r="U41" s="2020"/>
      <c r="V41" s="2779"/>
      <c r="W41" s="1816"/>
      <c r="X41" s="1817"/>
      <c r="Y41" s="2163"/>
      <c r="Z41" s="1818"/>
      <c r="AA41" s="2164"/>
      <c r="AB41" s="1820"/>
      <c r="AC41" s="2847"/>
      <c r="AD41" s="1726"/>
      <c r="AE41" s="1691"/>
      <c r="AF41" s="1869"/>
      <c r="AG41" s="2197">
        <v>6</v>
      </c>
      <c r="AH41" s="1893"/>
      <c r="AI41" s="1854"/>
      <c r="AJ41" s="2198"/>
      <c r="AK41" s="2825"/>
      <c r="AL41" s="3278"/>
      <c r="AM41" s="2929"/>
      <c r="AN41" s="1748"/>
      <c r="AO41" s="2199"/>
      <c r="AP41" s="3002"/>
      <c r="AQ41" s="1874"/>
      <c r="AR41" s="2020"/>
      <c r="AS41" s="3081"/>
      <c r="AT41" s="2779"/>
      <c r="AU41" s="1816"/>
      <c r="AV41" s="1910"/>
      <c r="AW41" s="2234"/>
      <c r="AX41" s="3194"/>
      <c r="AY41" s="1911"/>
      <c r="AZ41" s="2235"/>
      <c r="BA41" s="1864"/>
      <c r="BB41" s="1865"/>
      <c r="BC41" s="2856"/>
      <c r="BD41" s="1726"/>
      <c r="BE41" s="1873">
        <v>2</v>
      </c>
      <c r="BF41" s="1940"/>
      <c r="BG41" s="1865"/>
      <c r="BH41" s="3633">
        <f>SUM(E41:AC44)</f>
        <v>480</v>
      </c>
      <c r="BI41" s="3633">
        <f>SUM(E41:BC44)</f>
        <v>486</v>
      </c>
      <c r="BJ41" s="1955">
        <v>301</v>
      </c>
      <c r="BK41" s="1951" t="s">
        <v>646</v>
      </c>
      <c r="BL41" s="3675" t="s">
        <v>33</v>
      </c>
    </row>
    <row r="42" spans="1:64" ht="15.75" customHeight="1" thickBot="1">
      <c r="A42" s="3687"/>
      <c r="B42" s="1728" t="s">
        <v>34</v>
      </c>
      <c r="C42" s="3679"/>
      <c r="D42" s="1705">
        <f t="shared" si="11"/>
        <v>0</v>
      </c>
      <c r="E42" s="2104"/>
      <c r="F42" s="2105"/>
      <c r="G42" s="1708"/>
      <c r="H42" s="2106"/>
      <c r="I42" s="1712"/>
      <c r="J42" s="1779"/>
      <c r="K42" s="3187"/>
      <c r="L42" s="2024"/>
      <c r="M42" s="3279"/>
      <c r="N42" s="2819"/>
      <c r="O42" s="2928"/>
      <c r="P42" s="1708"/>
      <c r="Q42" s="2134"/>
      <c r="R42" s="2996"/>
      <c r="S42" s="1781"/>
      <c r="T42" s="1771"/>
      <c r="U42" s="2018"/>
      <c r="V42" s="2780"/>
      <c r="W42" s="1835"/>
      <c r="X42" s="1836"/>
      <c r="Y42" s="2165"/>
      <c r="Z42" s="1837"/>
      <c r="AA42" s="2166"/>
      <c r="AB42" s="1839"/>
      <c r="AC42" s="2850"/>
      <c r="AD42" s="1706"/>
      <c r="AE42" s="1707"/>
      <c r="AF42" s="1887"/>
      <c r="AG42" s="2200"/>
      <c r="AH42" s="1888"/>
      <c r="AI42" s="1889"/>
      <c r="AJ42" s="2201"/>
      <c r="AK42" s="2826"/>
      <c r="AL42" s="3279"/>
      <c r="AM42" s="2928"/>
      <c r="AN42" s="1769"/>
      <c r="AO42" s="2202"/>
      <c r="AP42" s="3005"/>
      <c r="AQ42" s="1892"/>
      <c r="AR42" s="2018"/>
      <c r="AS42" s="3084"/>
      <c r="AT42" s="2780"/>
      <c r="AU42" s="1835"/>
      <c r="AV42" s="1921"/>
      <c r="AW42" s="2236"/>
      <c r="AX42" s="3195"/>
      <c r="AY42" s="1922"/>
      <c r="AZ42" s="2237"/>
      <c r="BA42" s="1923"/>
      <c r="BB42" s="1924"/>
      <c r="BC42" s="2859"/>
      <c r="BD42" s="1706"/>
      <c r="BE42" s="1891"/>
      <c r="BF42" s="1948"/>
      <c r="BG42" s="1924"/>
      <c r="BH42" s="3634"/>
      <c r="BI42" s="3634"/>
      <c r="BJ42" s="1955"/>
      <c r="BK42" s="1951"/>
      <c r="BL42" s="3632"/>
    </row>
    <row r="43" spans="1:64" ht="15.75" thickBot="1">
      <c r="A43" s="3687"/>
      <c r="B43" s="1724" t="s">
        <v>34</v>
      </c>
      <c r="C43" s="3679"/>
      <c r="D43" s="1705">
        <f t="shared" si="11"/>
        <v>0</v>
      </c>
      <c r="E43" s="2104"/>
      <c r="F43" s="2105"/>
      <c r="G43" s="1708"/>
      <c r="H43" s="2106"/>
      <c r="I43" s="1712"/>
      <c r="J43" s="1779"/>
      <c r="K43" s="3187"/>
      <c r="L43" s="2024"/>
      <c r="M43" s="3279"/>
      <c r="N43" s="2819"/>
      <c r="O43" s="2928"/>
      <c r="P43" s="1708"/>
      <c r="Q43" s="2134"/>
      <c r="R43" s="2996"/>
      <c r="S43" s="1781"/>
      <c r="T43" s="1771"/>
      <c r="U43" s="2018"/>
      <c r="V43" s="2780"/>
      <c r="W43" s="1835"/>
      <c r="X43" s="1836"/>
      <c r="Y43" s="2165"/>
      <c r="Z43" s="1837"/>
      <c r="AA43" s="2166"/>
      <c r="AB43" s="1839"/>
      <c r="AC43" s="2850"/>
      <c r="AD43" s="1706"/>
      <c r="AE43" s="1707"/>
      <c r="AF43" s="1887"/>
      <c r="AG43" s="2200"/>
      <c r="AH43" s="1888"/>
      <c r="AI43" s="1889"/>
      <c r="AJ43" s="2201"/>
      <c r="AK43" s="2826"/>
      <c r="AL43" s="3279"/>
      <c r="AM43" s="2928"/>
      <c r="AN43" s="1769"/>
      <c r="AO43" s="2202"/>
      <c r="AP43" s="3005"/>
      <c r="AQ43" s="1892"/>
      <c r="AR43" s="2018"/>
      <c r="AS43" s="3084"/>
      <c r="AT43" s="2780"/>
      <c r="AU43" s="1835"/>
      <c r="AV43" s="1921"/>
      <c r="AW43" s="2236"/>
      <c r="AX43" s="3195"/>
      <c r="AY43" s="1922"/>
      <c r="AZ43" s="2237"/>
      <c r="BA43" s="1923"/>
      <c r="BB43" s="1924"/>
      <c r="BC43" s="2859"/>
      <c r="BD43" s="1706"/>
      <c r="BE43" s="1891"/>
      <c r="BF43" s="1948"/>
      <c r="BG43" s="1924"/>
      <c r="BH43" s="3634"/>
      <c r="BI43" s="3634"/>
      <c r="BJ43" s="1955"/>
      <c r="BK43" s="1951"/>
      <c r="BL43" s="3632"/>
    </row>
    <row r="44" spans="1:64" ht="18" customHeight="1" thickBot="1">
      <c r="A44" s="3687"/>
      <c r="B44" s="1999" t="s">
        <v>34</v>
      </c>
      <c r="C44" s="3679"/>
      <c r="D44" s="1998">
        <f t="shared" ref="D44" si="16">SUM(E44:BG44)</f>
        <v>0</v>
      </c>
      <c r="E44" s="2833"/>
      <c r="F44" s="2127"/>
      <c r="G44" s="1717"/>
      <c r="H44" s="2128"/>
      <c r="I44" s="1718"/>
      <c r="J44" s="1785"/>
      <c r="K44" s="3190"/>
      <c r="L44" s="2027"/>
      <c r="M44" s="3285"/>
      <c r="N44" s="2822"/>
      <c r="O44" s="2930"/>
      <c r="P44" s="1717"/>
      <c r="Q44" s="2160"/>
      <c r="R44" s="3000"/>
      <c r="S44" s="1787"/>
      <c r="T44" s="1789"/>
      <c r="U44" s="2028"/>
      <c r="V44" s="2786"/>
      <c r="W44" s="1841"/>
      <c r="X44" s="1842"/>
      <c r="Y44" s="2194"/>
      <c r="Z44" s="1843"/>
      <c r="AA44" s="2195"/>
      <c r="AB44" s="1861"/>
      <c r="AC44" s="2854"/>
      <c r="AD44" s="1715"/>
      <c r="AE44" s="1716"/>
      <c r="AF44" s="1897"/>
      <c r="AG44" s="2229"/>
      <c r="AH44" s="1898"/>
      <c r="AI44" s="1899"/>
      <c r="AJ44" s="2230"/>
      <c r="AK44" s="2829"/>
      <c r="AL44" s="3285"/>
      <c r="AM44" s="2930"/>
      <c r="AN44" s="1804"/>
      <c r="AO44" s="2231"/>
      <c r="AP44" s="3009"/>
      <c r="AQ44" s="1902"/>
      <c r="AR44" s="2028"/>
      <c r="AS44" s="3088"/>
      <c r="AT44" s="2786"/>
      <c r="AU44" s="1841"/>
      <c r="AV44" s="1926"/>
      <c r="AW44" s="2257"/>
      <c r="AX44" s="3198"/>
      <c r="AY44" s="1927"/>
      <c r="AZ44" s="2242"/>
      <c r="BA44" s="1844"/>
      <c r="BB44" s="1845"/>
      <c r="BC44" s="2863"/>
      <c r="BD44" s="1715"/>
      <c r="BE44" s="1901"/>
      <c r="BF44" s="1949"/>
      <c r="BG44" s="1845"/>
      <c r="BH44" s="3634"/>
      <c r="BI44" s="3634"/>
      <c r="BJ44" s="1955"/>
      <c r="BK44" s="2265"/>
      <c r="BL44" s="3632"/>
    </row>
    <row r="45" spans="1:64" s="2099" customFormat="1" ht="15" customHeight="1" thickBot="1">
      <c r="A45" s="3694">
        <v>46130</v>
      </c>
      <c r="B45" s="1688" t="s">
        <v>32</v>
      </c>
      <c r="C45" s="3713">
        <f>SUM(D45:D49)</f>
        <v>454</v>
      </c>
      <c r="D45" s="1719">
        <f t="shared" ref="D45:D55" si="17">SUM(E45:BG45)</f>
        <v>16</v>
      </c>
      <c r="E45" s="2834"/>
      <c r="F45" s="2102"/>
      <c r="G45" s="1692"/>
      <c r="H45" s="2103">
        <v>16</v>
      </c>
      <c r="I45" s="1713"/>
      <c r="J45" s="1782"/>
      <c r="K45" s="3186"/>
      <c r="L45" s="2835"/>
      <c r="M45" s="3286"/>
      <c r="N45" s="2989"/>
      <c r="O45" s="3094"/>
      <c r="P45" s="2836"/>
      <c r="Q45" s="2837"/>
      <c r="R45" s="3001"/>
      <c r="S45" s="1784"/>
      <c r="T45" s="1750"/>
      <c r="U45" s="2020"/>
      <c r="V45" s="2779"/>
      <c r="W45" s="1863"/>
      <c r="X45" s="2838"/>
      <c r="Y45" s="2839"/>
      <c r="Z45" s="2840"/>
      <c r="AA45" s="2841"/>
      <c r="AB45" s="1820"/>
      <c r="AC45" s="2847"/>
      <c r="AD45" s="1737"/>
      <c r="AE45" s="1727"/>
      <c r="AF45" s="1869"/>
      <c r="AG45" s="2197"/>
      <c r="AH45" s="1904"/>
      <c r="AI45" s="1905"/>
      <c r="AJ45" s="2842"/>
      <c r="AK45" s="2831"/>
      <c r="AL45" s="3286"/>
      <c r="AM45" s="3094"/>
      <c r="AN45" s="1906"/>
      <c r="AO45" s="2843"/>
      <c r="AP45" s="3010"/>
      <c r="AQ45" s="1874"/>
      <c r="AR45" s="2020"/>
      <c r="AS45" s="3081"/>
      <c r="AT45" s="2779"/>
      <c r="AU45" s="1863"/>
      <c r="AV45" s="1930"/>
      <c r="AW45" s="2234"/>
      <c r="AX45" s="3194"/>
      <c r="AY45" s="1911"/>
      <c r="AZ45" s="2235"/>
      <c r="BA45" s="1864"/>
      <c r="BB45" s="1865"/>
      <c r="BC45" s="2856"/>
      <c r="BD45" s="1726"/>
      <c r="BE45" s="1873"/>
      <c r="BF45" s="1863"/>
      <c r="BG45" s="1865"/>
      <c r="BH45" s="3642">
        <v>5</v>
      </c>
      <c r="BI45" s="3633">
        <f>SUM(E45:BC49)</f>
        <v>426</v>
      </c>
      <c r="BJ45" s="1955">
        <v>301</v>
      </c>
      <c r="BK45" s="1939" t="s">
        <v>466</v>
      </c>
      <c r="BL45" s="3675" t="s">
        <v>33</v>
      </c>
    </row>
    <row r="46" spans="1:64" ht="15.75" thickBot="1">
      <c r="A46" s="3695"/>
      <c r="B46" s="1724" t="s">
        <v>34</v>
      </c>
      <c r="C46" s="3714"/>
      <c r="D46" s="1705">
        <f t="shared" ref="D46:D48" si="18">SUM(E46:BG46)</f>
        <v>227</v>
      </c>
      <c r="E46" s="2104"/>
      <c r="F46" s="2105"/>
      <c r="G46" s="1708"/>
      <c r="H46" s="2106"/>
      <c r="I46" s="1712"/>
      <c r="J46" s="1779">
        <v>204</v>
      </c>
      <c r="K46" s="3187"/>
      <c r="L46" s="2024"/>
      <c r="M46" s="3279"/>
      <c r="N46" s="2819"/>
      <c r="O46" s="2928"/>
      <c r="P46" s="1708"/>
      <c r="Q46" s="2134"/>
      <c r="R46" s="2996"/>
      <c r="S46" s="1781"/>
      <c r="T46" s="1771"/>
      <c r="U46" s="2018"/>
      <c r="V46" s="2780"/>
      <c r="W46" s="1835"/>
      <c r="X46" s="1836"/>
      <c r="Y46" s="2165"/>
      <c r="Z46" s="1837"/>
      <c r="AA46" s="2166"/>
      <c r="AB46" s="1839"/>
      <c r="AC46" s="2850"/>
      <c r="AD46" s="1706"/>
      <c r="AE46" s="1707"/>
      <c r="AF46" s="1887"/>
      <c r="AG46" s="2200"/>
      <c r="AH46" s="1888"/>
      <c r="AI46" s="1889"/>
      <c r="AJ46" s="2201"/>
      <c r="AK46" s="2826"/>
      <c r="AL46" s="3279"/>
      <c r="AM46" s="2928"/>
      <c r="AN46" s="1769"/>
      <c r="AO46" s="2202"/>
      <c r="AP46" s="3005"/>
      <c r="AQ46" s="1892"/>
      <c r="AR46" s="2018"/>
      <c r="AS46" s="3084"/>
      <c r="AT46" s="2780"/>
      <c r="AU46" s="1835"/>
      <c r="AV46" s="1921"/>
      <c r="AW46" s="2236"/>
      <c r="AX46" s="3195"/>
      <c r="AY46" s="1922"/>
      <c r="AZ46" s="2237"/>
      <c r="BA46" s="1923"/>
      <c r="BB46" s="1924"/>
      <c r="BC46" s="2859"/>
      <c r="BD46" s="1706"/>
      <c r="BE46" s="1891"/>
      <c r="BF46" s="1948"/>
      <c r="BG46" s="1924">
        <v>23</v>
      </c>
      <c r="BH46" s="3643"/>
      <c r="BI46" s="3634"/>
      <c r="BJ46" s="1955" t="s">
        <v>553</v>
      </c>
      <c r="BK46" s="1951" t="s">
        <v>533</v>
      </c>
      <c r="BL46" s="3632"/>
    </row>
    <row r="47" spans="1:64" ht="15.75" thickBot="1">
      <c r="A47" s="3695"/>
      <c r="B47" s="1724" t="s">
        <v>34</v>
      </c>
      <c r="C47" s="3714"/>
      <c r="D47" s="1705">
        <f t="shared" si="18"/>
        <v>211</v>
      </c>
      <c r="E47" s="2104"/>
      <c r="F47" s="2105"/>
      <c r="G47" s="1708"/>
      <c r="H47" s="2106"/>
      <c r="I47" s="1712"/>
      <c r="J47" s="1779">
        <v>204</v>
      </c>
      <c r="K47" s="3187"/>
      <c r="L47" s="2024"/>
      <c r="M47" s="3279"/>
      <c r="N47" s="2819"/>
      <c r="O47" s="2928"/>
      <c r="P47" s="1708"/>
      <c r="Q47" s="2134"/>
      <c r="R47" s="2996"/>
      <c r="S47" s="1781"/>
      <c r="T47" s="1771"/>
      <c r="U47" s="2018"/>
      <c r="V47" s="2780"/>
      <c r="W47" s="1835"/>
      <c r="X47" s="1836"/>
      <c r="Y47" s="2165"/>
      <c r="Z47" s="1837"/>
      <c r="AA47" s="2166"/>
      <c r="AB47" s="1839"/>
      <c r="AC47" s="2850"/>
      <c r="AD47" s="1706"/>
      <c r="AE47" s="1707"/>
      <c r="AF47" s="1887"/>
      <c r="AG47" s="2200"/>
      <c r="AH47" s="1888"/>
      <c r="AI47" s="1889">
        <v>2</v>
      </c>
      <c r="AJ47" s="2201"/>
      <c r="AK47" s="2826"/>
      <c r="AL47" s="3279"/>
      <c r="AM47" s="2928"/>
      <c r="AN47" s="1769"/>
      <c r="AO47" s="2202"/>
      <c r="AP47" s="3005"/>
      <c r="AQ47" s="1892"/>
      <c r="AR47" s="2018"/>
      <c r="AS47" s="3084"/>
      <c r="AT47" s="2780"/>
      <c r="AU47" s="1835"/>
      <c r="AV47" s="1921"/>
      <c r="AW47" s="2236"/>
      <c r="AX47" s="3195"/>
      <c r="AY47" s="1922"/>
      <c r="AZ47" s="2237"/>
      <c r="BA47" s="1923"/>
      <c r="BB47" s="1924"/>
      <c r="BC47" s="2859"/>
      <c r="BD47" s="1706"/>
      <c r="BE47" s="1891"/>
      <c r="BF47" s="1948"/>
      <c r="BG47" s="1924">
        <v>5</v>
      </c>
      <c r="BH47" s="3643"/>
      <c r="BI47" s="3634"/>
      <c r="BJ47" s="1955"/>
      <c r="BK47" s="1951"/>
      <c r="BL47" s="3632"/>
    </row>
    <row r="48" spans="1:64" ht="15.75" customHeight="1" thickBot="1">
      <c r="A48" s="3695"/>
      <c r="B48" s="1728" t="s">
        <v>34</v>
      </c>
      <c r="C48" s="3714"/>
      <c r="D48" s="1705">
        <f t="shared" si="18"/>
        <v>0</v>
      </c>
      <c r="E48" s="2104"/>
      <c r="F48" s="2105"/>
      <c r="G48" s="1708"/>
      <c r="H48" s="2106"/>
      <c r="I48" s="1712"/>
      <c r="J48" s="1779"/>
      <c r="K48" s="3187"/>
      <c r="L48" s="2024"/>
      <c r="M48" s="3279"/>
      <c r="N48" s="2819"/>
      <c r="O48" s="2928"/>
      <c r="P48" s="1708"/>
      <c r="Q48" s="2134"/>
      <c r="R48" s="2996"/>
      <c r="S48" s="1781"/>
      <c r="T48" s="1771"/>
      <c r="U48" s="2018"/>
      <c r="V48" s="2780"/>
      <c r="W48" s="1835"/>
      <c r="X48" s="1836"/>
      <c r="Y48" s="2165"/>
      <c r="Z48" s="1837"/>
      <c r="AA48" s="2166"/>
      <c r="AB48" s="1839"/>
      <c r="AC48" s="2850"/>
      <c r="AD48" s="1706"/>
      <c r="AE48" s="1707"/>
      <c r="AF48" s="1887"/>
      <c r="AG48" s="2200"/>
      <c r="AH48" s="1888"/>
      <c r="AI48" s="1889"/>
      <c r="AJ48" s="2201"/>
      <c r="AK48" s="2826"/>
      <c r="AL48" s="3279"/>
      <c r="AM48" s="2928"/>
      <c r="AN48" s="1769"/>
      <c r="AO48" s="2202"/>
      <c r="AP48" s="3005"/>
      <c r="AQ48" s="1892"/>
      <c r="AR48" s="2018"/>
      <c r="AS48" s="3084"/>
      <c r="AT48" s="2780"/>
      <c r="AU48" s="1835"/>
      <c r="AV48" s="1921"/>
      <c r="AW48" s="2236"/>
      <c r="AX48" s="3195"/>
      <c r="AY48" s="1922"/>
      <c r="AZ48" s="2237"/>
      <c r="BA48" s="1923"/>
      <c r="BB48" s="1924"/>
      <c r="BC48" s="2859"/>
      <c r="BD48" s="1706"/>
      <c r="BE48" s="1891"/>
      <c r="BF48" s="1948"/>
      <c r="BG48" s="1924"/>
      <c r="BH48" s="3643"/>
      <c r="BI48" s="3634"/>
      <c r="BJ48" s="2261"/>
      <c r="BK48" s="1951"/>
      <c r="BL48" s="3632"/>
    </row>
    <row r="49" spans="1:64" ht="15.75" customHeight="1" thickBot="1">
      <c r="A49" s="3695"/>
      <c r="B49" s="1728" t="s">
        <v>34</v>
      </c>
      <c r="C49" s="3715"/>
      <c r="D49" s="1710">
        <f t="shared" si="17"/>
        <v>0</v>
      </c>
      <c r="E49" s="2107"/>
      <c r="F49" s="2108"/>
      <c r="G49" s="1698"/>
      <c r="H49" s="2109"/>
      <c r="I49" s="1732"/>
      <c r="J49" s="1800"/>
      <c r="K49" s="3188"/>
      <c r="L49" s="2021"/>
      <c r="M49" s="3280"/>
      <c r="N49" s="2820"/>
      <c r="O49" s="2932"/>
      <c r="P49" s="1698"/>
      <c r="Q49" s="2135"/>
      <c r="R49" s="2994"/>
      <c r="S49" s="1799"/>
      <c r="T49" s="1757"/>
      <c r="U49" s="2022"/>
      <c r="V49" s="2781"/>
      <c r="W49" s="1822"/>
      <c r="X49" s="1823"/>
      <c r="Y49" s="2167"/>
      <c r="Z49" s="1824"/>
      <c r="AA49" s="2168"/>
      <c r="AB49" s="1826"/>
      <c r="AC49" s="2848"/>
      <c r="AD49" s="1696"/>
      <c r="AE49" s="1697"/>
      <c r="AF49" s="1875"/>
      <c r="AG49" s="2203"/>
      <c r="AH49" s="1895"/>
      <c r="AI49" s="1858"/>
      <c r="AJ49" s="2204"/>
      <c r="AK49" s="2827"/>
      <c r="AL49" s="3280"/>
      <c r="AM49" s="2932"/>
      <c r="AN49" s="1755"/>
      <c r="AO49" s="2205"/>
      <c r="AP49" s="3003"/>
      <c r="AQ49" s="1880"/>
      <c r="AR49" s="2022"/>
      <c r="AS49" s="3082"/>
      <c r="AT49" s="2781"/>
      <c r="AU49" s="1822"/>
      <c r="AV49" s="1913"/>
      <c r="AW49" s="2238"/>
      <c r="AX49" s="3196"/>
      <c r="AY49" s="1914"/>
      <c r="AZ49" s="2239"/>
      <c r="BA49" s="1866"/>
      <c r="BB49" s="1867"/>
      <c r="BC49" s="2857"/>
      <c r="BD49" s="1696"/>
      <c r="BE49" s="1879"/>
      <c r="BF49" s="1944"/>
      <c r="BG49" s="1867"/>
      <c r="BH49" s="3644"/>
      <c r="BI49" s="3635"/>
      <c r="BJ49" s="1955"/>
      <c r="BK49" s="1951"/>
      <c r="BL49" s="3710"/>
    </row>
    <row r="50" spans="1:64" ht="15.75" customHeight="1" thickBot="1">
      <c r="A50" s="3686">
        <v>46131</v>
      </c>
      <c r="B50" s="1995" t="s">
        <v>32</v>
      </c>
      <c r="C50" s="3679">
        <f>SUM(D50:D53)</f>
        <v>638</v>
      </c>
      <c r="D50" s="1700">
        <f t="shared" si="17"/>
        <v>379</v>
      </c>
      <c r="E50" s="2110"/>
      <c r="F50" s="2111"/>
      <c r="G50" s="1703"/>
      <c r="H50" s="2112"/>
      <c r="I50" s="1711"/>
      <c r="J50" s="1776">
        <v>372</v>
      </c>
      <c r="K50" s="3189"/>
      <c r="L50" s="2023"/>
      <c r="M50" s="3281"/>
      <c r="N50" s="2821"/>
      <c r="O50" s="2927"/>
      <c r="P50" s="1703"/>
      <c r="Q50" s="2136"/>
      <c r="R50" s="2995"/>
      <c r="S50" s="1778"/>
      <c r="T50" s="1764"/>
      <c r="U50" s="2015"/>
      <c r="V50" s="2782"/>
      <c r="W50" s="1828"/>
      <c r="X50" s="1829"/>
      <c r="Y50" s="2169"/>
      <c r="Z50" s="1830"/>
      <c r="AA50" s="2170"/>
      <c r="AB50" s="1832"/>
      <c r="AC50" s="2849"/>
      <c r="AD50" s="1833"/>
      <c r="AE50" s="1702"/>
      <c r="AF50" s="1881"/>
      <c r="AG50" s="2206"/>
      <c r="AH50" s="1882"/>
      <c r="AI50" s="1883"/>
      <c r="AJ50" s="2207"/>
      <c r="AK50" s="2828"/>
      <c r="AL50" s="3281"/>
      <c r="AM50" s="2927"/>
      <c r="AN50" s="1762"/>
      <c r="AO50" s="2208"/>
      <c r="AP50" s="3004"/>
      <c r="AQ50" s="1886"/>
      <c r="AR50" s="2015"/>
      <c r="AS50" s="3083"/>
      <c r="AT50" s="2782"/>
      <c r="AU50" s="1828"/>
      <c r="AV50" s="1916"/>
      <c r="AW50" s="2240"/>
      <c r="AX50" s="3197"/>
      <c r="AY50" s="1917"/>
      <c r="AZ50" s="2241"/>
      <c r="BA50" s="1918"/>
      <c r="BB50" s="1919"/>
      <c r="BC50" s="2858"/>
      <c r="BD50" s="1833"/>
      <c r="BE50" s="1885"/>
      <c r="BF50" s="1946"/>
      <c r="BG50" s="1919">
        <v>7</v>
      </c>
      <c r="BH50" s="3634">
        <f>SUM(E50:AC53)</f>
        <v>612</v>
      </c>
      <c r="BI50" s="3634">
        <f>SUM(E50:BC53)</f>
        <v>612</v>
      </c>
      <c r="BJ50" s="2261" t="s">
        <v>553</v>
      </c>
      <c r="BK50" s="1951" t="s">
        <v>533</v>
      </c>
      <c r="BL50" s="3632" t="s">
        <v>33</v>
      </c>
    </row>
    <row r="51" spans="1:64" ht="15.75" thickBot="1">
      <c r="A51" s="3687"/>
      <c r="B51" s="1724" t="s">
        <v>34</v>
      </c>
      <c r="C51" s="3679"/>
      <c r="D51" s="1705">
        <f t="shared" ref="D51" si="19">SUM(E51:BG51)</f>
        <v>259</v>
      </c>
      <c r="E51" s="2104"/>
      <c r="F51" s="2105"/>
      <c r="G51" s="1708"/>
      <c r="H51" s="2106"/>
      <c r="I51" s="1712"/>
      <c r="J51" s="1779">
        <f>24+216</f>
        <v>240</v>
      </c>
      <c r="K51" s="3187"/>
      <c r="L51" s="2024"/>
      <c r="M51" s="3279"/>
      <c r="N51" s="2819"/>
      <c r="O51" s="2928"/>
      <c r="P51" s="1708"/>
      <c r="Q51" s="2134"/>
      <c r="R51" s="2996"/>
      <c r="S51" s="1781"/>
      <c r="T51" s="1771"/>
      <c r="U51" s="2018"/>
      <c r="V51" s="2780"/>
      <c r="W51" s="1835"/>
      <c r="X51" s="1836"/>
      <c r="Y51" s="2165"/>
      <c r="Z51" s="1837"/>
      <c r="AA51" s="2166"/>
      <c r="AB51" s="1839"/>
      <c r="AC51" s="2850"/>
      <c r="AD51" s="1706"/>
      <c r="AE51" s="1707"/>
      <c r="AF51" s="1887"/>
      <c r="AG51" s="2200"/>
      <c r="AH51" s="1888"/>
      <c r="AI51" s="1889"/>
      <c r="AJ51" s="2201"/>
      <c r="AK51" s="2826"/>
      <c r="AL51" s="3279"/>
      <c r="AM51" s="2928"/>
      <c r="AN51" s="1769"/>
      <c r="AO51" s="2202"/>
      <c r="AP51" s="3005"/>
      <c r="AQ51" s="1892"/>
      <c r="AR51" s="2018"/>
      <c r="AS51" s="3084"/>
      <c r="AT51" s="2780"/>
      <c r="AU51" s="1835"/>
      <c r="AV51" s="1921"/>
      <c r="AW51" s="2236"/>
      <c r="AX51" s="3195"/>
      <c r="AY51" s="1922"/>
      <c r="AZ51" s="2237"/>
      <c r="BA51" s="1923"/>
      <c r="BB51" s="1924"/>
      <c r="BC51" s="2859"/>
      <c r="BD51" s="1706"/>
      <c r="BE51" s="1891"/>
      <c r="BF51" s="1948"/>
      <c r="BG51" s="1924">
        <f>3+16</f>
        <v>19</v>
      </c>
      <c r="BH51" s="3634"/>
      <c r="BI51" s="3634"/>
      <c r="BJ51" s="2261"/>
      <c r="BK51" s="1951"/>
      <c r="BL51" s="3632"/>
    </row>
    <row r="52" spans="1:64" ht="15.75" customHeight="1" thickBot="1">
      <c r="A52" s="3687"/>
      <c r="B52" s="1728" t="s">
        <v>34</v>
      </c>
      <c r="C52" s="3679"/>
      <c r="D52" s="1705">
        <f t="shared" ref="D52" si="20">SUM(E52:BG52)</f>
        <v>0</v>
      </c>
      <c r="E52" s="2104"/>
      <c r="F52" s="2105"/>
      <c r="G52" s="1708"/>
      <c r="H52" s="2106"/>
      <c r="I52" s="1712"/>
      <c r="J52" s="1779"/>
      <c r="K52" s="3187"/>
      <c r="L52" s="2024"/>
      <c r="M52" s="3279"/>
      <c r="N52" s="2819"/>
      <c r="O52" s="2928"/>
      <c r="P52" s="1708"/>
      <c r="Q52" s="2134"/>
      <c r="R52" s="2996"/>
      <c r="S52" s="1781"/>
      <c r="T52" s="1771"/>
      <c r="U52" s="2018"/>
      <c r="V52" s="2780"/>
      <c r="W52" s="1835"/>
      <c r="X52" s="1836"/>
      <c r="Y52" s="2165"/>
      <c r="Z52" s="1837"/>
      <c r="AA52" s="2166"/>
      <c r="AB52" s="1839"/>
      <c r="AC52" s="2850"/>
      <c r="AD52" s="1706"/>
      <c r="AE52" s="1707"/>
      <c r="AF52" s="1887"/>
      <c r="AG52" s="2200"/>
      <c r="AH52" s="1888"/>
      <c r="AI52" s="1889"/>
      <c r="AJ52" s="2201"/>
      <c r="AK52" s="2826"/>
      <c r="AL52" s="3279"/>
      <c r="AM52" s="2928"/>
      <c r="AN52" s="1769"/>
      <c r="AO52" s="2202"/>
      <c r="AP52" s="3005"/>
      <c r="AQ52" s="1892"/>
      <c r="AR52" s="2018"/>
      <c r="AS52" s="3084"/>
      <c r="AT52" s="2780"/>
      <c r="AU52" s="1835"/>
      <c r="AV52" s="1921"/>
      <c r="AW52" s="2236"/>
      <c r="AX52" s="3195"/>
      <c r="AY52" s="1922"/>
      <c r="AZ52" s="2237"/>
      <c r="BA52" s="1923"/>
      <c r="BB52" s="1924"/>
      <c r="BC52" s="2859"/>
      <c r="BD52" s="1706"/>
      <c r="BE52" s="1891"/>
      <c r="BF52" s="1948"/>
      <c r="BG52" s="1924"/>
      <c r="BH52" s="3634"/>
      <c r="BI52" s="3634"/>
      <c r="BJ52" s="2261"/>
      <c r="BK52" s="1951"/>
      <c r="BL52" s="3632"/>
    </row>
    <row r="53" spans="1:64" ht="15.75" customHeight="1" thickBot="1">
      <c r="A53" s="3688"/>
      <c r="B53" s="1728" t="s">
        <v>34</v>
      </c>
      <c r="C53" s="3681"/>
      <c r="D53" s="1705">
        <f t="shared" si="17"/>
        <v>0</v>
      </c>
      <c r="E53" s="2104"/>
      <c r="F53" s="2105"/>
      <c r="G53" s="1708"/>
      <c r="H53" s="2106"/>
      <c r="I53" s="1712"/>
      <c r="J53" s="1779"/>
      <c r="K53" s="3187"/>
      <c r="L53" s="2024"/>
      <c r="M53" s="3279"/>
      <c r="N53" s="2819"/>
      <c r="O53" s="2928"/>
      <c r="P53" s="1708"/>
      <c r="Q53" s="2134"/>
      <c r="R53" s="2996"/>
      <c r="S53" s="1781"/>
      <c r="T53" s="1771"/>
      <c r="U53" s="2018"/>
      <c r="V53" s="2780"/>
      <c r="W53" s="1835"/>
      <c r="X53" s="1836"/>
      <c r="Y53" s="2165"/>
      <c r="Z53" s="1837"/>
      <c r="AA53" s="2166"/>
      <c r="AB53" s="1839"/>
      <c r="AC53" s="2850"/>
      <c r="AD53" s="1706"/>
      <c r="AE53" s="1707"/>
      <c r="AF53" s="1887"/>
      <c r="AG53" s="2200"/>
      <c r="AH53" s="1888"/>
      <c r="AI53" s="1889"/>
      <c r="AJ53" s="2201"/>
      <c r="AK53" s="2826"/>
      <c r="AL53" s="3279"/>
      <c r="AM53" s="2928"/>
      <c r="AN53" s="1769"/>
      <c r="AO53" s="2202"/>
      <c r="AP53" s="3005"/>
      <c r="AQ53" s="1892"/>
      <c r="AR53" s="2018"/>
      <c r="AS53" s="3084"/>
      <c r="AT53" s="2780"/>
      <c r="AU53" s="1835"/>
      <c r="AV53" s="1921"/>
      <c r="AW53" s="2236"/>
      <c r="AX53" s="3195"/>
      <c r="AY53" s="1922"/>
      <c r="AZ53" s="2237"/>
      <c r="BA53" s="1923"/>
      <c r="BB53" s="1924"/>
      <c r="BC53" s="2859"/>
      <c r="BD53" s="1706"/>
      <c r="BE53" s="1891"/>
      <c r="BF53" s="1948"/>
      <c r="BG53" s="1924"/>
      <c r="BH53" s="3635"/>
      <c r="BI53" s="3635"/>
      <c r="BJ53" s="2261"/>
      <c r="BK53" s="1951"/>
      <c r="BL53" s="3710"/>
    </row>
    <row r="54" spans="1:64" ht="15.75" thickBot="1">
      <c r="A54" s="3694">
        <v>46132</v>
      </c>
      <c r="B54" s="1688" t="s">
        <v>32</v>
      </c>
      <c r="C54" s="3678">
        <f>SUM(D54:D56)</f>
        <v>444</v>
      </c>
      <c r="D54" s="1689">
        <f t="shared" si="17"/>
        <v>347</v>
      </c>
      <c r="E54" s="2101"/>
      <c r="F54" s="2102"/>
      <c r="G54" s="1692"/>
      <c r="H54" s="2103"/>
      <c r="I54" s="1713"/>
      <c r="J54" s="1782">
        <f>180+156</f>
        <v>336</v>
      </c>
      <c r="K54" s="3186"/>
      <c r="L54" s="2019"/>
      <c r="M54" s="3278"/>
      <c r="N54" s="2818"/>
      <c r="O54" s="2929"/>
      <c r="P54" s="1692"/>
      <c r="Q54" s="2133"/>
      <c r="R54" s="2993"/>
      <c r="S54" s="1784"/>
      <c r="T54" s="1750"/>
      <c r="U54" s="2020"/>
      <c r="V54" s="2779"/>
      <c r="W54" s="1816"/>
      <c r="X54" s="1817"/>
      <c r="Y54" s="2163"/>
      <c r="Z54" s="1818"/>
      <c r="AA54" s="2164"/>
      <c r="AB54" s="1820"/>
      <c r="AC54" s="2847"/>
      <c r="AD54" s="1726"/>
      <c r="AE54" s="1691"/>
      <c r="AF54" s="1869"/>
      <c r="AG54" s="2197"/>
      <c r="AH54" s="1893"/>
      <c r="AI54" s="1854">
        <v>4</v>
      </c>
      <c r="AJ54" s="2198"/>
      <c r="AK54" s="2825"/>
      <c r="AL54" s="3278"/>
      <c r="AM54" s="2929"/>
      <c r="AN54" s="1748"/>
      <c r="AO54" s="2199"/>
      <c r="AP54" s="3002"/>
      <c r="AQ54" s="1874"/>
      <c r="AR54" s="2020"/>
      <c r="AS54" s="3081"/>
      <c r="AT54" s="2779"/>
      <c r="AU54" s="1816"/>
      <c r="AV54" s="1910"/>
      <c r="AW54" s="2234"/>
      <c r="AX54" s="3194"/>
      <c r="AY54" s="1911"/>
      <c r="AZ54" s="2235"/>
      <c r="BA54" s="1864"/>
      <c r="BB54" s="1865"/>
      <c r="BC54" s="2856"/>
      <c r="BD54" s="1726"/>
      <c r="BE54" s="1873"/>
      <c r="BF54" s="1940"/>
      <c r="BG54" s="1865">
        <f>4+3</f>
        <v>7</v>
      </c>
      <c r="BH54" s="3633">
        <f>SUM(E54:AC56)</f>
        <v>432</v>
      </c>
      <c r="BI54" s="3633">
        <f>SUM(E54:BC56)</f>
        <v>437</v>
      </c>
      <c r="BJ54" s="2261" t="s">
        <v>553</v>
      </c>
      <c r="BK54" s="1951" t="s">
        <v>613</v>
      </c>
      <c r="BL54" s="3675" t="s">
        <v>33</v>
      </c>
    </row>
    <row r="55" spans="1:64" ht="15.75" thickBot="1">
      <c r="A55" s="3695"/>
      <c r="B55" s="1724" t="s">
        <v>32</v>
      </c>
      <c r="C55" s="3679"/>
      <c r="D55" s="1705">
        <f t="shared" si="17"/>
        <v>97</v>
      </c>
      <c r="E55" s="2104"/>
      <c r="F55" s="2105"/>
      <c r="G55" s="1708"/>
      <c r="H55" s="2106"/>
      <c r="I55" s="1712"/>
      <c r="J55" s="1779">
        <v>96</v>
      </c>
      <c r="K55" s="3187"/>
      <c r="L55" s="2024"/>
      <c r="M55" s="3279"/>
      <c r="N55" s="2819"/>
      <c r="O55" s="2928"/>
      <c r="P55" s="1708"/>
      <c r="Q55" s="2134"/>
      <c r="R55" s="2996"/>
      <c r="S55" s="1781"/>
      <c r="T55" s="1771"/>
      <c r="U55" s="2018"/>
      <c r="V55" s="2780"/>
      <c r="W55" s="1835"/>
      <c r="X55" s="1836"/>
      <c r="Y55" s="2165"/>
      <c r="Z55" s="1837"/>
      <c r="AA55" s="2166"/>
      <c r="AB55" s="1839"/>
      <c r="AC55" s="2850"/>
      <c r="AD55" s="1706"/>
      <c r="AE55" s="1707"/>
      <c r="AF55" s="1887"/>
      <c r="AG55" s="2200"/>
      <c r="AH55" s="1888"/>
      <c r="AI55" s="1889">
        <v>1</v>
      </c>
      <c r="AJ55" s="2201"/>
      <c r="AK55" s="2826"/>
      <c r="AL55" s="3279"/>
      <c r="AM55" s="2928"/>
      <c r="AN55" s="1769"/>
      <c r="AO55" s="2202"/>
      <c r="AP55" s="3005"/>
      <c r="AQ55" s="1892"/>
      <c r="AR55" s="2018"/>
      <c r="AS55" s="3084"/>
      <c r="AT55" s="2780"/>
      <c r="AU55" s="1835"/>
      <c r="AV55" s="1921"/>
      <c r="AW55" s="2236"/>
      <c r="AX55" s="3195"/>
      <c r="AY55" s="1922"/>
      <c r="AZ55" s="2237"/>
      <c r="BA55" s="1923"/>
      <c r="BB55" s="1924"/>
      <c r="BC55" s="2859"/>
      <c r="BD55" s="1706"/>
      <c r="BE55" s="1891"/>
      <c r="BF55" s="1948"/>
      <c r="BG55" s="1924"/>
      <c r="BH55" s="3634"/>
      <c r="BI55" s="3634"/>
      <c r="BJ55" s="2261"/>
      <c r="BK55" s="1951"/>
      <c r="BL55" s="3632"/>
    </row>
    <row r="56" spans="1:64" ht="15.75" thickBot="1">
      <c r="A56" s="3695"/>
      <c r="B56" s="1724" t="s">
        <v>34</v>
      </c>
      <c r="C56" s="3679"/>
      <c r="D56" s="1705">
        <f t="shared" ref="D56" si="21">SUM(E56:BG56)</f>
        <v>0</v>
      </c>
      <c r="E56" s="2104"/>
      <c r="F56" s="2105"/>
      <c r="G56" s="1708"/>
      <c r="H56" s="2106"/>
      <c r="I56" s="1712"/>
      <c r="J56" s="1779"/>
      <c r="K56" s="3187"/>
      <c r="L56" s="2024"/>
      <c r="M56" s="3279"/>
      <c r="N56" s="2819"/>
      <c r="O56" s="2928"/>
      <c r="P56" s="1708"/>
      <c r="Q56" s="2134"/>
      <c r="R56" s="2996"/>
      <c r="S56" s="1781"/>
      <c r="T56" s="1771"/>
      <c r="U56" s="2018"/>
      <c r="V56" s="2780"/>
      <c r="W56" s="1835"/>
      <c r="X56" s="1836"/>
      <c r="Y56" s="2165"/>
      <c r="Z56" s="1837"/>
      <c r="AA56" s="2166"/>
      <c r="AB56" s="1839"/>
      <c r="AC56" s="2850"/>
      <c r="AD56" s="1706"/>
      <c r="AE56" s="1707"/>
      <c r="AF56" s="1887"/>
      <c r="AG56" s="2200"/>
      <c r="AH56" s="1888"/>
      <c r="AI56" s="1889"/>
      <c r="AJ56" s="2201"/>
      <c r="AK56" s="2826"/>
      <c r="AL56" s="3279"/>
      <c r="AM56" s="2928"/>
      <c r="AN56" s="1769"/>
      <c r="AO56" s="2202"/>
      <c r="AP56" s="3005"/>
      <c r="AQ56" s="1892"/>
      <c r="AR56" s="2018"/>
      <c r="AS56" s="3084"/>
      <c r="AT56" s="2780"/>
      <c r="AU56" s="1835"/>
      <c r="AV56" s="1921"/>
      <c r="AW56" s="2236"/>
      <c r="AX56" s="3195"/>
      <c r="AY56" s="1922"/>
      <c r="AZ56" s="2237"/>
      <c r="BA56" s="1923"/>
      <c r="BB56" s="1924"/>
      <c r="BC56" s="2859"/>
      <c r="BD56" s="1706"/>
      <c r="BE56" s="1891"/>
      <c r="BF56" s="1948"/>
      <c r="BG56" s="1924"/>
      <c r="BH56" s="3634"/>
      <c r="BI56" s="3634"/>
      <c r="BJ56" s="2261"/>
      <c r="BK56" s="1951"/>
      <c r="BL56" s="3632"/>
    </row>
    <row r="57" spans="1:64" ht="15.75" thickBot="1">
      <c r="A57" s="3694">
        <v>46133</v>
      </c>
      <c r="B57" s="1738" t="s">
        <v>32</v>
      </c>
      <c r="C57" s="3678">
        <f>SUM(D57:D60)</f>
        <v>605</v>
      </c>
      <c r="D57" s="1689">
        <f t="shared" ref="D57:D67" si="22">SUM(E57:BG57)</f>
        <v>355</v>
      </c>
      <c r="E57" s="2101"/>
      <c r="F57" s="2102"/>
      <c r="G57" s="1692"/>
      <c r="H57" s="2103"/>
      <c r="I57" s="1713"/>
      <c r="J57" s="1782">
        <v>348</v>
      </c>
      <c r="K57" s="3186"/>
      <c r="L57" s="2019"/>
      <c r="M57" s="3278"/>
      <c r="N57" s="2818"/>
      <c r="O57" s="2929"/>
      <c r="P57" s="1692"/>
      <c r="Q57" s="2133"/>
      <c r="R57" s="2993"/>
      <c r="S57" s="1784"/>
      <c r="T57" s="1750"/>
      <c r="U57" s="2020"/>
      <c r="V57" s="2779"/>
      <c r="W57" s="1816"/>
      <c r="X57" s="1817"/>
      <c r="Y57" s="2163"/>
      <c r="Z57" s="1818"/>
      <c r="AA57" s="2164"/>
      <c r="AB57" s="1820"/>
      <c r="AC57" s="2847"/>
      <c r="AD57" s="1726"/>
      <c r="AE57" s="1691"/>
      <c r="AF57" s="1869"/>
      <c r="AG57" s="2197"/>
      <c r="AH57" s="1893"/>
      <c r="AI57" s="1854"/>
      <c r="AJ57" s="2198"/>
      <c r="AK57" s="2825"/>
      <c r="AL57" s="3278"/>
      <c r="AM57" s="2929"/>
      <c r="AN57" s="1748"/>
      <c r="AO57" s="2199"/>
      <c r="AP57" s="3002"/>
      <c r="AQ57" s="1874"/>
      <c r="AR57" s="2020"/>
      <c r="AS57" s="3081"/>
      <c r="AT57" s="2779"/>
      <c r="AU57" s="1816"/>
      <c r="AV57" s="1910"/>
      <c r="AW57" s="2234"/>
      <c r="AX57" s="3194"/>
      <c r="AY57" s="1911"/>
      <c r="AZ57" s="2235"/>
      <c r="BA57" s="1864"/>
      <c r="BB57" s="1865"/>
      <c r="BC57" s="2856"/>
      <c r="BD57" s="1726"/>
      <c r="BE57" s="1873"/>
      <c r="BF57" s="1940"/>
      <c r="BG57" s="1865">
        <v>7</v>
      </c>
      <c r="BH57" s="3633">
        <f>SUM(E57:AC60)</f>
        <v>576</v>
      </c>
      <c r="BI57" s="3633">
        <f>SUM(E57:BC60)</f>
        <v>580</v>
      </c>
      <c r="BJ57" s="2261" t="s">
        <v>553</v>
      </c>
      <c r="BK57" s="1951" t="s">
        <v>663</v>
      </c>
      <c r="BL57" s="3675" t="s">
        <v>33</v>
      </c>
    </row>
    <row r="58" spans="1:64" ht="15.75" customHeight="1" thickBot="1">
      <c r="A58" s="3695"/>
      <c r="B58" s="1694" t="s">
        <v>34</v>
      </c>
      <c r="C58" s="3679"/>
      <c r="D58" s="1705">
        <f t="shared" si="22"/>
        <v>250</v>
      </c>
      <c r="E58" s="2104"/>
      <c r="F58" s="2105"/>
      <c r="G58" s="1708"/>
      <c r="H58" s="2106"/>
      <c r="I58" s="1712"/>
      <c r="J58" s="1779">
        <f>96+132</f>
        <v>228</v>
      </c>
      <c r="K58" s="3187"/>
      <c r="L58" s="2024"/>
      <c r="M58" s="3279"/>
      <c r="N58" s="2819"/>
      <c r="O58" s="2928"/>
      <c r="P58" s="1708"/>
      <c r="Q58" s="2134"/>
      <c r="R58" s="2996"/>
      <c r="S58" s="1781"/>
      <c r="T58" s="1771"/>
      <c r="U58" s="2018"/>
      <c r="V58" s="2780"/>
      <c r="W58" s="1835"/>
      <c r="X58" s="1836"/>
      <c r="Y58" s="2165"/>
      <c r="Z58" s="1837"/>
      <c r="AA58" s="2166"/>
      <c r="AB58" s="1839"/>
      <c r="AC58" s="2850"/>
      <c r="AD58" s="1706"/>
      <c r="AE58" s="1707"/>
      <c r="AF58" s="1887"/>
      <c r="AG58" s="2200"/>
      <c r="AH58" s="1888"/>
      <c r="AI58" s="1889">
        <v>4</v>
      </c>
      <c r="AJ58" s="2201"/>
      <c r="AK58" s="2826"/>
      <c r="AL58" s="3279"/>
      <c r="AM58" s="2928"/>
      <c r="AN58" s="1769"/>
      <c r="AO58" s="2202"/>
      <c r="AP58" s="3005"/>
      <c r="AQ58" s="1892"/>
      <c r="AR58" s="2018"/>
      <c r="AS58" s="3084"/>
      <c r="AT58" s="2780"/>
      <c r="AU58" s="1835"/>
      <c r="AV58" s="1921"/>
      <c r="AW58" s="2236"/>
      <c r="AX58" s="3195"/>
      <c r="AY58" s="1927"/>
      <c r="AZ58" s="2242"/>
      <c r="BA58" s="1866"/>
      <c r="BB58" s="1867"/>
      <c r="BC58" s="2857"/>
      <c r="BD58" s="1706"/>
      <c r="BE58" s="1891"/>
      <c r="BF58" s="1948"/>
      <c r="BG58" s="1924">
        <f>15+3</f>
        <v>18</v>
      </c>
      <c r="BH58" s="3634"/>
      <c r="BI58" s="3634"/>
      <c r="BJ58" s="2261"/>
      <c r="BK58" s="1951"/>
      <c r="BL58" s="3632"/>
    </row>
    <row r="59" spans="1:64" ht="15.75" customHeight="1" thickBot="1">
      <c r="A59" s="3695"/>
      <c r="B59" s="1694" t="s">
        <v>34</v>
      </c>
      <c r="C59" s="3679"/>
      <c r="D59" s="1705">
        <f t="shared" ref="D59" si="23">SUM(E59:BG59)</f>
        <v>0</v>
      </c>
      <c r="E59" s="2104"/>
      <c r="F59" s="2105"/>
      <c r="G59" s="1708"/>
      <c r="H59" s="2106"/>
      <c r="I59" s="1712"/>
      <c r="J59" s="1779"/>
      <c r="K59" s="3187"/>
      <c r="L59" s="2024"/>
      <c r="M59" s="3279"/>
      <c r="N59" s="2819"/>
      <c r="O59" s="2928"/>
      <c r="P59" s="1708"/>
      <c r="Q59" s="2134"/>
      <c r="R59" s="2996"/>
      <c r="S59" s="1781"/>
      <c r="T59" s="1771"/>
      <c r="U59" s="2018"/>
      <c r="V59" s="2780"/>
      <c r="W59" s="1835"/>
      <c r="X59" s="1836"/>
      <c r="Y59" s="2165"/>
      <c r="Z59" s="1837"/>
      <c r="AA59" s="2166"/>
      <c r="AB59" s="1839"/>
      <c r="AC59" s="2850"/>
      <c r="AD59" s="1706"/>
      <c r="AE59" s="1707"/>
      <c r="AF59" s="1887"/>
      <c r="AG59" s="2200"/>
      <c r="AH59" s="1888"/>
      <c r="AI59" s="1889"/>
      <c r="AJ59" s="2201"/>
      <c r="AK59" s="2826"/>
      <c r="AL59" s="3279"/>
      <c r="AM59" s="2928"/>
      <c r="AN59" s="1769"/>
      <c r="AO59" s="2202"/>
      <c r="AP59" s="3005"/>
      <c r="AQ59" s="1892"/>
      <c r="AR59" s="2018"/>
      <c r="AS59" s="3084"/>
      <c r="AT59" s="2780"/>
      <c r="AU59" s="1835"/>
      <c r="AV59" s="1921"/>
      <c r="AW59" s="2236"/>
      <c r="AX59" s="3195"/>
      <c r="AY59" s="1927"/>
      <c r="AZ59" s="2242"/>
      <c r="BA59" s="1866"/>
      <c r="BB59" s="1867"/>
      <c r="BC59" s="2857"/>
      <c r="BD59" s="1706"/>
      <c r="BE59" s="1891"/>
      <c r="BF59" s="1948"/>
      <c r="BG59" s="1924"/>
      <c r="BH59" s="3634"/>
      <c r="BI59" s="3634"/>
      <c r="BJ59" s="2261"/>
      <c r="BK59" s="1951"/>
      <c r="BL59" s="3632"/>
    </row>
    <row r="60" spans="1:64" ht="15.75" customHeight="1" thickBot="1">
      <c r="A60" s="3695"/>
      <c r="B60" s="1694" t="s">
        <v>34</v>
      </c>
      <c r="C60" s="3679"/>
      <c r="D60" s="1705">
        <f t="shared" ref="D60" si="24">SUM(E60:BG60)</f>
        <v>0</v>
      </c>
      <c r="E60" s="2104"/>
      <c r="F60" s="2105"/>
      <c r="G60" s="1708"/>
      <c r="H60" s="2106"/>
      <c r="I60" s="1712"/>
      <c r="J60" s="1779"/>
      <c r="K60" s="3187"/>
      <c r="L60" s="2024"/>
      <c r="M60" s="3279"/>
      <c r="N60" s="2819"/>
      <c r="O60" s="2928"/>
      <c r="P60" s="1708"/>
      <c r="Q60" s="2134"/>
      <c r="R60" s="2996"/>
      <c r="S60" s="1781"/>
      <c r="T60" s="1771"/>
      <c r="U60" s="2018"/>
      <c r="V60" s="2780"/>
      <c r="W60" s="1835"/>
      <c r="X60" s="1836"/>
      <c r="Y60" s="2165"/>
      <c r="Z60" s="1837"/>
      <c r="AA60" s="2166"/>
      <c r="AB60" s="1839"/>
      <c r="AC60" s="2850"/>
      <c r="AD60" s="1706"/>
      <c r="AE60" s="1707"/>
      <c r="AF60" s="1887"/>
      <c r="AG60" s="2200"/>
      <c r="AH60" s="1888"/>
      <c r="AI60" s="1889"/>
      <c r="AJ60" s="2201"/>
      <c r="AK60" s="2826"/>
      <c r="AL60" s="3279"/>
      <c r="AM60" s="2928"/>
      <c r="AN60" s="1769"/>
      <c r="AO60" s="2202"/>
      <c r="AP60" s="3005"/>
      <c r="AQ60" s="1892"/>
      <c r="AR60" s="2018"/>
      <c r="AS60" s="3084"/>
      <c r="AT60" s="2780"/>
      <c r="AU60" s="1835"/>
      <c r="AV60" s="1921"/>
      <c r="AW60" s="2236"/>
      <c r="AX60" s="3195"/>
      <c r="AY60" s="1927"/>
      <c r="AZ60" s="2242"/>
      <c r="BA60" s="1866"/>
      <c r="BB60" s="1867"/>
      <c r="BC60" s="2857"/>
      <c r="BD60" s="1706"/>
      <c r="BE60" s="1891"/>
      <c r="BF60" s="1948"/>
      <c r="BG60" s="1924"/>
      <c r="BH60" s="3634"/>
      <c r="BI60" s="3634"/>
      <c r="BJ60" s="2261"/>
      <c r="BK60" s="1951"/>
      <c r="BL60" s="3632"/>
    </row>
    <row r="61" spans="1:64" ht="15.75" thickBot="1">
      <c r="A61" s="3694">
        <v>46134</v>
      </c>
      <c r="B61" s="1738" t="s">
        <v>32</v>
      </c>
      <c r="C61" s="3678">
        <f>SUM(D61:D64)</f>
        <v>481</v>
      </c>
      <c r="D61" s="1689">
        <f t="shared" si="22"/>
        <v>324</v>
      </c>
      <c r="E61" s="2101"/>
      <c r="F61" s="2102"/>
      <c r="G61" s="1692"/>
      <c r="H61" s="2103"/>
      <c r="I61" s="1713"/>
      <c r="J61" s="1782">
        <f>228+84</f>
        <v>312</v>
      </c>
      <c r="K61" s="3186"/>
      <c r="L61" s="2019"/>
      <c r="M61" s="3278"/>
      <c r="N61" s="2818"/>
      <c r="O61" s="2929"/>
      <c r="P61" s="1692"/>
      <c r="Q61" s="2133"/>
      <c r="R61" s="2993"/>
      <c r="S61" s="1784"/>
      <c r="T61" s="1750"/>
      <c r="U61" s="2020"/>
      <c r="V61" s="2779"/>
      <c r="W61" s="1816"/>
      <c r="X61" s="1817"/>
      <c r="Y61" s="2163"/>
      <c r="Z61" s="1818"/>
      <c r="AA61" s="2164"/>
      <c r="AB61" s="1820"/>
      <c r="AC61" s="2847"/>
      <c r="AD61" s="1726"/>
      <c r="AE61" s="1691"/>
      <c r="AF61" s="1869"/>
      <c r="AG61" s="2197"/>
      <c r="AH61" s="1893"/>
      <c r="AI61" s="1854">
        <v>6</v>
      </c>
      <c r="AJ61" s="2198"/>
      <c r="AK61" s="2825"/>
      <c r="AL61" s="3278"/>
      <c r="AM61" s="2929"/>
      <c r="AN61" s="1748"/>
      <c r="AO61" s="2199"/>
      <c r="AP61" s="3002"/>
      <c r="AQ61" s="1874"/>
      <c r="AR61" s="2020"/>
      <c r="AS61" s="3081"/>
      <c r="AT61" s="2779"/>
      <c r="AU61" s="1816"/>
      <c r="AV61" s="1910"/>
      <c r="AW61" s="2234"/>
      <c r="AX61" s="3194"/>
      <c r="AY61" s="1911"/>
      <c r="AZ61" s="2235"/>
      <c r="BA61" s="1864"/>
      <c r="BB61" s="1865"/>
      <c r="BC61" s="2856"/>
      <c r="BD61" s="1726"/>
      <c r="BE61" s="1873"/>
      <c r="BF61" s="1940"/>
      <c r="BG61" s="1865">
        <f>5+1</f>
        <v>6</v>
      </c>
      <c r="BH61" s="3633">
        <f>SUM(E61:AC64)</f>
        <v>456</v>
      </c>
      <c r="BI61" s="3633">
        <f>SUM(E61:BC64)</f>
        <v>462</v>
      </c>
      <c r="BJ61" s="2261" t="s">
        <v>553</v>
      </c>
      <c r="BK61" s="1951" t="s">
        <v>666</v>
      </c>
      <c r="BL61" s="3675"/>
    </row>
    <row r="62" spans="1:64" ht="15.75" customHeight="1" thickBot="1">
      <c r="A62" s="3695"/>
      <c r="B62" s="1738" t="s">
        <v>34</v>
      </c>
      <c r="C62" s="3679"/>
      <c r="D62" s="1705">
        <f t="shared" si="22"/>
        <v>157</v>
      </c>
      <c r="E62" s="2104"/>
      <c r="F62" s="2105"/>
      <c r="G62" s="1708"/>
      <c r="H62" s="2106"/>
      <c r="I62" s="1712"/>
      <c r="J62" s="1779">
        <v>144</v>
      </c>
      <c r="K62" s="3187"/>
      <c r="L62" s="2024"/>
      <c r="M62" s="3279"/>
      <c r="N62" s="2819"/>
      <c r="O62" s="2928"/>
      <c r="P62" s="1708"/>
      <c r="Q62" s="2134"/>
      <c r="R62" s="2996"/>
      <c r="S62" s="1781"/>
      <c r="T62" s="1771"/>
      <c r="U62" s="2018"/>
      <c r="V62" s="2780"/>
      <c r="W62" s="1835"/>
      <c r="X62" s="1836"/>
      <c r="Y62" s="2165"/>
      <c r="Z62" s="1837"/>
      <c r="AA62" s="2166"/>
      <c r="AB62" s="1839"/>
      <c r="AC62" s="2850"/>
      <c r="AD62" s="1706"/>
      <c r="AE62" s="1707"/>
      <c r="AF62" s="1887"/>
      <c r="AG62" s="2200"/>
      <c r="AH62" s="1888"/>
      <c r="AI62" s="1889"/>
      <c r="AJ62" s="2201"/>
      <c r="AK62" s="2826"/>
      <c r="AL62" s="3279"/>
      <c r="AM62" s="2928"/>
      <c r="AN62" s="1769"/>
      <c r="AO62" s="2202"/>
      <c r="AP62" s="3005"/>
      <c r="AQ62" s="1892"/>
      <c r="AR62" s="2018"/>
      <c r="AS62" s="3084"/>
      <c r="AT62" s="2780"/>
      <c r="AU62" s="1835"/>
      <c r="AV62" s="1921"/>
      <c r="AW62" s="2236"/>
      <c r="AX62" s="3195"/>
      <c r="AY62" s="1927"/>
      <c r="AZ62" s="2242"/>
      <c r="BA62" s="1866"/>
      <c r="BB62" s="1867"/>
      <c r="BC62" s="2857"/>
      <c r="BD62" s="1706"/>
      <c r="BE62" s="1891"/>
      <c r="BF62" s="1948"/>
      <c r="BG62" s="1924">
        <v>13</v>
      </c>
      <c r="BH62" s="3634"/>
      <c r="BI62" s="3634"/>
      <c r="BJ62" s="2261"/>
      <c r="BK62" s="1951"/>
      <c r="BL62" s="3632"/>
    </row>
    <row r="63" spans="1:64" ht="15.75" customHeight="1" thickBot="1">
      <c r="A63" s="3695"/>
      <c r="B63" s="1738" t="s">
        <v>34</v>
      </c>
      <c r="C63" s="3679"/>
      <c r="D63" s="1705">
        <f t="shared" ref="D63" si="25">SUM(E63:BG63)</f>
        <v>0</v>
      </c>
      <c r="E63" s="2104"/>
      <c r="F63" s="2105"/>
      <c r="G63" s="1708"/>
      <c r="H63" s="2106"/>
      <c r="I63" s="1712"/>
      <c r="J63" s="1779"/>
      <c r="K63" s="3187"/>
      <c r="L63" s="2024"/>
      <c r="M63" s="3279"/>
      <c r="N63" s="2819"/>
      <c r="O63" s="2928"/>
      <c r="P63" s="1708"/>
      <c r="Q63" s="2134"/>
      <c r="R63" s="2996"/>
      <c r="S63" s="1781"/>
      <c r="T63" s="1771"/>
      <c r="U63" s="2018"/>
      <c r="V63" s="2780"/>
      <c r="W63" s="1835"/>
      <c r="X63" s="1836"/>
      <c r="Y63" s="2165"/>
      <c r="Z63" s="1837"/>
      <c r="AA63" s="2166"/>
      <c r="AB63" s="1839"/>
      <c r="AC63" s="2850"/>
      <c r="AD63" s="1706"/>
      <c r="AE63" s="1707"/>
      <c r="AF63" s="1887"/>
      <c r="AG63" s="2200"/>
      <c r="AH63" s="1888"/>
      <c r="AI63" s="1889"/>
      <c r="AJ63" s="2201"/>
      <c r="AK63" s="2826"/>
      <c r="AL63" s="3279"/>
      <c r="AM63" s="2928"/>
      <c r="AN63" s="1769"/>
      <c r="AO63" s="2202"/>
      <c r="AP63" s="3005"/>
      <c r="AQ63" s="1892"/>
      <c r="AR63" s="2018"/>
      <c r="AS63" s="3084"/>
      <c r="AT63" s="2780"/>
      <c r="AU63" s="1835"/>
      <c r="AV63" s="1921"/>
      <c r="AW63" s="2236"/>
      <c r="AX63" s="3195"/>
      <c r="AY63" s="1927"/>
      <c r="AZ63" s="2242"/>
      <c r="BA63" s="1866"/>
      <c r="BB63" s="1867"/>
      <c r="BC63" s="2857"/>
      <c r="BD63" s="1706"/>
      <c r="BE63" s="1891"/>
      <c r="BF63" s="1948"/>
      <c r="BG63" s="1924"/>
      <c r="BH63" s="3634"/>
      <c r="BI63" s="3634"/>
      <c r="BJ63" s="2261"/>
      <c r="BK63" s="1951"/>
      <c r="BL63" s="3632"/>
    </row>
    <row r="64" spans="1:64" ht="15.75" thickBot="1">
      <c r="A64" s="3695"/>
      <c r="B64" s="1694" t="s">
        <v>34</v>
      </c>
      <c r="C64" s="3679"/>
      <c r="D64" s="1705">
        <f t="shared" si="22"/>
        <v>0</v>
      </c>
      <c r="E64" s="2104"/>
      <c r="F64" s="2105"/>
      <c r="G64" s="1708"/>
      <c r="H64" s="2106"/>
      <c r="I64" s="1712"/>
      <c r="J64" s="1779"/>
      <c r="K64" s="3187"/>
      <c r="L64" s="2024"/>
      <c r="M64" s="3279"/>
      <c r="N64" s="2819"/>
      <c r="O64" s="2928"/>
      <c r="P64" s="1708"/>
      <c r="Q64" s="2134"/>
      <c r="R64" s="2996"/>
      <c r="S64" s="1781"/>
      <c r="T64" s="1771"/>
      <c r="U64" s="2018"/>
      <c r="V64" s="2780"/>
      <c r="W64" s="1835"/>
      <c r="X64" s="1836"/>
      <c r="Y64" s="2165"/>
      <c r="Z64" s="1837"/>
      <c r="AA64" s="2166"/>
      <c r="AB64" s="1839"/>
      <c r="AC64" s="2850"/>
      <c r="AD64" s="1706"/>
      <c r="AE64" s="1707"/>
      <c r="AF64" s="1887"/>
      <c r="AG64" s="2200"/>
      <c r="AH64" s="1888"/>
      <c r="AI64" s="1889"/>
      <c r="AJ64" s="2201"/>
      <c r="AK64" s="2826"/>
      <c r="AL64" s="3279"/>
      <c r="AM64" s="2928"/>
      <c r="AN64" s="1769"/>
      <c r="AO64" s="2202"/>
      <c r="AP64" s="3005"/>
      <c r="AQ64" s="1892"/>
      <c r="AR64" s="2018"/>
      <c r="AS64" s="3084"/>
      <c r="AT64" s="2780"/>
      <c r="AU64" s="1835"/>
      <c r="AV64" s="1921"/>
      <c r="AW64" s="2236"/>
      <c r="AX64" s="3195"/>
      <c r="AY64" s="1922"/>
      <c r="AZ64" s="2237"/>
      <c r="BA64" s="1923"/>
      <c r="BB64" s="1924"/>
      <c r="BC64" s="2859"/>
      <c r="BD64" s="1706"/>
      <c r="BE64" s="1891"/>
      <c r="BF64" s="1948"/>
      <c r="BG64" s="1924"/>
      <c r="BH64" s="3634"/>
      <c r="BI64" s="3634"/>
      <c r="BJ64" s="2261"/>
      <c r="BK64" s="1951"/>
      <c r="BL64" s="3632"/>
    </row>
    <row r="65" spans="1:64" ht="15.75" thickBot="1">
      <c r="A65" s="3694">
        <v>46135</v>
      </c>
      <c r="B65" s="1738" t="s">
        <v>32</v>
      </c>
      <c r="C65" s="3678">
        <f>SUM(D65:D68)</f>
        <v>379</v>
      </c>
      <c r="D65" s="1689">
        <f t="shared" si="22"/>
        <v>38</v>
      </c>
      <c r="E65" s="2101"/>
      <c r="F65" s="2102"/>
      <c r="G65" s="1692"/>
      <c r="H65" s="2103"/>
      <c r="I65" s="1713"/>
      <c r="J65" s="1782">
        <v>36</v>
      </c>
      <c r="K65" s="3186"/>
      <c r="L65" s="2019"/>
      <c r="M65" s="3278"/>
      <c r="N65" s="2818"/>
      <c r="O65" s="2929"/>
      <c r="P65" s="1692"/>
      <c r="Q65" s="2133"/>
      <c r="R65" s="2993"/>
      <c r="S65" s="1784"/>
      <c r="T65" s="1771"/>
      <c r="U65" s="2020"/>
      <c r="V65" s="2779"/>
      <c r="W65" s="1816"/>
      <c r="X65" s="1817"/>
      <c r="Y65" s="2163"/>
      <c r="Z65" s="1818"/>
      <c r="AA65" s="2164"/>
      <c r="AB65" s="1820"/>
      <c r="AC65" s="2847"/>
      <c r="AD65" s="1726"/>
      <c r="AE65" s="1691"/>
      <c r="AF65" s="1869"/>
      <c r="AG65" s="2197"/>
      <c r="AH65" s="1893"/>
      <c r="AI65" s="1854"/>
      <c r="AJ65" s="2198"/>
      <c r="AK65" s="2825"/>
      <c r="AL65" s="3278"/>
      <c r="AM65" s="2929"/>
      <c r="AN65" s="1748"/>
      <c r="AO65" s="2199"/>
      <c r="AP65" s="3002"/>
      <c r="AQ65" s="1874"/>
      <c r="AR65" s="2020"/>
      <c r="AS65" s="3081"/>
      <c r="AT65" s="2779"/>
      <c r="AU65" s="1816"/>
      <c r="AV65" s="1910"/>
      <c r="AW65" s="2234"/>
      <c r="AX65" s="3194"/>
      <c r="AY65" s="1911"/>
      <c r="AZ65" s="2235"/>
      <c r="BA65" s="1864"/>
      <c r="BB65" s="1865"/>
      <c r="BC65" s="2856"/>
      <c r="BD65" s="1726"/>
      <c r="BE65" s="1873"/>
      <c r="BF65" s="1940"/>
      <c r="BG65" s="1865">
        <v>2</v>
      </c>
      <c r="BH65" s="3633">
        <f>SUM(E65:AC68)</f>
        <v>356</v>
      </c>
      <c r="BI65" s="3633">
        <f>SUM(E65:BC68)</f>
        <v>361</v>
      </c>
      <c r="BJ65" s="2261" t="s">
        <v>553</v>
      </c>
      <c r="BK65" s="1951" t="s">
        <v>539</v>
      </c>
      <c r="BL65" s="3675" t="s">
        <v>33</v>
      </c>
    </row>
    <row r="66" spans="1:64" ht="15.75" customHeight="1" thickBot="1">
      <c r="A66" s="3695"/>
      <c r="B66" s="1694" t="s">
        <v>34</v>
      </c>
      <c r="C66" s="3679"/>
      <c r="D66" s="1705">
        <f t="shared" ref="D66" si="26">SUM(E66:BG66)</f>
        <v>341</v>
      </c>
      <c r="E66" s="2104"/>
      <c r="F66" s="2105"/>
      <c r="G66" s="1708"/>
      <c r="H66" s="2106"/>
      <c r="I66" s="1712"/>
      <c r="J66" s="1779"/>
      <c r="K66" s="3187"/>
      <c r="L66" s="2024"/>
      <c r="M66" s="3279"/>
      <c r="N66" s="2819">
        <v>320</v>
      </c>
      <c r="O66" s="2928"/>
      <c r="P66" s="1708"/>
      <c r="Q66" s="2134"/>
      <c r="R66" s="2996"/>
      <c r="S66" s="1781"/>
      <c r="T66" s="1771"/>
      <c r="U66" s="2018"/>
      <c r="V66" s="2780"/>
      <c r="W66" s="1835"/>
      <c r="X66" s="1836"/>
      <c r="Y66" s="2165"/>
      <c r="Z66" s="1837"/>
      <c r="AA66" s="2166"/>
      <c r="AB66" s="1839"/>
      <c r="AC66" s="2850"/>
      <c r="AD66" s="1706"/>
      <c r="AE66" s="1707"/>
      <c r="AF66" s="1887"/>
      <c r="AG66" s="2200"/>
      <c r="AH66" s="1888"/>
      <c r="AI66" s="1889"/>
      <c r="AJ66" s="2201"/>
      <c r="AK66" s="2826">
        <v>5</v>
      </c>
      <c r="AL66" s="3279"/>
      <c r="AM66" s="2928"/>
      <c r="AN66" s="1769"/>
      <c r="AO66" s="2202"/>
      <c r="AP66" s="3005"/>
      <c r="AQ66" s="1892"/>
      <c r="AR66" s="2018"/>
      <c r="AS66" s="3084"/>
      <c r="AT66" s="2780"/>
      <c r="AU66" s="1835"/>
      <c r="AV66" s="1921"/>
      <c r="AW66" s="2236"/>
      <c r="AX66" s="3195"/>
      <c r="AY66" s="1927"/>
      <c r="AZ66" s="2242"/>
      <c r="BA66" s="1866"/>
      <c r="BB66" s="1867"/>
      <c r="BC66" s="2857"/>
      <c r="BD66" s="1706"/>
      <c r="BE66" s="1891">
        <v>16</v>
      </c>
      <c r="BF66" s="1948"/>
      <c r="BG66" s="1924"/>
      <c r="BH66" s="3634"/>
      <c r="BI66" s="3634"/>
      <c r="BJ66" s="2261" t="s">
        <v>570</v>
      </c>
      <c r="BK66" s="1951" t="s">
        <v>482</v>
      </c>
      <c r="BL66" s="3632"/>
    </row>
    <row r="67" spans="1:64" ht="15.75" customHeight="1" thickBot="1">
      <c r="A67" s="3695"/>
      <c r="B67" s="1694" t="s">
        <v>34</v>
      </c>
      <c r="C67" s="3679"/>
      <c r="D67" s="1705">
        <f t="shared" si="22"/>
        <v>0</v>
      </c>
      <c r="E67" s="2104"/>
      <c r="F67" s="2105"/>
      <c r="G67" s="1708"/>
      <c r="H67" s="2106"/>
      <c r="I67" s="1712"/>
      <c r="J67" s="1779"/>
      <c r="K67" s="3187"/>
      <c r="L67" s="2024"/>
      <c r="M67" s="3279"/>
      <c r="N67" s="2819"/>
      <c r="O67" s="2928"/>
      <c r="P67" s="1708"/>
      <c r="Q67" s="2134"/>
      <c r="R67" s="2996"/>
      <c r="S67" s="1781"/>
      <c r="T67" s="1771"/>
      <c r="U67" s="2018"/>
      <c r="V67" s="2780"/>
      <c r="W67" s="1835"/>
      <c r="X67" s="1836"/>
      <c r="Y67" s="2165"/>
      <c r="Z67" s="1837"/>
      <c r="AA67" s="2166"/>
      <c r="AB67" s="1839"/>
      <c r="AC67" s="2850"/>
      <c r="AD67" s="1706"/>
      <c r="AE67" s="1707"/>
      <c r="AF67" s="1887"/>
      <c r="AG67" s="2200"/>
      <c r="AH67" s="1888"/>
      <c r="AI67" s="1889"/>
      <c r="AJ67" s="2201"/>
      <c r="AK67" s="2826"/>
      <c r="AL67" s="3279"/>
      <c r="AM67" s="2928"/>
      <c r="AN67" s="1769"/>
      <c r="AO67" s="2202"/>
      <c r="AP67" s="3005"/>
      <c r="AQ67" s="1892"/>
      <c r="AR67" s="2018"/>
      <c r="AS67" s="3084"/>
      <c r="AT67" s="2780"/>
      <c r="AU67" s="1835"/>
      <c r="AV67" s="1921"/>
      <c r="AW67" s="2236"/>
      <c r="AX67" s="3195"/>
      <c r="AY67" s="1927"/>
      <c r="AZ67" s="2242"/>
      <c r="BA67" s="1866"/>
      <c r="BB67" s="1867"/>
      <c r="BC67" s="2857"/>
      <c r="BD67" s="1706"/>
      <c r="BE67" s="1891"/>
      <c r="BF67" s="1948"/>
      <c r="BG67" s="1924"/>
      <c r="BH67" s="3634"/>
      <c r="BI67" s="3634"/>
      <c r="BJ67" s="2261"/>
      <c r="BK67" s="1951"/>
      <c r="BL67" s="3632"/>
    </row>
    <row r="68" spans="1:64" ht="15.75" thickBot="1">
      <c r="A68" s="3695"/>
      <c r="B68" s="1694" t="s">
        <v>34</v>
      </c>
      <c r="C68" s="3679"/>
      <c r="D68" s="1705">
        <f t="shared" ref="D68:D75" si="27">SUM(E68:BG68)</f>
        <v>0</v>
      </c>
      <c r="E68" s="2104"/>
      <c r="F68" s="2105"/>
      <c r="G68" s="1708"/>
      <c r="H68" s="2106"/>
      <c r="I68" s="1712"/>
      <c r="J68" s="1779"/>
      <c r="K68" s="3187"/>
      <c r="L68" s="2024"/>
      <c r="M68" s="3279"/>
      <c r="N68" s="2819"/>
      <c r="O68" s="2928"/>
      <c r="P68" s="1708"/>
      <c r="Q68" s="2134"/>
      <c r="R68" s="2996"/>
      <c r="S68" s="1781"/>
      <c r="T68" s="1771"/>
      <c r="U68" s="2018"/>
      <c r="V68" s="2780"/>
      <c r="W68" s="1835"/>
      <c r="X68" s="1836"/>
      <c r="Y68" s="2165"/>
      <c r="Z68" s="1837"/>
      <c r="AA68" s="2166"/>
      <c r="AB68" s="1839"/>
      <c r="AC68" s="2850"/>
      <c r="AD68" s="1706"/>
      <c r="AE68" s="1707"/>
      <c r="AF68" s="1887"/>
      <c r="AG68" s="2200"/>
      <c r="AH68" s="1888"/>
      <c r="AI68" s="1889"/>
      <c r="AJ68" s="2201"/>
      <c r="AK68" s="2826"/>
      <c r="AL68" s="3279"/>
      <c r="AM68" s="2928"/>
      <c r="AN68" s="1769"/>
      <c r="AO68" s="2202"/>
      <c r="AP68" s="3005"/>
      <c r="AQ68" s="1892"/>
      <c r="AR68" s="2018"/>
      <c r="AS68" s="3084"/>
      <c r="AT68" s="2780"/>
      <c r="AU68" s="1835"/>
      <c r="AV68" s="1921"/>
      <c r="AW68" s="2236"/>
      <c r="AX68" s="3195"/>
      <c r="AY68" s="1922"/>
      <c r="AZ68" s="2237"/>
      <c r="BA68" s="1923"/>
      <c r="BB68" s="1924"/>
      <c r="BC68" s="2859"/>
      <c r="BD68" s="1706"/>
      <c r="BE68" s="1891"/>
      <c r="BF68" s="1948"/>
      <c r="BG68" s="1924"/>
      <c r="BH68" s="3634"/>
      <c r="BI68" s="3634"/>
      <c r="BJ68" s="2261"/>
      <c r="BK68" s="1951"/>
      <c r="BL68" s="3632"/>
    </row>
    <row r="69" spans="1:64" ht="15.75" thickBot="1">
      <c r="A69" s="3694">
        <v>46136</v>
      </c>
      <c r="B69" s="1738" t="s">
        <v>34</v>
      </c>
      <c r="C69" s="3678">
        <f>SUM(D69:D71)</f>
        <v>732</v>
      </c>
      <c r="D69" s="1689">
        <f t="shared" si="27"/>
        <v>400</v>
      </c>
      <c r="E69" s="2101"/>
      <c r="F69" s="2102"/>
      <c r="G69" s="1692"/>
      <c r="H69" s="2103"/>
      <c r="I69" s="1713"/>
      <c r="J69" s="1782"/>
      <c r="K69" s="3186"/>
      <c r="L69" s="2019"/>
      <c r="M69" s="3278"/>
      <c r="N69" s="2818">
        <v>380</v>
      </c>
      <c r="O69" s="2929"/>
      <c r="P69" s="1692"/>
      <c r="Q69" s="2133"/>
      <c r="R69" s="2993"/>
      <c r="S69" s="1784"/>
      <c r="T69" s="1750"/>
      <c r="U69" s="2020"/>
      <c r="V69" s="2779"/>
      <c r="W69" s="1816"/>
      <c r="X69" s="1817"/>
      <c r="Y69" s="2163"/>
      <c r="Z69" s="1818"/>
      <c r="AA69" s="2164"/>
      <c r="AB69" s="1820"/>
      <c r="AC69" s="2847"/>
      <c r="AD69" s="1726"/>
      <c r="AE69" s="1691"/>
      <c r="AF69" s="1869"/>
      <c r="AG69" s="2197"/>
      <c r="AH69" s="1893"/>
      <c r="AI69" s="1854"/>
      <c r="AJ69" s="2198"/>
      <c r="AK69" s="2825"/>
      <c r="AL69" s="3278"/>
      <c r="AM69" s="2929"/>
      <c r="AN69" s="1748"/>
      <c r="AO69" s="2199"/>
      <c r="AP69" s="3002"/>
      <c r="AQ69" s="1874"/>
      <c r="AR69" s="2020"/>
      <c r="AS69" s="3081"/>
      <c r="AT69" s="2779"/>
      <c r="AU69" s="1816"/>
      <c r="AV69" s="1910"/>
      <c r="AW69" s="2234"/>
      <c r="AX69" s="3194"/>
      <c r="AY69" s="1911"/>
      <c r="AZ69" s="2235"/>
      <c r="BA69" s="1864"/>
      <c r="BB69" s="1865"/>
      <c r="BC69" s="2856"/>
      <c r="BD69" s="1726"/>
      <c r="BE69" s="1873">
        <v>20</v>
      </c>
      <c r="BF69" s="1940"/>
      <c r="BG69" s="1865"/>
      <c r="BH69" s="3633">
        <f>SUM(E69:AC71)</f>
        <v>700</v>
      </c>
      <c r="BI69" s="3633">
        <f>SUM(E69:BC71)</f>
        <v>700</v>
      </c>
      <c r="BJ69" s="2261" t="s">
        <v>570</v>
      </c>
      <c r="BK69" s="1951" t="s">
        <v>482</v>
      </c>
      <c r="BL69" s="3675" t="s">
        <v>33</v>
      </c>
    </row>
    <row r="70" spans="1:64" ht="15.75" customHeight="1" thickBot="1">
      <c r="A70" s="3695"/>
      <c r="B70" s="1694" t="s">
        <v>34</v>
      </c>
      <c r="C70" s="3679"/>
      <c r="D70" s="1705">
        <f t="shared" ref="D70" si="28">SUM(E70:BG70)</f>
        <v>332</v>
      </c>
      <c r="E70" s="2104"/>
      <c r="F70" s="2105"/>
      <c r="G70" s="1708"/>
      <c r="H70" s="2106"/>
      <c r="I70" s="1712"/>
      <c r="J70" s="1779"/>
      <c r="K70" s="3187"/>
      <c r="L70" s="2024"/>
      <c r="M70" s="3279"/>
      <c r="N70" s="2819">
        <v>320</v>
      </c>
      <c r="O70" s="2928"/>
      <c r="P70" s="1708"/>
      <c r="Q70" s="2134"/>
      <c r="R70" s="2996"/>
      <c r="S70" s="1781"/>
      <c r="T70" s="1771"/>
      <c r="U70" s="2018"/>
      <c r="V70" s="2780"/>
      <c r="W70" s="1835"/>
      <c r="X70" s="1836"/>
      <c r="Y70" s="2165"/>
      <c r="Z70" s="1837"/>
      <c r="AA70" s="2166"/>
      <c r="AB70" s="1839"/>
      <c r="AC70" s="2850"/>
      <c r="AD70" s="1706"/>
      <c r="AE70" s="1707"/>
      <c r="AF70" s="1887"/>
      <c r="AG70" s="2200"/>
      <c r="AH70" s="1888"/>
      <c r="AI70" s="1889"/>
      <c r="AJ70" s="2201"/>
      <c r="AK70" s="2826"/>
      <c r="AL70" s="3279"/>
      <c r="AM70" s="2928"/>
      <c r="AN70" s="1769"/>
      <c r="AO70" s="2202"/>
      <c r="AP70" s="3005"/>
      <c r="AQ70" s="1892"/>
      <c r="AR70" s="2018"/>
      <c r="AS70" s="3084"/>
      <c r="AT70" s="2780"/>
      <c r="AU70" s="1835"/>
      <c r="AV70" s="1921"/>
      <c r="AW70" s="2236"/>
      <c r="AX70" s="3195"/>
      <c r="AY70" s="1927"/>
      <c r="AZ70" s="2242"/>
      <c r="BA70" s="1866"/>
      <c r="BB70" s="1867"/>
      <c r="BC70" s="2857"/>
      <c r="BD70" s="1706"/>
      <c r="BE70" s="1891">
        <v>12</v>
      </c>
      <c r="BF70" s="1948"/>
      <c r="BG70" s="1924"/>
      <c r="BH70" s="3634"/>
      <c r="BI70" s="3634"/>
      <c r="BJ70" s="2261"/>
      <c r="BK70" s="1951"/>
      <c r="BL70" s="3632"/>
    </row>
    <row r="71" spans="1:64" ht="15.75" customHeight="1" thickBot="1">
      <c r="A71" s="3695"/>
      <c r="B71" s="1694" t="s">
        <v>34</v>
      </c>
      <c r="C71" s="3679"/>
      <c r="D71" s="1705">
        <f t="shared" ref="D71" si="29">SUM(E71:BG71)</f>
        <v>0</v>
      </c>
      <c r="E71" s="2104"/>
      <c r="F71" s="2105"/>
      <c r="G71" s="1708"/>
      <c r="H71" s="2106"/>
      <c r="I71" s="1712"/>
      <c r="J71" s="1779"/>
      <c r="K71" s="3187"/>
      <c r="L71" s="2024"/>
      <c r="M71" s="3279"/>
      <c r="N71" s="2819"/>
      <c r="O71" s="2928"/>
      <c r="P71" s="1708"/>
      <c r="Q71" s="2134"/>
      <c r="R71" s="2996"/>
      <c r="S71" s="1781"/>
      <c r="T71" s="1771"/>
      <c r="U71" s="2018"/>
      <c r="V71" s="2780"/>
      <c r="W71" s="1835"/>
      <c r="X71" s="1836"/>
      <c r="Y71" s="2165"/>
      <c r="Z71" s="1837"/>
      <c r="AA71" s="2166"/>
      <c r="AB71" s="1839"/>
      <c r="AC71" s="2850"/>
      <c r="AD71" s="1706"/>
      <c r="AE71" s="1707"/>
      <c r="AF71" s="1887"/>
      <c r="AG71" s="2200"/>
      <c r="AH71" s="1888"/>
      <c r="AI71" s="1889"/>
      <c r="AJ71" s="2201"/>
      <c r="AK71" s="2826"/>
      <c r="AL71" s="3279"/>
      <c r="AM71" s="2928"/>
      <c r="AN71" s="1769"/>
      <c r="AO71" s="2202"/>
      <c r="AP71" s="3005"/>
      <c r="AQ71" s="1892"/>
      <c r="AR71" s="2018"/>
      <c r="AS71" s="3084"/>
      <c r="AT71" s="2780"/>
      <c r="AU71" s="1835"/>
      <c r="AV71" s="1921"/>
      <c r="AW71" s="2236"/>
      <c r="AX71" s="3195"/>
      <c r="AY71" s="1927"/>
      <c r="AZ71" s="2242"/>
      <c r="BA71" s="1866"/>
      <c r="BB71" s="1867"/>
      <c r="BC71" s="2857"/>
      <c r="BD71" s="1706"/>
      <c r="BE71" s="1891"/>
      <c r="BF71" s="1948"/>
      <c r="BG71" s="1924"/>
      <c r="BH71" s="3634"/>
      <c r="BI71" s="3634"/>
      <c r="BJ71" s="2261"/>
      <c r="BK71" s="1951"/>
      <c r="BL71" s="3632"/>
    </row>
    <row r="72" spans="1:64" ht="15.75" thickBot="1">
      <c r="A72" s="3694">
        <v>46137</v>
      </c>
      <c r="B72" s="1738" t="s">
        <v>32</v>
      </c>
      <c r="C72" s="3678">
        <f>SUM(D72:D75)</f>
        <v>611</v>
      </c>
      <c r="D72" s="1689">
        <f t="shared" si="27"/>
        <v>422</v>
      </c>
      <c r="E72" s="2101"/>
      <c r="F72" s="2102"/>
      <c r="G72" s="1692"/>
      <c r="H72" s="2103"/>
      <c r="I72" s="1713"/>
      <c r="J72" s="1782"/>
      <c r="K72" s="3186"/>
      <c r="L72" s="2019"/>
      <c r="M72" s="3278"/>
      <c r="N72" s="2818">
        <v>420</v>
      </c>
      <c r="O72" s="2929"/>
      <c r="P72" s="1692"/>
      <c r="Q72" s="2133"/>
      <c r="R72" s="2993"/>
      <c r="S72" s="1784"/>
      <c r="T72" s="1750"/>
      <c r="U72" s="2020"/>
      <c r="V72" s="2779"/>
      <c r="W72" s="1816"/>
      <c r="X72" s="1817"/>
      <c r="Y72" s="2163"/>
      <c r="Z72" s="1818"/>
      <c r="AA72" s="2164"/>
      <c r="AB72" s="1820"/>
      <c r="AC72" s="2847"/>
      <c r="AD72" s="1726"/>
      <c r="AE72" s="1691"/>
      <c r="AF72" s="1869"/>
      <c r="AG72" s="2197"/>
      <c r="AH72" s="1893"/>
      <c r="AI72" s="1854"/>
      <c r="AJ72" s="2198"/>
      <c r="AK72" s="2825"/>
      <c r="AL72" s="3278"/>
      <c r="AM72" s="2929"/>
      <c r="AN72" s="1748"/>
      <c r="AO72" s="2199"/>
      <c r="AP72" s="3002"/>
      <c r="AQ72" s="1874"/>
      <c r="AR72" s="2020"/>
      <c r="AS72" s="3081"/>
      <c r="AT72" s="2779"/>
      <c r="AU72" s="1816"/>
      <c r="AV72" s="1910"/>
      <c r="AW72" s="2234"/>
      <c r="AX72" s="3194"/>
      <c r="AY72" s="1911"/>
      <c r="AZ72" s="2235"/>
      <c r="BA72" s="1864"/>
      <c r="BB72" s="1865"/>
      <c r="BC72" s="2856"/>
      <c r="BD72" s="1726"/>
      <c r="BE72" s="1873">
        <v>2</v>
      </c>
      <c r="BF72" s="1940"/>
      <c r="BG72" s="1865"/>
      <c r="BH72" s="3633">
        <f>SUM(E72:AC75)</f>
        <v>600</v>
      </c>
      <c r="BI72" s="3633">
        <f>SUM(E72:BC75)</f>
        <v>605</v>
      </c>
      <c r="BJ72" s="2261" t="s">
        <v>570</v>
      </c>
      <c r="BK72" s="1951" t="s">
        <v>482</v>
      </c>
      <c r="BL72" s="3675" t="s">
        <v>33</v>
      </c>
    </row>
    <row r="73" spans="1:64" ht="15.75" customHeight="1" thickBot="1">
      <c r="A73" s="3695"/>
      <c r="B73" s="1694" t="s">
        <v>34</v>
      </c>
      <c r="C73" s="3679"/>
      <c r="D73" s="1705">
        <f t="shared" si="27"/>
        <v>189</v>
      </c>
      <c r="E73" s="2104"/>
      <c r="F73" s="2105"/>
      <c r="G73" s="1708"/>
      <c r="H73" s="2106"/>
      <c r="I73" s="1712"/>
      <c r="J73" s="1779"/>
      <c r="K73" s="3187"/>
      <c r="L73" s="2024"/>
      <c r="M73" s="3279"/>
      <c r="N73" s="2819">
        <v>180</v>
      </c>
      <c r="O73" s="2928"/>
      <c r="P73" s="1708"/>
      <c r="Q73" s="2134"/>
      <c r="R73" s="2996"/>
      <c r="S73" s="1781"/>
      <c r="T73" s="1771"/>
      <c r="U73" s="2018"/>
      <c r="V73" s="2780"/>
      <c r="W73" s="1835"/>
      <c r="X73" s="1836"/>
      <c r="Y73" s="2165"/>
      <c r="Z73" s="1837"/>
      <c r="AA73" s="2166"/>
      <c r="AB73" s="1839"/>
      <c r="AC73" s="2850"/>
      <c r="AD73" s="1706"/>
      <c r="AE73" s="1707"/>
      <c r="AF73" s="1887"/>
      <c r="AG73" s="2200"/>
      <c r="AH73" s="1888"/>
      <c r="AI73" s="1889"/>
      <c r="AJ73" s="2201"/>
      <c r="AK73" s="2826">
        <v>5</v>
      </c>
      <c r="AL73" s="3279"/>
      <c r="AM73" s="2928"/>
      <c r="AN73" s="1769"/>
      <c r="AO73" s="2202"/>
      <c r="AP73" s="3005"/>
      <c r="AQ73" s="1892"/>
      <c r="AR73" s="2018"/>
      <c r="AS73" s="3084"/>
      <c r="AT73" s="2780"/>
      <c r="AU73" s="1835"/>
      <c r="AV73" s="1921"/>
      <c r="AW73" s="2236"/>
      <c r="AX73" s="3195"/>
      <c r="AY73" s="1927"/>
      <c r="AZ73" s="2242"/>
      <c r="BA73" s="1866"/>
      <c r="BB73" s="1867"/>
      <c r="BC73" s="2857"/>
      <c r="BD73" s="1706"/>
      <c r="BE73" s="1891">
        <v>4</v>
      </c>
      <c r="BF73" s="1948"/>
      <c r="BG73" s="1924"/>
      <c r="BH73" s="3634"/>
      <c r="BI73" s="3634"/>
      <c r="BJ73" s="2261"/>
      <c r="BK73" s="1951"/>
      <c r="BL73" s="3632"/>
    </row>
    <row r="74" spans="1:64" ht="21" customHeight="1" thickBot="1">
      <c r="A74" s="3695"/>
      <c r="B74" s="1694" t="s">
        <v>34</v>
      </c>
      <c r="C74" s="3679"/>
      <c r="D74" s="1705">
        <f t="shared" ref="D74" si="30">SUM(E74:BG74)</f>
        <v>0</v>
      </c>
      <c r="E74" s="2104"/>
      <c r="F74" s="2105"/>
      <c r="G74" s="1708"/>
      <c r="H74" s="2106"/>
      <c r="I74" s="1712"/>
      <c r="J74" s="1779"/>
      <c r="K74" s="3187"/>
      <c r="L74" s="2024"/>
      <c r="M74" s="3279"/>
      <c r="N74" s="2819"/>
      <c r="O74" s="2928"/>
      <c r="P74" s="1708"/>
      <c r="Q74" s="2134"/>
      <c r="R74" s="2996"/>
      <c r="S74" s="1781"/>
      <c r="T74" s="1771"/>
      <c r="U74" s="2018"/>
      <c r="V74" s="2780"/>
      <c r="W74" s="1835"/>
      <c r="X74" s="1836"/>
      <c r="Y74" s="2165"/>
      <c r="Z74" s="1837"/>
      <c r="AA74" s="2166"/>
      <c r="AB74" s="1839"/>
      <c r="AC74" s="2850"/>
      <c r="AD74" s="1706"/>
      <c r="AE74" s="1707"/>
      <c r="AF74" s="1887"/>
      <c r="AG74" s="2200"/>
      <c r="AH74" s="1888"/>
      <c r="AI74" s="1889"/>
      <c r="AJ74" s="2201"/>
      <c r="AK74" s="2826"/>
      <c r="AL74" s="3279"/>
      <c r="AM74" s="2928"/>
      <c r="AN74" s="1769"/>
      <c r="AO74" s="2202"/>
      <c r="AP74" s="3005"/>
      <c r="AQ74" s="1892"/>
      <c r="AR74" s="2018"/>
      <c r="AS74" s="3084"/>
      <c r="AT74" s="2780"/>
      <c r="AU74" s="1835"/>
      <c r="AV74" s="1921"/>
      <c r="AW74" s="2236"/>
      <c r="AX74" s="3195"/>
      <c r="AY74" s="1927"/>
      <c r="AZ74" s="2242"/>
      <c r="BA74" s="1866"/>
      <c r="BB74" s="1867"/>
      <c r="BC74" s="2857"/>
      <c r="BD74" s="1706"/>
      <c r="BE74" s="1891"/>
      <c r="BF74" s="1948"/>
      <c r="BG74" s="1924"/>
      <c r="BH74" s="3634"/>
      <c r="BI74" s="3634"/>
      <c r="BJ74" s="2261"/>
      <c r="BK74" s="1951"/>
      <c r="BL74" s="3632"/>
    </row>
    <row r="75" spans="1:64" ht="14.25" customHeight="1" thickBot="1">
      <c r="A75" s="3695"/>
      <c r="B75" s="1694" t="s">
        <v>34</v>
      </c>
      <c r="C75" s="3679"/>
      <c r="D75" s="1705">
        <f t="shared" si="27"/>
        <v>0</v>
      </c>
      <c r="E75" s="2104"/>
      <c r="F75" s="2105"/>
      <c r="G75" s="1708"/>
      <c r="H75" s="2106"/>
      <c r="I75" s="1712"/>
      <c r="J75" s="1779"/>
      <c r="K75" s="3187"/>
      <c r="L75" s="2024"/>
      <c r="M75" s="3279"/>
      <c r="N75" s="2819"/>
      <c r="O75" s="2928"/>
      <c r="P75" s="1708"/>
      <c r="Q75" s="2134"/>
      <c r="R75" s="2996"/>
      <c r="S75" s="1781"/>
      <c r="T75" s="1771"/>
      <c r="U75" s="2018"/>
      <c r="V75" s="2780"/>
      <c r="W75" s="1835"/>
      <c r="X75" s="1836"/>
      <c r="Y75" s="2165"/>
      <c r="Z75" s="1837"/>
      <c r="AA75" s="2166"/>
      <c r="AB75" s="1839"/>
      <c r="AC75" s="2850"/>
      <c r="AD75" s="1706"/>
      <c r="AE75" s="1707"/>
      <c r="AF75" s="1887"/>
      <c r="AG75" s="2200"/>
      <c r="AH75" s="1888"/>
      <c r="AI75" s="1889"/>
      <c r="AJ75" s="2201"/>
      <c r="AK75" s="2826"/>
      <c r="AL75" s="3279"/>
      <c r="AM75" s="2928"/>
      <c r="AN75" s="1769"/>
      <c r="AO75" s="2202"/>
      <c r="AP75" s="3005"/>
      <c r="AQ75" s="1892"/>
      <c r="AR75" s="2018"/>
      <c r="AS75" s="3084"/>
      <c r="AT75" s="2780"/>
      <c r="AU75" s="1835"/>
      <c r="AV75" s="1921"/>
      <c r="AW75" s="2236"/>
      <c r="AX75" s="3195"/>
      <c r="AY75" s="1922"/>
      <c r="AZ75" s="2237"/>
      <c r="BA75" s="1923"/>
      <c r="BB75" s="1924"/>
      <c r="BC75" s="2859"/>
      <c r="BD75" s="1706"/>
      <c r="BE75" s="1891"/>
      <c r="BF75" s="1948"/>
      <c r="BG75" s="1924"/>
      <c r="BH75" s="3634"/>
      <c r="BI75" s="3634"/>
      <c r="BJ75" s="2261"/>
      <c r="BK75" s="1951"/>
      <c r="BL75" s="3632"/>
    </row>
    <row r="76" spans="1:64" ht="15.75" thickBot="1">
      <c r="A76" s="3694">
        <v>46138</v>
      </c>
      <c r="B76" s="1738" t="s">
        <v>32</v>
      </c>
      <c r="C76" s="3678">
        <f>SUM(D76:D78)</f>
        <v>692</v>
      </c>
      <c r="D76" s="1689">
        <f t="shared" ref="D76:D85" si="31">SUM(E76:BG76)</f>
        <v>40</v>
      </c>
      <c r="E76" s="2101"/>
      <c r="F76" s="2102"/>
      <c r="G76" s="1692"/>
      <c r="H76" s="2103"/>
      <c r="I76" s="1713"/>
      <c r="J76" s="1782"/>
      <c r="K76" s="3186"/>
      <c r="L76" s="2019"/>
      <c r="M76" s="3278"/>
      <c r="N76" s="2818">
        <v>40</v>
      </c>
      <c r="O76" s="2929"/>
      <c r="P76" s="1692"/>
      <c r="Q76" s="2133"/>
      <c r="R76" s="2993"/>
      <c r="S76" s="1784"/>
      <c r="T76" s="1750"/>
      <c r="U76" s="2020"/>
      <c r="V76" s="2779"/>
      <c r="W76" s="1816"/>
      <c r="X76" s="1817"/>
      <c r="Y76" s="2163"/>
      <c r="Z76" s="1818"/>
      <c r="AA76" s="2164"/>
      <c r="AB76" s="1820"/>
      <c r="AC76" s="2847"/>
      <c r="AD76" s="1726"/>
      <c r="AE76" s="1691"/>
      <c r="AF76" s="1869"/>
      <c r="AG76" s="2197"/>
      <c r="AH76" s="1893"/>
      <c r="AI76" s="1854"/>
      <c r="AJ76" s="2198"/>
      <c r="AK76" s="2825"/>
      <c r="AL76" s="3278"/>
      <c r="AM76" s="2929"/>
      <c r="AN76" s="1748"/>
      <c r="AO76" s="2199"/>
      <c r="AP76" s="3002"/>
      <c r="AQ76" s="1874"/>
      <c r="AR76" s="2020"/>
      <c r="AS76" s="3081"/>
      <c r="AT76" s="2779"/>
      <c r="AU76" s="1816"/>
      <c r="AV76" s="1910"/>
      <c r="AW76" s="2234"/>
      <c r="AX76" s="3194"/>
      <c r="AY76" s="1911"/>
      <c r="AZ76" s="2235"/>
      <c r="BA76" s="1864"/>
      <c r="BB76" s="1865"/>
      <c r="BC76" s="2856"/>
      <c r="BD76" s="1726"/>
      <c r="BE76" s="1873"/>
      <c r="BF76" s="1940"/>
      <c r="BG76" s="1865"/>
      <c r="BH76" s="3633">
        <f>SUM(E76:AC78)</f>
        <v>664</v>
      </c>
      <c r="BI76" s="3633">
        <f>SUM(E76:BC78)</f>
        <v>667</v>
      </c>
      <c r="BJ76" s="2261" t="s">
        <v>570</v>
      </c>
      <c r="BK76" s="1951" t="s">
        <v>482</v>
      </c>
      <c r="BL76" s="3675" t="s">
        <v>33</v>
      </c>
    </row>
    <row r="77" spans="1:64" ht="21" customHeight="1" thickBot="1">
      <c r="A77" s="3695"/>
      <c r="B77" s="1694" t="s">
        <v>32</v>
      </c>
      <c r="C77" s="3679"/>
      <c r="D77" s="1705">
        <f t="shared" ref="D77" si="32">SUM(E77:BG77)</f>
        <v>239</v>
      </c>
      <c r="E77" s="2104"/>
      <c r="F77" s="2105"/>
      <c r="G77" s="1708"/>
      <c r="H77" s="2106"/>
      <c r="I77" s="1712"/>
      <c r="J77" s="1779"/>
      <c r="K77" s="3187"/>
      <c r="L77" s="2024"/>
      <c r="M77" s="3279"/>
      <c r="N77" s="2819"/>
      <c r="O77" s="2928"/>
      <c r="P77" s="1708"/>
      <c r="Q77" s="2134"/>
      <c r="R77" s="2996"/>
      <c r="S77" s="1781"/>
      <c r="T77" s="1771"/>
      <c r="U77" s="2018">
        <v>228</v>
      </c>
      <c r="V77" s="2780"/>
      <c r="W77" s="1835"/>
      <c r="X77" s="1836"/>
      <c r="Y77" s="2165"/>
      <c r="Z77" s="1837"/>
      <c r="AA77" s="2166"/>
      <c r="AB77" s="1839"/>
      <c r="AC77" s="2850"/>
      <c r="AD77" s="1706"/>
      <c r="AE77" s="1707"/>
      <c r="AF77" s="1887"/>
      <c r="AG77" s="2200"/>
      <c r="AH77" s="1888"/>
      <c r="AI77" s="1889"/>
      <c r="AJ77" s="2201"/>
      <c r="AK77" s="2826"/>
      <c r="AL77" s="3279"/>
      <c r="AM77" s="2928"/>
      <c r="AN77" s="1769"/>
      <c r="AO77" s="2202"/>
      <c r="AP77" s="3005"/>
      <c r="AQ77" s="1892"/>
      <c r="AR77" s="2018"/>
      <c r="AS77" s="3084"/>
      <c r="AT77" s="2780"/>
      <c r="AU77" s="1835"/>
      <c r="AV77" s="1921"/>
      <c r="AW77" s="2236"/>
      <c r="AX77" s="3195"/>
      <c r="AY77" s="1927"/>
      <c r="AZ77" s="2242"/>
      <c r="BA77" s="1866"/>
      <c r="BB77" s="1867"/>
      <c r="BC77" s="2857"/>
      <c r="BD77" s="1706"/>
      <c r="BE77" s="1891">
        <v>11</v>
      </c>
      <c r="BF77" s="1948"/>
      <c r="BG77" s="1924"/>
      <c r="BH77" s="3634"/>
      <c r="BI77" s="3634"/>
      <c r="BJ77" s="2261">
        <v>1003</v>
      </c>
      <c r="BK77" s="1951" t="s">
        <v>482</v>
      </c>
      <c r="BL77" s="3632"/>
    </row>
    <row r="78" spans="1:64" ht="15.75" thickBot="1">
      <c r="A78" s="3695"/>
      <c r="B78" s="1694" t="s">
        <v>34</v>
      </c>
      <c r="C78" s="3679"/>
      <c r="D78" s="1705">
        <f t="shared" si="31"/>
        <v>413</v>
      </c>
      <c r="E78" s="2104"/>
      <c r="F78" s="2105"/>
      <c r="G78" s="1708"/>
      <c r="H78" s="2106"/>
      <c r="I78" s="1712"/>
      <c r="J78" s="1779"/>
      <c r="K78" s="3187"/>
      <c r="L78" s="2024"/>
      <c r="M78" s="3279"/>
      <c r="N78" s="2819"/>
      <c r="O78" s="2928"/>
      <c r="P78" s="1708"/>
      <c r="Q78" s="2134"/>
      <c r="R78" s="2996"/>
      <c r="S78" s="1781"/>
      <c r="T78" s="1771"/>
      <c r="U78" s="2018">
        <v>396</v>
      </c>
      <c r="V78" s="2780"/>
      <c r="W78" s="1835"/>
      <c r="X78" s="1836"/>
      <c r="Y78" s="2165"/>
      <c r="Z78" s="1837"/>
      <c r="AA78" s="2166"/>
      <c r="AB78" s="1839"/>
      <c r="AC78" s="2850"/>
      <c r="AD78" s="1706"/>
      <c r="AE78" s="1707"/>
      <c r="AF78" s="1887"/>
      <c r="AG78" s="2200"/>
      <c r="AH78" s="1888"/>
      <c r="AI78" s="1889"/>
      <c r="AJ78" s="2201"/>
      <c r="AK78" s="2826"/>
      <c r="AL78" s="3279"/>
      <c r="AM78" s="2928"/>
      <c r="AN78" s="1769"/>
      <c r="AO78" s="2202"/>
      <c r="AP78" s="3005"/>
      <c r="AQ78" s="1892"/>
      <c r="AR78" s="2018">
        <v>3</v>
      </c>
      <c r="AS78" s="3084"/>
      <c r="AT78" s="2780"/>
      <c r="AU78" s="1835"/>
      <c r="AV78" s="1921"/>
      <c r="AW78" s="2236"/>
      <c r="AX78" s="3195"/>
      <c r="AY78" s="1922"/>
      <c r="AZ78" s="2237"/>
      <c r="BA78" s="1923"/>
      <c r="BB78" s="1924"/>
      <c r="BC78" s="2859"/>
      <c r="BD78" s="1706"/>
      <c r="BE78" s="1891">
        <v>14</v>
      </c>
      <c r="BF78" s="1948"/>
      <c r="BG78" s="1924"/>
      <c r="BH78" s="3634"/>
      <c r="BI78" s="3634"/>
      <c r="BJ78" s="2261"/>
      <c r="BK78" s="1951"/>
      <c r="BL78" s="3632"/>
    </row>
    <row r="79" spans="1:64" ht="15.75" thickBot="1">
      <c r="A79" s="3694">
        <v>46139</v>
      </c>
      <c r="B79" s="1738" t="s">
        <v>32</v>
      </c>
      <c r="C79" s="3678">
        <f>SUM(D79:D83)</f>
        <v>891</v>
      </c>
      <c r="D79" s="1689">
        <f t="shared" si="31"/>
        <v>451</v>
      </c>
      <c r="E79" s="2101"/>
      <c r="F79" s="2102"/>
      <c r="G79" s="1692"/>
      <c r="H79" s="2103"/>
      <c r="I79" s="1713"/>
      <c r="J79" s="1782"/>
      <c r="K79" s="3186"/>
      <c r="L79" s="2019"/>
      <c r="M79" s="3278"/>
      <c r="N79" s="2818"/>
      <c r="O79" s="2929"/>
      <c r="P79" s="1692"/>
      <c r="Q79" s="2133"/>
      <c r="R79" s="2993"/>
      <c r="S79" s="1784"/>
      <c r="T79" s="1750"/>
      <c r="U79" s="2020">
        <f>72+360</f>
        <v>432</v>
      </c>
      <c r="V79" s="2779"/>
      <c r="W79" s="1816"/>
      <c r="X79" s="1817"/>
      <c r="Y79" s="2163"/>
      <c r="Z79" s="1818"/>
      <c r="AA79" s="2164"/>
      <c r="AB79" s="1820"/>
      <c r="AC79" s="2847"/>
      <c r="AD79" s="1726"/>
      <c r="AE79" s="1691"/>
      <c r="AF79" s="1869"/>
      <c r="AG79" s="2197"/>
      <c r="AH79" s="1893"/>
      <c r="AI79" s="1854"/>
      <c r="AJ79" s="2198"/>
      <c r="AK79" s="2825"/>
      <c r="AL79" s="3278"/>
      <c r="AM79" s="2929"/>
      <c r="AN79" s="1748"/>
      <c r="AO79" s="2199"/>
      <c r="AP79" s="3002"/>
      <c r="AQ79" s="1874"/>
      <c r="AR79" s="2020">
        <v>2</v>
      </c>
      <c r="AS79" s="3081"/>
      <c r="AT79" s="2779"/>
      <c r="AU79" s="1816"/>
      <c r="AV79" s="1910"/>
      <c r="AW79" s="2234"/>
      <c r="AX79" s="3194"/>
      <c r="AY79" s="1911"/>
      <c r="AZ79" s="2235"/>
      <c r="BA79" s="1864"/>
      <c r="BB79" s="1865"/>
      <c r="BC79" s="2856"/>
      <c r="BD79" s="1726"/>
      <c r="BE79" s="1873">
        <f>3+14</f>
        <v>17</v>
      </c>
      <c r="BF79" s="1940"/>
      <c r="BG79" s="1865"/>
      <c r="BH79" s="3633">
        <f>SUM(E79:AC83)</f>
        <v>852</v>
      </c>
      <c r="BI79" s="3633">
        <f>SUM(E79:BC83)</f>
        <v>855</v>
      </c>
      <c r="BJ79" s="1954">
        <v>1003</v>
      </c>
      <c r="BK79" s="1951" t="s">
        <v>678</v>
      </c>
      <c r="BL79" s="3675" t="s">
        <v>33</v>
      </c>
    </row>
    <row r="80" spans="1:64" ht="21" customHeight="1" thickBot="1">
      <c r="A80" s="3695"/>
      <c r="B80" s="1694" t="s">
        <v>34</v>
      </c>
      <c r="C80" s="3679"/>
      <c r="D80" s="1705">
        <f t="shared" ref="D80" si="33">SUM(E80:BG80)</f>
        <v>440</v>
      </c>
      <c r="E80" s="2104"/>
      <c r="F80" s="2105"/>
      <c r="G80" s="1708"/>
      <c r="H80" s="2106"/>
      <c r="I80" s="1712"/>
      <c r="J80" s="1779"/>
      <c r="K80" s="3187"/>
      <c r="L80" s="2024"/>
      <c r="M80" s="3279"/>
      <c r="N80" s="2819"/>
      <c r="O80" s="2928"/>
      <c r="P80" s="1708"/>
      <c r="Q80" s="2134"/>
      <c r="R80" s="2996"/>
      <c r="S80" s="1781"/>
      <c r="T80" s="1771"/>
      <c r="U80" s="2018">
        <v>420</v>
      </c>
      <c r="V80" s="2780"/>
      <c r="W80" s="1835"/>
      <c r="X80" s="1836"/>
      <c r="Y80" s="2165"/>
      <c r="Z80" s="1837"/>
      <c r="AA80" s="2166"/>
      <c r="AB80" s="1839"/>
      <c r="AC80" s="2850"/>
      <c r="AD80" s="1706"/>
      <c r="AE80" s="1707"/>
      <c r="AF80" s="1887"/>
      <c r="AG80" s="2200"/>
      <c r="AH80" s="1888"/>
      <c r="AI80" s="1889"/>
      <c r="AJ80" s="2201"/>
      <c r="AK80" s="2826"/>
      <c r="AL80" s="3279"/>
      <c r="AM80" s="2928"/>
      <c r="AN80" s="1769"/>
      <c r="AO80" s="2202"/>
      <c r="AP80" s="3005"/>
      <c r="AQ80" s="1892"/>
      <c r="AR80" s="2018">
        <v>1</v>
      </c>
      <c r="AS80" s="3084"/>
      <c r="AT80" s="2780"/>
      <c r="AU80" s="1835"/>
      <c r="AV80" s="1921"/>
      <c r="AW80" s="2236"/>
      <c r="AX80" s="3195"/>
      <c r="AY80" s="1927"/>
      <c r="AZ80" s="2242"/>
      <c r="BA80" s="1866"/>
      <c r="BB80" s="1867"/>
      <c r="BC80" s="2857"/>
      <c r="BD80" s="1706"/>
      <c r="BE80" s="1891">
        <v>19</v>
      </c>
      <c r="BF80" s="1948"/>
      <c r="BG80" s="1924"/>
      <c r="BH80" s="3634"/>
      <c r="BI80" s="3634"/>
      <c r="BJ80" s="1954"/>
      <c r="BK80" s="1951"/>
      <c r="BL80" s="3632"/>
    </row>
    <row r="81" spans="1:64" ht="21" customHeight="1" thickBot="1">
      <c r="A81" s="3695"/>
      <c r="B81" s="1694" t="s">
        <v>34</v>
      </c>
      <c r="C81" s="3679"/>
      <c r="D81" s="1705">
        <f t="shared" ref="D81" si="34">SUM(E81:BG81)</f>
        <v>0</v>
      </c>
      <c r="E81" s="2104"/>
      <c r="F81" s="2105"/>
      <c r="G81" s="1708"/>
      <c r="H81" s="2106"/>
      <c r="I81" s="1712"/>
      <c r="J81" s="1779"/>
      <c r="K81" s="3187"/>
      <c r="L81" s="2024"/>
      <c r="M81" s="3279"/>
      <c r="N81" s="2819"/>
      <c r="O81" s="2928"/>
      <c r="P81" s="1708"/>
      <c r="Q81" s="2134"/>
      <c r="R81" s="2996"/>
      <c r="S81" s="1781"/>
      <c r="T81" s="1771"/>
      <c r="U81" s="2018"/>
      <c r="V81" s="2780"/>
      <c r="W81" s="1835"/>
      <c r="X81" s="1836"/>
      <c r="Y81" s="2165"/>
      <c r="Z81" s="1837"/>
      <c r="AA81" s="2166"/>
      <c r="AB81" s="1839"/>
      <c r="AC81" s="2850"/>
      <c r="AD81" s="1706"/>
      <c r="AE81" s="1707"/>
      <c r="AF81" s="1887"/>
      <c r="AG81" s="2200"/>
      <c r="AH81" s="1888"/>
      <c r="AI81" s="1889"/>
      <c r="AJ81" s="2201"/>
      <c r="AK81" s="2826"/>
      <c r="AL81" s="3279"/>
      <c r="AM81" s="2928"/>
      <c r="AN81" s="1769"/>
      <c r="AO81" s="2202"/>
      <c r="AP81" s="3005"/>
      <c r="AQ81" s="1892"/>
      <c r="AR81" s="2018"/>
      <c r="AS81" s="3084"/>
      <c r="AT81" s="2780"/>
      <c r="AU81" s="1835"/>
      <c r="AV81" s="1921"/>
      <c r="AW81" s="2236"/>
      <c r="AX81" s="3195"/>
      <c r="AY81" s="1927"/>
      <c r="AZ81" s="2242"/>
      <c r="BA81" s="1866"/>
      <c r="BB81" s="1867"/>
      <c r="BC81" s="2857"/>
      <c r="BD81" s="1706"/>
      <c r="BE81" s="1891"/>
      <c r="BF81" s="1948"/>
      <c r="BG81" s="1924"/>
      <c r="BH81" s="3634"/>
      <c r="BI81" s="3634"/>
      <c r="BJ81" s="1954"/>
      <c r="BK81" s="1951"/>
      <c r="BL81" s="3632"/>
    </row>
    <row r="82" spans="1:64" ht="21" customHeight="1" thickBot="1">
      <c r="A82" s="3695"/>
      <c r="B82" s="1694" t="s">
        <v>34</v>
      </c>
      <c r="C82" s="3679"/>
      <c r="D82" s="1705">
        <f t="shared" ref="D82" si="35">SUM(E82:BG82)</f>
        <v>0</v>
      </c>
      <c r="E82" s="2104"/>
      <c r="F82" s="2105"/>
      <c r="G82" s="1708"/>
      <c r="H82" s="2106"/>
      <c r="I82" s="1712"/>
      <c r="J82" s="1779"/>
      <c r="K82" s="3187"/>
      <c r="L82" s="2024"/>
      <c r="M82" s="3279"/>
      <c r="N82" s="2819"/>
      <c r="O82" s="2928"/>
      <c r="P82" s="1708"/>
      <c r="Q82" s="2134"/>
      <c r="R82" s="2996"/>
      <c r="S82" s="1781"/>
      <c r="T82" s="1771"/>
      <c r="U82" s="2018"/>
      <c r="V82" s="2780"/>
      <c r="W82" s="1835"/>
      <c r="X82" s="1836"/>
      <c r="Y82" s="2165"/>
      <c r="Z82" s="1837"/>
      <c r="AA82" s="2166"/>
      <c r="AB82" s="1839"/>
      <c r="AC82" s="2850"/>
      <c r="AD82" s="1706"/>
      <c r="AE82" s="1707"/>
      <c r="AF82" s="1887"/>
      <c r="AG82" s="2200"/>
      <c r="AH82" s="1888"/>
      <c r="AI82" s="1889"/>
      <c r="AJ82" s="2201"/>
      <c r="AK82" s="2826"/>
      <c r="AL82" s="3279"/>
      <c r="AM82" s="2928"/>
      <c r="AN82" s="1769"/>
      <c r="AO82" s="2202"/>
      <c r="AP82" s="3005"/>
      <c r="AQ82" s="1892"/>
      <c r="AR82" s="2018"/>
      <c r="AS82" s="3084"/>
      <c r="AT82" s="2780"/>
      <c r="AU82" s="1835"/>
      <c r="AV82" s="1921"/>
      <c r="AW82" s="2236"/>
      <c r="AX82" s="3195"/>
      <c r="AY82" s="1927"/>
      <c r="AZ82" s="2242"/>
      <c r="BA82" s="1866"/>
      <c r="BB82" s="1867"/>
      <c r="BC82" s="2857"/>
      <c r="BD82" s="1706"/>
      <c r="BE82" s="1891"/>
      <c r="BF82" s="1948"/>
      <c r="BG82" s="1924"/>
      <c r="BH82" s="3634"/>
      <c r="BI82" s="3634"/>
      <c r="BJ82" s="1954"/>
      <c r="BK82" s="1951"/>
      <c r="BL82" s="3632"/>
    </row>
    <row r="83" spans="1:64" ht="15.75" thickBot="1">
      <c r="A83" s="3695"/>
      <c r="B83" s="1694" t="s">
        <v>34</v>
      </c>
      <c r="C83" s="3679"/>
      <c r="D83" s="1705">
        <f t="shared" si="31"/>
        <v>0</v>
      </c>
      <c r="E83" s="2104"/>
      <c r="F83" s="2105"/>
      <c r="G83" s="1708"/>
      <c r="H83" s="2106"/>
      <c r="I83" s="1712"/>
      <c r="J83" s="1779"/>
      <c r="K83" s="3187"/>
      <c r="L83" s="2024"/>
      <c r="M83" s="3279"/>
      <c r="N83" s="2819"/>
      <c r="O83" s="2928"/>
      <c r="P83" s="1708"/>
      <c r="Q83" s="2134"/>
      <c r="R83" s="2996"/>
      <c r="S83" s="1781"/>
      <c r="T83" s="1771"/>
      <c r="U83" s="2018"/>
      <c r="V83" s="2780"/>
      <c r="W83" s="1835"/>
      <c r="X83" s="1836"/>
      <c r="Y83" s="2165"/>
      <c r="Z83" s="1837"/>
      <c r="AA83" s="2166"/>
      <c r="AB83" s="1839"/>
      <c r="AC83" s="2850"/>
      <c r="AD83" s="1706"/>
      <c r="AE83" s="1707"/>
      <c r="AF83" s="1887"/>
      <c r="AG83" s="2200"/>
      <c r="AH83" s="1888"/>
      <c r="AI83" s="1889"/>
      <c r="AJ83" s="2201"/>
      <c r="AK83" s="2826"/>
      <c r="AL83" s="3279"/>
      <c r="AM83" s="2928"/>
      <c r="AN83" s="1769"/>
      <c r="AO83" s="2202"/>
      <c r="AP83" s="3005"/>
      <c r="AQ83" s="1892"/>
      <c r="AR83" s="2018"/>
      <c r="AS83" s="3084"/>
      <c r="AT83" s="2780"/>
      <c r="AU83" s="1835"/>
      <c r="AV83" s="1921"/>
      <c r="AW83" s="2236"/>
      <c r="AX83" s="3195"/>
      <c r="AY83" s="1922"/>
      <c r="AZ83" s="2237"/>
      <c r="BA83" s="1923"/>
      <c r="BB83" s="1924"/>
      <c r="BC83" s="2859"/>
      <c r="BD83" s="1706"/>
      <c r="BE83" s="1891"/>
      <c r="BF83" s="1948"/>
      <c r="BG83" s="1924"/>
      <c r="BH83" s="3634"/>
      <c r="BI83" s="3634"/>
      <c r="BJ83" s="1954"/>
      <c r="BK83" s="1951"/>
      <c r="BL83" s="3632"/>
    </row>
    <row r="84" spans="1:64" ht="15.75" customHeight="1" thickBot="1">
      <c r="A84" s="3686">
        <v>46140</v>
      </c>
      <c r="B84" s="1738" t="s">
        <v>32</v>
      </c>
      <c r="C84" s="3678">
        <f>SUM(D84:D86)</f>
        <v>329</v>
      </c>
      <c r="D84" s="1689">
        <f t="shared" si="31"/>
        <v>329</v>
      </c>
      <c r="E84" s="2101"/>
      <c r="F84" s="2102"/>
      <c r="G84" s="1692"/>
      <c r="H84" s="2103"/>
      <c r="I84" s="1713"/>
      <c r="J84" s="1782"/>
      <c r="K84" s="3186"/>
      <c r="L84" s="2019"/>
      <c r="M84" s="3278"/>
      <c r="N84" s="2818"/>
      <c r="O84" s="2929"/>
      <c r="P84" s="1692"/>
      <c r="Q84" s="2133"/>
      <c r="R84" s="2993"/>
      <c r="S84" s="1784"/>
      <c r="T84" s="1750"/>
      <c r="U84" s="2020">
        <f>72+252</f>
        <v>324</v>
      </c>
      <c r="V84" s="2779"/>
      <c r="W84" s="1816"/>
      <c r="X84" s="1817"/>
      <c r="Y84" s="2163"/>
      <c r="Z84" s="1818"/>
      <c r="AA84" s="2164"/>
      <c r="AB84" s="1820"/>
      <c r="AC84" s="2847"/>
      <c r="AD84" s="1726"/>
      <c r="AE84" s="1691"/>
      <c r="AF84" s="1869"/>
      <c r="AG84" s="2197"/>
      <c r="AH84" s="1893"/>
      <c r="AI84" s="1854"/>
      <c r="AJ84" s="2198"/>
      <c r="AK84" s="2825"/>
      <c r="AL84" s="3278"/>
      <c r="AM84" s="2929"/>
      <c r="AN84" s="1748"/>
      <c r="AO84" s="2199"/>
      <c r="AP84" s="3002"/>
      <c r="AQ84" s="1874"/>
      <c r="AR84" s="2020"/>
      <c r="AS84" s="3081"/>
      <c r="AT84" s="2779"/>
      <c r="AU84" s="1816"/>
      <c r="AV84" s="1910"/>
      <c r="AW84" s="2234"/>
      <c r="AX84" s="3194"/>
      <c r="AY84" s="1911"/>
      <c r="AZ84" s="2235"/>
      <c r="BA84" s="1864"/>
      <c r="BB84" s="1865"/>
      <c r="BC84" s="2856"/>
      <c r="BD84" s="1726"/>
      <c r="BE84" s="1873">
        <v>5</v>
      </c>
      <c r="BF84" s="1940"/>
      <c r="BG84" s="1865"/>
      <c r="BH84" s="3633">
        <f>SUM(E84:AC86)</f>
        <v>324</v>
      </c>
      <c r="BI84" s="3633">
        <f>SUM(E84:BC86)</f>
        <v>324</v>
      </c>
      <c r="BJ84" s="1954">
        <v>1003</v>
      </c>
      <c r="BK84" s="1951" t="s">
        <v>645</v>
      </c>
      <c r="BL84" s="3675" t="s">
        <v>33</v>
      </c>
    </row>
    <row r="85" spans="1:64" ht="21" customHeight="1" thickBot="1">
      <c r="A85" s="3687"/>
      <c r="B85" s="1694" t="s">
        <v>34</v>
      </c>
      <c r="C85" s="3679"/>
      <c r="D85" s="1705">
        <f t="shared" si="31"/>
        <v>0</v>
      </c>
      <c r="E85" s="2104"/>
      <c r="F85" s="2105"/>
      <c r="G85" s="1708"/>
      <c r="H85" s="2106"/>
      <c r="I85" s="1712"/>
      <c r="J85" s="1779"/>
      <c r="K85" s="3187"/>
      <c r="L85" s="2024"/>
      <c r="M85" s="3279"/>
      <c r="N85" s="2819"/>
      <c r="O85" s="2928"/>
      <c r="P85" s="1708"/>
      <c r="Q85" s="2134"/>
      <c r="R85" s="2996"/>
      <c r="S85" s="1781"/>
      <c r="T85" s="1771"/>
      <c r="U85" s="2018"/>
      <c r="V85" s="2780"/>
      <c r="W85" s="1835"/>
      <c r="X85" s="1836"/>
      <c r="Y85" s="2165"/>
      <c r="Z85" s="1837"/>
      <c r="AA85" s="2166"/>
      <c r="AB85" s="1839"/>
      <c r="AC85" s="2850"/>
      <c r="AD85" s="1706"/>
      <c r="AE85" s="1707"/>
      <c r="AF85" s="1887"/>
      <c r="AG85" s="2200"/>
      <c r="AH85" s="1888"/>
      <c r="AI85" s="1889"/>
      <c r="AJ85" s="2201"/>
      <c r="AK85" s="2826"/>
      <c r="AL85" s="3279"/>
      <c r="AM85" s="2928"/>
      <c r="AN85" s="1769"/>
      <c r="AO85" s="2202"/>
      <c r="AP85" s="3005"/>
      <c r="AQ85" s="1892"/>
      <c r="AR85" s="2018"/>
      <c r="AS85" s="3084"/>
      <c r="AT85" s="2780"/>
      <c r="AU85" s="1835"/>
      <c r="AV85" s="1921"/>
      <c r="AW85" s="2236"/>
      <c r="AX85" s="3195"/>
      <c r="AY85" s="1927"/>
      <c r="AZ85" s="2242"/>
      <c r="BA85" s="1866"/>
      <c r="BB85" s="1867"/>
      <c r="BC85" s="2857"/>
      <c r="BD85" s="1706"/>
      <c r="BE85" s="1891"/>
      <c r="BF85" s="1948"/>
      <c r="BG85" s="1924"/>
      <c r="BH85" s="3634"/>
      <c r="BI85" s="3634"/>
      <c r="BJ85" s="1954"/>
      <c r="BK85" s="1951"/>
      <c r="BL85" s="3632"/>
    </row>
    <row r="86" spans="1:64" ht="18" customHeight="1" thickBot="1">
      <c r="A86" s="3688"/>
      <c r="B86" s="1694" t="s">
        <v>34</v>
      </c>
      <c r="C86" s="3681"/>
      <c r="D86" s="1705">
        <f t="shared" ref="D86:D97" si="36">SUM(E86:BG86)</f>
        <v>0</v>
      </c>
      <c r="E86" s="2104"/>
      <c r="F86" s="2105"/>
      <c r="G86" s="1708"/>
      <c r="H86" s="2106"/>
      <c r="I86" s="1712"/>
      <c r="J86" s="1779"/>
      <c r="K86" s="3187"/>
      <c r="L86" s="2024"/>
      <c r="M86" s="3279"/>
      <c r="N86" s="2819"/>
      <c r="O86" s="2928"/>
      <c r="P86" s="1708"/>
      <c r="Q86" s="2134"/>
      <c r="R86" s="2996"/>
      <c r="S86" s="1781"/>
      <c r="T86" s="1771"/>
      <c r="U86" s="2018"/>
      <c r="V86" s="2780"/>
      <c r="W86" s="1835"/>
      <c r="X86" s="1836"/>
      <c r="Y86" s="2165"/>
      <c r="Z86" s="1837"/>
      <c r="AA86" s="2166"/>
      <c r="AB86" s="1839"/>
      <c r="AC86" s="2850"/>
      <c r="AD86" s="1706"/>
      <c r="AE86" s="1707"/>
      <c r="AF86" s="1887"/>
      <c r="AG86" s="2200"/>
      <c r="AH86" s="1888"/>
      <c r="AI86" s="1889"/>
      <c r="AJ86" s="2201"/>
      <c r="AK86" s="2826"/>
      <c r="AL86" s="3279"/>
      <c r="AM86" s="2928"/>
      <c r="AN86" s="1769"/>
      <c r="AO86" s="2202"/>
      <c r="AP86" s="3005"/>
      <c r="AQ86" s="1892"/>
      <c r="AR86" s="2018"/>
      <c r="AS86" s="3084"/>
      <c r="AT86" s="2780"/>
      <c r="AU86" s="1835"/>
      <c r="AV86" s="1921"/>
      <c r="AW86" s="2236"/>
      <c r="AX86" s="3195"/>
      <c r="AY86" s="1927"/>
      <c r="AZ86" s="2242"/>
      <c r="BA86" s="1866"/>
      <c r="BB86" s="1867"/>
      <c r="BC86" s="2857"/>
      <c r="BD86" s="1706"/>
      <c r="BE86" s="1891"/>
      <c r="BF86" s="1948"/>
      <c r="BG86" s="1924"/>
      <c r="BH86" s="3635"/>
      <c r="BI86" s="3635"/>
      <c r="BJ86" s="1954"/>
      <c r="BK86" s="1951"/>
      <c r="BL86" s="3710"/>
    </row>
    <row r="87" spans="1:64" ht="15.75" customHeight="1" thickBot="1">
      <c r="A87" s="3686">
        <v>46141</v>
      </c>
      <c r="B87" s="1738" t="s">
        <v>32</v>
      </c>
      <c r="C87" s="3678">
        <f>SUM(D87:D89)</f>
        <v>664</v>
      </c>
      <c r="D87" s="1689">
        <f t="shared" si="36"/>
        <v>364</v>
      </c>
      <c r="E87" s="2101"/>
      <c r="F87" s="2102"/>
      <c r="G87" s="1692"/>
      <c r="H87" s="2103"/>
      <c r="I87" s="1713"/>
      <c r="J87" s="1782"/>
      <c r="K87" s="3186"/>
      <c r="L87" s="2019"/>
      <c r="M87" s="3278"/>
      <c r="N87" s="2818"/>
      <c r="O87" s="2929"/>
      <c r="P87" s="1692"/>
      <c r="Q87" s="2133"/>
      <c r="R87" s="2993"/>
      <c r="S87" s="1784"/>
      <c r="T87" s="1750"/>
      <c r="U87" s="2020">
        <f>276+72</f>
        <v>348</v>
      </c>
      <c r="V87" s="2779"/>
      <c r="W87" s="1816"/>
      <c r="X87" s="1817"/>
      <c r="Y87" s="2163"/>
      <c r="Z87" s="1818"/>
      <c r="AA87" s="2164"/>
      <c r="AB87" s="1820"/>
      <c r="AC87" s="2847"/>
      <c r="AD87" s="1726"/>
      <c r="AE87" s="1691"/>
      <c r="AF87" s="1869"/>
      <c r="AG87" s="2197"/>
      <c r="AH87" s="1893"/>
      <c r="AI87" s="1854"/>
      <c r="AJ87" s="2198"/>
      <c r="AK87" s="2825"/>
      <c r="AL87" s="3278"/>
      <c r="AM87" s="2929"/>
      <c r="AN87" s="1748"/>
      <c r="AO87" s="2199"/>
      <c r="AP87" s="3002"/>
      <c r="AQ87" s="1874"/>
      <c r="AR87" s="2020">
        <v>6</v>
      </c>
      <c r="AS87" s="3081"/>
      <c r="AT87" s="2779"/>
      <c r="AU87" s="1816"/>
      <c r="AV87" s="1910"/>
      <c r="AW87" s="2234"/>
      <c r="AX87" s="3194"/>
      <c r="AY87" s="1911"/>
      <c r="AZ87" s="2235"/>
      <c r="BA87" s="1864"/>
      <c r="BB87" s="1865"/>
      <c r="BC87" s="2856"/>
      <c r="BD87" s="1726"/>
      <c r="BE87" s="1873">
        <v>10</v>
      </c>
      <c r="BF87" s="1940"/>
      <c r="BG87" s="1865"/>
      <c r="BH87" s="3633">
        <f>SUM(E87:AC89)</f>
        <v>636</v>
      </c>
      <c r="BI87" s="3633">
        <f>SUM(E87:BC89)</f>
        <v>644</v>
      </c>
      <c r="BJ87" s="1954">
        <v>1003</v>
      </c>
      <c r="BK87" s="1951" t="s">
        <v>646</v>
      </c>
      <c r="BL87" s="3675" t="s">
        <v>33</v>
      </c>
    </row>
    <row r="88" spans="1:64" ht="21" customHeight="1" thickBot="1">
      <c r="A88" s="3687"/>
      <c r="B88" s="1694" t="s">
        <v>34</v>
      </c>
      <c r="C88" s="3679"/>
      <c r="D88" s="1705">
        <f t="shared" si="36"/>
        <v>300</v>
      </c>
      <c r="E88" s="2104"/>
      <c r="F88" s="2105"/>
      <c r="G88" s="1708"/>
      <c r="H88" s="2106"/>
      <c r="I88" s="1712"/>
      <c r="J88" s="1779"/>
      <c r="K88" s="3187"/>
      <c r="L88" s="2024"/>
      <c r="M88" s="3279"/>
      <c r="N88" s="2819"/>
      <c r="O88" s="2928"/>
      <c r="P88" s="1708"/>
      <c r="Q88" s="2134"/>
      <c r="R88" s="2996"/>
      <c r="S88" s="1781"/>
      <c r="T88" s="1771"/>
      <c r="U88" s="2018">
        <v>288</v>
      </c>
      <c r="V88" s="2780"/>
      <c r="W88" s="1835"/>
      <c r="X88" s="1836"/>
      <c r="Y88" s="2165"/>
      <c r="Z88" s="1837"/>
      <c r="AA88" s="2166"/>
      <c r="AB88" s="1839"/>
      <c r="AC88" s="2850"/>
      <c r="AD88" s="1706"/>
      <c r="AE88" s="1707"/>
      <c r="AF88" s="1887"/>
      <c r="AG88" s="2200"/>
      <c r="AH88" s="1888"/>
      <c r="AI88" s="1889"/>
      <c r="AJ88" s="2201"/>
      <c r="AK88" s="2826"/>
      <c r="AL88" s="3279"/>
      <c r="AM88" s="2928"/>
      <c r="AN88" s="1769"/>
      <c r="AO88" s="2202"/>
      <c r="AP88" s="3005"/>
      <c r="AQ88" s="1892"/>
      <c r="AR88" s="2018">
        <v>2</v>
      </c>
      <c r="AS88" s="3084"/>
      <c r="AT88" s="2780"/>
      <c r="AU88" s="1835"/>
      <c r="AV88" s="1921"/>
      <c r="AW88" s="2236"/>
      <c r="AX88" s="3195"/>
      <c r="AY88" s="1927"/>
      <c r="AZ88" s="2242"/>
      <c r="BA88" s="1866"/>
      <c r="BB88" s="1867"/>
      <c r="BC88" s="2857"/>
      <c r="BD88" s="1706"/>
      <c r="BE88" s="1891">
        <v>10</v>
      </c>
      <c r="BF88" s="1948"/>
      <c r="BG88" s="1924"/>
      <c r="BH88" s="3634"/>
      <c r="BI88" s="3634"/>
      <c r="BJ88" s="1954"/>
      <c r="BK88" s="1951"/>
      <c r="BL88" s="3632"/>
    </row>
    <row r="89" spans="1:64" ht="21" customHeight="1" thickBot="1">
      <c r="A89" s="3688"/>
      <c r="B89" s="1694" t="s">
        <v>34</v>
      </c>
      <c r="C89" s="3681"/>
      <c r="D89" s="1705">
        <f t="shared" si="36"/>
        <v>0</v>
      </c>
      <c r="E89" s="2104"/>
      <c r="F89" s="2105"/>
      <c r="G89" s="1708"/>
      <c r="H89" s="2106"/>
      <c r="I89" s="1712"/>
      <c r="J89" s="1779"/>
      <c r="K89" s="3187"/>
      <c r="L89" s="2024"/>
      <c r="M89" s="3279"/>
      <c r="N89" s="2819"/>
      <c r="O89" s="2928"/>
      <c r="P89" s="1708"/>
      <c r="Q89" s="2134"/>
      <c r="R89" s="2996"/>
      <c r="S89" s="1781"/>
      <c r="T89" s="1771"/>
      <c r="U89" s="2018"/>
      <c r="V89" s="2780"/>
      <c r="W89" s="1835"/>
      <c r="X89" s="1836"/>
      <c r="Y89" s="2165"/>
      <c r="Z89" s="1837"/>
      <c r="AA89" s="2166"/>
      <c r="AB89" s="1839"/>
      <c r="AC89" s="2850"/>
      <c r="AD89" s="1706"/>
      <c r="AE89" s="1707"/>
      <c r="AF89" s="1887"/>
      <c r="AG89" s="2200"/>
      <c r="AH89" s="1888"/>
      <c r="AI89" s="1889"/>
      <c r="AJ89" s="2201"/>
      <c r="AK89" s="2826"/>
      <c r="AL89" s="3279"/>
      <c r="AM89" s="2928"/>
      <c r="AN89" s="1769"/>
      <c r="AO89" s="2202"/>
      <c r="AP89" s="3005"/>
      <c r="AQ89" s="1892"/>
      <c r="AR89" s="2018"/>
      <c r="AS89" s="3084"/>
      <c r="AT89" s="2780"/>
      <c r="AU89" s="1835"/>
      <c r="AV89" s="1921"/>
      <c r="AW89" s="2236"/>
      <c r="AX89" s="3195"/>
      <c r="AY89" s="1927"/>
      <c r="AZ89" s="2242"/>
      <c r="BA89" s="1866"/>
      <c r="BB89" s="1867"/>
      <c r="BC89" s="2857"/>
      <c r="BD89" s="1706"/>
      <c r="BE89" s="1891"/>
      <c r="BF89" s="1948"/>
      <c r="BG89" s="1924"/>
      <c r="BH89" s="3635"/>
      <c r="BI89" s="3635"/>
      <c r="BJ89" s="1954"/>
      <c r="BK89" s="1951"/>
      <c r="BL89" s="3632"/>
    </row>
    <row r="90" spans="1:64" ht="15.75" customHeight="1" thickBot="1">
      <c r="A90" s="3686"/>
      <c r="B90" s="1738" t="s">
        <v>32</v>
      </c>
      <c r="C90" s="3678">
        <f>SUM(D90:D93)</f>
        <v>0</v>
      </c>
      <c r="D90" s="1689">
        <f t="shared" si="36"/>
        <v>0</v>
      </c>
      <c r="E90" s="2101"/>
      <c r="F90" s="2102"/>
      <c r="G90" s="1692"/>
      <c r="H90" s="2103"/>
      <c r="I90" s="1713"/>
      <c r="J90" s="1782"/>
      <c r="K90" s="3186"/>
      <c r="L90" s="2019"/>
      <c r="M90" s="3278"/>
      <c r="N90" s="2818"/>
      <c r="O90" s="2929"/>
      <c r="P90" s="1692"/>
      <c r="Q90" s="2133"/>
      <c r="R90" s="2993"/>
      <c r="S90" s="1784"/>
      <c r="T90" s="1750"/>
      <c r="U90" s="2020"/>
      <c r="V90" s="2779"/>
      <c r="W90" s="1816"/>
      <c r="X90" s="1817"/>
      <c r="Y90" s="2163"/>
      <c r="Z90" s="1818"/>
      <c r="AA90" s="2164"/>
      <c r="AB90" s="1820"/>
      <c r="AC90" s="2847"/>
      <c r="AD90" s="1726"/>
      <c r="AE90" s="1691"/>
      <c r="AF90" s="1869"/>
      <c r="AG90" s="2197"/>
      <c r="AH90" s="1893"/>
      <c r="AI90" s="1854"/>
      <c r="AJ90" s="2198"/>
      <c r="AK90" s="2825"/>
      <c r="AL90" s="3278"/>
      <c r="AM90" s="2929"/>
      <c r="AN90" s="1748"/>
      <c r="AO90" s="2199"/>
      <c r="AP90" s="3002"/>
      <c r="AQ90" s="1874"/>
      <c r="AR90" s="2020"/>
      <c r="AS90" s="3081"/>
      <c r="AT90" s="2779"/>
      <c r="AU90" s="1816"/>
      <c r="AV90" s="1910"/>
      <c r="AW90" s="2234"/>
      <c r="AX90" s="3194"/>
      <c r="AY90" s="1911"/>
      <c r="AZ90" s="2235"/>
      <c r="BA90" s="1864"/>
      <c r="BB90" s="1865"/>
      <c r="BC90" s="2856"/>
      <c r="BD90" s="1726"/>
      <c r="BE90" s="1873"/>
      <c r="BF90" s="1940"/>
      <c r="BG90" s="1865"/>
      <c r="BH90" s="3633">
        <f>SUM(E90:AC93)</f>
        <v>0</v>
      </c>
      <c r="BI90" s="3633">
        <f>SUM(E90:BC93)</f>
        <v>0</v>
      </c>
      <c r="BJ90" s="1954"/>
      <c r="BK90" s="1951"/>
      <c r="BL90" s="1962"/>
    </row>
    <row r="91" spans="1:64" ht="21" customHeight="1" thickBot="1">
      <c r="A91" s="3687"/>
      <c r="B91" s="1694" t="s">
        <v>32</v>
      </c>
      <c r="C91" s="3679"/>
      <c r="D91" s="1705">
        <f t="shared" si="36"/>
        <v>0</v>
      </c>
      <c r="E91" s="2104"/>
      <c r="F91" s="2105"/>
      <c r="G91" s="1708"/>
      <c r="H91" s="2106"/>
      <c r="I91" s="1712"/>
      <c r="J91" s="1779"/>
      <c r="K91" s="3187"/>
      <c r="L91" s="2024"/>
      <c r="M91" s="3279"/>
      <c r="N91" s="2819"/>
      <c r="O91" s="2928"/>
      <c r="P91" s="1708"/>
      <c r="Q91" s="2134"/>
      <c r="R91" s="2996"/>
      <c r="S91" s="1781"/>
      <c r="T91" s="1771"/>
      <c r="U91" s="2018"/>
      <c r="V91" s="2780"/>
      <c r="W91" s="1835"/>
      <c r="X91" s="1836"/>
      <c r="Y91" s="2165"/>
      <c r="Z91" s="1837"/>
      <c r="AA91" s="2166"/>
      <c r="AB91" s="1839"/>
      <c r="AC91" s="2850"/>
      <c r="AD91" s="1706"/>
      <c r="AE91" s="1707"/>
      <c r="AF91" s="1887"/>
      <c r="AG91" s="2200"/>
      <c r="AH91" s="1888"/>
      <c r="AI91" s="1889"/>
      <c r="AJ91" s="2201"/>
      <c r="AK91" s="2826"/>
      <c r="AL91" s="3279"/>
      <c r="AM91" s="2928"/>
      <c r="AN91" s="1769"/>
      <c r="AO91" s="2202"/>
      <c r="AP91" s="3005"/>
      <c r="AQ91" s="1892"/>
      <c r="AR91" s="2018"/>
      <c r="AS91" s="3084"/>
      <c r="AT91" s="2780"/>
      <c r="AU91" s="1835"/>
      <c r="AV91" s="1921"/>
      <c r="AW91" s="2236"/>
      <c r="AX91" s="3195"/>
      <c r="AY91" s="1927"/>
      <c r="AZ91" s="2242"/>
      <c r="BA91" s="1866"/>
      <c r="BB91" s="1867"/>
      <c r="BC91" s="2857"/>
      <c r="BD91" s="1706"/>
      <c r="BE91" s="1891"/>
      <c r="BF91" s="1948"/>
      <c r="BG91" s="1924"/>
      <c r="BH91" s="3634"/>
      <c r="BI91" s="3634"/>
      <c r="BJ91" s="1954"/>
      <c r="BK91" s="1951"/>
      <c r="BL91" s="1988"/>
    </row>
    <row r="92" spans="1:64" ht="21" customHeight="1" thickBot="1">
      <c r="A92" s="3687"/>
      <c r="B92" s="1694" t="s">
        <v>34</v>
      </c>
      <c r="C92" s="3679"/>
      <c r="D92" s="1705">
        <f t="shared" si="36"/>
        <v>0</v>
      </c>
      <c r="E92" s="2104"/>
      <c r="F92" s="2105"/>
      <c r="G92" s="1708"/>
      <c r="H92" s="2106"/>
      <c r="I92" s="1712"/>
      <c r="J92" s="1779"/>
      <c r="K92" s="3187"/>
      <c r="L92" s="2024"/>
      <c r="M92" s="3279"/>
      <c r="N92" s="2819"/>
      <c r="O92" s="2928"/>
      <c r="P92" s="1708"/>
      <c r="Q92" s="2134"/>
      <c r="R92" s="2996"/>
      <c r="S92" s="1781"/>
      <c r="T92" s="1771"/>
      <c r="U92" s="2018"/>
      <c r="V92" s="2780"/>
      <c r="W92" s="1835"/>
      <c r="X92" s="1836"/>
      <c r="Y92" s="2165"/>
      <c r="Z92" s="1837"/>
      <c r="AA92" s="2166"/>
      <c r="AB92" s="1839"/>
      <c r="AC92" s="2850"/>
      <c r="AD92" s="1706"/>
      <c r="AE92" s="1707"/>
      <c r="AF92" s="1887"/>
      <c r="AG92" s="2200"/>
      <c r="AH92" s="1888"/>
      <c r="AI92" s="1889"/>
      <c r="AJ92" s="2201"/>
      <c r="AK92" s="2826"/>
      <c r="AL92" s="3279"/>
      <c r="AM92" s="2928"/>
      <c r="AN92" s="1769"/>
      <c r="AO92" s="2202"/>
      <c r="AP92" s="3005"/>
      <c r="AQ92" s="1892"/>
      <c r="AR92" s="2018"/>
      <c r="AS92" s="3084"/>
      <c r="AT92" s="2780"/>
      <c r="AU92" s="1835"/>
      <c r="AV92" s="1921"/>
      <c r="AW92" s="2236"/>
      <c r="AX92" s="3195"/>
      <c r="AY92" s="1927"/>
      <c r="AZ92" s="2242"/>
      <c r="BA92" s="1866"/>
      <c r="BB92" s="1867"/>
      <c r="BC92" s="2857"/>
      <c r="BD92" s="1706"/>
      <c r="BE92" s="1891"/>
      <c r="BF92" s="1948"/>
      <c r="BG92" s="1924"/>
      <c r="BH92" s="3634"/>
      <c r="BI92" s="3634"/>
      <c r="BJ92" s="1954"/>
      <c r="BK92" s="1951"/>
      <c r="BL92" s="1988"/>
    </row>
    <row r="93" spans="1:64" ht="21" customHeight="1" thickBot="1">
      <c r="A93" s="3688"/>
      <c r="B93" s="1694" t="s">
        <v>34</v>
      </c>
      <c r="C93" s="3681"/>
      <c r="D93" s="1705">
        <f t="shared" si="36"/>
        <v>0</v>
      </c>
      <c r="E93" s="2104"/>
      <c r="F93" s="2105"/>
      <c r="G93" s="1708"/>
      <c r="H93" s="2106"/>
      <c r="I93" s="1712"/>
      <c r="J93" s="1779"/>
      <c r="K93" s="3187"/>
      <c r="L93" s="2024"/>
      <c r="M93" s="3279"/>
      <c r="N93" s="2819"/>
      <c r="O93" s="2928"/>
      <c r="P93" s="1708"/>
      <c r="Q93" s="2134"/>
      <c r="R93" s="2996"/>
      <c r="S93" s="1781"/>
      <c r="T93" s="1771"/>
      <c r="U93" s="2018"/>
      <c r="V93" s="2780"/>
      <c r="W93" s="1835"/>
      <c r="X93" s="1836"/>
      <c r="Y93" s="2165"/>
      <c r="Z93" s="1837"/>
      <c r="AA93" s="2166"/>
      <c r="AB93" s="1839"/>
      <c r="AC93" s="2850"/>
      <c r="AD93" s="1706"/>
      <c r="AE93" s="1707"/>
      <c r="AF93" s="1887"/>
      <c r="AG93" s="2200"/>
      <c r="AH93" s="1888"/>
      <c r="AI93" s="1889"/>
      <c r="AJ93" s="2201"/>
      <c r="AK93" s="2826"/>
      <c r="AL93" s="3279"/>
      <c r="AM93" s="2928"/>
      <c r="AN93" s="1769"/>
      <c r="AO93" s="2202"/>
      <c r="AP93" s="3005"/>
      <c r="AQ93" s="1892"/>
      <c r="AR93" s="2018"/>
      <c r="AS93" s="3084"/>
      <c r="AT93" s="2780"/>
      <c r="AU93" s="1835"/>
      <c r="AV93" s="1921"/>
      <c r="AW93" s="2236"/>
      <c r="AX93" s="3195"/>
      <c r="AY93" s="1927"/>
      <c r="AZ93" s="2242"/>
      <c r="BA93" s="1866"/>
      <c r="BB93" s="1867"/>
      <c r="BC93" s="2857"/>
      <c r="BD93" s="1706"/>
      <c r="BE93" s="1891"/>
      <c r="BF93" s="1948"/>
      <c r="BG93" s="1924"/>
      <c r="BH93" s="3635"/>
      <c r="BI93" s="3635"/>
      <c r="BJ93" s="1954"/>
      <c r="BK93" s="1951"/>
      <c r="BL93" s="1988"/>
    </row>
    <row r="94" spans="1:64" ht="15.75" customHeight="1" thickBot="1">
      <c r="A94" s="3686"/>
      <c r="B94" s="1738" t="s">
        <v>32</v>
      </c>
      <c r="C94" s="3678">
        <f>SUM(D94:D97)</f>
        <v>0</v>
      </c>
      <c r="D94" s="1689">
        <f t="shared" si="36"/>
        <v>0</v>
      </c>
      <c r="E94" s="2101"/>
      <c r="F94" s="2102"/>
      <c r="G94" s="1692"/>
      <c r="H94" s="2103"/>
      <c r="I94" s="1713"/>
      <c r="J94" s="1782"/>
      <c r="K94" s="3186"/>
      <c r="L94" s="2019"/>
      <c r="M94" s="3278"/>
      <c r="N94" s="2818"/>
      <c r="O94" s="2929"/>
      <c r="P94" s="1692"/>
      <c r="Q94" s="2133"/>
      <c r="R94" s="2993"/>
      <c r="S94" s="1784"/>
      <c r="T94" s="1750"/>
      <c r="U94" s="2020"/>
      <c r="V94" s="2779"/>
      <c r="W94" s="1816"/>
      <c r="X94" s="1817"/>
      <c r="Y94" s="2163"/>
      <c r="Z94" s="1818"/>
      <c r="AA94" s="2164"/>
      <c r="AB94" s="1820"/>
      <c r="AC94" s="2847"/>
      <c r="AD94" s="1726"/>
      <c r="AE94" s="1691"/>
      <c r="AF94" s="1869"/>
      <c r="AG94" s="2197"/>
      <c r="AH94" s="1893"/>
      <c r="AI94" s="1854"/>
      <c r="AJ94" s="2198"/>
      <c r="AK94" s="2825"/>
      <c r="AL94" s="3278"/>
      <c r="AM94" s="2929"/>
      <c r="AN94" s="1748"/>
      <c r="AO94" s="2199"/>
      <c r="AP94" s="3002"/>
      <c r="AQ94" s="1874"/>
      <c r="AR94" s="2020"/>
      <c r="AS94" s="3081"/>
      <c r="AT94" s="2779"/>
      <c r="AU94" s="1816"/>
      <c r="AV94" s="1910"/>
      <c r="AW94" s="2234"/>
      <c r="AX94" s="3194"/>
      <c r="AY94" s="1911"/>
      <c r="AZ94" s="2235"/>
      <c r="BA94" s="1864"/>
      <c r="BB94" s="1865"/>
      <c r="BC94" s="2856"/>
      <c r="BD94" s="1726"/>
      <c r="BE94" s="1873"/>
      <c r="BF94" s="1940"/>
      <c r="BG94" s="1865"/>
      <c r="BH94" s="3633">
        <f>SUM(E94:AC97)</f>
        <v>0</v>
      </c>
      <c r="BI94" s="3633">
        <f>SUM(E94:BC97)</f>
        <v>0</v>
      </c>
      <c r="BJ94" s="1954"/>
      <c r="BK94" s="1951"/>
      <c r="BL94" s="1962"/>
    </row>
    <row r="95" spans="1:64" ht="21" customHeight="1" thickBot="1">
      <c r="A95" s="3687"/>
      <c r="B95" s="1694" t="s">
        <v>34</v>
      </c>
      <c r="C95" s="3679"/>
      <c r="D95" s="1705">
        <f t="shared" si="36"/>
        <v>0</v>
      </c>
      <c r="E95" s="2104"/>
      <c r="F95" s="2105"/>
      <c r="G95" s="1708"/>
      <c r="H95" s="2106"/>
      <c r="I95" s="1712"/>
      <c r="J95" s="1779"/>
      <c r="K95" s="3187"/>
      <c r="L95" s="2024"/>
      <c r="M95" s="3279"/>
      <c r="N95" s="2819"/>
      <c r="O95" s="2928"/>
      <c r="P95" s="1708"/>
      <c r="Q95" s="2134"/>
      <c r="R95" s="2996"/>
      <c r="S95" s="1781"/>
      <c r="T95" s="1771"/>
      <c r="U95" s="2018"/>
      <c r="V95" s="2780"/>
      <c r="W95" s="1835"/>
      <c r="X95" s="1836"/>
      <c r="Y95" s="2165"/>
      <c r="Z95" s="1837"/>
      <c r="AA95" s="2166"/>
      <c r="AB95" s="1839"/>
      <c r="AC95" s="2850"/>
      <c r="AD95" s="1706"/>
      <c r="AE95" s="1707"/>
      <c r="AF95" s="1887"/>
      <c r="AG95" s="2200"/>
      <c r="AH95" s="1888"/>
      <c r="AI95" s="1889"/>
      <c r="AJ95" s="2201"/>
      <c r="AK95" s="2826"/>
      <c r="AL95" s="3279"/>
      <c r="AM95" s="2928"/>
      <c r="AN95" s="1769"/>
      <c r="AO95" s="2202"/>
      <c r="AP95" s="3005"/>
      <c r="AQ95" s="1892"/>
      <c r="AR95" s="2018"/>
      <c r="AS95" s="3084"/>
      <c r="AT95" s="2780"/>
      <c r="AU95" s="1835"/>
      <c r="AV95" s="1921"/>
      <c r="AW95" s="2236"/>
      <c r="AX95" s="3195"/>
      <c r="AY95" s="1927"/>
      <c r="AZ95" s="2242"/>
      <c r="BA95" s="1866"/>
      <c r="BB95" s="1867"/>
      <c r="BC95" s="2857"/>
      <c r="BD95" s="1706"/>
      <c r="BE95" s="1891"/>
      <c r="BF95" s="1948"/>
      <c r="BG95" s="1924"/>
      <c r="BH95" s="3634"/>
      <c r="BI95" s="3634"/>
      <c r="BJ95" s="1954"/>
      <c r="BK95" s="1951"/>
      <c r="BL95" s="1988"/>
    </row>
    <row r="96" spans="1:64" ht="21" customHeight="1" thickBot="1">
      <c r="A96" s="3687"/>
      <c r="B96" s="1694" t="s">
        <v>34</v>
      </c>
      <c r="C96" s="3679"/>
      <c r="D96" s="1705">
        <f t="shared" si="36"/>
        <v>0</v>
      </c>
      <c r="E96" s="2104"/>
      <c r="F96" s="2105"/>
      <c r="G96" s="1708"/>
      <c r="H96" s="2106"/>
      <c r="I96" s="1712"/>
      <c r="J96" s="1779"/>
      <c r="K96" s="3187"/>
      <c r="L96" s="2024"/>
      <c r="M96" s="3279"/>
      <c r="N96" s="2819"/>
      <c r="O96" s="2928"/>
      <c r="P96" s="1708"/>
      <c r="Q96" s="2134"/>
      <c r="R96" s="2996"/>
      <c r="S96" s="1781"/>
      <c r="T96" s="1771"/>
      <c r="U96" s="2018"/>
      <c r="V96" s="2780"/>
      <c r="W96" s="1835"/>
      <c r="X96" s="1836"/>
      <c r="Y96" s="2165"/>
      <c r="Z96" s="1837"/>
      <c r="AA96" s="2166"/>
      <c r="AB96" s="1839"/>
      <c r="AC96" s="2850"/>
      <c r="AD96" s="1706"/>
      <c r="AE96" s="1707"/>
      <c r="AF96" s="1887"/>
      <c r="AG96" s="2200"/>
      <c r="AH96" s="1888"/>
      <c r="AI96" s="1889"/>
      <c r="AJ96" s="2201"/>
      <c r="AK96" s="2826"/>
      <c r="AL96" s="3279"/>
      <c r="AM96" s="2928"/>
      <c r="AN96" s="1769"/>
      <c r="AO96" s="2202"/>
      <c r="AP96" s="3005"/>
      <c r="AQ96" s="1892"/>
      <c r="AR96" s="2018"/>
      <c r="AS96" s="3084"/>
      <c r="AT96" s="2780"/>
      <c r="AU96" s="1835"/>
      <c r="AV96" s="1921"/>
      <c r="AW96" s="2236"/>
      <c r="AX96" s="3195"/>
      <c r="AY96" s="1927"/>
      <c r="AZ96" s="2242"/>
      <c r="BA96" s="1866"/>
      <c r="BB96" s="1867"/>
      <c r="BC96" s="2857"/>
      <c r="BD96" s="1706"/>
      <c r="BE96" s="1891"/>
      <c r="BF96" s="1948"/>
      <c r="BG96" s="1924"/>
      <c r="BH96" s="3634"/>
      <c r="BI96" s="3634"/>
      <c r="BJ96" s="1954"/>
      <c r="BK96" s="1951"/>
      <c r="BL96" s="1988"/>
    </row>
    <row r="97" spans="1:64" ht="21" customHeight="1" thickBot="1">
      <c r="A97" s="3688"/>
      <c r="B97" s="1694"/>
      <c r="C97" s="3681"/>
      <c r="D97" s="1705">
        <f t="shared" si="36"/>
        <v>0</v>
      </c>
      <c r="E97" s="2104"/>
      <c r="F97" s="2105"/>
      <c r="G97" s="1708"/>
      <c r="H97" s="2106"/>
      <c r="I97" s="1712"/>
      <c r="J97" s="1779"/>
      <c r="K97" s="3187"/>
      <c r="L97" s="2024"/>
      <c r="M97" s="3279"/>
      <c r="N97" s="2819"/>
      <c r="O97" s="2928"/>
      <c r="P97" s="1708"/>
      <c r="Q97" s="2134"/>
      <c r="R97" s="2996"/>
      <c r="S97" s="1781"/>
      <c r="T97" s="1771"/>
      <c r="U97" s="2018"/>
      <c r="V97" s="2780"/>
      <c r="W97" s="1835"/>
      <c r="X97" s="1836"/>
      <c r="Y97" s="2165"/>
      <c r="Z97" s="1837"/>
      <c r="AA97" s="2166"/>
      <c r="AB97" s="1839"/>
      <c r="AC97" s="2850"/>
      <c r="AD97" s="1706"/>
      <c r="AE97" s="1707"/>
      <c r="AF97" s="1887"/>
      <c r="AG97" s="2200"/>
      <c r="AH97" s="1888"/>
      <c r="AI97" s="1889"/>
      <c r="AJ97" s="2201"/>
      <c r="AK97" s="2826"/>
      <c r="AL97" s="3279"/>
      <c r="AM97" s="2928"/>
      <c r="AN97" s="1769"/>
      <c r="AO97" s="2202"/>
      <c r="AP97" s="3005"/>
      <c r="AQ97" s="1892"/>
      <c r="AR97" s="2018"/>
      <c r="AS97" s="3084"/>
      <c r="AT97" s="2780"/>
      <c r="AU97" s="1835"/>
      <c r="AV97" s="1921"/>
      <c r="AW97" s="2236"/>
      <c r="AX97" s="3195"/>
      <c r="AY97" s="1927"/>
      <c r="AZ97" s="2242"/>
      <c r="BA97" s="1866"/>
      <c r="BB97" s="1867"/>
      <c r="BC97" s="2857"/>
      <c r="BD97" s="1706"/>
      <c r="BE97" s="1891"/>
      <c r="BF97" s="1948"/>
      <c r="BG97" s="1924"/>
      <c r="BH97" s="3635"/>
      <c r="BI97" s="3635"/>
      <c r="BJ97" s="1954"/>
      <c r="BK97" s="1951"/>
      <c r="BL97" s="1988"/>
    </row>
    <row r="98" spans="1:64" ht="15.75" customHeight="1" thickBot="1">
      <c r="A98" s="3686"/>
      <c r="B98" s="1738" t="s">
        <v>32</v>
      </c>
      <c r="C98" s="3678">
        <f>SUM(D98:D101)</f>
        <v>0</v>
      </c>
      <c r="D98" s="1689">
        <f t="shared" ref="D98:D101" si="37">SUM(E98:BG98)</f>
        <v>0</v>
      </c>
      <c r="E98" s="2101"/>
      <c r="F98" s="2102"/>
      <c r="G98" s="1692"/>
      <c r="H98" s="2103"/>
      <c r="I98" s="1713"/>
      <c r="J98" s="1782"/>
      <c r="K98" s="3186"/>
      <c r="L98" s="2019"/>
      <c r="M98" s="3278"/>
      <c r="N98" s="2818"/>
      <c r="O98" s="2929"/>
      <c r="P98" s="1692"/>
      <c r="Q98" s="2133"/>
      <c r="R98" s="2993"/>
      <c r="S98" s="1784"/>
      <c r="T98" s="1750"/>
      <c r="U98" s="2020"/>
      <c r="V98" s="2779"/>
      <c r="W98" s="1816"/>
      <c r="X98" s="1817"/>
      <c r="Y98" s="2163"/>
      <c r="Z98" s="1818"/>
      <c r="AA98" s="2164"/>
      <c r="AB98" s="1820"/>
      <c r="AC98" s="2847"/>
      <c r="AD98" s="1726"/>
      <c r="AE98" s="1691"/>
      <c r="AF98" s="1869"/>
      <c r="AG98" s="2197"/>
      <c r="AH98" s="1893"/>
      <c r="AI98" s="1854"/>
      <c r="AJ98" s="2198"/>
      <c r="AK98" s="2825"/>
      <c r="AL98" s="3278"/>
      <c r="AM98" s="2929"/>
      <c r="AN98" s="1748"/>
      <c r="AO98" s="2199"/>
      <c r="AP98" s="3002"/>
      <c r="AQ98" s="1874"/>
      <c r="AR98" s="2020"/>
      <c r="AS98" s="3081"/>
      <c r="AT98" s="2779"/>
      <c r="AU98" s="1816"/>
      <c r="AV98" s="1910"/>
      <c r="AW98" s="2234"/>
      <c r="AX98" s="3194"/>
      <c r="AY98" s="1911"/>
      <c r="AZ98" s="2235"/>
      <c r="BA98" s="1864"/>
      <c r="BB98" s="1865"/>
      <c r="BC98" s="2856"/>
      <c r="BD98" s="1726"/>
      <c r="BE98" s="1873"/>
      <c r="BF98" s="1940"/>
      <c r="BG98" s="1865"/>
      <c r="BH98" s="3633">
        <f>SUM(E98:AC101)</f>
        <v>0</v>
      </c>
      <c r="BI98" s="3633">
        <f>SUM(E98:BC101)</f>
        <v>0</v>
      </c>
      <c r="BJ98" s="1954"/>
      <c r="BK98" s="1951"/>
      <c r="BL98" s="1962"/>
    </row>
    <row r="99" spans="1:64" ht="21" customHeight="1" thickBot="1">
      <c r="A99" s="3688"/>
      <c r="B99" s="1694" t="s">
        <v>34</v>
      </c>
      <c r="C99" s="3681"/>
      <c r="D99" s="1705">
        <f t="shared" si="37"/>
        <v>0</v>
      </c>
      <c r="E99" s="2104"/>
      <c r="F99" s="2105"/>
      <c r="G99" s="1708"/>
      <c r="H99" s="2106"/>
      <c r="I99" s="1712"/>
      <c r="J99" s="1779"/>
      <c r="K99" s="3187"/>
      <c r="L99" s="2024"/>
      <c r="M99" s="3279"/>
      <c r="N99" s="2819"/>
      <c r="O99" s="2928"/>
      <c r="P99" s="1708"/>
      <c r="Q99" s="2134"/>
      <c r="R99" s="2996"/>
      <c r="S99" s="1781"/>
      <c r="T99" s="1771"/>
      <c r="U99" s="2018"/>
      <c r="V99" s="2780"/>
      <c r="W99" s="1835"/>
      <c r="X99" s="1836"/>
      <c r="Y99" s="2165"/>
      <c r="Z99" s="1837"/>
      <c r="AA99" s="2166"/>
      <c r="AB99" s="1839"/>
      <c r="AC99" s="2850"/>
      <c r="AD99" s="1706"/>
      <c r="AE99" s="1707"/>
      <c r="AF99" s="1887"/>
      <c r="AG99" s="2200"/>
      <c r="AH99" s="1888"/>
      <c r="AI99" s="1889"/>
      <c r="AJ99" s="2201"/>
      <c r="AK99" s="2826"/>
      <c r="AL99" s="3279"/>
      <c r="AM99" s="2928"/>
      <c r="AN99" s="1769"/>
      <c r="AO99" s="2202"/>
      <c r="AP99" s="3005"/>
      <c r="AQ99" s="1892"/>
      <c r="AR99" s="2018"/>
      <c r="AS99" s="3084"/>
      <c r="AT99" s="2780"/>
      <c r="AU99" s="1835"/>
      <c r="AV99" s="1921"/>
      <c r="AW99" s="2236"/>
      <c r="AX99" s="3195"/>
      <c r="AY99" s="1927"/>
      <c r="AZ99" s="2242"/>
      <c r="BA99" s="1866"/>
      <c r="BB99" s="1867"/>
      <c r="BC99" s="2857"/>
      <c r="BD99" s="1706"/>
      <c r="BE99" s="1891"/>
      <c r="BF99" s="1948"/>
      <c r="BG99" s="1924"/>
      <c r="BH99" s="3635"/>
      <c r="BI99" s="3635"/>
      <c r="BJ99" s="1954"/>
      <c r="BK99" s="1951"/>
      <c r="BL99" s="1988"/>
    </row>
    <row r="100" spans="1:64" ht="21" customHeight="1" thickBot="1">
      <c r="A100" s="3688"/>
      <c r="B100" s="1694" t="s">
        <v>34</v>
      </c>
      <c r="C100" s="3681"/>
      <c r="D100" s="1705">
        <f t="shared" ref="D100" si="38">SUM(E100:BG100)</f>
        <v>0</v>
      </c>
      <c r="E100" s="2104"/>
      <c r="F100" s="2105"/>
      <c r="G100" s="1708"/>
      <c r="H100" s="2106"/>
      <c r="I100" s="1712"/>
      <c r="J100" s="1779"/>
      <c r="K100" s="3187"/>
      <c r="L100" s="2024"/>
      <c r="M100" s="3279"/>
      <c r="N100" s="2819"/>
      <c r="O100" s="2928"/>
      <c r="P100" s="1708"/>
      <c r="Q100" s="2134"/>
      <c r="R100" s="2996"/>
      <c r="S100" s="1781"/>
      <c r="T100" s="1771"/>
      <c r="U100" s="2018"/>
      <c r="V100" s="2780"/>
      <c r="W100" s="1835"/>
      <c r="X100" s="1836"/>
      <c r="Y100" s="2165"/>
      <c r="Z100" s="1837"/>
      <c r="AA100" s="2166"/>
      <c r="AB100" s="1839"/>
      <c r="AC100" s="2850"/>
      <c r="AD100" s="1706"/>
      <c r="AE100" s="1707"/>
      <c r="AF100" s="1887"/>
      <c r="AG100" s="2200"/>
      <c r="AH100" s="1888"/>
      <c r="AI100" s="1889"/>
      <c r="AJ100" s="2201"/>
      <c r="AK100" s="2826"/>
      <c r="AL100" s="3279"/>
      <c r="AM100" s="2928"/>
      <c r="AN100" s="1769"/>
      <c r="AO100" s="2202"/>
      <c r="AP100" s="3005"/>
      <c r="AQ100" s="1892"/>
      <c r="AR100" s="2018"/>
      <c r="AS100" s="3084"/>
      <c r="AT100" s="2780"/>
      <c r="AU100" s="1835"/>
      <c r="AV100" s="1921"/>
      <c r="AW100" s="2236"/>
      <c r="AX100" s="3195"/>
      <c r="AY100" s="1927"/>
      <c r="AZ100" s="2242"/>
      <c r="BA100" s="1866"/>
      <c r="BB100" s="1867"/>
      <c r="BC100" s="2857"/>
      <c r="BD100" s="1706"/>
      <c r="BE100" s="1891"/>
      <c r="BF100" s="1948"/>
      <c r="BG100" s="1924"/>
      <c r="BH100" s="3635"/>
      <c r="BI100" s="3635"/>
      <c r="BJ100" s="1954"/>
      <c r="BK100" s="1951"/>
      <c r="BL100" s="1988"/>
    </row>
    <row r="101" spans="1:64" ht="21" customHeight="1" thickBot="1">
      <c r="A101" s="3688"/>
      <c r="B101" s="1694" t="s">
        <v>34</v>
      </c>
      <c r="C101" s="3681"/>
      <c r="D101" s="1705">
        <f t="shared" si="37"/>
        <v>0</v>
      </c>
      <c r="E101" s="2104"/>
      <c r="F101" s="2105"/>
      <c r="G101" s="1708"/>
      <c r="H101" s="2106"/>
      <c r="I101" s="1712"/>
      <c r="J101" s="1779"/>
      <c r="K101" s="3187"/>
      <c r="L101" s="2024"/>
      <c r="M101" s="3279"/>
      <c r="N101" s="2819"/>
      <c r="O101" s="2928"/>
      <c r="P101" s="1708"/>
      <c r="Q101" s="2134"/>
      <c r="R101" s="2996"/>
      <c r="S101" s="1781"/>
      <c r="T101" s="1771"/>
      <c r="U101" s="2018"/>
      <c r="V101" s="2780"/>
      <c r="W101" s="1835"/>
      <c r="X101" s="1836"/>
      <c r="Y101" s="2165"/>
      <c r="Z101" s="1837"/>
      <c r="AA101" s="2166"/>
      <c r="AB101" s="1839"/>
      <c r="AC101" s="2850"/>
      <c r="AD101" s="1706"/>
      <c r="AE101" s="1707"/>
      <c r="AF101" s="1887"/>
      <c r="AG101" s="2200"/>
      <c r="AH101" s="1888"/>
      <c r="AI101" s="1889"/>
      <c r="AJ101" s="2201"/>
      <c r="AK101" s="2826"/>
      <c r="AL101" s="3279"/>
      <c r="AM101" s="2928"/>
      <c r="AN101" s="1769"/>
      <c r="AO101" s="2202"/>
      <c r="AP101" s="3005"/>
      <c r="AQ101" s="1892"/>
      <c r="AR101" s="2018"/>
      <c r="AS101" s="3084"/>
      <c r="AT101" s="2780"/>
      <c r="AU101" s="1835"/>
      <c r="AV101" s="1921"/>
      <c r="AW101" s="2236"/>
      <c r="AX101" s="3195"/>
      <c r="AY101" s="1927"/>
      <c r="AZ101" s="2242"/>
      <c r="BA101" s="1866"/>
      <c r="BB101" s="1867"/>
      <c r="BC101" s="2857"/>
      <c r="BD101" s="1706"/>
      <c r="BE101" s="1891"/>
      <c r="BF101" s="1948"/>
      <c r="BG101" s="1924"/>
      <c r="BH101" s="3635"/>
      <c r="BI101" s="3635"/>
      <c r="BJ101" s="1954"/>
      <c r="BK101" s="1951"/>
      <c r="BL101" s="1988"/>
    </row>
    <row r="102" spans="1:64" ht="15.75" customHeight="1" thickBot="1">
      <c r="A102" s="3686"/>
      <c r="B102" s="1738" t="s">
        <v>32</v>
      </c>
      <c r="C102" s="3678">
        <f>SUM(D102:D105)</f>
        <v>0</v>
      </c>
      <c r="D102" s="1689">
        <f t="shared" ref="D102:D105" si="39">SUM(E102:BG102)</f>
        <v>0</v>
      </c>
      <c r="E102" s="2101"/>
      <c r="F102" s="2102"/>
      <c r="G102" s="1692"/>
      <c r="H102" s="2103"/>
      <c r="I102" s="1713"/>
      <c r="J102" s="1782"/>
      <c r="K102" s="3186"/>
      <c r="L102" s="2019"/>
      <c r="M102" s="3278"/>
      <c r="N102" s="2818"/>
      <c r="O102" s="2929"/>
      <c r="P102" s="1692"/>
      <c r="Q102" s="2133"/>
      <c r="R102" s="2993"/>
      <c r="S102" s="1784"/>
      <c r="T102" s="1750"/>
      <c r="U102" s="2020"/>
      <c r="V102" s="2779"/>
      <c r="W102" s="1816"/>
      <c r="X102" s="1817"/>
      <c r="Y102" s="2163"/>
      <c r="Z102" s="1818"/>
      <c r="AA102" s="2164"/>
      <c r="AB102" s="1820"/>
      <c r="AC102" s="2847"/>
      <c r="AD102" s="1726"/>
      <c r="AE102" s="1691"/>
      <c r="AF102" s="1869"/>
      <c r="AG102" s="2197"/>
      <c r="AH102" s="1893"/>
      <c r="AI102" s="1854"/>
      <c r="AJ102" s="2198"/>
      <c r="AK102" s="2825"/>
      <c r="AL102" s="3278"/>
      <c r="AM102" s="2929"/>
      <c r="AN102" s="1748"/>
      <c r="AO102" s="2199"/>
      <c r="AP102" s="3002"/>
      <c r="AQ102" s="1874"/>
      <c r="AR102" s="2020"/>
      <c r="AS102" s="3081"/>
      <c r="AT102" s="2779"/>
      <c r="AU102" s="1816"/>
      <c r="AV102" s="1910"/>
      <c r="AW102" s="2234"/>
      <c r="AX102" s="3194"/>
      <c r="AY102" s="1911"/>
      <c r="AZ102" s="2235"/>
      <c r="BA102" s="1864"/>
      <c r="BB102" s="1865"/>
      <c r="BC102" s="2856"/>
      <c r="BD102" s="1726"/>
      <c r="BE102" s="1873"/>
      <c r="BF102" s="1940"/>
      <c r="BG102" s="1865"/>
      <c r="BH102" s="3633">
        <f>SUM(E102:AC105)</f>
        <v>0</v>
      </c>
      <c r="BI102" s="3633">
        <f>SUM(E102:BC105)</f>
        <v>0</v>
      </c>
      <c r="BJ102" s="1954"/>
      <c r="BK102" s="1951"/>
      <c r="BL102" s="1962"/>
    </row>
    <row r="103" spans="1:64" ht="21" customHeight="1" thickBot="1">
      <c r="A103" s="3688"/>
      <c r="B103" s="1694" t="s">
        <v>34</v>
      </c>
      <c r="C103" s="3681"/>
      <c r="D103" s="1705">
        <f t="shared" si="39"/>
        <v>0</v>
      </c>
      <c r="E103" s="2104"/>
      <c r="F103" s="2105"/>
      <c r="G103" s="1708"/>
      <c r="H103" s="2106"/>
      <c r="I103" s="1712"/>
      <c r="J103" s="1779"/>
      <c r="K103" s="3187"/>
      <c r="L103" s="2024"/>
      <c r="M103" s="3279"/>
      <c r="N103" s="2819"/>
      <c r="O103" s="2928"/>
      <c r="P103" s="1708"/>
      <c r="Q103" s="2134"/>
      <c r="R103" s="2996"/>
      <c r="S103" s="1781"/>
      <c r="T103" s="1771"/>
      <c r="U103" s="2018"/>
      <c r="V103" s="2780"/>
      <c r="W103" s="1835"/>
      <c r="X103" s="1836"/>
      <c r="Y103" s="2165"/>
      <c r="Z103" s="1837"/>
      <c r="AA103" s="2166"/>
      <c r="AB103" s="1839"/>
      <c r="AC103" s="2850"/>
      <c r="AD103" s="1706"/>
      <c r="AE103" s="1707"/>
      <c r="AF103" s="1887"/>
      <c r="AG103" s="2200"/>
      <c r="AH103" s="1888"/>
      <c r="AI103" s="1889"/>
      <c r="AJ103" s="2201"/>
      <c r="AK103" s="2826"/>
      <c r="AL103" s="3279"/>
      <c r="AM103" s="2928"/>
      <c r="AN103" s="1769"/>
      <c r="AO103" s="2202"/>
      <c r="AP103" s="3005"/>
      <c r="AQ103" s="1892"/>
      <c r="AR103" s="2018"/>
      <c r="AS103" s="3084"/>
      <c r="AT103" s="2780"/>
      <c r="AU103" s="1835"/>
      <c r="AV103" s="1921"/>
      <c r="AW103" s="2236"/>
      <c r="AX103" s="3195"/>
      <c r="AY103" s="1927"/>
      <c r="AZ103" s="2242"/>
      <c r="BA103" s="1866"/>
      <c r="BB103" s="1867"/>
      <c r="BC103" s="2857"/>
      <c r="BD103" s="1706"/>
      <c r="BE103" s="1891"/>
      <c r="BF103" s="1948"/>
      <c r="BG103" s="1924"/>
      <c r="BH103" s="3635"/>
      <c r="BI103" s="3635"/>
      <c r="BJ103" s="1954"/>
      <c r="BK103" s="1951"/>
      <c r="BL103" s="1988"/>
    </row>
    <row r="104" spans="1:64" ht="21" customHeight="1" thickBot="1">
      <c r="A104" s="3688"/>
      <c r="B104" s="1694" t="s">
        <v>34</v>
      </c>
      <c r="C104" s="3681"/>
      <c r="D104" s="1705">
        <f t="shared" si="39"/>
        <v>0</v>
      </c>
      <c r="E104" s="2104"/>
      <c r="F104" s="2105"/>
      <c r="G104" s="1708"/>
      <c r="H104" s="2106"/>
      <c r="I104" s="1712"/>
      <c r="J104" s="1779"/>
      <c r="K104" s="3187"/>
      <c r="L104" s="2024"/>
      <c r="M104" s="3279"/>
      <c r="N104" s="2819"/>
      <c r="O104" s="2928"/>
      <c r="P104" s="1708"/>
      <c r="Q104" s="2134"/>
      <c r="R104" s="2996"/>
      <c r="S104" s="1781"/>
      <c r="T104" s="1771"/>
      <c r="U104" s="2018"/>
      <c r="V104" s="2780"/>
      <c r="W104" s="1835"/>
      <c r="X104" s="1836"/>
      <c r="Y104" s="2165"/>
      <c r="Z104" s="1837"/>
      <c r="AA104" s="2166"/>
      <c r="AB104" s="1839"/>
      <c r="AC104" s="2850"/>
      <c r="AD104" s="1706"/>
      <c r="AE104" s="1707"/>
      <c r="AF104" s="1887"/>
      <c r="AG104" s="2200"/>
      <c r="AH104" s="1888"/>
      <c r="AI104" s="1889"/>
      <c r="AJ104" s="2201"/>
      <c r="AK104" s="2826"/>
      <c r="AL104" s="3279"/>
      <c r="AM104" s="2928"/>
      <c r="AN104" s="1769"/>
      <c r="AO104" s="2202"/>
      <c r="AP104" s="3005"/>
      <c r="AQ104" s="1892"/>
      <c r="AR104" s="2018"/>
      <c r="AS104" s="3084"/>
      <c r="AT104" s="2780"/>
      <c r="AU104" s="1835"/>
      <c r="AV104" s="1921"/>
      <c r="AW104" s="2236"/>
      <c r="AX104" s="3195"/>
      <c r="AY104" s="1927"/>
      <c r="AZ104" s="2242"/>
      <c r="BA104" s="1866"/>
      <c r="BB104" s="1867"/>
      <c r="BC104" s="2857"/>
      <c r="BD104" s="1706"/>
      <c r="BE104" s="1891"/>
      <c r="BF104" s="1948"/>
      <c r="BG104" s="1924"/>
      <c r="BH104" s="3635"/>
      <c r="BI104" s="3635"/>
      <c r="BJ104" s="1954"/>
      <c r="BK104" s="1951"/>
      <c r="BL104" s="1988"/>
    </row>
    <row r="105" spans="1:64" ht="21" customHeight="1" thickBot="1">
      <c r="A105" s="3688"/>
      <c r="B105" s="1694" t="s">
        <v>34</v>
      </c>
      <c r="C105" s="3681"/>
      <c r="D105" s="1705">
        <f t="shared" si="39"/>
        <v>0</v>
      </c>
      <c r="E105" s="2104"/>
      <c r="F105" s="2105"/>
      <c r="G105" s="1708"/>
      <c r="H105" s="2106"/>
      <c r="I105" s="1712"/>
      <c r="J105" s="1779"/>
      <c r="K105" s="3187"/>
      <c r="L105" s="2024"/>
      <c r="M105" s="3279"/>
      <c r="N105" s="2819"/>
      <c r="O105" s="2928"/>
      <c r="P105" s="1708"/>
      <c r="Q105" s="2134"/>
      <c r="R105" s="2996"/>
      <c r="S105" s="1781"/>
      <c r="T105" s="1771"/>
      <c r="U105" s="2018"/>
      <c r="V105" s="2780"/>
      <c r="W105" s="1835"/>
      <c r="X105" s="1836"/>
      <c r="Y105" s="2165"/>
      <c r="Z105" s="1837"/>
      <c r="AA105" s="2166"/>
      <c r="AB105" s="1839"/>
      <c r="AC105" s="2850"/>
      <c r="AD105" s="1706"/>
      <c r="AE105" s="1707"/>
      <c r="AF105" s="1887"/>
      <c r="AG105" s="2200"/>
      <c r="AH105" s="1888"/>
      <c r="AI105" s="1889"/>
      <c r="AJ105" s="2201"/>
      <c r="AK105" s="2826"/>
      <c r="AL105" s="3279"/>
      <c r="AM105" s="2928"/>
      <c r="AN105" s="1769"/>
      <c r="AO105" s="2202"/>
      <c r="AP105" s="3005"/>
      <c r="AQ105" s="1892"/>
      <c r="AR105" s="2018"/>
      <c r="AS105" s="3084"/>
      <c r="AT105" s="2780"/>
      <c r="AU105" s="1835"/>
      <c r="AV105" s="1921"/>
      <c r="AW105" s="2236"/>
      <c r="AX105" s="3195"/>
      <c r="AY105" s="1927"/>
      <c r="AZ105" s="2242"/>
      <c r="BA105" s="1866"/>
      <c r="BB105" s="1867"/>
      <c r="BC105" s="2857"/>
      <c r="BD105" s="1706"/>
      <c r="BE105" s="1891"/>
      <c r="BF105" s="1948"/>
      <c r="BG105" s="1924"/>
      <c r="BH105" s="3635"/>
      <c r="BI105" s="3635"/>
      <c r="BJ105" s="1954"/>
      <c r="BK105" s="1951"/>
      <c r="BL105" s="1988"/>
    </row>
    <row r="106" spans="1:64" ht="15.75" customHeight="1" thickBot="1">
      <c r="A106" s="3686"/>
      <c r="B106" s="1738" t="s">
        <v>32</v>
      </c>
      <c r="C106" s="3678">
        <f>SUM(D106:D108)</f>
        <v>0</v>
      </c>
      <c r="D106" s="1689">
        <f t="shared" ref="D106:D108" si="40">SUM(E106:BG106)</f>
        <v>0</v>
      </c>
      <c r="E106" s="2101"/>
      <c r="F106" s="2102"/>
      <c r="G106" s="1692"/>
      <c r="H106" s="2103"/>
      <c r="I106" s="1713"/>
      <c r="J106" s="1782"/>
      <c r="K106" s="3186"/>
      <c r="L106" s="2019"/>
      <c r="M106" s="3278"/>
      <c r="N106" s="2818"/>
      <c r="O106" s="2929"/>
      <c r="P106" s="1692"/>
      <c r="Q106" s="2133"/>
      <c r="R106" s="2993"/>
      <c r="S106" s="1784"/>
      <c r="T106" s="1750"/>
      <c r="U106" s="2020"/>
      <c r="V106" s="2779"/>
      <c r="W106" s="1816"/>
      <c r="X106" s="1817"/>
      <c r="Y106" s="2163"/>
      <c r="Z106" s="1818"/>
      <c r="AA106" s="2164"/>
      <c r="AB106" s="1820"/>
      <c r="AC106" s="2847"/>
      <c r="AD106" s="1726"/>
      <c r="AE106" s="1691"/>
      <c r="AF106" s="1869"/>
      <c r="AG106" s="2197"/>
      <c r="AH106" s="1893"/>
      <c r="AI106" s="1854"/>
      <c r="AJ106" s="2198"/>
      <c r="AK106" s="2825"/>
      <c r="AL106" s="3278"/>
      <c r="AM106" s="2929"/>
      <c r="AN106" s="1748"/>
      <c r="AO106" s="2199"/>
      <c r="AP106" s="3002"/>
      <c r="AQ106" s="1874"/>
      <c r="AR106" s="2020"/>
      <c r="AS106" s="3081"/>
      <c r="AT106" s="2779"/>
      <c r="AU106" s="1816"/>
      <c r="AV106" s="1910"/>
      <c r="AW106" s="2234"/>
      <c r="AX106" s="3194"/>
      <c r="AY106" s="1911"/>
      <c r="AZ106" s="2235"/>
      <c r="BA106" s="1864"/>
      <c r="BB106" s="1865"/>
      <c r="BC106" s="2856"/>
      <c r="BD106" s="1726"/>
      <c r="BE106" s="1873"/>
      <c r="BF106" s="1940"/>
      <c r="BG106" s="1865"/>
      <c r="BH106" s="3633">
        <f>SUM(E106:AC108)</f>
        <v>0</v>
      </c>
      <c r="BI106" s="3633">
        <f>SUM(E106:BC108)</f>
        <v>0</v>
      </c>
      <c r="BJ106" s="1954"/>
      <c r="BK106" s="1951"/>
      <c r="BL106" s="1962"/>
    </row>
    <row r="107" spans="1:64" ht="21" customHeight="1" thickBot="1">
      <c r="A107" s="3688"/>
      <c r="B107" s="1694" t="s">
        <v>34</v>
      </c>
      <c r="C107" s="3681"/>
      <c r="D107" s="1705">
        <f t="shared" si="40"/>
        <v>0</v>
      </c>
      <c r="E107" s="2104"/>
      <c r="F107" s="2105"/>
      <c r="G107" s="1708"/>
      <c r="H107" s="2106"/>
      <c r="I107" s="1712"/>
      <c r="J107" s="1779"/>
      <c r="K107" s="3187"/>
      <c r="L107" s="2024"/>
      <c r="M107" s="3279"/>
      <c r="N107" s="2819"/>
      <c r="O107" s="2928"/>
      <c r="P107" s="1708"/>
      <c r="Q107" s="2134"/>
      <c r="R107" s="2996"/>
      <c r="S107" s="1781"/>
      <c r="T107" s="1771"/>
      <c r="U107" s="2018"/>
      <c r="V107" s="2780"/>
      <c r="W107" s="1835"/>
      <c r="X107" s="1836"/>
      <c r="Y107" s="2165"/>
      <c r="Z107" s="1837"/>
      <c r="AA107" s="2166"/>
      <c r="AB107" s="1839"/>
      <c r="AC107" s="2850"/>
      <c r="AD107" s="1706"/>
      <c r="AE107" s="1707"/>
      <c r="AF107" s="1887"/>
      <c r="AG107" s="2200"/>
      <c r="AH107" s="1888"/>
      <c r="AI107" s="1889"/>
      <c r="AJ107" s="2201"/>
      <c r="AK107" s="2826"/>
      <c r="AL107" s="3279"/>
      <c r="AM107" s="2928"/>
      <c r="AN107" s="1769"/>
      <c r="AO107" s="2202"/>
      <c r="AP107" s="3005"/>
      <c r="AQ107" s="1892"/>
      <c r="AR107" s="2018"/>
      <c r="AS107" s="3084"/>
      <c r="AT107" s="2780"/>
      <c r="AU107" s="1835"/>
      <c r="AV107" s="1921"/>
      <c r="AW107" s="2236"/>
      <c r="AX107" s="3195"/>
      <c r="AY107" s="1927"/>
      <c r="AZ107" s="2242"/>
      <c r="BA107" s="1866"/>
      <c r="BB107" s="1867"/>
      <c r="BC107" s="2857"/>
      <c r="BD107" s="1706"/>
      <c r="BE107" s="1891"/>
      <c r="BF107" s="1948"/>
      <c r="BG107" s="1924"/>
      <c r="BH107" s="3635"/>
      <c r="BI107" s="3635"/>
      <c r="BJ107" s="1954"/>
      <c r="BK107" s="1951"/>
      <c r="BL107" s="1988"/>
    </row>
    <row r="108" spans="1:64" ht="21" customHeight="1" thickBot="1">
      <c r="A108" s="3688"/>
      <c r="B108" s="1694" t="s">
        <v>34</v>
      </c>
      <c r="C108" s="3681"/>
      <c r="D108" s="1705">
        <f t="shared" si="40"/>
        <v>0</v>
      </c>
      <c r="E108" s="2104"/>
      <c r="F108" s="2105"/>
      <c r="G108" s="1708"/>
      <c r="H108" s="2106"/>
      <c r="I108" s="1712"/>
      <c r="J108" s="1779"/>
      <c r="K108" s="3187"/>
      <c r="L108" s="2024"/>
      <c r="M108" s="3279"/>
      <c r="N108" s="2819"/>
      <c r="O108" s="2928"/>
      <c r="P108" s="1708"/>
      <c r="Q108" s="2134"/>
      <c r="R108" s="2996"/>
      <c r="S108" s="1781"/>
      <c r="T108" s="1771"/>
      <c r="U108" s="2018"/>
      <c r="V108" s="2780"/>
      <c r="W108" s="1835"/>
      <c r="X108" s="1836"/>
      <c r="Y108" s="2165"/>
      <c r="Z108" s="1837"/>
      <c r="AA108" s="2166"/>
      <c r="AB108" s="1839"/>
      <c r="AC108" s="2850"/>
      <c r="AD108" s="1706"/>
      <c r="AE108" s="1707"/>
      <c r="AF108" s="1887"/>
      <c r="AG108" s="2200"/>
      <c r="AH108" s="1888"/>
      <c r="AI108" s="1889"/>
      <c r="AJ108" s="2201"/>
      <c r="AK108" s="2826"/>
      <c r="AL108" s="3279"/>
      <c r="AM108" s="2928"/>
      <c r="AN108" s="1769"/>
      <c r="AO108" s="2202"/>
      <c r="AP108" s="3005"/>
      <c r="AQ108" s="1892"/>
      <c r="AR108" s="2018"/>
      <c r="AS108" s="3084"/>
      <c r="AT108" s="2780"/>
      <c r="AU108" s="1835"/>
      <c r="AV108" s="1921"/>
      <c r="AW108" s="2236"/>
      <c r="AX108" s="3195"/>
      <c r="AY108" s="1927"/>
      <c r="AZ108" s="2242"/>
      <c r="BA108" s="1866"/>
      <c r="BB108" s="1867"/>
      <c r="BC108" s="2857"/>
      <c r="BD108" s="1706"/>
      <c r="BE108" s="1891"/>
      <c r="BF108" s="1948"/>
      <c r="BG108" s="1924"/>
      <c r="BH108" s="3635"/>
      <c r="BI108" s="3635"/>
      <c r="BJ108" s="1954"/>
      <c r="BK108" s="1951"/>
      <c r="BL108" s="1988"/>
    </row>
    <row r="109" spans="1:64" ht="15.75" customHeight="1" thickBot="1">
      <c r="A109" s="3686"/>
      <c r="B109" s="1738" t="s">
        <v>32</v>
      </c>
      <c r="C109" s="3678">
        <f>SUM(D109:D111)</f>
        <v>0</v>
      </c>
      <c r="D109" s="1689">
        <f t="shared" ref="D109:D111" si="41">SUM(E109:BG109)</f>
        <v>0</v>
      </c>
      <c r="E109" s="2101"/>
      <c r="F109" s="2102"/>
      <c r="G109" s="1692"/>
      <c r="H109" s="2103"/>
      <c r="I109" s="1713"/>
      <c r="J109" s="1782"/>
      <c r="K109" s="3186"/>
      <c r="L109" s="2019"/>
      <c r="M109" s="3278"/>
      <c r="N109" s="2818"/>
      <c r="O109" s="2929"/>
      <c r="P109" s="1692"/>
      <c r="Q109" s="2133"/>
      <c r="R109" s="2993"/>
      <c r="S109" s="1784"/>
      <c r="T109" s="1750"/>
      <c r="U109" s="2020"/>
      <c r="V109" s="2779"/>
      <c r="W109" s="1816"/>
      <c r="X109" s="1817"/>
      <c r="Y109" s="2163"/>
      <c r="Z109" s="1818"/>
      <c r="AA109" s="2164"/>
      <c r="AB109" s="1820"/>
      <c r="AC109" s="2847"/>
      <c r="AD109" s="1726"/>
      <c r="AE109" s="1691"/>
      <c r="AF109" s="1869"/>
      <c r="AG109" s="2197"/>
      <c r="AH109" s="1893"/>
      <c r="AI109" s="1854"/>
      <c r="AJ109" s="2198"/>
      <c r="AK109" s="2825"/>
      <c r="AL109" s="3278"/>
      <c r="AM109" s="2929"/>
      <c r="AN109" s="1748"/>
      <c r="AO109" s="2199"/>
      <c r="AP109" s="3002"/>
      <c r="AQ109" s="1874"/>
      <c r="AR109" s="2020"/>
      <c r="AS109" s="3081"/>
      <c r="AT109" s="2779"/>
      <c r="AU109" s="1816"/>
      <c r="AV109" s="1910"/>
      <c r="AW109" s="2234"/>
      <c r="AX109" s="3194"/>
      <c r="AY109" s="1911"/>
      <c r="AZ109" s="2235"/>
      <c r="BA109" s="1864"/>
      <c r="BB109" s="1865"/>
      <c r="BC109" s="2856"/>
      <c r="BD109" s="1726"/>
      <c r="BE109" s="1873"/>
      <c r="BF109" s="1940"/>
      <c r="BG109" s="1865"/>
      <c r="BH109" s="3633">
        <f>SUM(E109:AC111)</f>
        <v>0</v>
      </c>
      <c r="BI109" s="3633">
        <f>SUM(E109:BC111)</f>
        <v>0</v>
      </c>
      <c r="BJ109" s="1954"/>
      <c r="BK109" s="1951"/>
      <c r="BL109" s="1962"/>
    </row>
    <row r="110" spans="1:64" ht="21" customHeight="1" thickBot="1">
      <c r="A110" s="3688"/>
      <c r="B110" s="1694" t="s">
        <v>34</v>
      </c>
      <c r="C110" s="3681"/>
      <c r="D110" s="1705">
        <f t="shared" si="41"/>
        <v>0</v>
      </c>
      <c r="E110" s="2104"/>
      <c r="F110" s="2105"/>
      <c r="G110" s="1708"/>
      <c r="H110" s="2106"/>
      <c r="I110" s="1712"/>
      <c r="J110" s="1779"/>
      <c r="K110" s="3187"/>
      <c r="L110" s="2024"/>
      <c r="M110" s="3279"/>
      <c r="N110" s="2819"/>
      <c r="O110" s="2928"/>
      <c r="P110" s="1708"/>
      <c r="Q110" s="2134"/>
      <c r="R110" s="2996"/>
      <c r="S110" s="1781"/>
      <c r="T110" s="1771"/>
      <c r="U110" s="2018"/>
      <c r="V110" s="2780"/>
      <c r="W110" s="1835"/>
      <c r="X110" s="1836"/>
      <c r="Y110" s="2165"/>
      <c r="Z110" s="1837"/>
      <c r="AA110" s="2166"/>
      <c r="AB110" s="1839"/>
      <c r="AC110" s="2850"/>
      <c r="AD110" s="1706"/>
      <c r="AE110" s="1707"/>
      <c r="AF110" s="1887"/>
      <c r="AG110" s="2200"/>
      <c r="AH110" s="1888"/>
      <c r="AI110" s="1889"/>
      <c r="AJ110" s="2201"/>
      <c r="AK110" s="2826"/>
      <c r="AL110" s="3279"/>
      <c r="AM110" s="2928"/>
      <c r="AN110" s="1769"/>
      <c r="AO110" s="2202"/>
      <c r="AP110" s="3005"/>
      <c r="AQ110" s="1892"/>
      <c r="AR110" s="2018"/>
      <c r="AS110" s="3084"/>
      <c r="AT110" s="2780"/>
      <c r="AU110" s="1835"/>
      <c r="AV110" s="1921"/>
      <c r="AW110" s="2236"/>
      <c r="AX110" s="3195"/>
      <c r="AY110" s="1927"/>
      <c r="AZ110" s="2242"/>
      <c r="BA110" s="1866"/>
      <c r="BB110" s="1867"/>
      <c r="BC110" s="2857"/>
      <c r="BD110" s="1706"/>
      <c r="BE110" s="1891"/>
      <c r="BF110" s="1948"/>
      <c r="BG110" s="1924"/>
      <c r="BH110" s="3635"/>
      <c r="BI110" s="3635"/>
      <c r="BJ110" s="1954"/>
      <c r="BK110" s="1951"/>
      <c r="BL110" s="1988"/>
    </row>
    <row r="111" spans="1:64" ht="21" customHeight="1" thickBot="1">
      <c r="A111" s="3688"/>
      <c r="B111" s="1694" t="s">
        <v>34</v>
      </c>
      <c r="C111" s="3681"/>
      <c r="D111" s="1705">
        <f t="shared" si="41"/>
        <v>0</v>
      </c>
      <c r="E111" s="2104"/>
      <c r="F111" s="2105"/>
      <c r="G111" s="1708"/>
      <c r="H111" s="2106"/>
      <c r="I111" s="1712"/>
      <c r="J111" s="1779"/>
      <c r="K111" s="3187"/>
      <c r="L111" s="2024"/>
      <c r="M111" s="3279"/>
      <c r="N111" s="2819"/>
      <c r="O111" s="2928"/>
      <c r="P111" s="1708"/>
      <c r="Q111" s="2134"/>
      <c r="R111" s="2996"/>
      <c r="S111" s="1781"/>
      <c r="T111" s="1771"/>
      <c r="U111" s="2018"/>
      <c r="V111" s="2780"/>
      <c r="W111" s="1835"/>
      <c r="X111" s="1836"/>
      <c r="Y111" s="2165"/>
      <c r="Z111" s="1837"/>
      <c r="AA111" s="2166"/>
      <c r="AB111" s="1839"/>
      <c r="AC111" s="2850"/>
      <c r="AD111" s="1706"/>
      <c r="AE111" s="1707"/>
      <c r="AF111" s="1887"/>
      <c r="AG111" s="2200"/>
      <c r="AH111" s="1888"/>
      <c r="AI111" s="1889"/>
      <c r="AJ111" s="2201"/>
      <c r="AK111" s="2826"/>
      <c r="AL111" s="3279"/>
      <c r="AM111" s="2928"/>
      <c r="AN111" s="1769"/>
      <c r="AO111" s="2202"/>
      <c r="AP111" s="3005"/>
      <c r="AQ111" s="1892"/>
      <c r="AR111" s="2018"/>
      <c r="AS111" s="3084"/>
      <c r="AT111" s="2780"/>
      <c r="AU111" s="1835"/>
      <c r="AV111" s="1921"/>
      <c r="AW111" s="2236"/>
      <c r="AX111" s="3195"/>
      <c r="AY111" s="1927"/>
      <c r="AZ111" s="2242"/>
      <c r="BA111" s="1866"/>
      <c r="BB111" s="1867"/>
      <c r="BC111" s="2857"/>
      <c r="BD111" s="1706"/>
      <c r="BE111" s="1891"/>
      <c r="BF111" s="1948"/>
      <c r="BG111" s="1924"/>
      <c r="BH111" s="3635"/>
      <c r="BI111" s="3635"/>
      <c r="BJ111" s="1954"/>
      <c r="BK111" s="1951"/>
      <c r="BL111" s="1988"/>
    </row>
    <row r="112" spans="1:64" ht="15.75" customHeight="1" thickBot="1">
      <c r="A112" s="3686"/>
      <c r="B112" s="1738" t="s">
        <v>32</v>
      </c>
      <c r="C112" s="3678">
        <f>SUM(D112:D114)</f>
        <v>0</v>
      </c>
      <c r="D112" s="1689">
        <f t="shared" ref="D112:D114" si="42">SUM(E112:BG112)</f>
        <v>0</v>
      </c>
      <c r="E112" s="2101"/>
      <c r="F112" s="2102"/>
      <c r="G112" s="1692"/>
      <c r="H112" s="2103"/>
      <c r="I112" s="1713"/>
      <c r="J112" s="1782"/>
      <c r="K112" s="3186"/>
      <c r="L112" s="2019"/>
      <c r="M112" s="3278"/>
      <c r="N112" s="2818"/>
      <c r="O112" s="2929"/>
      <c r="P112" s="1692"/>
      <c r="Q112" s="2133"/>
      <c r="R112" s="2993"/>
      <c r="S112" s="1784"/>
      <c r="T112" s="1750"/>
      <c r="U112" s="2020"/>
      <c r="V112" s="2779"/>
      <c r="W112" s="1816"/>
      <c r="X112" s="1817"/>
      <c r="Y112" s="2163"/>
      <c r="Z112" s="1818"/>
      <c r="AA112" s="2164"/>
      <c r="AB112" s="1820"/>
      <c r="AC112" s="2847"/>
      <c r="AD112" s="1726"/>
      <c r="AE112" s="1691"/>
      <c r="AF112" s="1869"/>
      <c r="AG112" s="2197"/>
      <c r="AH112" s="1893"/>
      <c r="AI112" s="1854"/>
      <c r="AJ112" s="2198"/>
      <c r="AK112" s="2825"/>
      <c r="AL112" s="3278"/>
      <c r="AM112" s="2929"/>
      <c r="AN112" s="1748"/>
      <c r="AO112" s="2199"/>
      <c r="AP112" s="3002"/>
      <c r="AQ112" s="1874"/>
      <c r="AR112" s="2020"/>
      <c r="AS112" s="3081"/>
      <c r="AT112" s="2779"/>
      <c r="AU112" s="1816"/>
      <c r="AV112" s="1910"/>
      <c r="AW112" s="2234"/>
      <c r="AX112" s="3194"/>
      <c r="AY112" s="1911"/>
      <c r="AZ112" s="2235"/>
      <c r="BA112" s="1864"/>
      <c r="BB112" s="1865"/>
      <c r="BC112" s="2856"/>
      <c r="BD112" s="1726"/>
      <c r="BE112" s="1873"/>
      <c r="BF112" s="1940"/>
      <c r="BG112" s="1865"/>
      <c r="BH112" s="3633">
        <f>SUM(E112:AC114)</f>
        <v>0</v>
      </c>
      <c r="BI112" s="3633">
        <f>SUM(E112:BC114)</f>
        <v>0</v>
      </c>
      <c r="BJ112" s="1954"/>
      <c r="BK112" s="1951"/>
      <c r="BL112" s="1962"/>
    </row>
    <row r="113" spans="1:64" ht="21" customHeight="1" thickBot="1">
      <c r="A113" s="3688"/>
      <c r="B113" s="1694" t="s">
        <v>34</v>
      </c>
      <c r="C113" s="3681"/>
      <c r="D113" s="1705">
        <f t="shared" si="42"/>
        <v>0</v>
      </c>
      <c r="E113" s="2104"/>
      <c r="F113" s="2105"/>
      <c r="G113" s="1708"/>
      <c r="H113" s="2106"/>
      <c r="I113" s="1712"/>
      <c r="J113" s="1779"/>
      <c r="K113" s="3187"/>
      <c r="L113" s="2024"/>
      <c r="M113" s="3279"/>
      <c r="N113" s="2819"/>
      <c r="O113" s="2928"/>
      <c r="P113" s="1708"/>
      <c r="Q113" s="2134"/>
      <c r="R113" s="2996"/>
      <c r="S113" s="1781"/>
      <c r="T113" s="1771"/>
      <c r="U113" s="2018"/>
      <c r="V113" s="2780"/>
      <c r="W113" s="1835"/>
      <c r="X113" s="1836"/>
      <c r="Y113" s="2165"/>
      <c r="Z113" s="1837"/>
      <c r="AA113" s="2166"/>
      <c r="AB113" s="1839"/>
      <c r="AC113" s="2850"/>
      <c r="AD113" s="1706"/>
      <c r="AE113" s="1707"/>
      <c r="AF113" s="1887"/>
      <c r="AG113" s="2200"/>
      <c r="AH113" s="1888"/>
      <c r="AI113" s="1889"/>
      <c r="AJ113" s="2201"/>
      <c r="AK113" s="2826"/>
      <c r="AL113" s="3279"/>
      <c r="AM113" s="2928"/>
      <c r="AN113" s="1769"/>
      <c r="AO113" s="2202"/>
      <c r="AP113" s="3005"/>
      <c r="AQ113" s="1892"/>
      <c r="AR113" s="2018"/>
      <c r="AS113" s="3084"/>
      <c r="AT113" s="2780"/>
      <c r="AU113" s="1835"/>
      <c r="AV113" s="1921"/>
      <c r="AW113" s="2236"/>
      <c r="AX113" s="3195"/>
      <c r="AY113" s="1927"/>
      <c r="AZ113" s="2242"/>
      <c r="BA113" s="1866"/>
      <c r="BB113" s="1867"/>
      <c r="BC113" s="2857"/>
      <c r="BD113" s="1706"/>
      <c r="BE113" s="1891"/>
      <c r="BF113" s="1948"/>
      <c r="BG113" s="1924"/>
      <c r="BH113" s="3635"/>
      <c r="BI113" s="3635"/>
      <c r="BJ113" s="1954"/>
      <c r="BK113" s="1951"/>
      <c r="BL113" s="1988"/>
    </row>
    <row r="114" spans="1:64" ht="21" customHeight="1" thickBot="1">
      <c r="A114" s="3688"/>
      <c r="B114" s="1694" t="s">
        <v>34</v>
      </c>
      <c r="C114" s="3681"/>
      <c r="D114" s="1705">
        <f t="shared" si="42"/>
        <v>0</v>
      </c>
      <c r="E114" s="2104"/>
      <c r="F114" s="2105"/>
      <c r="G114" s="1708"/>
      <c r="H114" s="2106"/>
      <c r="I114" s="1712"/>
      <c r="J114" s="1779"/>
      <c r="K114" s="3187"/>
      <c r="L114" s="2024"/>
      <c r="M114" s="3279"/>
      <c r="N114" s="2819"/>
      <c r="O114" s="2928"/>
      <c r="P114" s="1708"/>
      <c r="Q114" s="2134"/>
      <c r="R114" s="2996"/>
      <c r="S114" s="1781"/>
      <c r="T114" s="1771"/>
      <c r="U114" s="2018"/>
      <c r="V114" s="2780"/>
      <c r="W114" s="1835"/>
      <c r="X114" s="1836"/>
      <c r="Y114" s="2165"/>
      <c r="Z114" s="1837"/>
      <c r="AA114" s="2166"/>
      <c r="AB114" s="1839"/>
      <c r="AC114" s="2850"/>
      <c r="AD114" s="1706"/>
      <c r="AE114" s="1707"/>
      <c r="AF114" s="1887"/>
      <c r="AG114" s="2200"/>
      <c r="AH114" s="1888"/>
      <c r="AI114" s="1889"/>
      <c r="AJ114" s="2201"/>
      <c r="AK114" s="2826"/>
      <c r="AL114" s="3279"/>
      <c r="AM114" s="2928"/>
      <c r="AN114" s="1769"/>
      <c r="AO114" s="2202"/>
      <c r="AP114" s="3005"/>
      <c r="AQ114" s="1892"/>
      <c r="AR114" s="2018"/>
      <c r="AS114" s="3084"/>
      <c r="AT114" s="2780"/>
      <c r="AU114" s="1835"/>
      <c r="AV114" s="1921"/>
      <c r="AW114" s="2236"/>
      <c r="AX114" s="3195"/>
      <c r="AY114" s="1927"/>
      <c r="AZ114" s="2242"/>
      <c r="BA114" s="1866"/>
      <c r="BB114" s="1867"/>
      <c r="BC114" s="2857"/>
      <c r="BD114" s="1706"/>
      <c r="BE114" s="1891"/>
      <c r="BF114" s="1948"/>
      <c r="BG114" s="1924"/>
      <c r="BH114" s="3635"/>
      <c r="BI114" s="3635"/>
      <c r="BJ114" s="1954"/>
      <c r="BK114" s="1951"/>
      <c r="BL114" s="1988"/>
    </row>
    <row r="115" spans="1:64" ht="15.75" customHeight="1" thickBot="1">
      <c r="A115" s="3686"/>
      <c r="B115" s="1738" t="s">
        <v>32</v>
      </c>
      <c r="C115" s="3678">
        <f>SUM(D115:D119)</f>
        <v>0</v>
      </c>
      <c r="D115" s="1689">
        <f t="shared" ref="D115:D119" si="43">SUM(E115:BG115)</f>
        <v>0</v>
      </c>
      <c r="E115" s="2101"/>
      <c r="F115" s="2102"/>
      <c r="G115" s="1692"/>
      <c r="H115" s="2103"/>
      <c r="I115" s="1713"/>
      <c r="J115" s="1782"/>
      <c r="K115" s="3186"/>
      <c r="L115" s="2019"/>
      <c r="M115" s="3278"/>
      <c r="N115" s="2818"/>
      <c r="O115" s="2929"/>
      <c r="P115" s="1692"/>
      <c r="Q115" s="2133"/>
      <c r="R115" s="2993"/>
      <c r="S115" s="1784"/>
      <c r="T115" s="1750"/>
      <c r="U115" s="2020"/>
      <c r="V115" s="2779"/>
      <c r="W115" s="1816"/>
      <c r="X115" s="1817"/>
      <c r="Y115" s="2163"/>
      <c r="Z115" s="1818"/>
      <c r="AA115" s="2164"/>
      <c r="AB115" s="1820"/>
      <c r="AC115" s="2847"/>
      <c r="AD115" s="1726"/>
      <c r="AE115" s="1691"/>
      <c r="AF115" s="1869"/>
      <c r="AG115" s="2197"/>
      <c r="AH115" s="1893"/>
      <c r="AI115" s="1854"/>
      <c r="AJ115" s="2198"/>
      <c r="AK115" s="2825"/>
      <c r="AL115" s="3278"/>
      <c r="AM115" s="2929"/>
      <c r="AN115" s="1748"/>
      <c r="AO115" s="2199"/>
      <c r="AP115" s="3002"/>
      <c r="AQ115" s="1874"/>
      <c r="AR115" s="2020"/>
      <c r="AS115" s="3081"/>
      <c r="AT115" s="2779"/>
      <c r="AU115" s="1816"/>
      <c r="AV115" s="1910"/>
      <c r="AW115" s="2234"/>
      <c r="AX115" s="3194"/>
      <c r="AY115" s="1911"/>
      <c r="AZ115" s="2235"/>
      <c r="BA115" s="1864"/>
      <c r="BB115" s="1865"/>
      <c r="BC115" s="2856"/>
      <c r="BD115" s="1726"/>
      <c r="BE115" s="1873"/>
      <c r="BF115" s="1940"/>
      <c r="BG115" s="1865"/>
      <c r="BH115" s="3633">
        <f>SUM(E115:AC119)</f>
        <v>0</v>
      </c>
      <c r="BI115" s="3633">
        <f>SUM(E115:BC119)</f>
        <v>0</v>
      </c>
      <c r="BJ115" s="1954"/>
      <c r="BK115" s="1951"/>
      <c r="BL115" s="1962"/>
    </row>
    <row r="116" spans="1:64" ht="21" customHeight="1" thickBot="1">
      <c r="A116" s="3688"/>
      <c r="B116" s="1694" t="s">
        <v>34</v>
      </c>
      <c r="C116" s="3681"/>
      <c r="D116" s="1705">
        <f t="shared" si="43"/>
        <v>0</v>
      </c>
      <c r="E116" s="2104"/>
      <c r="F116" s="2105"/>
      <c r="G116" s="1708"/>
      <c r="H116" s="2106"/>
      <c r="I116" s="1712"/>
      <c r="J116" s="1779"/>
      <c r="K116" s="3187"/>
      <c r="L116" s="2024"/>
      <c r="M116" s="3279"/>
      <c r="N116" s="2819"/>
      <c r="O116" s="2928"/>
      <c r="P116" s="1708"/>
      <c r="Q116" s="2134"/>
      <c r="R116" s="2996"/>
      <c r="S116" s="1781"/>
      <c r="T116" s="1771"/>
      <c r="U116" s="2018"/>
      <c r="V116" s="2780"/>
      <c r="W116" s="1835"/>
      <c r="X116" s="1836"/>
      <c r="Y116" s="2165"/>
      <c r="Z116" s="1837"/>
      <c r="AA116" s="2166"/>
      <c r="AB116" s="1839"/>
      <c r="AC116" s="2850"/>
      <c r="AD116" s="1706"/>
      <c r="AE116" s="1707"/>
      <c r="AF116" s="1887"/>
      <c r="AG116" s="2200"/>
      <c r="AH116" s="1888"/>
      <c r="AI116" s="1889"/>
      <c r="AJ116" s="2201"/>
      <c r="AK116" s="2826"/>
      <c r="AL116" s="3279"/>
      <c r="AM116" s="2928"/>
      <c r="AN116" s="1769"/>
      <c r="AO116" s="2202"/>
      <c r="AP116" s="3005"/>
      <c r="AQ116" s="1892"/>
      <c r="AR116" s="2018"/>
      <c r="AS116" s="3084"/>
      <c r="AT116" s="2780"/>
      <c r="AU116" s="1835"/>
      <c r="AV116" s="1921"/>
      <c r="AW116" s="2236"/>
      <c r="AX116" s="3195"/>
      <c r="AY116" s="1927"/>
      <c r="AZ116" s="2242"/>
      <c r="BA116" s="1866"/>
      <c r="BB116" s="1867"/>
      <c r="BC116" s="2857"/>
      <c r="BD116" s="1706"/>
      <c r="BE116" s="1891"/>
      <c r="BF116" s="1948"/>
      <c r="BG116" s="1924"/>
      <c r="BH116" s="3635"/>
      <c r="BI116" s="3635"/>
      <c r="BJ116" s="1954"/>
      <c r="BK116" s="1951"/>
      <c r="BL116" s="1988"/>
    </row>
    <row r="117" spans="1:64" ht="21" customHeight="1" thickBot="1">
      <c r="A117" s="3688"/>
      <c r="B117" s="1694" t="s">
        <v>32</v>
      </c>
      <c r="C117" s="3681"/>
      <c r="D117" s="1705">
        <f t="shared" si="43"/>
        <v>0</v>
      </c>
      <c r="E117" s="2104"/>
      <c r="F117" s="2105"/>
      <c r="G117" s="1708"/>
      <c r="H117" s="2106"/>
      <c r="I117" s="1712"/>
      <c r="J117" s="1779"/>
      <c r="K117" s="3187"/>
      <c r="L117" s="2024"/>
      <c r="M117" s="3279"/>
      <c r="N117" s="2819"/>
      <c r="O117" s="2928"/>
      <c r="P117" s="1708"/>
      <c r="Q117" s="2134"/>
      <c r="R117" s="2996"/>
      <c r="S117" s="1781"/>
      <c r="T117" s="1771"/>
      <c r="U117" s="2018"/>
      <c r="V117" s="2780"/>
      <c r="W117" s="1835"/>
      <c r="X117" s="1836"/>
      <c r="Y117" s="2165"/>
      <c r="Z117" s="1837"/>
      <c r="AA117" s="2166"/>
      <c r="AB117" s="1839"/>
      <c r="AC117" s="2850"/>
      <c r="AD117" s="1706"/>
      <c r="AE117" s="1707"/>
      <c r="AF117" s="1887"/>
      <c r="AG117" s="2200"/>
      <c r="AH117" s="1888"/>
      <c r="AI117" s="1889"/>
      <c r="AJ117" s="2201"/>
      <c r="AK117" s="2826"/>
      <c r="AL117" s="3279"/>
      <c r="AM117" s="2928"/>
      <c r="AN117" s="1769"/>
      <c r="AO117" s="2202"/>
      <c r="AP117" s="3005"/>
      <c r="AQ117" s="1892"/>
      <c r="AR117" s="2018"/>
      <c r="AS117" s="3084"/>
      <c r="AT117" s="2780"/>
      <c r="AU117" s="1835"/>
      <c r="AV117" s="1921"/>
      <c r="AW117" s="2236"/>
      <c r="AX117" s="3195"/>
      <c r="AY117" s="1927"/>
      <c r="AZ117" s="2242"/>
      <c r="BA117" s="1866"/>
      <c r="BB117" s="1867"/>
      <c r="BC117" s="2857"/>
      <c r="BD117" s="1706"/>
      <c r="BE117" s="1891"/>
      <c r="BF117" s="1948"/>
      <c r="BG117" s="1924"/>
      <c r="BH117" s="3635"/>
      <c r="BI117" s="3635"/>
      <c r="BJ117" s="1954"/>
      <c r="BK117" s="1951"/>
      <c r="BL117" s="1988"/>
    </row>
    <row r="118" spans="1:64" ht="21" customHeight="1" thickBot="1">
      <c r="A118" s="3688"/>
      <c r="B118" s="1694" t="s">
        <v>34</v>
      </c>
      <c r="C118" s="3681"/>
      <c r="D118" s="1705">
        <f t="shared" si="43"/>
        <v>0</v>
      </c>
      <c r="E118" s="2104"/>
      <c r="F118" s="2105"/>
      <c r="G118" s="1708"/>
      <c r="H118" s="2106"/>
      <c r="I118" s="1712"/>
      <c r="J118" s="1779"/>
      <c r="K118" s="3187"/>
      <c r="L118" s="2024"/>
      <c r="M118" s="3279"/>
      <c r="N118" s="2819"/>
      <c r="O118" s="2928"/>
      <c r="P118" s="1708"/>
      <c r="Q118" s="2134"/>
      <c r="R118" s="2996"/>
      <c r="S118" s="1781"/>
      <c r="T118" s="1771"/>
      <c r="U118" s="2018"/>
      <c r="V118" s="2780"/>
      <c r="W118" s="1835"/>
      <c r="X118" s="1836"/>
      <c r="Y118" s="2165"/>
      <c r="Z118" s="1837"/>
      <c r="AA118" s="2166"/>
      <c r="AB118" s="1839"/>
      <c r="AC118" s="2850"/>
      <c r="AD118" s="1706"/>
      <c r="AE118" s="1707"/>
      <c r="AF118" s="1887"/>
      <c r="AG118" s="2200"/>
      <c r="AH118" s="1888"/>
      <c r="AI118" s="1889"/>
      <c r="AJ118" s="2201"/>
      <c r="AK118" s="2826"/>
      <c r="AL118" s="3279"/>
      <c r="AM118" s="2928"/>
      <c r="AN118" s="1769"/>
      <c r="AO118" s="2202"/>
      <c r="AP118" s="3005"/>
      <c r="AQ118" s="1892"/>
      <c r="AR118" s="2018"/>
      <c r="AS118" s="3084"/>
      <c r="AT118" s="2780"/>
      <c r="AU118" s="1835"/>
      <c r="AV118" s="1921"/>
      <c r="AW118" s="2236"/>
      <c r="AX118" s="3195"/>
      <c r="AY118" s="1927"/>
      <c r="AZ118" s="2242"/>
      <c r="BA118" s="1866"/>
      <c r="BB118" s="1867"/>
      <c r="BC118" s="2857"/>
      <c r="BD118" s="1706"/>
      <c r="BE118" s="1891"/>
      <c r="BF118" s="1948"/>
      <c r="BG118" s="1924"/>
      <c r="BH118" s="3635"/>
      <c r="BI118" s="3635"/>
      <c r="BJ118" s="1954"/>
      <c r="BK118" s="1951"/>
      <c r="BL118" s="1988"/>
    </row>
    <row r="119" spans="1:64" ht="21" customHeight="1" thickBot="1">
      <c r="A119" s="3688"/>
      <c r="B119" s="1694" t="s">
        <v>34</v>
      </c>
      <c r="C119" s="3681"/>
      <c r="D119" s="1705">
        <f t="shared" si="43"/>
        <v>0</v>
      </c>
      <c r="E119" s="2104"/>
      <c r="F119" s="2105"/>
      <c r="G119" s="1708"/>
      <c r="H119" s="2106"/>
      <c r="I119" s="1712"/>
      <c r="J119" s="1779"/>
      <c r="K119" s="3187"/>
      <c r="L119" s="2024"/>
      <c r="M119" s="3279"/>
      <c r="N119" s="2819"/>
      <c r="O119" s="2928"/>
      <c r="P119" s="1708"/>
      <c r="Q119" s="2134"/>
      <c r="R119" s="2996"/>
      <c r="S119" s="1781"/>
      <c r="T119" s="1771"/>
      <c r="U119" s="2018"/>
      <c r="V119" s="2780"/>
      <c r="W119" s="1835"/>
      <c r="X119" s="1836"/>
      <c r="Y119" s="2165"/>
      <c r="Z119" s="1837"/>
      <c r="AA119" s="2166"/>
      <c r="AB119" s="1839"/>
      <c r="AC119" s="2850"/>
      <c r="AD119" s="1696"/>
      <c r="AE119" s="1697"/>
      <c r="AF119" s="1875"/>
      <c r="AG119" s="2203"/>
      <c r="AH119" s="1895"/>
      <c r="AI119" s="1858"/>
      <c r="AJ119" s="2204"/>
      <c r="AK119" s="2827"/>
      <c r="AL119" s="3280"/>
      <c r="AM119" s="3096"/>
      <c r="AN119" s="1755"/>
      <c r="AO119" s="2205"/>
      <c r="AP119" s="3003"/>
      <c r="AQ119" s="1880"/>
      <c r="AR119" s="2022"/>
      <c r="AS119" s="3082"/>
      <c r="AT119" s="2781"/>
      <c r="AU119" s="1822"/>
      <c r="AV119" s="1913"/>
      <c r="AW119" s="2238"/>
      <c r="AX119" s="3196"/>
      <c r="AY119" s="1914"/>
      <c r="AZ119" s="2239"/>
      <c r="BA119" s="1866"/>
      <c r="BB119" s="1867"/>
      <c r="BC119" s="2857"/>
      <c r="BD119" s="1696"/>
      <c r="BE119" s="1879"/>
      <c r="BF119" s="1944"/>
      <c r="BG119" s="1867"/>
      <c r="BH119" s="3635"/>
      <c r="BI119" s="3635"/>
      <c r="BJ119" s="1954"/>
      <c r="BK119" s="1951"/>
      <c r="BL119" s="1988"/>
    </row>
    <row r="120" spans="1:64" ht="15.75" thickBot="1">
      <c r="A120" s="2266"/>
      <c r="B120" s="1724"/>
      <c r="C120" s="1964"/>
      <c r="D120" s="1965"/>
      <c r="E120" s="2267">
        <f t="shared" ref="E120:AW120" si="44">SUM(E5:E119)</f>
        <v>0</v>
      </c>
      <c r="F120" s="2267">
        <f t="shared" si="44"/>
        <v>0</v>
      </c>
      <c r="G120" s="2267">
        <f t="shared" si="44"/>
        <v>0</v>
      </c>
      <c r="H120" s="2267">
        <f t="shared" si="44"/>
        <v>1776</v>
      </c>
      <c r="I120" s="2267">
        <f t="shared" si="44"/>
        <v>0</v>
      </c>
      <c r="J120" s="2267">
        <f t="shared" si="44"/>
        <v>2520</v>
      </c>
      <c r="K120" s="2267">
        <f t="shared" si="44"/>
        <v>0</v>
      </c>
      <c r="L120" s="2267">
        <f t="shared" si="44"/>
        <v>0</v>
      </c>
      <c r="M120" s="2267">
        <f t="shared" ref="M120" si="45">SUM(M5:M119)</f>
        <v>0</v>
      </c>
      <c r="N120" s="2267">
        <f t="shared" si="44"/>
        <v>3760</v>
      </c>
      <c r="O120" s="2267">
        <f t="shared" si="44"/>
        <v>0</v>
      </c>
      <c r="P120" s="2267">
        <f t="shared" si="44"/>
        <v>0</v>
      </c>
      <c r="Q120" s="2267">
        <f t="shared" si="44"/>
        <v>0</v>
      </c>
      <c r="R120" s="2267">
        <f t="shared" si="44"/>
        <v>0</v>
      </c>
      <c r="S120" s="2267">
        <f t="shared" si="44"/>
        <v>0</v>
      </c>
      <c r="T120" s="2267">
        <f t="shared" si="44"/>
        <v>0</v>
      </c>
      <c r="U120" s="2267">
        <f t="shared" si="44"/>
        <v>4812</v>
      </c>
      <c r="V120" s="2267">
        <f t="shared" si="44"/>
        <v>0</v>
      </c>
      <c r="W120" s="2267">
        <f t="shared" si="44"/>
        <v>0</v>
      </c>
      <c r="X120" s="2267">
        <f t="shared" si="44"/>
        <v>0</v>
      </c>
      <c r="Y120" s="2267">
        <f t="shared" si="44"/>
        <v>0</v>
      </c>
      <c r="Z120" s="2267">
        <f t="shared" si="44"/>
        <v>0</v>
      </c>
      <c r="AA120" s="2267">
        <f t="shared" si="44"/>
        <v>0</v>
      </c>
      <c r="AB120" s="2267">
        <f t="shared" si="44"/>
        <v>0</v>
      </c>
      <c r="AC120" s="2267">
        <f t="shared" si="44"/>
        <v>0</v>
      </c>
      <c r="AD120" s="2267">
        <f t="shared" si="44"/>
        <v>0</v>
      </c>
      <c r="AE120" s="2267">
        <f t="shared" si="44"/>
        <v>0</v>
      </c>
      <c r="AF120" s="2267">
        <f t="shared" si="44"/>
        <v>0</v>
      </c>
      <c r="AG120" s="2267">
        <f t="shared" si="44"/>
        <v>8</v>
      </c>
      <c r="AH120" s="2267">
        <f t="shared" si="44"/>
        <v>0</v>
      </c>
      <c r="AI120" s="2267">
        <f t="shared" si="44"/>
        <v>17</v>
      </c>
      <c r="AJ120" s="2267">
        <f t="shared" si="44"/>
        <v>0</v>
      </c>
      <c r="AK120" s="2267">
        <f t="shared" si="44"/>
        <v>19</v>
      </c>
      <c r="AL120" s="2267">
        <f t="shared" ref="AL120" si="46">SUM(AL5:AL119)</f>
        <v>0</v>
      </c>
      <c r="AM120" s="2267">
        <f t="shared" si="44"/>
        <v>0</v>
      </c>
      <c r="AN120" s="2267">
        <f t="shared" si="44"/>
        <v>0</v>
      </c>
      <c r="AO120" s="2267">
        <f t="shared" si="44"/>
        <v>0</v>
      </c>
      <c r="AP120" s="2267">
        <f t="shared" si="44"/>
        <v>0</v>
      </c>
      <c r="AQ120" s="2267">
        <f t="shared" si="44"/>
        <v>0</v>
      </c>
      <c r="AR120" s="2267">
        <f t="shared" si="44"/>
        <v>28</v>
      </c>
      <c r="AS120" s="2267">
        <f t="shared" si="44"/>
        <v>0</v>
      </c>
      <c r="AT120" s="2267">
        <f t="shared" si="44"/>
        <v>0</v>
      </c>
      <c r="AU120" s="2267">
        <f t="shared" si="44"/>
        <v>0</v>
      </c>
      <c r="AV120" s="2267">
        <f t="shared" si="44"/>
        <v>0</v>
      </c>
      <c r="AW120" s="2267">
        <f t="shared" si="44"/>
        <v>0</v>
      </c>
      <c r="AX120" s="2267">
        <f t="shared" ref="AX120" si="47">SUM(AX5:AX119)</f>
        <v>0</v>
      </c>
      <c r="AY120" s="2267">
        <f t="shared" ref="AY120:BI120" si="48">SUM(AY5:AY119)</f>
        <v>0</v>
      </c>
      <c r="AZ120" s="2267">
        <f t="shared" si="48"/>
        <v>0</v>
      </c>
      <c r="BA120" s="2267">
        <f t="shared" si="48"/>
        <v>0</v>
      </c>
      <c r="BB120" s="2267">
        <f t="shared" si="48"/>
        <v>0</v>
      </c>
      <c r="BC120" s="2267">
        <f t="shared" si="48"/>
        <v>0</v>
      </c>
      <c r="BD120" s="2267">
        <f t="shared" si="48"/>
        <v>0</v>
      </c>
      <c r="BE120" s="2267">
        <f t="shared" si="48"/>
        <v>269</v>
      </c>
      <c r="BF120" s="2267">
        <f t="shared" si="48"/>
        <v>0</v>
      </c>
      <c r="BG120" s="2267">
        <f t="shared" si="48"/>
        <v>107</v>
      </c>
      <c r="BH120" s="2267">
        <f t="shared" si="48"/>
        <v>12449</v>
      </c>
      <c r="BI120" s="2267">
        <f t="shared" si="48"/>
        <v>12940</v>
      </c>
      <c r="BJ120" s="2098"/>
      <c r="BK120" s="1939"/>
      <c r="BL120" s="1989"/>
    </row>
    <row r="121" spans="1:64" ht="21.75" thickBot="1">
      <c r="A121" s="2268"/>
      <c r="B121" s="1730"/>
      <c r="C121" s="1968">
        <f>SUM(C5:C120)</f>
        <v>13316</v>
      </c>
      <c r="D121" s="1969"/>
      <c r="E121" s="3717">
        <f>SUM(E120:AC120)</f>
        <v>12868</v>
      </c>
      <c r="F121" s="3718"/>
      <c r="G121" s="3718"/>
      <c r="H121" s="3718"/>
      <c r="I121" s="3718"/>
      <c r="J121" s="3718"/>
      <c r="K121" s="3718"/>
      <c r="L121" s="3718"/>
      <c r="M121" s="3718"/>
      <c r="N121" s="3718"/>
      <c r="O121" s="3718"/>
      <c r="P121" s="3718"/>
      <c r="Q121" s="3718"/>
      <c r="R121" s="3718"/>
      <c r="S121" s="3718"/>
      <c r="T121" s="3718"/>
      <c r="U121" s="3718"/>
      <c r="V121" s="3718"/>
      <c r="W121" s="3718"/>
      <c r="X121" s="3718"/>
      <c r="Y121" s="3719"/>
      <c r="Z121" s="3719"/>
      <c r="AA121" s="3719"/>
      <c r="AB121" s="3719"/>
      <c r="AC121" s="3720"/>
      <c r="AD121" s="3703">
        <f>SUM(AD120:BC120)</f>
        <v>72</v>
      </c>
      <c r="AE121" s="3704"/>
      <c r="AF121" s="3704"/>
      <c r="AG121" s="3704"/>
      <c r="AH121" s="3704"/>
      <c r="AI121" s="3704"/>
      <c r="AJ121" s="3704"/>
      <c r="AK121" s="3704"/>
      <c r="AL121" s="3704"/>
      <c r="AM121" s="3704"/>
      <c r="AN121" s="3704"/>
      <c r="AO121" s="3704"/>
      <c r="AP121" s="3704"/>
      <c r="AQ121" s="3704"/>
      <c r="AR121" s="3704"/>
      <c r="AS121" s="3704"/>
      <c r="AT121" s="3704"/>
      <c r="AU121" s="3704"/>
      <c r="AV121" s="3705"/>
      <c r="AW121" s="3705"/>
      <c r="AX121" s="3705"/>
      <c r="AY121" s="3705"/>
      <c r="AZ121" s="3705"/>
      <c r="BA121" s="3705"/>
      <c r="BB121" s="3705"/>
      <c r="BC121" s="3706"/>
      <c r="BD121" s="3699">
        <f>SUM(BD120:BG120)</f>
        <v>376</v>
      </c>
      <c r="BE121" s="3701"/>
      <c r="BF121" s="3701"/>
      <c r="BG121" s="3702"/>
    </row>
    <row r="122" spans="1:64" ht="15.75" thickBot="1">
      <c r="A122" s="2269"/>
      <c r="E122" s="1972"/>
      <c r="F122" s="1972"/>
      <c r="G122" s="1972"/>
      <c r="H122" s="1972"/>
      <c r="I122" s="1972"/>
      <c r="J122" s="1972"/>
      <c r="K122" s="1972"/>
      <c r="L122" s="1972"/>
      <c r="M122" s="1972"/>
      <c r="N122" s="1972"/>
      <c r="O122" s="1972"/>
      <c r="P122" s="1972"/>
      <c r="Q122" s="1972"/>
      <c r="R122" s="1972"/>
      <c r="S122" s="1972"/>
      <c r="T122" s="1972"/>
      <c r="U122" s="1972"/>
      <c r="V122" s="1972"/>
      <c r="W122" s="1972"/>
      <c r="X122" s="1972"/>
      <c r="Y122" s="1972"/>
      <c r="Z122" s="1978"/>
      <c r="AA122" s="1978"/>
      <c r="AB122" s="1978"/>
      <c r="AC122" s="1978"/>
      <c r="AJ122" s="1972"/>
      <c r="AK122" s="1972"/>
      <c r="AL122" s="1972"/>
      <c r="AM122" s="1972"/>
      <c r="AN122" s="1972"/>
      <c r="AO122" s="1972"/>
      <c r="AP122" s="1972"/>
      <c r="AR122" s="1972"/>
      <c r="AS122" s="1972"/>
      <c r="AT122" s="1972"/>
      <c r="BD122" s="1983"/>
      <c r="BE122" s="1984"/>
      <c r="BF122" s="1984"/>
      <c r="BG122" s="1984"/>
    </row>
    <row r="123" spans="1:64" ht="21.75" thickBot="1">
      <c r="A123" s="2269"/>
      <c r="E123" s="1972"/>
      <c r="F123" s="1973">
        <f>SUM(BI5)</f>
        <v>657</v>
      </c>
      <c r="G123" s="1974"/>
      <c r="H123" s="1974"/>
      <c r="I123" s="1974"/>
      <c r="J123" s="1974"/>
      <c r="K123" s="1974"/>
      <c r="L123" s="1974"/>
      <c r="M123" s="1974"/>
      <c r="N123" s="1974"/>
      <c r="O123" s="1974"/>
      <c r="P123" s="1974"/>
      <c r="Q123" s="1974"/>
      <c r="R123" s="1974"/>
      <c r="S123" s="1974"/>
      <c r="T123" s="1974"/>
      <c r="U123" s="1974"/>
      <c r="V123" s="1974"/>
      <c r="W123" s="1974"/>
      <c r="X123" s="1974"/>
      <c r="Y123" s="1974"/>
      <c r="Z123" s="1978"/>
      <c r="AA123" s="1978"/>
      <c r="AB123" s="1978"/>
      <c r="AC123" s="1978"/>
      <c r="AJ123" s="1974"/>
      <c r="AK123" s="1974"/>
      <c r="AL123" s="1974"/>
      <c r="AM123" s="1974"/>
      <c r="AN123" s="1974"/>
      <c r="AO123" s="1974"/>
      <c r="AP123" s="1974"/>
      <c r="AR123" s="1974"/>
      <c r="AS123" s="1974"/>
      <c r="AT123" s="1974"/>
      <c r="BD123" s="1983"/>
      <c r="BE123" s="1983">
        <f>'M-1'!AW115</f>
        <v>300</v>
      </c>
      <c r="BF123" s="1984"/>
      <c r="BG123" s="1984"/>
      <c r="BH123" s="1985">
        <f>SUM(BD121:BG123)</f>
        <v>676</v>
      </c>
    </row>
    <row r="124" spans="1:64" ht="21.75" thickBot="1">
      <c r="E124" s="1972"/>
      <c r="F124" s="1975">
        <f>SUM(E112:AC114)</f>
        <v>0</v>
      </c>
      <c r="G124" s="1976"/>
      <c r="H124" s="1976"/>
      <c r="I124" s="1976"/>
      <c r="J124" s="1976"/>
      <c r="K124" s="1976"/>
      <c r="L124" s="1976"/>
      <c r="M124" s="1976"/>
      <c r="N124" s="1976"/>
      <c r="O124" s="1976"/>
      <c r="P124" s="1976"/>
      <c r="Q124" s="1976"/>
      <c r="R124" s="1976"/>
      <c r="S124" s="1976"/>
      <c r="T124" s="1976"/>
      <c r="U124" s="1976"/>
      <c r="V124" s="1976"/>
      <c r="W124" s="1976"/>
      <c r="X124" s="1976"/>
      <c r="Y124" s="1976"/>
      <c r="Z124" s="1979"/>
      <c r="AA124" s="1979"/>
      <c r="AB124" s="1979"/>
      <c r="AC124" s="1979"/>
      <c r="AD124" s="140">
        <f>SUM(AD5:BC7)</f>
        <v>9</v>
      </c>
      <c r="AE124" s="1980"/>
      <c r="AF124" s="1980"/>
      <c r="AG124" s="1980"/>
      <c r="AH124" s="1980"/>
      <c r="AI124" s="1980"/>
      <c r="AJ124" s="1976"/>
      <c r="AK124" s="1976"/>
      <c r="AL124" s="1976"/>
      <c r="AM124" s="1976"/>
      <c r="AN124" s="1976"/>
      <c r="AO124" s="1976"/>
      <c r="AP124" s="1976"/>
      <c r="AQ124" s="1980"/>
      <c r="AR124" s="1976"/>
      <c r="AS124" s="1976"/>
      <c r="AT124" s="1976"/>
      <c r="AU124" s="1980"/>
      <c r="AV124" s="1980"/>
      <c r="AW124" s="1981"/>
      <c r="AX124" s="1981"/>
      <c r="AY124" s="1981"/>
      <c r="AZ124" s="1981"/>
      <c r="BA124" s="1981"/>
      <c r="BB124" s="1981"/>
      <c r="BC124" s="1981"/>
      <c r="BD124" s="140">
        <f>SUM(BD5:BG7)</f>
        <v>4</v>
      </c>
      <c r="BE124" s="1986"/>
    </row>
    <row r="125" spans="1:64" ht="19.5" thickBot="1">
      <c r="T125" s="1971"/>
      <c r="U125" s="1971"/>
      <c r="V125" s="1971"/>
      <c r="W125" s="1971"/>
      <c r="X125" s="1971"/>
      <c r="Y125" s="3707">
        <f>SUM(F124:AD124)</f>
        <v>9</v>
      </c>
      <c r="Z125" s="3708"/>
      <c r="AA125" s="3708"/>
      <c r="AB125" s="3708"/>
      <c r="AC125" s="3709"/>
      <c r="AF125" s="216"/>
      <c r="AG125" s="216"/>
      <c r="AH125" s="216"/>
      <c r="AI125" s="216"/>
      <c r="AQ125" s="216"/>
      <c r="AR125" s="1971"/>
      <c r="AS125" s="1971"/>
      <c r="AT125" s="1971"/>
      <c r="AU125" s="216"/>
      <c r="AV125" s="1982">
        <f>SUM(F124:BD124)</f>
        <v>13</v>
      </c>
      <c r="BH125" s="147" t="s">
        <v>42</v>
      </c>
      <c r="BI125" s="1987">
        <f>BI120+'M-1'!BB115</f>
        <v>12940</v>
      </c>
    </row>
    <row r="134" spans="32:33" customFormat="1">
      <c r="AF134" s="1971" t="s">
        <v>4</v>
      </c>
      <c r="AG134" s="1971" t="s">
        <v>4</v>
      </c>
    </row>
  </sheetData>
  <mergeCells count="155">
    <mergeCell ref="E3:AC3"/>
    <mergeCell ref="AD3:BC3"/>
    <mergeCell ref="BD3:BG3"/>
    <mergeCell ref="C4:D4"/>
    <mergeCell ref="E121:AC121"/>
    <mergeCell ref="AD121:BC121"/>
    <mergeCell ref="BD121:BG121"/>
    <mergeCell ref="Y125:AC125"/>
    <mergeCell ref="A5:A7"/>
    <mergeCell ref="A8:A10"/>
    <mergeCell ref="A11:A14"/>
    <mergeCell ref="A15:A19"/>
    <mergeCell ref="A20:A22"/>
    <mergeCell ref="A23:A26"/>
    <mergeCell ref="A27:A30"/>
    <mergeCell ref="A31:A33"/>
    <mergeCell ref="A34:A36"/>
    <mergeCell ref="A37:A40"/>
    <mergeCell ref="A41:A44"/>
    <mergeCell ref="A45:A49"/>
    <mergeCell ref="A50:A53"/>
    <mergeCell ref="A54:A56"/>
    <mergeCell ref="A57:A60"/>
    <mergeCell ref="A61:A64"/>
    <mergeCell ref="A65:A68"/>
    <mergeCell ref="A69:A71"/>
    <mergeCell ref="A72:A75"/>
    <mergeCell ref="A76:A78"/>
    <mergeCell ref="A79:A83"/>
    <mergeCell ref="A84:A86"/>
    <mergeCell ref="A87:A89"/>
    <mergeCell ref="A90:A93"/>
    <mergeCell ref="A94:A97"/>
    <mergeCell ref="A98:A101"/>
    <mergeCell ref="A102:A105"/>
    <mergeCell ref="A106:A108"/>
    <mergeCell ref="A115:A119"/>
    <mergeCell ref="C5:C7"/>
    <mergeCell ref="C8:C10"/>
    <mergeCell ref="C11:C14"/>
    <mergeCell ref="C15:C19"/>
    <mergeCell ref="C20:C22"/>
    <mergeCell ref="C23:C26"/>
    <mergeCell ref="C27:C30"/>
    <mergeCell ref="C31:C33"/>
    <mergeCell ref="C34:C36"/>
    <mergeCell ref="C37:C40"/>
    <mergeCell ref="C41:C44"/>
    <mergeCell ref="C45:C49"/>
    <mergeCell ref="C50:C53"/>
    <mergeCell ref="C54:C56"/>
    <mergeCell ref="C57:C60"/>
    <mergeCell ref="C61:C64"/>
    <mergeCell ref="C65:C68"/>
    <mergeCell ref="C69:C71"/>
    <mergeCell ref="C72:C75"/>
    <mergeCell ref="C76:C78"/>
    <mergeCell ref="C79:C83"/>
    <mergeCell ref="C84:C86"/>
    <mergeCell ref="C87:C89"/>
    <mergeCell ref="C90:C93"/>
    <mergeCell ref="C94:C97"/>
    <mergeCell ref="C98:C101"/>
    <mergeCell ref="C102:C105"/>
    <mergeCell ref="C106:C108"/>
    <mergeCell ref="C115:C119"/>
    <mergeCell ref="BH5:BH7"/>
    <mergeCell ref="BH8:BH10"/>
    <mergeCell ref="BH11:BH14"/>
    <mergeCell ref="BH15:BH19"/>
    <mergeCell ref="BH20:BH22"/>
    <mergeCell ref="BH23:BH26"/>
    <mergeCell ref="BH27:BH30"/>
    <mergeCell ref="BH31:BH33"/>
    <mergeCell ref="BH34:BH36"/>
    <mergeCell ref="BH102:BH105"/>
    <mergeCell ref="BH37:BH40"/>
    <mergeCell ref="BH41:BH44"/>
    <mergeCell ref="BH45:BH49"/>
    <mergeCell ref="BH50:BH53"/>
    <mergeCell ref="BH54:BH56"/>
    <mergeCell ref="BH57:BH60"/>
    <mergeCell ref="BH61:BH64"/>
    <mergeCell ref="BH65:BH68"/>
    <mergeCell ref="BH69:BH71"/>
    <mergeCell ref="BH87:BH89"/>
    <mergeCell ref="BH90:BH93"/>
    <mergeCell ref="BH94:BH97"/>
    <mergeCell ref="BH98:BH101"/>
    <mergeCell ref="BH115:BH119"/>
    <mergeCell ref="BI5:BI7"/>
    <mergeCell ref="BI8:BI10"/>
    <mergeCell ref="BI11:BI14"/>
    <mergeCell ref="BI15:BI19"/>
    <mergeCell ref="BI20:BI22"/>
    <mergeCell ref="BI23:BI26"/>
    <mergeCell ref="BI27:BI30"/>
    <mergeCell ref="BI31:BI33"/>
    <mergeCell ref="BI34:BI36"/>
    <mergeCell ref="BI37:BI40"/>
    <mergeCell ref="BI41:BI44"/>
    <mergeCell ref="BI45:BI49"/>
    <mergeCell ref="BI50:BI53"/>
    <mergeCell ref="BI54:BI56"/>
    <mergeCell ref="BI57:BI60"/>
    <mergeCell ref="BI115:BI119"/>
    <mergeCell ref="BI61:BI64"/>
    <mergeCell ref="BI65:BI68"/>
    <mergeCell ref="BI69:BI71"/>
    <mergeCell ref="BI72:BI75"/>
    <mergeCell ref="BH72:BH75"/>
    <mergeCell ref="BH76:BH78"/>
    <mergeCell ref="BH79:BH83"/>
    <mergeCell ref="BL5:BL7"/>
    <mergeCell ref="BL8:BL10"/>
    <mergeCell ref="BL11:BL14"/>
    <mergeCell ref="BL15:BL19"/>
    <mergeCell ref="BL20:BL22"/>
    <mergeCell ref="BL23:BL26"/>
    <mergeCell ref="BL27:BL30"/>
    <mergeCell ref="BL31:BL33"/>
    <mergeCell ref="BL34:BL36"/>
    <mergeCell ref="BL37:BL40"/>
    <mergeCell ref="BL41:BL44"/>
    <mergeCell ref="BL45:BL49"/>
    <mergeCell ref="BL50:BL53"/>
    <mergeCell ref="BL54:BL56"/>
    <mergeCell ref="BL57:BL60"/>
    <mergeCell ref="BL61:BL64"/>
    <mergeCell ref="BL65:BL68"/>
    <mergeCell ref="BL69:BL71"/>
    <mergeCell ref="A112:A114"/>
    <mergeCell ref="C112:C114"/>
    <mergeCell ref="BH112:BH114"/>
    <mergeCell ref="BI112:BI114"/>
    <mergeCell ref="A109:A111"/>
    <mergeCell ref="C109:C111"/>
    <mergeCell ref="BH109:BH111"/>
    <mergeCell ref="BI109:BI111"/>
    <mergeCell ref="BL72:BL75"/>
    <mergeCell ref="BL76:BL78"/>
    <mergeCell ref="BL79:BL83"/>
    <mergeCell ref="BL84:BL86"/>
    <mergeCell ref="BL87:BL89"/>
    <mergeCell ref="BI94:BI97"/>
    <mergeCell ref="BI98:BI101"/>
    <mergeCell ref="BI102:BI105"/>
    <mergeCell ref="BI106:BI108"/>
    <mergeCell ref="BI76:BI78"/>
    <mergeCell ref="BI79:BI83"/>
    <mergeCell ref="BI84:BI86"/>
    <mergeCell ref="BI87:BI89"/>
    <mergeCell ref="BI90:BI93"/>
    <mergeCell ref="BH106:BH108"/>
    <mergeCell ref="BH84:BH86"/>
  </mergeCells>
  <pageMargins left="0.69930555555555596" right="0.69930555555555596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129"/>
  <sheetViews>
    <sheetView topLeftCell="AS55" zoomScale="103" zoomScaleNormal="103" workbookViewId="0">
      <selection activeCell="BD70" sqref="BD70"/>
    </sheetView>
  </sheetViews>
  <sheetFormatPr defaultColWidth="9" defaultRowHeight="15"/>
  <cols>
    <col min="1" max="1" width="17.7109375" style="1970" customWidth="1"/>
    <col min="2" max="3" width="8.42578125" style="1" customWidth="1"/>
    <col min="4" max="4" width="7.42578125" style="1971" customWidth="1"/>
    <col min="5" max="5" width="9.7109375" style="1977" customWidth="1"/>
    <col min="6" max="6" width="8.7109375" style="1971" customWidth="1"/>
    <col min="7" max="10" width="8.5703125" style="1971" customWidth="1"/>
    <col min="11" max="11" width="9" style="1971" customWidth="1"/>
    <col min="12" max="13" width="8.42578125" style="1971" customWidth="1"/>
    <col min="14" max="14" width="6.42578125" style="1971" bestFit="1" customWidth="1"/>
    <col min="15" max="15" width="7.85546875" style="1971" customWidth="1"/>
    <col min="16" max="17" width="8" style="1971" customWidth="1"/>
    <col min="18" max="18" width="8.42578125" style="1977" customWidth="1"/>
    <col min="19" max="20" width="8.85546875" style="1977" customWidth="1"/>
    <col min="21" max="21" width="9" style="1977" customWidth="1"/>
    <col min="22" max="23" width="8.7109375" style="1977" customWidth="1"/>
    <col min="24" max="24" width="8.42578125" style="1977" customWidth="1"/>
    <col min="25" max="25" width="9.140625" style="1971" customWidth="1"/>
    <col min="26" max="26" width="13.7109375" style="1971" customWidth="1"/>
    <col min="27" max="27" width="9.28515625" style="1977" customWidth="1"/>
    <col min="28" max="28" width="9.28515625" style="1971" customWidth="1"/>
    <col min="29" max="35" width="7.7109375" style="1971" customWidth="1"/>
    <col min="36" max="38" width="9.5703125" style="1971" customWidth="1"/>
    <col min="39" max="39" width="7.7109375" style="1971" customWidth="1"/>
    <col min="40" max="42" width="10.140625" style="1971" customWidth="1"/>
    <col min="43" max="43" width="7.7109375" style="1971" customWidth="1"/>
    <col min="44" max="46" width="8.7109375" style="1971" customWidth="1"/>
    <col min="47" max="47" width="7" style="1971" customWidth="1"/>
    <col min="48" max="48" width="14.5703125" style="1971" customWidth="1"/>
    <col min="49" max="49" width="8.140625" style="1977" customWidth="1"/>
    <col min="50" max="50" width="7.85546875" style="1971" customWidth="1"/>
    <col min="51" max="51" width="7" style="1971" customWidth="1"/>
    <col min="52" max="52" width="14.140625" style="1971" customWidth="1"/>
    <col min="53" max="53" width="12.5703125" customWidth="1"/>
    <col min="54" max="54" width="14.7109375" customWidth="1"/>
    <col min="55" max="55" width="15" style="1970" bestFit="1" customWidth="1"/>
    <col min="56" max="56" width="20.7109375" style="1970" customWidth="1"/>
    <col min="57" max="57" width="12.7109375" style="1970" customWidth="1"/>
    <col min="58" max="274" width="10" customWidth="1"/>
  </cols>
  <sheetData>
    <row r="1" spans="1:95" ht="21" thickBot="1">
      <c r="A1" s="1677">
        <v>46113</v>
      </c>
      <c r="B1" s="1673"/>
      <c r="C1" s="1673"/>
      <c r="D1" s="1673"/>
      <c r="E1" s="704"/>
      <c r="F1" s="1673"/>
      <c r="G1" s="1673"/>
      <c r="H1" s="1673"/>
      <c r="I1" s="1673"/>
      <c r="J1" s="1673"/>
      <c r="K1" s="1673"/>
      <c r="L1" s="1673"/>
      <c r="M1" s="1673"/>
      <c r="N1" s="1673"/>
      <c r="O1" s="1673"/>
      <c r="P1" s="1673"/>
      <c r="Q1" s="1673"/>
      <c r="R1" s="704"/>
      <c r="S1" s="704"/>
      <c r="T1" s="704"/>
      <c r="U1" s="704"/>
      <c r="V1" s="704"/>
      <c r="W1" s="704"/>
      <c r="X1" s="704"/>
      <c r="Y1" s="1673"/>
      <c r="Z1" s="1673"/>
      <c r="AA1" s="704"/>
      <c r="AB1" s="1673"/>
      <c r="AC1" s="1673"/>
      <c r="AD1" s="1673"/>
      <c r="AE1" s="1673"/>
      <c r="AF1" s="1673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1673"/>
      <c r="AS1" s="1673"/>
      <c r="AT1" s="1673"/>
      <c r="AU1" s="1673"/>
      <c r="AV1" s="1673"/>
      <c r="AW1" s="704"/>
      <c r="AX1" s="1673"/>
      <c r="AY1" s="1673"/>
      <c r="AZ1" s="1673"/>
      <c r="BA1" s="1673"/>
      <c r="BB1" s="1673"/>
      <c r="BC1" s="1673"/>
      <c r="BD1" s="1673"/>
      <c r="BE1" s="1673"/>
    </row>
    <row r="2" spans="1:95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1680"/>
      <c r="AX2" s="1680"/>
      <c r="AY2" s="1680"/>
      <c r="AZ2" s="1680"/>
      <c r="BA2" s="704"/>
      <c r="BB2" s="1932"/>
      <c r="BC2" s="1933">
        <v>1</v>
      </c>
      <c r="BD2" s="1274">
        <v>4</v>
      </c>
      <c r="BE2" s="1274">
        <v>2026</v>
      </c>
    </row>
    <row r="3" spans="1:95" ht="24" thickBot="1">
      <c r="A3" s="1681" t="s">
        <v>52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60"/>
      <c r="AA3" s="3696" t="s">
        <v>2</v>
      </c>
      <c r="AB3" s="3697"/>
      <c r="AC3" s="3697"/>
      <c r="AD3" s="3697"/>
      <c r="AE3" s="3697"/>
      <c r="AF3" s="3697"/>
      <c r="AG3" s="3697"/>
      <c r="AH3" s="3697"/>
      <c r="AI3" s="3697"/>
      <c r="AJ3" s="3697"/>
      <c r="AK3" s="3697"/>
      <c r="AL3" s="3697"/>
      <c r="AM3" s="3697"/>
      <c r="AN3" s="3697"/>
      <c r="AO3" s="3697"/>
      <c r="AP3" s="3697"/>
      <c r="AQ3" s="3697"/>
      <c r="AR3" s="3697"/>
      <c r="AS3" s="3697"/>
      <c r="AT3" s="3697"/>
      <c r="AU3" s="3697"/>
      <c r="AV3" s="3698"/>
      <c r="AW3" s="3664" t="s">
        <v>3</v>
      </c>
      <c r="AX3" s="3665"/>
      <c r="AY3" s="3665"/>
      <c r="AZ3" s="3666"/>
      <c r="BA3" s="704"/>
      <c r="BB3" s="1932"/>
      <c r="BC3" s="1678"/>
      <c r="BD3" s="1934"/>
      <c r="BE3" s="1934"/>
    </row>
    <row r="4" spans="1:95" ht="77.25" thickBot="1">
      <c r="A4" s="1682" t="s">
        <v>5</v>
      </c>
      <c r="B4" s="1683" t="s">
        <v>6</v>
      </c>
      <c r="C4" s="3667" t="s">
        <v>7</v>
      </c>
      <c r="D4" s="3668"/>
      <c r="E4" s="1991" t="s">
        <v>8</v>
      </c>
      <c r="F4" s="1992" t="s">
        <v>9</v>
      </c>
      <c r="G4" s="1993" t="s">
        <v>10</v>
      </c>
      <c r="H4" s="1994" t="s">
        <v>11</v>
      </c>
      <c r="I4" s="3341" t="s">
        <v>197</v>
      </c>
      <c r="J4" s="2062" t="s">
        <v>492</v>
      </c>
      <c r="K4" s="2006" t="s">
        <v>12</v>
      </c>
      <c r="L4" s="2007" t="s">
        <v>45</v>
      </c>
      <c r="M4" s="2946" t="s">
        <v>423</v>
      </c>
      <c r="N4" s="2008" t="s">
        <v>578</v>
      </c>
      <c r="O4" s="2009" t="s">
        <v>574</v>
      </c>
      <c r="P4" s="1993" t="s">
        <v>417</v>
      </c>
      <c r="Q4" s="2010" t="s">
        <v>17</v>
      </c>
      <c r="R4" s="2011" t="s">
        <v>591</v>
      </c>
      <c r="S4" s="2012" t="s">
        <v>19</v>
      </c>
      <c r="T4" s="3076" t="s">
        <v>405</v>
      </c>
      <c r="U4" s="2043" t="s">
        <v>20</v>
      </c>
      <c r="V4" s="2044" t="s">
        <v>21</v>
      </c>
      <c r="W4" s="3136" t="s">
        <v>377</v>
      </c>
      <c r="X4" s="2045" t="s">
        <v>22</v>
      </c>
      <c r="Y4" s="2046" t="s">
        <v>23</v>
      </c>
      <c r="Z4" s="2047" t="s">
        <v>24</v>
      </c>
      <c r="AA4" s="1991" t="s">
        <v>8</v>
      </c>
      <c r="AB4" s="1992" t="s">
        <v>9</v>
      </c>
      <c r="AC4" s="1993" t="s">
        <v>10</v>
      </c>
      <c r="AD4" s="1994" t="s">
        <v>11</v>
      </c>
      <c r="AE4" s="3341" t="s">
        <v>197</v>
      </c>
      <c r="AF4" s="2062" t="s">
        <v>492</v>
      </c>
      <c r="AG4" s="2006" t="s">
        <v>12</v>
      </c>
      <c r="AH4" s="2007" t="s">
        <v>45</v>
      </c>
      <c r="AI4" s="2946" t="s">
        <v>423</v>
      </c>
      <c r="AJ4" s="2008" t="s">
        <v>578</v>
      </c>
      <c r="AK4" s="2009" t="s">
        <v>574</v>
      </c>
      <c r="AL4" s="1993" t="s">
        <v>417</v>
      </c>
      <c r="AM4" s="2010" t="s">
        <v>17</v>
      </c>
      <c r="AN4" s="2011" t="s">
        <v>591</v>
      </c>
      <c r="AO4" s="2073" t="s">
        <v>19</v>
      </c>
      <c r="AP4" s="3076" t="s">
        <v>405</v>
      </c>
      <c r="AQ4" s="2043" t="s">
        <v>20</v>
      </c>
      <c r="AR4" s="2044" t="s">
        <v>39</v>
      </c>
      <c r="AS4" s="3136" t="s">
        <v>377</v>
      </c>
      <c r="AT4" s="2045" t="s">
        <v>22</v>
      </c>
      <c r="AU4" s="2046" t="s">
        <v>23</v>
      </c>
      <c r="AV4" s="1814" t="s">
        <v>24</v>
      </c>
      <c r="AW4" s="1991" t="s">
        <v>50</v>
      </c>
      <c r="AX4" s="2010" t="s">
        <v>493</v>
      </c>
      <c r="AY4" s="2090" t="s">
        <v>20</v>
      </c>
      <c r="AZ4" s="2091" t="s">
        <v>26</v>
      </c>
      <c r="BA4" s="2092" t="s">
        <v>27</v>
      </c>
      <c r="BB4" s="2093" t="s">
        <v>28</v>
      </c>
      <c r="BC4" s="1939" t="s">
        <v>29</v>
      </c>
      <c r="BD4" s="1939" t="s">
        <v>30</v>
      </c>
      <c r="BE4" s="2094" t="s">
        <v>31</v>
      </c>
    </row>
    <row r="5" spans="1:95" ht="15.75" thickBot="1">
      <c r="A5" s="3694">
        <v>46116</v>
      </c>
      <c r="B5" s="1688" t="s">
        <v>32</v>
      </c>
      <c r="C5" s="3679">
        <f>SUM(D5:D7)</f>
        <v>733</v>
      </c>
      <c r="D5" s="1700">
        <f>SUM(E5:AZ5)</f>
        <v>323</v>
      </c>
      <c r="E5" s="1701"/>
      <c r="F5" s="1702"/>
      <c r="G5" s="1703"/>
      <c r="H5" s="1704"/>
      <c r="I5" s="3342"/>
      <c r="J5" s="2013"/>
      <c r="K5" s="1760">
        <v>320</v>
      </c>
      <c r="L5" s="1759"/>
      <c r="M5" s="2947"/>
      <c r="N5" s="2013"/>
      <c r="O5" s="2014"/>
      <c r="P5" s="1762"/>
      <c r="Q5" s="1761"/>
      <c r="R5" s="1764"/>
      <c r="S5" s="2015"/>
      <c r="T5" s="3062"/>
      <c r="U5" s="2048"/>
      <c r="V5" s="1829"/>
      <c r="W5" s="3137"/>
      <c r="X5" s="1830"/>
      <c r="Y5" s="1831"/>
      <c r="Z5" s="1832"/>
      <c r="AA5" s="1833"/>
      <c r="AB5" s="1702"/>
      <c r="AC5" s="1881"/>
      <c r="AD5" s="1882"/>
      <c r="AE5" s="3348"/>
      <c r="AF5" s="3407"/>
      <c r="AG5" s="1884"/>
      <c r="AH5" s="2063"/>
      <c r="AI5" s="2959"/>
      <c r="AJ5" s="2013"/>
      <c r="AK5" s="2014"/>
      <c r="AL5" s="1762"/>
      <c r="AM5" s="1885"/>
      <c r="AN5" s="1886"/>
      <c r="AO5" s="1915"/>
      <c r="AP5" s="3062"/>
      <c r="AQ5" s="2074"/>
      <c r="AR5" s="1916"/>
      <c r="AS5" s="3144"/>
      <c r="AT5" s="1917"/>
      <c r="AU5" s="1918"/>
      <c r="AV5" s="2075"/>
      <c r="AW5" s="1833"/>
      <c r="AX5" s="1885">
        <v>3</v>
      </c>
      <c r="AY5" s="1946"/>
      <c r="AZ5" s="1919"/>
      <c r="BA5" s="3634">
        <f>SUM(E5:Z7)</f>
        <v>720</v>
      </c>
      <c r="BB5" s="3634">
        <f>SUM(E5:AV7)</f>
        <v>725</v>
      </c>
      <c r="BC5" s="1951">
        <v>4003</v>
      </c>
      <c r="BD5" s="2095" t="s">
        <v>482</v>
      </c>
      <c r="BE5" s="3630"/>
      <c r="BH5" t="s">
        <v>478</v>
      </c>
    </row>
    <row r="6" spans="1:95" ht="15.75" thickBot="1">
      <c r="A6" s="3695"/>
      <c r="B6" s="1694" t="s">
        <v>34</v>
      </c>
      <c r="C6" s="3679"/>
      <c r="D6" s="1705">
        <f t="shared" ref="D6" si="0">SUM(E6:AZ6)</f>
        <v>410</v>
      </c>
      <c r="E6" s="1706"/>
      <c r="F6" s="1707"/>
      <c r="G6" s="1708"/>
      <c r="H6" s="1709"/>
      <c r="I6" s="3343"/>
      <c r="J6" s="2016"/>
      <c r="K6" s="1767">
        <v>400</v>
      </c>
      <c r="L6" s="1766"/>
      <c r="M6" s="2948"/>
      <c r="N6" s="2016"/>
      <c r="O6" s="2017"/>
      <c r="P6" s="1769"/>
      <c r="Q6" s="1768"/>
      <c r="R6" s="1771"/>
      <c r="S6" s="2018"/>
      <c r="T6" s="3063"/>
      <c r="U6" s="2049"/>
      <c r="V6" s="1836"/>
      <c r="W6" s="3138"/>
      <c r="X6" s="1837"/>
      <c r="Y6" s="1838"/>
      <c r="Z6" s="1839"/>
      <c r="AA6" s="1706"/>
      <c r="AB6" s="1707"/>
      <c r="AC6" s="1887"/>
      <c r="AD6" s="1888"/>
      <c r="AE6" s="3349"/>
      <c r="AF6" s="3408"/>
      <c r="AG6" s="1890">
        <v>5</v>
      </c>
      <c r="AH6" s="2064"/>
      <c r="AI6" s="2960"/>
      <c r="AJ6" s="2016"/>
      <c r="AK6" s="2017"/>
      <c r="AL6" s="1769"/>
      <c r="AM6" s="1891"/>
      <c r="AN6" s="1892"/>
      <c r="AO6" s="1920"/>
      <c r="AP6" s="3063"/>
      <c r="AQ6" s="2076"/>
      <c r="AR6" s="1921"/>
      <c r="AS6" s="3145"/>
      <c r="AT6" s="1922"/>
      <c r="AU6" s="1923"/>
      <c r="AV6" s="1924"/>
      <c r="AW6" s="1947"/>
      <c r="AX6" s="1891">
        <v>5</v>
      </c>
      <c r="AY6" s="1948"/>
      <c r="AZ6" s="1924"/>
      <c r="BA6" s="3634"/>
      <c r="BB6" s="3634"/>
      <c r="BC6" s="1945"/>
      <c r="BD6" s="1953"/>
      <c r="BE6" s="3630"/>
    </row>
    <row r="7" spans="1:95" ht="15.75" thickBot="1">
      <c r="A7" s="3695"/>
      <c r="B7" s="1694" t="s">
        <v>34</v>
      </c>
      <c r="C7" s="3679"/>
      <c r="D7" s="1705">
        <f>SUM(E7:AZ7)</f>
        <v>0</v>
      </c>
      <c r="E7" s="1706"/>
      <c r="F7" s="1707"/>
      <c r="G7" s="1708"/>
      <c r="H7" s="1709"/>
      <c r="I7" s="3343"/>
      <c r="J7" s="2016"/>
      <c r="K7" s="1767"/>
      <c r="L7" s="1766"/>
      <c r="M7" s="2948"/>
      <c r="N7" s="2016"/>
      <c r="O7" s="2017"/>
      <c r="P7" s="1769"/>
      <c r="Q7" s="1768"/>
      <c r="R7" s="1771"/>
      <c r="S7" s="2018"/>
      <c r="T7" s="3063"/>
      <c r="U7" s="2049"/>
      <c r="V7" s="1836"/>
      <c r="W7" s="3138"/>
      <c r="X7" s="1837"/>
      <c r="Y7" s="1838"/>
      <c r="Z7" s="1839"/>
      <c r="AA7" s="1706"/>
      <c r="AB7" s="1707"/>
      <c r="AC7" s="1887"/>
      <c r="AD7" s="1888"/>
      <c r="AE7" s="3349"/>
      <c r="AF7" s="3408"/>
      <c r="AG7" s="1890"/>
      <c r="AH7" s="2064"/>
      <c r="AI7" s="2960"/>
      <c r="AJ7" s="2016"/>
      <c r="AK7" s="2017"/>
      <c r="AL7" s="1769"/>
      <c r="AM7" s="1891"/>
      <c r="AN7" s="1892"/>
      <c r="AO7" s="1920"/>
      <c r="AP7" s="3063"/>
      <c r="AQ7" s="2076"/>
      <c r="AR7" s="1921"/>
      <c r="AS7" s="3145"/>
      <c r="AT7" s="1922"/>
      <c r="AU7" s="1923"/>
      <c r="AV7" s="2077"/>
      <c r="AW7" s="1947"/>
      <c r="AX7" s="1891"/>
      <c r="AY7" s="1948"/>
      <c r="AZ7" s="1924"/>
      <c r="BA7" s="3634"/>
      <c r="BB7" s="3634"/>
      <c r="BC7" s="1951"/>
      <c r="BD7" s="1953"/>
      <c r="BE7" s="3630"/>
    </row>
    <row r="8" spans="1:95" ht="15.75" thickBot="1">
      <c r="A8" s="3694">
        <v>46117</v>
      </c>
      <c r="B8" s="1688" t="s">
        <v>32</v>
      </c>
      <c r="C8" s="3711">
        <f>SUM(D8:D11)</f>
        <v>979</v>
      </c>
      <c r="D8" s="1689">
        <f>SUM(E8:AZ8)</f>
        <v>472</v>
      </c>
      <c r="E8" s="1726"/>
      <c r="F8" s="1691"/>
      <c r="G8" s="1692"/>
      <c r="H8" s="1713"/>
      <c r="I8" s="3186"/>
      <c r="J8" s="2019"/>
      <c r="K8" s="1783">
        <f>128+336</f>
        <v>464</v>
      </c>
      <c r="L8" s="1782"/>
      <c r="M8" s="2949"/>
      <c r="N8" s="2019"/>
      <c r="O8" s="1815"/>
      <c r="P8" s="1692"/>
      <c r="Q8" s="1784"/>
      <c r="R8" s="1874"/>
      <c r="S8" s="2020"/>
      <c r="T8" s="3064"/>
      <c r="U8" s="2050"/>
      <c r="V8" s="1817"/>
      <c r="W8" s="3139"/>
      <c r="X8" s="1818"/>
      <c r="Y8" s="1819"/>
      <c r="Z8" s="1820"/>
      <c r="AA8" s="1726"/>
      <c r="AB8" s="1691"/>
      <c r="AC8" s="1869"/>
      <c r="AD8" s="1893"/>
      <c r="AE8" s="3350"/>
      <c r="AF8" s="3409"/>
      <c r="AG8" s="1894">
        <v>1</v>
      </c>
      <c r="AH8" s="2065"/>
      <c r="AI8" s="2961"/>
      <c r="AJ8" s="2019"/>
      <c r="AK8" s="1815"/>
      <c r="AL8" s="1692"/>
      <c r="AM8" s="1873"/>
      <c r="AN8" s="1874"/>
      <c r="AO8" s="1909"/>
      <c r="AP8" s="3064"/>
      <c r="AQ8" s="2078"/>
      <c r="AR8" s="1910"/>
      <c r="AS8" s="3146"/>
      <c r="AT8" s="1911"/>
      <c r="AU8" s="1864"/>
      <c r="AV8" s="1865"/>
      <c r="AW8" s="1726"/>
      <c r="AX8" s="1873">
        <v>7</v>
      </c>
      <c r="AY8" s="1940"/>
      <c r="AZ8" s="1865"/>
      <c r="BA8" s="3642">
        <f>SUM(E8:Z11)</f>
        <v>960</v>
      </c>
      <c r="BB8" s="3633">
        <f>SUM(E8:AV11)</f>
        <v>966</v>
      </c>
      <c r="BC8" s="1945">
        <v>4003</v>
      </c>
      <c r="BD8" s="1953" t="s">
        <v>482</v>
      </c>
      <c r="BE8" s="3629" t="s">
        <v>33</v>
      </c>
    </row>
    <row r="9" spans="1:95" ht="15.75" thickBot="1">
      <c r="A9" s="3695"/>
      <c r="B9" s="1694" t="s">
        <v>34</v>
      </c>
      <c r="C9" s="3712"/>
      <c r="D9" s="1705">
        <f t="shared" ref="D9:D11" si="1">SUM(E9:AZ9)</f>
        <v>507</v>
      </c>
      <c r="E9" s="1706"/>
      <c r="F9" s="1707"/>
      <c r="G9" s="1708"/>
      <c r="H9" s="1709"/>
      <c r="I9" s="3343"/>
      <c r="J9" s="2016"/>
      <c r="K9" s="1767">
        <v>496</v>
      </c>
      <c r="L9" s="1766"/>
      <c r="M9" s="2948"/>
      <c r="N9" s="2016"/>
      <c r="O9" s="2017"/>
      <c r="P9" s="1769"/>
      <c r="Q9" s="1768"/>
      <c r="R9" s="1771"/>
      <c r="S9" s="2018"/>
      <c r="T9" s="3063"/>
      <c r="U9" s="2049"/>
      <c r="V9" s="1836"/>
      <c r="W9" s="3138"/>
      <c r="X9" s="1837"/>
      <c r="Y9" s="1838"/>
      <c r="Z9" s="1839"/>
      <c r="AA9" s="1706"/>
      <c r="AB9" s="1707"/>
      <c r="AC9" s="1887"/>
      <c r="AD9" s="1888"/>
      <c r="AE9" s="3349"/>
      <c r="AF9" s="3408"/>
      <c r="AG9" s="1890">
        <v>5</v>
      </c>
      <c r="AH9" s="2064"/>
      <c r="AI9" s="2960"/>
      <c r="AJ9" s="2016"/>
      <c r="AK9" s="2017"/>
      <c r="AL9" s="1769"/>
      <c r="AM9" s="1891"/>
      <c r="AN9" s="1892"/>
      <c r="AO9" s="1920"/>
      <c r="AP9" s="3063"/>
      <c r="AQ9" s="2076"/>
      <c r="AR9" s="1921"/>
      <c r="AS9" s="3145"/>
      <c r="AT9" s="1922"/>
      <c r="AU9" s="1923"/>
      <c r="AV9" s="1924"/>
      <c r="AW9" s="1947"/>
      <c r="AX9" s="1891">
        <v>6</v>
      </c>
      <c r="AY9" s="1948"/>
      <c r="AZ9" s="1924"/>
      <c r="BA9" s="3643"/>
      <c r="BB9" s="3634"/>
      <c r="BC9" s="1945">
        <v>4001</v>
      </c>
      <c r="BD9" s="1953" t="s">
        <v>482</v>
      </c>
      <c r="BE9" s="3630"/>
    </row>
    <row r="10" spans="1:95" ht="15.75" thickBot="1">
      <c r="A10" s="3695"/>
      <c r="B10" s="1694" t="s">
        <v>34</v>
      </c>
      <c r="C10" s="3712"/>
      <c r="D10" s="1705">
        <f t="shared" si="1"/>
        <v>0</v>
      </c>
      <c r="E10" s="1706"/>
      <c r="F10" s="1707"/>
      <c r="G10" s="1708"/>
      <c r="H10" s="1709"/>
      <c r="I10" s="3343"/>
      <c r="J10" s="2016"/>
      <c r="K10" s="1767"/>
      <c r="L10" s="1766"/>
      <c r="M10" s="2948"/>
      <c r="N10" s="2016"/>
      <c r="O10" s="2017"/>
      <c r="P10" s="1769"/>
      <c r="Q10" s="1768"/>
      <c r="R10" s="1771"/>
      <c r="S10" s="2018"/>
      <c r="T10" s="3063"/>
      <c r="U10" s="2049"/>
      <c r="V10" s="1836"/>
      <c r="W10" s="3138"/>
      <c r="X10" s="1837"/>
      <c r="Y10" s="1838"/>
      <c r="Z10" s="1839"/>
      <c r="AA10" s="1706"/>
      <c r="AB10" s="1707"/>
      <c r="AC10" s="1887"/>
      <c r="AD10" s="1888"/>
      <c r="AE10" s="3349"/>
      <c r="AF10" s="3408"/>
      <c r="AG10" s="1890"/>
      <c r="AH10" s="2064"/>
      <c r="AI10" s="2960"/>
      <c r="AJ10" s="2016"/>
      <c r="AK10" s="2017"/>
      <c r="AL10" s="1769"/>
      <c r="AM10" s="1891"/>
      <c r="AN10" s="1892"/>
      <c r="AO10" s="1920"/>
      <c r="AP10" s="3063"/>
      <c r="AQ10" s="2076"/>
      <c r="AR10" s="1921"/>
      <c r="AS10" s="3145"/>
      <c r="AT10" s="1922"/>
      <c r="AU10" s="1923"/>
      <c r="AV10" s="1924"/>
      <c r="AW10" s="1947"/>
      <c r="AX10" s="1891"/>
      <c r="AY10" s="1948"/>
      <c r="AZ10" s="1924"/>
      <c r="BA10" s="3643"/>
      <c r="BB10" s="3634"/>
      <c r="BC10" s="1945"/>
      <c r="BD10" s="1953"/>
      <c r="BE10" s="3630"/>
    </row>
    <row r="11" spans="1:95" ht="15.75" thickBot="1">
      <c r="A11" s="3695"/>
      <c r="B11" s="1995" t="s">
        <v>34</v>
      </c>
      <c r="C11" s="3712"/>
      <c r="D11" s="1695">
        <f t="shared" si="1"/>
        <v>0</v>
      </c>
      <c r="E11" s="1696"/>
      <c r="F11" s="1697"/>
      <c r="G11" s="1698"/>
      <c r="H11" s="1732"/>
      <c r="I11" s="3188"/>
      <c r="J11" s="2021"/>
      <c r="K11" s="1798"/>
      <c r="L11" s="1800"/>
      <c r="M11" s="2950"/>
      <c r="N11" s="2021"/>
      <c r="O11" s="1821"/>
      <c r="P11" s="1698"/>
      <c r="Q11" s="1799"/>
      <c r="R11" s="1880"/>
      <c r="S11" s="2022"/>
      <c r="T11" s="3067"/>
      <c r="U11" s="2051"/>
      <c r="V11" s="1823"/>
      <c r="W11" s="3140"/>
      <c r="X11" s="1824"/>
      <c r="Y11" s="1825"/>
      <c r="Z11" s="1826"/>
      <c r="AA11" s="1696"/>
      <c r="AB11" s="1697"/>
      <c r="AC11" s="1875"/>
      <c r="AD11" s="1895"/>
      <c r="AE11" s="3351"/>
      <c r="AF11" s="3410"/>
      <c r="AG11" s="1896"/>
      <c r="AH11" s="2066"/>
      <c r="AI11" s="2962"/>
      <c r="AJ11" s="2021"/>
      <c r="AK11" s="1821"/>
      <c r="AL11" s="1698"/>
      <c r="AM11" s="1879"/>
      <c r="AN11" s="1880"/>
      <c r="AO11" s="1912"/>
      <c r="AP11" s="3067"/>
      <c r="AQ11" s="2079"/>
      <c r="AR11" s="1913"/>
      <c r="AS11" s="3147"/>
      <c r="AT11" s="1914"/>
      <c r="AU11" s="1866"/>
      <c r="AV11" s="1867"/>
      <c r="AW11" s="1696"/>
      <c r="AX11" s="1879"/>
      <c r="AY11" s="1822"/>
      <c r="AZ11" s="1867"/>
      <c r="BA11" s="3643"/>
      <c r="BB11" s="3634"/>
      <c r="BC11" s="1945"/>
      <c r="BD11" s="1953"/>
      <c r="BE11" s="3630"/>
    </row>
    <row r="12" spans="1:95" ht="15" customHeight="1" thickBot="1">
      <c r="A12" s="3694">
        <v>46118</v>
      </c>
      <c r="B12" s="1688" t="s">
        <v>32</v>
      </c>
      <c r="C12" s="3678">
        <f>SUM(D12:D14)</f>
        <v>1001</v>
      </c>
      <c r="D12" s="1700">
        <f t="shared" ref="D12:D41" si="2">SUM(E12:AZ12)</f>
        <v>453</v>
      </c>
      <c r="E12" s="1701"/>
      <c r="F12" s="1702"/>
      <c r="G12" s="1703"/>
      <c r="H12" s="1711"/>
      <c r="I12" s="3189"/>
      <c r="J12" s="2023"/>
      <c r="K12" s="1777">
        <f>80+368</f>
        <v>448</v>
      </c>
      <c r="L12" s="1776"/>
      <c r="M12" s="2951"/>
      <c r="N12" s="2023"/>
      <c r="O12" s="1827"/>
      <c r="P12" s="1703"/>
      <c r="Q12" s="1778"/>
      <c r="R12" s="1764"/>
      <c r="S12" s="2015"/>
      <c r="T12" s="3062"/>
      <c r="U12" s="2048"/>
      <c r="V12" s="1829"/>
      <c r="W12" s="3137"/>
      <c r="X12" s="1830"/>
      <c r="Y12" s="1831"/>
      <c r="Z12" s="1832"/>
      <c r="AA12" s="1833"/>
      <c r="AB12" s="1702"/>
      <c r="AC12" s="1881"/>
      <c r="AD12" s="1882"/>
      <c r="AE12" s="3348"/>
      <c r="AF12" s="3407"/>
      <c r="AG12" s="1884">
        <v>2</v>
      </c>
      <c r="AH12" s="2063"/>
      <c r="AI12" s="2959"/>
      <c r="AJ12" s="2023"/>
      <c r="AK12" s="1827"/>
      <c r="AL12" s="1703"/>
      <c r="AM12" s="1885"/>
      <c r="AN12" s="1886"/>
      <c r="AO12" s="1915"/>
      <c r="AP12" s="3062"/>
      <c r="AQ12" s="2074"/>
      <c r="AR12" s="1916"/>
      <c r="AS12" s="3144"/>
      <c r="AT12" s="1917"/>
      <c r="AU12" s="1918"/>
      <c r="AV12" s="1919"/>
      <c r="AW12" s="1833"/>
      <c r="AX12" s="1885">
        <v>3</v>
      </c>
      <c r="AY12" s="1946"/>
      <c r="AZ12" s="1919"/>
      <c r="BA12" s="3633">
        <f>SUM(E12:Z14)</f>
        <v>992</v>
      </c>
      <c r="BB12" s="3633">
        <f>SUM(E12:AV14)</f>
        <v>994</v>
      </c>
      <c r="BC12" s="1945">
        <v>4001</v>
      </c>
      <c r="BD12" s="1953" t="s">
        <v>611</v>
      </c>
      <c r="BE12" s="3629"/>
    </row>
    <row r="13" spans="1:95" ht="15.75" thickBot="1">
      <c r="A13" s="3695"/>
      <c r="B13" s="1694" t="s">
        <v>34</v>
      </c>
      <c r="C13" s="3679"/>
      <c r="D13" s="1705">
        <f t="shared" ref="D13" si="3">SUM(E13:AZ13)</f>
        <v>548</v>
      </c>
      <c r="E13" s="1706"/>
      <c r="F13" s="1707"/>
      <c r="G13" s="1708"/>
      <c r="H13" s="1709"/>
      <c r="I13" s="3343"/>
      <c r="J13" s="2016"/>
      <c r="K13" s="1767">
        <v>544</v>
      </c>
      <c r="L13" s="1766"/>
      <c r="M13" s="2948"/>
      <c r="N13" s="2016"/>
      <c r="O13" s="2017"/>
      <c r="P13" s="1769"/>
      <c r="Q13" s="1768"/>
      <c r="R13" s="1771"/>
      <c r="S13" s="2018"/>
      <c r="T13" s="3063"/>
      <c r="U13" s="2049"/>
      <c r="V13" s="1836"/>
      <c r="W13" s="3138"/>
      <c r="X13" s="1837"/>
      <c r="Y13" s="1838"/>
      <c r="Z13" s="1839"/>
      <c r="AA13" s="1706"/>
      <c r="AB13" s="1707"/>
      <c r="AC13" s="1887"/>
      <c r="AD13" s="1888"/>
      <c r="AE13" s="3349"/>
      <c r="AF13" s="3408"/>
      <c r="AG13" s="1890"/>
      <c r="AH13" s="2064"/>
      <c r="AI13" s="2960"/>
      <c r="AJ13" s="2016"/>
      <c r="AK13" s="2017"/>
      <c r="AL13" s="1769"/>
      <c r="AM13" s="1891"/>
      <c r="AN13" s="1892"/>
      <c r="AO13" s="1920"/>
      <c r="AP13" s="3063"/>
      <c r="AQ13" s="2076"/>
      <c r="AR13" s="1921"/>
      <c r="AS13" s="3145"/>
      <c r="AT13" s="1922"/>
      <c r="AU13" s="1923"/>
      <c r="AV13" s="1924"/>
      <c r="AW13" s="1947"/>
      <c r="AX13" s="1891">
        <v>4</v>
      </c>
      <c r="AY13" s="1948"/>
      <c r="AZ13" s="1924"/>
      <c r="BA13" s="3634"/>
      <c r="BB13" s="3634"/>
      <c r="BC13" s="1945"/>
      <c r="BD13" s="1953"/>
      <c r="BE13" s="3630"/>
    </row>
    <row r="14" spans="1:95" ht="15" customHeight="1" thickBot="1">
      <c r="A14" s="3695"/>
      <c r="B14" s="1995" t="s">
        <v>34</v>
      </c>
      <c r="C14" s="3679"/>
      <c r="D14" s="1996">
        <f t="shared" si="2"/>
        <v>0</v>
      </c>
      <c r="E14" s="1706"/>
      <c r="F14" s="1707"/>
      <c r="G14" s="1708"/>
      <c r="H14" s="1712"/>
      <c r="I14" s="3187"/>
      <c r="J14" s="2024"/>
      <c r="K14" s="1780"/>
      <c r="L14" s="1779"/>
      <c r="M14" s="2952"/>
      <c r="N14" s="2024"/>
      <c r="O14" s="1834"/>
      <c r="P14" s="1708"/>
      <c r="Q14" s="1781"/>
      <c r="R14" s="1771"/>
      <c r="S14" s="2018"/>
      <c r="T14" s="3063"/>
      <c r="U14" s="2049"/>
      <c r="V14" s="1836"/>
      <c r="W14" s="3138"/>
      <c r="X14" s="1837"/>
      <c r="Y14" s="1838"/>
      <c r="Z14" s="1839"/>
      <c r="AA14" s="1706"/>
      <c r="AB14" s="1707"/>
      <c r="AC14" s="1887"/>
      <c r="AD14" s="1888"/>
      <c r="AE14" s="3349"/>
      <c r="AF14" s="3408"/>
      <c r="AG14" s="1890"/>
      <c r="AH14" s="2064"/>
      <c r="AI14" s="2960"/>
      <c r="AJ14" s="2024"/>
      <c r="AK14" s="1834"/>
      <c r="AL14" s="1708"/>
      <c r="AM14" s="1891"/>
      <c r="AN14" s="1892"/>
      <c r="AO14" s="1920"/>
      <c r="AP14" s="3063"/>
      <c r="AQ14" s="2076"/>
      <c r="AR14" s="1921"/>
      <c r="AS14" s="3145"/>
      <c r="AT14" s="1922"/>
      <c r="AU14" s="1923"/>
      <c r="AV14" s="1924"/>
      <c r="AW14" s="1947"/>
      <c r="AX14" s="1891"/>
      <c r="AY14" s="1948"/>
      <c r="AZ14" s="1924"/>
      <c r="BA14" s="3634"/>
      <c r="BB14" s="3634"/>
      <c r="BC14" s="1945"/>
      <c r="BD14" s="1953"/>
      <c r="BE14" s="3630"/>
      <c r="BF14" s="1"/>
      <c r="BG14" s="1"/>
      <c r="BH14" s="1"/>
      <c r="BI14" s="1"/>
      <c r="BJ14" s="1"/>
    </row>
    <row r="15" spans="1:95" ht="15.75" customHeight="1" thickBot="1">
      <c r="A15" s="3686">
        <v>46119</v>
      </c>
      <c r="B15" s="1688" t="s">
        <v>32</v>
      </c>
      <c r="C15" s="3678">
        <f>SUM(D15:D18)</f>
        <v>144</v>
      </c>
      <c r="D15" s="1719">
        <f t="shared" si="2"/>
        <v>144</v>
      </c>
      <c r="E15" s="1720"/>
      <c r="F15" s="1721"/>
      <c r="G15" s="1722"/>
      <c r="H15" s="1723"/>
      <c r="I15" s="3191"/>
      <c r="J15" s="2025"/>
      <c r="K15" s="1792">
        <v>144</v>
      </c>
      <c r="L15" s="1791"/>
      <c r="M15" s="2953"/>
      <c r="N15" s="2025"/>
      <c r="O15" s="1846"/>
      <c r="P15" s="1794"/>
      <c r="Q15" s="1793"/>
      <c r="R15" s="1796"/>
      <c r="S15" s="2026"/>
      <c r="T15" s="3077"/>
      <c r="U15" s="2052"/>
      <c r="V15" s="1848"/>
      <c r="W15" s="3141"/>
      <c r="X15" s="1849"/>
      <c r="Y15" s="1850"/>
      <c r="Z15" s="1851"/>
      <c r="AA15" s="1720"/>
      <c r="AB15" s="1721"/>
      <c r="AC15" s="1794"/>
      <c r="AD15" s="1723"/>
      <c r="AE15" s="3191"/>
      <c r="AF15" s="2025"/>
      <c r="AG15" s="1792"/>
      <c r="AH15" s="1791"/>
      <c r="AI15" s="2953"/>
      <c r="AJ15" s="2025"/>
      <c r="AK15" s="1846"/>
      <c r="AL15" s="1794"/>
      <c r="AM15" s="1793"/>
      <c r="AN15" s="1796"/>
      <c r="AO15" s="1797"/>
      <c r="AP15" s="3077"/>
      <c r="AQ15" s="2052"/>
      <c r="AR15" s="1848"/>
      <c r="AS15" s="3141"/>
      <c r="AT15" s="2080"/>
      <c r="AU15" s="2081"/>
      <c r="AV15" s="1903"/>
      <c r="AW15" s="2082"/>
      <c r="AX15" s="1793"/>
      <c r="AY15" s="1847"/>
      <c r="AZ15" s="1851"/>
      <c r="BA15" s="3642">
        <f>SUM(E15:Z18)</f>
        <v>144</v>
      </c>
      <c r="BB15" s="3633">
        <f>SUM(E15:AV18)</f>
        <v>144</v>
      </c>
      <c r="BC15" s="1945"/>
      <c r="BD15" s="1953"/>
      <c r="BE15" s="3629" t="s">
        <v>33</v>
      </c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</row>
    <row r="16" spans="1:95" ht="15.75" thickBot="1">
      <c r="A16" s="3687"/>
      <c r="B16" s="1694" t="s">
        <v>34</v>
      </c>
      <c r="C16" s="3679"/>
      <c r="D16" s="1705">
        <f t="shared" si="2"/>
        <v>0</v>
      </c>
      <c r="E16" s="1706"/>
      <c r="F16" s="1707"/>
      <c r="G16" s="1708"/>
      <c r="H16" s="1709"/>
      <c r="I16" s="3343"/>
      <c r="J16" s="2016"/>
      <c r="K16" s="1767"/>
      <c r="L16" s="1766"/>
      <c r="M16" s="2948"/>
      <c r="N16" s="2016"/>
      <c r="O16" s="2017"/>
      <c r="P16" s="1769"/>
      <c r="Q16" s="1768"/>
      <c r="R16" s="1771"/>
      <c r="S16" s="2018"/>
      <c r="T16" s="3063"/>
      <c r="U16" s="2049"/>
      <c r="V16" s="1836"/>
      <c r="W16" s="3138"/>
      <c r="X16" s="1837"/>
      <c r="Y16" s="1838"/>
      <c r="Z16" s="1839"/>
      <c r="AA16" s="1706"/>
      <c r="AB16" s="1707"/>
      <c r="AC16" s="1887"/>
      <c r="AD16" s="1888"/>
      <c r="AE16" s="3349"/>
      <c r="AF16" s="3408"/>
      <c r="AG16" s="1890"/>
      <c r="AH16" s="2064"/>
      <c r="AI16" s="2960"/>
      <c r="AJ16" s="2016"/>
      <c r="AK16" s="2017"/>
      <c r="AL16" s="1769"/>
      <c r="AM16" s="1891"/>
      <c r="AN16" s="1892"/>
      <c r="AO16" s="1920"/>
      <c r="AP16" s="3063"/>
      <c r="AQ16" s="2076"/>
      <c r="AR16" s="1921"/>
      <c r="AS16" s="3145"/>
      <c r="AT16" s="1922"/>
      <c r="AU16" s="1923"/>
      <c r="AV16" s="1924"/>
      <c r="AW16" s="1947"/>
      <c r="AX16" s="1891"/>
      <c r="AY16" s="1948"/>
      <c r="AZ16" s="1924"/>
      <c r="BA16" s="3643"/>
      <c r="BB16" s="3634"/>
      <c r="BC16" s="1945"/>
      <c r="BD16" s="1953"/>
      <c r="BE16" s="3630"/>
    </row>
    <row r="17" spans="1:148" ht="15.75" thickBot="1">
      <c r="A17" s="3687"/>
      <c r="B17" s="1694" t="s">
        <v>34</v>
      </c>
      <c r="C17" s="3679"/>
      <c r="D17" s="1705">
        <f t="shared" ref="D17" si="4">SUM(E17:AZ17)</f>
        <v>0</v>
      </c>
      <c r="E17" s="1706"/>
      <c r="F17" s="1707"/>
      <c r="G17" s="1708"/>
      <c r="H17" s="1709"/>
      <c r="I17" s="3343"/>
      <c r="J17" s="2016"/>
      <c r="K17" s="1767"/>
      <c r="L17" s="1766"/>
      <c r="M17" s="2948"/>
      <c r="N17" s="2016"/>
      <c r="O17" s="2017"/>
      <c r="P17" s="1769"/>
      <c r="Q17" s="1768"/>
      <c r="R17" s="1771"/>
      <c r="S17" s="2018"/>
      <c r="T17" s="3063"/>
      <c r="U17" s="2049"/>
      <c r="V17" s="1836"/>
      <c r="W17" s="3138"/>
      <c r="X17" s="1837"/>
      <c r="Y17" s="1838"/>
      <c r="Z17" s="1839"/>
      <c r="AA17" s="1706"/>
      <c r="AB17" s="1707"/>
      <c r="AC17" s="1887"/>
      <c r="AD17" s="1888"/>
      <c r="AE17" s="3349"/>
      <c r="AF17" s="3408"/>
      <c r="AG17" s="1890"/>
      <c r="AH17" s="2064"/>
      <c r="AI17" s="2960"/>
      <c r="AJ17" s="2016"/>
      <c r="AK17" s="2017"/>
      <c r="AL17" s="1769"/>
      <c r="AM17" s="1891"/>
      <c r="AN17" s="1892"/>
      <c r="AO17" s="1920"/>
      <c r="AP17" s="3063"/>
      <c r="AQ17" s="2076"/>
      <c r="AR17" s="1921"/>
      <c r="AS17" s="3145"/>
      <c r="AT17" s="1922"/>
      <c r="AU17" s="1923"/>
      <c r="AV17" s="1924"/>
      <c r="AW17" s="1947"/>
      <c r="AX17" s="1891"/>
      <c r="AY17" s="1948"/>
      <c r="AZ17" s="1924"/>
      <c r="BA17" s="3643"/>
      <c r="BB17" s="3634"/>
      <c r="BC17" s="1942"/>
      <c r="BD17" s="1953"/>
      <c r="BE17" s="3630"/>
    </row>
    <row r="18" spans="1:148" ht="15.75" thickBot="1">
      <c r="A18" s="3688"/>
      <c r="B18" s="1714" t="s">
        <v>34</v>
      </c>
      <c r="C18" s="3681"/>
      <c r="D18" s="1710">
        <f t="shared" si="2"/>
        <v>0</v>
      </c>
      <c r="E18" s="1696"/>
      <c r="F18" s="1697"/>
      <c r="G18" s="1698"/>
      <c r="H18" s="1732"/>
      <c r="I18" s="3188"/>
      <c r="J18" s="2021"/>
      <c r="K18" s="1798"/>
      <c r="L18" s="1800"/>
      <c r="M18" s="2950"/>
      <c r="N18" s="2021"/>
      <c r="O18" s="1821"/>
      <c r="P18" s="1698"/>
      <c r="Q18" s="1799"/>
      <c r="R18" s="1757"/>
      <c r="S18" s="2022"/>
      <c r="T18" s="3067"/>
      <c r="U18" s="2051"/>
      <c r="V18" s="1823"/>
      <c r="W18" s="3140"/>
      <c r="X18" s="1824"/>
      <c r="Y18" s="1866"/>
      <c r="Z18" s="1867"/>
      <c r="AA18" s="1696"/>
      <c r="AB18" s="1697"/>
      <c r="AC18" s="1875"/>
      <c r="AD18" s="1895"/>
      <c r="AE18" s="3351"/>
      <c r="AF18" s="3410"/>
      <c r="AG18" s="1896"/>
      <c r="AH18" s="2066"/>
      <c r="AI18" s="2962"/>
      <c r="AJ18" s="2021"/>
      <c r="AK18" s="1821"/>
      <c r="AL18" s="1698"/>
      <c r="AM18" s="1879"/>
      <c r="AN18" s="1880"/>
      <c r="AO18" s="1912"/>
      <c r="AP18" s="3067"/>
      <c r="AQ18" s="2079"/>
      <c r="AR18" s="1913"/>
      <c r="AS18" s="3147"/>
      <c r="AT18" s="1929"/>
      <c r="AU18" s="1857"/>
      <c r="AV18" s="1858"/>
      <c r="AW18" s="1859"/>
      <c r="AX18" s="1879"/>
      <c r="AY18" s="1822"/>
      <c r="AZ18" s="1867"/>
      <c r="BA18" s="3643"/>
      <c r="BB18" s="3634"/>
      <c r="BC18" s="1951"/>
      <c r="BD18" s="1953"/>
      <c r="BE18" s="363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</row>
    <row r="19" spans="1:148" s="246" customFormat="1" ht="15" customHeight="1" thickBot="1">
      <c r="A19" s="3686">
        <v>46126</v>
      </c>
      <c r="B19" s="1688" t="s">
        <v>32</v>
      </c>
      <c r="C19" s="3678">
        <f>SUM(D19:D22)</f>
        <v>374</v>
      </c>
      <c r="D19" s="1719">
        <f t="shared" si="2"/>
        <v>374</v>
      </c>
      <c r="E19" s="2192"/>
      <c r="F19" s="2193"/>
      <c r="G19" s="2124"/>
      <c r="H19" s="2154"/>
      <c r="I19" s="3220"/>
      <c r="J19" s="2156"/>
      <c r="K19" s="2291">
        <v>368</v>
      </c>
      <c r="L19" s="2155"/>
      <c r="M19" s="3258"/>
      <c r="N19" s="2156"/>
      <c r="O19" s="3259"/>
      <c r="P19" s="2124"/>
      <c r="Q19" s="95"/>
      <c r="R19" s="2158"/>
      <c r="S19" s="2159"/>
      <c r="T19" s="3260"/>
      <c r="U19" s="3261"/>
      <c r="V19" s="2187"/>
      <c r="W19" s="3262"/>
      <c r="X19" s="2189"/>
      <c r="Y19" s="2310"/>
      <c r="Z19" s="2191"/>
      <c r="AA19" s="2192"/>
      <c r="AB19" s="2193"/>
      <c r="AC19" s="2221"/>
      <c r="AD19" s="2223"/>
      <c r="AE19" s="3352"/>
      <c r="AF19" s="3411"/>
      <c r="AG19" s="3263"/>
      <c r="AH19" s="2317"/>
      <c r="AI19" s="3264"/>
      <c r="AJ19" s="2156"/>
      <c r="AK19" s="3259"/>
      <c r="AL19" s="2124"/>
      <c r="AM19" s="2228"/>
      <c r="AN19" s="2251"/>
      <c r="AO19" s="2324"/>
      <c r="AP19" s="3260"/>
      <c r="AQ19" s="2326"/>
      <c r="AR19" s="2252"/>
      <c r="AS19" s="3265"/>
      <c r="AT19" s="2254"/>
      <c r="AU19" s="2256"/>
      <c r="AV19" s="2264"/>
      <c r="AW19" s="2192"/>
      <c r="AX19" s="2228">
        <v>6</v>
      </c>
      <c r="AY19" s="2334"/>
      <c r="AZ19" s="2264"/>
      <c r="BA19" s="3642">
        <f>SUM(E19:Z22)</f>
        <v>368</v>
      </c>
      <c r="BB19" s="3633">
        <f>SUM(E19:AV22)</f>
        <v>368</v>
      </c>
      <c r="BC19" s="1941">
        <v>4003</v>
      </c>
      <c r="BD19" s="1953" t="s">
        <v>533</v>
      </c>
      <c r="BE19" s="3629" t="s">
        <v>33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</row>
    <row r="20" spans="1:148" ht="15.75" thickBot="1">
      <c r="A20" s="3687"/>
      <c r="B20" s="1688" t="s">
        <v>34</v>
      </c>
      <c r="C20" s="3679"/>
      <c r="D20" s="1719">
        <f t="shared" si="2"/>
        <v>0</v>
      </c>
      <c r="E20" s="1706"/>
      <c r="F20" s="1707"/>
      <c r="G20" s="1708"/>
      <c r="H20" s="1709"/>
      <c r="I20" s="3343"/>
      <c r="J20" s="2016"/>
      <c r="K20" s="1767"/>
      <c r="L20" s="1766"/>
      <c r="M20" s="2948"/>
      <c r="N20" s="2016"/>
      <c r="O20" s="2017"/>
      <c r="P20" s="1769"/>
      <c r="Q20" s="1768"/>
      <c r="R20" s="1771"/>
      <c r="S20" s="2018"/>
      <c r="T20" s="3063"/>
      <c r="U20" s="2049"/>
      <c r="V20" s="1836"/>
      <c r="W20" s="3138"/>
      <c r="X20" s="3266"/>
      <c r="Y20" s="2315"/>
      <c r="Z20" s="1889"/>
      <c r="AA20" s="2281"/>
      <c r="AB20" s="1707"/>
      <c r="AC20" s="1887"/>
      <c r="AD20" s="1888"/>
      <c r="AE20" s="3349"/>
      <c r="AF20" s="3408"/>
      <c r="AG20" s="1890"/>
      <c r="AH20" s="2064"/>
      <c r="AI20" s="2960"/>
      <c r="AJ20" s="2016"/>
      <c r="AK20" s="2017"/>
      <c r="AL20" s="1769"/>
      <c r="AM20" s="1891"/>
      <c r="AN20" s="1892"/>
      <c r="AO20" s="1920"/>
      <c r="AP20" s="3063"/>
      <c r="AQ20" s="2076"/>
      <c r="AR20" s="1921"/>
      <c r="AS20" s="3145"/>
      <c r="AT20" s="2314"/>
      <c r="AU20" s="2315"/>
      <c r="AV20" s="1889"/>
      <c r="AW20" s="2281"/>
      <c r="AX20" s="1891"/>
      <c r="AY20" s="1835"/>
      <c r="AZ20" s="1924"/>
      <c r="BA20" s="3643"/>
      <c r="BB20" s="3634"/>
      <c r="BC20" s="1942"/>
      <c r="BD20" s="1953"/>
      <c r="BE20" s="3630"/>
    </row>
    <row r="21" spans="1:148" ht="15.75" thickBot="1">
      <c r="A21" s="3687"/>
      <c r="B21" s="1688" t="s">
        <v>34</v>
      </c>
      <c r="C21" s="3679"/>
      <c r="D21" s="1719">
        <f t="shared" si="2"/>
        <v>0</v>
      </c>
      <c r="E21" s="1833"/>
      <c r="F21" s="1702"/>
      <c r="G21" s="1703"/>
      <c r="H21" s="1704"/>
      <c r="I21" s="3342"/>
      <c r="J21" s="2013"/>
      <c r="K21" s="1760"/>
      <c r="L21" s="1759"/>
      <c r="M21" s="2947"/>
      <c r="N21" s="2013"/>
      <c r="O21" s="2014"/>
      <c r="P21" s="1762"/>
      <c r="Q21" s="1761"/>
      <c r="R21" s="1764"/>
      <c r="S21" s="2015"/>
      <c r="T21" s="3062"/>
      <c r="U21" s="2048"/>
      <c r="V21" s="1829"/>
      <c r="W21" s="3137"/>
      <c r="X21" s="1830"/>
      <c r="Y21" s="1831"/>
      <c r="Z21" s="1832"/>
      <c r="AA21" s="1833"/>
      <c r="AB21" s="1702"/>
      <c r="AC21" s="1881"/>
      <c r="AD21" s="1882"/>
      <c r="AE21" s="3348"/>
      <c r="AF21" s="3407"/>
      <c r="AG21" s="1884"/>
      <c r="AH21" s="2063"/>
      <c r="AI21" s="2959"/>
      <c r="AJ21" s="2013"/>
      <c r="AK21" s="2014"/>
      <c r="AL21" s="1762"/>
      <c r="AM21" s="1885"/>
      <c r="AN21" s="1886"/>
      <c r="AO21" s="1915"/>
      <c r="AP21" s="3062"/>
      <c r="AQ21" s="2074"/>
      <c r="AR21" s="1916"/>
      <c r="AS21" s="3144"/>
      <c r="AT21" s="1917"/>
      <c r="AU21" s="1918"/>
      <c r="AV21" s="1919"/>
      <c r="AW21" s="1833"/>
      <c r="AX21" s="1885"/>
      <c r="AY21" s="1946"/>
      <c r="AZ21" s="1919"/>
      <c r="BA21" s="3643"/>
      <c r="BB21" s="3634"/>
      <c r="BC21" s="1942"/>
      <c r="BD21" s="1953"/>
      <c r="BE21" s="3630"/>
    </row>
    <row r="22" spans="1:148" ht="15.75" customHeight="1" thickBot="1">
      <c r="A22" s="3688"/>
      <c r="B22" s="1997" t="s">
        <v>34</v>
      </c>
      <c r="C22" s="3679"/>
      <c r="D22" s="1998">
        <f t="shared" si="2"/>
        <v>0</v>
      </c>
      <c r="E22" s="1696"/>
      <c r="F22" s="1697"/>
      <c r="G22" s="1698"/>
      <c r="H22" s="1732"/>
      <c r="I22" s="3188"/>
      <c r="J22" s="2021"/>
      <c r="K22" s="1798"/>
      <c r="L22" s="1800"/>
      <c r="M22" s="2950"/>
      <c r="N22" s="2021"/>
      <c r="O22" s="1821"/>
      <c r="P22" s="1698"/>
      <c r="Q22" s="1799"/>
      <c r="R22" s="1757"/>
      <c r="S22" s="2022"/>
      <c r="T22" s="3067"/>
      <c r="U22" s="2051"/>
      <c r="V22" s="1823"/>
      <c r="W22" s="3140"/>
      <c r="X22" s="1824"/>
      <c r="Y22" s="1866"/>
      <c r="Z22" s="1867"/>
      <c r="AA22" s="1696"/>
      <c r="AB22" s="1697"/>
      <c r="AC22" s="1875"/>
      <c r="AD22" s="1895"/>
      <c r="AE22" s="3351"/>
      <c r="AF22" s="3410"/>
      <c r="AG22" s="1896"/>
      <c r="AH22" s="2066"/>
      <c r="AI22" s="2962"/>
      <c r="AJ22" s="2021"/>
      <c r="AK22" s="1821"/>
      <c r="AL22" s="1698"/>
      <c r="AM22" s="1879"/>
      <c r="AN22" s="1880"/>
      <c r="AO22" s="1912"/>
      <c r="AP22" s="3067"/>
      <c r="AQ22" s="2079"/>
      <c r="AR22" s="1913"/>
      <c r="AS22" s="3147"/>
      <c r="AT22" s="1914"/>
      <c r="AU22" s="1866"/>
      <c r="AV22" s="1867"/>
      <c r="AW22" s="1696"/>
      <c r="AX22" s="1879"/>
      <c r="AY22" s="1944"/>
      <c r="AZ22" s="1867"/>
      <c r="BA22" s="3643"/>
      <c r="BB22" s="3634"/>
      <c r="BC22" s="1942"/>
      <c r="BD22" s="1953"/>
      <c r="BE22" s="3630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</row>
    <row r="23" spans="1:148" ht="15.75" thickBot="1">
      <c r="A23" s="3687">
        <v>46127</v>
      </c>
      <c r="B23" s="1688" t="s">
        <v>32</v>
      </c>
      <c r="C23" s="3711">
        <f>SUM(D23:D26)</f>
        <v>386</v>
      </c>
      <c r="D23" s="1689">
        <f t="shared" si="2"/>
        <v>386</v>
      </c>
      <c r="E23" s="1690"/>
      <c r="F23" s="1691"/>
      <c r="G23" s="1692"/>
      <c r="H23" s="1713"/>
      <c r="I23" s="3186"/>
      <c r="J23" s="2019"/>
      <c r="K23" s="1783">
        <v>384</v>
      </c>
      <c r="L23" s="1782"/>
      <c r="M23" s="2949"/>
      <c r="N23" s="2019"/>
      <c r="O23" s="1815"/>
      <c r="P23" s="1692"/>
      <c r="Q23" s="1784"/>
      <c r="R23" s="1750"/>
      <c r="S23" s="2020"/>
      <c r="T23" s="3064"/>
      <c r="U23" s="2050"/>
      <c r="V23" s="1817"/>
      <c r="W23" s="3139"/>
      <c r="X23" s="1818"/>
      <c r="Y23" s="1819"/>
      <c r="Z23" s="1820"/>
      <c r="AA23" s="1726"/>
      <c r="AB23" s="1691"/>
      <c r="AC23" s="1869"/>
      <c r="AD23" s="1893"/>
      <c r="AE23" s="3350"/>
      <c r="AF23" s="3409"/>
      <c r="AG23" s="1894"/>
      <c r="AH23" s="2065"/>
      <c r="AI23" s="2961"/>
      <c r="AJ23" s="2019"/>
      <c r="AK23" s="1815"/>
      <c r="AL23" s="1692"/>
      <c r="AM23" s="1873"/>
      <c r="AN23" s="1874"/>
      <c r="AO23" s="1909"/>
      <c r="AP23" s="3064"/>
      <c r="AQ23" s="2078"/>
      <c r="AR23" s="1910"/>
      <c r="AS23" s="3146"/>
      <c r="AT23" s="1911"/>
      <c r="AU23" s="1864"/>
      <c r="AV23" s="1865"/>
      <c r="AW23" s="1726"/>
      <c r="AX23" s="1873">
        <v>2</v>
      </c>
      <c r="AY23" s="1940"/>
      <c r="AZ23" s="1865"/>
      <c r="BA23" s="3633">
        <f>SUM(E23:Z26)</f>
        <v>384</v>
      </c>
      <c r="BB23" s="3633">
        <f>SUM(E23:AV26)</f>
        <v>384</v>
      </c>
      <c r="BC23" s="1942">
        <v>4003</v>
      </c>
      <c r="BD23" s="1953" t="s">
        <v>533</v>
      </c>
      <c r="BE23" s="3629" t="s">
        <v>33</v>
      </c>
    </row>
    <row r="24" spans="1:148" ht="15.75" thickBot="1">
      <c r="A24" s="3687"/>
      <c r="B24" s="1688" t="s">
        <v>34</v>
      </c>
      <c r="C24" s="3712"/>
      <c r="D24" s="1689">
        <f t="shared" ref="D24:D25" si="5">SUM(E24:AZ24)</f>
        <v>0</v>
      </c>
      <c r="E24" s="1690"/>
      <c r="F24" s="1691"/>
      <c r="G24" s="1692"/>
      <c r="H24" s="1693"/>
      <c r="I24" s="3192"/>
      <c r="J24" s="2034"/>
      <c r="K24" s="1746"/>
      <c r="L24" s="1745"/>
      <c r="M24" s="2955"/>
      <c r="N24" s="2034"/>
      <c r="O24" s="1862"/>
      <c r="P24" s="1748"/>
      <c r="Q24" s="1747"/>
      <c r="R24" s="1750"/>
      <c r="S24" s="2020"/>
      <c r="T24" s="3064"/>
      <c r="U24" s="2050"/>
      <c r="V24" s="1817"/>
      <c r="W24" s="3139"/>
      <c r="X24" s="1818"/>
      <c r="Y24" s="1819"/>
      <c r="Z24" s="1820"/>
      <c r="AA24" s="1726"/>
      <c r="AB24" s="1691"/>
      <c r="AC24" s="1869"/>
      <c r="AD24" s="1893"/>
      <c r="AE24" s="3350"/>
      <c r="AF24" s="3409"/>
      <c r="AG24" s="1894"/>
      <c r="AH24" s="2065"/>
      <c r="AI24" s="2961"/>
      <c r="AJ24" s="2034"/>
      <c r="AK24" s="1862"/>
      <c r="AL24" s="1748"/>
      <c r="AM24" s="1873"/>
      <c r="AN24" s="1874"/>
      <c r="AO24" s="1909"/>
      <c r="AP24" s="3064"/>
      <c r="AQ24" s="2078"/>
      <c r="AR24" s="1910"/>
      <c r="AS24" s="3146"/>
      <c r="AT24" s="1911"/>
      <c r="AU24" s="1864"/>
      <c r="AV24" s="1865"/>
      <c r="AW24" s="1726"/>
      <c r="AX24" s="1873"/>
      <c r="AY24" s="1940"/>
      <c r="AZ24" s="1865"/>
      <c r="BA24" s="3634"/>
      <c r="BB24" s="3634"/>
      <c r="BC24" s="1942"/>
      <c r="BD24" s="1939"/>
      <c r="BE24" s="3630"/>
    </row>
    <row r="25" spans="1:148" ht="14.25" customHeight="1" thickBot="1">
      <c r="A25" s="3687"/>
      <c r="B25" s="1694" t="s">
        <v>34</v>
      </c>
      <c r="C25" s="3712"/>
      <c r="D25" s="1705">
        <f t="shared" si="5"/>
        <v>0</v>
      </c>
      <c r="E25" s="1706"/>
      <c r="F25" s="1707"/>
      <c r="G25" s="1708"/>
      <c r="H25" s="1709"/>
      <c r="I25" s="3343"/>
      <c r="J25" s="2016"/>
      <c r="K25" s="1767"/>
      <c r="L25" s="1766"/>
      <c r="M25" s="2948"/>
      <c r="N25" s="2016"/>
      <c r="O25" s="2017"/>
      <c r="P25" s="1769"/>
      <c r="Q25" s="1768"/>
      <c r="R25" s="1771"/>
      <c r="S25" s="2018"/>
      <c r="T25" s="3063"/>
      <c r="U25" s="2049"/>
      <c r="V25" s="1836"/>
      <c r="W25" s="3138"/>
      <c r="X25" s="1837"/>
      <c r="Y25" s="1838"/>
      <c r="Z25" s="1839"/>
      <c r="AA25" s="1706"/>
      <c r="AB25" s="1707"/>
      <c r="AC25" s="1887"/>
      <c r="AD25" s="1888"/>
      <c r="AE25" s="3349"/>
      <c r="AF25" s="3408"/>
      <c r="AG25" s="1890"/>
      <c r="AH25" s="2064"/>
      <c r="AI25" s="2960"/>
      <c r="AJ25" s="2016"/>
      <c r="AK25" s="2017"/>
      <c r="AL25" s="1769"/>
      <c r="AM25" s="1891"/>
      <c r="AN25" s="1892"/>
      <c r="AO25" s="1920"/>
      <c r="AP25" s="3063"/>
      <c r="AQ25" s="2076"/>
      <c r="AR25" s="1921"/>
      <c r="AS25" s="3145"/>
      <c r="AT25" s="1922"/>
      <c r="AU25" s="1923"/>
      <c r="AV25" s="1924"/>
      <c r="AW25" s="1947"/>
      <c r="AX25" s="1891"/>
      <c r="AY25" s="1948"/>
      <c r="AZ25" s="1924"/>
      <c r="BA25" s="3634"/>
      <c r="BB25" s="3634"/>
      <c r="BC25" s="1942"/>
      <c r="BD25" s="1951"/>
      <c r="BE25" s="3630"/>
    </row>
    <row r="26" spans="1:148" ht="15.75" thickBot="1">
      <c r="A26" s="3688"/>
      <c r="B26" s="1694" t="s">
        <v>34</v>
      </c>
      <c r="C26" s="3712"/>
      <c r="D26" s="1695">
        <f t="shared" si="2"/>
        <v>0</v>
      </c>
      <c r="E26" s="1943"/>
      <c r="F26" s="1697"/>
      <c r="G26" s="1698"/>
      <c r="H26" s="1699"/>
      <c r="I26" s="3344"/>
      <c r="J26" s="2029"/>
      <c r="K26" s="1753"/>
      <c r="L26" s="1752"/>
      <c r="M26" s="2956"/>
      <c r="N26" s="2029"/>
      <c r="O26" s="2030"/>
      <c r="P26" s="1755"/>
      <c r="Q26" s="1754"/>
      <c r="R26" s="1757"/>
      <c r="S26" s="2022"/>
      <c r="T26" s="3067"/>
      <c r="U26" s="2051"/>
      <c r="V26" s="1823"/>
      <c r="W26" s="3140"/>
      <c r="X26" s="1824"/>
      <c r="Y26" s="1825"/>
      <c r="Z26" s="1826"/>
      <c r="AA26" s="1696"/>
      <c r="AB26" s="1697"/>
      <c r="AC26" s="1875"/>
      <c r="AD26" s="1895"/>
      <c r="AE26" s="3351"/>
      <c r="AF26" s="3410"/>
      <c r="AG26" s="1896"/>
      <c r="AH26" s="2066"/>
      <c r="AI26" s="2962"/>
      <c r="AJ26" s="2029"/>
      <c r="AK26" s="2030"/>
      <c r="AL26" s="1755"/>
      <c r="AM26" s="1879"/>
      <c r="AN26" s="1880"/>
      <c r="AO26" s="1912"/>
      <c r="AP26" s="3067"/>
      <c r="AQ26" s="2079"/>
      <c r="AR26" s="1913"/>
      <c r="AS26" s="3147"/>
      <c r="AT26" s="1914"/>
      <c r="AU26" s="1866"/>
      <c r="AV26" s="1867"/>
      <c r="AW26" s="1943"/>
      <c r="AX26" s="1879"/>
      <c r="AY26" s="1944"/>
      <c r="AZ26" s="1867"/>
      <c r="BA26" s="3634"/>
      <c r="BB26" s="3634"/>
      <c r="BC26" s="1942"/>
      <c r="BD26" s="1951"/>
      <c r="BE26" s="3630"/>
    </row>
    <row r="27" spans="1:148" ht="15.75" thickBot="1">
      <c r="A27" s="3694">
        <v>46128</v>
      </c>
      <c r="B27" s="1688" t="s">
        <v>32</v>
      </c>
      <c r="C27" s="3678">
        <f>SUM(D27:D29)</f>
        <v>783</v>
      </c>
      <c r="D27" s="1700">
        <f t="shared" si="2"/>
        <v>468</v>
      </c>
      <c r="E27" s="1701"/>
      <c r="F27" s="1702"/>
      <c r="G27" s="1703"/>
      <c r="H27" s="1711"/>
      <c r="I27" s="3189"/>
      <c r="J27" s="2023"/>
      <c r="K27" s="1777">
        <f>128+336</f>
        <v>464</v>
      </c>
      <c r="L27" s="1776"/>
      <c r="M27" s="2951"/>
      <c r="N27" s="2023"/>
      <c r="O27" s="1827"/>
      <c r="P27" s="1703"/>
      <c r="Q27" s="1778"/>
      <c r="R27" s="1764"/>
      <c r="S27" s="2015"/>
      <c r="T27" s="3062"/>
      <c r="U27" s="2048"/>
      <c r="V27" s="1829"/>
      <c r="W27" s="3137"/>
      <c r="X27" s="1830"/>
      <c r="Y27" s="1831"/>
      <c r="Z27" s="1832"/>
      <c r="AA27" s="1833"/>
      <c r="AB27" s="1702"/>
      <c r="AC27" s="1881"/>
      <c r="AD27" s="1882"/>
      <c r="AE27" s="3348"/>
      <c r="AF27" s="3407"/>
      <c r="AG27" s="1884"/>
      <c r="AH27" s="2063"/>
      <c r="AI27" s="2959"/>
      <c r="AJ27" s="2023"/>
      <c r="AK27" s="1827"/>
      <c r="AL27" s="1703"/>
      <c r="AM27" s="1885"/>
      <c r="AN27" s="1886"/>
      <c r="AO27" s="1915"/>
      <c r="AP27" s="3062"/>
      <c r="AQ27" s="2074"/>
      <c r="AR27" s="1916"/>
      <c r="AS27" s="3144"/>
      <c r="AT27" s="1917"/>
      <c r="AU27" s="1918"/>
      <c r="AV27" s="1919"/>
      <c r="AW27" s="1833"/>
      <c r="AX27" s="1885">
        <v>4</v>
      </c>
      <c r="AY27" s="1946"/>
      <c r="AZ27" s="1919"/>
      <c r="BA27" s="3633">
        <f>SUM(E27:Z29)</f>
        <v>768</v>
      </c>
      <c r="BB27" s="3633">
        <f>SUM(E27:AV29)</f>
        <v>775</v>
      </c>
      <c r="BC27" s="1942">
        <v>4003</v>
      </c>
      <c r="BD27" s="1951" t="s">
        <v>645</v>
      </c>
      <c r="BE27" s="3629" t="s">
        <v>33</v>
      </c>
    </row>
    <row r="28" spans="1:148" ht="14.25" customHeight="1" thickBot="1">
      <c r="A28" s="3695"/>
      <c r="B28" s="1694" t="s">
        <v>34</v>
      </c>
      <c r="C28" s="3679"/>
      <c r="D28" s="1705">
        <f t="shared" ref="D28" si="6">SUM(E28:AZ28)</f>
        <v>315</v>
      </c>
      <c r="E28" s="1706"/>
      <c r="F28" s="1707"/>
      <c r="G28" s="1708"/>
      <c r="H28" s="1709"/>
      <c r="I28" s="3343"/>
      <c r="J28" s="2016"/>
      <c r="K28" s="1767">
        <f>256+48</f>
        <v>304</v>
      </c>
      <c r="L28" s="1766"/>
      <c r="M28" s="2948"/>
      <c r="N28" s="2016"/>
      <c r="O28" s="2017"/>
      <c r="P28" s="1769"/>
      <c r="Q28" s="1768"/>
      <c r="R28" s="1771"/>
      <c r="S28" s="2018"/>
      <c r="T28" s="3063"/>
      <c r="U28" s="2049"/>
      <c r="V28" s="1836"/>
      <c r="W28" s="3138"/>
      <c r="X28" s="1837"/>
      <c r="Y28" s="1838"/>
      <c r="Z28" s="1839"/>
      <c r="AA28" s="1706"/>
      <c r="AB28" s="1707"/>
      <c r="AC28" s="1887"/>
      <c r="AD28" s="1888"/>
      <c r="AE28" s="3349"/>
      <c r="AF28" s="3408"/>
      <c r="AG28" s="1890">
        <v>7</v>
      </c>
      <c r="AH28" s="2064"/>
      <c r="AI28" s="2960"/>
      <c r="AJ28" s="2016"/>
      <c r="AK28" s="2017"/>
      <c r="AL28" s="1769"/>
      <c r="AM28" s="1891"/>
      <c r="AN28" s="1892"/>
      <c r="AO28" s="1920"/>
      <c r="AP28" s="3063"/>
      <c r="AQ28" s="2076"/>
      <c r="AR28" s="1921"/>
      <c r="AS28" s="3145"/>
      <c r="AT28" s="1922"/>
      <c r="AU28" s="1923"/>
      <c r="AV28" s="1924"/>
      <c r="AW28" s="1947"/>
      <c r="AX28" s="1891">
        <v>4</v>
      </c>
      <c r="AY28" s="1948"/>
      <c r="AZ28" s="1924"/>
      <c r="BA28" s="3634"/>
      <c r="BB28" s="3634"/>
      <c r="BC28" s="1942"/>
      <c r="BD28" s="1951"/>
      <c r="BE28" s="3630"/>
    </row>
    <row r="29" spans="1:148" ht="15.75" thickBot="1">
      <c r="A29" s="3695"/>
      <c r="B29" s="1999" t="s">
        <v>34</v>
      </c>
      <c r="C29" s="3679"/>
      <c r="D29" s="1998">
        <f t="shared" si="2"/>
        <v>0</v>
      </c>
      <c r="E29" s="1715"/>
      <c r="F29" s="1716"/>
      <c r="G29" s="1717"/>
      <c r="H29" s="2000"/>
      <c r="I29" s="3345"/>
      <c r="J29" s="2032"/>
      <c r="K29" s="1802"/>
      <c r="L29" s="2031"/>
      <c r="M29" s="2957"/>
      <c r="N29" s="2032"/>
      <c r="O29" s="2033"/>
      <c r="P29" s="1804"/>
      <c r="Q29" s="1803"/>
      <c r="R29" s="1789"/>
      <c r="S29" s="2028"/>
      <c r="T29" s="3065"/>
      <c r="U29" s="2053"/>
      <c r="V29" s="1842"/>
      <c r="W29" s="3142"/>
      <c r="X29" s="1843"/>
      <c r="Y29" s="1860"/>
      <c r="Z29" s="1861"/>
      <c r="AA29" s="1715"/>
      <c r="AB29" s="1716"/>
      <c r="AC29" s="1897"/>
      <c r="AD29" s="1898"/>
      <c r="AE29" s="3353"/>
      <c r="AF29" s="3412"/>
      <c r="AG29" s="1900"/>
      <c r="AH29" s="2067"/>
      <c r="AI29" s="2963"/>
      <c r="AJ29" s="2032"/>
      <c r="AK29" s="2033"/>
      <c r="AL29" s="1804"/>
      <c r="AM29" s="1901"/>
      <c r="AN29" s="1902"/>
      <c r="AO29" s="1925"/>
      <c r="AP29" s="3065"/>
      <c r="AQ29" s="2083"/>
      <c r="AR29" s="1926"/>
      <c r="AS29" s="3148"/>
      <c r="AT29" s="1927"/>
      <c r="AU29" s="1844"/>
      <c r="AV29" s="1845"/>
      <c r="AW29" s="1735"/>
      <c r="AX29" s="1901"/>
      <c r="AY29" s="1949"/>
      <c r="AZ29" s="1845"/>
      <c r="BA29" s="3634"/>
      <c r="BB29" s="3634"/>
      <c r="BC29" s="1942"/>
      <c r="BD29" s="1951"/>
      <c r="BE29" s="3630"/>
    </row>
    <row r="30" spans="1:148" ht="15.75" thickBot="1">
      <c r="A30" s="3694">
        <v>46129</v>
      </c>
      <c r="B30" s="1688" t="s">
        <v>32</v>
      </c>
      <c r="C30" s="3678">
        <f>SUM(D30:D32)</f>
        <v>993</v>
      </c>
      <c r="D30" s="1719">
        <f t="shared" si="2"/>
        <v>504</v>
      </c>
      <c r="E30" s="1726"/>
      <c r="F30" s="1691"/>
      <c r="G30" s="1692"/>
      <c r="H30" s="1693"/>
      <c r="I30" s="3192"/>
      <c r="J30" s="2034"/>
      <c r="K30" s="1783">
        <v>496</v>
      </c>
      <c r="L30" s="1745"/>
      <c r="M30" s="2955"/>
      <c r="N30" s="2034"/>
      <c r="O30" s="1862"/>
      <c r="P30" s="1748"/>
      <c r="Q30" s="1747"/>
      <c r="R30" s="1750"/>
      <c r="S30" s="2020"/>
      <c r="T30" s="3064"/>
      <c r="U30" s="2050"/>
      <c r="V30" s="1817"/>
      <c r="W30" s="3139"/>
      <c r="X30" s="1818"/>
      <c r="Y30" s="1864"/>
      <c r="Z30" s="1865"/>
      <c r="AA30" s="1690"/>
      <c r="AB30" s="1691"/>
      <c r="AC30" s="1869"/>
      <c r="AD30" s="1893"/>
      <c r="AE30" s="3350"/>
      <c r="AF30" s="3409"/>
      <c r="AG30" s="1894">
        <v>3</v>
      </c>
      <c r="AH30" s="2065"/>
      <c r="AI30" s="2961"/>
      <c r="AJ30" s="2034"/>
      <c r="AK30" s="1862"/>
      <c r="AL30" s="1748"/>
      <c r="AM30" s="1873"/>
      <c r="AN30" s="1874"/>
      <c r="AO30" s="1909"/>
      <c r="AP30" s="3064"/>
      <c r="AQ30" s="2078"/>
      <c r="AR30" s="1910"/>
      <c r="AS30" s="3146"/>
      <c r="AT30" s="1928"/>
      <c r="AU30" s="1853"/>
      <c r="AV30" s="1854"/>
      <c r="AW30" s="1855"/>
      <c r="AX30" s="1873">
        <v>5</v>
      </c>
      <c r="AY30" s="1816"/>
      <c r="AZ30" s="1865"/>
      <c r="BA30" s="3642">
        <f>SUM(E30:Z32)</f>
        <v>976</v>
      </c>
      <c r="BB30" s="3633">
        <f>SUM(E30:AV32)</f>
        <v>984</v>
      </c>
      <c r="BC30" s="1942">
        <v>4003</v>
      </c>
      <c r="BD30" s="1953" t="s">
        <v>466</v>
      </c>
      <c r="BE30" s="3721" t="s">
        <v>33</v>
      </c>
    </row>
    <row r="31" spans="1:148" ht="14.25" customHeight="1" thickBot="1">
      <c r="A31" s="3695"/>
      <c r="B31" s="1694" t="s">
        <v>34</v>
      </c>
      <c r="C31" s="3679"/>
      <c r="D31" s="1705">
        <f t="shared" si="2"/>
        <v>489</v>
      </c>
      <c r="E31" s="1706"/>
      <c r="F31" s="1707"/>
      <c r="G31" s="1708"/>
      <c r="H31" s="1709"/>
      <c r="I31" s="3343"/>
      <c r="J31" s="2016"/>
      <c r="K31" s="1767">
        <f>112+368</f>
        <v>480</v>
      </c>
      <c r="L31" s="1766"/>
      <c r="M31" s="2948"/>
      <c r="N31" s="2016"/>
      <c r="O31" s="2017"/>
      <c r="P31" s="1769"/>
      <c r="Q31" s="1768"/>
      <c r="R31" s="1771"/>
      <c r="S31" s="2018"/>
      <c r="T31" s="3063"/>
      <c r="U31" s="2049"/>
      <c r="V31" s="1836"/>
      <c r="W31" s="3138"/>
      <c r="X31" s="1837"/>
      <c r="Y31" s="1838"/>
      <c r="Z31" s="1839"/>
      <c r="AA31" s="1706"/>
      <c r="AB31" s="1707"/>
      <c r="AC31" s="1887"/>
      <c r="AD31" s="1888"/>
      <c r="AE31" s="3349"/>
      <c r="AF31" s="3408"/>
      <c r="AG31" s="1890">
        <v>5</v>
      </c>
      <c r="AH31" s="2064"/>
      <c r="AI31" s="2960"/>
      <c r="AJ31" s="2016"/>
      <c r="AK31" s="2017"/>
      <c r="AL31" s="1769"/>
      <c r="AM31" s="1891"/>
      <c r="AN31" s="1892"/>
      <c r="AO31" s="1920"/>
      <c r="AP31" s="3063"/>
      <c r="AQ31" s="2076"/>
      <c r="AR31" s="1921"/>
      <c r="AS31" s="3145"/>
      <c r="AT31" s="1922"/>
      <c r="AU31" s="1923"/>
      <c r="AV31" s="1924"/>
      <c r="AW31" s="1947"/>
      <c r="AX31" s="1891">
        <f>1+3</f>
        <v>4</v>
      </c>
      <c r="AY31" s="1948"/>
      <c r="AZ31" s="1924"/>
      <c r="BA31" s="3643"/>
      <c r="BB31" s="3634"/>
      <c r="BC31" s="1942"/>
      <c r="BD31" s="1951"/>
      <c r="BE31" s="3630"/>
    </row>
    <row r="32" spans="1:148" ht="15.75" thickBot="1">
      <c r="A32" s="3695"/>
      <c r="B32" s="1728" t="s">
        <v>34</v>
      </c>
      <c r="C32" s="3681"/>
      <c r="D32" s="1710">
        <f t="shared" si="2"/>
        <v>0</v>
      </c>
      <c r="E32" s="1696"/>
      <c r="F32" s="1697"/>
      <c r="G32" s="1698"/>
      <c r="H32" s="1699"/>
      <c r="I32" s="3344"/>
      <c r="J32" s="2029"/>
      <c r="K32" s="1753"/>
      <c r="L32" s="1752"/>
      <c r="M32" s="2956"/>
      <c r="N32" s="2029"/>
      <c r="O32" s="2030"/>
      <c r="P32" s="1755"/>
      <c r="Q32" s="1754"/>
      <c r="R32" s="1757"/>
      <c r="S32" s="2022"/>
      <c r="T32" s="3067"/>
      <c r="U32" s="2051"/>
      <c r="V32" s="1823"/>
      <c r="W32" s="3140"/>
      <c r="X32" s="1824"/>
      <c r="Y32" s="1866"/>
      <c r="Z32" s="1867"/>
      <c r="AA32" s="1943"/>
      <c r="AB32" s="1697"/>
      <c r="AC32" s="1875"/>
      <c r="AD32" s="1895"/>
      <c r="AE32" s="3351"/>
      <c r="AF32" s="3410"/>
      <c r="AG32" s="1896"/>
      <c r="AH32" s="2066"/>
      <c r="AI32" s="2962"/>
      <c r="AJ32" s="2029"/>
      <c r="AK32" s="2030"/>
      <c r="AL32" s="1755"/>
      <c r="AM32" s="1879"/>
      <c r="AN32" s="1880"/>
      <c r="AO32" s="1912"/>
      <c r="AP32" s="3067"/>
      <c r="AQ32" s="2079"/>
      <c r="AR32" s="1913"/>
      <c r="AS32" s="3147"/>
      <c r="AT32" s="1929"/>
      <c r="AU32" s="1857"/>
      <c r="AV32" s="1858"/>
      <c r="AW32" s="1859"/>
      <c r="AX32" s="1879"/>
      <c r="AY32" s="1822"/>
      <c r="AZ32" s="1867"/>
      <c r="BA32" s="3644"/>
      <c r="BB32" s="3635"/>
      <c r="BC32" s="1942"/>
      <c r="BD32" s="1939"/>
      <c r="BE32" s="3722"/>
    </row>
    <row r="33" spans="1:57" ht="15.75" thickBot="1">
      <c r="A33" s="3694">
        <v>46130</v>
      </c>
      <c r="B33" s="1995" t="s">
        <v>32</v>
      </c>
      <c r="C33" s="3678">
        <f>SUM(D33:D36)</f>
        <v>581</v>
      </c>
      <c r="D33" s="1689">
        <f t="shared" si="2"/>
        <v>581</v>
      </c>
      <c r="E33" s="1690"/>
      <c r="F33" s="1691"/>
      <c r="G33" s="1692"/>
      <c r="H33" s="1713"/>
      <c r="I33" s="3186"/>
      <c r="J33" s="2019"/>
      <c r="K33" s="1783">
        <f>512+64</f>
        <v>576</v>
      </c>
      <c r="L33" s="1782"/>
      <c r="M33" s="2949"/>
      <c r="N33" s="2034"/>
      <c r="O33" s="1862"/>
      <c r="P33" s="1748"/>
      <c r="Q33" s="1747"/>
      <c r="R33" s="1750"/>
      <c r="S33" s="2020"/>
      <c r="T33" s="3064"/>
      <c r="U33" s="2050"/>
      <c r="V33" s="1817"/>
      <c r="W33" s="3139"/>
      <c r="X33" s="1818"/>
      <c r="Y33" s="1819"/>
      <c r="Z33" s="1820"/>
      <c r="AA33" s="1726"/>
      <c r="AB33" s="1691"/>
      <c r="AC33" s="1869"/>
      <c r="AD33" s="1893"/>
      <c r="AE33" s="3350"/>
      <c r="AF33" s="3409"/>
      <c r="AG33" s="1894"/>
      <c r="AH33" s="2065"/>
      <c r="AI33" s="2961"/>
      <c r="AJ33" s="2034"/>
      <c r="AK33" s="1862"/>
      <c r="AL33" s="1748"/>
      <c r="AM33" s="1873"/>
      <c r="AN33" s="1874"/>
      <c r="AO33" s="1909"/>
      <c r="AP33" s="3064"/>
      <c r="AQ33" s="2078"/>
      <c r="AR33" s="1910"/>
      <c r="AS33" s="3146"/>
      <c r="AT33" s="1911"/>
      <c r="AU33" s="1864"/>
      <c r="AV33" s="1865"/>
      <c r="AW33" s="1726"/>
      <c r="AX33" s="1873">
        <f>4+1</f>
        <v>5</v>
      </c>
      <c r="AY33" s="1940"/>
      <c r="AZ33" s="1865"/>
      <c r="BA33" s="3633">
        <f>SUM(E33:Z36)</f>
        <v>576</v>
      </c>
      <c r="BB33" s="3633">
        <f>SUM(E33:AV36)</f>
        <v>576</v>
      </c>
      <c r="BC33" s="1942">
        <v>4003</v>
      </c>
      <c r="BD33" s="1951" t="s">
        <v>532</v>
      </c>
      <c r="BE33" s="3629" t="s">
        <v>33</v>
      </c>
    </row>
    <row r="34" spans="1:57" ht="15.75" thickBot="1">
      <c r="A34" s="3695"/>
      <c r="B34" s="1688" t="s">
        <v>32</v>
      </c>
      <c r="C34" s="3679"/>
      <c r="D34" s="1689">
        <f t="shared" si="2"/>
        <v>0</v>
      </c>
      <c r="E34" s="1690"/>
      <c r="F34" s="1691"/>
      <c r="G34" s="1692"/>
      <c r="H34" s="1693"/>
      <c r="I34" s="3192"/>
      <c r="J34" s="2034"/>
      <c r="K34" s="1746"/>
      <c r="L34" s="1745"/>
      <c r="M34" s="2955"/>
      <c r="N34" s="2034"/>
      <c r="O34" s="1862"/>
      <c r="P34" s="1748"/>
      <c r="Q34" s="1747"/>
      <c r="R34" s="1750"/>
      <c r="S34" s="2020"/>
      <c r="T34" s="3064"/>
      <c r="U34" s="2050"/>
      <c r="V34" s="1817"/>
      <c r="W34" s="3139"/>
      <c r="X34" s="1818"/>
      <c r="Y34" s="1819"/>
      <c r="Z34" s="1820"/>
      <c r="AA34" s="1726"/>
      <c r="AB34" s="1691"/>
      <c r="AC34" s="1869"/>
      <c r="AD34" s="1893"/>
      <c r="AE34" s="3350"/>
      <c r="AF34" s="3409"/>
      <c r="AG34" s="1894"/>
      <c r="AH34" s="2065"/>
      <c r="AI34" s="2961"/>
      <c r="AJ34" s="2034"/>
      <c r="AK34" s="1862"/>
      <c r="AL34" s="1748"/>
      <c r="AM34" s="1873"/>
      <c r="AN34" s="1874"/>
      <c r="AO34" s="1909"/>
      <c r="AP34" s="3064"/>
      <c r="AQ34" s="2078"/>
      <c r="AR34" s="1910"/>
      <c r="AS34" s="3146"/>
      <c r="AT34" s="1911"/>
      <c r="AU34" s="1864"/>
      <c r="AV34" s="1865"/>
      <c r="AW34" s="1726"/>
      <c r="AX34" s="1873"/>
      <c r="AY34" s="1940"/>
      <c r="AZ34" s="1865"/>
      <c r="BA34" s="3634"/>
      <c r="BB34" s="3634"/>
      <c r="BC34" s="1942"/>
      <c r="BD34" s="1951"/>
      <c r="BE34" s="3630"/>
    </row>
    <row r="35" spans="1:57" ht="15.75" thickBot="1">
      <c r="A35" s="3695"/>
      <c r="B35" s="1688" t="s">
        <v>34</v>
      </c>
      <c r="C35" s="3679"/>
      <c r="D35" s="1689">
        <f t="shared" ref="D35" si="7">SUM(E35:AZ35)</f>
        <v>0</v>
      </c>
      <c r="E35" s="1690"/>
      <c r="F35" s="1691"/>
      <c r="G35" s="1692"/>
      <c r="H35" s="1693"/>
      <c r="I35" s="3192"/>
      <c r="J35" s="2034"/>
      <c r="K35" s="1746"/>
      <c r="L35" s="1745"/>
      <c r="M35" s="2955"/>
      <c r="N35" s="2034"/>
      <c r="O35" s="1862"/>
      <c r="P35" s="1748"/>
      <c r="Q35" s="1747"/>
      <c r="R35" s="1750"/>
      <c r="S35" s="2020"/>
      <c r="T35" s="3064"/>
      <c r="U35" s="2050"/>
      <c r="V35" s="1817"/>
      <c r="W35" s="3139"/>
      <c r="X35" s="1818"/>
      <c r="Y35" s="1819"/>
      <c r="Z35" s="1820"/>
      <c r="AA35" s="1726"/>
      <c r="AB35" s="1691"/>
      <c r="AC35" s="1869"/>
      <c r="AD35" s="1893"/>
      <c r="AE35" s="3350"/>
      <c r="AF35" s="3409"/>
      <c r="AG35" s="1894"/>
      <c r="AH35" s="2065"/>
      <c r="AI35" s="2961"/>
      <c r="AJ35" s="2034"/>
      <c r="AK35" s="1862"/>
      <c r="AL35" s="1748"/>
      <c r="AM35" s="1873"/>
      <c r="AN35" s="1874"/>
      <c r="AO35" s="1909"/>
      <c r="AP35" s="3064"/>
      <c r="AQ35" s="2078"/>
      <c r="AR35" s="1910"/>
      <c r="AS35" s="3146"/>
      <c r="AT35" s="1911"/>
      <c r="AU35" s="1864"/>
      <c r="AV35" s="1865"/>
      <c r="AW35" s="1726"/>
      <c r="AX35" s="1873"/>
      <c r="AY35" s="1940"/>
      <c r="AZ35" s="1865"/>
      <c r="BA35" s="3634"/>
      <c r="BB35" s="3634"/>
      <c r="BC35" s="1942"/>
      <c r="BD35" s="1951"/>
      <c r="BE35" s="3630"/>
    </row>
    <row r="36" spans="1:57" ht="15.75" thickBot="1">
      <c r="A36" s="3695"/>
      <c r="B36" s="1728" t="s">
        <v>34</v>
      </c>
      <c r="C36" s="3681"/>
      <c r="D36" s="1710">
        <f t="shared" si="2"/>
        <v>0</v>
      </c>
      <c r="E36" s="1696"/>
      <c r="F36" s="1697"/>
      <c r="G36" s="1698"/>
      <c r="H36" s="1732"/>
      <c r="I36" s="3188"/>
      <c r="J36" s="2021"/>
      <c r="K36" s="1798"/>
      <c r="L36" s="1800"/>
      <c r="M36" s="2950"/>
      <c r="N36" s="2029"/>
      <c r="O36" s="2030"/>
      <c r="P36" s="1755"/>
      <c r="Q36" s="1754"/>
      <c r="R36" s="1757"/>
      <c r="S36" s="2022"/>
      <c r="T36" s="3067"/>
      <c r="U36" s="2051"/>
      <c r="V36" s="1823"/>
      <c r="W36" s="3140"/>
      <c r="X36" s="1824"/>
      <c r="Y36" s="1825"/>
      <c r="Z36" s="1826"/>
      <c r="AA36" s="1696"/>
      <c r="AB36" s="1697"/>
      <c r="AC36" s="1875"/>
      <c r="AD36" s="1895"/>
      <c r="AE36" s="3351"/>
      <c r="AF36" s="3410"/>
      <c r="AG36" s="1896"/>
      <c r="AH36" s="2066"/>
      <c r="AI36" s="2962"/>
      <c r="AJ36" s="2029"/>
      <c r="AK36" s="2030"/>
      <c r="AL36" s="1755"/>
      <c r="AM36" s="1879"/>
      <c r="AN36" s="1880"/>
      <c r="AO36" s="1912"/>
      <c r="AP36" s="3067"/>
      <c r="AQ36" s="2079"/>
      <c r="AR36" s="1913"/>
      <c r="AS36" s="3147"/>
      <c r="AT36" s="1914"/>
      <c r="AU36" s="1866"/>
      <c r="AV36" s="1867"/>
      <c r="AW36" s="1943"/>
      <c r="AX36" s="1879"/>
      <c r="AY36" s="1944"/>
      <c r="AZ36" s="1867"/>
      <c r="BA36" s="3634"/>
      <c r="BB36" s="3635"/>
      <c r="BC36" s="1942"/>
      <c r="BD36" s="1951"/>
      <c r="BE36" s="3631"/>
    </row>
    <row r="37" spans="1:57" ht="15.75" thickBot="1">
      <c r="A37" s="3686">
        <v>46131</v>
      </c>
      <c r="B37" s="1995" t="s">
        <v>32</v>
      </c>
      <c r="C37" s="3678">
        <f>SUM(D37:D39)</f>
        <v>500</v>
      </c>
      <c r="D37" s="2001">
        <f t="shared" si="2"/>
        <v>500</v>
      </c>
      <c r="E37" s="2002"/>
      <c r="F37" s="2060"/>
      <c r="G37" s="2003"/>
      <c r="H37" s="2004"/>
      <c r="I37" s="3346"/>
      <c r="J37" s="2037"/>
      <c r="K37" s="2035">
        <v>496</v>
      </c>
      <c r="L37" s="2036"/>
      <c r="M37" s="2958"/>
      <c r="N37" s="2037"/>
      <c r="O37" s="2038"/>
      <c r="P37" s="2039"/>
      <c r="Q37" s="2040"/>
      <c r="R37" s="2041"/>
      <c r="S37" s="2042"/>
      <c r="T37" s="3078"/>
      <c r="U37" s="2054"/>
      <c r="V37" s="2055"/>
      <c r="W37" s="3143"/>
      <c r="X37" s="2056"/>
      <c r="Y37" s="2057"/>
      <c r="Z37" s="2058"/>
      <c r="AA37" s="2059"/>
      <c r="AB37" s="2060"/>
      <c r="AC37" s="2061"/>
      <c r="AD37" s="2068"/>
      <c r="AE37" s="3354"/>
      <c r="AF37" s="3413"/>
      <c r="AG37" s="2069"/>
      <c r="AH37" s="2070"/>
      <c r="AI37" s="2964"/>
      <c r="AJ37" s="2037"/>
      <c r="AK37" s="2038"/>
      <c r="AL37" s="2039"/>
      <c r="AM37" s="2071"/>
      <c r="AN37" s="2072"/>
      <c r="AO37" s="2084"/>
      <c r="AP37" s="3078"/>
      <c r="AQ37" s="2085"/>
      <c r="AR37" s="2086"/>
      <c r="AS37" s="3149"/>
      <c r="AT37" s="2087"/>
      <c r="AU37" s="2088"/>
      <c r="AV37" s="2089"/>
      <c r="AW37" s="2059"/>
      <c r="AX37" s="2071">
        <v>4</v>
      </c>
      <c r="AY37" s="1946"/>
      <c r="AZ37" s="1919"/>
      <c r="BA37" s="3633">
        <f>SUM(E37:Z39)</f>
        <v>496</v>
      </c>
      <c r="BB37" s="3633">
        <f>SUM(E37:AV39)</f>
        <v>496</v>
      </c>
      <c r="BC37" s="1942">
        <v>4002</v>
      </c>
      <c r="BD37" s="1953" t="s">
        <v>532</v>
      </c>
      <c r="BE37" s="3630" t="s">
        <v>33</v>
      </c>
    </row>
    <row r="38" spans="1:57" ht="14.25" customHeight="1" thickBot="1">
      <c r="A38" s="3687"/>
      <c r="B38" s="1694" t="s">
        <v>34</v>
      </c>
      <c r="C38" s="3679"/>
      <c r="D38" s="1705">
        <f t="shared" si="2"/>
        <v>0</v>
      </c>
      <c r="E38" s="1706"/>
      <c r="F38" s="1707"/>
      <c r="G38" s="1708"/>
      <c r="H38" s="1709"/>
      <c r="I38" s="3343"/>
      <c r="J38" s="2016"/>
      <c r="K38" s="1767"/>
      <c r="L38" s="1766"/>
      <c r="M38" s="2948"/>
      <c r="N38" s="2016"/>
      <c r="O38" s="2017"/>
      <c r="P38" s="1769"/>
      <c r="Q38" s="1768"/>
      <c r="R38" s="1771"/>
      <c r="S38" s="2018"/>
      <c r="T38" s="3063"/>
      <c r="U38" s="2049"/>
      <c r="V38" s="1836"/>
      <c r="W38" s="3138"/>
      <c r="X38" s="1837"/>
      <c r="Y38" s="1838"/>
      <c r="Z38" s="1839"/>
      <c r="AA38" s="1706"/>
      <c r="AB38" s="1707"/>
      <c r="AC38" s="1887"/>
      <c r="AD38" s="1888"/>
      <c r="AE38" s="3349"/>
      <c r="AF38" s="3408"/>
      <c r="AG38" s="1890"/>
      <c r="AH38" s="2064"/>
      <c r="AI38" s="2960"/>
      <c r="AJ38" s="2016"/>
      <c r="AK38" s="2017"/>
      <c r="AL38" s="1769"/>
      <c r="AM38" s="1891"/>
      <c r="AN38" s="1892"/>
      <c r="AO38" s="1920"/>
      <c r="AP38" s="3063"/>
      <c r="AQ38" s="2076"/>
      <c r="AR38" s="1921"/>
      <c r="AS38" s="3145"/>
      <c r="AT38" s="1922"/>
      <c r="AU38" s="1923"/>
      <c r="AV38" s="1924"/>
      <c r="AW38" s="1947"/>
      <c r="AX38" s="1891"/>
      <c r="AY38" s="1948"/>
      <c r="AZ38" s="1924"/>
      <c r="BA38" s="3634"/>
      <c r="BB38" s="3634"/>
      <c r="BC38" s="1942"/>
      <c r="BD38" s="1951"/>
      <c r="BE38" s="3630"/>
    </row>
    <row r="39" spans="1:57" ht="15.75" thickBot="1">
      <c r="A39" s="3687"/>
      <c r="B39" s="2005" t="s">
        <v>34</v>
      </c>
      <c r="C39" s="3679"/>
      <c r="D39" s="1734">
        <f t="shared" si="2"/>
        <v>0</v>
      </c>
      <c r="E39" s="1735"/>
      <c r="F39" s="1716"/>
      <c r="G39" s="1717"/>
      <c r="H39" s="1718"/>
      <c r="I39" s="3190"/>
      <c r="J39" s="2027"/>
      <c r="K39" s="1786"/>
      <c r="L39" s="1785"/>
      <c r="M39" s="2954"/>
      <c r="N39" s="2032"/>
      <c r="O39" s="2033"/>
      <c r="P39" s="1804"/>
      <c r="Q39" s="1803"/>
      <c r="R39" s="1789"/>
      <c r="S39" s="2028"/>
      <c r="T39" s="3065"/>
      <c r="U39" s="2053"/>
      <c r="V39" s="1842"/>
      <c r="W39" s="3142"/>
      <c r="X39" s="1843"/>
      <c r="Y39" s="1860"/>
      <c r="Z39" s="1861"/>
      <c r="AA39" s="1715"/>
      <c r="AB39" s="1716"/>
      <c r="AC39" s="1897"/>
      <c r="AD39" s="1898"/>
      <c r="AE39" s="3353"/>
      <c r="AF39" s="3412"/>
      <c r="AG39" s="1900"/>
      <c r="AH39" s="2067"/>
      <c r="AI39" s="2963"/>
      <c r="AJ39" s="2032"/>
      <c r="AK39" s="2033"/>
      <c r="AL39" s="1804"/>
      <c r="AM39" s="1901"/>
      <c r="AN39" s="1902"/>
      <c r="AO39" s="1925"/>
      <c r="AP39" s="3065"/>
      <c r="AQ39" s="2083"/>
      <c r="AR39" s="1926"/>
      <c r="AS39" s="3148"/>
      <c r="AT39" s="1927"/>
      <c r="AU39" s="1844"/>
      <c r="AV39" s="1845"/>
      <c r="AW39" s="1715"/>
      <c r="AX39" s="1901"/>
      <c r="AY39" s="1949"/>
      <c r="AZ39" s="1845"/>
      <c r="BA39" s="3634"/>
      <c r="BB39" s="3634"/>
      <c r="BC39" s="1942"/>
      <c r="BD39" s="1953"/>
      <c r="BE39" s="3630"/>
    </row>
    <row r="40" spans="1:57" ht="15.75" thickBot="1">
      <c r="A40" s="3694">
        <v>46132</v>
      </c>
      <c r="B40" s="1688" t="s">
        <v>32</v>
      </c>
      <c r="C40" s="3678">
        <f>SUM(D40:D42)</f>
        <v>478</v>
      </c>
      <c r="D40" s="1689">
        <f t="shared" si="2"/>
        <v>478</v>
      </c>
      <c r="E40" s="1690"/>
      <c r="F40" s="1691"/>
      <c r="G40" s="1692"/>
      <c r="H40" s="1713"/>
      <c r="I40" s="3186"/>
      <c r="J40" s="2019"/>
      <c r="K40" s="1783">
        <f>192+272</f>
        <v>464</v>
      </c>
      <c r="L40" s="1782"/>
      <c r="M40" s="2955"/>
      <c r="N40" s="2034"/>
      <c r="O40" s="1862"/>
      <c r="P40" s="1748"/>
      <c r="Q40" s="1747"/>
      <c r="R40" s="1750"/>
      <c r="S40" s="2020"/>
      <c r="T40" s="3064"/>
      <c r="U40" s="2050"/>
      <c r="V40" s="1817"/>
      <c r="W40" s="3139"/>
      <c r="X40" s="1818"/>
      <c r="Y40" s="1819"/>
      <c r="Z40" s="1820"/>
      <c r="AA40" s="1726"/>
      <c r="AB40" s="1691"/>
      <c r="AC40" s="1869"/>
      <c r="AD40" s="1893"/>
      <c r="AE40" s="3350"/>
      <c r="AF40" s="3409"/>
      <c r="AG40" s="1894"/>
      <c r="AH40" s="2065"/>
      <c r="AI40" s="2961"/>
      <c r="AJ40" s="2034"/>
      <c r="AK40" s="1862"/>
      <c r="AL40" s="1748"/>
      <c r="AM40" s="1873"/>
      <c r="AN40" s="1874"/>
      <c r="AO40" s="1909"/>
      <c r="AP40" s="3064"/>
      <c r="AQ40" s="2078"/>
      <c r="AR40" s="1910"/>
      <c r="AS40" s="3146"/>
      <c r="AT40" s="1911"/>
      <c r="AU40" s="1864"/>
      <c r="AV40" s="1865"/>
      <c r="AW40" s="1726"/>
      <c r="AX40" s="1873">
        <f>5+9</f>
        <v>14</v>
      </c>
      <c r="AY40" s="1940"/>
      <c r="AZ40" s="1865"/>
      <c r="BA40" s="3633">
        <f>SUM(E40:Z42)</f>
        <v>464</v>
      </c>
      <c r="BB40" s="3633">
        <f>SUM(E40:AV42)</f>
        <v>464</v>
      </c>
      <c r="BC40" s="1942">
        <v>4002</v>
      </c>
      <c r="BD40" s="1953" t="s">
        <v>640</v>
      </c>
      <c r="BE40" s="3629" t="s">
        <v>33</v>
      </c>
    </row>
    <row r="41" spans="1:57" ht="14.25" customHeight="1" thickBot="1">
      <c r="A41" s="3695"/>
      <c r="B41" s="1694" t="s">
        <v>34</v>
      </c>
      <c r="C41" s="3679"/>
      <c r="D41" s="1705">
        <f t="shared" si="2"/>
        <v>0</v>
      </c>
      <c r="E41" s="1706"/>
      <c r="F41" s="1707"/>
      <c r="G41" s="1708"/>
      <c r="H41" s="1709"/>
      <c r="I41" s="3343"/>
      <c r="J41" s="2016"/>
      <c r="K41" s="1767"/>
      <c r="L41" s="1766"/>
      <c r="M41" s="2948"/>
      <c r="N41" s="2016"/>
      <c r="O41" s="2017"/>
      <c r="P41" s="1769"/>
      <c r="Q41" s="1768"/>
      <c r="R41" s="1771"/>
      <c r="S41" s="2018"/>
      <c r="T41" s="3063"/>
      <c r="U41" s="2049"/>
      <c r="V41" s="1836"/>
      <c r="W41" s="3138"/>
      <c r="X41" s="1837"/>
      <c r="Y41" s="1838"/>
      <c r="Z41" s="1839"/>
      <c r="AA41" s="1706"/>
      <c r="AB41" s="1707"/>
      <c r="AC41" s="1887"/>
      <c r="AD41" s="1888"/>
      <c r="AE41" s="3349"/>
      <c r="AF41" s="3408"/>
      <c r="AG41" s="1890"/>
      <c r="AH41" s="2064"/>
      <c r="AI41" s="2960"/>
      <c r="AJ41" s="2016"/>
      <c r="AK41" s="2017"/>
      <c r="AL41" s="1769"/>
      <c r="AM41" s="1891"/>
      <c r="AN41" s="1892"/>
      <c r="AO41" s="1920"/>
      <c r="AP41" s="3063"/>
      <c r="AQ41" s="2076"/>
      <c r="AR41" s="1921"/>
      <c r="AS41" s="3145"/>
      <c r="AT41" s="1922"/>
      <c r="AU41" s="1923"/>
      <c r="AV41" s="1924"/>
      <c r="AW41" s="1947"/>
      <c r="AX41" s="1891"/>
      <c r="AY41" s="1948"/>
      <c r="AZ41" s="1924"/>
      <c r="BA41" s="3634"/>
      <c r="BB41" s="3634"/>
      <c r="BC41" s="1942"/>
      <c r="BD41" s="1951"/>
      <c r="BE41" s="3630"/>
    </row>
    <row r="42" spans="1:57" s="1990" customFormat="1" ht="15.75" thickBot="1">
      <c r="A42" s="3695"/>
      <c r="B42" s="1728" t="s">
        <v>34</v>
      </c>
      <c r="C42" s="3679"/>
      <c r="D42" s="1734">
        <f t="shared" ref="D42:D70" si="8">SUM(E42:AZ42)</f>
        <v>0</v>
      </c>
      <c r="E42" s="1735"/>
      <c r="F42" s="1716"/>
      <c r="G42" s="1717"/>
      <c r="H42" s="1718"/>
      <c r="I42" s="3190"/>
      <c r="J42" s="2027"/>
      <c r="K42" s="1786"/>
      <c r="L42" s="1785"/>
      <c r="M42" s="2954"/>
      <c r="N42" s="2032"/>
      <c r="O42" s="2033"/>
      <c r="P42" s="1804"/>
      <c r="Q42" s="1803"/>
      <c r="R42" s="1789"/>
      <c r="S42" s="2028"/>
      <c r="T42" s="3065"/>
      <c r="U42" s="2053"/>
      <c r="V42" s="1842"/>
      <c r="W42" s="3142"/>
      <c r="X42" s="1843"/>
      <c r="Y42" s="1860"/>
      <c r="Z42" s="1861"/>
      <c r="AA42" s="1715"/>
      <c r="AB42" s="1716"/>
      <c r="AC42" s="1897"/>
      <c r="AD42" s="1898"/>
      <c r="AE42" s="3353"/>
      <c r="AF42" s="3412"/>
      <c r="AG42" s="1900"/>
      <c r="AH42" s="2067"/>
      <c r="AI42" s="2963"/>
      <c r="AJ42" s="2032"/>
      <c r="AK42" s="2033"/>
      <c r="AL42" s="1804"/>
      <c r="AM42" s="1901"/>
      <c r="AN42" s="1902"/>
      <c r="AO42" s="1925"/>
      <c r="AP42" s="3065"/>
      <c r="AQ42" s="2083"/>
      <c r="AR42" s="1926"/>
      <c r="AS42" s="3148"/>
      <c r="AT42" s="1927"/>
      <c r="AU42" s="1844"/>
      <c r="AV42" s="1845"/>
      <c r="AW42" s="1715"/>
      <c r="AX42" s="1901"/>
      <c r="AY42" s="1949"/>
      <c r="AZ42" s="1845"/>
      <c r="BA42" s="3634"/>
      <c r="BB42" s="3634"/>
      <c r="BC42" s="1942"/>
      <c r="BD42" s="1951"/>
      <c r="BE42" s="3630"/>
    </row>
    <row r="43" spans="1:57" ht="15.75" thickBot="1">
      <c r="A43" s="3694">
        <v>46133</v>
      </c>
      <c r="B43" s="1995" t="s">
        <v>32</v>
      </c>
      <c r="C43" s="3678">
        <f>SUM(D43:D45)</f>
        <v>980</v>
      </c>
      <c r="D43" s="1689">
        <f t="shared" si="8"/>
        <v>553</v>
      </c>
      <c r="E43" s="1690"/>
      <c r="F43" s="1691"/>
      <c r="G43" s="1692"/>
      <c r="H43" s="1713"/>
      <c r="I43" s="3186"/>
      <c r="J43" s="2019"/>
      <c r="K43" s="1783">
        <v>544</v>
      </c>
      <c r="L43" s="1782"/>
      <c r="M43" s="2949"/>
      <c r="N43" s="2034"/>
      <c r="O43" s="1862"/>
      <c r="P43" s="1748"/>
      <c r="Q43" s="1747"/>
      <c r="R43" s="1750"/>
      <c r="S43" s="2020"/>
      <c r="T43" s="3064"/>
      <c r="U43" s="2050"/>
      <c r="V43" s="1817"/>
      <c r="W43" s="3139"/>
      <c r="X43" s="1818"/>
      <c r="Y43" s="1819"/>
      <c r="Z43" s="1820"/>
      <c r="AA43" s="1726"/>
      <c r="AB43" s="1691"/>
      <c r="AC43" s="1869"/>
      <c r="AD43" s="1893"/>
      <c r="AE43" s="3350"/>
      <c r="AF43" s="3409"/>
      <c r="AG43" s="1894"/>
      <c r="AH43" s="2065"/>
      <c r="AI43" s="2961"/>
      <c r="AJ43" s="2034"/>
      <c r="AK43" s="1862"/>
      <c r="AL43" s="1748"/>
      <c r="AM43" s="1873"/>
      <c r="AN43" s="1874"/>
      <c r="AO43" s="1909"/>
      <c r="AP43" s="3064"/>
      <c r="AQ43" s="2078"/>
      <c r="AR43" s="1910"/>
      <c r="AS43" s="3146"/>
      <c r="AT43" s="1911"/>
      <c r="AU43" s="1864"/>
      <c r="AV43" s="1865"/>
      <c r="AW43" s="1726"/>
      <c r="AX43" s="1873">
        <v>9</v>
      </c>
      <c r="AY43" s="1940"/>
      <c r="AZ43" s="1865"/>
      <c r="BA43" s="3633">
        <f>SUM(E43:Z45)</f>
        <v>960</v>
      </c>
      <c r="BB43" s="3633">
        <f>SUM(E43:AV45)</f>
        <v>967</v>
      </c>
      <c r="BC43" s="1942">
        <v>4002</v>
      </c>
      <c r="BD43" s="1951" t="s">
        <v>650</v>
      </c>
      <c r="BE43" s="3629" t="s">
        <v>33</v>
      </c>
    </row>
    <row r="44" spans="1:57" ht="14.25" customHeight="1" thickBot="1">
      <c r="A44" s="3695"/>
      <c r="B44" s="1694" t="s">
        <v>34</v>
      </c>
      <c r="C44" s="3679"/>
      <c r="D44" s="1705">
        <f t="shared" ref="D44" si="9">SUM(E44:AZ44)</f>
        <v>427</v>
      </c>
      <c r="E44" s="1706"/>
      <c r="F44" s="1707"/>
      <c r="G44" s="1708"/>
      <c r="H44" s="1709"/>
      <c r="I44" s="3343"/>
      <c r="J44" s="2016"/>
      <c r="K44" s="1767">
        <f>192+224</f>
        <v>416</v>
      </c>
      <c r="L44" s="1766"/>
      <c r="M44" s="2948"/>
      <c r="N44" s="2016"/>
      <c r="O44" s="2017"/>
      <c r="P44" s="1769"/>
      <c r="Q44" s="1768"/>
      <c r="R44" s="1771"/>
      <c r="S44" s="2018"/>
      <c r="T44" s="3063"/>
      <c r="U44" s="2049"/>
      <c r="V44" s="1836"/>
      <c r="W44" s="3138"/>
      <c r="X44" s="1837"/>
      <c r="Y44" s="1838"/>
      <c r="Z44" s="1839"/>
      <c r="AA44" s="1706"/>
      <c r="AB44" s="1707"/>
      <c r="AC44" s="1887"/>
      <c r="AD44" s="1888"/>
      <c r="AE44" s="3349"/>
      <c r="AF44" s="3408"/>
      <c r="AG44" s="1890">
        <v>7</v>
      </c>
      <c r="AH44" s="2064"/>
      <c r="AI44" s="2960"/>
      <c r="AJ44" s="2016"/>
      <c r="AK44" s="2017"/>
      <c r="AL44" s="1769"/>
      <c r="AM44" s="1891"/>
      <c r="AN44" s="1892"/>
      <c r="AO44" s="1920"/>
      <c r="AP44" s="3063"/>
      <c r="AQ44" s="2076"/>
      <c r="AR44" s="1921"/>
      <c r="AS44" s="3145"/>
      <c r="AT44" s="1922"/>
      <c r="AU44" s="1923"/>
      <c r="AV44" s="1924"/>
      <c r="AW44" s="1947"/>
      <c r="AX44" s="1891">
        <v>4</v>
      </c>
      <c r="AY44" s="1948"/>
      <c r="AZ44" s="1924"/>
      <c r="BA44" s="3634"/>
      <c r="BB44" s="3634"/>
      <c r="BC44" s="1942"/>
      <c r="BD44" s="1951"/>
      <c r="BE44" s="3630"/>
    </row>
    <row r="45" spans="1:57" ht="15.75" thickBot="1">
      <c r="A45" s="3695"/>
      <c r="B45" s="1728" t="s">
        <v>34</v>
      </c>
      <c r="C45" s="3681"/>
      <c r="D45" s="1710">
        <f t="shared" si="8"/>
        <v>0</v>
      </c>
      <c r="E45" s="1696"/>
      <c r="F45" s="1697"/>
      <c r="G45" s="1698"/>
      <c r="H45" s="1732"/>
      <c r="I45" s="3188"/>
      <c r="J45" s="2021"/>
      <c r="K45" s="1798"/>
      <c r="L45" s="1800"/>
      <c r="M45" s="2950"/>
      <c r="N45" s="2029"/>
      <c r="O45" s="2030"/>
      <c r="P45" s="1755"/>
      <c r="Q45" s="1754"/>
      <c r="R45" s="1757"/>
      <c r="S45" s="2022"/>
      <c r="T45" s="3067"/>
      <c r="U45" s="2051"/>
      <c r="V45" s="1823"/>
      <c r="W45" s="3140"/>
      <c r="X45" s="1824"/>
      <c r="Y45" s="1825"/>
      <c r="Z45" s="1826"/>
      <c r="AA45" s="1696"/>
      <c r="AB45" s="1697"/>
      <c r="AC45" s="1875"/>
      <c r="AD45" s="1895"/>
      <c r="AE45" s="3351"/>
      <c r="AF45" s="3410"/>
      <c r="AG45" s="1896"/>
      <c r="AH45" s="2066"/>
      <c r="AI45" s="2962"/>
      <c r="AJ45" s="2029"/>
      <c r="AK45" s="2030"/>
      <c r="AL45" s="1755"/>
      <c r="AM45" s="1879"/>
      <c r="AN45" s="1880"/>
      <c r="AO45" s="1912"/>
      <c r="AP45" s="3067"/>
      <c r="AQ45" s="2079"/>
      <c r="AR45" s="1913"/>
      <c r="AS45" s="3147"/>
      <c r="AT45" s="1914"/>
      <c r="AU45" s="1866"/>
      <c r="AV45" s="1867"/>
      <c r="AW45" s="1943"/>
      <c r="AX45" s="1879"/>
      <c r="AY45" s="1944"/>
      <c r="AZ45" s="1867"/>
      <c r="BA45" s="3634"/>
      <c r="BB45" s="3635"/>
      <c r="BC45" s="1942"/>
      <c r="BD45" s="1951"/>
      <c r="BE45" s="3630"/>
    </row>
    <row r="46" spans="1:57" ht="15.75" thickBot="1">
      <c r="A46" s="3694">
        <v>46134</v>
      </c>
      <c r="B46" s="1688" t="s">
        <v>32</v>
      </c>
      <c r="C46" s="3678">
        <f>SUM(D46:D49)</f>
        <v>577</v>
      </c>
      <c r="D46" s="1689">
        <f t="shared" si="8"/>
        <v>577</v>
      </c>
      <c r="E46" s="1690"/>
      <c r="F46" s="1691"/>
      <c r="G46" s="1692"/>
      <c r="H46" s="1693"/>
      <c r="I46" s="3192"/>
      <c r="J46" s="2034"/>
      <c r="K46" s="1746">
        <v>576</v>
      </c>
      <c r="L46" s="1745"/>
      <c r="M46" s="2955"/>
      <c r="N46" s="2034"/>
      <c r="O46" s="1862"/>
      <c r="P46" s="1748"/>
      <c r="Q46" s="1747"/>
      <c r="R46" s="1750"/>
      <c r="S46" s="2020"/>
      <c r="T46" s="3064"/>
      <c r="U46" s="2050"/>
      <c r="V46" s="1817"/>
      <c r="W46" s="3139"/>
      <c r="X46" s="1818"/>
      <c r="Y46" s="1819"/>
      <c r="Z46" s="1820"/>
      <c r="AA46" s="1726"/>
      <c r="AB46" s="1691"/>
      <c r="AC46" s="1869"/>
      <c r="AD46" s="1893"/>
      <c r="AE46" s="3350"/>
      <c r="AF46" s="3409"/>
      <c r="AG46" s="1894"/>
      <c r="AH46" s="2065"/>
      <c r="AI46" s="2961"/>
      <c r="AJ46" s="2034"/>
      <c r="AK46" s="1862"/>
      <c r="AL46" s="1748"/>
      <c r="AM46" s="1873"/>
      <c r="AN46" s="1874"/>
      <c r="AO46" s="1909"/>
      <c r="AP46" s="3064"/>
      <c r="AQ46" s="2078"/>
      <c r="AR46" s="1910"/>
      <c r="AS46" s="3146"/>
      <c r="AT46" s="1911"/>
      <c r="AU46" s="1864"/>
      <c r="AV46" s="1865"/>
      <c r="AW46" s="1726"/>
      <c r="AX46" s="1873">
        <v>1</v>
      </c>
      <c r="AY46" s="1940"/>
      <c r="AZ46" s="1865"/>
      <c r="BA46" s="3633">
        <f>SUM(E46:Z49)</f>
        <v>576</v>
      </c>
      <c r="BB46" s="3634">
        <f>SUM(E46:AV49)</f>
        <v>576</v>
      </c>
      <c r="BC46" s="1942">
        <v>4002</v>
      </c>
      <c r="BD46" s="1951" t="s">
        <v>482</v>
      </c>
      <c r="BE46" s="3629" t="s">
        <v>33</v>
      </c>
    </row>
    <row r="47" spans="1:57" ht="14.25" customHeight="1" thickBot="1">
      <c r="A47" s="3695"/>
      <c r="B47" s="1694" t="s">
        <v>34</v>
      </c>
      <c r="C47" s="3679"/>
      <c r="D47" s="1705">
        <f t="shared" si="8"/>
        <v>0</v>
      </c>
      <c r="E47" s="1706"/>
      <c r="F47" s="1707"/>
      <c r="G47" s="1708"/>
      <c r="H47" s="1709"/>
      <c r="I47" s="3343"/>
      <c r="J47" s="2016"/>
      <c r="K47" s="1767"/>
      <c r="L47" s="1766"/>
      <c r="M47" s="2948"/>
      <c r="N47" s="2016"/>
      <c r="O47" s="2017"/>
      <c r="P47" s="1769"/>
      <c r="Q47" s="1768"/>
      <c r="R47" s="1771"/>
      <c r="S47" s="2018"/>
      <c r="T47" s="3063"/>
      <c r="U47" s="2049"/>
      <c r="V47" s="1836"/>
      <c r="W47" s="3138"/>
      <c r="X47" s="1837"/>
      <c r="Y47" s="1838"/>
      <c r="Z47" s="1839"/>
      <c r="AA47" s="1706"/>
      <c r="AB47" s="1707"/>
      <c r="AC47" s="1887"/>
      <c r="AD47" s="1888"/>
      <c r="AE47" s="3349"/>
      <c r="AF47" s="3408"/>
      <c r="AG47" s="1890"/>
      <c r="AH47" s="2064"/>
      <c r="AI47" s="2960"/>
      <c r="AJ47" s="2016"/>
      <c r="AK47" s="2017"/>
      <c r="AL47" s="1769"/>
      <c r="AM47" s="1891"/>
      <c r="AN47" s="1892"/>
      <c r="AO47" s="1920"/>
      <c r="AP47" s="3063"/>
      <c r="AQ47" s="2076"/>
      <c r="AR47" s="1921"/>
      <c r="AS47" s="3145"/>
      <c r="AT47" s="1922"/>
      <c r="AU47" s="1923"/>
      <c r="AV47" s="1924"/>
      <c r="AW47" s="1947"/>
      <c r="AX47" s="1891"/>
      <c r="AY47" s="1948"/>
      <c r="AZ47" s="1924"/>
      <c r="BA47" s="3634"/>
      <c r="BB47" s="3634"/>
      <c r="BC47" s="1942"/>
      <c r="BD47" s="1951"/>
      <c r="BE47" s="3630"/>
    </row>
    <row r="48" spans="1:57" ht="14.25" customHeight="1" thickBot="1">
      <c r="A48" s="3695"/>
      <c r="B48" s="1694" t="s">
        <v>34</v>
      </c>
      <c r="C48" s="3679"/>
      <c r="D48" s="1705">
        <f t="shared" ref="D48" si="10">SUM(E48:AZ48)</f>
        <v>0</v>
      </c>
      <c r="E48" s="1706"/>
      <c r="F48" s="1707"/>
      <c r="G48" s="1708"/>
      <c r="H48" s="1709"/>
      <c r="I48" s="3343"/>
      <c r="J48" s="2016"/>
      <c r="K48" s="1767"/>
      <c r="L48" s="1766"/>
      <c r="M48" s="2948"/>
      <c r="N48" s="2016"/>
      <c r="O48" s="2017"/>
      <c r="P48" s="1769"/>
      <c r="Q48" s="1768"/>
      <c r="R48" s="1771"/>
      <c r="S48" s="2018"/>
      <c r="T48" s="3063"/>
      <c r="U48" s="2049"/>
      <c r="V48" s="1836"/>
      <c r="W48" s="3138"/>
      <c r="X48" s="1837"/>
      <c r="Y48" s="1838"/>
      <c r="Z48" s="1839"/>
      <c r="AA48" s="1706"/>
      <c r="AB48" s="1707"/>
      <c r="AC48" s="1887"/>
      <c r="AD48" s="1888"/>
      <c r="AE48" s="3349"/>
      <c r="AF48" s="3408"/>
      <c r="AG48" s="1890"/>
      <c r="AH48" s="2064"/>
      <c r="AI48" s="2960"/>
      <c r="AJ48" s="2016"/>
      <c r="AK48" s="2017"/>
      <c r="AL48" s="1769"/>
      <c r="AM48" s="1891"/>
      <c r="AN48" s="1892"/>
      <c r="AO48" s="1920"/>
      <c r="AP48" s="3063"/>
      <c r="AQ48" s="2076"/>
      <c r="AR48" s="1921"/>
      <c r="AS48" s="3145"/>
      <c r="AT48" s="1922"/>
      <c r="AU48" s="1923"/>
      <c r="AV48" s="1924"/>
      <c r="AW48" s="1947"/>
      <c r="AX48" s="1891"/>
      <c r="AY48" s="1948"/>
      <c r="AZ48" s="1924"/>
      <c r="BA48" s="3634"/>
      <c r="BB48" s="3634"/>
      <c r="BC48" s="1942"/>
      <c r="BD48" s="1951"/>
      <c r="BE48" s="3630"/>
    </row>
    <row r="49" spans="1:57" ht="15.75" thickBot="1">
      <c r="A49" s="3695"/>
      <c r="B49" s="1724" t="s">
        <v>34</v>
      </c>
      <c r="C49" s="3679"/>
      <c r="D49" s="1705">
        <f t="shared" si="8"/>
        <v>0</v>
      </c>
      <c r="E49" s="1706"/>
      <c r="F49" s="1707"/>
      <c r="G49" s="1708"/>
      <c r="H49" s="1709"/>
      <c r="I49" s="3343"/>
      <c r="J49" s="2016"/>
      <c r="K49" s="1767"/>
      <c r="L49" s="1766"/>
      <c r="M49" s="2948"/>
      <c r="N49" s="2016"/>
      <c r="O49" s="2017"/>
      <c r="P49" s="1769"/>
      <c r="Q49" s="1768"/>
      <c r="R49" s="1771"/>
      <c r="S49" s="2018"/>
      <c r="T49" s="3063"/>
      <c r="U49" s="2049"/>
      <c r="V49" s="1836"/>
      <c r="W49" s="3138"/>
      <c r="X49" s="1837"/>
      <c r="Y49" s="1838"/>
      <c r="Z49" s="1839"/>
      <c r="AA49" s="1706"/>
      <c r="AB49" s="1707"/>
      <c r="AC49" s="1887"/>
      <c r="AD49" s="1888"/>
      <c r="AE49" s="3349"/>
      <c r="AF49" s="3408"/>
      <c r="AG49" s="1890"/>
      <c r="AH49" s="2064"/>
      <c r="AI49" s="2960"/>
      <c r="AJ49" s="2016"/>
      <c r="AK49" s="2017"/>
      <c r="AL49" s="1769"/>
      <c r="AM49" s="1891"/>
      <c r="AN49" s="1892"/>
      <c r="AO49" s="1920"/>
      <c r="AP49" s="3063"/>
      <c r="AQ49" s="2076"/>
      <c r="AR49" s="1921"/>
      <c r="AS49" s="3145"/>
      <c r="AT49" s="1922"/>
      <c r="AU49" s="1923"/>
      <c r="AV49" s="1924"/>
      <c r="AW49" s="1947"/>
      <c r="AX49" s="1891"/>
      <c r="AY49" s="1948"/>
      <c r="AZ49" s="1924"/>
      <c r="BA49" s="3634"/>
      <c r="BB49" s="3634"/>
      <c r="BC49" s="1942"/>
      <c r="BD49" s="1951"/>
      <c r="BE49" s="3630"/>
    </row>
    <row r="50" spans="1:57" ht="15" customHeight="1" thickBot="1">
      <c r="A50" s="3694">
        <v>46135</v>
      </c>
      <c r="B50" s="1688" t="s">
        <v>32</v>
      </c>
      <c r="C50" s="3678">
        <f>SUM(D50:D53)</f>
        <v>259</v>
      </c>
      <c r="D50" s="1689">
        <f t="shared" si="8"/>
        <v>259</v>
      </c>
      <c r="E50" s="1690"/>
      <c r="F50" s="1691"/>
      <c r="G50" s="1692"/>
      <c r="H50" s="1693"/>
      <c r="I50" s="3192"/>
      <c r="J50" s="2034"/>
      <c r="K50" s="1746">
        <f>192+64</f>
        <v>256</v>
      </c>
      <c r="L50" s="1745"/>
      <c r="M50" s="2955"/>
      <c r="N50" s="2034"/>
      <c r="O50" s="1862"/>
      <c r="P50" s="1748"/>
      <c r="Q50" s="1747"/>
      <c r="R50" s="1750"/>
      <c r="S50" s="2020"/>
      <c r="T50" s="3064"/>
      <c r="U50" s="2050"/>
      <c r="V50" s="1817"/>
      <c r="W50" s="3139"/>
      <c r="X50" s="1818"/>
      <c r="Y50" s="1819"/>
      <c r="Z50" s="1820"/>
      <c r="AA50" s="1726"/>
      <c r="AB50" s="1691"/>
      <c r="AC50" s="1869"/>
      <c r="AD50" s="1893"/>
      <c r="AE50" s="3350"/>
      <c r="AF50" s="3409"/>
      <c r="AG50" s="1894"/>
      <c r="AH50" s="2065"/>
      <c r="AI50" s="2961"/>
      <c r="AJ50" s="2034"/>
      <c r="AK50" s="1862"/>
      <c r="AL50" s="1748"/>
      <c r="AM50" s="1873"/>
      <c r="AN50" s="1874"/>
      <c r="AO50" s="1909"/>
      <c r="AP50" s="3064"/>
      <c r="AQ50" s="2078"/>
      <c r="AR50" s="1910"/>
      <c r="AS50" s="3146"/>
      <c r="AT50" s="1911"/>
      <c r="AU50" s="1864"/>
      <c r="AV50" s="1865"/>
      <c r="AW50" s="1726"/>
      <c r="AX50" s="1873">
        <f>2+1</f>
        <v>3</v>
      </c>
      <c r="AY50" s="1940"/>
      <c r="AZ50" s="1865"/>
      <c r="BA50" s="3633">
        <f>SUM(E50:Z53)</f>
        <v>256</v>
      </c>
      <c r="BB50" s="3633">
        <f>SUM(E50:AV53)</f>
        <v>256</v>
      </c>
      <c r="BC50" s="1942">
        <v>4002</v>
      </c>
      <c r="BD50" s="1951" t="s">
        <v>669</v>
      </c>
      <c r="BE50" s="3629" t="s">
        <v>33</v>
      </c>
    </row>
    <row r="51" spans="1:57" ht="14.25" customHeight="1" thickBot="1">
      <c r="A51" s="3695"/>
      <c r="B51" s="1694" t="s">
        <v>34</v>
      </c>
      <c r="C51" s="3679"/>
      <c r="D51" s="1705">
        <f t="shared" ref="D51" si="11">SUM(E51:AZ51)</f>
        <v>0</v>
      </c>
      <c r="E51" s="1706"/>
      <c r="F51" s="1707"/>
      <c r="G51" s="1708"/>
      <c r="H51" s="1709"/>
      <c r="I51" s="3343"/>
      <c r="J51" s="2016"/>
      <c r="K51" s="1767"/>
      <c r="L51" s="1766"/>
      <c r="M51" s="2948"/>
      <c r="N51" s="2016"/>
      <c r="O51" s="2017"/>
      <c r="P51" s="1769"/>
      <c r="Q51" s="1768"/>
      <c r="R51" s="1771"/>
      <c r="S51" s="2018"/>
      <c r="T51" s="3063"/>
      <c r="U51" s="2049"/>
      <c r="V51" s="1836"/>
      <c r="W51" s="3138"/>
      <c r="X51" s="1837"/>
      <c r="Y51" s="1838"/>
      <c r="Z51" s="1839"/>
      <c r="AA51" s="1706"/>
      <c r="AB51" s="1707"/>
      <c r="AC51" s="1887"/>
      <c r="AD51" s="1888"/>
      <c r="AE51" s="3349"/>
      <c r="AF51" s="3408"/>
      <c r="AG51" s="1890"/>
      <c r="AH51" s="2064"/>
      <c r="AI51" s="2960"/>
      <c r="AJ51" s="2016"/>
      <c r="AK51" s="2017"/>
      <c r="AL51" s="1769"/>
      <c r="AM51" s="1891"/>
      <c r="AN51" s="1892"/>
      <c r="AO51" s="1920"/>
      <c r="AP51" s="3063"/>
      <c r="AQ51" s="2076"/>
      <c r="AR51" s="1921"/>
      <c r="AS51" s="3145"/>
      <c r="AT51" s="1922"/>
      <c r="AU51" s="1923"/>
      <c r="AV51" s="1924"/>
      <c r="AW51" s="1947"/>
      <c r="AX51" s="1891"/>
      <c r="AY51" s="1948"/>
      <c r="AZ51" s="1924"/>
      <c r="BA51" s="3634"/>
      <c r="BB51" s="3634"/>
      <c r="BC51" s="1942">
        <v>4003</v>
      </c>
      <c r="BD51" s="1951" t="s">
        <v>482</v>
      </c>
      <c r="BE51" s="3630"/>
    </row>
    <row r="52" spans="1:57" ht="14.25" customHeight="1" thickBot="1">
      <c r="A52" s="3695"/>
      <c r="B52" s="1694" t="s">
        <v>34</v>
      </c>
      <c r="C52" s="3679"/>
      <c r="D52" s="1705">
        <f t="shared" ref="D52" si="12">SUM(E52:AZ52)</f>
        <v>0</v>
      </c>
      <c r="E52" s="1706"/>
      <c r="F52" s="1707"/>
      <c r="G52" s="1708"/>
      <c r="H52" s="1709"/>
      <c r="I52" s="3343"/>
      <c r="J52" s="2016"/>
      <c r="K52" s="1767"/>
      <c r="L52" s="1766"/>
      <c r="M52" s="2948"/>
      <c r="N52" s="2016"/>
      <c r="O52" s="2017"/>
      <c r="P52" s="1769"/>
      <c r="Q52" s="1768"/>
      <c r="R52" s="1771"/>
      <c r="S52" s="2018"/>
      <c r="T52" s="3063"/>
      <c r="U52" s="2049"/>
      <c r="V52" s="1836"/>
      <c r="W52" s="3138"/>
      <c r="X52" s="1837"/>
      <c r="Y52" s="1838"/>
      <c r="Z52" s="1839"/>
      <c r="AA52" s="1706"/>
      <c r="AB52" s="1707"/>
      <c r="AC52" s="1887"/>
      <c r="AD52" s="1888"/>
      <c r="AE52" s="3349"/>
      <c r="AF52" s="3408"/>
      <c r="AG52" s="1890"/>
      <c r="AH52" s="2064"/>
      <c r="AI52" s="2960"/>
      <c r="AJ52" s="2016"/>
      <c r="AK52" s="2017"/>
      <c r="AL52" s="1769"/>
      <c r="AM52" s="1891"/>
      <c r="AN52" s="1892"/>
      <c r="AO52" s="1920"/>
      <c r="AP52" s="3063"/>
      <c r="AQ52" s="2076"/>
      <c r="AR52" s="1921"/>
      <c r="AS52" s="3145"/>
      <c r="AT52" s="1922"/>
      <c r="AU52" s="1923"/>
      <c r="AV52" s="1924"/>
      <c r="AW52" s="1947"/>
      <c r="AX52" s="1891"/>
      <c r="AY52" s="1948"/>
      <c r="AZ52" s="1924"/>
      <c r="BA52" s="3634"/>
      <c r="BB52" s="3634"/>
      <c r="BC52" s="1942"/>
      <c r="BD52" s="1951"/>
      <c r="BE52" s="3630"/>
    </row>
    <row r="53" spans="1:57" ht="15.75" thickBot="1">
      <c r="A53" s="3695"/>
      <c r="B53" s="1995" t="s">
        <v>34</v>
      </c>
      <c r="C53" s="3679"/>
      <c r="D53" s="1705">
        <f t="shared" si="8"/>
        <v>0</v>
      </c>
      <c r="E53" s="1706"/>
      <c r="F53" s="1707"/>
      <c r="G53" s="1708"/>
      <c r="H53" s="1709"/>
      <c r="I53" s="3343"/>
      <c r="J53" s="2016"/>
      <c r="K53" s="1767"/>
      <c r="L53" s="1766"/>
      <c r="M53" s="2948"/>
      <c r="N53" s="2016"/>
      <c r="O53" s="2017"/>
      <c r="P53" s="1769"/>
      <c r="Q53" s="1768"/>
      <c r="R53" s="1771"/>
      <c r="S53" s="2018"/>
      <c r="T53" s="3063"/>
      <c r="U53" s="2049"/>
      <c r="V53" s="1836"/>
      <c r="W53" s="3138"/>
      <c r="X53" s="1837"/>
      <c r="Y53" s="1838"/>
      <c r="Z53" s="1839"/>
      <c r="AA53" s="1706"/>
      <c r="AB53" s="1707"/>
      <c r="AC53" s="1887"/>
      <c r="AD53" s="1888"/>
      <c r="AE53" s="3349"/>
      <c r="AF53" s="3408"/>
      <c r="AG53" s="1890"/>
      <c r="AH53" s="2064"/>
      <c r="AI53" s="2960"/>
      <c r="AJ53" s="2016"/>
      <c r="AK53" s="2017"/>
      <c r="AL53" s="1769"/>
      <c r="AM53" s="1891"/>
      <c r="AN53" s="1892"/>
      <c r="AO53" s="1920"/>
      <c r="AP53" s="3063"/>
      <c r="AQ53" s="2076"/>
      <c r="AR53" s="1921"/>
      <c r="AS53" s="3145"/>
      <c r="AT53" s="1922"/>
      <c r="AU53" s="1923"/>
      <c r="AV53" s="1924"/>
      <c r="AW53" s="1947"/>
      <c r="AX53" s="1891"/>
      <c r="AY53" s="1948"/>
      <c r="AZ53" s="1924"/>
      <c r="BA53" s="3634"/>
      <c r="BB53" s="3634"/>
      <c r="BC53" s="1942"/>
      <c r="BD53" s="1951"/>
      <c r="BE53" s="3630"/>
    </row>
    <row r="54" spans="1:57" ht="15.75" thickBot="1">
      <c r="A54" s="3694">
        <v>46136</v>
      </c>
      <c r="B54" s="1738" t="s">
        <v>32</v>
      </c>
      <c r="C54" s="3678">
        <f>SUM(D54:D56)</f>
        <v>548</v>
      </c>
      <c r="D54" s="1689">
        <f t="shared" si="8"/>
        <v>548</v>
      </c>
      <c r="E54" s="1690"/>
      <c r="F54" s="1691"/>
      <c r="G54" s="1692"/>
      <c r="H54" s="1693"/>
      <c r="I54" s="3192"/>
      <c r="J54" s="2034"/>
      <c r="K54" s="1746">
        <v>544</v>
      </c>
      <c r="L54" s="1745"/>
      <c r="M54" s="2955"/>
      <c r="N54" s="2034"/>
      <c r="O54" s="1862"/>
      <c r="P54" s="1748"/>
      <c r="Q54" s="1747"/>
      <c r="R54" s="1750"/>
      <c r="S54" s="2020"/>
      <c r="T54" s="3064"/>
      <c r="U54" s="2050"/>
      <c r="V54" s="1817"/>
      <c r="W54" s="3139"/>
      <c r="X54" s="1818"/>
      <c r="Y54" s="1819"/>
      <c r="Z54" s="1820"/>
      <c r="AA54" s="1726"/>
      <c r="AB54" s="1691"/>
      <c r="AC54" s="1869"/>
      <c r="AD54" s="1893"/>
      <c r="AE54" s="3350"/>
      <c r="AF54" s="3409"/>
      <c r="AG54" s="1894">
        <v>2</v>
      </c>
      <c r="AH54" s="2065"/>
      <c r="AI54" s="2961"/>
      <c r="AJ54" s="2034"/>
      <c r="AK54" s="1862"/>
      <c r="AL54" s="1748"/>
      <c r="AM54" s="1873"/>
      <c r="AN54" s="1874"/>
      <c r="AO54" s="1909"/>
      <c r="AP54" s="3064"/>
      <c r="AQ54" s="2078"/>
      <c r="AR54" s="1910"/>
      <c r="AS54" s="3146"/>
      <c r="AT54" s="1911"/>
      <c r="AU54" s="1864"/>
      <c r="AV54" s="1865"/>
      <c r="AW54" s="1726"/>
      <c r="AX54" s="1873">
        <v>2</v>
      </c>
      <c r="AY54" s="1940"/>
      <c r="AZ54" s="1865"/>
      <c r="BA54" s="3633">
        <f>SUM(E54:Z56)</f>
        <v>544</v>
      </c>
      <c r="BB54" s="3633">
        <f>SUM(E54:AV56)</f>
        <v>546</v>
      </c>
      <c r="BC54" s="1942">
        <v>4003</v>
      </c>
      <c r="BD54" s="1951" t="s">
        <v>482</v>
      </c>
      <c r="BE54" s="3629" t="s">
        <v>33</v>
      </c>
    </row>
    <row r="55" spans="1:57" ht="14.25" customHeight="1" thickBot="1">
      <c r="A55" s="3695"/>
      <c r="B55" s="1694" t="s">
        <v>34</v>
      </c>
      <c r="C55" s="3679"/>
      <c r="D55" s="1705">
        <f t="shared" si="8"/>
        <v>0</v>
      </c>
      <c r="E55" s="1706"/>
      <c r="F55" s="1707"/>
      <c r="G55" s="1708"/>
      <c r="H55" s="1709"/>
      <c r="I55" s="3343"/>
      <c r="J55" s="2016"/>
      <c r="K55" s="1767"/>
      <c r="L55" s="1766"/>
      <c r="M55" s="2948"/>
      <c r="N55" s="2016"/>
      <c r="O55" s="2017"/>
      <c r="P55" s="1769"/>
      <c r="Q55" s="1768"/>
      <c r="R55" s="1771"/>
      <c r="S55" s="2018"/>
      <c r="T55" s="3063"/>
      <c r="U55" s="2049"/>
      <c r="V55" s="1836"/>
      <c r="W55" s="3138"/>
      <c r="X55" s="1837"/>
      <c r="Y55" s="1838"/>
      <c r="Z55" s="1839"/>
      <c r="AA55" s="1706"/>
      <c r="AB55" s="1707"/>
      <c r="AC55" s="1887"/>
      <c r="AD55" s="1888"/>
      <c r="AE55" s="3349"/>
      <c r="AF55" s="3408"/>
      <c r="AG55" s="1890"/>
      <c r="AH55" s="2064"/>
      <c r="AI55" s="2960"/>
      <c r="AJ55" s="2016"/>
      <c r="AK55" s="2017"/>
      <c r="AL55" s="1769"/>
      <c r="AM55" s="1891"/>
      <c r="AN55" s="1892"/>
      <c r="AO55" s="1920"/>
      <c r="AP55" s="3063"/>
      <c r="AQ55" s="2076"/>
      <c r="AR55" s="1921"/>
      <c r="AS55" s="3145"/>
      <c r="AT55" s="1922"/>
      <c r="AU55" s="1923"/>
      <c r="AV55" s="1924"/>
      <c r="AW55" s="1947"/>
      <c r="AX55" s="1891"/>
      <c r="AY55" s="1948"/>
      <c r="AZ55" s="1924"/>
      <c r="BA55" s="3634"/>
      <c r="BB55" s="3634"/>
      <c r="BC55" s="1942"/>
      <c r="BD55" s="1951"/>
      <c r="BE55" s="3630"/>
    </row>
    <row r="56" spans="1:57" ht="15.75" thickBot="1">
      <c r="A56" s="3695"/>
      <c r="B56" s="1694" t="s">
        <v>34</v>
      </c>
      <c r="C56" s="3679"/>
      <c r="D56" s="1705">
        <f t="shared" si="8"/>
        <v>0</v>
      </c>
      <c r="E56" s="1706"/>
      <c r="F56" s="1707"/>
      <c r="G56" s="1708"/>
      <c r="H56" s="1709"/>
      <c r="I56" s="3343"/>
      <c r="J56" s="2016"/>
      <c r="K56" s="1767"/>
      <c r="L56" s="1766"/>
      <c r="M56" s="2948"/>
      <c r="N56" s="2016"/>
      <c r="O56" s="2017"/>
      <c r="P56" s="1769"/>
      <c r="Q56" s="1768"/>
      <c r="R56" s="1771"/>
      <c r="S56" s="2018"/>
      <c r="T56" s="3063"/>
      <c r="U56" s="2049"/>
      <c r="V56" s="1836"/>
      <c r="W56" s="3138"/>
      <c r="X56" s="1837"/>
      <c r="Y56" s="1838"/>
      <c r="Z56" s="1839"/>
      <c r="AA56" s="1706"/>
      <c r="AB56" s="1707"/>
      <c r="AC56" s="1887"/>
      <c r="AD56" s="1888"/>
      <c r="AE56" s="3349"/>
      <c r="AF56" s="3408"/>
      <c r="AG56" s="1890"/>
      <c r="AH56" s="2064"/>
      <c r="AI56" s="2960"/>
      <c r="AJ56" s="2016"/>
      <c r="AK56" s="2017"/>
      <c r="AL56" s="1769"/>
      <c r="AM56" s="1891"/>
      <c r="AN56" s="1892"/>
      <c r="AO56" s="1920"/>
      <c r="AP56" s="3063"/>
      <c r="AQ56" s="2076"/>
      <c r="AR56" s="1921"/>
      <c r="AS56" s="3145"/>
      <c r="AT56" s="1922"/>
      <c r="AU56" s="1923"/>
      <c r="AV56" s="1924"/>
      <c r="AW56" s="1947"/>
      <c r="AX56" s="1891"/>
      <c r="AY56" s="1948"/>
      <c r="AZ56" s="1924"/>
      <c r="BA56" s="3634"/>
      <c r="BB56" s="3634"/>
      <c r="BC56" s="1942"/>
      <c r="BD56" s="1951"/>
      <c r="BE56" s="3630"/>
    </row>
    <row r="57" spans="1:57" ht="15.75" thickBot="1">
      <c r="A57" s="3694">
        <v>46137</v>
      </c>
      <c r="B57" s="1738" t="s">
        <v>32</v>
      </c>
      <c r="C57" s="3678">
        <f>SUM(D57:D59)</f>
        <v>470</v>
      </c>
      <c r="D57" s="1689">
        <f t="shared" si="8"/>
        <v>470</v>
      </c>
      <c r="E57" s="1690"/>
      <c r="F57" s="1691"/>
      <c r="G57" s="1692"/>
      <c r="H57" s="1693"/>
      <c r="I57" s="3192"/>
      <c r="J57" s="2034"/>
      <c r="K57" s="1746">
        <v>464</v>
      </c>
      <c r="L57" s="1745"/>
      <c r="M57" s="2955"/>
      <c r="N57" s="2034"/>
      <c r="O57" s="1862"/>
      <c r="P57" s="1748"/>
      <c r="Q57" s="1747"/>
      <c r="R57" s="1750"/>
      <c r="S57" s="2020"/>
      <c r="T57" s="3064"/>
      <c r="U57" s="2050"/>
      <c r="V57" s="1817"/>
      <c r="W57" s="3139"/>
      <c r="X57" s="1818"/>
      <c r="Y57" s="1819"/>
      <c r="Z57" s="1820"/>
      <c r="AA57" s="1726"/>
      <c r="AB57" s="1691"/>
      <c r="AC57" s="1869"/>
      <c r="AD57" s="1893"/>
      <c r="AE57" s="3350"/>
      <c r="AF57" s="3409"/>
      <c r="AG57" s="1894"/>
      <c r="AH57" s="2065"/>
      <c r="AI57" s="2961"/>
      <c r="AJ57" s="2034"/>
      <c r="AK57" s="1862"/>
      <c r="AL57" s="1748"/>
      <c r="AM57" s="1873"/>
      <c r="AN57" s="1874"/>
      <c r="AO57" s="1909"/>
      <c r="AP57" s="3064"/>
      <c r="AQ57" s="2078"/>
      <c r="AR57" s="1910"/>
      <c r="AS57" s="3146"/>
      <c r="AT57" s="1911"/>
      <c r="AU57" s="1864"/>
      <c r="AV57" s="1865"/>
      <c r="AW57" s="1726"/>
      <c r="AX57" s="1873">
        <v>6</v>
      </c>
      <c r="AY57" s="1940"/>
      <c r="AZ57" s="1865"/>
      <c r="BA57" s="3633">
        <f>SUM(E57:Z59)</f>
        <v>464</v>
      </c>
      <c r="BB57" s="3633">
        <f>SUM(E57:AV59)</f>
        <v>464</v>
      </c>
      <c r="BC57" s="1942">
        <v>4003</v>
      </c>
      <c r="BD57" s="1951" t="s">
        <v>482</v>
      </c>
      <c r="BE57" s="3629" t="s">
        <v>33</v>
      </c>
    </row>
    <row r="58" spans="1:57" ht="15" customHeight="1" thickBot="1">
      <c r="A58" s="3695"/>
      <c r="B58" s="1694" t="s">
        <v>34</v>
      </c>
      <c r="C58" s="3679"/>
      <c r="D58" s="1705">
        <f>SUM(E58:AZ58)</f>
        <v>0</v>
      </c>
      <c r="E58" s="1706"/>
      <c r="F58" s="1707"/>
      <c r="G58" s="1708"/>
      <c r="H58" s="1709"/>
      <c r="I58" s="3343"/>
      <c r="J58" s="2016"/>
      <c r="K58" s="1767"/>
      <c r="L58" s="1766"/>
      <c r="M58" s="2948"/>
      <c r="N58" s="2016"/>
      <c r="O58" s="2017"/>
      <c r="P58" s="1769"/>
      <c r="Q58" s="1768"/>
      <c r="R58" s="1771"/>
      <c r="S58" s="2018"/>
      <c r="T58" s="3063"/>
      <c r="U58" s="2049"/>
      <c r="V58" s="1836"/>
      <c r="W58" s="3138"/>
      <c r="X58" s="1837"/>
      <c r="Y58" s="1838"/>
      <c r="Z58" s="1839"/>
      <c r="AA58" s="1706"/>
      <c r="AB58" s="1707"/>
      <c r="AC58" s="1887"/>
      <c r="AD58" s="1888"/>
      <c r="AE58" s="3349"/>
      <c r="AF58" s="3408"/>
      <c r="AG58" s="1890"/>
      <c r="AH58" s="2064"/>
      <c r="AI58" s="2960"/>
      <c r="AJ58" s="2016"/>
      <c r="AK58" s="2017"/>
      <c r="AL58" s="1769"/>
      <c r="AM58" s="1891"/>
      <c r="AN58" s="1892"/>
      <c r="AO58" s="1920"/>
      <c r="AP58" s="3063"/>
      <c r="AQ58" s="2076"/>
      <c r="AR58" s="1921"/>
      <c r="AS58" s="3145"/>
      <c r="AT58" s="1922"/>
      <c r="AU58" s="1923"/>
      <c r="AV58" s="1924"/>
      <c r="AW58" s="1947"/>
      <c r="AX58" s="1891"/>
      <c r="AY58" s="1948"/>
      <c r="AZ58" s="1924"/>
      <c r="BA58" s="3634"/>
      <c r="BB58" s="3634"/>
      <c r="BC58" s="1942"/>
      <c r="BD58" s="1951"/>
      <c r="BE58" s="3630"/>
    </row>
    <row r="59" spans="1:57" ht="15.75" thickBot="1">
      <c r="A59" s="3695"/>
      <c r="B59" s="1694" t="s">
        <v>34</v>
      </c>
      <c r="C59" s="3679"/>
      <c r="D59" s="1705">
        <f t="shared" si="8"/>
        <v>0</v>
      </c>
      <c r="E59" s="1706"/>
      <c r="F59" s="1707"/>
      <c r="G59" s="1708"/>
      <c r="H59" s="1709"/>
      <c r="I59" s="3343"/>
      <c r="J59" s="2016"/>
      <c r="K59" s="1767"/>
      <c r="L59" s="1766"/>
      <c r="M59" s="2948"/>
      <c r="N59" s="2016"/>
      <c r="O59" s="2017"/>
      <c r="P59" s="1769"/>
      <c r="Q59" s="1768"/>
      <c r="R59" s="1771"/>
      <c r="S59" s="2018"/>
      <c r="T59" s="3063"/>
      <c r="U59" s="2049"/>
      <c r="V59" s="1836"/>
      <c r="W59" s="3138"/>
      <c r="X59" s="1837"/>
      <c r="Y59" s="1838"/>
      <c r="Z59" s="1839"/>
      <c r="AA59" s="1706"/>
      <c r="AB59" s="1707"/>
      <c r="AC59" s="1887"/>
      <c r="AD59" s="1888"/>
      <c r="AE59" s="3349"/>
      <c r="AF59" s="3408"/>
      <c r="AG59" s="1890"/>
      <c r="AH59" s="2064"/>
      <c r="AI59" s="2960"/>
      <c r="AJ59" s="2016"/>
      <c r="AK59" s="2017"/>
      <c r="AL59" s="1769"/>
      <c r="AM59" s="1891"/>
      <c r="AN59" s="1892"/>
      <c r="AO59" s="1920"/>
      <c r="AP59" s="3063"/>
      <c r="AQ59" s="2076"/>
      <c r="AR59" s="1921"/>
      <c r="AS59" s="3145"/>
      <c r="AT59" s="1922"/>
      <c r="AU59" s="1923"/>
      <c r="AV59" s="1924"/>
      <c r="AW59" s="1947"/>
      <c r="AX59" s="1891"/>
      <c r="AY59" s="1948"/>
      <c r="AZ59" s="1924"/>
      <c r="BA59" s="3634"/>
      <c r="BB59" s="3634"/>
      <c r="BC59" s="1939"/>
      <c r="BD59" s="1951"/>
      <c r="BE59" s="3630"/>
    </row>
    <row r="60" spans="1:57" ht="18" customHeight="1" thickBot="1">
      <c r="A60" s="3694">
        <v>46138</v>
      </c>
      <c r="B60" s="1688" t="s">
        <v>32</v>
      </c>
      <c r="C60" s="3678">
        <f>SUM(D60:D62)</f>
        <v>483</v>
      </c>
      <c r="D60" s="1689">
        <f t="shared" si="8"/>
        <v>483</v>
      </c>
      <c r="E60" s="1690"/>
      <c r="F60" s="1691"/>
      <c r="G60" s="1692"/>
      <c r="H60" s="1693"/>
      <c r="I60" s="3192"/>
      <c r="J60" s="2034"/>
      <c r="K60" s="1746">
        <v>480</v>
      </c>
      <c r="L60" s="1745"/>
      <c r="M60" s="2955"/>
      <c r="N60" s="2034"/>
      <c r="O60" s="1862"/>
      <c r="P60" s="1748"/>
      <c r="Q60" s="1747"/>
      <c r="R60" s="1750"/>
      <c r="S60" s="2020"/>
      <c r="T60" s="3064"/>
      <c r="U60" s="2050"/>
      <c r="V60" s="1817"/>
      <c r="W60" s="3139"/>
      <c r="X60" s="1818"/>
      <c r="Y60" s="1819"/>
      <c r="Z60" s="1820"/>
      <c r="AA60" s="1726"/>
      <c r="AB60" s="1691"/>
      <c r="AC60" s="1869"/>
      <c r="AD60" s="1893"/>
      <c r="AE60" s="3350"/>
      <c r="AF60" s="3409"/>
      <c r="AG60" s="1894"/>
      <c r="AH60" s="2065"/>
      <c r="AI60" s="2961"/>
      <c r="AJ60" s="2034"/>
      <c r="AK60" s="1862"/>
      <c r="AL60" s="1748"/>
      <c r="AM60" s="1873"/>
      <c r="AN60" s="1874"/>
      <c r="AO60" s="1909"/>
      <c r="AP60" s="3064"/>
      <c r="AQ60" s="2078"/>
      <c r="AR60" s="1910"/>
      <c r="AS60" s="3146"/>
      <c r="AT60" s="1911"/>
      <c r="AU60" s="1864"/>
      <c r="AV60" s="1865"/>
      <c r="AW60" s="1726"/>
      <c r="AX60" s="1873">
        <v>3</v>
      </c>
      <c r="AY60" s="1940"/>
      <c r="AZ60" s="1865"/>
      <c r="BA60" s="3633">
        <f>SUM(E60:Z62)</f>
        <v>480</v>
      </c>
      <c r="BB60" s="3633">
        <f>SUM(E60:AV62)</f>
        <v>480</v>
      </c>
      <c r="BC60" s="1942">
        <v>4003</v>
      </c>
      <c r="BD60" s="1951" t="s">
        <v>482</v>
      </c>
      <c r="BE60" s="3629" t="s">
        <v>33</v>
      </c>
    </row>
    <row r="61" spans="1:57" ht="15.75" thickBot="1">
      <c r="A61" s="3695"/>
      <c r="B61" s="1694" t="s">
        <v>32</v>
      </c>
      <c r="C61" s="3679"/>
      <c r="D61" s="1705">
        <f t="shared" ref="D61" si="13">SUM(E61:AZ61)</f>
        <v>0</v>
      </c>
      <c r="E61" s="1706"/>
      <c r="F61" s="1707"/>
      <c r="G61" s="1708"/>
      <c r="H61" s="1709"/>
      <c r="I61" s="3343"/>
      <c r="J61" s="2016"/>
      <c r="K61" s="1767"/>
      <c r="L61" s="1766"/>
      <c r="M61" s="2948"/>
      <c r="N61" s="2016"/>
      <c r="O61" s="2017"/>
      <c r="P61" s="1769"/>
      <c r="Q61" s="1768"/>
      <c r="R61" s="1771"/>
      <c r="S61" s="2018"/>
      <c r="T61" s="3063"/>
      <c r="U61" s="2049"/>
      <c r="V61" s="1836"/>
      <c r="W61" s="3138"/>
      <c r="X61" s="1837"/>
      <c r="Y61" s="1838"/>
      <c r="Z61" s="1839"/>
      <c r="AA61" s="1706"/>
      <c r="AB61" s="1707"/>
      <c r="AC61" s="1887"/>
      <c r="AD61" s="1888"/>
      <c r="AE61" s="3349"/>
      <c r="AF61" s="3408"/>
      <c r="AG61" s="1890"/>
      <c r="AH61" s="2064"/>
      <c r="AI61" s="2960"/>
      <c r="AJ61" s="2016"/>
      <c r="AK61" s="2017"/>
      <c r="AL61" s="1769"/>
      <c r="AM61" s="1891"/>
      <c r="AN61" s="1892"/>
      <c r="AO61" s="1920"/>
      <c r="AP61" s="3063"/>
      <c r="AQ61" s="2076"/>
      <c r="AR61" s="1921"/>
      <c r="AS61" s="3145"/>
      <c r="AT61" s="1922"/>
      <c r="AU61" s="1923"/>
      <c r="AV61" s="1924"/>
      <c r="AW61" s="1947"/>
      <c r="AX61" s="1891"/>
      <c r="AY61" s="1948"/>
      <c r="AZ61" s="1924"/>
      <c r="BA61" s="3634"/>
      <c r="BB61" s="3634"/>
      <c r="BC61" s="1942"/>
      <c r="BD61" s="1951"/>
      <c r="BE61" s="3630"/>
    </row>
    <row r="62" spans="1:57" ht="15.75" thickBot="1">
      <c r="A62" s="3695"/>
      <c r="B62" s="1694" t="s">
        <v>34</v>
      </c>
      <c r="C62" s="3679"/>
      <c r="D62" s="1705">
        <f t="shared" si="8"/>
        <v>0</v>
      </c>
      <c r="E62" s="1706"/>
      <c r="F62" s="1707"/>
      <c r="G62" s="1708"/>
      <c r="H62" s="1709"/>
      <c r="I62" s="3343"/>
      <c r="J62" s="2016"/>
      <c r="K62" s="1767"/>
      <c r="L62" s="1766"/>
      <c r="M62" s="2948"/>
      <c r="N62" s="2016"/>
      <c r="O62" s="2017"/>
      <c r="P62" s="1769"/>
      <c r="Q62" s="1768"/>
      <c r="R62" s="1771"/>
      <c r="S62" s="2018"/>
      <c r="T62" s="3063"/>
      <c r="U62" s="2049"/>
      <c r="V62" s="1836"/>
      <c r="W62" s="3138"/>
      <c r="X62" s="1837"/>
      <c r="Y62" s="1838"/>
      <c r="Z62" s="1839"/>
      <c r="AA62" s="1706"/>
      <c r="AB62" s="1707"/>
      <c r="AC62" s="1887"/>
      <c r="AD62" s="1888"/>
      <c r="AE62" s="3349"/>
      <c r="AF62" s="3408"/>
      <c r="AG62" s="1890"/>
      <c r="AH62" s="2064"/>
      <c r="AI62" s="2960"/>
      <c r="AJ62" s="2016"/>
      <c r="AK62" s="2017"/>
      <c r="AL62" s="1769"/>
      <c r="AM62" s="1891"/>
      <c r="AN62" s="1892"/>
      <c r="AO62" s="1920"/>
      <c r="AP62" s="3063"/>
      <c r="AQ62" s="2076"/>
      <c r="AR62" s="1921"/>
      <c r="AS62" s="3145"/>
      <c r="AT62" s="1922"/>
      <c r="AU62" s="1923"/>
      <c r="AV62" s="1924"/>
      <c r="AW62" s="1947"/>
      <c r="AX62" s="1891"/>
      <c r="AY62" s="1948"/>
      <c r="AZ62" s="1924"/>
      <c r="BA62" s="3634"/>
      <c r="BB62" s="3634"/>
      <c r="BC62" s="1942"/>
      <c r="BD62" s="1952"/>
      <c r="BE62" s="3630"/>
    </row>
    <row r="63" spans="1:57" ht="15.75" thickBot="1">
      <c r="A63" s="3694">
        <v>46139</v>
      </c>
      <c r="B63" s="1738" t="s">
        <v>32</v>
      </c>
      <c r="C63" s="3678">
        <f>SUM(D63:D65)</f>
        <v>441</v>
      </c>
      <c r="D63" s="1689">
        <f t="shared" si="8"/>
        <v>441</v>
      </c>
      <c r="E63" s="1690"/>
      <c r="F63" s="1691"/>
      <c r="G63" s="1692"/>
      <c r="H63" s="1693"/>
      <c r="I63" s="3192"/>
      <c r="J63" s="2034"/>
      <c r="K63" s="1746">
        <f>32+400</f>
        <v>432</v>
      </c>
      <c r="L63" s="1745"/>
      <c r="M63" s="2955"/>
      <c r="N63" s="2034"/>
      <c r="O63" s="1862"/>
      <c r="P63" s="1748"/>
      <c r="Q63" s="1747"/>
      <c r="R63" s="1750"/>
      <c r="S63" s="2020"/>
      <c r="T63" s="3064"/>
      <c r="U63" s="2050"/>
      <c r="V63" s="1817"/>
      <c r="W63" s="3139"/>
      <c r="X63" s="1818"/>
      <c r="Y63" s="1819"/>
      <c r="Z63" s="1820"/>
      <c r="AA63" s="1726"/>
      <c r="AB63" s="1691"/>
      <c r="AC63" s="1869"/>
      <c r="AD63" s="1893"/>
      <c r="AE63" s="3350"/>
      <c r="AF63" s="3409"/>
      <c r="AG63" s="1894">
        <v>3</v>
      </c>
      <c r="AH63" s="2065"/>
      <c r="AI63" s="2961"/>
      <c r="AJ63" s="2034"/>
      <c r="AK63" s="1862"/>
      <c r="AL63" s="1748"/>
      <c r="AM63" s="1873"/>
      <c r="AN63" s="1874"/>
      <c r="AO63" s="1909"/>
      <c r="AP63" s="3064"/>
      <c r="AQ63" s="2078"/>
      <c r="AR63" s="1910"/>
      <c r="AS63" s="3146"/>
      <c r="AT63" s="1911"/>
      <c r="AU63" s="1864"/>
      <c r="AV63" s="1865"/>
      <c r="AW63" s="1726"/>
      <c r="AX63" s="1873">
        <f>1+5</f>
        <v>6</v>
      </c>
      <c r="AY63" s="1940"/>
      <c r="AZ63" s="1865"/>
      <c r="BA63" s="3633">
        <f>SUM(E63:Z65)</f>
        <v>432</v>
      </c>
      <c r="BB63" s="3633">
        <f>SUM(E63:AV65)</f>
        <v>435</v>
      </c>
      <c r="BC63" s="1942">
        <v>4003</v>
      </c>
      <c r="BD63" s="1952" t="s">
        <v>617</v>
      </c>
      <c r="BE63" s="3629" t="s">
        <v>33</v>
      </c>
    </row>
    <row r="64" spans="1:57" ht="15.75" thickBot="1">
      <c r="A64" s="3695"/>
      <c r="B64" s="1694" t="s">
        <v>32</v>
      </c>
      <c r="C64" s="3679"/>
      <c r="D64" s="1705">
        <f t="shared" si="8"/>
        <v>0</v>
      </c>
      <c r="E64" s="1706"/>
      <c r="F64" s="1707"/>
      <c r="G64" s="1708"/>
      <c r="H64" s="1709"/>
      <c r="I64" s="3343"/>
      <c r="J64" s="2016"/>
      <c r="K64" s="1767"/>
      <c r="L64" s="1766"/>
      <c r="M64" s="2948"/>
      <c r="N64" s="2016"/>
      <c r="O64" s="2017"/>
      <c r="P64" s="1769"/>
      <c r="Q64" s="1768"/>
      <c r="R64" s="1771"/>
      <c r="S64" s="2018"/>
      <c r="T64" s="3063"/>
      <c r="U64" s="2049"/>
      <c r="V64" s="1836"/>
      <c r="W64" s="3138"/>
      <c r="X64" s="1837"/>
      <c r="Y64" s="1838"/>
      <c r="Z64" s="1839"/>
      <c r="AA64" s="1706"/>
      <c r="AB64" s="1707"/>
      <c r="AC64" s="1887"/>
      <c r="AD64" s="1888"/>
      <c r="AE64" s="3349"/>
      <c r="AF64" s="3408"/>
      <c r="AG64" s="1890"/>
      <c r="AH64" s="2064"/>
      <c r="AI64" s="2960"/>
      <c r="AJ64" s="2016"/>
      <c r="AK64" s="2017"/>
      <c r="AL64" s="1769"/>
      <c r="AM64" s="1891"/>
      <c r="AN64" s="1892"/>
      <c r="AO64" s="1920"/>
      <c r="AP64" s="3063"/>
      <c r="AQ64" s="2076"/>
      <c r="AR64" s="1921"/>
      <c r="AS64" s="3145"/>
      <c r="AT64" s="1922"/>
      <c r="AU64" s="1923"/>
      <c r="AV64" s="1924"/>
      <c r="AW64" s="1947"/>
      <c r="AX64" s="1891"/>
      <c r="AY64" s="1948"/>
      <c r="AZ64" s="1924"/>
      <c r="BA64" s="3634"/>
      <c r="BB64" s="3634"/>
      <c r="BC64" s="1942"/>
      <c r="BD64" s="1951"/>
      <c r="BE64" s="3630"/>
    </row>
    <row r="65" spans="1:57" ht="15.75" thickBot="1">
      <c r="A65" s="3695"/>
      <c r="B65" s="1694" t="s">
        <v>34</v>
      </c>
      <c r="C65" s="3679"/>
      <c r="D65" s="1705">
        <f t="shared" si="8"/>
        <v>0</v>
      </c>
      <c r="E65" s="1706"/>
      <c r="F65" s="1707"/>
      <c r="G65" s="1708"/>
      <c r="H65" s="1709"/>
      <c r="I65" s="3343"/>
      <c r="J65" s="2016"/>
      <c r="K65" s="1767"/>
      <c r="L65" s="1766"/>
      <c r="M65" s="2948"/>
      <c r="N65" s="2016"/>
      <c r="O65" s="2017"/>
      <c r="P65" s="1769"/>
      <c r="Q65" s="1768"/>
      <c r="R65" s="1771"/>
      <c r="S65" s="2018"/>
      <c r="T65" s="3063"/>
      <c r="U65" s="2049"/>
      <c r="V65" s="1836"/>
      <c r="W65" s="3138"/>
      <c r="X65" s="1837"/>
      <c r="Y65" s="1838"/>
      <c r="Z65" s="1839"/>
      <c r="AA65" s="1706"/>
      <c r="AB65" s="1707"/>
      <c r="AC65" s="1887"/>
      <c r="AD65" s="1888"/>
      <c r="AE65" s="3349"/>
      <c r="AF65" s="3408"/>
      <c r="AG65" s="1890"/>
      <c r="AH65" s="2064"/>
      <c r="AI65" s="2960"/>
      <c r="AJ65" s="2016"/>
      <c r="AK65" s="2017"/>
      <c r="AL65" s="1769"/>
      <c r="AM65" s="1891"/>
      <c r="AN65" s="1892"/>
      <c r="AO65" s="1920"/>
      <c r="AP65" s="3063"/>
      <c r="AQ65" s="2076"/>
      <c r="AR65" s="1921"/>
      <c r="AS65" s="3145"/>
      <c r="AT65" s="1922"/>
      <c r="AU65" s="1923"/>
      <c r="AV65" s="1924"/>
      <c r="AW65" s="1947"/>
      <c r="AX65" s="1891"/>
      <c r="AY65" s="1948"/>
      <c r="AZ65" s="1924"/>
      <c r="BA65" s="3634"/>
      <c r="BB65" s="3634"/>
      <c r="BC65" s="1942"/>
      <c r="BD65" s="1951"/>
      <c r="BE65" s="3630"/>
    </row>
    <row r="66" spans="1:57" ht="15.75" thickBot="1">
      <c r="A66" s="3694">
        <v>46140</v>
      </c>
      <c r="B66" s="1738" t="s">
        <v>32</v>
      </c>
      <c r="C66" s="3678">
        <f>SUM(D66:D68)</f>
        <v>358</v>
      </c>
      <c r="D66" s="1689">
        <f t="shared" si="8"/>
        <v>358</v>
      </c>
      <c r="E66" s="1690"/>
      <c r="F66" s="1691"/>
      <c r="G66" s="1692"/>
      <c r="H66" s="1693"/>
      <c r="I66" s="3192"/>
      <c r="J66" s="2034"/>
      <c r="K66" s="1746">
        <f>64+288</f>
        <v>352</v>
      </c>
      <c r="L66" s="1745"/>
      <c r="M66" s="2955"/>
      <c r="N66" s="2034"/>
      <c r="O66" s="1862"/>
      <c r="P66" s="1748"/>
      <c r="Q66" s="1747"/>
      <c r="R66" s="1750"/>
      <c r="S66" s="2020"/>
      <c r="T66" s="3064"/>
      <c r="U66" s="2050"/>
      <c r="V66" s="1817"/>
      <c r="W66" s="3139"/>
      <c r="X66" s="1818"/>
      <c r="Y66" s="1819"/>
      <c r="Z66" s="1820"/>
      <c r="AA66" s="1726"/>
      <c r="AB66" s="1691"/>
      <c r="AC66" s="1869"/>
      <c r="AD66" s="1893"/>
      <c r="AE66" s="3350"/>
      <c r="AF66" s="3409"/>
      <c r="AG66" s="1894">
        <v>3</v>
      </c>
      <c r="AH66" s="2065"/>
      <c r="AI66" s="2961"/>
      <c r="AJ66" s="2034"/>
      <c r="AK66" s="1862"/>
      <c r="AL66" s="1748"/>
      <c r="AM66" s="1873"/>
      <c r="AN66" s="1874"/>
      <c r="AO66" s="1909"/>
      <c r="AP66" s="3064"/>
      <c r="AQ66" s="2078"/>
      <c r="AR66" s="1910"/>
      <c r="AS66" s="3146"/>
      <c r="AT66" s="1911"/>
      <c r="AU66" s="1864"/>
      <c r="AV66" s="1865"/>
      <c r="AW66" s="1726"/>
      <c r="AX66" s="1873">
        <f>1+2</f>
        <v>3</v>
      </c>
      <c r="AY66" s="1940"/>
      <c r="AZ66" s="1865"/>
      <c r="BA66" s="3633">
        <f>SUM(E66:Z68)</f>
        <v>352</v>
      </c>
      <c r="BB66" s="3633">
        <f>SUM(E66:AV68)</f>
        <v>355</v>
      </c>
      <c r="BC66" s="1942">
        <v>4003</v>
      </c>
      <c r="BD66" s="1951" t="s">
        <v>640</v>
      </c>
      <c r="BE66" s="3629" t="s">
        <v>33</v>
      </c>
    </row>
    <row r="67" spans="1:57" ht="15.75" thickBot="1">
      <c r="A67" s="3695"/>
      <c r="B67" s="1694" t="s">
        <v>34</v>
      </c>
      <c r="C67" s="3679"/>
      <c r="D67" s="1705">
        <f t="shared" ref="D67" si="14">SUM(E67:AZ67)</f>
        <v>0</v>
      </c>
      <c r="E67" s="1706"/>
      <c r="F67" s="1707"/>
      <c r="G67" s="1708"/>
      <c r="H67" s="1709"/>
      <c r="I67" s="3343"/>
      <c r="J67" s="2016"/>
      <c r="K67" s="1767"/>
      <c r="L67" s="1766"/>
      <c r="M67" s="2948"/>
      <c r="N67" s="2016"/>
      <c r="O67" s="2017"/>
      <c r="P67" s="1769"/>
      <c r="Q67" s="1768"/>
      <c r="R67" s="1771"/>
      <c r="S67" s="2018"/>
      <c r="T67" s="3063"/>
      <c r="U67" s="2049"/>
      <c r="V67" s="1836"/>
      <c r="W67" s="3138"/>
      <c r="X67" s="1837"/>
      <c r="Y67" s="1838"/>
      <c r="Z67" s="1839"/>
      <c r="AA67" s="1706"/>
      <c r="AB67" s="1707"/>
      <c r="AC67" s="1887"/>
      <c r="AD67" s="1888"/>
      <c r="AE67" s="3349"/>
      <c r="AF67" s="3408"/>
      <c r="AG67" s="1890"/>
      <c r="AH67" s="2064"/>
      <c r="AI67" s="2960"/>
      <c r="AJ67" s="2016"/>
      <c r="AK67" s="2017"/>
      <c r="AL67" s="1769"/>
      <c r="AM67" s="1891"/>
      <c r="AN67" s="1892"/>
      <c r="AO67" s="1920"/>
      <c r="AP67" s="3063"/>
      <c r="AQ67" s="2076"/>
      <c r="AR67" s="1921"/>
      <c r="AS67" s="3145"/>
      <c r="AT67" s="1922"/>
      <c r="AU67" s="1923"/>
      <c r="AV67" s="1924"/>
      <c r="AW67" s="1947"/>
      <c r="AX67" s="1891"/>
      <c r="AY67" s="1948"/>
      <c r="AZ67" s="1924"/>
      <c r="BA67" s="3634"/>
      <c r="BB67" s="3634"/>
      <c r="BC67" s="1942"/>
      <c r="BD67" s="1951"/>
      <c r="BE67" s="3630"/>
    </row>
    <row r="68" spans="1:57" ht="15.75" thickBot="1">
      <c r="A68" s="3695"/>
      <c r="B68" s="1694" t="s">
        <v>34</v>
      </c>
      <c r="C68" s="3679"/>
      <c r="D68" s="1705">
        <f t="shared" si="8"/>
        <v>0</v>
      </c>
      <c r="E68" s="1706"/>
      <c r="F68" s="1707"/>
      <c r="G68" s="1708"/>
      <c r="H68" s="1709"/>
      <c r="I68" s="3343"/>
      <c r="J68" s="2016"/>
      <c r="K68" s="1767"/>
      <c r="L68" s="1766"/>
      <c r="M68" s="2948"/>
      <c r="N68" s="2016"/>
      <c r="O68" s="2017"/>
      <c r="P68" s="1769"/>
      <c r="Q68" s="1768"/>
      <c r="R68" s="1771"/>
      <c r="S68" s="2018"/>
      <c r="T68" s="3063"/>
      <c r="U68" s="2049"/>
      <c r="V68" s="1836"/>
      <c r="W68" s="3138"/>
      <c r="X68" s="1837"/>
      <c r="Y68" s="1838"/>
      <c r="Z68" s="1839"/>
      <c r="AA68" s="1706"/>
      <c r="AB68" s="1707"/>
      <c r="AC68" s="1887"/>
      <c r="AD68" s="1888"/>
      <c r="AE68" s="3349"/>
      <c r="AF68" s="3408"/>
      <c r="AG68" s="1890"/>
      <c r="AH68" s="2064"/>
      <c r="AI68" s="2960"/>
      <c r="AJ68" s="2016"/>
      <c r="AK68" s="2017"/>
      <c r="AL68" s="1769"/>
      <c r="AM68" s="1891"/>
      <c r="AN68" s="1892"/>
      <c r="AO68" s="1920"/>
      <c r="AP68" s="3063"/>
      <c r="AQ68" s="2076"/>
      <c r="AR68" s="1921"/>
      <c r="AS68" s="3145"/>
      <c r="AT68" s="1922"/>
      <c r="AU68" s="1923"/>
      <c r="AV68" s="1924"/>
      <c r="AW68" s="1947"/>
      <c r="AX68" s="1891"/>
      <c r="AY68" s="1948"/>
      <c r="AZ68" s="1924"/>
      <c r="BA68" s="3634"/>
      <c r="BB68" s="3634"/>
      <c r="BC68" s="1942"/>
      <c r="BD68" s="1951"/>
      <c r="BE68" s="3630"/>
    </row>
    <row r="69" spans="1:57" ht="15.75" thickBot="1">
      <c r="A69" s="3694">
        <v>46141</v>
      </c>
      <c r="B69" s="1738" t="s">
        <v>32</v>
      </c>
      <c r="C69" s="3678">
        <f>SUM(D69:D71)</f>
        <v>418</v>
      </c>
      <c r="D69" s="1689">
        <f t="shared" si="8"/>
        <v>418</v>
      </c>
      <c r="E69" s="1690"/>
      <c r="F69" s="1691"/>
      <c r="G69" s="1692"/>
      <c r="H69" s="1693"/>
      <c r="I69" s="3192"/>
      <c r="J69" s="2034"/>
      <c r="K69" s="1746">
        <v>416</v>
      </c>
      <c r="L69" s="1745"/>
      <c r="M69" s="2955"/>
      <c r="N69" s="2034"/>
      <c r="O69" s="1862"/>
      <c r="P69" s="1748"/>
      <c r="Q69" s="1747"/>
      <c r="R69" s="1750"/>
      <c r="S69" s="2020"/>
      <c r="T69" s="3064"/>
      <c r="U69" s="2050"/>
      <c r="V69" s="1817"/>
      <c r="W69" s="3139"/>
      <c r="X69" s="1818"/>
      <c r="Y69" s="1819"/>
      <c r="Z69" s="1820"/>
      <c r="AA69" s="1726"/>
      <c r="AB69" s="1691"/>
      <c r="AC69" s="1869"/>
      <c r="AD69" s="1893"/>
      <c r="AE69" s="3350"/>
      <c r="AF69" s="3409"/>
      <c r="AG69" s="1894"/>
      <c r="AH69" s="2065"/>
      <c r="AI69" s="2961"/>
      <c r="AJ69" s="2034"/>
      <c r="AK69" s="1862"/>
      <c r="AL69" s="1748"/>
      <c r="AM69" s="1873"/>
      <c r="AN69" s="1874"/>
      <c r="AO69" s="1909"/>
      <c r="AP69" s="3064"/>
      <c r="AQ69" s="2078"/>
      <c r="AR69" s="1910"/>
      <c r="AS69" s="3146"/>
      <c r="AT69" s="1911"/>
      <c r="AU69" s="1864"/>
      <c r="AV69" s="1865"/>
      <c r="AW69" s="1726"/>
      <c r="AX69" s="1873">
        <v>2</v>
      </c>
      <c r="AY69" s="1940"/>
      <c r="AZ69" s="1865"/>
      <c r="BA69" s="3633">
        <f>SUM(E69:Z71)</f>
        <v>416</v>
      </c>
      <c r="BB69" s="3633">
        <f>SUM(E69:AV71)</f>
        <v>416</v>
      </c>
      <c r="BC69" s="1942">
        <v>4003</v>
      </c>
      <c r="BD69" s="1951" t="s">
        <v>533</v>
      </c>
      <c r="BE69" s="3629" t="s">
        <v>33</v>
      </c>
    </row>
    <row r="70" spans="1:57" ht="15.75" thickBot="1">
      <c r="A70" s="3695"/>
      <c r="B70" s="1694" t="s">
        <v>34</v>
      </c>
      <c r="C70" s="3679"/>
      <c r="D70" s="1705">
        <f t="shared" si="8"/>
        <v>0</v>
      </c>
      <c r="E70" s="1706"/>
      <c r="F70" s="1707"/>
      <c r="G70" s="1708"/>
      <c r="H70" s="1709"/>
      <c r="I70" s="3343"/>
      <c r="J70" s="2016"/>
      <c r="K70" s="1767"/>
      <c r="L70" s="1766"/>
      <c r="M70" s="2948"/>
      <c r="N70" s="2016"/>
      <c r="O70" s="2017"/>
      <c r="P70" s="1769"/>
      <c r="Q70" s="1768"/>
      <c r="R70" s="1771"/>
      <c r="S70" s="2018"/>
      <c r="T70" s="3063"/>
      <c r="U70" s="2049"/>
      <c r="V70" s="1836"/>
      <c r="W70" s="3138"/>
      <c r="X70" s="1837"/>
      <c r="Y70" s="1838"/>
      <c r="Z70" s="1839"/>
      <c r="AA70" s="1706"/>
      <c r="AB70" s="1707"/>
      <c r="AC70" s="1887"/>
      <c r="AD70" s="1888"/>
      <c r="AE70" s="3349"/>
      <c r="AF70" s="3408"/>
      <c r="AG70" s="1890"/>
      <c r="AH70" s="2064"/>
      <c r="AI70" s="2960"/>
      <c r="AJ70" s="2016"/>
      <c r="AK70" s="2017"/>
      <c r="AL70" s="1769"/>
      <c r="AM70" s="1891"/>
      <c r="AN70" s="1892"/>
      <c r="AO70" s="1920"/>
      <c r="AP70" s="3063"/>
      <c r="AQ70" s="2076"/>
      <c r="AR70" s="1921"/>
      <c r="AS70" s="3145"/>
      <c r="AT70" s="1922"/>
      <c r="AU70" s="1923"/>
      <c r="AV70" s="1924"/>
      <c r="AW70" s="1947"/>
      <c r="AX70" s="1891"/>
      <c r="AY70" s="1948"/>
      <c r="AZ70" s="1924"/>
      <c r="BA70" s="3634"/>
      <c r="BB70" s="3634"/>
      <c r="BC70" s="1942"/>
      <c r="BD70" s="1951"/>
      <c r="BE70" s="3630"/>
    </row>
    <row r="71" spans="1:57" ht="15.75" thickBot="1">
      <c r="A71" s="3695"/>
      <c r="B71" s="1694" t="s">
        <v>34</v>
      </c>
      <c r="C71" s="3679"/>
      <c r="D71" s="1705">
        <f t="shared" ref="D71:D80" si="15">SUM(E71:AZ71)</f>
        <v>0</v>
      </c>
      <c r="E71" s="1706"/>
      <c r="F71" s="1707"/>
      <c r="G71" s="1708"/>
      <c r="H71" s="1709"/>
      <c r="I71" s="3343"/>
      <c r="J71" s="2016"/>
      <c r="K71" s="1767"/>
      <c r="L71" s="1766"/>
      <c r="M71" s="2948"/>
      <c r="N71" s="2016"/>
      <c r="O71" s="2017"/>
      <c r="P71" s="1769"/>
      <c r="Q71" s="1768"/>
      <c r="R71" s="1771"/>
      <c r="S71" s="2018"/>
      <c r="T71" s="3063"/>
      <c r="U71" s="2049"/>
      <c r="V71" s="1836"/>
      <c r="W71" s="3138"/>
      <c r="X71" s="1837"/>
      <c r="Y71" s="1838"/>
      <c r="Z71" s="1839"/>
      <c r="AA71" s="1706"/>
      <c r="AB71" s="1707"/>
      <c r="AC71" s="1887"/>
      <c r="AD71" s="1888"/>
      <c r="AE71" s="3349"/>
      <c r="AF71" s="3408"/>
      <c r="AG71" s="1890"/>
      <c r="AH71" s="2064"/>
      <c r="AI71" s="2960"/>
      <c r="AJ71" s="2016"/>
      <c r="AK71" s="2017"/>
      <c r="AL71" s="1769"/>
      <c r="AM71" s="1891"/>
      <c r="AN71" s="1892"/>
      <c r="AO71" s="1920"/>
      <c r="AP71" s="3063"/>
      <c r="AQ71" s="2076"/>
      <c r="AR71" s="1921"/>
      <c r="AS71" s="3145"/>
      <c r="AT71" s="1922"/>
      <c r="AU71" s="1923"/>
      <c r="AV71" s="1924"/>
      <c r="AW71" s="1947"/>
      <c r="AX71" s="1891"/>
      <c r="AY71" s="1948"/>
      <c r="AZ71" s="1924"/>
      <c r="BA71" s="3634"/>
      <c r="BB71" s="3634"/>
      <c r="BC71" s="1942"/>
      <c r="BD71" s="1951"/>
      <c r="BE71" s="3630"/>
    </row>
    <row r="72" spans="1:57" ht="15.75" thickBot="1">
      <c r="A72" s="3694"/>
      <c r="B72" s="1738" t="s">
        <v>32</v>
      </c>
      <c r="C72" s="3678">
        <f>SUM(D72:D75)</f>
        <v>0</v>
      </c>
      <c r="D72" s="1689">
        <f t="shared" ref="D72:D75" si="16">SUM(E72:AZ72)</f>
        <v>0</v>
      </c>
      <c r="E72" s="1690"/>
      <c r="F72" s="1691"/>
      <c r="G72" s="1692"/>
      <c r="H72" s="1693"/>
      <c r="I72" s="3192"/>
      <c r="J72" s="2034"/>
      <c r="K72" s="1746"/>
      <c r="L72" s="1745"/>
      <c r="M72" s="2955"/>
      <c r="N72" s="2034"/>
      <c r="O72" s="1862"/>
      <c r="P72" s="1748"/>
      <c r="Q72" s="1747"/>
      <c r="R72" s="1750"/>
      <c r="S72" s="2020"/>
      <c r="T72" s="3064"/>
      <c r="U72" s="2050"/>
      <c r="V72" s="1817"/>
      <c r="W72" s="3139"/>
      <c r="X72" s="1818"/>
      <c r="Y72" s="1819"/>
      <c r="Z72" s="1820"/>
      <c r="AA72" s="1726"/>
      <c r="AB72" s="1691"/>
      <c r="AC72" s="1869"/>
      <c r="AD72" s="1893"/>
      <c r="AE72" s="3350"/>
      <c r="AF72" s="3409"/>
      <c r="AG72" s="1894"/>
      <c r="AH72" s="2065"/>
      <c r="AI72" s="2961"/>
      <c r="AJ72" s="2034"/>
      <c r="AK72" s="1862"/>
      <c r="AL72" s="1748"/>
      <c r="AM72" s="1873"/>
      <c r="AN72" s="1874"/>
      <c r="AO72" s="1909"/>
      <c r="AP72" s="3064"/>
      <c r="AQ72" s="2078"/>
      <c r="AR72" s="1910"/>
      <c r="AS72" s="3146"/>
      <c r="AT72" s="1911"/>
      <c r="AU72" s="1864"/>
      <c r="AV72" s="1865"/>
      <c r="AW72" s="1726"/>
      <c r="AX72" s="1873"/>
      <c r="AY72" s="1940"/>
      <c r="AZ72" s="1865"/>
      <c r="BA72" s="3633">
        <f>SUM(E72:Z75)</f>
        <v>0</v>
      </c>
      <c r="BB72" s="3633">
        <f>SUM(E72:AV75)</f>
        <v>0</v>
      </c>
      <c r="BC72" s="1942"/>
      <c r="BD72" s="1951"/>
      <c r="BE72" s="3629" t="s">
        <v>33</v>
      </c>
    </row>
    <row r="73" spans="1:57" ht="15.75" thickBot="1">
      <c r="A73" s="3695"/>
      <c r="B73" s="1694" t="s">
        <v>34</v>
      </c>
      <c r="C73" s="3679"/>
      <c r="D73" s="1705">
        <f t="shared" si="16"/>
        <v>0</v>
      </c>
      <c r="E73" s="1706"/>
      <c r="F73" s="1707"/>
      <c r="G73" s="1708"/>
      <c r="H73" s="1709"/>
      <c r="I73" s="3343"/>
      <c r="J73" s="2016"/>
      <c r="K73" s="1767"/>
      <c r="L73" s="1766"/>
      <c r="M73" s="2948"/>
      <c r="N73" s="2016"/>
      <c r="O73" s="2017"/>
      <c r="P73" s="1769"/>
      <c r="Q73" s="1768"/>
      <c r="R73" s="1771"/>
      <c r="S73" s="2018"/>
      <c r="T73" s="3063"/>
      <c r="U73" s="2049"/>
      <c r="V73" s="1836"/>
      <c r="W73" s="3138"/>
      <c r="X73" s="1837"/>
      <c r="Y73" s="1838"/>
      <c r="Z73" s="1839"/>
      <c r="AA73" s="1706"/>
      <c r="AB73" s="1707"/>
      <c r="AC73" s="1887"/>
      <c r="AD73" s="1888"/>
      <c r="AE73" s="3349"/>
      <c r="AF73" s="3408"/>
      <c r="AG73" s="1890"/>
      <c r="AH73" s="2064"/>
      <c r="AI73" s="2960"/>
      <c r="AJ73" s="2016"/>
      <c r="AK73" s="2017"/>
      <c r="AL73" s="1769"/>
      <c r="AM73" s="1891"/>
      <c r="AN73" s="1892"/>
      <c r="AO73" s="1920"/>
      <c r="AP73" s="3063"/>
      <c r="AQ73" s="2076"/>
      <c r="AR73" s="1921"/>
      <c r="AS73" s="3145"/>
      <c r="AT73" s="1922"/>
      <c r="AU73" s="1923"/>
      <c r="AV73" s="1924"/>
      <c r="AW73" s="1947"/>
      <c r="AX73" s="1891"/>
      <c r="AY73" s="1948"/>
      <c r="AZ73" s="1924"/>
      <c r="BA73" s="3634"/>
      <c r="BB73" s="3634"/>
      <c r="BC73" s="1942"/>
      <c r="BD73" s="1951"/>
      <c r="BE73" s="3630"/>
    </row>
    <row r="74" spans="1:57" ht="14.25" customHeight="1" thickBot="1">
      <c r="A74" s="3695"/>
      <c r="B74" s="1694" t="s">
        <v>34</v>
      </c>
      <c r="C74" s="3679"/>
      <c r="D74" s="1705">
        <f t="shared" si="16"/>
        <v>0</v>
      </c>
      <c r="E74" s="1706"/>
      <c r="F74" s="1707"/>
      <c r="G74" s="1708"/>
      <c r="H74" s="1709"/>
      <c r="I74" s="3343"/>
      <c r="J74" s="2016"/>
      <c r="K74" s="1767"/>
      <c r="L74" s="1766"/>
      <c r="M74" s="2948"/>
      <c r="N74" s="2016"/>
      <c r="O74" s="2017"/>
      <c r="P74" s="1769"/>
      <c r="Q74" s="1768"/>
      <c r="R74" s="1771"/>
      <c r="S74" s="2018"/>
      <c r="T74" s="3063"/>
      <c r="U74" s="2049"/>
      <c r="V74" s="1836"/>
      <c r="W74" s="3138"/>
      <c r="X74" s="1837"/>
      <c r="Y74" s="1838"/>
      <c r="Z74" s="1839"/>
      <c r="AA74" s="1706"/>
      <c r="AB74" s="1707"/>
      <c r="AC74" s="1887"/>
      <c r="AD74" s="1888"/>
      <c r="AE74" s="3349"/>
      <c r="AF74" s="3408"/>
      <c r="AG74" s="1890"/>
      <c r="AH74" s="2064"/>
      <c r="AI74" s="2960"/>
      <c r="AJ74" s="2016"/>
      <c r="AK74" s="2017"/>
      <c r="AL74" s="1769"/>
      <c r="AM74" s="1891"/>
      <c r="AN74" s="1892"/>
      <c r="AO74" s="1920"/>
      <c r="AP74" s="3063"/>
      <c r="AQ74" s="2076"/>
      <c r="AR74" s="1921"/>
      <c r="AS74" s="3145"/>
      <c r="AT74" s="1922"/>
      <c r="AU74" s="1923"/>
      <c r="AV74" s="1924"/>
      <c r="AW74" s="1947"/>
      <c r="AX74" s="1891"/>
      <c r="AY74" s="1948"/>
      <c r="AZ74" s="1924"/>
      <c r="BA74" s="3634"/>
      <c r="BB74" s="3634"/>
      <c r="BC74" s="1942"/>
      <c r="BD74" s="1951"/>
      <c r="BE74" s="3630"/>
    </row>
    <row r="75" spans="1:57" ht="15.75" thickBot="1">
      <c r="A75" s="3695"/>
      <c r="B75" s="1694" t="s">
        <v>34</v>
      </c>
      <c r="C75" s="3679"/>
      <c r="D75" s="1705">
        <f t="shared" si="16"/>
        <v>0</v>
      </c>
      <c r="E75" s="1706"/>
      <c r="F75" s="1707"/>
      <c r="G75" s="1708"/>
      <c r="H75" s="1709"/>
      <c r="I75" s="3343"/>
      <c r="J75" s="2016"/>
      <c r="K75" s="1767"/>
      <c r="L75" s="1766"/>
      <c r="M75" s="2948"/>
      <c r="N75" s="2016"/>
      <c r="O75" s="2017"/>
      <c r="P75" s="1769"/>
      <c r="Q75" s="1768"/>
      <c r="R75" s="1771"/>
      <c r="S75" s="2018"/>
      <c r="T75" s="3063"/>
      <c r="U75" s="2049"/>
      <c r="V75" s="1836"/>
      <c r="W75" s="3138"/>
      <c r="X75" s="1837"/>
      <c r="Y75" s="1838"/>
      <c r="Z75" s="1839"/>
      <c r="AA75" s="1706"/>
      <c r="AB75" s="1707"/>
      <c r="AC75" s="1887"/>
      <c r="AD75" s="1888"/>
      <c r="AE75" s="3349"/>
      <c r="AF75" s="3408"/>
      <c r="AG75" s="1890"/>
      <c r="AH75" s="2064"/>
      <c r="AI75" s="2960"/>
      <c r="AJ75" s="2016"/>
      <c r="AK75" s="2017"/>
      <c r="AL75" s="1769"/>
      <c r="AM75" s="1891"/>
      <c r="AN75" s="1892"/>
      <c r="AO75" s="1920"/>
      <c r="AP75" s="3063"/>
      <c r="AQ75" s="2076"/>
      <c r="AR75" s="1921"/>
      <c r="AS75" s="3145"/>
      <c r="AT75" s="1922"/>
      <c r="AU75" s="1923"/>
      <c r="AV75" s="1924"/>
      <c r="AW75" s="1947"/>
      <c r="AX75" s="1891"/>
      <c r="AY75" s="1948"/>
      <c r="AZ75" s="1924"/>
      <c r="BA75" s="3634"/>
      <c r="BB75" s="3634"/>
      <c r="BC75" s="1942"/>
      <c r="BD75" s="1951"/>
      <c r="BE75" s="3630"/>
    </row>
    <row r="76" spans="1:57" ht="15.75" thickBot="1">
      <c r="A76" s="3694"/>
      <c r="B76" s="1738" t="s">
        <v>32</v>
      </c>
      <c r="C76" s="3678">
        <f>SUM(D76:D79)</f>
        <v>0</v>
      </c>
      <c r="D76" s="1689">
        <f t="shared" si="15"/>
        <v>0</v>
      </c>
      <c r="E76" s="1690"/>
      <c r="F76" s="1691"/>
      <c r="G76" s="1692"/>
      <c r="H76" s="1693"/>
      <c r="I76" s="3192"/>
      <c r="J76" s="2034"/>
      <c r="K76" s="1746"/>
      <c r="L76" s="1745"/>
      <c r="M76" s="2955"/>
      <c r="N76" s="2034"/>
      <c r="O76" s="1862"/>
      <c r="P76" s="1748"/>
      <c r="Q76" s="1747"/>
      <c r="R76" s="1750"/>
      <c r="S76" s="2020"/>
      <c r="T76" s="3064"/>
      <c r="U76" s="2050"/>
      <c r="V76" s="1817"/>
      <c r="W76" s="3139"/>
      <c r="X76" s="1818"/>
      <c r="Y76" s="1819"/>
      <c r="Z76" s="1820"/>
      <c r="AA76" s="1726"/>
      <c r="AB76" s="1691"/>
      <c r="AC76" s="1869"/>
      <c r="AD76" s="1893"/>
      <c r="AE76" s="3350"/>
      <c r="AF76" s="3409"/>
      <c r="AG76" s="1894"/>
      <c r="AH76" s="2065"/>
      <c r="AI76" s="2961"/>
      <c r="AJ76" s="2034"/>
      <c r="AK76" s="1862"/>
      <c r="AL76" s="1748"/>
      <c r="AM76" s="1873"/>
      <c r="AN76" s="1874"/>
      <c r="AO76" s="1909"/>
      <c r="AP76" s="3064"/>
      <c r="AQ76" s="2078"/>
      <c r="AR76" s="1910"/>
      <c r="AS76" s="3146"/>
      <c r="AT76" s="1911"/>
      <c r="AU76" s="1864"/>
      <c r="AV76" s="1865"/>
      <c r="AW76" s="1726"/>
      <c r="AX76" s="1873"/>
      <c r="AY76" s="1940"/>
      <c r="AZ76" s="1865"/>
      <c r="BA76" s="3633">
        <f>SUM(E76:Z79)</f>
        <v>0</v>
      </c>
      <c r="BB76" s="3633">
        <f>SUM(E76:AV79)</f>
        <v>0</v>
      </c>
      <c r="BC76" s="1942"/>
      <c r="BD76" s="1951"/>
      <c r="BE76" s="3629" t="s">
        <v>33</v>
      </c>
    </row>
    <row r="77" spans="1:57" ht="14.25" customHeight="1" thickBot="1">
      <c r="A77" s="3695"/>
      <c r="B77" s="1694" t="s">
        <v>34</v>
      </c>
      <c r="C77" s="3679"/>
      <c r="D77" s="1705">
        <f t="shared" si="15"/>
        <v>0</v>
      </c>
      <c r="E77" s="1706"/>
      <c r="F77" s="1707"/>
      <c r="G77" s="1708"/>
      <c r="H77" s="1709"/>
      <c r="I77" s="3343"/>
      <c r="J77" s="2016"/>
      <c r="K77" s="1767"/>
      <c r="L77" s="1766"/>
      <c r="M77" s="2948"/>
      <c r="N77" s="2016"/>
      <c r="O77" s="2017"/>
      <c r="P77" s="1769"/>
      <c r="Q77" s="1768"/>
      <c r="R77" s="1771"/>
      <c r="S77" s="2018"/>
      <c r="T77" s="3063"/>
      <c r="U77" s="2049"/>
      <c r="V77" s="1836"/>
      <c r="W77" s="3138"/>
      <c r="X77" s="1837"/>
      <c r="Y77" s="1838"/>
      <c r="Z77" s="1839"/>
      <c r="AA77" s="1706"/>
      <c r="AB77" s="1707"/>
      <c r="AC77" s="1887"/>
      <c r="AD77" s="1888"/>
      <c r="AE77" s="3349"/>
      <c r="AF77" s="3408"/>
      <c r="AG77" s="1890"/>
      <c r="AH77" s="2064"/>
      <c r="AI77" s="2960"/>
      <c r="AJ77" s="2016"/>
      <c r="AK77" s="2017"/>
      <c r="AL77" s="1769"/>
      <c r="AM77" s="1891"/>
      <c r="AN77" s="1892"/>
      <c r="AO77" s="1920"/>
      <c r="AP77" s="3063"/>
      <c r="AQ77" s="2076"/>
      <c r="AR77" s="1921"/>
      <c r="AS77" s="3145"/>
      <c r="AT77" s="1922"/>
      <c r="AU77" s="1923"/>
      <c r="AV77" s="1924"/>
      <c r="AW77" s="1947"/>
      <c r="AX77" s="1891"/>
      <c r="AY77" s="1948"/>
      <c r="AZ77" s="1924"/>
      <c r="BA77" s="3634"/>
      <c r="BB77" s="3634"/>
      <c r="BC77" s="1942"/>
      <c r="BD77" s="1951"/>
      <c r="BE77" s="3630"/>
    </row>
    <row r="78" spans="1:57" ht="14.25" customHeight="1" thickBot="1">
      <c r="A78" s="3695"/>
      <c r="B78" s="1694" t="s">
        <v>34</v>
      </c>
      <c r="C78" s="3679"/>
      <c r="D78" s="1705">
        <f t="shared" ref="D78" si="17">SUM(E78:AZ78)</f>
        <v>0</v>
      </c>
      <c r="E78" s="1706"/>
      <c r="F78" s="1707"/>
      <c r="G78" s="1708"/>
      <c r="H78" s="1709"/>
      <c r="I78" s="3343"/>
      <c r="J78" s="2016"/>
      <c r="K78" s="1767"/>
      <c r="L78" s="1766"/>
      <c r="M78" s="2948"/>
      <c r="N78" s="2016"/>
      <c r="O78" s="2017"/>
      <c r="P78" s="1769"/>
      <c r="Q78" s="1768"/>
      <c r="R78" s="1771"/>
      <c r="S78" s="2018"/>
      <c r="T78" s="3063"/>
      <c r="U78" s="2049"/>
      <c r="V78" s="1836"/>
      <c r="W78" s="3138"/>
      <c r="X78" s="1837"/>
      <c r="Y78" s="1838"/>
      <c r="Z78" s="1839"/>
      <c r="AA78" s="1706"/>
      <c r="AB78" s="1707"/>
      <c r="AC78" s="1887"/>
      <c r="AD78" s="1888"/>
      <c r="AE78" s="3349"/>
      <c r="AF78" s="3408"/>
      <c r="AG78" s="1890"/>
      <c r="AH78" s="2064"/>
      <c r="AI78" s="2960"/>
      <c r="AJ78" s="2016"/>
      <c r="AK78" s="2017"/>
      <c r="AL78" s="1769"/>
      <c r="AM78" s="1891"/>
      <c r="AN78" s="1892"/>
      <c r="AO78" s="1920"/>
      <c r="AP78" s="3063"/>
      <c r="AQ78" s="2076"/>
      <c r="AR78" s="1921"/>
      <c r="AS78" s="3145"/>
      <c r="AT78" s="1922"/>
      <c r="AU78" s="1923"/>
      <c r="AV78" s="1924"/>
      <c r="AW78" s="1947"/>
      <c r="AX78" s="1891"/>
      <c r="AY78" s="1948"/>
      <c r="AZ78" s="1924"/>
      <c r="BA78" s="3634"/>
      <c r="BB78" s="3634"/>
      <c r="BC78" s="1942"/>
      <c r="BD78" s="1951"/>
      <c r="BE78" s="3630"/>
    </row>
    <row r="79" spans="1:57" ht="15.75" thickBot="1">
      <c r="A79" s="3695"/>
      <c r="B79" s="1694" t="s">
        <v>34</v>
      </c>
      <c r="C79" s="3679"/>
      <c r="D79" s="1705">
        <f t="shared" si="15"/>
        <v>0</v>
      </c>
      <c r="E79" s="1706"/>
      <c r="F79" s="1707"/>
      <c r="G79" s="1708"/>
      <c r="H79" s="1709"/>
      <c r="I79" s="3343"/>
      <c r="J79" s="2016"/>
      <c r="K79" s="1767"/>
      <c r="L79" s="1766"/>
      <c r="M79" s="2948"/>
      <c r="N79" s="2016"/>
      <c r="O79" s="2017"/>
      <c r="P79" s="1769"/>
      <c r="Q79" s="1768"/>
      <c r="R79" s="1771"/>
      <c r="S79" s="2018"/>
      <c r="T79" s="3063"/>
      <c r="U79" s="2049"/>
      <c r="V79" s="1836"/>
      <c r="W79" s="3138"/>
      <c r="X79" s="1837"/>
      <c r="Y79" s="1838"/>
      <c r="Z79" s="1839"/>
      <c r="AA79" s="1706"/>
      <c r="AB79" s="1707"/>
      <c r="AC79" s="1887"/>
      <c r="AD79" s="1888"/>
      <c r="AE79" s="3349"/>
      <c r="AF79" s="3408"/>
      <c r="AG79" s="1890"/>
      <c r="AH79" s="2064"/>
      <c r="AI79" s="2960"/>
      <c r="AJ79" s="2016"/>
      <c r="AK79" s="2017"/>
      <c r="AL79" s="1769"/>
      <c r="AM79" s="1891"/>
      <c r="AN79" s="1892"/>
      <c r="AO79" s="1920"/>
      <c r="AP79" s="3063"/>
      <c r="AQ79" s="2076"/>
      <c r="AR79" s="1921"/>
      <c r="AS79" s="3145"/>
      <c r="AT79" s="1922"/>
      <c r="AU79" s="1923"/>
      <c r="AV79" s="1924"/>
      <c r="AW79" s="1947"/>
      <c r="AX79" s="1891"/>
      <c r="AY79" s="1948"/>
      <c r="AZ79" s="1924"/>
      <c r="BA79" s="3634"/>
      <c r="BB79" s="3634"/>
      <c r="BC79" s="1942"/>
      <c r="BD79" s="1951"/>
      <c r="BE79" s="3630"/>
    </row>
    <row r="80" spans="1:57" ht="15.75" thickBot="1">
      <c r="A80" s="3694"/>
      <c r="B80" s="1738" t="s">
        <v>32</v>
      </c>
      <c r="C80" s="3678">
        <f>SUM(D80:D83)</f>
        <v>0</v>
      </c>
      <c r="D80" s="1689">
        <f t="shared" si="15"/>
        <v>0</v>
      </c>
      <c r="E80" s="1690"/>
      <c r="F80" s="1691"/>
      <c r="G80" s="1692"/>
      <c r="H80" s="1693"/>
      <c r="I80" s="3192"/>
      <c r="J80" s="2034"/>
      <c r="K80" s="1746"/>
      <c r="L80" s="1745"/>
      <c r="M80" s="2955"/>
      <c r="N80" s="2034"/>
      <c r="O80" s="1862"/>
      <c r="P80" s="1748"/>
      <c r="Q80" s="1747"/>
      <c r="R80" s="1750"/>
      <c r="S80" s="2020"/>
      <c r="T80" s="3064"/>
      <c r="U80" s="2050"/>
      <c r="V80" s="1817"/>
      <c r="W80" s="3139"/>
      <c r="X80" s="1818"/>
      <c r="Y80" s="1819"/>
      <c r="Z80" s="1820"/>
      <c r="AA80" s="1726"/>
      <c r="AB80" s="1691"/>
      <c r="AC80" s="1869"/>
      <c r="AD80" s="1893"/>
      <c r="AE80" s="3350"/>
      <c r="AF80" s="3409"/>
      <c r="AG80" s="1894"/>
      <c r="AH80" s="2065"/>
      <c r="AI80" s="2961"/>
      <c r="AJ80" s="2034"/>
      <c r="AK80" s="1862"/>
      <c r="AL80" s="1748"/>
      <c r="AM80" s="1873"/>
      <c r="AN80" s="1874"/>
      <c r="AO80" s="1909"/>
      <c r="AP80" s="3064"/>
      <c r="AQ80" s="2078"/>
      <c r="AR80" s="1910"/>
      <c r="AS80" s="3146"/>
      <c r="AT80" s="1911"/>
      <c r="AU80" s="1864"/>
      <c r="AV80" s="1865"/>
      <c r="AW80" s="1726"/>
      <c r="AX80" s="1873"/>
      <c r="AY80" s="1940"/>
      <c r="AZ80" s="1865"/>
      <c r="BA80" s="3633">
        <f>SUM(E80:Z83)</f>
        <v>0</v>
      </c>
      <c r="BB80" s="3633">
        <f>SUM(E80:AV83)</f>
        <v>0</v>
      </c>
      <c r="BC80" s="1942"/>
      <c r="BD80" s="1951"/>
      <c r="BE80" s="3629" t="s">
        <v>33</v>
      </c>
    </row>
    <row r="81" spans="1:57" ht="14.25" customHeight="1" thickBot="1">
      <c r="A81" s="3695"/>
      <c r="B81" s="1694" t="s">
        <v>34</v>
      </c>
      <c r="C81" s="3679"/>
      <c r="D81" s="1705">
        <f t="shared" ref="D81:D90" si="18">SUM(E81:AZ81)</f>
        <v>0</v>
      </c>
      <c r="E81" s="1706"/>
      <c r="F81" s="1707"/>
      <c r="G81" s="1708"/>
      <c r="H81" s="1709"/>
      <c r="I81" s="3343"/>
      <c r="J81" s="2016"/>
      <c r="K81" s="1767"/>
      <c r="L81" s="1766"/>
      <c r="M81" s="2948"/>
      <c r="N81" s="2016"/>
      <c r="O81" s="2017"/>
      <c r="P81" s="1769"/>
      <c r="Q81" s="1768"/>
      <c r="R81" s="1771"/>
      <c r="S81" s="2018"/>
      <c r="T81" s="3063"/>
      <c r="U81" s="2049"/>
      <c r="V81" s="1836"/>
      <c r="W81" s="3138"/>
      <c r="X81" s="1837"/>
      <c r="Y81" s="1838"/>
      <c r="Z81" s="1839"/>
      <c r="AA81" s="1706"/>
      <c r="AB81" s="1707"/>
      <c r="AC81" s="1887"/>
      <c r="AD81" s="1888"/>
      <c r="AE81" s="3349"/>
      <c r="AF81" s="3408"/>
      <c r="AG81" s="1890"/>
      <c r="AH81" s="2064"/>
      <c r="AI81" s="2960"/>
      <c r="AJ81" s="2016"/>
      <c r="AK81" s="2017"/>
      <c r="AL81" s="1769"/>
      <c r="AM81" s="1891"/>
      <c r="AN81" s="1892"/>
      <c r="AO81" s="1920"/>
      <c r="AP81" s="3063"/>
      <c r="AQ81" s="2076"/>
      <c r="AR81" s="1921"/>
      <c r="AS81" s="3145"/>
      <c r="AT81" s="1922"/>
      <c r="AU81" s="1923"/>
      <c r="AV81" s="1924"/>
      <c r="AW81" s="1947"/>
      <c r="AX81" s="1891"/>
      <c r="AY81" s="1948"/>
      <c r="AZ81" s="1924"/>
      <c r="BA81" s="3634"/>
      <c r="BB81" s="3634"/>
      <c r="BC81" s="1942"/>
      <c r="BD81" s="1951"/>
      <c r="BE81" s="3630"/>
    </row>
    <row r="82" spans="1:57" ht="14.25" customHeight="1" thickBot="1">
      <c r="A82" s="3695"/>
      <c r="B82" s="1694" t="s">
        <v>34</v>
      </c>
      <c r="C82" s="3679"/>
      <c r="D82" s="1705">
        <f t="shared" ref="D82" si="19">SUM(E82:AZ82)</f>
        <v>0</v>
      </c>
      <c r="E82" s="1706"/>
      <c r="F82" s="1707"/>
      <c r="G82" s="1708"/>
      <c r="H82" s="1709"/>
      <c r="I82" s="3343"/>
      <c r="J82" s="2016"/>
      <c r="K82" s="1767"/>
      <c r="L82" s="1766"/>
      <c r="M82" s="2948"/>
      <c r="N82" s="2016"/>
      <c r="O82" s="2017"/>
      <c r="P82" s="1769"/>
      <c r="Q82" s="1768"/>
      <c r="R82" s="1771"/>
      <c r="S82" s="2018"/>
      <c r="T82" s="3063"/>
      <c r="U82" s="2049"/>
      <c r="V82" s="1836"/>
      <c r="W82" s="3138"/>
      <c r="X82" s="1837"/>
      <c r="Y82" s="1838"/>
      <c r="Z82" s="1839"/>
      <c r="AA82" s="1706"/>
      <c r="AB82" s="1707"/>
      <c r="AC82" s="1887"/>
      <c r="AD82" s="1888"/>
      <c r="AE82" s="3349"/>
      <c r="AF82" s="3408"/>
      <c r="AG82" s="1890"/>
      <c r="AH82" s="2064"/>
      <c r="AI82" s="2960"/>
      <c r="AJ82" s="2016"/>
      <c r="AK82" s="2017"/>
      <c r="AL82" s="1769"/>
      <c r="AM82" s="1891"/>
      <c r="AN82" s="1892"/>
      <c r="AO82" s="1920"/>
      <c r="AP82" s="3063"/>
      <c r="AQ82" s="2076"/>
      <c r="AR82" s="1921"/>
      <c r="AS82" s="3145"/>
      <c r="AT82" s="1922"/>
      <c r="AU82" s="1923"/>
      <c r="AV82" s="1924"/>
      <c r="AW82" s="1947"/>
      <c r="AX82" s="1891"/>
      <c r="AY82" s="1948"/>
      <c r="AZ82" s="1924"/>
      <c r="BA82" s="3634"/>
      <c r="BB82" s="3634"/>
      <c r="BC82" s="1942"/>
      <c r="BD82" s="1951"/>
      <c r="BE82" s="3630"/>
    </row>
    <row r="83" spans="1:57" ht="15.75" thickBot="1">
      <c r="A83" s="3695"/>
      <c r="B83" s="1694" t="s">
        <v>34</v>
      </c>
      <c r="C83" s="3679"/>
      <c r="D83" s="1705">
        <f t="shared" si="18"/>
        <v>0</v>
      </c>
      <c r="E83" s="1706"/>
      <c r="F83" s="1707"/>
      <c r="G83" s="1708"/>
      <c r="H83" s="1709"/>
      <c r="I83" s="3343"/>
      <c r="J83" s="2016"/>
      <c r="K83" s="1767"/>
      <c r="L83" s="1766"/>
      <c r="M83" s="2948"/>
      <c r="N83" s="2016"/>
      <c r="O83" s="2017"/>
      <c r="P83" s="1769"/>
      <c r="Q83" s="1768"/>
      <c r="R83" s="1771"/>
      <c r="S83" s="2018"/>
      <c r="T83" s="3063"/>
      <c r="U83" s="2049"/>
      <c r="V83" s="1836"/>
      <c r="W83" s="3138"/>
      <c r="X83" s="1837"/>
      <c r="Y83" s="1838"/>
      <c r="Z83" s="1839"/>
      <c r="AA83" s="1706"/>
      <c r="AB83" s="1707"/>
      <c r="AC83" s="1887"/>
      <c r="AD83" s="1888"/>
      <c r="AE83" s="3349"/>
      <c r="AF83" s="3408"/>
      <c r="AG83" s="1890"/>
      <c r="AH83" s="2064"/>
      <c r="AI83" s="2960"/>
      <c r="AJ83" s="2016"/>
      <c r="AK83" s="2017"/>
      <c r="AL83" s="1769"/>
      <c r="AM83" s="1891"/>
      <c r="AN83" s="1892"/>
      <c r="AO83" s="1920"/>
      <c r="AP83" s="3063"/>
      <c r="AQ83" s="2076"/>
      <c r="AR83" s="1921"/>
      <c r="AS83" s="3145"/>
      <c r="AT83" s="1922"/>
      <c r="AU83" s="1923"/>
      <c r="AV83" s="1924"/>
      <c r="AW83" s="1947"/>
      <c r="AX83" s="1891"/>
      <c r="AY83" s="1948"/>
      <c r="AZ83" s="1924"/>
      <c r="BA83" s="3634"/>
      <c r="BB83" s="3634"/>
      <c r="BC83" s="1942"/>
      <c r="BD83" s="1951"/>
      <c r="BE83" s="3630"/>
    </row>
    <row r="84" spans="1:57" ht="15.75" thickBot="1">
      <c r="A84" s="3694"/>
      <c r="B84" s="1738" t="s">
        <v>32</v>
      </c>
      <c r="C84" s="3678">
        <f>SUM(D84:D87)</f>
        <v>0</v>
      </c>
      <c r="D84" s="1689">
        <f t="shared" si="18"/>
        <v>0</v>
      </c>
      <c r="E84" s="1690"/>
      <c r="F84" s="1691"/>
      <c r="G84" s="1692"/>
      <c r="H84" s="1693"/>
      <c r="I84" s="3192"/>
      <c r="J84" s="2034"/>
      <c r="K84" s="1746"/>
      <c r="L84" s="1745"/>
      <c r="M84" s="2955"/>
      <c r="N84" s="2034"/>
      <c r="O84" s="1815"/>
      <c r="P84" s="1748"/>
      <c r="Q84" s="1747"/>
      <c r="R84" s="1750"/>
      <c r="S84" s="2020"/>
      <c r="T84" s="3064"/>
      <c r="U84" s="2050"/>
      <c r="V84" s="1817"/>
      <c r="W84" s="3139"/>
      <c r="X84" s="1818"/>
      <c r="Y84" s="1819"/>
      <c r="Z84" s="1820"/>
      <c r="AA84" s="1726"/>
      <c r="AB84" s="1691"/>
      <c r="AC84" s="1869"/>
      <c r="AD84" s="1893"/>
      <c r="AE84" s="3350"/>
      <c r="AF84" s="3409"/>
      <c r="AG84" s="1894"/>
      <c r="AH84" s="2065"/>
      <c r="AI84" s="2961"/>
      <c r="AJ84" s="2034"/>
      <c r="AK84" s="1815"/>
      <c r="AL84" s="1748"/>
      <c r="AM84" s="1873"/>
      <c r="AN84" s="1874"/>
      <c r="AO84" s="1909"/>
      <c r="AP84" s="3064"/>
      <c r="AQ84" s="2078"/>
      <c r="AR84" s="1910"/>
      <c r="AS84" s="3146"/>
      <c r="AT84" s="1911"/>
      <c r="AU84" s="1864"/>
      <c r="AV84" s="1865"/>
      <c r="AW84" s="1726"/>
      <c r="AX84" s="1873"/>
      <c r="AY84" s="1940"/>
      <c r="AZ84" s="1865"/>
      <c r="BA84" s="3633">
        <f>SUM(E84:Z87)</f>
        <v>0</v>
      </c>
      <c r="BB84" s="3633">
        <f>SUM(E84:AV87)</f>
        <v>0</v>
      </c>
      <c r="BC84" s="1942"/>
      <c r="BD84" s="1951"/>
      <c r="BE84" s="3629" t="s">
        <v>33</v>
      </c>
    </row>
    <row r="85" spans="1:57" ht="15.75" thickBot="1">
      <c r="A85" s="3695"/>
      <c r="B85" s="1694" t="s">
        <v>34</v>
      </c>
      <c r="C85" s="3679"/>
      <c r="D85" s="1705">
        <f t="shared" si="18"/>
        <v>0</v>
      </c>
      <c r="E85" s="1706"/>
      <c r="F85" s="1707"/>
      <c r="G85" s="1708"/>
      <c r="H85" s="1709"/>
      <c r="I85" s="3343"/>
      <c r="J85" s="2016"/>
      <c r="K85" s="1767"/>
      <c r="L85" s="1766"/>
      <c r="M85" s="2948"/>
      <c r="N85" s="2016"/>
      <c r="O85" s="2017"/>
      <c r="P85" s="1769"/>
      <c r="Q85" s="1768"/>
      <c r="R85" s="1771"/>
      <c r="S85" s="2018"/>
      <c r="T85" s="3063"/>
      <c r="U85" s="2049"/>
      <c r="V85" s="1836"/>
      <c r="W85" s="3138"/>
      <c r="X85" s="1837"/>
      <c r="Y85" s="1838"/>
      <c r="Z85" s="1839"/>
      <c r="AA85" s="1706"/>
      <c r="AB85" s="1707"/>
      <c r="AC85" s="1887"/>
      <c r="AD85" s="1888"/>
      <c r="AE85" s="3349"/>
      <c r="AF85" s="3408"/>
      <c r="AG85" s="1890"/>
      <c r="AH85" s="2064"/>
      <c r="AI85" s="2960"/>
      <c r="AJ85" s="2016"/>
      <c r="AK85" s="2017"/>
      <c r="AL85" s="1769"/>
      <c r="AM85" s="1891"/>
      <c r="AN85" s="1892"/>
      <c r="AO85" s="1920"/>
      <c r="AP85" s="3063"/>
      <c r="AQ85" s="2076"/>
      <c r="AR85" s="1921"/>
      <c r="AS85" s="3145"/>
      <c r="AT85" s="1922"/>
      <c r="AU85" s="1923"/>
      <c r="AV85" s="1924"/>
      <c r="AW85" s="1947"/>
      <c r="AX85" s="1891"/>
      <c r="AY85" s="1948"/>
      <c r="AZ85" s="1924"/>
      <c r="BA85" s="3634"/>
      <c r="BB85" s="3634"/>
      <c r="BC85" s="1942"/>
      <c r="BD85" s="1951"/>
      <c r="BE85" s="3630"/>
    </row>
    <row r="86" spans="1:57" ht="15.75" thickBot="1">
      <c r="A86" s="3695"/>
      <c r="B86" s="1694" t="s">
        <v>34</v>
      </c>
      <c r="C86" s="3679"/>
      <c r="D86" s="1705">
        <f t="shared" si="18"/>
        <v>0</v>
      </c>
      <c r="E86" s="1706"/>
      <c r="F86" s="1707"/>
      <c r="G86" s="1708"/>
      <c r="H86" s="1709"/>
      <c r="I86" s="3343"/>
      <c r="J86" s="2016"/>
      <c r="K86" s="1767"/>
      <c r="L86" s="1766"/>
      <c r="M86" s="2948"/>
      <c r="N86" s="2016"/>
      <c r="O86" s="2017"/>
      <c r="P86" s="1769"/>
      <c r="Q86" s="1768"/>
      <c r="R86" s="1771"/>
      <c r="S86" s="2018"/>
      <c r="T86" s="3063"/>
      <c r="U86" s="2049"/>
      <c r="V86" s="1836"/>
      <c r="W86" s="3138"/>
      <c r="X86" s="1837"/>
      <c r="Y86" s="1838"/>
      <c r="Z86" s="1839"/>
      <c r="AA86" s="1706"/>
      <c r="AB86" s="1707"/>
      <c r="AC86" s="1887"/>
      <c r="AD86" s="1888"/>
      <c r="AE86" s="3349"/>
      <c r="AF86" s="3408"/>
      <c r="AG86" s="1890"/>
      <c r="AH86" s="2064"/>
      <c r="AI86" s="2960"/>
      <c r="AJ86" s="2016"/>
      <c r="AK86" s="2017"/>
      <c r="AL86" s="1769"/>
      <c r="AM86" s="1891"/>
      <c r="AN86" s="1892"/>
      <c r="AO86" s="1920"/>
      <c r="AP86" s="3063"/>
      <c r="AQ86" s="2076"/>
      <c r="AR86" s="1921"/>
      <c r="AS86" s="3145"/>
      <c r="AT86" s="1922"/>
      <c r="AU86" s="1923"/>
      <c r="AV86" s="1924"/>
      <c r="AW86" s="1947"/>
      <c r="AX86" s="1891"/>
      <c r="AY86" s="1948"/>
      <c r="AZ86" s="1924"/>
      <c r="BA86" s="3634"/>
      <c r="BB86" s="3634"/>
      <c r="BC86" s="1942"/>
      <c r="BD86" s="1951"/>
      <c r="BE86" s="3630"/>
    </row>
    <row r="87" spans="1:57" ht="15.75" thickBot="1">
      <c r="A87" s="3695"/>
      <c r="B87" s="1694" t="s">
        <v>34</v>
      </c>
      <c r="C87" s="3679"/>
      <c r="D87" s="1705">
        <f t="shared" si="18"/>
        <v>0</v>
      </c>
      <c r="E87" s="1706"/>
      <c r="F87" s="1707"/>
      <c r="G87" s="1708"/>
      <c r="H87" s="1709"/>
      <c r="I87" s="3343"/>
      <c r="J87" s="2016"/>
      <c r="K87" s="1767"/>
      <c r="L87" s="1766"/>
      <c r="M87" s="2948"/>
      <c r="N87" s="2016"/>
      <c r="O87" s="1834"/>
      <c r="P87" s="1769"/>
      <c r="Q87" s="1768"/>
      <c r="R87" s="1771"/>
      <c r="S87" s="2018"/>
      <c r="T87" s="3063"/>
      <c r="U87" s="2049"/>
      <c r="V87" s="1836"/>
      <c r="W87" s="3138"/>
      <c r="X87" s="1837"/>
      <c r="Y87" s="1838"/>
      <c r="Z87" s="1839"/>
      <c r="AA87" s="1706"/>
      <c r="AB87" s="1707"/>
      <c r="AC87" s="1887"/>
      <c r="AD87" s="1888"/>
      <c r="AE87" s="3349"/>
      <c r="AF87" s="3408"/>
      <c r="AG87" s="1890"/>
      <c r="AH87" s="2064"/>
      <c r="AI87" s="2960"/>
      <c r="AJ87" s="2016"/>
      <c r="AK87" s="2017"/>
      <c r="AL87" s="1769"/>
      <c r="AM87" s="1891"/>
      <c r="AN87" s="1892"/>
      <c r="AO87" s="1920"/>
      <c r="AP87" s="3063"/>
      <c r="AQ87" s="2076"/>
      <c r="AR87" s="1921"/>
      <c r="AS87" s="3145"/>
      <c r="AT87" s="1922"/>
      <c r="AU87" s="1923"/>
      <c r="AV87" s="1924"/>
      <c r="AW87" s="1947"/>
      <c r="AX87" s="1891"/>
      <c r="AY87" s="1948"/>
      <c r="AZ87" s="1924"/>
      <c r="BA87" s="3634"/>
      <c r="BB87" s="3634"/>
      <c r="BC87" s="1942"/>
      <c r="BD87" s="1951"/>
      <c r="BE87" s="3630"/>
    </row>
    <row r="88" spans="1:57" ht="15.75" thickBot="1">
      <c r="A88" s="3694"/>
      <c r="B88" s="1738" t="s">
        <v>32</v>
      </c>
      <c r="C88" s="3678">
        <f>SUM(D88:D91)</f>
        <v>0</v>
      </c>
      <c r="D88" s="1689">
        <f t="shared" si="18"/>
        <v>0</v>
      </c>
      <c r="E88" s="1690"/>
      <c r="F88" s="1691"/>
      <c r="G88" s="1692"/>
      <c r="H88" s="1693"/>
      <c r="I88" s="3192"/>
      <c r="J88" s="2034"/>
      <c r="K88" s="1746"/>
      <c r="L88" s="1745"/>
      <c r="M88" s="2955"/>
      <c r="N88" s="2034"/>
      <c r="O88" s="1862"/>
      <c r="P88" s="1748"/>
      <c r="Q88" s="1747"/>
      <c r="R88" s="1750"/>
      <c r="S88" s="2020"/>
      <c r="T88" s="3064"/>
      <c r="U88" s="2050"/>
      <c r="V88" s="1817"/>
      <c r="W88" s="3139"/>
      <c r="X88" s="1818"/>
      <c r="Y88" s="1819"/>
      <c r="Z88" s="1820"/>
      <c r="AA88" s="1726"/>
      <c r="AB88" s="1691"/>
      <c r="AC88" s="1869"/>
      <c r="AD88" s="1893"/>
      <c r="AE88" s="3350"/>
      <c r="AF88" s="3409"/>
      <c r="AG88" s="1894"/>
      <c r="AH88" s="2065"/>
      <c r="AI88" s="2961"/>
      <c r="AJ88" s="2034"/>
      <c r="AK88" s="1862"/>
      <c r="AL88" s="1748"/>
      <c r="AM88" s="1873"/>
      <c r="AN88" s="1874"/>
      <c r="AO88" s="1909"/>
      <c r="AP88" s="3064"/>
      <c r="AQ88" s="2078"/>
      <c r="AR88" s="1910"/>
      <c r="AS88" s="3146"/>
      <c r="AT88" s="1911"/>
      <c r="AU88" s="1864"/>
      <c r="AV88" s="1865"/>
      <c r="AW88" s="1726"/>
      <c r="AX88" s="1873"/>
      <c r="AY88" s="1940"/>
      <c r="AZ88" s="1865"/>
      <c r="BA88" s="3633">
        <f>SUM(E88:Z91)</f>
        <v>0</v>
      </c>
      <c r="BB88" s="3633">
        <f>SUM(E88:AV91)</f>
        <v>0</v>
      </c>
      <c r="BC88" s="1942"/>
      <c r="BD88" s="1951"/>
      <c r="BE88" s="3629" t="s">
        <v>54</v>
      </c>
    </row>
    <row r="89" spans="1:57" ht="15.75" thickBot="1">
      <c r="A89" s="3695"/>
      <c r="B89" s="1694" t="s">
        <v>34</v>
      </c>
      <c r="C89" s="3679"/>
      <c r="D89" s="1705">
        <f t="shared" si="18"/>
        <v>0</v>
      </c>
      <c r="E89" s="1706"/>
      <c r="F89" s="1707"/>
      <c r="G89" s="1708"/>
      <c r="H89" s="1709"/>
      <c r="I89" s="3343"/>
      <c r="J89" s="2016"/>
      <c r="K89" s="1767"/>
      <c r="L89" s="1766"/>
      <c r="M89" s="2948"/>
      <c r="N89" s="2016"/>
      <c r="O89" s="2017"/>
      <c r="P89" s="1769"/>
      <c r="Q89" s="1768"/>
      <c r="R89" s="1771"/>
      <c r="S89" s="2018"/>
      <c r="T89" s="3063"/>
      <c r="U89" s="2049"/>
      <c r="V89" s="1836"/>
      <c r="W89" s="3138"/>
      <c r="X89" s="1837"/>
      <c r="Y89" s="1838"/>
      <c r="Z89" s="1839"/>
      <c r="AA89" s="1706"/>
      <c r="AB89" s="1707"/>
      <c r="AC89" s="1887"/>
      <c r="AD89" s="1888"/>
      <c r="AE89" s="3349"/>
      <c r="AF89" s="3408"/>
      <c r="AG89" s="1890"/>
      <c r="AH89" s="2064"/>
      <c r="AI89" s="2960"/>
      <c r="AJ89" s="2016"/>
      <c r="AK89" s="2017"/>
      <c r="AL89" s="1769"/>
      <c r="AM89" s="1891"/>
      <c r="AN89" s="1892"/>
      <c r="AO89" s="1920"/>
      <c r="AP89" s="3063"/>
      <c r="AQ89" s="2076"/>
      <c r="AR89" s="1921"/>
      <c r="AS89" s="3145"/>
      <c r="AT89" s="1922"/>
      <c r="AU89" s="1923"/>
      <c r="AV89" s="1924"/>
      <c r="AW89" s="1947"/>
      <c r="AX89" s="1891"/>
      <c r="AY89" s="1948"/>
      <c r="AZ89" s="1924"/>
      <c r="BA89" s="3634"/>
      <c r="BB89" s="3634"/>
      <c r="BC89" s="1942"/>
      <c r="BD89" s="1951"/>
      <c r="BE89" s="3630"/>
    </row>
    <row r="90" spans="1:57" ht="15.75" thickBot="1">
      <c r="A90" s="3695"/>
      <c r="B90" s="1694" t="s">
        <v>34</v>
      </c>
      <c r="C90" s="3679"/>
      <c r="D90" s="1705">
        <f t="shared" si="18"/>
        <v>0</v>
      </c>
      <c r="E90" s="1706"/>
      <c r="F90" s="1707"/>
      <c r="G90" s="1708"/>
      <c r="H90" s="1709"/>
      <c r="I90" s="3343"/>
      <c r="J90" s="2016"/>
      <c r="K90" s="1767"/>
      <c r="L90" s="1766"/>
      <c r="M90" s="2948"/>
      <c r="N90" s="2016"/>
      <c r="O90" s="2017"/>
      <c r="P90" s="1769"/>
      <c r="Q90" s="1768"/>
      <c r="R90" s="1771"/>
      <c r="S90" s="2018"/>
      <c r="T90" s="3063"/>
      <c r="U90" s="2049"/>
      <c r="V90" s="1836"/>
      <c r="W90" s="3138"/>
      <c r="X90" s="1837"/>
      <c r="Y90" s="1838"/>
      <c r="Z90" s="1839"/>
      <c r="AA90" s="1706"/>
      <c r="AB90" s="1707"/>
      <c r="AC90" s="1887"/>
      <c r="AD90" s="1888"/>
      <c r="AE90" s="3349"/>
      <c r="AF90" s="3408"/>
      <c r="AG90" s="1890"/>
      <c r="AH90" s="2064"/>
      <c r="AI90" s="2960"/>
      <c r="AJ90" s="2016"/>
      <c r="AK90" s="2017"/>
      <c r="AL90" s="1769"/>
      <c r="AM90" s="1891"/>
      <c r="AN90" s="1892"/>
      <c r="AO90" s="1920"/>
      <c r="AP90" s="3063"/>
      <c r="AQ90" s="2076"/>
      <c r="AR90" s="1921"/>
      <c r="AS90" s="3145"/>
      <c r="AT90" s="1922"/>
      <c r="AU90" s="1923"/>
      <c r="AV90" s="1924"/>
      <c r="AW90" s="1947"/>
      <c r="AX90" s="1891"/>
      <c r="AY90" s="1948"/>
      <c r="AZ90" s="1924"/>
      <c r="BA90" s="3634"/>
      <c r="BB90" s="3634"/>
      <c r="BC90" s="1942"/>
      <c r="BD90" s="1951"/>
      <c r="BE90" s="3630"/>
    </row>
    <row r="91" spans="1:57" ht="15.75" thickBot="1">
      <c r="A91" s="3695"/>
      <c r="B91" s="1694" t="s">
        <v>34</v>
      </c>
      <c r="C91" s="3679"/>
      <c r="D91" s="1705">
        <f t="shared" ref="D91:D93" si="20">SUM(E91:AZ91)</f>
        <v>0</v>
      </c>
      <c r="E91" s="1706"/>
      <c r="F91" s="1707"/>
      <c r="G91" s="1708"/>
      <c r="H91" s="1709"/>
      <c r="I91" s="3343"/>
      <c r="J91" s="2016"/>
      <c r="K91" s="1767"/>
      <c r="L91" s="1766"/>
      <c r="M91" s="2948"/>
      <c r="N91" s="2016"/>
      <c r="O91" s="2017"/>
      <c r="P91" s="1769"/>
      <c r="Q91" s="1768"/>
      <c r="R91" s="1771"/>
      <c r="S91" s="2018"/>
      <c r="T91" s="3063"/>
      <c r="U91" s="2049"/>
      <c r="V91" s="1836"/>
      <c r="W91" s="3138"/>
      <c r="X91" s="1837"/>
      <c r="Y91" s="1838"/>
      <c r="Z91" s="1839"/>
      <c r="AA91" s="1706"/>
      <c r="AB91" s="1707"/>
      <c r="AC91" s="1887"/>
      <c r="AD91" s="1888"/>
      <c r="AE91" s="3349"/>
      <c r="AF91" s="3408"/>
      <c r="AG91" s="1890"/>
      <c r="AH91" s="2064"/>
      <c r="AI91" s="2960"/>
      <c r="AJ91" s="2016"/>
      <c r="AK91" s="2017"/>
      <c r="AL91" s="1769"/>
      <c r="AM91" s="1891"/>
      <c r="AN91" s="1892"/>
      <c r="AO91" s="1920"/>
      <c r="AP91" s="3063"/>
      <c r="AQ91" s="2076"/>
      <c r="AR91" s="1921"/>
      <c r="AS91" s="3145"/>
      <c r="AT91" s="1922"/>
      <c r="AU91" s="1923"/>
      <c r="AV91" s="1924"/>
      <c r="AW91" s="1947"/>
      <c r="AX91" s="1891"/>
      <c r="AY91" s="1948"/>
      <c r="AZ91" s="1924"/>
      <c r="BA91" s="3634"/>
      <c r="BB91" s="3634"/>
      <c r="BC91" s="1942"/>
      <c r="BD91" s="1942"/>
      <c r="BE91" s="3630"/>
    </row>
    <row r="92" spans="1:57" ht="12.95" customHeight="1" thickBot="1">
      <c r="A92" s="3694"/>
      <c r="B92" s="1738" t="s">
        <v>32</v>
      </c>
      <c r="C92" s="3678">
        <f>SUM(D92:D95)</f>
        <v>0</v>
      </c>
      <c r="D92" s="1689">
        <f t="shared" si="20"/>
        <v>0</v>
      </c>
      <c r="E92" s="1690"/>
      <c r="F92" s="1691"/>
      <c r="G92" s="1692"/>
      <c r="H92" s="1693"/>
      <c r="I92" s="3192"/>
      <c r="J92" s="2034"/>
      <c r="K92" s="1746"/>
      <c r="L92" s="1745"/>
      <c r="M92" s="2955"/>
      <c r="N92" s="2034"/>
      <c r="O92" s="1862"/>
      <c r="P92" s="1748"/>
      <c r="Q92" s="1747"/>
      <c r="R92" s="1750"/>
      <c r="S92" s="2020"/>
      <c r="T92" s="3064"/>
      <c r="U92" s="2050"/>
      <c r="V92" s="1817"/>
      <c r="W92" s="3139"/>
      <c r="X92" s="1818"/>
      <c r="Y92" s="1819"/>
      <c r="Z92" s="1820"/>
      <c r="AA92" s="1726"/>
      <c r="AB92" s="1691"/>
      <c r="AC92" s="1869"/>
      <c r="AD92" s="1893"/>
      <c r="AE92" s="3350"/>
      <c r="AF92" s="3409"/>
      <c r="AG92" s="1894"/>
      <c r="AH92" s="2065"/>
      <c r="AI92" s="2961"/>
      <c r="AJ92" s="2034"/>
      <c r="AK92" s="1862"/>
      <c r="AL92" s="1748"/>
      <c r="AM92" s="1873"/>
      <c r="AN92" s="1874"/>
      <c r="AO92" s="1909"/>
      <c r="AP92" s="3064"/>
      <c r="AQ92" s="2078"/>
      <c r="AR92" s="1910"/>
      <c r="AS92" s="3146"/>
      <c r="AT92" s="1911"/>
      <c r="AU92" s="1864"/>
      <c r="AV92" s="1865"/>
      <c r="AW92" s="1726"/>
      <c r="AX92" s="1873"/>
      <c r="AY92" s="1940"/>
      <c r="AZ92" s="1865"/>
      <c r="BA92" s="3633">
        <f>SUM(E92:Z95)</f>
        <v>0</v>
      </c>
      <c r="BB92" s="3633">
        <f>SUM(E92:AV95)</f>
        <v>0</v>
      </c>
      <c r="BC92" s="1942"/>
      <c r="BD92" s="1942"/>
      <c r="BE92" s="3629" t="s">
        <v>33</v>
      </c>
    </row>
    <row r="93" spans="1:57" ht="15.75" thickBot="1">
      <c r="A93" s="3695"/>
      <c r="B93" s="1694" t="s">
        <v>34</v>
      </c>
      <c r="C93" s="3679"/>
      <c r="D93" s="1705">
        <f t="shared" si="20"/>
        <v>0</v>
      </c>
      <c r="E93" s="1706"/>
      <c r="F93" s="1707"/>
      <c r="G93" s="1708"/>
      <c r="H93" s="1709"/>
      <c r="I93" s="3343"/>
      <c r="J93" s="2016"/>
      <c r="K93" s="1767"/>
      <c r="L93" s="1766"/>
      <c r="M93" s="2948"/>
      <c r="N93" s="2016"/>
      <c r="O93" s="2017"/>
      <c r="P93" s="1769"/>
      <c r="Q93" s="1768"/>
      <c r="R93" s="1771"/>
      <c r="S93" s="2018"/>
      <c r="T93" s="3063"/>
      <c r="U93" s="2049"/>
      <c r="V93" s="1836"/>
      <c r="W93" s="3138"/>
      <c r="X93" s="1837"/>
      <c r="Y93" s="1838"/>
      <c r="Z93" s="1839"/>
      <c r="AA93" s="1706"/>
      <c r="AB93" s="1707"/>
      <c r="AC93" s="1887"/>
      <c r="AD93" s="1888"/>
      <c r="AE93" s="3349"/>
      <c r="AF93" s="3408"/>
      <c r="AG93" s="1890"/>
      <c r="AH93" s="2064"/>
      <c r="AI93" s="2960"/>
      <c r="AJ93" s="2016"/>
      <c r="AK93" s="2017"/>
      <c r="AL93" s="1769"/>
      <c r="AM93" s="1891"/>
      <c r="AN93" s="1892"/>
      <c r="AO93" s="1920"/>
      <c r="AP93" s="3063"/>
      <c r="AQ93" s="2076"/>
      <c r="AR93" s="1921"/>
      <c r="AS93" s="3145"/>
      <c r="AT93" s="1922"/>
      <c r="AU93" s="1923"/>
      <c r="AV93" s="1924"/>
      <c r="AW93" s="1947"/>
      <c r="AX93" s="1891"/>
      <c r="AY93" s="1948"/>
      <c r="AZ93" s="1924"/>
      <c r="BA93" s="3634"/>
      <c r="BB93" s="3634"/>
      <c r="BC93" s="1942"/>
      <c r="BD93" s="1951"/>
      <c r="BE93" s="3630"/>
    </row>
    <row r="94" spans="1:57" ht="15.75" thickBot="1">
      <c r="A94" s="3695"/>
      <c r="B94" s="1694" t="s">
        <v>34</v>
      </c>
      <c r="C94" s="3679"/>
      <c r="D94" s="1705">
        <f t="shared" ref="D94" si="21">SUM(E94:AZ94)</f>
        <v>0</v>
      </c>
      <c r="E94" s="1706"/>
      <c r="F94" s="1707"/>
      <c r="G94" s="1708"/>
      <c r="H94" s="1709"/>
      <c r="I94" s="3343"/>
      <c r="J94" s="2016"/>
      <c r="K94" s="1767"/>
      <c r="L94" s="1766"/>
      <c r="M94" s="2948"/>
      <c r="N94" s="2016"/>
      <c r="O94" s="2017"/>
      <c r="P94" s="1769"/>
      <c r="Q94" s="1768"/>
      <c r="R94" s="1771"/>
      <c r="S94" s="2018"/>
      <c r="T94" s="3063"/>
      <c r="U94" s="2049"/>
      <c r="V94" s="1836"/>
      <c r="W94" s="3138"/>
      <c r="X94" s="1837"/>
      <c r="Y94" s="1838"/>
      <c r="Z94" s="1839"/>
      <c r="AA94" s="1706"/>
      <c r="AB94" s="1707"/>
      <c r="AC94" s="1887"/>
      <c r="AD94" s="1888"/>
      <c r="AE94" s="3349"/>
      <c r="AF94" s="3408"/>
      <c r="AG94" s="1890"/>
      <c r="AH94" s="2064"/>
      <c r="AI94" s="2960"/>
      <c r="AJ94" s="2016"/>
      <c r="AK94" s="2017"/>
      <c r="AL94" s="1769"/>
      <c r="AM94" s="1891"/>
      <c r="AN94" s="1892"/>
      <c r="AO94" s="1920"/>
      <c r="AP94" s="3063"/>
      <c r="AQ94" s="2076"/>
      <c r="AR94" s="1921"/>
      <c r="AS94" s="3145"/>
      <c r="AT94" s="1922"/>
      <c r="AU94" s="1923"/>
      <c r="AV94" s="1924"/>
      <c r="AW94" s="1947"/>
      <c r="AX94" s="1891"/>
      <c r="AY94" s="1948"/>
      <c r="AZ94" s="1924"/>
      <c r="BA94" s="3634"/>
      <c r="BB94" s="3634"/>
      <c r="BC94" s="1942"/>
      <c r="BD94" s="1951"/>
      <c r="BE94" s="3630"/>
    </row>
    <row r="95" spans="1:57" ht="15.75" thickBot="1">
      <c r="A95" s="3695"/>
      <c r="B95" s="1694" t="s">
        <v>34</v>
      </c>
      <c r="C95" s="3679"/>
      <c r="D95" s="1705">
        <f t="shared" ref="D95:D98" si="22">SUM(E95:AZ95)</f>
        <v>0</v>
      </c>
      <c r="E95" s="1706"/>
      <c r="F95" s="1707"/>
      <c r="G95" s="1708"/>
      <c r="H95" s="1709"/>
      <c r="I95" s="3343"/>
      <c r="J95" s="2016"/>
      <c r="K95" s="1767"/>
      <c r="L95" s="1766"/>
      <c r="M95" s="2948"/>
      <c r="N95" s="2016"/>
      <c r="O95" s="2017"/>
      <c r="P95" s="1769"/>
      <c r="Q95" s="1768"/>
      <c r="R95" s="1771"/>
      <c r="S95" s="2018"/>
      <c r="T95" s="3063"/>
      <c r="U95" s="2049"/>
      <c r="V95" s="1836"/>
      <c r="W95" s="3138"/>
      <c r="X95" s="1837"/>
      <c r="Y95" s="1838"/>
      <c r="Z95" s="1839"/>
      <c r="AA95" s="1706"/>
      <c r="AB95" s="1707"/>
      <c r="AC95" s="1887"/>
      <c r="AD95" s="1888"/>
      <c r="AE95" s="3349"/>
      <c r="AF95" s="3408"/>
      <c r="AG95" s="1890"/>
      <c r="AH95" s="2064"/>
      <c r="AI95" s="2960"/>
      <c r="AJ95" s="2016"/>
      <c r="AK95" s="2017"/>
      <c r="AL95" s="1769"/>
      <c r="AM95" s="1891"/>
      <c r="AN95" s="1892"/>
      <c r="AO95" s="1920"/>
      <c r="AP95" s="3063"/>
      <c r="AQ95" s="2076"/>
      <c r="AR95" s="1921"/>
      <c r="AS95" s="3145"/>
      <c r="AT95" s="1922"/>
      <c r="AU95" s="1923"/>
      <c r="AV95" s="1924"/>
      <c r="AW95" s="1947"/>
      <c r="AX95" s="1891"/>
      <c r="AY95" s="1948"/>
      <c r="AZ95" s="1924"/>
      <c r="BA95" s="3634"/>
      <c r="BB95" s="3634"/>
      <c r="BC95" s="1942"/>
      <c r="BD95" s="1942"/>
      <c r="BE95" s="3630"/>
    </row>
    <row r="96" spans="1:57" ht="12.95" customHeight="1" thickBot="1">
      <c r="A96" s="3694"/>
      <c r="B96" s="1738" t="s">
        <v>32</v>
      </c>
      <c r="C96" s="3678">
        <f>SUM(D96:D99)</f>
        <v>0</v>
      </c>
      <c r="D96" s="1689">
        <f t="shared" si="22"/>
        <v>0</v>
      </c>
      <c r="E96" s="1690"/>
      <c r="F96" s="1691"/>
      <c r="G96" s="1692"/>
      <c r="H96" s="1693"/>
      <c r="I96" s="3192"/>
      <c r="J96" s="2034"/>
      <c r="K96" s="1746"/>
      <c r="L96" s="1745"/>
      <c r="M96" s="2955"/>
      <c r="N96" s="2034"/>
      <c r="O96" s="1862"/>
      <c r="P96" s="1748"/>
      <c r="Q96" s="1747"/>
      <c r="R96" s="1750"/>
      <c r="S96" s="2020"/>
      <c r="T96" s="3064"/>
      <c r="U96" s="2050"/>
      <c r="V96" s="1817"/>
      <c r="W96" s="3139"/>
      <c r="X96" s="1818"/>
      <c r="Y96" s="1819"/>
      <c r="Z96" s="1820"/>
      <c r="AA96" s="1726"/>
      <c r="AB96" s="1691"/>
      <c r="AC96" s="1869"/>
      <c r="AD96" s="1893"/>
      <c r="AE96" s="3350"/>
      <c r="AF96" s="3409"/>
      <c r="AG96" s="1894"/>
      <c r="AH96" s="2065"/>
      <c r="AI96" s="2961"/>
      <c r="AJ96" s="2034"/>
      <c r="AK96" s="1862"/>
      <c r="AL96" s="1748"/>
      <c r="AM96" s="1873"/>
      <c r="AN96" s="1874"/>
      <c r="AO96" s="1909"/>
      <c r="AP96" s="3064"/>
      <c r="AQ96" s="2078"/>
      <c r="AR96" s="1910"/>
      <c r="AS96" s="3146"/>
      <c r="AT96" s="1911"/>
      <c r="AU96" s="1864"/>
      <c r="AV96" s="1865"/>
      <c r="AW96" s="1726"/>
      <c r="AX96" s="1873"/>
      <c r="AY96" s="1940"/>
      <c r="AZ96" s="1865"/>
      <c r="BA96" s="3633">
        <f>SUM(E96:Z99)</f>
        <v>0</v>
      </c>
      <c r="BB96" s="3633">
        <f>SUM(E96:AV99)</f>
        <v>0</v>
      </c>
      <c r="BC96" s="1942"/>
      <c r="BD96" s="1942"/>
      <c r="BE96" s="3629" t="s">
        <v>33</v>
      </c>
    </row>
    <row r="97" spans="1:57" ht="15.75" thickBot="1">
      <c r="A97" s="3695"/>
      <c r="B97" s="1694" t="s">
        <v>34</v>
      </c>
      <c r="C97" s="3679"/>
      <c r="D97" s="1705">
        <f t="shared" si="22"/>
        <v>0</v>
      </c>
      <c r="E97" s="1706"/>
      <c r="F97" s="1707"/>
      <c r="G97" s="1708"/>
      <c r="H97" s="1709"/>
      <c r="I97" s="3343"/>
      <c r="J97" s="2016"/>
      <c r="K97" s="1767"/>
      <c r="L97" s="1766"/>
      <c r="M97" s="2948"/>
      <c r="N97" s="2016"/>
      <c r="O97" s="2017"/>
      <c r="P97" s="1769"/>
      <c r="Q97" s="1768"/>
      <c r="R97" s="1771"/>
      <c r="S97" s="2018"/>
      <c r="T97" s="3063"/>
      <c r="U97" s="2049"/>
      <c r="V97" s="1836"/>
      <c r="W97" s="3138"/>
      <c r="X97" s="1837"/>
      <c r="Y97" s="1838"/>
      <c r="Z97" s="1839"/>
      <c r="AA97" s="1706"/>
      <c r="AB97" s="1707"/>
      <c r="AC97" s="1887"/>
      <c r="AD97" s="1888"/>
      <c r="AE97" s="3349"/>
      <c r="AF97" s="3408"/>
      <c r="AG97" s="1890"/>
      <c r="AH97" s="2064"/>
      <c r="AI97" s="2960"/>
      <c r="AJ97" s="2016"/>
      <c r="AK97" s="2017"/>
      <c r="AL97" s="1769"/>
      <c r="AM97" s="1891"/>
      <c r="AN97" s="1892"/>
      <c r="AO97" s="1920"/>
      <c r="AP97" s="3063"/>
      <c r="AQ97" s="2076"/>
      <c r="AR97" s="1921"/>
      <c r="AS97" s="3145"/>
      <c r="AT97" s="1922"/>
      <c r="AU97" s="1923"/>
      <c r="AV97" s="1924"/>
      <c r="AW97" s="1947"/>
      <c r="AX97" s="1891"/>
      <c r="AY97" s="1948"/>
      <c r="AZ97" s="1924"/>
      <c r="BA97" s="3634"/>
      <c r="BB97" s="3634"/>
      <c r="BC97" s="1942"/>
      <c r="BD97" s="1951"/>
      <c r="BE97" s="3630"/>
    </row>
    <row r="98" spans="1:57" ht="15.75" thickBot="1">
      <c r="A98" s="3695"/>
      <c r="B98" s="1694" t="s">
        <v>34</v>
      </c>
      <c r="C98" s="3679"/>
      <c r="D98" s="1705">
        <f t="shared" si="22"/>
        <v>0</v>
      </c>
      <c r="E98" s="1706"/>
      <c r="F98" s="1707"/>
      <c r="G98" s="1708"/>
      <c r="H98" s="1709"/>
      <c r="I98" s="3343"/>
      <c r="J98" s="2016"/>
      <c r="K98" s="1767"/>
      <c r="L98" s="1766"/>
      <c r="M98" s="2948"/>
      <c r="N98" s="2016"/>
      <c r="O98" s="2017"/>
      <c r="P98" s="1769"/>
      <c r="Q98" s="1768"/>
      <c r="R98" s="1771"/>
      <c r="S98" s="2018"/>
      <c r="T98" s="3063"/>
      <c r="U98" s="2049"/>
      <c r="V98" s="1836"/>
      <c r="W98" s="3138"/>
      <c r="X98" s="1837"/>
      <c r="Y98" s="1838"/>
      <c r="Z98" s="1839"/>
      <c r="AA98" s="1706"/>
      <c r="AB98" s="1707"/>
      <c r="AC98" s="1887"/>
      <c r="AD98" s="1888"/>
      <c r="AE98" s="3349"/>
      <c r="AF98" s="3408"/>
      <c r="AG98" s="1890"/>
      <c r="AH98" s="2064"/>
      <c r="AI98" s="2960"/>
      <c r="AJ98" s="2016"/>
      <c r="AK98" s="2017"/>
      <c r="AL98" s="1769"/>
      <c r="AM98" s="1891"/>
      <c r="AN98" s="1892"/>
      <c r="AO98" s="1920"/>
      <c r="AP98" s="3063"/>
      <c r="AQ98" s="2076"/>
      <c r="AR98" s="1921"/>
      <c r="AS98" s="3145"/>
      <c r="AT98" s="1922"/>
      <c r="AU98" s="1923"/>
      <c r="AV98" s="1924"/>
      <c r="AW98" s="1947"/>
      <c r="AX98" s="1891"/>
      <c r="AY98" s="1948"/>
      <c r="AZ98" s="1924"/>
      <c r="BA98" s="3634"/>
      <c r="BB98" s="3634"/>
      <c r="BC98" s="1942"/>
      <c r="BD98" s="1951"/>
      <c r="BE98" s="3630"/>
    </row>
    <row r="99" spans="1:57" ht="15.75" thickBot="1">
      <c r="A99" s="3695"/>
      <c r="B99" s="1694" t="s">
        <v>34</v>
      </c>
      <c r="C99" s="3679"/>
      <c r="D99" s="1705">
        <f t="shared" ref="D99:D114" si="23">SUM(E99:AZ99)</f>
        <v>0</v>
      </c>
      <c r="E99" s="1706"/>
      <c r="F99" s="1707"/>
      <c r="G99" s="1708"/>
      <c r="H99" s="1709"/>
      <c r="I99" s="3343"/>
      <c r="J99" s="2016"/>
      <c r="K99" s="1767"/>
      <c r="L99" s="1766"/>
      <c r="M99" s="2948"/>
      <c r="N99" s="2016"/>
      <c r="O99" s="2017"/>
      <c r="P99" s="1769"/>
      <c r="Q99" s="1768"/>
      <c r="R99" s="1771"/>
      <c r="S99" s="2018"/>
      <c r="T99" s="3063"/>
      <c r="U99" s="2049"/>
      <c r="V99" s="1836"/>
      <c r="W99" s="3138"/>
      <c r="X99" s="1837"/>
      <c r="Y99" s="1838"/>
      <c r="Z99" s="1839"/>
      <c r="AA99" s="1706"/>
      <c r="AB99" s="1707"/>
      <c r="AC99" s="1887"/>
      <c r="AD99" s="1888"/>
      <c r="AE99" s="3349"/>
      <c r="AF99" s="3408"/>
      <c r="AG99" s="1890"/>
      <c r="AH99" s="2064"/>
      <c r="AI99" s="2960"/>
      <c r="AJ99" s="2016"/>
      <c r="AK99" s="2017"/>
      <c r="AL99" s="1769"/>
      <c r="AM99" s="1891"/>
      <c r="AN99" s="1892"/>
      <c r="AO99" s="1920"/>
      <c r="AP99" s="3063"/>
      <c r="AQ99" s="2076"/>
      <c r="AR99" s="1921"/>
      <c r="AS99" s="3145"/>
      <c r="AT99" s="1922"/>
      <c r="AU99" s="1923"/>
      <c r="AV99" s="1924"/>
      <c r="AW99" s="1947"/>
      <c r="AX99" s="1891"/>
      <c r="AY99" s="1948"/>
      <c r="AZ99" s="1924"/>
      <c r="BA99" s="3634"/>
      <c r="BB99" s="3634"/>
      <c r="BC99" s="1942"/>
      <c r="BD99" s="1951"/>
      <c r="BE99" s="3630"/>
    </row>
    <row r="100" spans="1:57" ht="12.95" customHeight="1" thickBot="1">
      <c r="A100" s="3694"/>
      <c r="B100" s="1738" t="s">
        <v>32</v>
      </c>
      <c r="C100" s="3678">
        <f>SUM(D100:D103)</f>
        <v>0</v>
      </c>
      <c r="D100" s="1689">
        <f t="shared" si="23"/>
        <v>0</v>
      </c>
      <c r="E100" s="1690"/>
      <c r="F100" s="1691"/>
      <c r="G100" s="1692"/>
      <c r="H100" s="1693"/>
      <c r="I100" s="3192"/>
      <c r="J100" s="2034"/>
      <c r="K100" s="1746"/>
      <c r="L100" s="1745"/>
      <c r="M100" s="2955"/>
      <c r="N100" s="2034"/>
      <c r="O100" s="1862"/>
      <c r="P100" s="1748"/>
      <c r="Q100" s="1747"/>
      <c r="R100" s="1750"/>
      <c r="S100" s="2020"/>
      <c r="T100" s="3064"/>
      <c r="U100" s="2050"/>
      <c r="V100" s="1817"/>
      <c r="W100" s="3139"/>
      <c r="X100" s="1818"/>
      <c r="Y100" s="1819"/>
      <c r="Z100" s="1820"/>
      <c r="AA100" s="1726"/>
      <c r="AB100" s="1691"/>
      <c r="AC100" s="1869"/>
      <c r="AD100" s="1893"/>
      <c r="AE100" s="3350"/>
      <c r="AF100" s="3409"/>
      <c r="AG100" s="1894"/>
      <c r="AH100" s="2065"/>
      <c r="AI100" s="2961"/>
      <c r="AJ100" s="2034"/>
      <c r="AK100" s="1862"/>
      <c r="AL100" s="1748"/>
      <c r="AM100" s="1873"/>
      <c r="AN100" s="1874"/>
      <c r="AO100" s="1909"/>
      <c r="AP100" s="3064"/>
      <c r="AQ100" s="2078"/>
      <c r="AR100" s="1910"/>
      <c r="AS100" s="3146"/>
      <c r="AT100" s="1911"/>
      <c r="AU100" s="1864"/>
      <c r="AV100" s="1865"/>
      <c r="AW100" s="1726"/>
      <c r="AX100" s="1873"/>
      <c r="AY100" s="1940"/>
      <c r="AZ100" s="1865"/>
      <c r="BA100" s="3633">
        <f>SUM(E100:Z103)</f>
        <v>0</v>
      </c>
      <c r="BB100" s="3633">
        <f>SUM(E100:AV103)</f>
        <v>0</v>
      </c>
      <c r="BC100" s="1942"/>
      <c r="BD100" s="1951"/>
      <c r="BE100" s="3629" t="s">
        <v>33</v>
      </c>
    </row>
    <row r="101" spans="1:57" ht="15.75" thickBot="1">
      <c r="A101" s="3695"/>
      <c r="B101" s="1694" t="s">
        <v>34</v>
      </c>
      <c r="C101" s="3679"/>
      <c r="D101" s="1705">
        <f t="shared" si="23"/>
        <v>0</v>
      </c>
      <c r="E101" s="1706"/>
      <c r="F101" s="1707"/>
      <c r="G101" s="1708"/>
      <c r="H101" s="1709"/>
      <c r="I101" s="3343"/>
      <c r="J101" s="2016"/>
      <c r="K101" s="1767"/>
      <c r="L101" s="1766"/>
      <c r="M101" s="2948"/>
      <c r="N101" s="2016"/>
      <c r="O101" s="2017"/>
      <c r="P101" s="1769"/>
      <c r="Q101" s="1768"/>
      <c r="R101" s="1771"/>
      <c r="S101" s="2018"/>
      <c r="T101" s="3063"/>
      <c r="U101" s="2049"/>
      <c r="V101" s="1836"/>
      <c r="W101" s="3138"/>
      <c r="X101" s="1837"/>
      <c r="Y101" s="1838"/>
      <c r="Z101" s="1839"/>
      <c r="AA101" s="1706"/>
      <c r="AB101" s="1707"/>
      <c r="AC101" s="1887"/>
      <c r="AD101" s="1888"/>
      <c r="AE101" s="3349"/>
      <c r="AF101" s="3408"/>
      <c r="AG101" s="1890"/>
      <c r="AH101" s="2064"/>
      <c r="AI101" s="2960"/>
      <c r="AJ101" s="2016"/>
      <c r="AK101" s="2017"/>
      <c r="AL101" s="1769"/>
      <c r="AM101" s="1891"/>
      <c r="AN101" s="1892"/>
      <c r="AO101" s="1920"/>
      <c r="AP101" s="3063"/>
      <c r="AQ101" s="2076"/>
      <c r="AR101" s="1921"/>
      <c r="AS101" s="3145"/>
      <c r="AT101" s="1922"/>
      <c r="AU101" s="1923"/>
      <c r="AV101" s="1924"/>
      <c r="AW101" s="1947"/>
      <c r="AX101" s="1891"/>
      <c r="AY101" s="1948"/>
      <c r="AZ101" s="1924"/>
      <c r="BA101" s="3634"/>
      <c r="BB101" s="3634"/>
      <c r="BC101" s="1942"/>
      <c r="BD101" s="1951"/>
      <c r="BE101" s="3630"/>
    </row>
    <row r="102" spans="1:57" ht="15.75" thickBot="1">
      <c r="A102" s="3695"/>
      <c r="B102" s="1694" t="s">
        <v>34</v>
      </c>
      <c r="C102" s="3679"/>
      <c r="D102" s="1705">
        <f t="shared" si="23"/>
        <v>0</v>
      </c>
      <c r="E102" s="1706"/>
      <c r="F102" s="1707"/>
      <c r="G102" s="1708"/>
      <c r="H102" s="1709"/>
      <c r="I102" s="3343"/>
      <c r="J102" s="2016"/>
      <c r="K102" s="1767"/>
      <c r="L102" s="1766"/>
      <c r="M102" s="2948"/>
      <c r="N102" s="2016"/>
      <c r="O102" s="2017"/>
      <c r="P102" s="1769"/>
      <c r="Q102" s="1768"/>
      <c r="R102" s="1771"/>
      <c r="S102" s="2018"/>
      <c r="T102" s="3063"/>
      <c r="U102" s="2049"/>
      <c r="V102" s="1836"/>
      <c r="W102" s="3138"/>
      <c r="X102" s="1837"/>
      <c r="Y102" s="1838"/>
      <c r="Z102" s="1839"/>
      <c r="AA102" s="1706"/>
      <c r="AB102" s="1707"/>
      <c r="AC102" s="1887"/>
      <c r="AD102" s="1888"/>
      <c r="AE102" s="3349"/>
      <c r="AF102" s="3408"/>
      <c r="AG102" s="1890"/>
      <c r="AH102" s="2064"/>
      <c r="AI102" s="2960"/>
      <c r="AJ102" s="2016"/>
      <c r="AK102" s="2017"/>
      <c r="AL102" s="1769"/>
      <c r="AM102" s="1891"/>
      <c r="AN102" s="1892"/>
      <c r="AO102" s="1920"/>
      <c r="AP102" s="3063"/>
      <c r="AQ102" s="2076"/>
      <c r="AR102" s="1921"/>
      <c r="AS102" s="3145"/>
      <c r="AT102" s="1922"/>
      <c r="AU102" s="1923"/>
      <c r="AV102" s="1924"/>
      <c r="AW102" s="1947"/>
      <c r="AX102" s="1891"/>
      <c r="AY102" s="1948"/>
      <c r="AZ102" s="1924"/>
      <c r="BA102" s="3634"/>
      <c r="BB102" s="3634"/>
      <c r="BC102" s="1942"/>
      <c r="BD102" s="1951"/>
      <c r="BE102" s="3630"/>
    </row>
    <row r="103" spans="1:57" ht="15.75" thickBot="1">
      <c r="A103" s="3695"/>
      <c r="B103" s="1694" t="s">
        <v>34</v>
      </c>
      <c r="C103" s="3679"/>
      <c r="D103" s="1705">
        <f t="shared" si="23"/>
        <v>0</v>
      </c>
      <c r="E103" s="1706"/>
      <c r="F103" s="1707"/>
      <c r="G103" s="1708"/>
      <c r="H103" s="1709"/>
      <c r="I103" s="3343"/>
      <c r="J103" s="2016"/>
      <c r="K103" s="1767"/>
      <c r="L103" s="1766"/>
      <c r="M103" s="2948"/>
      <c r="N103" s="2016"/>
      <c r="O103" s="2017"/>
      <c r="P103" s="1769"/>
      <c r="Q103" s="1768"/>
      <c r="R103" s="1771"/>
      <c r="S103" s="2018"/>
      <c r="T103" s="3063"/>
      <c r="U103" s="2049"/>
      <c r="V103" s="1836"/>
      <c r="W103" s="3138"/>
      <c r="X103" s="1837"/>
      <c r="Y103" s="1838"/>
      <c r="Z103" s="1839"/>
      <c r="AA103" s="1706"/>
      <c r="AB103" s="1707"/>
      <c r="AC103" s="1887"/>
      <c r="AD103" s="1888"/>
      <c r="AE103" s="3349"/>
      <c r="AF103" s="3408"/>
      <c r="AG103" s="1890"/>
      <c r="AH103" s="2064"/>
      <c r="AI103" s="2960"/>
      <c r="AJ103" s="2016"/>
      <c r="AK103" s="2017"/>
      <c r="AL103" s="1769"/>
      <c r="AM103" s="1891"/>
      <c r="AN103" s="1892"/>
      <c r="AO103" s="1920"/>
      <c r="AP103" s="3063"/>
      <c r="AQ103" s="2076"/>
      <c r="AR103" s="1921"/>
      <c r="AS103" s="3145"/>
      <c r="AT103" s="1922"/>
      <c r="AU103" s="1923"/>
      <c r="AV103" s="1924"/>
      <c r="AW103" s="1947"/>
      <c r="AX103" s="1891"/>
      <c r="AY103" s="1948"/>
      <c r="AZ103" s="1924"/>
      <c r="BA103" s="3634"/>
      <c r="BB103" s="3634"/>
      <c r="BC103" s="1942"/>
      <c r="BD103" s="1951"/>
      <c r="BE103" s="3630"/>
    </row>
    <row r="104" spans="1:57" ht="12.95" customHeight="1" thickBot="1">
      <c r="A104" s="3694"/>
      <c r="B104" s="1738" t="s">
        <v>32</v>
      </c>
      <c r="C104" s="3678">
        <f>SUM(D104:D106)</f>
        <v>0</v>
      </c>
      <c r="D104" s="1689">
        <f t="shared" si="23"/>
        <v>0</v>
      </c>
      <c r="E104" s="1690"/>
      <c r="F104" s="1691"/>
      <c r="G104" s="1692"/>
      <c r="H104" s="1693"/>
      <c r="I104" s="3192"/>
      <c r="J104" s="2034"/>
      <c r="K104" s="1746"/>
      <c r="L104" s="1745"/>
      <c r="M104" s="2955"/>
      <c r="N104" s="2034"/>
      <c r="O104" s="1862"/>
      <c r="P104" s="1748"/>
      <c r="Q104" s="1747"/>
      <c r="R104" s="1750"/>
      <c r="S104" s="2020"/>
      <c r="T104" s="3064"/>
      <c r="U104" s="2050"/>
      <c r="V104" s="1817"/>
      <c r="W104" s="3139"/>
      <c r="X104" s="1818"/>
      <c r="Y104" s="1819"/>
      <c r="Z104" s="1820"/>
      <c r="AA104" s="1726"/>
      <c r="AB104" s="1691"/>
      <c r="AC104" s="1869"/>
      <c r="AD104" s="1893"/>
      <c r="AE104" s="3350"/>
      <c r="AF104" s="3409"/>
      <c r="AG104" s="1894"/>
      <c r="AH104" s="2065"/>
      <c r="AI104" s="2961"/>
      <c r="AJ104" s="2034"/>
      <c r="AK104" s="1862"/>
      <c r="AL104" s="1748"/>
      <c r="AM104" s="1873"/>
      <c r="AN104" s="1874"/>
      <c r="AO104" s="1909"/>
      <c r="AP104" s="3064"/>
      <c r="AQ104" s="2078"/>
      <c r="AR104" s="1910"/>
      <c r="AS104" s="3146"/>
      <c r="AT104" s="1911"/>
      <c r="AU104" s="1864"/>
      <c r="AV104" s="1865"/>
      <c r="AW104" s="1726"/>
      <c r="AX104" s="1873"/>
      <c r="AY104" s="1940"/>
      <c r="AZ104" s="1865"/>
      <c r="BA104" s="3633">
        <f>SUM(E104:Z106)</f>
        <v>0</v>
      </c>
      <c r="BB104" s="3633">
        <f>SUM(E104:AV106)</f>
        <v>0</v>
      </c>
      <c r="BC104" s="1942"/>
      <c r="BD104" s="1951"/>
      <c r="BE104" s="3629" t="s">
        <v>33</v>
      </c>
    </row>
    <row r="105" spans="1:57" ht="15.75" thickBot="1">
      <c r="A105" s="3695"/>
      <c r="B105" s="1694" t="s">
        <v>34</v>
      </c>
      <c r="C105" s="3679"/>
      <c r="D105" s="1705">
        <f t="shared" si="23"/>
        <v>0</v>
      </c>
      <c r="E105" s="1706"/>
      <c r="F105" s="1707"/>
      <c r="G105" s="1708"/>
      <c r="H105" s="1709"/>
      <c r="I105" s="3343"/>
      <c r="J105" s="2016"/>
      <c r="K105" s="1767"/>
      <c r="L105" s="1766"/>
      <c r="M105" s="2948"/>
      <c r="N105" s="2016"/>
      <c r="O105" s="2017"/>
      <c r="P105" s="1769"/>
      <c r="Q105" s="1768"/>
      <c r="R105" s="1771"/>
      <c r="S105" s="2018"/>
      <c r="T105" s="3063"/>
      <c r="U105" s="2049"/>
      <c r="V105" s="1836"/>
      <c r="W105" s="3138"/>
      <c r="X105" s="1837"/>
      <c r="Y105" s="1838"/>
      <c r="Z105" s="1839"/>
      <c r="AA105" s="1706"/>
      <c r="AB105" s="1707"/>
      <c r="AC105" s="1887"/>
      <c r="AD105" s="1888"/>
      <c r="AE105" s="3349"/>
      <c r="AF105" s="3408"/>
      <c r="AG105" s="1890"/>
      <c r="AH105" s="2064"/>
      <c r="AI105" s="2960"/>
      <c r="AJ105" s="2016"/>
      <c r="AK105" s="2017"/>
      <c r="AL105" s="1769"/>
      <c r="AM105" s="1891"/>
      <c r="AN105" s="1892"/>
      <c r="AO105" s="1920"/>
      <c r="AP105" s="3063"/>
      <c r="AQ105" s="2076"/>
      <c r="AR105" s="1921"/>
      <c r="AS105" s="3145"/>
      <c r="AT105" s="1922"/>
      <c r="AU105" s="1923"/>
      <c r="AV105" s="1924"/>
      <c r="AW105" s="1947"/>
      <c r="AX105" s="1891"/>
      <c r="AY105" s="1948"/>
      <c r="AZ105" s="1924"/>
      <c r="BA105" s="3634"/>
      <c r="BB105" s="3634"/>
      <c r="BC105" s="1942"/>
      <c r="BD105" s="1951"/>
      <c r="BE105" s="3630"/>
    </row>
    <row r="106" spans="1:57" ht="15.75" thickBot="1">
      <c r="A106" s="3695"/>
      <c r="B106" s="1694" t="s">
        <v>34</v>
      </c>
      <c r="C106" s="3679"/>
      <c r="D106" s="1705">
        <f t="shared" si="23"/>
        <v>0</v>
      </c>
      <c r="E106" s="1706"/>
      <c r="F106" s="1707"/>
      <c r="G106" s="1708"/>
      <c r="H106" s="1709"/>
      <c r="I106" s="3343"/>
      <c r="J106" s="2016"/>
      <c r="K106" s="1767"/>
      <c r="L106" s="1766"/>
      <c r="M106" s="2948"/>
      <c r="N106" s="2016"/>
      <c r="O106" s="2017"/>
      <c r="P106" s="1769"/>
      <c r="Q106" s="1768"/>
      <c r="R106" s="1771"/>
      <c r="S106" s="2018"/>
      <c r="T106" s="3063"/>
      <c r="U106" s="2049"/>
      <c r="V106" s="1836"/>
      <c r="W106" s="3138"/>
      <c r="X106" s="1837"/>
      <c r="Y106" s="1838"/>
      <c r="Z106" s="1839"/>
      <c r="AA106" s="1706"/>
      <c r="AB106" s="1707"/>
      <c r="AC106" s="1887"/>
      <c r="AD106" s="1888"/>
      <c r="AE106" s="3349"/>
      <c r="AF106" s="3408"/>
      <c r="AG106" s="1890"/>
      <c r="AH106" s="2064"/>
      <c r="AI106" s="2960"/>
      <c r="AJ106" s="2016"/>
      <c r="AK106" s="2017"/>
      <c r="AL106" s="1769"/>
      <c r="AM106" s="1891"/>
      <c r="AN106" s="1892"/>
      <c r="AO106" s="1920"/>
      <c r="AP106" s="3063"/>
      <c r="AQ106" s="2076"/>
      <c r="AR106" s="1921"/>
      <c r="AS106" s="3145"/>
      <c r="AT106" s="1922"/>
      <c r="AU106" s="1923"/>
      <c r="AV106" s="1924"/>
      <c r="AW106" s="1947"/>
      <c r="AX106" s="1891"/>
      <c r="AY106" s="1948"/>
      <c r="AZ106" s="1924"/>
      <c r="BA106" s="3634"/>
      <c r="BB106" s="3634"/>
      <c r="BC106" s="1942"/>
      <c r="BD106" s="1951"/>
      <c r="BE106" s="3630"/>
    </row>
    <row r="107" spans="1:57" ht="12.95" customHeight="1" thickBot="1">
      <c r="A107" s="3694"/>
      <c r="B107" s="1738" t="s">
        <v>32</v>
      </c>
      <c r="C107" s="3678">
        <f>SUM(D107:D108)</f>
        <v>0</v>
      </c>
      <c r="D107" s="1689">
        <f t="shared" ref="D107:D108" si="24">SUM(E107:AZ107)</f>
        <v>0</v>
      </c>
      <c r="E107" s="1690"/>
      <c r="F107" s="1691"/>
      <c r="G107" s="1692"/>
      <c r="H107" s="1693"/>
      <c r="I107" s="3192"/>
      <c r="J107" s="2034"/>
      <c r="K107" s="1746"/>
      <c r="L107" s="1745"/>
      <c r="M107" s="2955"/>
      <c r="N107" s="2034"/>
      <c r="O107" s="1862"/>
      <c r="P107" s="1748"/>
      <c r="Q107" s="1747"/>
      <c r="R107" s="1750"/>
      <c r="S107" s="2020"/>
      <c r="T107" s="3064"/>
      <c r="U107" s="2050"/>
      <c r="V107" s="1817"/>
      <c r="W107" s="3139"/>
      <c r="X107" s="1818"/>
      <c r="Y107" s="1819"/>
      <c r="Z107" s="1820"/>
      <c r="AA107" s="1726"/>
      <c r="AB107" s="1691"/>
      <c r="AC107" s="1869"/>
      <c r="AD107" s="1893"/>
      <c r="AE107" s="3350"/>
      <c r="AF107" s="3409"/>
      <c r="AG107" s="1894"/>
      <c r="AH107" s="2065"/>
      <c r="AI107" s="2961"/>
      <c r="AJ107" s="2034"/>
      <c r="AK107" s="1862"/>
      <c r="AL107" s="1748"/>
      <c r="AM107" s="1873"/>
      <c r="AN107" s="1874"/>
      <c r="AO107" s="1909"/>
      <c r="AP107" s="3064"/>
      <c r="AQ107" s="2078"/>
      <c r="AR107" s="1910"/>
      <c r="AS107" s="3146"/>
      <c r="AT107" s="1911"/>
      <c r="AU107" s="1864"/>
      <c r="AV107" s="1865"/>
      <c r="AW107" s="1726"/>
      <c r="AX107" s="1873"/>
      <c r="AY107" s="1940"/>
      <c r="AZ107" s="1865"/>
      <c r="BA107" s="3633">
        <f>SUM(E107:Z108)</f>
        <v>0</v>
      </c>
      <c r="BB107" s="3633">
        <f>SUM(E107:AV108)</f>
        <v>0</v>
      </c>
      <c r="BC107" s="1942"/>
      <c r="BD107" s="1942"/>
      <c r="BE107" s="3629" t="s">
        <v>33</v>
      </c>
    </row>
    <row r="108" spans="1:57" ht="15.75" thickBot="1">
      <c r="A108" s="3695"/>
      <c r="B108" s="1694" t="s">
        <v>34</v>
      </c>
      <c r="C108" s="3679"/>
      <c r="D108" s="1705">
        <f t="shared" si="24"/>
        <v>0</v>
      </c>
      <c r="E108" s="1706"/>
      <c r="F108" s="1707"/>
      <c r="G108" s="1708"/>
      <c r="H108" s="1709"/>
      <c r="I108" s="3343"/>
      <c r="J108" s="2016"/>
      <c r="K108" s="1767"/>
      <c r="L108" s="1766"/>
      <c r="M108" s="2948"/>
      <c r="N108" s="2016"/>
      <c r="O108" s="2017"/>
      <c r="P108" s="1769"/>
      <c r="Q108" s="1768"/>
      <c r="R108" s="1771"/>
      <c r="S108" s="2018"/>
      <c r="T108" s="3063"/>
      <c r="U108" s="2049"/>
      <c r="V108" s="1836"/>
      <c r="W108" s="3138"/>
      <c r="X108" s="1837"/>
      <c r="Y108" s="1838"/>
      <c r="Z108" s="1839"/>
      <c r="AA108" s="1706"/>
      <c r="AB108" s="1707"/>
      <c r="AC108" s="1887"/>
      <c r="AD108" s="1888"/>
      <c r="AE108" s="3349"/>
      <c r="AF108" s="3408"/>
      <c r="AG108" s="1890"/>
      <c r="AH108" s="2064"/>
      <c r="AI108" s="2960"/>
      <c r="AJ108" s="2016"/>
      <c r="AK108" s="2017"/>
      <c r="AL108" s="1769"/>
      <c r="AM108" s="1891"/>
      <c r="AN108" s="1892"/>
      <c r="AO108" s="1920"/>
      <c r="AP108" s="3063"/>
      <c r="AQ108" s="2076"/>
      <c r="AR108" s="1921"/>
      <c r="AS108" s="3145"/>
      <c r="AT108" s="1922"/>
      <c r="AU108" s="1923"/>
      <c r="AV108" s="1924"/>
      <c r="AW108" s="1947"/>
      <c r="AX108" s="1891"/>
      <c r="AY108" s="1948"/>
      <c r="AZ108" s="1924"/>
      <c r="BA108" s="3634"/>
      <c r="BB108" s="3634"/>
      <c r="BC108" s="1942"/>
      <c r="BD108" s="1951"/>
      <c r="BE108" s="3630"/>
    </row>
    <row r="109" spans="1:57" ht="12.95" customHeight="1" thickBot="1">
      <c r="A109" s="3694"/>
      <c r="B109" s="1738" t="s">
        <v>32</v>
      </c>
      <c r="C109" s="3678">
        <f>SUM(D109:D111)</f>
        <v>0</v>
      </c>
      <c r="D109" s="1689">
        <f t="shared" ref="D109:D111" si="25">SUM(E109:AZ109)</f>
        <v>0</v>
      </c>
      <c r="E109" s="1690"/>
      <c r="F109" s="1691"/>
      <c r="G109" s="1692"/>
      <c r="H109" s="1693"/>
      <c r="I109" s="3192"/>
      <c r="J109" s="2034"/>
      <c r="K109" s="1746"/>
      <c r="L109" s="1745"/>
      <c r="M109" s="2955"/>
      <c r="N109" s="2034"/>
      <c r="O109" s="1862"/>
      <c r="P109" s="1748"/>
      <c r="Q109" s="1747"/>
      <c r="R109" s="1750"/>
      <c r="S109" s="2020"/>
      <c r="T109" s="3064"/>
      <c r="U109" s="2050"/>
      <c r="V109" s="1817"/>
      <c r="W109" s="3139"/>
      <c r="X109" s="1818"/>
      <c r="Y109" s="1819"/>
      <c r="Z109" s="1820"/>
      <c r="AA109" s="1726"/>
      <c r="AB109" s="1691"/>
      <c r="AC109" s="1869"/>
      <c r="AD109" s="1893"/>
      <c r="AE109" s="3350"/>
      <c r="AF109" s="3409"/>
      <c r="AG109" s="1894"/>
      <c r="AH109" s="2065"/>
      <c r="AI109" s="2961"/>
      <c r="AJ109" s="2034"/>
      <c r="AK109" s="1862"/>
      <c r="AL109" s="1748"/>
      <c r="AM109" s="1873"/>
      <c r="AN109" s="1874"/>
      <c r="AO109" s="1909"/>
      <c r="AP109" s="3064"/>
      <c r="AQ109" s="2078"/>
      <c r="AR109" s="1910"/>
      <c r="AS109" s="3146"/>
      <c r="AT109" s="1911"/>
      <c r="AU109" s="1864"/>
      <c r="AV109" s="1865"/>
      <c r="AW109" s="1726"/>
      <c r="AX109" s="1873"/>
      <c r="AY109" s="1940"/>
      <c r="AZ109" s="1865"/>
      <c r="BA109" s="3633">
        <f>SUM(E109:Z111)</f>
        <v>0</v>
      </c>
      <c r="BB109" s="3633">
        <f>SUM(E109:AV111)</f>
        <v>0</v>
      </c>
      <c r="BC109" s="1942"/>
      <c r="BD109" s="1942"/>
      <c r="BE109" s="3629" t="s">
        <v>33</v>
      </c>
    </row>
    <row r="110" spans="1:57" ht="15.75" thickBot="1">
      <c r="A110" s="3695"/>
      <c r="B110" s="1694" t="s">
        <v>34</v>
      </c>
      <c r="C110" s="3679"/>
      <c r="D110" s="1705">
        <f t="shared" si="25"/>
        <v>0</v>
      </c>
      <c r="E110" s="1706"/>
      <c r="F110" s="1707"/>
      <c r="G110" s="1708"/>
      <c r="H110" s="1709"/>
      <c r="I110" s="3343"/>
      <c r="J110" s="2016"/>
      <c r="K110" s="1767"/>
      <c r="L110" s="1766"/>
      <c r="M110" s="2948"/>
      <c r="N110" s="2016"/>
      <c r="O110" s="2017"/>
      <c r="P110" s="1769"/>
      <c r="Q110" s="1768"/>
      <c r="R110" s="1771"/>
      <c r="S110" s="2018"/>
      <c r="T110" s="3063"/>
      <c r="U110" s="2049"/>
      <c r="V110" s="1836"/>
      <c r="W110" s="3138"/>
      <c r="X110" s="1837"/>
      <c r="Y110" s="1838"/>
      <c r="Z110" s="1839"/>
      <c r="AA110" s="1706"/>
      <c r="AB110" s="1707"/>
      <c r="AC110" s="1887"/>
      <c r="AD110" s="1888"/>
      <c r="AE110" s="3349"/>
      <c r="AF110" s="3408"/>
      <c r="AG110" s="1890"/>
      <c r="AH110" s="2064"/>
      <c r="AI110" s="2960"/>
      <c r="AJ110" s="2016"/>
      <c r="AK110" s="2017"/>
      <c r="AL110" s="1769"/>
      <c r="AM110" s="1891"/>
      <c r="AN110" s="1892"/>
      <c r="AO110" s="1920"/>
      <c r="AP110" s="3063"/>
      <c r="AQ110" s="2076"/>
      <c r="AR110" s="1921"/>
      <c r="AS110" s="3145"/>
      <c r="AT110" s="1922"/>
      <c r="AU110" s="1923"/>
      <c r="AV110" s="1924"/>
      <c r="AW110" s="1947"/>
      <c r="AX110" s="1891"/>
      <c r="AY110" s="1948"/>
      <c r="AZ110" s="1924"/>
      <c r="BA110" s="3634"/>
      <c r="BB110" s="3634"/>
      <c r="BC110" s="1942"/>
      <c r="BD110" s="1951"/>
      <c r="BE110" s="3630"/>
    </row>
    <row r="111" spans="1:57" ht="15.75" thickBot="1">
      <c r="A111" s="3695"/>
      <c r="B111" s="1694" t="s">
        <v>34</v>
      </c>
      <c r="C111" s="3679"/>
      <c r="D111" s="1705">
        <f t="shared" si="25"/>
        <v>0</v>
      </c>
      <c r="E111" s="1706"/>
      <c r="F111" s="1707"/>
      <c r="G111" s="1708"/>
      <c r="H111" s="1709"/>
      <c r="I111" s="3343"/>
      <c r="J111" s="2016"/>
      <c r="K111" s="1767"/>
      <c r="L111" s="1766"/>
      <c r="M111" s="2948"/>
      <c r="N111" s="2016"/>
      <c r="O111" s="2017"/>
      <c r="P111" s="1769"/>
      <c r="Q111" s="1768"/>
      <c r="R111" s="1771"/>
      <c r="S111" s="2018"/>
      <c r="T111" s="3063"/>
      <c r="U111" s="2049"/>
      <c r="V111" s="1836"/>
      <c r="W111" s="3138"/>
      <c r="X111" s="1837"/>
      <c r="Y111" s="1838"/>
      <c r="Z111" s="1839"/>
      <c r="AA111" s="1706"/>
      <c r="AB111" s="1707"/>
      <c r="AC111" s="1887"/>
      <c r="AD111" s="1888"/>
      <c r="AE111" s="3349"/>
      <c r="AF111" s="3408"/>
      <c r="AG111" s="1890"/>
      <c r="AH111" s="2064"/>
      <c r="AI111" s="2960"/>
      <c r="AJ111" s="2016"/>
      <c r="AK111" s="2017"/>
      <c r="AL111" s="1769"/>
      <c r="AM111" s="1891"/>
      <c r="AN111" s="1892"/>
      <c r="AO111" s="1920"/>
      <c r="AP111" s="3063"/>
      <c r="AQ111" s="2076"/>
      <c r="AR111" s="1921"/>
      <c r="AS111" s="3145"/>
      <c r="AT111" s="1922"/>
      <c r="AU111" s="1923"/>
      <c r="AV111" s="1924"/>
      <c r="AW111" s="1947"/>
      <c r="AX111" s="1891"/>
      <c r="AY111" s="1948"/>
      <c r="AZ111" s="1924"/>
      <c r="BA111" s="3634"/>
      <c r="BB111" s="3634"/>
      <c r="BC111" s="1942"/>
      <c r="BD111" s="1951"/>
      <c r="BE111" s="3630"/>
    </row>
    <row r="112" spans="1:57" ht="12.95" customHeight="1" thickBot="1">
      <c r="A112" s="3694"/>
      <c r="B112" s="1738" t="s">
        <v>32</v>
      </c>
      <c r="C112" s="3678">
        <f>SUM(D112:D114)</f>
        <v>0</v>
      </c>
      <c r="D112" s="1689">
        <f t="shared" si="23"/>
        <v>0</v>
      </c>
      <c r="E112" s="1690"/>
      <c r="F112" s="1691"/>
      <c r="G112" s="1692"/>
      <c r="H112" s="1693"/>
      <c r="I112" s="3192"/>
      <c r="J112" s="2034"/>
      <c r="K112" s="1746"/>
      <c r="L112" s="1745"/>
      <c r="M112" s="2955"/>
      <c r="N112" s="2034"/>
      <c r="O112" s="1862"/>
      <c r="P112" s="1748"/>
      <c r="Q112" s="1747"/>
      <c r="R112" s="1750"/>
      <c r="S112" s="2020"/>
      <c r="T112" s="3064"/>
      <c r="U112" s="2050"/>
      <c r="V112" s="1817"/>
      <c r="W112" s="3139"/>
      <c r="X112" s="1818"/>
      <c r="Y112" s="1819"/>
      <c r="Z112" s="1820"/>
      <c r="AA112" s="1726"/>
      <c r="AB112" s="1691"/>
      <c r="AC112" s="1869"/>
      <c r="AD112" s="1893"/>
      <c r="AE112" s="3350"/>
      <c r="AF112" s="3409"/>
      <c r="AG112" s="1894"/>
      <c r="AH112" s="2065"/>
      <c r="AI112" s="2961"/>
      <c r="AJ112" s="2034"/>
      <c r="AK112" s="1862"/>
      <c r="AL112" s="1748"/>
      <c r="AM112" s="1873"/>
      <c r="AN112" s="1874"/>
      <c r="AO112" s="1909"/>
      <c r="AP112" s="3064"/>
      <c r="AQ112" s="2078"/>
      <c r="AR112" s="1910"/>
      <c r="AS112" s="3146"/>
      <c r="AT112" s="1911"/>
      <c r="AU112" s="1864"/>
      <c r="AV112" s="1865"/>
      <c r="AW112" s="1726"/>
      <c r="AX112" s="1873"/>
      <c r="AY112" s="1940"/>
      <c r="AZ112" s="1865"/>
      <c r="BA112" s="3633">
        <f>SUM(E112:Z114)</f>
        <v>0</v>
      </c>
      <c r="BB112" s="3633">
        <f>SUM(E112:AV114)</f>
        <v>0</v>
      </c>
      <c r="BC112" s="1942"/>
      <c r="BD112" s="1942"/>
      <c r="BE112" s="3629" t="s">
        <v>33</v>
      </c>
    </row>
    <row r="113" spans="1:57" ht="15.75" thickBot="1">
      <c r="A113" s="3695"/>
      <c r="B113" s="1694" t="s">
        <v>34</v>
      </c>
      <c r="C113" s="3679"/>
      <c r="D113" s="1705">
        <f t="shared" si="23"/>
        <v>0</v>
      </c>
      <c r="E113" s="1706"/>
      <c r="F113" s="1707"/>
      <c r="G113" s="1708"/>
      <c r="H113" s="1709"/>
      <c r="I113" s="3343"/>
      <c r="J113" s="2016"/>
      <c r="K113" s="1767"/>
      <c r="L113" s="1766"/>
      <c r="M113" s="2948"/>
      <c r="N113" s="2016"/>
      <c r="O113" s="2017"/>
      <c r="P113" s="1769"/>
      <c r="Q113" s="1768"/>
      <c r="R113" s="1771"/>
      <c r="S113" s="2018"/>
      <c r="T113" s="3063"/>
      <c r="U113" s="2049"/>
      <c r="V113" s="1836"/>
      <c r="W113" s="3138"/>
      <c r="X113" s="1837"/>
      <c r="Y113" s="1838"/>
      <c r="Z113" s="1839"/>
      <c r="AA113" s="1706"/>
      <c r="AB113" s="1707"/>
      <c r="AC113" s="1887"/>
      <c r="AD113" s="1888"/>
      <c r="AE113" s="3349"/>
      <c r="AF113" s="3408"/>
      <c r="AG113" s="1890"/>
      <c r="AH113" s="2064"/>
      <c r="AI113" s="2960"/>
      <c r="AJ113" s="2016"/>
      <c r="AK113" s="2017"/>
      <c r="AL113" s="1769"/>
      <c r="AM113" s="1891"/>
      <c r="AN113" s="1892"/>
      <c r="AO113" s="1920"/>
      <c r="AP113" s="3063"/>
      <c r="AQ113" s="2076"/>
      <c r="AR113" s="1921"/>
      <c r="AS113" s="3145"/>
      <c r="AT113" s="1922"/>
      <c r="AU113" s="1923"/>
      <c r="AV113" s="1924"/>
      <c r="AW113" s="1947"/>
      <c r="AX113" s="1891"/>
      <c r="AY113" s="1948"/>
      <c r="AZ113" s="1924"/>
      <c r="BA113" s="3634"/>
      <c r="BB113" s="3634"/>
      <c r="BC113" s="1942"/>
      <c r="BD113" s="1951"/>
      <c r="BE113" s="3630"/>
    </row>
    <row r="114" spans="1:57" ht="15.75" thickBot="1">
      <c r="A114" s="3695"/>
      <c r="B114" s="1694" t="s">
        <v>34</v>
      </c>
      <c r="C114" s="3679"/>
      <c r="D114" s="1705">
        <f t="shared" si="23"/>
        <v>0</v>
      </c>
      <c r="E114" s="1706"/>
      <c r="F114" s="1707"/>
      <c r="G114" s="1708"/>
      <c r="H114" s="1709"/>
      <c r="I114" s="3343"/>
      <c r="J114" s="2016"/>
      <c r="K114" s="1767"/>
      <c r="L114" s="1766"/>
      <c r="M114" s="2948"/>
      <c r="N114" s="2016"/>
      <c r="O114" s="2017"/>
      <c r="P114" s="1769"/>
      <c r="Q114" s="1768"/>
      <c r="R114" s="1771"/>
      <c r="S114" s="2018"/>
      <c r="T114" s="3063"/>
      <c r="U114" s="2049"/>
      <c r="V114" s="1836"/>
      <c r="W114" s="3138"/>
      <c r="X114" s="1837"/>
      <c r="Y114" s="1838"/>
      <c r="Z114" s="1839"/>
      <c r="AA114" s="1706"/>
      <c r="AB114" s="1707"/>
      <c r="AC114" s="1887"/>
      <c r="AD114" s="1888"/>
      <c r="AE114" s="3349"/>
      <c r="AF114" s="3408"/>
      <c r="AG114" s="1890"/>
      <c r="AH114" s="2064"/>
      <c r="AI114" s="2960"/>
      <c r="AJ114" s="2016"/>
      <c r="AK114" s="2017"/>
      <c r="AL114" s="1769"/>
      <c r="AM114" s="1891"/>
      <c r="AN114" s="1892"/>
      <c r="AO114" s="1920"/>
      <c r="AP114" s="3063"/>
      <c r="AQ114" s="2076"/>
      <c r="AR114" s="1921"/>
      <c r="AS114" s="3145"/>
      <c r="AT114" s="1922"/>
      <c r="AU114" s="1923"/>
      <c r="AV114" s="1924"/>
      <c r="AW114" s="1947"/>
      <c r="AX114" s="1891"/>
      <c r="AY114" s="2097"/>
      <c r="AZ114" s="1924"/>
      <c r="BA114" s="3634"/>
      <c r="BB114" s="3634"/>
      <c r="BC114" s="1942"/>
      <c r="BD114" s="1951"/>
      <c r="BE114" s="3630"/>
    </row>
    <row r="115" spans="1:57" ht="15.75" thickBot="1">
      <c r="A115" s="2096"/>
      <c r="B115" s="1724"/>
      <c r="C115" s="1964"/>
      <c r="D115" s="1965"/>
      <c r="E115" s="1966">
        <f t="shared" ref="E115:AR115" si="26">SUM(E5:E114)</f>
        <v>0</v>
      </c>
      <c r="F115" s="1966">
        <f t="shared" si="26"/>
        <v>0</v>
      </c>
      <c r="G115" s="1966">
        <f t="shared" si="26"/>
        <v>0</v>
      </c>
      <c r="H115" s="1966">
        <f t="shared" si="26"/>
        <v>0</v>
      </c>
      <c r="I115" s="3347">
        <f t="shared" ref="I115:J115" si="27">SUM(I5:I114)</f>
        <v>0</v>
      </c>
      <c r="J115" s="3406">
        <f t="shared" si="27"/>
        <v>0</v>
      </c>
      <c r="K115" s="1966">
        <f t="shared" si="26"/>
        <v>11328</v>
      </c>
      <c r="L115" s="1966">
        <f t="shared" si="26"/>
        <v>0</v>
      </c>
      <c r="M115" s="1966">
        <f t="shared" si="26"/>
        <v>0</v>
      </c>
      <c r="N115" s="1966">
        <f t="shared" si="26"/>
        <v>0</v>
      </c>
      <c r="O115" s="1966">
        <f t="shared" si="26"/>
        <v>0</v>
      </c>
      <c r="P115" s="1966">
        <f t="shared" si="26"/>
        <v>0</v>
      </c>
      <c r="Q115" s="1966">
        <f t="shared" si="26"/>
        <v>0</v>
      </c>
      <c r="R115" s="1966">
        <f t="shared" si="26"/>
        <v>0</v>
      </c>
      <c r="S115" s="1966">
        <f t="shared" si="26"/>
        <v>0</v>
      </c>
      <c r="T115" s="1966">
        <f t="shared" si="26"/>
        <v>0</v>
      </c>
      <c r="U115" s="1966">
        <f t="shared" si="26"/>
        <v>0</v>
      </c>
      <c r="V115" s="1966">
        <f t="shared" si="26"/>
        <v>0</v>
      </c>
      <c r="W115" s="1966">
        <f t="shared" si="26"/>
        <v>0</v>
      </c>
      <c r="X115" s="1966">
        <f t="shared" si="26"/>
        <v>0</v>
      </c>
      <c r="Y115" s="1966">
        <f t="shared" si="26"/>
        <v>0</v>
      </c>
      <c r="Z115" s="1966">
        <f t="shared" si="26"/>
        <v>0</v>
      </c>
      <c r="AA115" s="1966">
        <f t="shared" si="26"/>
        <v>0</v>
      </c>
      <c r="AB115" s="1966">
        <f t="shared" si="26"/>
        <v>0</v>
      </c>
      <c r="AC115" s="1966">
        <f t="shared" si="26"/>
        <v>0</v>
      </c>
      <c r="AD115" s="1966">
        <f t="shared" si="26"/>
        <v>0</v>
      </c>
      <c r="AE115" s="1966">
        <f t="shared" ref="AE115:AF115" si="28">SUM(AE5:AE114)</f>
        <v>0</v>
      </c>
      <c r="AF115" s="3406">
        <f t="shared" si="28"/>
        <v>0</v>
      </c>
      <c r="AG115" s="1966">
        <f t="shared" si="26"/>
        <v>43</v>
      </c>
      <c r="AH115" s="1966">
        <f t="shared" si="26"/>
        <v>0</v>
      </c>
      <c r="AI115" s="1966">
        <f t="shared" si="26"/>
        <v>0</v>
      </c>
      <c r="AJ115" s="1966">
        <f t="shared" si="26"/>
        <v>0</v>
      </c>
      <c r="AK115" s="1966">
        <f t="shared" si="26"/>
        <v>0</v>
      </c>
      <c r="AL115" s="1966">
        <f t="shared" si="26"/>
        <v>0</v>
      </c>
      <c r="AM115" s="1966">
        <f t="shared" si="26"/>
        <v>0</v>
      </c>
      <c r="AN115" s="1966">
        <f t="shared" si="26"/>
        <v>0</v>
      </c>
      <c r="AO115" s="1966">
        <f t="shared" si="26"/>
        <v>0</v>
      </c>
      <c r="AP115" s="1966">
        <f t="shared" si="26"/>
        <v>0</v>
      </c>
      <c r="AQ115" s="1966">
        <f t="shared" si="26"/>
        <v>0</v>
      </c>
      <c r="AR115" s="1966">
        <f t="shared" si="26"/>
        <v>0</v>
      </c>
      <c r="AS115" s="1966">
        <f t="shared" ref="AS115" si="29">SUM(AS5:AS114)</f>
        <v>0</v>
      </c>
      <c r="AT115" s="1966">
        <f t="shared" ref="AT115:BB115" si="30">SUM(AT5:AT114)</f>
        <v>0</v>
      </c>
      <c r="AU115" s="1966">
        <f t="shared" si="30"/>
        <v>0</v>
      </c>
      <c r="AV115" s="1966">
        <f t="shared" si="30"/>
        <v>0</v>
      </c>
      <c r="AW115" s="1966">
        <f t="shared" si="30"/>
        <v>0</v>
      </c>
      <c r="AX115" s="1966">
        <f t="shared" si="30"/>
        <v>115</v>
      </c>
      <c r="AY115" s="1966">
        <f t="shared" si="30"/>
        <v>0</v>
      </c>
      <c r="AZ115" s="1966">
        <f t="shared" si="30"/>
        <v>0</v>
      </c>
      <c r="BA115" s="1966">
        <f t="shared" si="30"/>
        <v>11328</v>
      </c>
      <c r="BB115" s="1966">
        <f t="shared" si="30"/>
        <v>11371</v>
      </c>
      <c r="BC115" s="2098"/>
      <c r="BD115" s="1939"/>
      <c r="BE115" s="1989"/>
    </row>
    <row r="116" spans="1:57" ht="21.75" thickBot="1">
      <c r="A116" s="1967"/>
      <c r="B116" s="1730"/>
      <c r="C116" s="1968">
        <f>SUM(C5:C114)</f>
        <v>11486</v>
      </c>
      <c r="D116" s="1969"/>
      <c r="E116" s="3699">
        <f>SUM(E115:Z115)</f>
        <v>11328</v>
      </c>
      <c r="F116" s="3700"/>
      <c r="G116" s="3700"/>
      <c r="H116" s="3700"/>
      <c r="I116" s="3700"/>
      <c r="J116" s="3700"/>
      <c r="K116" s="3700"/>
      <c r="L116" s="3700"/>
      <c r="M116" s="3700"/>
      <c r="N116" s="3700"/>
      <c r="O116" s="3700"/>
      <c r="P116" s="3700"/>
      <c r="Q116" s="3700"/>
      <c r="R116" s="3700"/>
      <c r="S116" s="3700"/>
      <c r="T116" s="3700"/>
      <c r="U116" s="3700"/>
      <c r="V116" s="3701"/>
      <c r="W116" s="3701"/>
      <c r="X116" s="3701"/>
      <c r="Y116" s="3701"/>
      <c r="Z116" s="3702"/>
      <c r="AA116" s="3703">
        <f>SUM(AA115:AV115)</f>
        <v>43</v>
      </c>
      <c r="AB116" s="3704"/>
      <c r="AC116" s="3704"/>
      <c r="AD116" s="3704"/>
      <c r="AE116" s="3704"/>
      <c r="AF116" s="3704"/>
      <c r="AG116" s="3704"/>
      <c r="AH116" s="3704"/>
      <c r="AI116" s="3704"/>
      <c r="AJ116" s="3704"/>
      <c r="AK116" s="3704"/>
      <c r="AL116" s="3704"/>
      <c r="AM116" s="3704"/>
      <c r="AN116" s="3704"/>
      <c r="AO116" s="3704"/>
      <c r="AP116" s="3704"/>
      <c r="AQ116" s="3704"/>
      <c r="AR116" s="3705"/>
      <c r="AS116" s="3705"/>
      <c r="AT116" s="3705"/>
      <c r="AU116" s="3705"/>
      <c r="AV116" s="3706"/>
      <c r="AW116" s="3699">
        <f>SUM(AW115:AZ115)</f>
        <v>115</v>
      </c>
      <c r="AX116" s="3701"/>
      <c r="AY116" s="3701"/>
      <c r="AZ116" s="3702"/>
    </row>
    <row r="117" spans="1:57" ht="15.75" thickBot="1">
      <c r="E117" s="1972"/>
      <c r="F117" s="1972"/>
      <c r="G117" s="1972"/>
      <c r="H117" s="1972"/>
      <c r="I117" s="1972"/>
      <c r="J117" s="1972"/>
      <c r="K117" s="1972"/>
      <c r="L117" s="1972"/>
      <c r="M117" s="1972"/>
      <c r="N117" s="1972"/>
      <c r="O117" s="1972"/>
      <c r="P117" s="1972"/>
      <c r="Q117" s="1972"/>
      <c r="R117" s="1972"/>
      <c r="S117" s="1972"/>
      <c r="T117" s="1972"/>
      <c r="U117" s="1972"/>
      <c r="V117" s="1972"/>
      <c r="W117" s="1972"/>
      <c r="X117" s="1972"/>
      <c r="Y117" s="1978"/>
      <c r="Z117" s="1978"/>
      <c r="AJ117" s="1972"/>
      <c r="AK117" s="1972"/>
      <c r="AL117" s="1972"/>
      <c r="AW117" s="1983"/>
      <c r="AX117" s="1984"/>
      <c r="AY117" s="1984"/>
      <c r="AZ117" s="1984"/>
    </row>
    <row r="118" spans="1:57" ht="21.75" thickBot="1">
      <c r="E118" s="1972"/>
      <c r="F118" s="1973">
        <f>SUM(BB60)</f>
        <v>480</v>
      </c>
      <c r="G118" s="1974"/>
      <c r="H118" s="1974"/>
      <c r="I118" s="1974"/>
      <c r="J118" s="1974"/>
      <c r="K118" s="1974"/>
      <c r="L118" s="1974"/>
      <c r="M118" s="1974"/>
      <c r="N118" s="1974"/>
      <c r="O118" s="1974"/>
      <c r="P118" s="1974"/>
      <c r="Q118" s="1974"/>
      <c r="R118" s="1974"/>
      <c r="S118" s="1974"/>
      <c r="T118" s="1974"/>
      <c r="U118" s="1974"/>
      <c r="V118" s="1974"/>
      <c r="W118" s="1974"/>
      <c r="X118" s="1974"/>
      <c r="Y118" s="1978"/>
      <c r="Z118" s="1978"/>
      <c r="AJ118" s="1974"/>
      <c r="AK118" s="1974"/>
      <c r="AL118" s="1974"/>
      <c r="AW118" s="1983"/>
      <c r="AX118" s="1983">
        <f>'M-1'!AW115</f>
        <v>300</v>
      </c>
      <c r="AY118" s="1984"/>
      <c r="AZ118" s="1984"/>
      <c r="BA118" s="1985">
        <f>SUM(AW116:AZ118)</f>
        <v>415</v>
      </c>
    </row>
    <row r="119" spans="1:57" ht="21.75" thickBot="1">
      <c r="E119" s="1972"/>
      <c r="F119" s="1975">
        <f>SUM(E60:Z62)</f>
        <v>480</v>
      </c>
      <c r="G119" s="1976"/>
      <c r="H119" s="1976"/>
      <c r="I119" s="1976"/>
      <c r="J119" s="1976"/>
      <c r="K119" s="1976"/>
      <c r="L119" s="1976"/>
      <c r="M119" s="1976"/>
      <c r="N119" s="1976"/>
      <c r="O119" s="1976"/>
      <c r="P119" s="1976"/>
      <c r="Q119" s="1976"/>
      <c r="R119" s="1976"/>
      <c r="S119" s="1976"/>
      <c r="T119" s="1976"/>
      <c r="U119" s="1976"/>
      <c r="V119" s="1976"/>
      <c r="W119" s="1976"/>
      <c r="X119" s="1976"/>
      <c r="Y119" s="1979"/>
      <c r="Z119" s="1979"/>
      <c r="AA119" s="140">
        <f>SUM(AA60:AV62)</f>
        <v>0</v>
      </c>
      <c r="AB119" s="1980"/>
      <c r="AC119" s="1980"/>
      <c r="AD119" s="1980"/>
      <c r="AE119" s="3386"/>
      <c r="AF119" s="1980"/>
      <c r="AG119" s="1980"/>
      <c r="AH119" s="1980"/>
      <c r="AI119" s="1980"/>
      <c r="AJ119" s="1976"/>
      <c r="AK119" s="1976"/>
      <c r="AL119" s="1976"/>
      <c r="AM119" s="1980"/>
      <c r="AN119" s="1980"/>
      <c r="AO119" s="1980"/>
      <c r="AP119" s="1980"/>
      <c r="AQ119" s="1980"/>
      <c r="AR119" s="1980"/>
      <c r="AS119" s="1980"/>
      <c r="AT119" s="1980"/>
      <c r="AU119" s="1981"/>
      <c r="AV119" s="1981"/>
      <c r="AW119" s="140">
        <f>SUM(AW60:AZ62)</f>
        <v>3</v>
      </c>
      <c r="AX119" s="1986"/>
    </row>
    <row r="120" spans="1:57" ht="19.5" thickBot="1">
      <c r="R120" s="1971"/>
      <c r="S120" s="1971"/>
      <c r="T120" s="1971"/>
      <c r="U120" s="1971"/>
      <c r="V120" s="3707">
        <f>SUM(F119:AA119)</f>
        <v>480</v>
      </c>
      <c r="W120" s="3708"/>
      <c r="X120" s="3708"/>
      <c r="Y120" s="3708"/>
      <c r="Z120" s="3709"/>
      <c r="AC120" s="216"/>
      <c r="AD120" s="216"/>
      <c r="AE120" s="216"/>
      <c r="AF120" s="216"/>
      <c r="AG120" s="216"/>
      <c r="AH120" s="216"/>
      <c r="AI120" s="216"/>
      <c r="AM120" s="216"/>
      <c r="AN120" s="216"/>
      <c r="AO120" s="216"/>
      <c r="AP120" s="216"/>
      <c r="AQ120" s="216"/>
      <c r="AR120" s="1982">
        <f>SUM(F119:AW119)</f>
        <v>483</v>
      </c>
      <c r="AS120" s="1982">
        <f>SUM(G119:AX119)</f>
        <v>3</v>
      </c>
      <c r="AT120" s="216"/>
      <c r="BA120" s="147" t="s">
        <v>42</v>
      </c>
      <c r="BB120" s="1987">
        <f>BB115+'M-1'!BB115</f>
        <v>11371</v>
      </c>
    </row>
    <row r="129" spans="29:29" customFormat="1">
      <c r="AC129" s="1971" t="s">
        <v>4</v>
      </c>
    </row>
  </sheetData>
  <mergeCells count="168">
    <mergeCell ref="E3:Z3"/>
    <mergeCell ref="AA3:AV3"/>
    <mergeCell ref="AW3:AZ3"/>
    <mergeCell ref="C4:D4"/>
    <mergeCell ref="E116:Z116"/>
    <mergeCell ref="AA116:AV116"/>
    <mergeCell ref="AW116:AZ116"/>
    <mergeCell ref="V120:Z120"/>
    <mergeCell ref="A5:A7"/>
    <mergeCell ref="A8:A11"/>
    <mergeCell ref="A12:A14"/>
    <mergeCell ref="A15:A18"/>
    <mergeCell ref="A19:A22"/>
    <mergeCell ref="A23:A26"/>
    <mergeCell ref="A27:A29"/>
    <mergeCell ref="A30:A32"/>
    <mergeCell ref="A37:A39"/>
    <mergeCell ref="A40:A42"/>
    <mergeCell ref="A43:A45"/>
    <mergeCell ref="A46:A49"/>
    <mergeCell ref="A50:A53"/>
    <mergeCell ref="A54:A56"/>
    <mergeCell ref="A57:A59"/>
    <mergeCell ref="A60:A62"/>
    <mergeCell ref="A63:A65"/>
    <mergeCell ref="A66:A68"/>
    <mergeCell ref="A69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6"/>
    <mergeCell ref="A107:A108"/>
    <mergeCell ref="A109:A111"/>
    <mergeCell ref="A112:A114"/>
    <mergeCell ref="C5:C7"/>
    <mergeCell ref="C8:C11"/>
    <mergeCell ref="C12:C14"/>
    <mergeCell ref="C15:C18"/>
    <mergeCell ref="C19:C22"/>
    <mergeCell ref="C23:C26"/>
    <mergeCell ref="C27:C29"/>
    <mergeCell ref="C30:C32"/>
    <mergeCell ref="C37:C39"/>
    <mergeCell ref="C40:C42"/>
    <mergeCell ref="C43:C45"/>
    <mergeCell ref="C46:C49"/>
    <mergeCell ref="C50:C53"/>
    <mergeCell ref="C54:C56"/>
    <mergeCell ref="C57:C59"/>
    <mergeCell ref="C60:C62"/>
    <mergeCell ref="C63:C65"/>
    <mergeCell ref="C66:C68"/>
    <mergeCell ref="C69:C71"/>
    <mergeCell ref="C72:C75"/>
    <mergeCell ref="C76:C79"/>
    <mergeCell ref="C80:C83"/>
    <mergeCell ref="C84:C87"/>
    <mergeCell ref="C88:C91"/>
    <mergeCell ref="C92:C95"/>
    <mergeCell ref="C96:C99"/>
    <mergeCell ref="C100:C103"/>
    <mergeCell ref="C104:C106"/>
    <mergeCell ref="C107:C108"/>
    <mergeCell ref="C109:C111"/>
    <mergeCell ref="C112:C114"/>
    <mergeCell ref="BA5:BA7"/>
    <mergeCell ref="BA8:BA11"/>
    <mergeCell ref="BA12:BA14"/>
    <mergeCell ref="BA15:BA18"/>
    <mergeCell ref="BA19:BA22"/>
    <mergeCell ref="BA23:BA26"/>
    <mergeCell ref="BA27:BA29"/>
    <mergeCell ref="BA30:BA32"/>
    <mergeCell ref="BA37:BA39"/>
    <mergeCell ref="BA40:BA42"/>
    <mergeCell ref="BA43:BA45"/>
    <mergeCell ref="BA46:BA49"/>
    <mergeCell ref="BA50:BA53"/>
    <mergeCell ref="BA54:BA56"/>
    <mergeCell ref="BA57:BA59"/>
    <mergeCell ref="BA60:BA62"/>
    <mergeCell ref="BA63:BA65"/>
    <mergeCell ref="BA66:BA68"/>
    <mergeCell ref="BA69:BA71"/>
    <mergeCell ref="BA72:BA75"/>
    <mergeCell ref="BA76:BA79"/>
    <mergeCell ref="BA80:BA83"/>
    <mergeCell ref="BA84:BA87"/>
    <mergeCell ref="BA88:BA91"/>
    <mergeCell ref="BA92:BA95"/>
    <mergeCell ref="BA96:BA99"/>
    <mergeCell ref="BA100:BA103"/>
    <mergeCell ref="BA104:BA106"/>
    <mergeCell ref="BA107:BA108"/>
    <mergeCell ref="BA109:BA111"/>
    <mergeCell ref="BA112:BA114"/>
    <mergeCell ref="BB5:BB7"/>
    <mergeCell ref="BB8:BB11"/>
    <mergeCell ref="BB12:BB14"/>
    <mergeCell ref="BB15:BB18"/>
    <mergeCell ref="BB19:BB22"/>
    <mergeCell ref="BB23:BB26"/>
    <mergeCell ref="BB27:BB29"/>
    <mergeCell ref="BB30:BB32"/>
    <mergeCell ref="BB37:BB39"/>
    <mergeCell ref="BB40:BB42"/>
    <mergeCell ref="BB43:BB45"/>
    <mergeCell ref="BB46:BB49"/>
    <mergeCell ref="BB50:BB53"/>
    <mergeCell ref="BB54:BB56"/>
    <mergeCell ref="BB57:BB59"/>
    <mergeCell ref="BB60:BB62"/>
    <mergeCell ref="BB63:BB65"/>
    <mergeCell ref="BB66:BB68"/>
    <mergeCell ref="BB69:BB71"/>
    <mergeCell ref="BB72:BB75"/>
    <mergeCell ref="BB76:BB79"/>
    <mergeCell ref="BB80:BB83"/>
    <mergeCell ref="BB84:BB87"/>
    <mergeCell ref="BB88:BB91"/>
    <mergeCell ref="BB92:BB95"/>
    <mergeCell ref="BB96:BB99"/>
    <mergeCell ref="BB100:BB103"/>
    <mergeCell ref="BB104:BB106"/>
    <mergeCell ref="BB107:BB108"/>
    <mergeCell ref="BB109:BB111"/>
    <mergeCell ref="BB112:BB114"/>
    <mergeCell ref="BE60:BE62"/>
    <mergeCell ref="BE63:BE65"/>
    <mergeCell ref="BE66:BE68"/>
    <mergeCell ref="BE5:BE7"/>
    <mergeCell ref="BE8:BE11"/>
    <mergeCell ref="BE12:BE14"/>
    <mergeCell ref="BE15:BE18"/>
    <mergeCell ref="BE19:BE22"/>
    <mergeCell ref="BE23:BE26"/>
    <mergeCell ref="BE27:BE29"/>
    <mergeCell ref="BE30:BE32"/>
    <mergeCell ref="BE37:BE39"/>
    <mergeCell ref="A33:A36"/>
    <mergeCell ref="C33:C36"/>
    <mergeCell ref="BA33:BA36"/>
    <mergeCell ref="BB33:BB36"/>
    <mergeCell ref="BE33:BE36"/>
    <mergeCell ref="BE104:BE106"/>
    <mergeCell ref="BE107:BE108"/>
    <mergeCell ref="BE109:BE111"/>
    <mergeCell ref="BE112:BE114"/>
    <mergeCell ref="BE69:BE71"/>
    <mergeCell ref="BE72:BE75"/>
    <mergeCell ref="BE76:BE79"/>
    <mergeCell ref="BE80:BE83"/>
    <mergeCell ref="BE84:BE87"/>
    <mergeCell ref="BE88:BE91"/>
    <mergeCell ref="BE92:BE95"/>
    <mergeCell ref="BE96:BE99"/>
    <mergeCell ref="BE100:BE103"/>
    <mergeCell ref="BE40:BE42"/>
    <mergeCell ref="BE43:BE45"/>
    <mergeCell ref="BE46:BE49"/>
    <mergeCell ref="BE50:BE53"/>
    <mergeCell ref="BE54:BE56"/>
    <mergeCell ref="BE57:BE59"/>
  </mergeCells>
  <pageMargins left="0.69930555555555596" right="0.69930555555555596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2"/>
  <sheetViews>
    <sheetView topLeftCell="AV44" zoomScale="98" zoomScaleNormal="98" workbookViewId="0">
      <selection activeCell="BL63" sqref="BL63"/>
    </sheetView>
  </sheetViews>
  <sheetFormatPr defaultColWidth="9" defaultRowHeight="15"/>
  <cols>
    <col min="1" max="1" width="13.28515625" bestFit="1" customWidth="1"/>
    <col min="6" max="6" width="9.5703125" customWidth="1"/>
    <col min="22" max="22" width="12" customWidth="1"/>
    <col min="25" max="25" width="9.85546875" bestFit="1" customWidth="1"/>
    <col min="30" max="30" width="14.28515625" customWidth="1"/>
    <col min="48" max="48" width="11.28515625" customWidth="1"/>
    <col min="55" max="55" width="6.85546875" bestFit="1" customWidth="1"/>
    <col min="56" max="56" width="14.28515625" customWidth="1"/>
    <col min="59" max="59" width="14.28515625" customWidth="1"/>
    <col min="60" max="60" width="13.7109375" customWidth="1"/>
    <col min="61" max="61" width="13.85546875" customWidth="1"/>
    <col min="62" max="62" width="14" customWidth="1"/>
    <col min="63" max="63" width="11.42578125" customWidth="1"/>
    <col min="64" max="64" width="14.5703125" customWidth="1"/>
    <col min="65" max="281" width="10" customWidth="1"/>
  </cols>
  <sheetData>
    <row r="1" spans="1:65" ht="21" thickBot="1">
      <c r="A1" s="1677">
        <v>46113</v>
      </c>
      <c r="B1" s="1673"/>
      <c r="C1" s="1673"/>
      <c r="D1" s="1673"/>
      <c r="E1" s="704"/>
      <c r="F1" s="1673"/>
      <c r="G1" s="1673"/>
      <c r="H1" s="1673"/>
      <c r="I1" s="1673"/>
      <c r="J1" s="1673"/>
      <c r="K1" s="1673"/>
      <c r="L1" s="1673"/>
      <c r="M1" s="1673"/>
      <c r="N1" s="1673"/>
      <c r="O1" s="1673"/>
      <c r="P1" s="1673"/>
      <c r="Q1" s="1673"/>
      <c r="R1" s="1673"/>
      <c r="S1" s="704"/>
      <c r="T1" s="704"/>
      <c r="U1" s="704"/>
      <c r="V1" s="704"/>
      <c r="W1" s="704"/>
      <c r="X1" s="704"/>
      <c r="Y1" s="704"/>
      <c r="Z1" s="704"/>
      <c r="AA1" s="704"/>
      <c r="AB1" s="704"/>
      <c r="AC1" s="1673"/>
      <c r="AD1" s="1673"/>
      <c r="AE1" s="704"/>
      <c r="AF1" s="1673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1673"/>
      <c r="AS1" s="1673"/>
      <c r="AT1" s="1673"/>
      <c r="AU1" s="1673"/>
      <c r="AV1" s="1673"/>
      <c r="AW1" s="1673"/>
      <c r="AX1" s="1673"/>
      <c r="AY1" s="1673"/>
      <c r="AZ1" s="1673"/>
      <c r="BA1" s="1673"/>
      <c r="BB1" s="1673"/>
      <c r="BC1" s="1673"/>
      <c r="BD1" s="1673"/>
      <c r="BE1" s="704"/>
      <c r="BF1" s="1673"/>
      <c r="BG1" s="1673"/>
      <c r="BH1" s="1673"/>
      <c r="BI1" s="1673"/>
      <c r="BJ1" s="1673"/>
      <c r="BK1" s="1673"/>
      <c r="BL1" s="1673"/>
      <c r="BM1" s="1673"/>
    </row>
    <row r="2" spans="1:65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1680"/>
      <c r="AX2" s="1680"/>
      <c r="AY2" s="1680"/>
      <c r="AZ2" s="1680"/>
      <c r="BA2" s="1680"/>
      <c r="BB2" s="1680"/>
      <c r="BC2" s="1680"/>
      <c r="BD2" s="1680"/>
      <c r="BE2" s="1680"/>
      <c r="BF2" s="1680"/>
      <c r="BG2" s="1680"/>
      <c r="BH2" s="1680"/>
      <c r="BI2" s="704"/>
      <c r="BJ2" s="1932"/>
      <c r="BK2" s="1933">
        <v>1</v>
      </c>
      <c r="BL2" s="1274">
        <v>4</v>
      </c>
      <c r="BM2" s="1274">
        <v>2026</v>
      </c>
    </row>
    <row r="3" spans="1:65" ht="24" thickBot="1">
      <c r="A3" s="1681" t="s">
        <v>55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59"/>
      <c r="AA3" s="3659"/>
      <c r="AB3" s="3659"/>
      <c r="AC3" s="3659"/>
      <c r="AD3" s="3660"/>
      <c r="AE3" s="3696" t="s">
        <v>2</v>
      </c>
      <c r="AF3" s="3697"/>
      <c r="AG3" s="3697"/>
      <c r="AH3" s="3697"/>
      <c r="AI3" s="3697"/>
      <c r="AJ3" s="3697"/>
      <c r="AK3" s="3697"/>
      <c r="AL3" s="3697"/>
      <c r="AM3" s="3697"/>
      <c r="AN3" s="3697"/>
      <c r="AO3" s="3697"/>
      <c r="AP3" s="3697"/>
      <c r="AQ3" s="3697"/>
      <c r="AR3" s="3697"/>
      <c r="AS3" s="3697"/>
      <c r="AT3" s="3697"/>
      <c r="AU3" s="3697"/>
      <c r="AV3" s="3697"/>
      <c r="AW3" s="3697"/>
      <c r="AX3" s="3697"/>
      <c r="AY3" s="3697"/>
      <c r="AZ3" s="3697"/>
      <c r="BA3" s="3697"/>
      <c r="BB3" s="3697"/>
      <c r="BC3" s="3697"/>
      <c r="BD3" s="3698"/>
      <c r="BE3" s="3664" t="s">
        <v>3</v>
      </c>
      <c r="BF3" s="3665"/>
      <c r="BG3" s="3665"/>
      <c r="BH3" s="3666"/>
      <c r="BI3" s="704"/>
      <c r="BJ3" s="1932"/>
      <c r="BK3" s="1678"/>
      <c r="BL3" s="1934"/>
      <c r="BM3" s="1934"/>
    </row>
    <row r="4" spans="1:65" ht="90" thickBot="1">
      <c r="A4" s="3374" t="s">
        <v>5</v>
      </c>
      <c r="B4" s="3373" t="s">
        <v>6</v>
      </c>
      <c r="C4" s="3689" t="s">
        <v>7</v>
      </c>
      <c r="D4" s="3716"/>
      <c r="E4" s="1684" t="s">
        <v>8</v>
      </c>
      <c r="F4" s="1685" t="s">
        <v>9</v>
      </c>
      <c r="G4" s="1686" t="s">
        <v>10</v>
      </c>
      <c r="H4" s="1687" t="s">
        <v>11</v>
      </c>
      <c r="I4" s="1739" t="s">
        <v>13</v>
      </c>
      <c r="J4" s="2970" t="s">
        <v>581</v>
      </c>
      <c r="K4" s="1740" t="s">
        <v>12</v>
      </c>
      <c r="L4" s="1741" t="s">
        <v>520</v>
      </c>
      <c r="M4" s="3057" t="s">
        <v>405</v>
      </c>
      <c r="N4" s="3185" t="s">
        <v>511</v>
      </c>
      <c r="O4" s="1686" t="s">
        <v>14</v>
      </c>
      <c r="P4" s="1741" t="s">
        <v>56</v>
      </c>
      <c r="Q4" s="1742" t="s">
        <v>15</v>
      </c>
      <c r="R4" s="3120" t="s">
        <v>417</v>
      </c>
      <c r="S4" s="1743" t="s">
        <v>18</v>
      </c>
      <c r="T4" s="1744" t="s">
        <v>19</v>
      </c>
      <c r="U4" s="1809" t="s">
        <v>16</v>
      </c>
      <c r="V4" s="2888" t="s">
        <v>383</v>
      </c>
      <c r="W4" s="1810" t="s">
        <v>20</v>
      </c>
      <c r="X4" s="1811" t="s">
        <v>21</v>
      </c>
      <c r="Y4" s="2817" t="s">
        <v>197</v>
      </c>
      <c r="Z4" s="2726" t="s">
        <v>333</v>
      </c>
      <c r="AA4" s="2719" t="s">
        <v>376</v>
      </c>
      <c r="AB4" s="1812" t="s">
        <v>22</v>
      </c>
      <c r="AC4" s="1813" t="s">
        <v>23</v>
      </c>
      <c r="AD4" s="1814" t="s">
        <v>24</v>
      </c>
      <c r="AE4" s="1684" t="s">
        <v>8</v>
      </c>
      <c r="AF4" s="1685" t="s">
        <v>9</v>
      </c>
      <c r="AG4" s="1686" t="s">
        <v>10</v>
      </c>
      <c r="AH4" s="1687" t="s">
        <v>11</v>
      </c>
      <c r="AI4" s="1868" t="s">
        <v>13</v>
      </c>
      <c r="AJ4" s="2970" t="s">
        <v>581</v>
      </c>
      <c r="AK4" s="1740" t="s">
        <v>12</v>
      </c>
      <c r="AL4" s="3057" t="s">
        <v>404</v>
      </c>
      <c r="AM4" s="3185" t="s">
        <v>511</v>
      </c>
      <c r="AN4" s="1686" t="s">
        <v>14</v>
      </c>
      <c r="AO4" s="1742" t="s">
        <v>15</v>
      </c>
      <c r="AP4" s="3120" t="s">
        <v>417</v>
      </c>
      <c r="AQ4" s="1741" t="s">
        <v>56</v>
      </c>
      <c r="AR4" s="1743" t="s">
        <v>18</v>
      </c>
      <c r="AS4" s="1741" t="s">
        <v>520</v>
      </c>
      <c r="AT4" s="1744" t="s">
        <v>19</v>
      </c>
      <c r="AU4" s="2864" t="s">
        <v>16</v>
      </c>
      <c r="AV4" s="2880" t="s">
        <v>383</v>
      </c>
      <c r="AW4" s="2872" t="s">
        <v>20</v>
      </c>
      <c r="AX4" s="2824" t="s">
        <v>197</v>
      </c>
      <c r="AY4" s="2726" t="s">
        <v>333</v>
      </c>
      <c r="AZ4" s="2719" t="s">
        <v>376</v>
      </c>
      <c r="BA4" s="1811" t="s">
        <v>39</v>
      </c>
      <c r="BB4" s="1812" t="s">
        <v>22</v>
      </c>
      <c r="BC4" s="1813" t="s">
        <v>23</v>
      </c>
      <c r="BD4" s="1814" t="s">
        <v>24</v>
      </c>
      <c r="BE4" s="1684" t="s">
        <v>50</v>
      </c>
      <c r="BF4" s="1741" t="s">
        <v>512</v>
      </c>
      <c r="BG4" s="1935" t="s">
        <v>385</v>
      </c>
      <c r="BH4" s="1936" t="s">
        <v>26</v>
      </c>
      <c r="BI4" s="1937" t="s">
        <v>27</v>
      </c>
      <c r="BJ4" s="1938" t="s">
        <v>28</v>
      </c>
      <c r="BK4" s="1939" t="s">
        <v>29</v>
      </c>
      <c r="BL4" s="1939" t="s">
        <v>30</v>
      </c>
      <c r="BM4" s="1958" t="s">
        <v>31</v>
      </c>
    </row>
    <row r="5" spans="1:65" ht="15.75" thickBot="1">
      <c r="A5" s="3694">
        <v>46121</v>
      </c>
      <c r="B5" s="1688" t="s">
        <v>32</v>
      </c>
      <c r="C5" s="3678">
        <f>SUM(D5:D7)</f>
        <v>700</v>
      </c>
      <c r="D5" s="1689">
        <f t="shared" ref="D5:D36" si="0">SUM(E5:BH5)</f>
        <v>189</v>
      </c>
      <c r="E5" s="1690"/>
      <c r="F5" s="1691"/>
      <c r="G5" s="1692"/>
      <c r="H5" s="1693"/>
      <c r="I5" s="1745"/>
      <c r="J5" s="2980"/>
      <c r="K5" s="1746"/>
      <c r="L5" s="1747"/>
      <c r="M5" s="3058"/>
      <c r="N5" s="3192"/>
      <c r="O5" s="1748"/>
      <c r="P5" s="1747"/>
      <c r="Q5" s="1749"/>
      <c r="R5" s="3121"/>
      <c r="S5" s="1750"/>
      <c r="T5" s="1751"/>
      <c r="U5" s="1815"/>
      <c r="V5" s="2889"/>
      <c r="W5" s="1816"/>
      <c r="X5" s="1817"/>
      <c r="Y5" s="2818"/>
      <c r="Z5" s="2727"/>
      <c r="AA5" s="2720"/>
      <c r="AB5" s="1818"/>
      <c r="AC5" s="1819">
        <v>180</v>
      </c>
      <c r="AD5" s="1820"/>
      <c r="AE5" s="1726"/>
      <c r="AF5" s="1691"/>
      <c r="AG5" s="1869"/>
      <c r="AH5" s="1870"/>
      <c r="AI5" s="1871"/>
      <c r="AJ5" s="2971"/>
      <c r="AK5" s="1872"/>
      <c r="AL5" s="3069"/>
      <c r="AM5" s="3493"/>
      <c r="AN5" s="1748"/>
      <c r="AO5" s="1774"/>
      <c r="AP5" s="3126"/>
      <c r="AQ5" s="1873"/>
      <c r="AR5" s="1874"/>
      <c r="AS5" s="1873"/>
      <c r="AT5" s="1909"/>
      <c r="AU5" s="2865"/>
      <c r="AV5" s="2881"/>
      <c r="AW5" s="2873"/>
      <c r="AX5" s="2825"/>
      <c r="AY5" s="2727"/>
      <c r="AZ5" s="2720"/>
      <c r="BA5" s="1910"/>
      <c r="BB5" s="1911"/>
      <c r="BC5" s="1864">
        <v>2</v>
      </c>
      <c r="BD5" s="1865"/>
      <c r="BE5" s="1726"/>
      <c r="BF5" s="1873"/>
      <c r="BG5" s="1940"/>
      <c r="BH5" s="1865">
        <v>7</v>
      </c>
      <c r="BI5" s="3633">
        <f>SUM(E5:AD7)</f>
        <v>684</v>
      </c>
      <c r="BJ5" s="3633">
        <f>SUM(E5:BD7)</f>
        <v>686</v>
      </c>
      <c r="BK5" s="1942" t="s">
        <v>612</v>
      </c>
      <c r="BL5" s="2340" t="s">
        <v>532</v>
      </c>
      <c r="BM5" s="3629" t="s">
        <v>33</v>
      </c>
    </row>
    <row r="6" spans="1:65" ht="15.75" thickBot="1">
      <c r="A6" s="3695"/>
      <c r="B6" s="1694" t="s">
        <v>34</v>
      </c>
      <c r="C6" s="3679"/>
      <c r="D6" s="1705">
        <f t="shared" si="0"/>
        <v>511</v>
      </c>
      <c r="E6" s="1706"/>
      <c r="F6" s="1707"/>
      <c r="G6" s="1708"/>
      <c r="H6" s="1709"/>
      <c r="I6" s="1766"/>
      <c r="J6" s="2981"/>
      <c r="K6" s="1767"/>
      <c r="L6" s="1768"/>
      <c r="M6" s="3059"/>
      <c r="N6" s="3343"/>
      <c r="O6" s="1769"/>
      <c r="P6" s="1768"/>
      <c r="Q6" s="1770"/>
      <c r="R6" s="3122"/>
      <c r="S6" s="1771"/>
      <c r="T6" s="1772"/>
      <c r="U6" s="1834"/>
      <c r="V6" s="2890"/>
      <c r="W6" s="1835"/>
      <c r="X6" s="1836"/>
      <c r="Y6" s="2819"/>
      <c r="Z6" s="2728"/>
      <c r="AA6" s="2721"/>
      <c r="AB6" s="1837"/>
      <c r="AC6" s="1838">
        <v>504</v>
      </c>
      <c r="AD6" s="1839"/>
      <c r="AE6" s="1706"/>
      <c r="AF6" s="1707"/>
      <c r="AG6" s="1887"/>
      <c r="AH6" s="1888"/>
      <c r="AI6" s="1889"/>
      <c r="AJ6" s="2972"/>
      <c r="AK6" s="1890"/>
      <c r="AL6" s="3070"/>
      <c r="AM6" s="3349"/>
      <c r="AN6" s="1769"/>
      <c r="AO6" s="1770"/>
      <c r="AP6" s="3122"/>
      <c r="AQ6" s="1891"/>
      <c r="AR6" s="1892"/>
      <c r="AS6" s="1891"/>
      <c r="AT6" s="1920"/>
      <c r="AU6" s="2866"/>
      <c r="AV6" s="2882"/>
      <c r="AW6" s="2874"/>
      <c r="AX6" s="2826"/>
      <c r="AY6" s="2728"/>
      <c r="AZ6" s="2721"/>
      <c r="BA6" s="1921"/>
      <c r="BB6" s="1922"/>
      <c r="BC6" s="1923"/>
      <c r="BD6" s="1924"/>
      <c r="BE6" s="1947"/>
      <c r="BF6" s="1891"/>
      <c r="BG6" s="1948"/>
      <c r="BH6" s="1924">
        <v>7</v>
      </c>
      <c r="BI6" s="3634"/>
      <c r="BJ6" s="3634"/>
      <c r="BK6" s="1945"/>
      <c r="BL6" s="2486"/>
      <c r="BM6" s="3630"/>
    </row>
    <row r="7" spans="1:65" ht="15.75" thickBot="1">
      <c r="A7" s="3695"/>
      <c r="B7" s="1694" t="s">
        <v>34</v>
      </c>
      <c r="C7" s="3679"/>
      <c r="D7" s="1695">
        <f t="shared" si="0"/>
        <v>0</v>
      </c>
      <c r="E7" s="1696"/>
      <c r="F7" s="1697"/>
      <c r="G7" s="1698"/>
      <c r="H7" s="1699"/>
      <c r="I7" s="1752"/>
      <c r="J7" s="2982"/>
      <c r="K7" s="1753"/>
      <c r="L7" s="1754"/>
      <c r="M7" s="3060"/>
      <c r="N7" s="3344"/>
      <c r="O7" s="1755"/>
      <c r="P7" s="1754"/>
      <c r="Q7" s="1756"/>
      <c r="R7" s="3123"/>
      <c r="S7" s="1757"/>
      <c r="T7" s="1758"/>
      <c r="U7" s="1821"/>
      <c r="V7" s="2891"/>
      <c r="W7" s="1822"/>
      <c r="X7" s="1823"/>
      <c r="Y7" s="2820"/>
      <c r="Z7" s="2729"/>
      <c r="AA7" s="2722"/>
      <c r="AB7" s="1824"/>
      <c r="AC7" s="1825"/>
      <c r="AD7" s="1826"/>
      <c r="AE7" s="1696"/>
      <c r="AF7" s="1697"/>
      <c r="AG7" s="1875"/>
      <c r="AH7" s="1876"/>
      <c r="AI7" s="1877"/>
      <c r="AJ7" s="2973"/>
      <c r="AK7" s="1878"/>
      <c r="AL7" s="3071"/>
      <c r="AM7" s="3494"/>
      <c r="AN7" s="1755"/>
      <c r="AO7" s="1775"/>
      <c r="AP7" s="3127"/>
      <c r="AQ7" s="1879"/>
      <c r="AR7" s="1880"/>
      <c r="AS7" s="1879"/>
      <c r="AT7" s="1912"/>
      <c r="AU7" s="2867"/>
      <c r="AV7" s="2883"/>
      <c r="AW7" s="2875"/>
      <c r="AX7" s="2827"/>
      <c r="AY7" s="2729"/>
      <c r="AZ7" s="2722"/>
      <c r="BA7" s="1913"/>
      <c r="BB7" s="1914"/>
      <c r="BC7" s="1866"/>
      <c r="BD7" s="1867"/>
      <c r="BE7" s="1943"/>
      <c r="BF7" s="1879"/>
      <c r="BG7" s="1944"/>
      <c r="BH7" s="1867"/>
      <c r="BI7" s="3635"/>
      <c r="BJ7" s="3634"/>
      <c r="BK7" s="1945"/>
      <c r="BL7" s="2340"/>
      <c r="BM7" s="3630"/>
    </row>
    <row r="8" spans="1:65" ht="15.75" thickBot="1">
      <c r="A8" s="3723">
        <v>46122</v>
      </c>
      <c r="B8" s="1688" t="s">
        <v>32</v>
      </c>
      <c r="C8" s="3678">
        <f>SUM(D8:D11)</f>
        <v>1044</v>
      </c>
      <c r="D8" s="1700">
        <f t="shared" si="0"/>
        <v>538</v>
      </c>
      <c r="E8" s="1701"/>
      <c r="F8" s="1702"/>
      <c r="G8" s="1703"/>
      <c r="H8" s="1704"/>
      <c r="I8" s="1759"/>
      <c r="J8" s="2983"/>
      <c r="K8" s="1760"/>
      <c r="L8" s="1761"/>
      <c r="M8" s="3061"/>
      <c r="N8" s="3342"/>
      <c r="O8" s="1762"/>
      <c r="P8" s="1761"/>
      <c r="Q8" s="1763"/>
      <c r="R8" s="3124"/>
      <c r="S8" s="1764"/>
      <c r="T8" s="1765"/>
      <c r="U8" s="1827"/>
      <c r="V8" s="2892"/>
      <c r="W8" s="1828"/>
      <c r="X8" s="1829"/>
      <c r="Y8" s="2821"/>
      <c r="Z8" s="2730"/>
      <c r="AA8" s="2723"/>
      <c r="AB8" s="1830"/>
      <c r="AC8" s="1831">
        <v>516</v>
      </c>
      <c r="AD8" s="1832"/>
      <c r="AE8" s="1833"/>
      <c r="AF8" s="1702"/>
      <c r="AG8" s="1881"/>
      <c r="AH8" s="1882"/>
      <c r="AI8" s="1883"/>
      <c r="AJ8" s="2974"/>
      <c r="AK8" s="1884"/>
      <c r="AL8" s="3072"/>
      <c r="AM8" s="3348"/>
      <c r="AN8" s="1762"/>
      <c r="AO8" s="1763"/>
      <c r="AP8" s="3124"/>
      <c r="AQ8" s="1885"/>
      <c r="AR8" s="1886"/>
      <c r="AS8" s="1885"/>
      <c r="AT8" s="1915"/>
      <c r="AU8" s="2868"/>
      <c r="AV8" s="2884"/>
      <c r="AW8" s="2876"/>
      <c r="AX8" s="2828"/>
      <c r="AY8" s="2730"/>
      <c r="AZ8" s="2723"/>
      <c r="BA8" s="1916"/>
      <c r="BB8" s="1917"/>
      <c r="BC8" s="1918">
        <v>3</v>
      </c>
      <c r="BD8" s="1919"/>
      <c r="BE8" s="1833"/>
      <c r="BF8" s="1885"/>
      <c r="BG8" s="1946"/>
      <c r="BH8" s="1919">
        <v>19</v>
      </c>
      <c r="BI8" s="3633">
        <f>SUM(E8:AD11)</f>
        <v>1020</v>
      </c>
      <c r="BJ8" s="3633">
        <f>SUM(E8:BD11)</f>
        <v>1023</v>
      </c>
      <c r="BK8" s="1945" t="s">
        <v>612</v>
      </c>
      <c r="BL8" s="2340" t="s">
        <v>532</v>
      </c>
      <c r="BM8" s="3629" t="s">
        <v>33</v>
      </c>
    </row>
    <row r="9" spans="1:65" ht="15.75" thickBot="1">
      <c r="A9" s="3724"/>
      <c r="B9" s="1694" t="s">
        <v>34</v>
      </c>
      <c r="C9" s="3679"/>
      <c r="D9" s="1705">
        <f t="shared" si="0"/>
        <v>506</v>
      </c>
      <c r="E9" s="1706"/>
      <c r="F9" s="1707"/>
      <c r="G9" s="1708"/>
      <c r="H9" s="1709"/>
      <c r="I9" s="1766"/>
      <c r="J9" s="2981"/>
      <c r="K9" s="1767"/>
      <c r="L9" s="1768"/>
      <c r="M9" s="3059"/>
      <c r="N9" s="3343"/>
      <c r="O9" s="1769"/>
      <c r="P9" s="1768"/>
      <c r="Q9" s="1770"/>
      <c r="R9" s="3122"/>
      <c r="S9" s="1771"/>
      <c r="T9" s="1772"/>
      <c r="U9" s="1834"/>
      <c r="V9" s="2890"/>
      <c r="W9" s="1835"/>
      <c r="X9" s="1836"/>
      <c r="Y9" s="2819"/>
      <c r="Z9" s="2728"/>
      <c r="AA9" s="2721"/>
      <c r="AB9" s="1837"/>
      <c r="AC9" s="1838">
        <v>504</v>
      </c>
      <c r="AD9" s="1839"/>
      <c r="AE9" s="1706"/>
      <c r="AF9" s="1707"/>
      <c r="AG9" s="1887"/>
      <c r="AH9" s="1888"/>
      <c r="AI9" s="1889"/>
      <c r="AJ9" s="2972"/>
      <c r="AK9" s="1890"/>
      <c r="AL9" s="3070"/>
      <c r="AM9" s="3349"/>
      <c r="AN9" s="1769"/>
      <c r="AO9" s="1770"/>
      <c r="AP9" s="3122"/>
      <c r="AQ9" s="1891"/>
      <c r="AR9" s="1892"/>
      <c r="AS9" s="1891"/>
      <c r="AT9" s="1920"/>
      <c r="AU9" s="2866"/>
      <c r="AV9" s="2882"/>
      <c r="AW9" s="2874"/>
      <c r="AX9" s="2826"/>
      <c r="AY9" s="2728"/>
      <c r="AZ9" s="2721"/>
      <c r="BA9" s="1921"/>
      <c r="BB9" s="1922"/>
      <c r="BC9" s="1923"/>
      <c r="BD9" s="1924"/>
      <c r="BE9" s="1947"/>
      <c r="BF9" s="1891"/>
      <c r="BG9" s="1948"/>
      <c r="BH9" s="1924">
        <v>2</v>
      </c>
      <c r="BI9" s="3634"/>
      <c r="BJ9" s="3634"/>
      <c r="BK9" s="1945"/>
      <c r="BL9" s="1952"/>
      <c r="BM9" s="3630"/>
    </row>
    <row r="10" spans="1:65" ht="15.75" thickBot="1">
      <c r="A10" s="3724"/>
      <c r="B10" s="1694" t="s">
        <v>34</v>
      </c>
      <c r="C10" s="3679"/>
      <c r="D10" s="1705">
        <f t="shared" si="0"/>
        <v>0</v>
      </c>
      <c r="E10" s="1706"/>
      <c r="F10" s="1707"/>
      <c r="G10" s="1708"/>
      <c r="H10" s="1709"/>
      <c r="I10" s="1766"/>
      <c r="J10" s="2981"/>
      <c r="K10" s="1767"/>
      <c r="L10" s="1768"/>
      <c r="M10" s="3059"/>
      <c r="N10" s="3343"/>
      <c r="O10" s="1769"/>
      <c r="P10" s="1768"/>
      <c r="Q10" s="1770"/>
      <c r="R10" s="3122"/>
      <c r="S10" s="1771"/>
      <c r="T10" s="1772"/>
      <c r="U10" s="1834"/>
      <c r="V10" s="2890"/>
      <c r="W10" s="1835"/>
      <c r="X10" s="1836"/>
      <c r="Y10" s="2819"/>
      <c r="Z10" s="2728"/>
      <c r="AA10" s="2721"/>
      <c r="AB10" s="1837"/>
      <c r="AC10" s="1838"/>
      <c r="AD10" s="1839"/>
      <c r="AE10" s="1706"/>
      <c r="AF10" s="1707"/>
      <c r="AG10" s="1887"/>
      <c r="AH10" s="1888"/>
      <c r="AI10" s="1889"/>
      <c r="AJ10" s="2972"/>
      <c r="AK10" s="1890"/>
      <c r="AL10" s="3070"/>
      <c r="AM10" s="3349"/>
      <c r="AN10" s="1769"/>
      <c r="AO10" s="1770"/>
      <c r="AP10" s="3122"/>
      <c r="AQ10" s="1891"/>
      <c r="AR10" s="1892"/>
      <c r="AS10" s="1891"/>
      <c r="AT10" s="1920"/>
      <c r="AU10" s="2866"/>
      <c r="AV10" s="2882"/>
      <c r="AW10" s="2874"/>
      <c r="AX10" s="2826"/>
      <c r="AY10" s="2728"/>
      <c r="AZ10" s="2721"/>
      <c r="BA10" s="1921"/>
      <c r="BB10" s="1922"/>
      <c r="BC10" s="1923"/>
      <c r="BD10" s="1924"/>
      <c r="BE10" s="1947"/>
      <c r="BF10" s="1891"/>
      <c r="BG10" s="1948"/>
      <c r="BH10" s="1924"/>
      <c r="BI10" s="3634"/>
      <c r="BJ10" s="3634"/>
      <c r="BK10" s="1945"/>
      <c r="BL10" s="1952"/>
      <c r="BM10" s="3630"/>
    </row>
    <row r="11" spans="1:65" ht="15.75" thickBot="1">
      <c r="A11" s="3724"/>
      <c r="B11" s="1694" t="s">
        <v>34</v>
      </c>
      <c r="C11" s="3679"/>
      <c r="D11" s="1705">
        <f t="shared" si="0"/>
        <v>0</v>
      </c>
      <c r="E11" s="1706"/>
      <c r="F11" s="1707"/>
      <c r="G11" s="1708"/>
      <c r="H11" s="1709"/>
      <c r="I11" s="1766"/>
      <c r="J11" s="2981"/>
      <c r="K11" s="1767"/>
      <c r="L11" s="1768"/>
      <c r="M11" s="3059"/>
      <c r="N11" s="3343"/>
      <c r="O11" s="1769"/>
      <c r="P11" s="1768"/>
      <c r="Q11" s="1773"/>
      <c r="R11" s="3125"/>
      <c r="S11" s="1771"/>
      <c r="T11" s="1772"/>
      <c r="U11" s="1834"/>
      <c r="V11" s="2890"/>
      <c r="W11" s="1835"/>
      <c r="X11" s="1836"/>
      <c r="Y11" s="2819"/>
      <c r="Z11" s="2728"/>
      <c r="AA11" s="2721"/>
      <c r="AB11" s="1837"/>
      <c r="AC11" s="1838"/>
      <c r="AD11" s="1839"/>
      <c r="AE11" s="1706"/>
      <c r="AF11" s="1707"/>
      <c r="AG11" s="1887"/>
      <c r="AH11" s="1888"/>
      <c r="AI11" s="1889"/>
      <c r="AJ11" s="2972"/>
      <c r="AK11" s="1890"/>
      <c r="AL11" s="3070"/>
      <c r="AM11" s="3349"/>
      <c r="AN11" s="1769"/>
      <c r="AO11" s="1773"/>
      <c r="AP11" s="3125"/>
      <c r="AQ11" s="1891"/>
      <c r="AR11" s="1892"/>
      <c r="AS11" s="1891"/>
      <c r="AT11" s="1920"/>
      <c r="AU11" s="2866"/>
      <c r="AV11" s="2882"/>
      <c r="AW11" s="2874"/>
      <c r="AX11" s="2826"/>
      <c r="AY11" s="2728"/>
      <c r="AZ11" s="2721"/>
      <c r="BA11" s="1921"/>
      <c r="BB11" s="1922"/>
      <c r="BC11" s="1923"/>
      <c r="BD11" s="1924"/>
      <c r="BE11" s="1947"/>
      <c r="BF11" s="1891"/>
      <c r="BG11" s="1948"/>
      <c r="BH11" s="1924"/>
      <c r="BI11" s="3634"/>
      <c r="BJ11" s="3634"/>
      <c r="BK11" s="1945"/>
      <c r="BL11" s="2340"/>
      <c r="BM11" s="3630"/>
    </row>
    <row r="12" spans="1:65" ht="15.75" thickBot="1">
      <c r="A12" s="3723">
        <v>46123</v>
      </c>
      <c r="B12" s="1688" t="s">
        <v>32</v>
      </c>
      <c r="C12" s="3678">
        <f>SUM(D12:D15)</f>
        <v>812</v>
      </c>
      <c r="D12" s="1689">
        <f t="shared" si="0"/>
        <v>308</v>
      </c>
      <c r="E12" s="1690"/>
      <c r="F12" s="1691"/>
      <c r="G12" s="1692"/>
      <c r="H12" s="1693"/>
      <c r="I12" s="1745"/>
      <c r="J12" s="2980"/>
      <c r="K12" s="1746"/>
      <c r="L12" s="1747"/>
      <c r="M12" s="3058"/>
      <c r="N12" s="3192"/>
      <c r="O12" s="1748"/>
      <c r="P12" s="1747"/>
      <c r="Q12" s="1774"/>
      <c r="R12" s="3126"/>
      <c r="S12" s="1750"/>
      <c r="T12" s="1751"/>
      <c r="U12" s="1815"/>
      <c r="V12" s="2889"/>
      <c r="W12" s="1816"/>
      <c r="X12" s="1836"/>
      <c r="Y12" s="2819"/>
      <c r="Z12" s="2727"/>
      <c r="AA12" s="2720"/>
      <c r="AB12" s="1818"/>
      <c r="AC12" s="1819">
        <f>120+180</f>
        <v>300</v>
      </c>
      <c r="AD12" s="1820"/>
      <c r="AE12" s="1726"/>
      <c r="AF12" s="1691"/>
      <c r="AG12" s="1869"/>
      <c r="AH12" s="1893"/>
      <c r="AI12" s="1854"/>
      <c r="AJ12" s="2975"/>
      <c r="AK12" s="1894"/>
      <c r="AL12" s="3073"/>
      <c r="AM12" s="3350"/>
      <c r="AN12" s="1748"/>
      <c r="AO12" s="1774"/>
      <c r="AP12" s="3126"/>
      <c r="AQ12" s="1873"/>
      <c r="AR12" s="1874"/>
      <c r="AS12" s="1873"/>
      <c r="AT12" s="1909"/>
      <c r="AU12" s="2865"/>
      <c r="AV12" s="2881"/>
      <c r="AW12" s="2873"/>
      <c r="AX12" s="2825"/>
      <c r="AY12" s="2727"/>
      <c r="AZ12" s="2720"/>
      <c r="BA12" s="1910"/>
      <c r="BB12" s="1911"/>
      <c r="BC12" s="1864">
        <v>7</v>
      </c>
      <c r="BD12" s="1865"/>
      <c r="BE12" s="1726"/>
      <c r="BF12" s="1873"/>
      <c r="BG12" s="1940"/>
      <c r="BH12" s="1865">
        <v>1</v>
      </c>
      <c r="BI12" s="3633">
        <f>SUM(E12:AD15)</f>
        <v>804</v>
      </c>
      <c r="BJ12" s="3633">
        <f>SUM(E12:BD15)</f>
        <v>811</v>
      </c>
      <c r="BK12" s="1945" t="s">
        <v>612</v>
      </c>
      <c r="BL12" s="2340" t="s">
        <v>616</v>
      </c>
      <c r="BM12" s="3629" t="s">
        <v>33</v>
      </c>
    </row>
    <row r="13" spans="1:65" ht="15.75" thickBot="1">
      <c r="A13" s="3724"/>
      <c r="B13" s="1694" t="s">
        <v>34</v>
      </c>
      <c r="C13" s="3679"/>
      <c r="D13" s="1705">
        <f t="shared" si="0"/>
        <v>504</v>
      </c>
      <c r="E13" s="1706"/>
      <c r="F13" s="1707"/>
      <c r="G13" s="1708"/>
      <c r="H13" s="1709"/>
      <c r="I13" s="1766"/>
      <c r="J13" s="2981"/>
      <c r="K13" s="1767"/>
      <c r="L13" s="1768"/>
      <c r="M13" s="3059"/>
      <c r="N13" s="3343"/>
      <c r="O13" s="1769"/>
      <c r="P13" s="1768"/>
      <c r="Q13" s="1770"/>
      <c r="R13" s="3122"/>
      <c r="S13" s="1771"/>
      <c r="T13" s="1772"/>
      <c r="U13" s="1834"/>
      <c r="V13" s="2890"/>
      <c r="W13" s="1835"/>
      <c r="X13" s="1836"/>
      <c r="Y13" s="2819"/>
      <c r="Z13" s="2728"/>
      <c r="AA13" s="2721"/>
      <c r="AB13" s="1837"/>
      <c r="AC13" s="1838">
        <v>504</v>
      </c>
      <c r="AD13" s="1839"/>
      <c r="AE13" s="1706"/>
      <c r="AF13" s="1707"/>
      <c r="AG13" s="1887"/>
      <c r="AH13" s="1888"/>
      <c r="AI13" s="1889"/>
      <c r="AJ13" s="2972"/>
      <c r="AK13" s="1890"/>
      <c r="AL13" s="3070"/>
      <c r="AM13" s="3349"/>
      <c r="AN13" s="1769"/>
      <c r="AO13" s="1770"/>
      <c r="AP13" s="3122"/>
      <c r="AQ13" s="1891"/>
      <c r="AR13" s="1892"/>
      <c r="AS13" s="1891"/>
      <c r="AT13" s="1920"/>
      <c r="AU13" s="2866"/>
      <c r="AV13" s="2882"/>
      <c r="AW13" s="2874"/>
      <c r="AX13" s="2826"/>
      <c r="AY13" s="2728"/>
      <c r="AZ13" s="2721"/>
      <c r="BA13" s="1921"/>
      <c r="BB13" s="1922"/>
      <c r="BC13" s="1923"/>
      <c r="BD13" s="1924"/>
      <c r="BE13" s="1947"/>
      <c r="BF13" s="1891"/>
      <c r="BG13" s="1948"/>
      <c r="BH13" s="1924"/>
      <c r="BI13" s="3634"/>
      <c r="BJ13" s="3634"/>
      <c r="BK13" s="1945"/>
      <c r="BL13" s="2340"/>
      <c r="BM13" s="3630"/>
    </row>
    <row r="14" spans="1:65" ht="15.75" thickBot="1">
      <c r="A14" s="3724"/>
      <c r="B14" s="1694" t="s">
        <v>34</v>
      </c>
      <c r="C14" s="3679"/>
      <c r="D14" s="1705">
        <f t="shared" si="0"/>
        <v>0</v>
      </c>
      <c r="E14" s="1706"/>
      <c r="F14" s="1707"/>
      <c r="G14" s="1708"/>
      <c r="H14" s="1709"/>
      <c r="I14" s="1766"/>
      <c r="J14" s="2981"/>
      <c r="K14" s="1767"/>
      <c r="L14" s="1768"/>
      <c r="M14" s="3059"/>
      <c r="N14" s="3343"/>
      <c r="O14" s="1769"/>
      <c r="P14" s="1768"/>
      <c r="Q14" s="1770"/>
      <c r="R14" s="3122"/>
      <c r="S14" s="1771"/>
      <c r="T14" s="1772"/>
      <c r="U14" s="1834"/>
      <c r="V14" s="2890"/>
      <c r="W14" s="1835"/>
      <c r="X14" s="1836"/>
      <c r="Y14" s="2819"/>
      <c r="Z14" s="2728"/>
      <c r="AA14" s="2721"/>
      <c r="AB14" s="1837"/>
      <c r="AC14" s="1838"/>
      <c r="AD14" s="1839"/>
      <c r="AE14" s="1706"/>
      <c r="AF14" s="1707"/>
      <c r="AG14" s="1887"/>
      <c r="AH14" s="1888"/>
      <c r="AI14" s="1889"/>
      <c r="AJ14" s="2972"/>
      <c r="AK14" s="1890"/>
      <c r="AL14" s="3070"/>
      <c r="AM14" s="3349"/>
      <c r="AN14" s="1769"/>
      <c r="AO14" s="1770"/>
      <c r="AP14" s="3122"/>
      <c r="AQ14" s="1891"/>
      <c r="AR14" s="1892"/>
      <c r="AS14" s="1891"/>
      <c r="AT14" s="1920"/>
      <c r="AU14" s="2866"/>
      <c r="AV14" s="2882"/>
      <c r="AW14" s="2874"/>
      <c r="AX14" s="2826"/>
      <c r="AY14" s="2728"/>
      <c r="AZ14" s="2721"/>
      <c r="BA14" s="1921"/>
      <c r="BB14" s="1922"/>
      <c r="BC14" s="1923"/>
      <c r="BD14" s="1924"/>
      <c r="BE14" s="1947"/>
      <c r="BF14" s="1891"/>
      <c r="BG14" s="1948"/>
      <c r="BH14" s="1924"/>
      <c r="BI14" s="3634"/>
      <c r="BJ14" s="3634"/>
      <c r="BK14" s="1957"/>
      <c r="BL14" s="1952"/>
      <c r="BM14" s="3630"/>
    </row>
    <row r="15" spans="1:65" ht="15.75" thickBot="1">
      <c r="A15" s="3724"/>
      <c r="B15" s="1694" t="s">
        <v>34</v>
      </c>
      <c r="C15" s="3679"/>
      <c r="D15" s="1710">
        <f t="shared" si="0"/>
        <v>0</v>
      </c>
      <c r="E15" s="1696"/>
      <c r="F15" s="1697"/>
      <c r="G15" s="1698"/>
      <c r="H15" s="1699"/>
      <c r="I15" s="1752"/>
      <c r="J15" s="2982"/>
      <c r="K15" s="1753"/>
      <c r="L15" s="1754"/>
      <c r="M15" s="3060"/>
      <c r="N15" s="3344"/>
      <c r="O15" s="1755"/>
      <c r="P15" s="1754"/>
      <c r="Q15" s="1775"/>
      <c r="R15" s="3127"/>
      <c r="S15" s="1757"/>
      <c r="T15" s="1758"/>
      <c r="U15" s="1821"/>
      <c r="V15" s="2891"/>
      <c r="W15" s="1822"/>
      <c r="X15" s="1823"/>
      <c r="Y15" s="2820"/>
      <c r="Z15" s="2729"/>
      <c r="AA15" s="2722"/>
      <c r="AB15" s="1824"/>
      <c r="AC15" s="1825"/>
      <c r="AD15" s="1826"/>
      <c r="AE15" s="1696"/>
      <c r="AF15" s="1697"/>
      <c r="AG15" s="1875"/>
      <c r="AH15" s="1895"/>
      <c r="AI15" s="1858"/>
      <c r="AJ15" s="2976"/>
      <c r="AK15" s="1896"/>
      <c r="AL15" s="3074"/>
      <c r="AM15" s="3351"/>
      <c r="AN15" s="1755"/>
      <c r="AO15" s="1775"/>
      <c r="AP15" s="3127"/>
      <c r="AQ15" s="1879"/>
      <c r="AR15" s="1880"/>
      <c r="AS15" s="1879"/>
      <c r="AT15" s="1912"/>
      <c r="AU15" s="2867"/>
      <c r="AV15" s="2883"/>
      <c r="AW15" s="2875"/>
      <c r="AX15" s="2827"/>
      <c r="AY15" s="2729"/>
      <c r="AZ15" s="2722"/>
      <c r="BA15" s="1913"/>
      <c r="BB15" s="1914"/>
      <c r="BC15" s="1866"/>
      <c r="BD15" s="1867"/>
      <c r="BE15" s="1943"/>
      <c r="BF15" s="1879"/>
      <c r="BG15" s="1944"/>
      <c r="BH15" s="1867"/>
      <c r="BI15" s="3634"/>
      <c r="BJ15" s="3634"/>
      <c r="BK15" s="1945"/>
      <c r="BL15" s="2340"/>
      <c r="BM15" s="3630"/>
    </row>
    <row r="16" spans="1:65" ht="15.75" thickBot="1">
      <c r="A16" s="3723">
        <v>46124</v>
      </c>
      <c r="B16" s="1688" t="s">
        <v>32</v>
      </c>
      <c r="C16" s="3678">
        <f>SUM(D16:D18)</f>
        <v>883</v>
      </c>
      <c r="D16" s="1700">
        <f t="shared" si="0"/>
        <v>376</v>
      </c>
      <c r="E16" s="1701"/>
      <c r="F16" s="1702"/>
      <c r="G16" s="1703"/>
      <c r="H16" s="1711"/>
      <c r="I16" s="1776"/>
      <c r="J16" s="2983"/>
      <c r="K16" s="1777"/>
      <c r="L16" s="1778"/>
      <c r="M16" s="3062"/>
      <c r="N16" s="3189"/>
      <c r="O16" s="1703"/>
      <c r="P16" s="1778"/>
      <c r="Q16" s="1763"/>
      <c r="R16" s="3124"/>
      <c r="S16" s="1764"/>
      <c r="T16" s="1765"/>
      <c r="U16" s="1827"/>
      <c r="V16" s="2892"/>
      <c r="W16" s="1828"/>
      <c r="X16" s="1829"/>
      <c r="Y16" s="2821"/>
      <c r="Z16" s="2730"/>
      <c r="AA16" s="2723"/>
      <c r="AB16" s="1830"/>
      <c r="AC16" s="1831">
        <v>372</v>
      </c>
      <c r="AD16" s="1832"/>
      <c r="AE16" s="1833"/>
      <c r="AF16" s="1702"/>
      <c r="AG16" s="1881"/>
      <c r="AH16" s="1882"/>
      <c r="AI16" s="1883"/>
      <c r="AJ16" s="2974"/>
      <c r="AK16" s="1884"/>
      <c r="AL16" s="3072"/>
      <c r="AM16" s="3348"/>
      <c r="AN16" s="1703"/>
      <c r="AO16" s="1763"/>
      <c r="AP16" s="3124"/>
      <c r="AQ16" s="1885"/>
      <c r="AR16" s="1886"/>
      <c r="AS16" s="1885"/>
      <c r="AT16" s="1915"/>
      <c r="AU16" s="2868"/>
      <c r="AV16" s="2884"/>
      <c r="AW16" s="2876"/>
      <c r="AX16" s="2828"/>
      <c r="AY16" s="2730"/>
      <c r="AZ16" s="2723"/>
      <c r="BA16" s="1916"/>
      <c r="BB16" s="1917"/>
      <c r="BC16" s="1918">
        <v>4</v>
      </c>
      <c r="BD16" s="1919"/>
      <c r="BE16" s="1833"/>
      <c r="BF16" s="1885"/>
      <c r="BG16" s="1946"/>
      <c r="BH16" s="1919"/>
      <c r="BI16" s="3633">
        <f>SUM(E16:AD18)</f>
        <v>864</v>
      </c>
      <c r="BJ16" s="3633">
        <f>SUM(E16:BD18)</f>
        <v>879</v>
      </c>
      <c r="BK16" s="1945" t="s">
        <v>612</v>
      </c>
      <c r="BL16" s="2340" t="s">
        <v>466</v>
      </c>
      <c r="BM16" s="3629" t="s">
        <v>33</v>
      </c>
    </row>
    <row r="17" spans="1:66" ht="15.75" thickBot="1">
      <c r="A17" s="3724"/>
      <c r="B17" s="1694" t="s">
        <v>34</v>
      </c>
      <c r="C17" s="3679"/>
      <c r="D17" s="1705">
        <f t="shared" si="0"/>
        <v>507</v>
      </c>
      <c r="E17" s="1706"/>
      <c r="F17" s="1707"/>
      <c r="G17" s="1708"/>
      <c r="H17" s="1709"/>
      <c r="I17" s="1766"/>
      <c r="J17" s="2981"/>
      <c r="K17" s="1767"/>
      <c r="L17" s="1768"/>
      <c r="M17" s="3059"/>
      <c r="N17" s="3343"/>
      <c r="O17" s="1769"/>
      <c r="P17" s="1768"/>
      <c r="Q17" s="1770"/>
      <c r="R17" s="3122"/>
      <c r="S17" s="1771"/>
      <c r="T17" s="1772"/>
      <c r="U17" s="1834"/>
      <c r="V17" s="2890"/>
      <c r="W17" s="1835"/>
      <c r="X17" s="1836"/>
      <c r="Y17" s="2819"/>
      <c r="Z17" s="2728"/>
      <c r="AA17" s="2721"/>
      <c r="AB17" s="1837"/>
      <c r="AC17" s="1838">
        <f>156+336</f>
        <v>492</v>
      </c>
      <c r="AD17" s="1839"/>
      <c r="AE17" s="1706"/>
      <c r="AF17" s="1707"/>
      <c r="AG17" s="1887"/>
      <c r="AH17" s="1888"/>
      <c r="AI17" s="1889"/>
      <c r="AJ17" s="2972"/>
      <c r="AK17" s="1890"/>
      <c r="AL17" s="3070"/>
      <c r="AM17" s="3349"/>
      <c r="AN17" s="1769"/>
      <c r="AO17" s="1770"/>
      <c r="AP17" s="3122"/>
      <c r="AQ17" s="1891"/>
      <c r="AR17" s="1892"/>
      <c r="AS17" s="1891"/>
      <c r="AT17" s="1920"/>
      <c r="AU17" s="2866"/>
      <c r="AV17" s="2882"/>
      <c r="AW17" s="2874"/>
      <c r="AX17" s="2826"/>
      <c r="AY17" s="2728"/>
      <c r="AZ17" s="2721"/>
      <c r="BA17" s="1921"/>
      <c r="BB17" s="1922"/>
      <c r="BC17" s="1923">
        <f>3+8</f>
        <v>11</v>
      </c>
      <c r="BD17" s="1924"/>
      <c r="BE17" s="1947"/>
      <c r="BF17" s="1891"/>
      <c r="BG17" s="1948"/>
      <c r="BH17" s="1924">
        <v>4</v>
      </c>
      <c r="BI17" s="3634"/>
      <c r="BJ17" s="3634"/>
      <c r="BK17" s="1957"/>
      <c r="BL17" s="1952"/>
      <c r="BM17" s="3630"/>
    </row>
    <row r="18" spans="1:66" ht="15.75" thickBot="1">
      <c r="A18" s="3724"/>
      <c r="B18" s="1694" t="s">
        <v>34</v>
      </c>
      <c r="C18" s="3679"/>
      <c r="D18" s="1705">
        <f t="shared" si="0"/>
        <v>0</v>
      </c>
      <c r="E18" s="1706"/>
      <c r="F18" s="1707"/>
      <c r="G18" s="1708"/>
      <c r="H18" s="1712"/>
      <c r="I18" s="1779"/>
      <c r="J18" s="2981"/>
      <c r="K18" s="1780"/>
      <c r="L18" s="1781"/>
      <c r="M18" s="3063"/>
      <c r="N18" s="3187"/>
      <c r="O18" s="1708"/>
      <c r="P18" s="1781"/>
      <c r="Q18" s="1773"/>
      <c r="R18" s="3125"/>
      <c r="S18" s="1771"/>
      <c r="T18" s="1772"/>
      <c r="U18" s="1834"/>
      <c r="V18" s="2890"/>
      <c r="W18" s="1835"/>
      <c r="X18" s="1836"/>
      <c r="Y18" s="2819"/>
      <c r="Z18" s="2728"/>
      <c r="AA18" s="2721"/>
      <c r="AB18" s="1837"/>
      <c r="AC18" s="1838"/>
      <c r="AD18" s="1839"/>
      <c r="AE18" s="1706"/>
      <c r="AF18" s="1707"/>
      <c r="AG18" s="1887"/>
      <c r="AH18" s="1888"/>
      <c r="AI18" s="1889"/>
      <c r="AJ18" s="2972"/>
      <c r="AK18" s="1890"/>
      <c r="AL18" s="3070"/>
      <c r="AM18" s="3349"/>
      <c r="AN18" s="1708"/>
      <c r="AO18" s="1773"/>
      <c r="AP18" s="3125"/>
      <c r="AQ18" s="1891"/>
      <c r="AR18" s="1892"/>
      <c r="AS18" s="1891"/>
      <c r="AT18" s="1920"/>
      <c r="AU18" s="2866"/>
      <c r="AV18" s="2882"/>
      <c r="AW18" s="2874"/>
      <c r="AX18" s="2826"/>
      <c r="AY18" s="2728"/>
      <c r="AZ18" s="2721"/>
      <c r="BA18" s="1921"/>
      <c r="BB18" s="1922"/>
      <c r="BC18" s="1923"/>
      <c r="BD18" s="1924"/>
      <c r="BE18" s="1947"/>
      <c r="BF18" s="1891"/>
      <c r="BG18" s="1948"/>
      <c r="BH18" s="1924"/>
      <c r="BI18" s="3634"/>
      <c r="BJ18" s="3634"/>
      <c r="BK18" s="1945"/>
      <c r="BL18" s="2340"/>
      <c r="BM18" s="3630"/>
    </row>
    <row r="19" spans="1:66" ht="15.75" thickBot="1">
      <c r="A19" s="3725">
        <v>46125</v>
      </c>
      <c r="B19" s="1688" t="s">
        <v>32</v>
      </c>
      <c r="C19" s="3678">
        <f>SUM(D19:D22)</f>
        <v>1071</v>
      </c>
      <c r="D19" s="1689">
        <f t="shared" si="0"/>
        <v>573</v>
      </c>
      <c r="E19" s="1690"/>
      <c r="F19" s="1691"/>
      <c r="G19" s="1692"/>
      <c r="H19" s="1713"/>
      <c r="I19" s="1782"/>
      <c r="J19" s="2980"/>
      <c r="K19" s="1783"/>
      <c r="L19" s="1784"/>
      <c r="M19" s="3064"/>
      <c r="N19" s="3186"/>
      <c r="O19" s="1692"/>
      <c r="P19" s="1784"/>
      <c r="Q19" s="1774"/>
      <c r="R19" s="3126"/>
      <c r="S19" s="1750"/>
      <c r="T19" s="1751"/>
      <c r="U19" s="1815"/>
      <c r="V19" s="2889"/>
      <c r="W19" s="1816"/>
      <c r="X19" s="1817"/>
      <c r="Y19" s="2818"/>
      <c r="Z19" s="2727"/>
      <c r="AA19" s="2720"/>
      <c r="AB19" s="1818"/>
      <c r="AC19" s="1819">
        <f>528+36</f>
        <v>564</v>
      </c>
      <c r="AD19" s="1820"/>
      <c r="AE19" s="1726"/>
      <c r="AF19" s="1691"/>
      <c r="AG19" s="1869"/>
      <c r="AH19" s="1893"/>
      <c r="AI19" s="1854"/>
      <c r="AJ19" s="2975"/>
      <c r="AK19" s="1894"/>
      <c r="AL19" s="3073"/>
      <c r="AM19" s="3350"/>
      <c r="AN19" s="1692"/>
      <c r="AO19" s="1774"/>
      <c r="AP19" s="3126"/>
      <c r="AQ19" s="1873"/>
      <c r="AR19" s="1874"/>
      <c r="AS19" s="1873"/>
      <c r="AT19" s="1909"/>
      <c r="AU19" s="2865"/>
      <c r="AV19" s="2881"/>
      <c r="AW19" s="2873"/>
      <c r="AX19" s="2825"/>
      <c r="AY19" s="2727"/>
      <c r="AZ19" s="2720"/>
      <c r="BA19" s="1910"/>
      <c r="BB19" s="1911"/>
      <c r="BC19" s="1864">
        <v>2</v>
      </c>
      <c r="BD19" s="1865"/>
      <c r="BE19" s="1726"/>
      <c r="BF19" s="1873"/>
      <c r="BG19" s="1940"/>
      <c r="BH19" s="1865">
        <f>6+1</f>
        <v>7</v>
      </c>
      <c r="BI19" s="3633">
        <f>SUM(E19:AD22)</f>
        <v>1044</v>
      </c>
      <c r="BJ19" s="3633">
        <f>SUM(E19:BD22)</f>
        <v>1046</v>
      </c>
      <c r="BK19" s="1945" t="s">
        <v>612</v>
      </c>
      <c r="BL19" s="2340" t="s">
        <v>641</v>
      </c>
      <c r="BM19" s="3629"/>
    </row>
    <row r="20" spans="1:66">
      <c r="A20" s="3726"/>
      <c r="B20" s="1694" t="s">
        <v>34</v>
      </c>
      <c r="C20" s="3679"/>
      <c r="D20" s="1705">
        <f t="shared" si="0"/>
        <v>498</v>
      </c>
      <c r="E20" s="1706"/>
      <c r="F20" s="1707"/>
      <c r="G20" s="1708"/>
      <c r="H20" s="1709"/>
      <c r="I20" s="1766"/>
      <c r="J20" s="2981"/>
      <c r="K20" s="1767"/>
      <c r="L20" s="1768"/>
      <c r="M20" s="3059"/>
      <c r="N20" s="3343"/>
      <c r="O20" s="1769"/>
      <c r="P20" s="1768"/>
      <c r="Q20" s="1770"/>
      <c r="R20" s="3122"/>
      <c r="S20" s="1771"/>
      <c r="T20" s="1772"/>
      <c r="U20" s="1834"/>
      <c r="V20" s="2890"/>
      <c r="W20" s="1835"/>
      <c r="X20" s="1836"/>
      <c r="Y20" s="2819"/>
      <c r="Z20" s="2728"/>
      <c r="AA20" s="2721"/>
      <c r="AB20" s="1837"/>
      <c r="AC20" s="1838">
        <v>480</v>
      </c>
      <c r="AD20" s="1839"/>
      <c r="AE20" s="1706"/>
      <c r="AF20" s="1707"/>
      <c r="AG20" s="1887"/>
      <c r="AH20" s="1888"/>
      <c r="AI20" s="1889"/>
      <c r="AJ20" s="2972"/>
      <c r="AK20" s="1890"/>
      <c r="AL20" s="3070"/>
      <c r="AM20" s="3349"/>
      <c r="AN20" s="1769"/>
      <c r="AO20" s="1770"/>
      <c r="AP20" s="3122"/>
      <c r="AQ20" s="1891"/>
      <c r="AR20" s="1892"/>
      <c r="AS20" s="1891"/>
      <c r="AT20" s="1920"/>
      <c r="AU20" s="2866"/>
      <c r="AV20" s="2882"/>
      <c r="AW20" s="2874"/>
      <c r="AX20" s="2826"/>
      <c r="AY20" s="2728"/>
      <c r="AZ20" s="2721"/>
      <c r="BA20" s="1921"/>
      <c r="BB20" s="1922"/>
      <c r="BC20" s="1923"/>
      <c r="BD20" s="1924"/>
      <c r="BE20" s="1947"/>
      <c r="BF20" s="1891"/>
      <c r="BG20" s="1948"/>
      <c r="BH20" s="1924">
        <v>18</v>
      </c>
      <c r="BI20" s="3634"/>
      <c r="BJ20" s="3634"/>
      <c r="BK20" s="1957"/>
      <c r="BL20" s="2340"/>
      <c r="BM20" s="3630"/>
    </row>
    <row r="21" spans="1:66" ht="15.75" thickBot="1">
      <c r="A21" s="3726"/>
      <c r="B21" s="1694" t="s">
        <v>34</v>
      </c>
      <c r="C21" s="3679"/>
      <c r="D21" s="1705">
        <f t="shared" si="0"/>
        <v>0</v>
      </c>
      <c r="E21" s="1706"/>
      <c r="F21" s="1707"/>
      <c r="G21" s="1708"/>
      <c r="H21" s="1709"/>
      <c r="I21" s="1766"/>
      <c r="J21" s="2981"/>
      <c r="K21" s="1767"/>
      <c r="L21" s="1768"/>
      <c r="M21" s="3059"/>
      <c r="N21" s="3343"/>
      <c r="O21" s="1769"/>
      <c r="P21" s="1768"/>
      <c r="Q21" s="1770"/>
      <c r="R21" s="3122"/>
      <c r="S21" s="1771"/>
      <c r="T21" s="1772"/>
      <c r="U21" s="1834"/>
      <c r="V21" s="2890"/>
      <c r="W21" s="1835"/>
      <c r="X21" s="1836"/>
      <c r="Y21" s="2819"/>
      <c r="Z21" s="2728"/>
      <c r="AA21" s="2721"/>
      <c r="AB21" s="1837"/>
      <c r="AC21" s="1838"/>
      <c r="AD21" s="1839"/>
      <c r="AE21" s="1706"/>
      <c r="AF21" s="1707"/>
      <c r="AG21" s="1887"/>
      <c r="AH21" s="1888"/>
      <c r="AI21" s="1889"/>
      <c r="AJ21" s="2972"/>
      <c r="AK21" s="1890"/>
      <c r="AL21" s="3070"/>
      <c r="AM21" s="3349"/>
      <c r="AN21" s="1769"/>
      <c r="AO21" s="1770"/>
      <c r="AP21" s="3122"/>
      <c r="AQ21" s="1891"/>
      <c r="AR21" s="1892"/>
      <c r="AS21" s="1891"/>
      <c r="AT21" s="1920"/>
      <c r="AU21" s="2866"/>
      <c r="AV21" s="2882"/>
      <c r="AW21" s="2874"/>
      <c r="AX21" s="2826"/>
      <c r="AY21" s="2728"/>
      <c r="AZ21" s="2721"/>
      <c r="BA21" s="1921"/>
      <c r="BB21" s="1922"/>
      <c r="BC21" s="1923"/>
      <c r="BD21" s="1924"/>
      <c r="BE21" s="1947"/>
      <c r="BF21" s="1891"/>
      <c r="BG21" s="1948"/>
      <c r="BH21" s="1924"/>
      <c r="BI21" s="3634"/>
      <c r="BJ21" s="3634"/>
      <c r="BK21" s="1957"/>
      <c r="BL21" s="1952"/>
      <c r="BM21" s="3630"/>
    </row>
    <row r="22" spans="1:66" ht="15.75" thickBot="1">
      <c r="A22" s="3726"/>
      <c r="B22" s="1714" t="s">
        <v>34</v>
      </c>
      <c r="C22" s="3679"/>
      <c r="D22" s="1710">
        <f t="shared" si="0"/>
        <v>0</v>
      </c>
      <c r="E22" s="1715"/>
      <c r="F22" s="1716"/>
      <c r="G22" s="1717"/>
      <c r="H22" s="1718"/>
      <c r="I22" s="1785"/>
      <c r="J22" s="2984"/>
      <c r="K22" s="1786"/>
      <c r="L22" s="1787"/>
      <c r="M22" s="3065"/>
      <c r="N22" s="3190"/>
      <c r="O22" s="1717"/>
      <c r="P22" s="1787"/>
      <c r="Q22" s="1788"/>
      <c r="R22" s="3128"/>
      <c r="S22" s="1789"/>
      <c r="T22" s="1790"/>
      <c r="U22" s="1840"/>
      <c r="V22" s="2893"/>
      <c r="W22" s="1841"/>
      <c r="X22" s="1842"/>
      <c r="Y22" s="2822"/>
      <c r="Z22" s="2731"/>
      <c r="AA22" s="2724"/>
      <c r="AB22" s="1843"/>
      <c r="AC22" s="1844"/>
      <c r="AD22" s="1845"/>
      <c r="AE22" s="1715"/>
      <c r="AF22" s="1716"/>
      <c r="AG22" s="1897"/>
      <c r="AH22" s="1898"/>
      <c r="AI22" s="1899"/>
      <c r="AJ22" s="2977"/>
      <c r="AK22" s="1900"/>
      <c r="AL22" s="3075"/>
      <c r="AM22" s="3353"/>
      <c r="AN22" s="1717"/>
      <c r="AO22" s="1788"/>
      <c r="AP22" s="3128"/>
      <c r="AQ22" s="1901"/>
      <c r="AR22" s="1902"/>
      <c r="AS22" s="1901"/>
      <c r="AT22" s="1925"/>
      <c r="AU22" s="2869"/>
      <c r="AV22" s="2885"/>
      <c r="AW22" s="2877"/>
      <c r="AX22" s="2829"/>
      <c r="AY22" s="2731"/>
      <c r="AZ22" s="2724"/>
      <c r="BA22" s="1926"/>
      <c r="BB22" s="1927"/>
      <c r="BC22" s="1844"/>
      <c r="BD22" s="1845"/>
      <c r="BE22" s="1715"/>
      <c r="BF22" s="1901"/>
      <c r="BG22" s="1949"/>
      <c r="BH22" s="1845"/>
      <c r="BI22" s="3634"/>
      <c r="BJ22" s="3634"/>
      <c r="BK22" s="1945"/>
      <c r="BL22" s="2340"/>
      <c r="BM22" s="3630"/>
    </row>
    <row r="23" spans="1:66" ht="16.5" thickBot="1">
      <c r="A23" s="3729">
        <v>46126</v>
      </c>
      <c r="B23" s="1688" t="s">
        <v>32</v>
      </c>
      <c r="C23" s="3678">
        <f>SUM(D23:D25)</f>
        <v>180</v>
      </c>
      <c r="D23" s="1719">
        <f t="shared" si="0"/>
        <v>180</v>
      </c>
      <c r="E23" s="1720"/>
      <c r="F23" s="1721"/>
      <c r="G23" s="1722"/>
      <c r="H23" s="1723"/>
      <c r="I23" s="1791"/>
      <c r="J23" s="2985"/>
      <c r="K23" s="1792"/>
      <c r="L23" s="1793"/>
      <c r="M23" s="3066"/>
      <c r="N23" s="3191"/>
      <c r="O23" s="1794"/>
      <c r="P23" s="1793"/>
      <c r="Q23" s="1795"/>
      <c r="R23" s="3129"/>
      <c r="S23" s="1796"/>
      <c r="T23" s="1797"/>
      <c r="U23" s="1846"/>
      <c r="V23" s="2894"/>
      <c r="W23" s="1847"/>
      <c r="X23" s="1848"/>
      <c r="Y23" s="2823"/>
      <c r="Z23" s="2732"/>
      <c r="AA23" s="2725"/>
      <c r="AB23" s="1849"/>
      <c r="AC23" s="1850">
        <v>168</v>
      </c>
      <c r="AD23" s="1851"/>
      <c r="AE23" s="1720"/>
      <c r="AF23" s="1721"/>
      <c r="AG23" s="1794"/>
      <c r="AH23" s="1723"/>
      <c r="AI23" s="1903"/>
      <c r="AJ23" s="2978"/>
      <c r="AK23" s="1792"/>
      <c r="AL23" s="3066"/>
      <c r="AM23" s="3191"/>
      <c r="AN23" s="1794"/>
      <c r="AO23" s="1795"/>
      <c r="AP23" s="3129"/>
      <c r="AQ23" s="1793"/>
      <c r="AR23" s="1796"/>
      <c r="AS23" s="1793"/>
      <c r="AT23" s="1797"/>
      <c r="AU23" s="2870"/>
      <c r="AV23" s="2886"/>
      <c r="AW23" s="2878"/>
      <c r="AX23" s="2830"/>
      <c r="AY23" s="2732"/>
      <c r="AZ23" s="2725"/>
      <c r="BA23" s="1848"/>
      <c r="BB23" s="1849"/>
      <c r="BC23" s="1850"/>
      <c r="BD23" s="1851"/>
      <c r="BE23" s="1720"/>
      <c r="BF23" s="1793"/>
      <c r="BG23" s="1950"/>
      <c r="BH23" s="1851">
        <v>12</v>
      </c>
      <c r="BI23" s="3642">
        <f>SUM(E23:AD25)</f>
        <v>168</v>
      </c>
      <c r="BJ23" s="3633">
        <f>SUM(E23:BD25)</f>
        <v>168</v>
      </c>
      <c r="BK23" s="1945" t="s">
        <v>612</v>
      </c>
      <c r="BL23" s="2340" t="s">
        <v>539</v>
      </c>
      <c r="BM23" s="3629" t="s">
        <v>33</v>
      </c>
    </row>
    <row r="24" spans="1:66" ht="15.75" thickBot="1">
      <c r="A24" s="3730"/>
      <c r="B24" s="1694" t="s">
        <v>34</v>
      </c>
      <c r="C24" s="3679"/>
      <c r="D24" s="1705">
        <f t="shared" si="0"/>
        <v>0</v>
      </c>
      <c r="E24" s="1706"/>
      <c r="F24" s="1707"/>
      <c r="G24" s="1708"/>
      <c r="H24" s="1709"/>
      <c r="I24" s="1766"/>
      <c r="J24" s="2981"/>
      <c r="K24" s="1767"/>
      <c r="L24" s="1768"/>
      <c r="M24" s="3059"/>
      <c r="N24" s="3343"/>
      <c r="O24" s="1769"/>
      <c r="P24" s="1768"/>
      <c r="Q24" s="1770"/>
      <c r="R24" s="3122"/>
      <c r="S24" s="1771"/>
      <c r="T24" s="1772"/>
      <c r="U24" s="1834"/>
      <c r="V24" s="2890"/>
      <c r="W24" s="1835"/>
      <c r="X24" s="1836"/>
      <c r="Y24" s="2819"/>
      <c r="Z24" s="2728"/>
      <c r="AA24" s="2721"/>
      <c r="AB24" s="1837"/>
      <c r="AC24" s="1838"/>
      <c r="AD24" s="1839"/>
      <c r="AE24" s="1706"/>
      <c r="AF24" s="1707"/>
      <c r="AG24" s="1887"/>
      <c r="AH24" s="1888"/>
      <c r="AI24" s="1889"/>
      <c r="AJ24" s="2972"/>
      <c r="AK24" s="1890"/>
      <c r="AL24" s="3070"/>
      <c r="AM24" s="3349"/>
      <c r="AN24" s="1769"/>
      <c r="AO24" s="1770"/>
      <c r="AP24" s="3122"/>
      <c r="AQ24" s="1891"/>
      <c r="AR24" s="1892"/>
      <c r="AS24" s="1891"/>
      <c r="AT24" s="1920"/>
      <c r="AU24" s="2866"/>
      <c r="AV24" s="2882"/>
      <c r="AW24" s="2874"/>
      <c r="AX24" s="2826"/>
      <c r="AY24" s="2728"/>
      <c r="AZ24" s="2721"/>
      <c r="BA24" s="1921"/>
      <c r="BB24" s="1922"/>
      <c r="BC24" s="1923"/>
      <c r="BD24" s="1924"/>
      <c r="BE24" s="1947"/>
      <c r="BF24" s="1891"/>
      <c r="BG24" s="1948"/>
      <c r="BH24" s="1924"/>
      <c r="BI24" s="3643"/>
      <c r="BJ24" s="3634"/>
      <c r="BK24" s="1957"/>
      <c r="BL24" s="1952"/>
      <c r="BM24" s="3630"/>
    </row>
    <row r="25" spans="1:66" ht="15.75" thickBot="1">
      <c r="A25" s="3731"/>
      <c r="B25" s="1724" t="s">
        <v>34</v>
      </c>
      <c r="C25" s="3681"/>
      <c r="D25" s="1710">
        <f t="shared" si="0"/>
        <v>0</v>
      </c>
      <c r="E25" s="1696"/>
      <c r="F25" s="1725"/>
      <c r="G25" s="1698"/>
      <c r="H25" s="1699"/>
      <c r="I25" s="1752"/>
      <c r="J25" s="2982"/>
      <c r="K25" s="1798"/>
      <c r="L25" s="1799"/>
      <c r="M25" s="3067"/>
      <c r="N25" s="3188"/>
      <c r="O25" s="1755"/>
      <c r="P25" s="1754"/>
      <c r="Q25" s="1775"/>
      <c r="R25" s="3127"/>
      <c r="S25" s="1757"/>
      <c r="T25" s="1758"/>
      <c r="U25" s="1821"/>
      <c r="V25" s="2891"/>
      <c r="W25" s="1822"/>
      <c r="X25" s="1823"/>
      <c r="Y25" s="2820"/>
      <c r="Z25" s="2729"/>
      <c r="AA25" s="2722"/>
      <c r="AB25" s="1824"/>
      <c r="AC25" s="1825"/>
      <c r="AD25" s="1826"/>
      <c r="AE25" s="1696"/>
      <c r="AF25" s="1697"/>
      <c r="AG25" s="1875"/>
      <c r="AH25" s="1895"/>
      <c r="AI25" s="1858"/>
      <c r="AJ25" s="2976"/>
      <c r="AK25" s="1896"/>
      <c r="AL25" s="3074"/>
      <c r="AM25" s="3351"/>
      <c r="AN25" s="1755"/>
      <c r="AO25" s="1775"/>
      <c r="AP25" s="3127"/>
      <c r="AQ25" s="1879"/>
      <c r="AR25" s="1880"/>
      <c r="AS25" s="1879"/>
      <c r="AT25" s="1912"/>
      <c r="AU25" s="2867"/>
      <c r="AV25" s="2883"/>
      <c r="AW25" s="2875"/>
      <c r="AX25" s="2827"/>
      <c r="AY25" s="2729"/>
      <c r="AZ25" s="2722"/>
      <c r="BA25" s="1913"/>
      <c r="BB25" s="1914"/>
      <c r="BC25" s="1866"/>
      <c r="BD25" s="1867"/>
      <c r="BE25" s="1943"/>
      <c r="BF25" s="1879"/>
      <c r="BG25" s="1944"/>
      <c r="BH25" s="1867"/>
      <c r="BI25" s="3643"/>
      <c r="BJ25" s="3634"/>
      <c r="BK25" s="1957"/>
      <c r="BL25" s="2340"/>
      <c r="BM25" s="3630"/>
    </row>
    <row r="26" spans="1:66">
      <c r="A26" s="3729">
        <v>46131</v>
      </c>
      <c r="B26" s="1688" t="s">
        <v>32</v>
      </c>
      <c r="C26" s="3678">
        <f>SUM(D26:D29)</f>
        <v>359</v>
      </c>
      <c r="D26" s="1700">
        <f t="shared" si="0"/>
        <v>359</v>
      </c>
      <c r="E26" s="1726"/>
      <c r="F26" s="1727"/>
      <c r="G26" s="1692"/>
      <c r="H26" s="1713"/>
      <c r="I26" s="1782"/>
      <c r="J26" s="2980"/>
      <c r="K26" s="1783"/>
      <c r="L26" s="1784"/>
      <c r="M26" s="3064"/>
      <c r="N26" s="3186"/>
      <c r="O26" s="1692"/>
      <c r="P26" s="1784"/>
      <c r="Q26" s="1774"/>
      <c r="R26" s="3126"/>
      <c r="S26" s="1750">
        <v>352</v>
      </c>
      <c r="T26" s="1751"/>
      <c r="U26" s="1815"/>
      <c r="V26" s="2889"/>
      <c r="W26" s="1816"/>
      <c r="X26" s="1817"/>
      <c r="Y26" s="2818"/>
      <c r="Z26" s="2727"/>
      <c r="AA26" s="2720"/>
      <c r="AB26" s="1818"/>
      <c r="AC26" s="1819"/>
      <c r="AD26" s="1820"/>
      <c r="AE26" s="1726"/>
      <c r="AF26" s="1691"/>
      <c r="AG26" s="1869"/>
      <c r="AH26" s="1893"/>
      <c r="AI26" s="1854"/>
      <c r="AJ26" s="2975"/>
      <c r="AK26" s="1894"/>
      <c r="AL26" s="3073"/>
      <c r="AM26" s="3350"/>
      <c r="AN26" s="1692"/>
      <c r="AO26" s="1774"/>
      <c r="AP26" s="3126"/>
      <c r="AQ26" s="1873"/>
      <c r="AR26" s="1874">
        <v>2</v>
      </c>
      <c r="AS26" s="1873"/>
      <c r="AT26" s="1909"/>
      <c r="AU26" s="2865"/>
      <c r="AV26" s="2881"/>
      <c r="AW26" s="2873"/>
      <c r="AX26" s="2825"/>
      <c r="AY26" s="2727"/>
      <c r="AZ26" s="2720"/>
      <c r="BA26" s="1910"/>
      <c r="BB26" s="1911"/>
      <c r="BC26" s="1864"/>
      <c r="BD26" s="1865"/>
      <c r="BE26" s="1726">
        <v>5</v>
      </c>
      <c r="BF26" s="1873"/>
      <c r="BG26" s="1940"/>
      <c r="BH26" s="1865"/>
      <c r="BI26" s="3633">
        <f>SUM(E26:AD29)</f>
        <v>352</v>
      </c>
      <c r="BJ26" s="3633">
        <f>SUM(E26:BD29)</f>
        <v>354</v>
      </c>
      <c r="BK26" s="1957">
        <v>6003</v>
      </c>
      <c r="BL26" s="2340" t="s">
        <v>533</v>
      </c>
      <c r="BM26" s="3629" t="s">
        <v>33</v>
      </c>
    </row>
    <row r="27" spans="1:66" ht="15.75" thickBot="1">
      <c r="A27" s="3730"/>
      <c r="B27" s="1694" t="s">
        <v>34</v>
      </c>
      <c r="C27" s="3679"/>
      <c r="D27" s="1705">
        <f t="shared" si="0"/>
        <v>0</v>
      </c>
      <c r="E27" s="1706"/>
      <c r="F27" s="1707"/>
      <c r="G27" s="1708"/>
      <c r="H27" s="1709"/>
      <c r="I27" s="1766"/>
      <c r="J27" s="2981"/>
      <c r="K27" s="1767"/>
      <c r="L27" s="1768"/>
      <c r="M27" s="3059"/>
      <c r="N27" s="3343"/>
      <c r="O27" s="1769"/>
      <c r="P27" s="1768"/>
      <c r="Q27" s="1770"/>
      <c r="R27" s="3122"/>
      <c r="S27" s="1771"/>
      <c r="T27" s="1772"/>
      <c r="U27" s="1834"/>
      <c r="V27" s="2890"/>
      <c r="W27" s="1835"/>
      <c r="X27" s="1836"/>
      <c r="Y27" s="2819"/>
      <c r="Z27" s="2728"/>
      <c r="AA27" s="2721"/>
      <c r="AB27" s="1837"/>
      <c r="AC27" s="1838"/>
      <c r="AD27" s="1839"/>
      <c r="AE27" s="1706"/>
      <c r="AF27" s="1707"/>
      <c r="AG27" s="1887"/>
      <c r="AH27" s="1888"/>
      <c r="AI27" s="1889"/>
      <c r="AJ27" s="2972"/>
      <c r="AK27" s="1890"/>
      <c r="AL27" s="3070"/>
      <c r="AM27" s="3349"/>
      <c r="AN27" s="1769"/>
      <c r="AO27" s="1770"/>
      <c r="AP27" s="3122"/>
      <c r="AQ27" s="1891"/>
      <c r="AR27" s="1892"/>
      <c r="AS27" s="1891"/>
      <c r="AT27" s="1920"/>
      <c r="AU27" s="2866"/>
      <c r="AV27" s="2882"/>
      <c r="AW27" s="2874"/>
      <c r="AX27" s="2826"/>
      <c r="AY27" s="2728"/>
      <c r="AZ27" s="2721"/>
      <c r="BA27" s="1921"/>
      <c r="BB27" s="1922"/>
      <c r="BC27" s="1923"/>
      <c r="BD27" s="1924"/>
      <c r="BE27" s="1947"/>
      <c r="BF27" s="1891"/>
      <c r="BG27" s="1948"/>
      <c r="BH27" s="1924"/>
      <c r="BI27" s="3634"/>
      <c r="BJ27" s="3634"/>
      <c r="BK27" s="1957"/>
      <c r="BL27" s="1952"/>
      <c r="BM27" s="3630"/>
      <c r="BN27" t="s">
        <v>510</v>
      </c>
    </row>
    <row r="28" spans="1:66" ht="15.75" thickBot="1">
      <c r="A28" s="3730"/>
      <c r="B28" s="1694" t="s">
        <v>34</v>
      </c>
      <c r="C28" s="3679"/>
      <c r="D28" s="1705">
        <f t="shared" si="0"/>
        <v>0</v>
      </c>
      <c r="E28" s="1706"/>
      <c r="F28" s="1707"/>
      <c r="G28" s="1708"/>
      <c r="H28" s="1709"/>
      <c r="I28" s="1766"/>
      <c r="J28" s="2981"/>
      <c r="K28" s="1767"/>
      <c r="L28" s="1768"/>
      <c r="M28" s="3059"/>
      <c r="N28" s="3343"/>
      <c r="O28" s="1769"/>
      <c r="P28" s="1768"/>
      <c r="Q28" s="1770"/>
      <c r="R28" s="3122"/>
      <c r="S28" s="1771"/>
      <c r="T28" s="1772"/>
      <c r="U28" s="1834"/>
      <c r="V28" s="2890"/>
      <c r="W28" s="1835"/>
      <c r="X28" s="1836"/>
      <c r="Y28" s="2819"/>
      <c r="Z28" s="2728"/>
      <c r="AA28" s="2721"/>
      <c r="AB28" s="1837"/>
      <c r="AC28" s="1838"/>
      <c r="AD28" s="1839"/>
      <c r="AE28" s="1706"/>
      <c r="AF28" s="1707"/>
      <c r="AG28" s="1887"/>
      <c r="AH28" s="1888"/>
      <c r="AI28" s="1889"/>
      <c r="AJ28" s="2972"/>
      <c r="AK28" s="1890"/>
      <c r="AL28" s="3070"/>
      <c r="AM28" s="3349"/>
      <c r="AN28" s="1769"/>
      <c r="AO28" s="1770"/>
      <c r="AP28" s="3122"/>
      <c r="AQ28" s="1891"/>
      <c r="AR28" s="1892"/>
      <c r="AS28" s="1891"/>
      <c r="AT28" s="1920"/>
      <c r="AU28" s="2866"/>
      <c r="AV28" s="2882"/>
      <c r="AW28" s="2874"/>
      <c r="AX28" s="2826"/>
      <c r="AY28" s="2728"/>
      <c r="AZ28" s="2721"/>
      <c r="BA28" s="1921"/>
      <c r="BB28" s="1922"/>
      <c r="BC28" s="1923"/>
      <c r="BD28" s="1924"/>
      <c r="BE28" s="1947"/>
      <c r="BF28" s="1891"/>
      <c r="BG28" s="1948"/>
      <c r="BH28" s="1924"/>
      <c r="BI28" s="3634"/>
      <c r="BJ28" s="3634"/>
      <c r="BK28" s="1957"/>
      <c r="BL28" s="1952"/>
      <c r="BM28" s="3630"/>
    </row>
    <row r="29" spans="1:66" ht="15.75" thickBot="1">
      <c r="A29" s="3731"/>
      <c r="B29" s="1724" t="s">
        <v>34</v>
      </c>
      <c r="C29" s="3679"/>
      <c r="D29" s="1705">
        <f t="shared" si="0"/>
        <v>0</v>
      </c>
      <c r="E29" s="1696"/>
      <c r="F29" s="1725"/>
      <c r="G29" s="1698"/>
      <c r="H29" s="1699"/>
      <c r="I29" s="1752"/>
      <c r="J29" s="2982"/>
      <c r="K29" s="1753"/>
      <c r="L29" s="1754"/>
      <c r="M29" s="3060"/>
      <c r="N29" s="3344"/>
      <c r="O29" s="1755"/>
      <c r="P29" s="1754"/>
      <c r="Q29" s="1775"/>
      <c r="R29" s="3127"/>
      <c r="S29" s="1757"/>
      <c r="T29" s="1758"/>
      <c r="U29" s="1821"/>
      <c r="V29" s="2891"/>
      <c r="W29" s="1822"/>
      <c r="X29" s="1823"/>
      <c r="Y29" s="2820"/>
      <c r="Z29" s="2729"/>
      <c r="AA29" s="2722"/>
      <c r="AB29" s="1824"/>
      <c r="AC29" s="1825"/>
      <c r="AD29" s="1826"/>
      <c r="AE29" s="1696"/>
      <c r="AF29" s="1697"/>
      <c r="AG29" s="1875"/>
      <c r="AH29" s="1895"/>
      <c r="AI29" s="1858"/>
      <c r="AJ29" s="2976"/>
      <c r="AK29" s="1896"/>
      <c r="AL29" s="3074"/>
      <c r="AM29" s="3351"/>
      <c r="AN29" s="1755"/>
      <c r="AO29" s="1775"/>
      <c r="AP29" s="3127"/>
      <c r="AQ29" s="1879"/>
      <c r="AR29" s="1880"/>
      <c r="AS29" s="1879"/>
      <c r="AT29" s="1912"/>
      <c r="AU29" s="2867"/>
      <c r="AV29" s="2883"/>
      <c r="AW29" s="2875"/>
      <c r="AX29" s="2827"/>
      <c r="AY29" s="2729"/>
      <c r="AZ29" s="2722"/>
      <c r="BA29" s="1913"/>
      <c r="BB29" s="1914"/>
      <c r="BC29" s="1866"/>
      <c r="BD29" s="1867"/>
      <c r="BE29" s="1943"/>
      <c r="BF29" s="1879"/>
      <c r="BG29" s="1944"/>
      <c r="BH29" s="1867"/>
      <c r="BI29" s="3634"/>
      <c r="BJ29" s="3634"/>
      <c r="BK29" s="1957"/>
      <c r="BL29" s="2340"/>
      <c r="BM29" s="3630"/>
    </row>
    <row r="30" spans="1:66" ht="15" customHeight="1" thickBot="1">
      <c r="A30" s="3725">
        <v>46132</v>
      </c>
      <c r="B30" s="1688" t="s">
        <v>32</v>
      </c>
      <c r="C30" s="3678">
        <f>SUM(D30:D33)</f>
        <v>474</v>
      </c>
      <c r="D30" s="1689">
        <f t="shared" si="0"/>
        <v>474</v>
      </c>
      <c r="E30" s="1690"/>
      <c r="F30" s="1727"/>
      <c r="G30" s="1692"/>
      <c r="H30" s="1693"/>
      <c r="I30" s="1745"/>
      <c r="J30" s="2980"/>
      <c r="K30" s="1746"/>
      <c r="L30" s="1747"/>
      <c r="M30" s="3058"/>
      <c r="N30" s="3192"/>
      <c r="O30" s="1748"/>
      <c r="P30" s="1747"/>
      <c r="Q30" s="1774"/>
      <c r="R30" s="3126"/>
      <c r="S30" s="1750">
        <v>464</v>
      </c>
      <c r="T30" s="1751"/>
      <c r="U30" s="1815"/>
      <c r="V30" s="2889"/>
      <c r="W30" s="1816"/>
      <c r="X30" s="1817"/>
      <c r="Y30" s="2818"/>
      <c r="Z30" s="2727"/>
      <c r="AA30" s="2720"/>
      <c r="AB30" s="1818"/>
      <c r="AC30" s="1819"/>
      <c r="AD30" s="1820"/>
      <c r="AE30" s="1726"/>
      <c r="AF30" s="1691"/>
      <c r="AG30" s="1869"/>
      <c r="AH30" s="1893"/>
      <c r="AI30" s="1854"/>
      <c r="AJ30" s="2975"/>
      <c r="AK30" s="1894"/>
      <c r="AL30" s="3073"/>
      <c r="AM30" s="3350"/>
      <c r="AN30" s="1748"/>
      <c r="AO30" s="1774"/>
      <c r="AP30" s="3126"/>
      <c r="AQ30" s="1873"/>
      <c r="AR30" s="1874"/>
      <c r="AS30" s="1873"/>
      <c r="AT30" s="1909"/>
      <c r="AU30" s="2865"/>
      <c r="AV30" s="2881"/>
      <c r="AW30" s="2873"/>
      <c r="AX30" s="2825"/>
      <c r="AY30" s="2727"/>
      <c r="AZ30" s="2720"/>
      <c r="BA30" s="1910"/>
      <c r="BB30" s="1911"/>
      <c r="BC30" s="1864"/>
      <c r="BD30" s="1865"/>
      <c r="BE30" s="1726">
        <v>10</v>
      </c>
      <c r="BF30" s="1873"/>
      <c r="BG30" s="1940"/>
      <c r="BH30" s="1865"/>
      <c r="BI30" s="3633">
        <f>SUM(E30:AD33)</f>
        <v>464</v>
      </c>
      <c r="BJ30" s="3633">
        <f>SUM(E30:BD33)</f>
        <v>464</v>
      </c>
      <c r="BK30" s="1957">
        <v>6003</v>
      </c>
      <c r="BL30" s="2340" t="s">
        <v>533</v>
      </c>
      <c r="BM30" s="3629" t="s">
        <v>33</v>
      </c>
    </row>
    <row r="31" spans="1:66" ht="15.75" thickBot="1">
      <c r="A31" s="3726"/>
      <c r="B31" s="1694" t="s">
        <v>34</v>
      </c>
      <c r="C31" s="3679"/>
      <c r="D31" s="1705">
        <f t="shared" si="0"/>
        <v>0</v>
      </c>
      <c r="E31" s="1706"/>
      <c r="F31" s="1707"/>
      <c r="G31" s="1708"/>
      <c r="H31" s="1709"/>
      <c r="I31" s="1766"/>
      <c r="J31" s="2981"/>
      <c r="K31" s="1767"/>
      <c r="L31" s="1768"/>
      <c r="M31" s="3059"/>
      <c r="N31" s="3343"/>
      <c r="O31" s="1769"/>
      <c r="P31" s="1768"/>
      <c r="Q31" s="1770"/>
      <c r="R31" s="3122"/>
      <c r="S31" s="1771"/>
      <c r="T31" s="1772"/>
      <c r="U31" s="1834"/>
      <c r="V31" s="2890"/>
      <c r="W31" s="1835"/>
      <c r="X31" s="1836"/>
      <c r="Y31" s="2819"/>
      <c r="Z31" s="2728"/>
      <c r="AA31" s="2721"/>
      <c r="AB31" s="1837"/>
      <c r="AC31" s="1838"/>
      <c r="AD31" s="1839"/>
      <c r="AE31" s="1706"/>
      <c r="AF31" s="1707"/>
      <c r="AG31" s="1887"/>
      <c r="AH31" s="1888"/>
      <c r="AI31" s="1889"/>
      <c r="AJ31" s="2972"/>
      <c r="AK31" s="1890"/>
      <c r="AL31" s="3070"/>
      <c r="AM31" s="3349"/>
      <c r="AN31" s="1769"/>
      <c r="AO31" s="1770"/>
      <c r="AP31" s="3122"/>
      <c r="AQ31" s="1891"/>
      <c r="AR31" s="1892"/>
      <c r="AS31" s="1891"/>
      <c r="AT31" s="1920"/>
      <c r="AU31" s="2866"/>
      <c r="AV31" s="2882"/>
      <c r="AW31" s="2874"/>
      <c r="AX31" s="2826"/>
      <c r="AY31" s="2728"/>
      <c r="AZ31" s="2721"/>
      <c r="BA31" s="1921"/>
      <c r="BB31" s="1922"/>
      <c r="BC31" s="1923"/>
      <c r="BD31" s="1924"/>
      <c r="BE31" s="1947"/>
      <c r="BF31" s="1891"/>
      <c r="BG31" s="1948"/>
      <c r="BH31" s="1924"/>
      <c r="BI31" s="3634"/>
      <c r="BJ31" s="3634"/>
      <c r="BK31" s="1957"/>
      <c r="BL31" s="2340"/>
      <c r="BM31" s="3630"/>
    </row>
    <row r="32" spans="1:66" ht="15.75" thickBot="1">
      <c r="A32" s="3726"/>
      <c r="B32" s="1694" t="s">
        <v>34</v>
      </c>
      <c r="C32" s="3679"/>
      <c r="D32" s="1705">
        <f t="shared" si="0"/>
        <v>0</v>
      </c>
      <c r="E32" s="1706"/>
      <c r="F32" s="1707"/>
      <c r="G32" s="1708"/>
      <c r="H32" s="1709"/>
      <c r="I32" s="1766"/>
      <c r="J32" s="2981"/>
      <c r="K32" s="1767"/>
      <c r="L32" s="1768"/>
      <c r="M32" s="3059"/>
      <c r="N32" s="3343"/>
      <c r="O32" s="1769"/>
      <c r="P32" s="1768"/>
      <c r="Q32" s="1770"/>
      <c r="R32" s="3122"/>
      <c r="S32" s="1771"/>
      <c r="T32" s="1772"/>
      <c r="U32" s="1834"/>
      <c r="V32" s="2890"/>
      <c r="W32" s="1835"/>
      <c r="X32" s="1836"/>
      <c r="Y32" s="2819"/>
      <c r="Z32" s="2728"/>
      <c r="AA32" s="2721"/>
      <c r="AB32" s="1837"/>
      <c r="AC32" s="1838"/>
      <c r="AD32" s="1839"/>
      <c r="AE32" s="1706"/>
      <c r="AF32" s="1707"/>
      <c r="AG32" s="1887"/>
      <c r="AH32" s="1888"/>
      <c r="AI32" s="1889"/>
      <c r="AJ32" s="2972"/>
      <c r="AK32" s="1890"/>
      <c r="AL32" s="3070"/>
      <c r="AM32" s="3349"/>
      <c r="AN32" s="1769"/>
      <c r="AO32" s="1770"/>
      <c r="AP32" s="3122"/>
      <c r="AQ32" s="1891"/>
      <c r="AR32" s="1892"/>
      <c r="AS32" s="1891"/>
      <c r="AT32" s="1920"/>
      <c r="AU32" s="2866"/>
      <c r="AV32" s="2882"/>
      <c r="AW32" s="2874"/>
      <c r="AX32" s="2826"/>
      <c r="AY32" s="2728"/>
      <c r="AZ32" s="2721"/>
      <c r="BA32" s="1921"/>
      <c r="BB32" s="1922"/>
      <c r="BC32" s="1923"/>
      <c r="BD32" s="1924"/>
      <c r="BE32" s="1947"/>
      <c r="BF32" s="1891"/>
      <c r="BG32" s="1948"/>
      <c r="BH32" s="1924"/>
      <c r="BI32" s="3634"/>
      <c r="BJ32" s="3634"/>
      <c r="BK32" s="1957"/>
      <c r="BL32" s="2340"/>
      <c r="BM32" s="3630"/>
    </row>
    <row r="33" spans="1:65" ht="15.75" customHeight="1" thickBot="1">
      <c r="A33" s="3727"/>
      <c r="B33" s="1728" t="s">
        <v>34</v>
      </c>
      <c r="C33" s="3681"/>
      <c r="D33" s="1705">
        <f t="shared" si="0"/>
        <v>0</v>
      </c>
      <c r="E33" s="1706"/>
      <c r="F33" s="1729"/>
      <c r="G33" s="1708"/>
      <c r="H33" s="1709"/>
      <c r="I33" s="1766"/>
      <c r="J33" s="2981"/>
      <c r="K33" s="1767"/>
      <c r="L33" s="1768"/>
      <c r="M33" s="3059"/>
      <c r="N33" s="3343"/>
      <c r="O33" s="1769"/>
      <c r="P33" s="1768"/>
      <c r="Q33" s="1773"/>
      <c r="R33" s="3125"/>
      <c r="S33" s="1771"/>
      <c r="T33" s="1772"/>
      <c r="U33" s="1834"/>
      <c r="V33" s="2890"/>
      <c r="W33" s="1835"/>
      <c r="X33" s="1836"/>
      <c r="Y33" s="2819"/>
      <c r="Z33" s="2728"/>
      <c r="AA33" s="2721"/>
      <c r="AB33" s="1837"/>
      <c r="AC33" s="1838"/>
      <c r="AD33" s="1839"/>
      <c r="AE33" s="1706"/>
      <c r="AF33" s="1707"/>
      <c r="AG33" s="1887"/>
      <c r="AH33" s="1888"/>
      <c r="AI33" s="1889"/>
      <c r="AJ33" s="2972"/>
      <c r="AK33" s="1890"/>
      <c r="AL33" s="3070"/>
      <c r="AM33" s="3349"/>
      <c r="AN33" s="1769"/>
      <c r="AO33" s="1773"/>
      <c r="AP33" s="3125"/>
      <c r="AQ33" s="1891"/>
      <c r="AR33" s="1892"/>
      <c r="AS33" s="1891"/>
      <c r="AT33" s="1920"/>
      <c r="AU33" s="2866"/>
      <c r="AV33" s="2882"/>
      <c r="AW33" s="2874"/>
      <c r="AX33" s="2826"/>
      <c r="AY33" s="2728"/>
      <c r="AZ33" s="2721"/>
      <c r="BA33" s="1921"/>
      <c r="BB33" s="1922"/>
      <c r="BC33" s="1923"/>
      <c r="BD33" s="1924"/>
      <c r="BE33" s="1947"/>
      <c r="BF33" s="1891"/>
      <c r="BG33" s="1948"/>
      <c r="BH33" s="1924"/>
      <c r="BI33" s="3635"/>
      <c r="BJ33" s="3635"/>
      <c r="BK33" s="3268"/>
      <c r="BL33" s="1958"/>
      <c r="BM33" s="3631"/>
    </row>
    <row r="34" spans="1:65" ht="15.75" thickBot="1">
      <c r="A34" s="3723">
        <v>46133</v>
      </c>
      <c r="B34" s="1730" t="s">
        <v>32</v>
      </c>
      <c r="C34" s="3678">
        <f>SUM(D34:D37)</f>
        <v>487</v>
      </c>
      <c r="D34" s="1719">
        <f t="shared" si="0"/>
        <v>487</v>
      </c>
      <c r="E34" s="1726"/>
      <c r="F34" s="1727"/>
      <c r="G34" s="1692"/>
      <c r="H34" s="1713"/>
      <c r="I34" s="1782"/>
      <c r="J34" s="2980"/>
      <c r="K34" s="1746"/>
      <c r="L34" s="1747"/>
      <c r="M34" s="3058"/>
      <c r="N34" s="3192"/>
      <c r="O34" s="1748"/>
      <c r="P34" s="1747"/>
      <c r="Q34" s="1774"/>
      <c r="R34" s="3126"/>
      <c r="S34" s="1750">
        <f>112+368</f>
        <v>480</v>
      </c>
      <c r="T34" s="1751"/>
      <c r="U34" s="1815"/>
      <c r="V34" s="2889"/>
      <c r="W34" s="1816"/>
      <c r="X34" s="1817"/>
      <c r="Y34" s="2818"/>
      <c r="Z34" s="2733"/>
      <c r="AA34" s="2306"/>
      <c r="AB34" s="1852"/>
      <c r="AC34" s="1853"/>
      <c r="AD34" s="1854"/>
      <c r="AE34" s="1855"/>
      <c r="AF34" s="1691"/>
      <c r="AG34" s="1869"/>
      <c r="AH34" s="1893"/>
      <c r="AI34" s="1854"/>
      <c r="AJ34" s="2975"/>
      <c r="AK34" s="1894"/>
      <c r="AL34" s="3073"/>
      <c r="AM34" s="3350"/>
      <c r="AN34" s="1748"/>
      <c r="AO34" s="1774"/>
      <c r="AP34" s="3126"/>
      <c r="AQ34" s="1873"/>
      <c r="AR34" s="1874">
        <v>2</v>
      </c>
      <c r="AS34" s="1873"/>
      <c r="AT34" s="1909"/>
      <c r="AU34" s="2865"/>
      <c r="AV34" s="2881"/>
      <c r="AW34" s="2873"/>
      <c r="AX34" s="2825"/>
      <c r="AY34" s="2733"/>
      <c r="AZ34" s="2306"/>
      <c r="BA34" s="1910"/>
      <c r="BB34" s="1928"/>
      <c r="BC34" s="1853"/>
      <c r="BD34" s="1854"/>
      <c r="BE34" s="1855">
        <f>3+2</f>
        <v>5</v>
      </c>
      <c r="BF34" s="1873"/>
      <c r="BG34" s="1816"/>
      <c r="BH34" s="1865"/>
      <c r="BI34" s="3642">
        <f>SUM(E34:AD37)</f>
        <v>480</v>
      </c>
      <c r="BJ34" s="3633">
        <f>SUM(E34:BD37)</f>
        <v>482</v>
      </c>
      <c r="BK34" s="1942">
        <v>6003</v>
      </c>
      <c r="BL34" s="1958" t="s">
        <v>533</v>
      </c>
      <c r="BM34" s="3630" t="s">
        <v>33</v>
      </c>
    </row>
    <row r="35" spans="1:65" ht="15.75" thickBot="1">
      <c r="A35" s="3724"/>
      <c r="B35" s="1694" t="s">
        <v>34</v>
      </c>
      <c r="C35" s="3679"/>
      <c r="D35" s="1705">
        <f t="shared" si="0"/>
        <v>0</v>
      </c>
      <c r="E35" s="1706"/>
      <c r="F35" s="1707"/>
      <c r="G35" s="1708"/>
      <c r="H35" s="1709"/>
      <c r="I35" s="1766"/>
      <c r="J35" s="2981"/>
      <c r="K35" s="1767"/>
      <c r="L35" s="1768"/>
      <c r="M35" s="3059"/>
      <c r="N35" s="3343"/>
      <c r="O35" s="1769"/>
      <c r="P35" s="1768"/>
      <c r="Q35" s="1770"/>
      <c r="R35" s="3122"/>
      <c r="S35" s="1771"/>
      <c r="T35" s="1772"/>
      <c r="U35" s="1834"/>
      <c r="V35" s="2890"/>
      <c r="W35" s="1835"/>
      <c r="X35" s="1836"/>
      <c r="Y35" s="2819"/>
      <c r="Z35" s="2728"/>
      <c r="AA35" s="2721"/>
      <c r="AB35" s="1837"/>
      <c r="AC35" s="1838"/>
      <c r="AD35" s="1839"/>
      <c r="AE35" s="1706"/>
      <c r="AF35" s="1707"/>
      <c r="AG35" s="1887"/>
      <c r="AH35" s="1888"/>
      <c r="AI35" s="1889"/>
      <c r="AJ35" s="2972"/>
      <c r="AK35" s="1890"/>
      <c r="AL35" s="3070"/>
      <c r="AM35" s="3349"/>
      <c r="AN35" s="1769"/>
      <c r="AO35" s="1770"/>
      <c r="AP35" s="3122"/>
      <c r="AQ35" s="1891"/>
      <c r="AR35" s="1892"/>
      <c r="AS35" s="1891"/>
      <c r="AT35" s="1920"/>
      <c r="AU35" s="2866"/>
      <c r="AV35" s="2882"/>
      <c r="AW35" s="2874"/>
      <c r="AX35" s="2826"/>
      <c r="AY35" s="2728"/>
      <c r="AZ35" s="2721"/>
      <c r="BA35" s="1921"/>
      <c r="BB35" s="1922"/>
      <c r="BC35" s="1923"/>
      <c r="BD35" s="1924"/>
      <c r="BE35" s="1947"/>
      <c r="BF35" s="1891"/>
      <c r="BG35" s="1948"/>
      <c r="BH35" s="1924"/>
      <c r="BI35" s="3643"/>
      <c r="BJ35" s="3634"/>
      <c r="BK35" s="1945">
        <v>6002</v>
      </c>
      <c r="BL35" s="1952" t="s">
        <v>532</v>
      </c>
      <c r="BM35" s="3630"/>
    </row>
    <row r="36" spans="1:65" ht="15.75" thickBot="1">
      <c r="A36" s="3724"/>
      <c r="B36" s="1694" t="s">
        <v>34</v>
      </c>
      <c r="C36" s="3679"/>
      <c r="D36" s="1705">
        <f t="shared" si="0"/>
        <v>0</v>
      </c>
      <c r="E36" s="1706"/>
      <c r="F36" s="1707"/>
      <c r="G36" s="1708"/>
      <c r="H36" s="1709"/>
      <c r="I36" s="1766"/>
      <c r="J36" s="2981"/>
      <c r="K36" s="1767"/>
      <c r="L36" s="1768"/>
      <c r="M36" s="3059"/>
      <c r="N36" s="3343"/>
      <c r="O36" s="1769"/>
      <c r="P36" s="1768"/>
      <c r="Q36" s="1770"/>
      <c r="R36" s="3122"/>
      <c r="S36" s="1771"/>
      <c r="T36" s="1772"/>
      <c r="U36" s="1834"/>
      <c r="V36" s="2890"/>
      <c r="W36" s="1835"/>
      <c r="X36" s="1836"/>
      <c r="Y36" s="2819"/>
      <c r="Z36" s="2728"/>
      <c r="AA36" s="2721"/>
      <c r="AB36" s="1837"/>
      <c r="AC36" s="1838"/>
      <c r="AD36" s="1839"/>
      <c r="AE36" s="1706"/>
      <c r="AF36" s="1707"/>
      <c r="AG36" s="1887"/>
      <c r="AH36" s="1888"/>
      <c r="AI36" s="1889"/>
      <c r="AJ36" s="2972"/>
      <c r="AK36" s="1890"/>
      <c r="AL36" s="3070"/>
      <c r="AM36" s="3349"/>
      <c r="AN36" s="1769"/>
      <c r="AO36" s="1770"/>
      <c r="AP36" s="3122"/>
      <c r="AQ36" s="1891"/>
      <c r="AR36" s="1892"/>
      <c r="AS36" s="1891"/>
      <c r="AT36" s="1920"/>
      <c r="AU36" s="2866"/>
      <c r="AV36" s="2882"/>
      <c r="AW36" s="2874"/>
      <c r="AX36" s="2826"/>
      <c r="AY36" s="2728"/>
      <c r="AZ36" s="2721"/>
      <c r="BA36" s="1921"/>
      <c r="BB36" s="1922"/>
      <c r="BC36" s="1923"/>
      <c r="BD36" s="1924"/>
      <c r="BE36" s="1947"/>
      <c r="BF36" s="1891"/>
      <c r="BG36" s="1948"/>
      <c r="BH36" s="1924"/>
      <c r="BI36" s="3643"/>
      <c r="BJ36" s="3634"/>
      <c r="BK36" s="1945"/>
      <c r="BL36" s="1952"/>
      <c r="BM36" s="3630"/>
    </row>
    <row r="37" spans="1:65" ht="15.75" thickBot="1">
      <c r="A37" s="3732"/>
      <c r="B37" s="1724" t="s">
        <v>34</v>
      </c>
      <c r="C37" s="3681"/>
      <c r="D37" s="1731">
        <f t="shared" ref="D37:D68" si="1">SUM(E37:BH37)</f>
        <v>0</v>
      </c>
      <c r="E37" s="1696"/>
      <c r="F37" s="1725"/>
      <c r="G37" s="1698"/>
      <c r="H37" s="1732"/>
      <c r="I37" s="1800"/>
      <c r="J37" s="2982"/>
      <c r="K37" s="1753"/>
      <c r="L37" s="1754"/>
      <c r="M37" s="3060"/>
      <c r="N37" s="3344"/>
      <c r="O37" s="1755"/>
      <c r="P37" s="1754"/>
      <c r="Q37" s="1775"/>
      <c r="R37" s="3127"/>
      <c r="S37" s="1757"/>
      <c r="T37" s="1758"/>
      <c r="U37" s="1821"/>
      <c r="V37" s="2891"/>
      <c r="W37" s="1822"/>
      <c r="X37" s="1823"/>
      <c r="Y37" s="2820"/>
      <c r="Z37" s="2734"/>
      <c r="AA37" s="2307"/>
      <c r="AB37" s="1856"/>
      <c r="AC37" s="1857"/>
      <c r="AD37" s="1858"/>
      <c r="AE37" s="1859"/>
      <c r="AF37" s="1697"/>
      <c r="AG37" s="1875"/>
      <c r="AH37" s="1895"/>
      <c r="AI37" s="1858"/>
      <c r="AJ37" s="2976"/>
      <c r="AK37" s="1896"/>
      <c r="AL37" s="3074"/>
      <c r="AM37" s="3351"/>
      <c r="AN37" s="1755"/>
      <c r="AO37" s="1775"/>
      <c r="AP37" s="3127"/>
      <c r="AQ37" s="1879"/>
      <c r="AR37" s="1880"/>
      <c r="AS37" s="1879"/>
      <c r="AT37" s="1912"/>
      <c r="AU37" s="2867"/>
      <c r="AV37" s="2883"/>
      <c r="AW37" s="2875"/>
      <c r="AX37" s="2827"/>
      <c r="AY37" s="2734"/>
      <c r="AZ37" s="2307"/>
      <c r="BA37" s="1913"/>
      <c r="BB37" s="1929"/>
      <c r="BC37" s="1857"/>
      <c r="BD37" s="1858"/>
      <c r="BE37" s="1859"/>
      <c r="BF37" s="1879"/>
      <c r="BG37" s="1822"/>
      <c r="BH37" s="1867"/>
      <c r="BI37" s="3644"/>
      <c r="BJ37" s="3635"/>
      <c r="BK37" s="1945"/>
      <c r="BL37" s="2094"/>
      <c r="BM37" s="3630"/>
    </row>
    <row r="38" spans="1:65" ht="15.75" thickBot="1">
      <c r="A38" s="3723">
        <v>46134</v>
      </c>
      <c r="B38" s="1688" t="s">
        <v>32</v>
      </c>
      <c r="C38" s="3678">
        <f>SUM(D38:D40)</f>
        <v>498</v>
      </c>
      <c r="D38" s="1689">
        <f t="shared" si="1"/>
        <v>498</v>
      </c>
      <c r="E38" s="1701"/>
      <c r="F38" s="1733"/>
      <c r="G38" s="1703"/>
      <c r="H38" s="1711"/>
      <c r="I38" s="1776"/>
      <c r="J38" s="2983"/>
      <c r="K38" s="1760"/>
      <c r="L38" s="1761"/>
      <c r="M38" s="3061"/>
      <c r="N38" s="3342"/>
      <c r="O38" s="1762"/>
      <c r="P38" s="1761"/>
      <c r="Q38" s="1801"/>
      <c r="R38" s="3130"/>
      <c r="S38" s="1764">
        <v>496</v>
      </c>
      <c r="T38" s="1765"/>
      <c r="U38" s="1827"/>
      <c r="V38" s="2892"/>
      <c r="W38" s="1828"/>
      <c r="X38" s="1829"/>
      <c r="Y38" s="2821"/>
      <c r="Z38" s="2730"/>
      <c r="AA38" s="2723"/>
      <c r="AB38" s="1830"/>
      <c r="AC38" s="1831"/>
      <c r="AD38" s="1832"/>
      <c r="AE38" s="1833"/>
      <c r="AF38" s="1702"/>
      <c r="AG38" s="1881"/>
      <c r="AH38" s="1882"/>
      <c r="AI38" s="1883"/>
      <c r="AJ38" s="2974"/>
      <c r="AK38" s="1884"/>
      <c r="AL38" s="3072"/>
      <c r="AM38" s="3348"/>
      <c r="AN38" s="1762"/>
      <c r="AO38" s="1763"/>
      <c r="AP38" s="3124"/>
      <c r="AQ38" s="1885"/>
      <c r="AR38" s="1886"/>
      <c r="AS38" s="1885"/>
      <c r="AT38" s="1915"/>
      <c r="AU38" s="2868"/>
      <c r="AV38" s="2884"/>
      <c r="AW38" s="2876"/>
      <c r="AX38" s="2828"/>
      <c r="AY38" s="2730"/>
      <c r="AZ38" s="2723"/>
      <c r="BA38" s="1916"/>
      <c r="BB38" s="1917"/>
      <c r="BC38" s="1918"/>
      <c r="BD38" s="1919"/>
      <c r="BE38" s="1833">
        <v>2</v>
      </c>
      <c r="BF38" s="1885"/>
      <c r="BG38" s="1946"/>
      <c r="BH38" s="1919"/>
      <c r="BI38" s="3633">
        <f>SUM(E38:AD40)</f>
        <v>496</v>
      </c>
      <c r="BJ38" s="3633">
        <f>SUM(E38:BD40)</f>
        <v>496</v>
      </c>
      <c r="BK38" s="1945">
        <v>6002</v>
      </c>
      <c r="BL38" s="2340" t="s">
        <v>532</v>
      </c>
      <c r="BM38" s="3629" t="s">
        <v>33</v>
      </c>
    </row>
    <row r="39" spans="1:65" ht="15.75" thickBot="1">
      <c r="A39" s="3724"/>
      <c r="B39" s="1694" t="s">
        <v>34</v>
      </c>
      <c r="C39" s="3679"/>
      <c r="D39" s="1705">
        <f t="shared" si="1"/>
        <v>0</v>
      </c>
      <c r="E39" s="1706"/>
      <c r="F39" s="1707"/>
      <c r="G39" s="1708"/>
      <c r="H39" s="1709"/>
      <c r="I39" s="1766"/>
      <c r="J39" s="2981"/>
      <c r="K39" s="1767"/>
      <c r="L39" s="1768"/>
      <c r="M39" s="3059"/>
      <c r="N39" s="3343"/>
      <c r="O39" s="1769"/>
      <c r="P39" s="1768"/>
      <c r="Q39" s="1770"/>
      <c r="R39" s="3122"/>
      <c r="S39" s="1771"/>
      <c r="T39" s="1772"/>
      <c r="U39" s="1834"/>
      <c r="V39" s="2890"/>
      <c r="W39" s="1835"/>
      <c r="X39" s="1836"/>
      <c r="Y39" s="2819"/>
      <c r="Z39" s="2728"/>
      <c r="AA39" s="2721"/>
      <c r="AB39" s="1837"/>
      <c r="AC39" s="1838"/>
      <c r="AD39" s="1839"/>
      <c r="AE39" s="1706"/>
      <c r="AF39" s="1707"/>
      <c r="AG39" s="1887"/>
      <c r="AH39" s="1888"/>
      <c r="AI39" s="1889"/>
      <c r="AJ39" s="2972"/>
      <c r="AK39" s="1890"/>
      <c r="AL39" s="3070"/>
      <c r="AM39" s="3349"/>
      <c r="AN39" s="1769"/>
      <c r="AO39" s="1770"/>
      <c r="AP39" s="3122"/>
      <c r="AQ39" s="1891"/>
      <c r="AR39" s="1892"/>
      <c r="AS39" s="1891"/>
      <c r="AT39" s="1920"/>
      <c r="AU39" s="2866"/>
      <c r="AV39" s="2882"/>
      <c r="AW39" s="2874"/>
      <c r="AX39" s="2826"/>
      <c r="AY39" s="2728"/>
      <c r="AZ39" s="2721"/>
      <c r="BA39" s="1921"/>
      <c r="BB39" s="1922"/>
      <c r="BC39" s="1923"/>
      <c r="BD39" s="1924"/>
      <c r="BE39" s="1947"/>
      <c r="BF39" s="1891"/>
      <c r="BG39" s="1948"/>
      <c r="BH39" s="1924"/>
      <c r="BI39" s="3634"/>
      <c r="BJ39" s="3634"/>
      <c r="BK39" s="1945"/>
      <c r="BL39" s="1952"/>
      <c r="BM39" s="3630"/>
    </row>
    <row r="40" spans="1:65" ht="15.75" thickBot="1">
      <c r="A40" s="3724"/>
      <c r="B40" s="1694" t="s">
        <v>34</v>
      </c>
      <c r="C40" s="3679"/>
      <c r="D40" s="1734">
        <f t="shared" si="1"/>
        <v>0</v>
      </c>
      <c r="E40" s="1735"/>
      <c r="F40" s="1736"/>
      <c r="G40" s="1717"/>
      <c r="H40" s="1718"/>
      <c r="I40" s="1785"/>
      <c r="J40" s="2984"/>
      <c r="K40" s="1802"/>
      <c r="L40" s="1803"/>
      <c r="M40" s="3068"/>
      <c r="N40" s="3345"/>
      <c r="O40" s="1804"/>
      <c r="P40" s="1803"/>
      <c r="Q40" s="1805"/>
      <c r="R40" s="3131"/>
      <c r="S40" s="1789"/>
      <c r="T40" s="1790"/>
      <c r="U40" s="1840"/>
      <c r="V40" s="2893"/>
      <c r="W40" s="1841"/>
      <c r="X40" s="1842"/>
      <c r="Y40" s="2822"/>
      <c r="Z40" s="2731"/>
      <c r="AA40" s="2724"/>
      <c r="AB40" s="1843"/>
      <c r="AC40" s="1860"/>
      <c r="AD40" s="1861"/>
      <c r="AE40" s="1715"/>
      <c r="AF40" s="1716"/>
      <c r="AG40" s="1897"/>
      <c r="AH40" s="1898"/>
      <c r="AI40" s="1899"/>
      <c r="AJ40" s="2977"/>
      <c r="AK40" s="1900"/>
      <c r="AL40" s="3075"/>
      <c r="AM40" s="3353"/>
      <c r="AN40" s="1804"/>
      <c r="AO40" s="1788"/>
      <c r="AP40" s="3128"/>
      <c r="AQ40" s="1901"/>
      <c r="AR40" s="1902"/>
      <c r="AS40" s="1901"/>
      <c r="AT40" s="1925"/>
      <c r="AU40" s="2869"/>
      <c r="AV40" s="2885"/>
      <c r="AW40" s="2877"/>
      <c r="AX40" s="2829"/>
      <c r="AY40" s="2731"/>
      <c r="AZ40" s="2724"/>
      <c r="BA40" s="1926"/>
      <c r="BB40" s="1927"/>
      <c r="BC40" s="1844"/>
      <c r="BD40" s="1845"/>
      <c r="BE40" s="1715"/>
      <c r="BF40" s="1901"/>
      <c r="BG40" s="1949"/>
      <c r="BH40" s="1845"/>
      <c r="BI40" s="3634"/>
      <c r="BJ40" s="3634"/>
      <c r="BK40" s="1945"/>
      <c r="BL40" s="2094"/>
      <c r="BM40" s="3631"/>
    </row>
    <row r="41" spans="1:65">
      <c r="A41" s="3723">
        <v>46135</v>
      </c>
      <c r="B41" s="1688" t="s">
        <v>32</v>
      </c>
      <c r="C41" s="3711">
        <f>SUM(D41:D44)</f>
        <v>242</v>
      </c>
      <c r="D41" s="1719">
        <f t="shared" si="1"/>
        <v>242</v>
      </c>
      <c r="E41" s="1737"/>
      <c r="F41" s="1727"/>
      <c r="G41" s="1692"/>
      <c r="H41" s="1713"/>
      <c r="I41" s="1782"/>
      <c r="J41" s="2980"/>
      <c r="K41" s="1783"/>
      <c r="L41" s="1747"/>
      <c r="M41" s="3058"/>
      <c r="N41" s="3192"/>
      <c r="O41" s="1692"/>
      <c r="P41" s="1806"/>
      <c r="Q41" s="1807"/>
      <c r="R41" s="3132"/>
      <c r="S41" s="1750">
        <v>240</v>
      </c>
      <c r="T41" s="1751"/>
      <c r="U41" s="1862"/>
      <c r="V41" s="2889"/>
      <c r="W41" s="1863"/>
      <c r="X41" s="1817"/>
      <c r="Y41" s="2818"/>
      <c r="Z41" s="2727"/>
      <c r="AA41" s="2720"/>
      <c r="AB41" s="1818"/>
      <c r="AC41" s="1864"/>
      <c r="AD41" s="1865"/>
      <c r="AE41" s="1737"/>
      <c r="AF41" s="1727"/>
      <c r="AG41" s="1869"/>
      <c r="AH41" s="1904"/>
      <c r="AI41" s="1905"/>
      <c r="AJ41" s="2979"/>
      <c r="AK41" s="1894"/>
      <c r="AL41" s="3073"/>
      <c r="AM41" s="3350"/>
      <c r="AN41" s="1906"/>
      <c r="AO41" s="1907"/>
      <c r="AP41" s="3134"/>
      <c r="AQ41" s="1908"/>
      <c r="AR41" s="1874"/>
      <c r="AS41" s="1908"/>
      <c r="AT41" s="1909"/>
      <c r="AU41" s="2871"/>
      <c r="AV41" s="2887"/>
      <c r="AW41" s="2879"/>
      <c r="AX41" s="2831"/>
      <c r="AY41" s="2727"/>
      <c r="AZ41" s="2720"/>
      <c r="BA41" s="1930"/>
      <c r="BB41" s="1931"/>
      <c r="BC41" s="1864"/>
      <c r="BD41" s="1865"/>
      <c r="BE41" s="1690">
        <v>2</v>
      </c>
      <c r="BF41" s="1873"/>
      <c r="BG41" s="1816"/>
      <c r="BH41" s="1956"/>
      <c r="BI41" s="3642">
        <f>SUM(E41:AD44)</f>
        <v>240</v>
      </c>
      <c r="BJ41" s="3633">
        <f>SUM(E41:BD44)</f>
        <v>240</v>
      </c>
      <c r="BK41" s="1942">
        <v>6002</v>
      </c>
      <c r="BL41" s="2340" t="s">
        <v>532</v>
      </c>
      <c r="BM41" s="3629" t="s">
        <v>33</v>
      </c>
    </row>
    <row r="42" spans="1:65" ht="15.75" thickBot="1">
      <c r="A42" s="3724"/>
      <c r="B42" s="1694" t="s">
        <v>34</v>
      </c>
      <c r="C42" s="3712"/>
      <c r="D42" s="1705">
        <f t="shared" si="1"/>
        <v>0</v>
      </c>
      <c r="E42" s="1706"/>
      <c r="F42" s="1707"/>
      <c r="G42" s="1708"/>
      <c r="H42" s="1709"/>
      <c r="I42" s="1766"/>
      <c r="J42" s="2981"/>
      <c r="K42" s="1767"/>
      <c r="L42" s="1768"/>
      <c r="M42" s="3059"/>
      <c r="N42" s="3343"/>
      <c r="O42" s="1769"/>
      <c r="P42" s="1768"/>
      <c r="Q42" s="1770"/>
      <c r="R42" s="3122"/>
      <c r="S42" s="1771"/>
      <c r="T42" s="1772"/>
      <c r="U42" s="1834"/>
      <c r="V42" s="2890"/>
      <c r="W42" s="1835"/>
      <c r="X42" s="1836"/>
      <c r="Y42" s="2819"/>
      <c r="Z42" s="2728"/>
      <c r="AA42" s="2721"/>
      <c r="AB42" s="1837"/>
      <c r="AC42" s="1838"/>
      <c r="AD42" s="1839"/>
      <c r="AE42" s="1706"/>
      <c r="AF42" s="1707"/>
      <c r="AG42" s="1887"/>
      <c r="AH42" s="1888"/>
      <c r="AI42" s="1889"/>
      <c r="AJ42" s="2972"/>
      <c r="AK42" s="1890"/>
      <c r="AL42" s="3070"/>
      <c r="AM42" s="3349"/>
      <c r="AN42" s="1769"/>
      <c r="AO42" s="1770"/>
      <c r="AP42" s="3122"/>
      <c r="AQ42" s="1891"/>
      <c r="AR42" s="1892"/>
      <c r="AS42" s="1891"/>
      <c r="AT42" s="1920"/>
      <c r="AU42" s="2866"/>
      <c r="AV42" s="2882"/>
      <c r="AW42" s="2874"/>
      <c r="AX42" s="2826"/>
      <c r="AY42" s="2728"/>
      <c r="AZ42" s="2721"/>
      <c r="BA42" s="1921"/>
      <c r="BB42" s="1922"/>
      <c r="BC42" s="1923"/>
      <c r="BD42" s="1924"/>
      <c r="BE42" s="1947"/>
      <c r="BF42" s="1891"/>
      <c r="BG42" s="1948"/>
      <c r="BH42" s="1924"/>
      <c r="BI42" s="3643"/>
      <c r="BJ42" s="3634"/>
      <c r="BK42" s="1945"/>
      <c r="BL42" s="1952"/>
      <c r="BM42" s="3630"/>
    </row>
    <row r="43" spans="1:65" ht="15.75" thickBot="1">
      <c r="A43" s="3724"/>
      <c r="B43" s="1694" t="s">
        <v>34</v>
      </c>
      <c r="C43" s="3712"/>
      <c r="D43" s="1705">
        <f t="shared" si="1"/>
        <v>0</v>
      </c>
      <c r="E43" s="1706"/>
      <c r="F43" s="1707"/>
      <c r="G43" s="1708"/>
      <c r="H43" s="1709"/>
      <c r="I43" s="1766"/>
      <c r="J43" s="2981"/>
      <c r="K43" s="1767"/>
      <c r="L43" s="1768"/>
      <c r="M43" s="3059"/>
      <c r="N43" s="3343"/>
      <c r="O43" s="1769"/>
      <c r="P43" s="1768"/>
      <c r="Q43" s="1770"/>
      <c r="R43" s="3122"/>
      <c r="S43" s="1771"/>
      <c r="T43" s="1772"/>
      <c r="U43" s="1834"/>
      <c r="V43" s="2890"/>
      <c r="W43" s="1835"/>
      <c r="X43" s="1836"/>
      <c r="Y43" s="2819"/>
      <c r="Z43" s="2728"/>
      <c r="AA43" s="2721"/>
      <c r="AB43" s="1837"/>
      <c r="AC43" s="1838"/>
      <c r="AD43" s="1839"/>
      <c r="AE43" s="1706"/>
      <c r="AF43" s="1707"/>
      <c r="AG43" s="1887"/>
      <c r="AH43" s="1888"/>
      <c r="AI43" s="1889"/>
      <c r="AJ43" s="2972"/>
      <c r="AK43" s="1890"/>
      <c r="AL43" s="3070"/>
      <c r="AM43" s="3349"/>
      <c r="AN43" s="1769"/>
      <c r="AO43" s="1770"/>
      <c r="AP43" s="3122"/>
      <c r="AQ43" s="1891"/>
      <c r="AR43" s="1892"/>
      <c r="AS43" s="1891"/>
      <c r="AT43" s="1920"/>
      <c r="AU43" s="2866"/>
      <c r="AV43" s="2882"/>
      <c r="AW43" s="2874"/>
      <c r="AX43" s="2826"/>
      <c r="AY43" s="2728"/>
      <c r="AZ43" s="2721"/>
      <c r="BA43" s="1921"/>
      <c r="BB43" s="1922"/>
      <c r="BC43" s="1923"/>
      <c r="BD43" s="1924"/>
      <c r="BE43" s="1947"/>
      <c r="BF43" s="1891"/>
      <c r="BG43" s="1948"/>
      <c r="BH43" s="1924"/>
      <c r="BI43" s="3643"/>
      <c r="BJ43" s="3634"/>
      <c r="BK43" s="1945"/>
      <c r="BL43" s="1952"/>
      <c r="BM43" s="3630"/>
    </row>
    <row r="44" spans="1:65" ht="15.75" thickBot="1">
      <c r="A44" s="3724"/>
      <c r="B44" s="1724" t="s">
        <v>34</v>
      </c>
      <c r="C44" s="3728"/>
      <c r="D44" s="1731">
        <f t="shared" si="1"/>
        <v>0</v>
      </c>
      <c r="E44" s="1696"/>
      <c r="F44" s="1725"/>
      <c r="G44" s="1698"/>
      <c r="H44" s="1732"/>
      <c r="I44" s="1766"/>
      <c r="J44" s="2982"/>
      <c r="K44" s="1798"/>
      <c r="L44" s="1754"/>
      <c r="M44" s="3060"/>
      <c r="N44" s="3344"/>
      <c r="O44" s="1698"/>
      <c r="P44" s="1754"/>
      <c r="Q44" s="1808"/>
      <c r="R44" s="3133"/>
      <c r="S44" s="1757"/>
      <c r="T44" s="1758"/>
      <c r="U44" s="1821"/>
      <c r="V44" s="2891"/>
      <c r="W44" s="1822"/>
      <c r="X44" s="1823"/>
      <c r="Y44" s="2820"/>
      <c r="Z44" s="2729"/>
      <c r="AA44" s="2722"/>
      <c r="AB44" s="1824"/>
      <c r="AC44" s="1866"/>
      <c r="AD44" s="1867"/>
      <c r="AE44" s="1696"/>
      <c r="AF44" s="1697"/>
      <c r="AG44" s="1875"/>
      <c r="AH44" s="1895"/>
      <c r="AI44" s="1858"/>
      <c r="AJ44" s="2976"/>
      <c r="AK44" s="1896"/>
      <c r="AL44" s="3074"/>
      <c r="AM44" s="3351"/>
      <c r="AN44" s="1755"/>
      <c r="AO44" s="1775"/>
      <c r="AP44" s="3127"/>
      <c r="AQ44" s="1879"/>
      <c r="AR44" s="1880"/>
      <c r="AS44" s="1879"/>
      <c r="AT44" s="1912"/>
      <c r="AU44" s="2867"/>
      <c r="AV44" s="2883"/>
      <c r="AW44" s="2875"/>
      <c r="AX44" s="2827"/>
      <c r="AY44" s="2729"/>
      <c r="AZ44" s="2722"/>
      <c r="BA44" s="1913"/>
      <c r="BB44" s="1914"/>
      <c r="BC44" s="1866"/>
      <c r="BD44" s="1867"/>
      <c r="BE44" s="1943"/>
      <c r="BF44" s="1879"/>
      <c r="BG44" s="1822"/>
      <c r="BH44" s="1867"/>
      <c r="BI44" s="3644"/>
      <c r="BJ44" s="3635"/>
      <c r="BK44" s="1945"/>
      <c r="BL44" s="2485"/>
      <c r="BM44" s="3631"/>
    </row>
    <row r="45" spans="1:65" ht="15" customHeight="1" thickBot="1">
      <c r="A45" s="3725">
        <v>46136</v>
      </c>
      <c r="B45" s="1694" t="s">
        <v>32</v>
      </c>
      <c r="C45" s="3678">
        <f>SUM(D45:D48)</f>
        <v>530</v>
      </c>
      <c r="D45" s="1705">
        <f t="shared" si="1"/>
        <v>530</v>
      </c>
      <c r="E45" s="1706"/>
      <c r="F45" s="1707"/>
      <c r="G45" s="1708"/>
      <c r="H45" s="1709"/>
      <c r="I45" s="1766"/>
      <c r="J45" s="2981"/>
      <c r="K45" s="1767"/>
      <c r="L45" s="1768"/>
      <c r="M45" s="3059"/>
      <c r="N45" s="3343"/>
      <c r="O45" s="1708"/>
      <c r="P45" s="1768"/>
      <c r="Q45" s="1770"/>
      <c r="R45" s="3122"/>
      <c r="S45" s="1771">
        <v>528</v>
      </c>
      <c r="T45" s="1772"/>
      <c r="U45" s="1834"/>
      <c r="V45" s="2890"/>
      <c r="W45" s="1835"/>
      <c r="X45" s="1836"/>
      <c r="Y45" s="2819"/>
      <c r="Z45" s="2728"/>
      <c r="AA45" s="2721"/>
      <c r="AB45" s="1837"/>
      <c r="AC45" s="1838"/>
      <c r="AD45" s="1839"/>
      <c r="AE45" s="1706"/>
      <c r="AF45" s="1707"/>
      <c r="AG45" s="1887"/>
      <c r="AH45" s="1888"/>
      <c r="AI45" s="1889"/>
      <c r="AJ45" s="2972"/>
      <c r="AK45" s="1890"/>
      <c r="AL45" s="3070"/>
      <c r="AM45" s="3349"/>
      <c r="AN45" s="1769"/>
      <c r="AO45" s="1773"/>
      <c r="AP45" s="3125"/>
      <c r="AQ45" s="1891"/>
      <c r="AR45" s="1892"/>
      <c r="AS45" s="1891"/>
      <c r="AT45" s="1920"/>
      <c r="AU45" s="2866"/>
      <c r="AV45" s="2882"/>
      <c r="AW45" s="2874"/>
      <c r="AX45" s="2826"/>
      <c r="AY45" s="2728"/>
      <c r="AZ45" s="2721"/>
      <c r="BA45" s="1921"/>
      <c r="BB45" s="1922"/>
      <c r="BC45" s="1923"/>
      <c r="BD45" s="1924"/>
      <c r="BE45" s="1947">
        <v>2</v>
      </c>
      <c r="BF45" s="1873"/>
      <c r="BG45" s="1948"/>
      <c r="BH45" s="1924"/>
      <c r="BI45" s="3633">
        <f>SUM(E45:AD48)</f>
        <v>528</v>
      </c>
      <c r="BJ45" s="3633">
        <f>SUM(E45:BD48)</f>
        <v>528</v>
      </c>
      <c r="BK45" s="1945">
        <v>6002</v>
      </c>
      <c r="BL45" s="1952" t="s">
        <v>532</v>
      </c>
      <c r="BM45" s="3630" t="s">
        <v>33</v>
      </c>
    </row>
    <row r="46" spans="1:65" ht="15.75" thickBot="1">
      <c r="A46" s="3726"/>
      <c r="B46" s="1694" t="s">
        <v>34</v>
      </c>
      <c r="C46" s="3679"/>
      <c r="D46" s="1705">
        <f t="shared" si="1"/>
        <v>0</v>
      </c>
      <c r="E46" s="1706"/>
      <c r="F46" s="1707"/>
      <c r="G46" s="1708"/>
      <c r="H46" s="1709"/>
      <c r="I46" s="1766"/>
      <c r="J46" s="2981"/>
      <c r="K46" s="1767"/>
      <c r="L46" s="1768"/>
      <c r="M46" s="3059"/>
      <c r="N46" s="3343"/>
      <c r="O46" s="1769"/>
      <c r="P46" s="1768"/>
      <c r="Q46" s="1770"/>
      <c r="R46" s="3122"/>
      <c r="S46" s="1771"/>
      <c r="T46" s="1772"/>
      <c r="U46" s="1834"/>
      <c r="V46" s="2890"/>
      <c r="W46" s="1835"/>
      <c r="X46" s="1836"/>
      <c r="Y46" s="2819"/>
      <c r="Z46" s="2728"/>
      <c r="AA46" s="2721"/>
      <c r="AB46" s="1837"/>
      <c r="AC46" s="1838"/>
      <c r="AD46" s="1839"/>
      <c r="AE46" s="1706"/>
      <c r="AF46" s="1707"/>
      <c r="AG46" s="1887"/>
      <c r="AH46" s="1888"/>
      <c r="AI46" s="1889"/>
      <c r="AJ46" s="2972"/>
      <c r="AK46" s="1890"/>
      <c r="AL46" s="3070"/>
      <c r="AM46" s="3349"/>
      <c r="AN46" s="1769"/>
      <c r="AO46" s="1770"/>
      <c r="AP46" s="3122"/>
      <c r="AQ46" s="1891"/>
      <c r="AR46" s="1892"/>
      <c r="AS46" s="1891"/>
      <c r="AT46" s="1920"/>
      <c r="AU46" s="2866"/>
      <c r="AV46" s="2882"/>
      <c r="AW46" s="2874"/>
      <c r="AX46" s="2826"/>
      <c r="AY46" s="2728"/>
      <c r="AZ46" s="2721"/>
      <c r="BA46" s="1921"/>
      <c r="BB46" s="1922"/>
      <c r="BC46" s="1923"/>
      <c r="BD46" s="1924"/>
      <c r="BE46" s="1947"/>
      <c r="BF46" s="1891"/>
      <c r="BG46" s="1948"/>
      <c r="BH46" s="1924"/>
      <c r="BI46" s="3634"/>
      <c r="BJ46" s="3634"/>
      <c r="BK46" s="1945"/>
      <c r="BL46" s="1952"/>
      <c r="BM46" s="3630"/>
    </row>
    <row r="47" spans="1:65" ht="15.75" thickBot="1">
      <c r="A47" s="3726"/>
      <c r="B47" s="1694" t="s">
        <v>34</v>
      </c>
      <c r="C47" s="3679"/>
      <c r="D47" s="1705">
        <f t="shared" si="1"/>
        <v>0</v>
      </c>
      <c r="E47" s="1706"/>
      <c r="F47" s="1707"/>
      <c r="G47" s="1708"/>
      <c r="H47" s="1709"/>
      <c r="I47" s="1766"/>
      <c r="J47" s="2981"/>
      <c r="K47" s="1767"/>
      <c r="L47" s="1768"/>
      <c r="M47" s="3059"/>
      <c r="N47" s="3343"/>
      <c r="O47" s="1769"/>
      <c r="P47" s="1768"/>
      <c r="Q47" s="1770"/>
      <c r="R47" s="3122"/>
      <c r="S47" s="1771"/>
      <c r="T47" s="1772"/>
      <c r="U47" s="1834"/>
      <c r="V47" s="2890"/>
      <c r="W47" s="1835"/>
      <c r="X47" s="1836"/>
      <c r="Y47" s="2819"/>
      <c r="Z47" s="2728"/>
      <c r="AA47" s="2721"/>
      <c r="AB47" s="1837"/>
      <c r="AC47" s="1838"/>
      <c r="AD47" s="1839"/>
      <c r="AE47" s="1706"/>
      <c r="AF47" s="1707"/>
      <c r="AG47" s="1887"/>
      <c r="AH47" s="1888"/>
      <c r="AI47" s="1889"/>
      <c r="AJ47" s="2972"/>
      <c r="AK47" s="1890"/>
      <c r="AL47" s="3070"/>
      <c r="AM47" s="3349"/>
      <c r="AN47" s="1769"/>
      <c r="AO47" s="1770"/>
      <c r="AP47" s="3122"/>
      <c r="AQ47" s="1891"/>
      <c r="AR47" s="1892"/>
      <c r="AS47" s="1891"/>
      <c r="AT47" s="1920"/>
      <c r="AU47" s="2866"/>
      <c r="AV47" s="2882"/>
      <c r="AW47" s="2874"/>
      <c r="AX47" s="2826"/>
      <c r="AY47" s="2728"/>
      <c r="AZ47" s="2721"/>
      <c r="BA47" s="1921"/>
      <c r="BB47" s="1922"/>
      <c r="BC47" s="1923"/>
      <c r="BD47" s="1924"/>
      <c r="BE47" s="1947"/>
      <c r="BF47" s="1891"/>
      <c r="BG47" s="1948"/>
      <c r="BH47" s="1924"/>
      <c r="BI47" s="3634"/>
      <c r="BJ47" s="3634"/>
      <c r="BK47" s="1945"/>
      <c r="BL47" s="1952"/>
      <c r="BM47" s="3630"/>
    </row>
    <row r="48" spans="1:65" ht="15.75" customHeight="1" thickBot="1">
      <c r="A48" s="3727"/>
      <c r="B48" s="1694" t="s">
        <v>34</v>
      </c>
      <c r="C48" s="3679"/>
      <c r="D48" s="1705">
        <f t="shared" si="1"/>
        <v>0</v>
      </c>
      <c r="E48" s="1706"/>
      <c r="F48" s="1729"/>
      <c r="G48" s="1708"/>
      <c r="H48" s="1712"/>
      <c r="I48" s="1779"/>
      <c r="J48" s="2981"/>
      <c r="K48" s="1767"/>
      <c r="L48" s="1768"/>
      <c r="M48" s="3059"/>
      <c r="N48" s="3343"/>
      <c r="O48" s="1708"/>
      <c r="P48" s="1768"/>
      <c r="Q48" s="1770"/>
      <c r="R48" s="3122"/>
      <c r="S48" s="1771"/>
      <c r="T48" s="1772"/>
      <c r="U48" s="1834"/>
      <c r="V48" s="2890"/>
      <c r="W48" s="1835"/>
      <c r="X48" s="1836"/>
      <c r="Y48" s="2819"/>
      <c r="Z48" s="2728"/>
      <c r="AA48" s="2721"/>
      <c r="AB48" s="1837"/>
      <c r="AC48" s="1838"/>
      <c r="AD48" s="1839"/>
      <c r="AE48" s="1706"/>
      <c r="AF48" s="1707"/>
      <c r="AG48" s="1887"/>
      <c r="AH48" s="1888"/>
      <c r="AI48" s="1889"/>
      <c r="AJ48" s="2972"/>
      <c r="AK48" s="1890"/>
      <c r="AL48" s="3070"/>
      <c r="AM48" s="3349"/>
      <c r="AN48" s="1769"/>
      <c r="AO48" s="1773"/>
      <c r="AP48" s="3125"/>
      <c r="AQ48" s="1891"/>
      <c r="AR48" s="1892"/>
      <c r="AS48" s="1891"/>
      <c r="AT48" s="1920"/>
      <c r="AU48" s="2866"/>
      <c r="AV48" s="2882"/>
      <c r="AW48" s="2874"/>
      <c r="AX48" s="2826"/>
      <c r="AY48" s="2728"/>
      <c r="AZ48" s="2721"/>
      <c r="BA48" s="1921"/>
      <c r="BB48" s="1922"/>
      <c r="BC48" s="1923"/>
      <c r="BD48" s="1924"/>
      <c r="BE48" s="1947"/>
      <c r="BF48" s="1891"/>
      <c r="BG48" s="1948"/>
      <c r="BH48" s="1924"/>
      <c r="BI48" s="3634"/>
      <c r="BJ48" s="3635"/>
      <c r="BK48" s="1945"/>
      <c r="BL48" s="1952"/>
      <c r="BM48" s="3630"/>
    </row>
    <row r="49" spans="1:65" ht="15.75" thickBot="1">
      <c r="A49" s="3723">
        <v>46137</v>
      </c>
      <c r="B49" s="1688" t="s">
        <v>32</v>
      </c>
      <c r="C49" s="3678">
        <f>SUM(D49:D51)</f>
        <v>712</v>
      </c>
      <c r="D49" s="1689">
        <f t="shared" si="1"/>
        <v>501</v>
      </c>
      <c r="E49" s="1690"/>
      <c r="F49" s="1727"/>
      <c r="G49" s="1692"/>
      <c r="H49" s="1693"/>
      <c r="I49" s="1745"/>
      <c r="J49" s="2980"/>
      <c r="K49" s="1746"/>
      <c r="L49" s="1747"/>
      <c r="M49" s="3058"/>
      <c r="N49" s="3192"/>
      <c r="O49" s="1692"/>
      <c r="P49" s="1747"/>
      <c r="Q49" s="1749"/>
      <c r="R49" s="3121"/>
      <c r="S49" s="1750">
        <v>496</v>
      </c>
      <c r="T49" s="1751"/>
      <c r="U49" s="1815"/>
      <c r="V49" s="2889"/>
      <c r="W49" s="1816"/>
      <c r="X49" s="1817"/>
      <c r="Y49" s="2818"/>
      <c r="Z49" s="2727"/>
      <c r="AA49" s="2720"/>
      <c r="AB49" s="1818"/>
      <c r="AC49" s="1819"/>
      <c r="AD49" s="1820"/>
      <c r="AE49" s="1726"/>
      <c r="AF49" s="1691"/>
      <c r="AG49" s="1869"/>
      <c r="AH49" s="1893"/>
      <c r="AI49" s="1854"/>
      <c r="AJ49" s="2975"/>
      <c r="AK49" s="1894"/>
      <c r="AL49" s="3073"/>
      <c r="AM49" s="3350"/>
      <c r="AN49" s="1692"/>
      <c r="AO49" s="1774"/>
      <c r="AP49" s="3126"/>
      <c r="AQ49" s="1873"/>
      <c r="AR49" s="1874"/>
      <c r="AS49" s="1873"/>
      <c r="AT49" s="1909"/>
      <c r="AU49" s="2865"/>
      <c r="AV49" s="2881"/>
      <c r="AW49" s="2873"/>
      <c r="AX49" s="2825"/>
      <c r="AY49" s="2727"/>
      <c r="AZ49" s="2720"/>
      <c r="BA49" s="1910"/>
      <c r="BB49" s="1911"/>
      <c r="BC49" s="1864"/>
      <c r="BD49" s="1865"/>
      <c r="BE49" s="1726">
        <v>5</v>
      </c>
      <c r="BF49" s="1873"/>
      <c r="BG49" s="1940"/>
      <c r="BH49" s="1865"/>
      <c r="BI49" s="3633">
        <f>SUM(E49:AD51)</f>
        <v>704</v>
      </c>
      <c r="BJ49" s="3633">
        <f>SUM(E49:BD51)</f>
        <v>704</v>
      </c>
      <c r="BK49" s="1945">
        <v>6002</v>
      </c>
      <c r="BL49" s="1952" t="s">
        <v>532</v>
      </c>
      <c r="BM49" s="3629" t="s">
        <v>33</v>
      </c>
    </row>
    <row r="50" spans="1:65" ht="15.75" thickBot="1">
      <c r="A50" s="3724"/>
      <c r="B50" s="1694" t="s">
        <v>34</v>
      </c>
      <c r="C50" s="3679"/>
      <c r="D50" s="1705">
        <f t="shared" si="1"/>
        <v>211</v>
      </c>
      <c r="E50" s="1706"/>
      <c r="F50" s="1707"/>
      <c r="G50" s="1708"/>
      <c r="H50" s="1709"/>
      <c r="I50" s="1766"/>
      <c r="J50" s="2981"/>
      <c r="K50" s="1767"/>
      <c r="L50" s="1768"/>
      <c r="M50" s="3059"/>
      <c r="N50" s="3343"/>
      <c r="O50" s="1769"/>
      <c r="P50" s="1768"/>
      <c r="Q50" s="1770"/>
      <c r="R50" s="3122"/>
      <c r="S50" s="1771">
        <v>208</v>
      </c>
      <c r="T50" s="1772"/>
      <c r="U50" s="1834"/>
      <c r="V50" s="2890"/>
      <c r="W50" s="1835"/>
      <c r="X50" s="1836"/>
      <c r="Y50" s="2819"/>
      <c r="Z50" s="2728"/>
      <c r="AA50" s="2721"/>
      <c r="AB50" s="1837"/>
      <c r="AC50" s="1838"/>
      <c r="AD50" s="1839"/>
      <c r="AE50" s="1706"/>
      <c r="AF50" s="1707"/>
      <c r="AG50" s="1887"/>
      <c r="AH50" s="1888"/>
      <c r="AI50" s="1889"/>
      <c r="AJ50" s="2972"/>
      <c r="AK50" s="1890"/>
      <c r="AL50" s="3070"/>
      <c r="AM50" s="3349"/>
      <c r="AN50" s="1769"/>
      <c r="AO50" s="1770"/>
      <c r="AP50" s="3122"/>
      <c r="AQ50" s="1891"/>
      <c r="AR50" s="1892"/>
      <c r="AS50" s="1891"/>
      <c r="AT50" s="1920"/>
      <c r="AU50" s="2866"/>
      <c r="AV50" s="2882"/>
      <c r="AW50" s="2874"/>
      <c r="AX50" s="2826"/>
      <c r="AY50" s="2728"/>
      <c r="AZ50" s="2721"/>
      <c r="BA50" s="1921"/>
      <c r="BB50" s="1922"/>
      <c r="BC50" s="1923"/>
      <c r="BD50" s="1924"/>
      <c r="BE50" s="1947">
        <v>3</v>
      </c>
      <c r="BF50" s="1891"/>
      <c r="BG50" s="1948"/>
      <c r="BH50" s="1924"/>
      <c r="BI50" s="3634"/>
      <c r="BJ50" s="3634"/>
      <c r="BK50" s="1945"/>
      <c r="BL50" s="1952"/>
      <c r="BM50" s="3630"/>
    </row>
    <row r="51" spans="1:65" ht="15.75" thickBot="1">
      <c r="A51" s="3724"/>
      <c r="B51" s="1724" t="s">
        <v>34</v>
      </c>
      <c r="C51" s="3679"/>
      <c r="D51" s="1705">
        <f t="shared" si="1"/>
        <v>0</v>
      </c>
      <c r="E51" s="1706"/>
      <c r="F51" s="1729"/>
      <c r="G51" s="1708"/>
      <c r="H51" s="1709"/>
      <c r="I51" s="1766"/>
      <c r="J51" s="2981"/>
      <c r="K51" s="1767"/>
      <c r="L51" s="1768"/>
      <c r="M51" s="3059"/>
      <c r="N51" s="3343"/>
      <c r="O51" s="1708"/>
      <c r="P51" s="1768"/>
      <c r="Q51" s="1770"/>
      <c r="R51" s="3122"/>
      <c r="S51" s="1771"/>
      <c r="T51" s="1772"/>
      <c r="U51" s="1834"/>
      <c r="V51" s="2890"/>
      <c r="W51" s="1835"/>
      <c r="X51" s="1836"/>
      <c r="Y51" s="2819"/>
      <c r="Z51" s="2728"/>
      <c r="AA51" s="2721"/>
      <c r="AB51" s="1837"/>
      <c r="AC51" s="1838"/>
      <c r="AD51" s="1839"/>
      <c r="AE51" s="1706"/>
      <c r="AF51" s="1707"/>
      <c r="AG51" s="1887"/>
      <c r="AH51" s="1888"/>
      <c r="AI51" s="1889"/>
      <c r="AJ51" s="2972"/>
      <c r="AK51" s="1890"/>
      <c r="AL51" s="3070"/>
      <c r="AM51" s="3349"/>
      <c r="AN51" s="1708"/>
      <c r="AO51" s="1773"/>
      <c r="AP51" s="3125"/>
      <c r="AQ51" s="1891"/>
      <c r="AR51" s="1892"/>
      <c r="AS51" s="1891"/>
      <c r="AT51" s="1920"/>
      <c r="AU51" s="2866"/>
      <c r="AV51" s="2882"/>
      <c r="AW51" s="2874"/>
      <c r="AX51" s="2826"/>
      <c r="AY51" s="2728"/>
      <c r="AZ51" s="2721"/>
      <c r="BA51" s="1921"/>
      <c r="BB51" s="1922"/>
      <c r="BC51" s="1923"/>
      <c r="BD51" s="1924"/>
      <c r="BE51" s="1947"/>
      <c r="BF51" s="1891"/>
      <c r="BG51" s="1948"/>
      <c r="BH51" s="1924"/>
      <c r="BI51" s="3634"/>
      <c r="BJ51" s="3635"/>
      <c r="BK51" s="1945"/>
      <c r="BL51" s="1952"/>
      <c r="BM51" s="3630"/>
    </row>
    <row r="52" spans="1:65" ht="15.75" thickBot="1">
      <c r="A52" s="3723">
        <v>46138</v>
      </c>
      <c r="B52" s="1688" t="s">
        <v>32</v>
      </c>
      <c r="C52" s="3678">
        <f>SUM(D52:D55)</f>
        <v>1088</v>
      </c>
      <c r="D52" s="1689">
        <f t="shared" si="1"/>
        <v>557</v>
      </c>
      <c r="E52" s="1690"/>
      <c r="F52" s="1727"/>
      <c r="G52" s="1692"/>
      <c r="H52" s="1693"/>
      <c r="I52" s="1745"/>
      <c r="J52" s="2980"/>
      <c r="K52" s="1746"/>
      <c r="L52" s="1747"/>
      <c r="M52" s="3058"/>
      <c r="N52" s="3192"/>
      <c r="O52" s="1692"/>
      <c r="P52" s="1747"/>
      <c r="Q52" s="1749"/>
      <c r="R52" s="3121"/>
      <c r="S52" s="1750">
        <f>192+352</f>
        <v>544</v>
      </c>
      <c r="T52" s="1751"/>
      <c r="U52" s="1815"/>
      <c r="V52" s="2889"/>
      <c r="W52" s="1816"/>
      <c r="X52" s="1817"/>
      <c r="Y52" s="2818"/>
      <c r="Z52" s="2727"/>
      <c r="AA52" s="2720"/>
      <c r="AB52" s="1818"/>
      <c r="AC52" s="1819"/>
      <c r="AD52" s="1820"/>
      <c r="AE52" s="1726"/>
      <c r="AF52" s="1691"/>
      <c r="AG52" s="1869"/>
      <c r="AH52" s="1893"/>
      <c r="AI52" s="1854"/>
      <c r="AJ52" s="2975"/>
      <c r="AK52" s="1894"/>
      <c r="AL52" s="3073"/>
      <c r="AM52" s="3350"/>
      <c r="AN52" s="1692"/>
      <c r="AO52" s="1774"/>
      <c r="AP52" s="3126"/>
      <c r="AQ52" s="1873"/>
      <c r="AR52" s="1874">
        <v>9</v>
      </c>
      <c r="AS52" s="1873"/>
      <c r="AT52" s="1909"/>
      <c r="AU52" s="2865"/>
      <c r="AV52" s="2881"/>
      <c r="AW52" s="2873"/>
      <c r="AX52" s="2825"/>
      <c r="AY52" s="2727"/>
      <c r="AZ52" s="2720"/>
      <c r="BA52" s="1910"/>
      <c r="BB52" s="1911"/>
      <c r="BC52" s="1864"/>
      <c r="BD52" s="1865"/>
      <c r="BE52" s="1726">
        <v>4</v>
      </c>
      <c r="BF52" s="1873"/>
      <c r="BG52" s="1940"/>
      <c r="BH52" s="1865"/>
      <c r="BI52" s="3633">
        <f>SUM(E52:AD55)</f>
        <v>1072</v>
      </c>
      <c r="BJ52" s="3634">
        <f>SUM(E52:BD55)</f>
        <v>1084</v>
      </c>
      <c r="BK52" s="1945">
        <v>6002</v>
      </c>
      <c r="BL52" s="1952" t="s">
        <v>646</v>
      </c>
      <c r="BM52" s="3629" t="s">
        <v>33</v>
      </c>
    </row>
    <row r="53" spans="1:65" ht="15.75" thickBot="1">
      <c r="A53" s="3724"/>
      <c r="B53" s="1694" t="s">
        <v>34</v>
      </c>
      <c r="C53" s="3679"/>
      <c r="D53" s="1705">
        <f t="shared" si="1"/>
        <v>531</v>
      </c>
      <c r="E53" s="1706"/>
      <c r="F53" s="1707"/>
      <c r="G53" s="1708"/>
      <c r="H53" s="1709"/>
      <c r="I53" s="1766"/>
      <c r="J53" s="2981"/>
      <c r="K53" s="1767"/>
      <c r="L53" s="1768"/>
      <c r="M53" s="3059"/>
      <c r="N53" s="3343"/>
      <c r="O53" s="1769"/>
      <c r="P53" s="1768"/>
      <c r="Q53" s="1770"/>
      <c r="R53" s="3122"/>
      <c r="S53" s="1771">
        <v>528</v>
      </c>
      <c r="T53" s="1772"/>
      <c r="U53" s="1834"/>
      <c r="V53" s="2890"/>
      <c r="W53" s="1835"/>
      <c r="X53" s="1836"/>
      <c r="Y53" s="2819"/>
      <c r="Z53" s="2728"/>
      <c r="AA53" s="2721"/>
      <c r="AB53" s="1837"/>
      <c r="AC53" s="1838"/>
      <c r="AD53" s="1839"/>
      <c r="AE53" s="1706"/>
      <c r="AF53" s="1707"/>
      <c r="AG53" s="1887"/>
      <c r="AH53" s="1888"/>
      <c r="AI53" s="1889"/>
      <c r="AJ53" s="2972"/>
      <c r="AK53" s="1890"/>
      <c r="AL53" s="3070"/>
      <c r="AM53" s="3349"/>
      <c r="AN53" s="1769"/>
      <c r="AO53" s="1770"/>
      <c r="AP53" s="3122"/>
      <c r="AQ53" s="1891"/>
      <c r="AR53" s="1892">
        <v>3</v>
      </c>
      <c r="AS53" s="1891"/>
      <c r="AT53" s="1920"/>
      <c r="AU53" s="2866"/>
      <c r="AV53" s="2882"/>
      <c r="AW53" s="2874"/>
      <c r="AX53" s="2826"/>
      <c r="AY53" s="2728"/>
      <c r="AZ53" s="2721"/>
      <c r="BA53" s="1921"/>
      <c r="BB53" s="1922"/>
      <c r="BC53" s="1923"/>
      <c r="BD53" s="1924"/>
      <c r="BE53" s="1947"/>
      <c r="BF53" s="1891"/>
      <c r="BG53" s="1948"/>
      <c r="BH53" s="1924"/>
      <c r="BI53" s="3634"/>
      <c r="BJ53" s="3634"/>
      <c r="BK53" s="1945"/>
      <c r="BL53" s="1952"/>
      <c r="BM53" s="3630"/>
    </row>
    <row r="54" spans="1:65" ht="15.75" thickBot="1">
      <c r="A54" s="3724"/>
      <c r="B54" s="1694" t="s">
        <v>34</v>
      </c>
      <c r="C54" s="3679"/>
      <c r="D54" s="1705">
        <f t="shared" si="1"/>
        <v>0</v>
      </c>
      <c r="E54" s="1706"/>
      <c r="F54" s="1707"/>
      <c r="G54" s="1708"/>
      <c r="H54" s="1709"/>
      <c r="I54" s="1766"/>
      <c r="J54" s="2981"/>
      <c r="K54" s="1767"/>
      <c r="L54" s="1768"/>
      <c r="M54" s="3059"/>
      <c r="N54" s="3343"/>
      <c r="O54" s="1769"/>
      <c r="P54" s="1768"/>
      <c r="Q54" s="1770"/>
      <c r="R54" s="3122"/>
      <c r="S54" s="1771"/>
      <c r="T54" s="1772"/>
      <c r="U54" s="1834"/>
      <c r="V54" s="2890"/>
      <c r="W54" s="1835"/>
      <c r="X54" s="1836"/>
      <c r="Y54" s="2819"/>
      <c r="Z54" s="2728"/>
      <c r="AA54" s="2721"/>
      <c r="AB54" s="1837"/>
      <c r="AC54" s="1838"/>
      <c r="AD54" s="1839"/>
      <c r="AE54" s="1706"/>
      <c r="AF54" s="1707"/>
      <c r="AG54" s="1887"/>
      <c r="AH54" s="1888"/>
      <c r="AI54" s="1889"/>
      <c r="AJ54" s="2972"/>
      <c r="AK54" s="1890"/>
      <c r="AL54" s="3070"/>
      <c r="AM54" s="3349"/>
      <c r="AN54" s="1769"/>
      <c r="AO54" s="1770"/>
      <c r="AP54" s="3122"/>
      <c r="AQ54" s="1891"/>
      <c r="AR54" s="1892"/>
      <c r="AS54" s="1891"/>
      <c r="AT54" s="1920"/>
      <c r="AU54" s="2866"/>
      <c r="AV54" s="2882"/>
      <c r="AW54" s="2874"/>
      <c r="AX54" s="2826"/>
      <c r="AY54" s="2728"/>
      <c r="AZ54" s="2721"/>
      <c r="BA54" s="1921"/>
      <c r="BB54" s="1922"/>
      <c r="BC54" s="1923"/>
      <c r="BD54" s="1924"/>
      <c r="BE54" s="1947"/>
      <c r="BF54" s="1891"/>
      <c r="BG54" s="1948"/>
      <c r="BH54" s="1924"/>
      <c r="BI54" s="3634"/>
      <c r="BJ54" s="3634"/>
      <c r="BK54" s="1945"/>
      <c r="BL54" s="1952"/>
      <c r="BM54" s="3630"/>
    </row>
    <row r="55" spans="1:65" ht="15.75" thickBot="1">
      <c r="A55" s="3724"/>
      <c r="B55" s="1724" t="s">
        <v>34</v>
      </c>
      <c r="C55" s="3679"/>
      <c r="D55" s="1705">
        <f t="shared" si="1"/>
        <v>0</v>
      </c>
      <c r="E55" s="1706"/>
      <c r="F55" s="1729"/>
      <c r="G55" s="1708"/>
      <c r="H55" s="1709"/>
      <c r="I55" s="1766"/>
      <c r="J55" s="2981"/>
      <c r="K55" s="1767"/>
      <c r="L55" s="1768"/>
      <c r="M55" s="3059"/>
      <c r="N55" s="3343"/>
      <c r="O55" s="1708"/>
      <c r="P55" s="1768"/>
      <c r="Q55" s="1770"/>
      <c r="R55" s="3122"/>
      <c r="S55" s="1771"/>
      <c r="T55" s="1772"/>
      <c r="U55" s="1834"/>
      <c r="V55" s="2890"/>
      <c r="W55" s="1835"/>
      <c r="X55" s="1836"/>
      <c r="Y55" s="2819"/>
      <c r="Z55" s="2728"/>
      <c r="AA55" s="2721"/>
      <c r="AB55" s="1837"/>
      <c r="AC55" s="1838"/>
      <c r="AD55" s="1839"/>
      <c r="AE55" s="1706"/>
      <c r="AF55" s="1707"/>
      <c r="AG55" s="1887"/>
      <c r="AH55" s="1888"/>
      <c r="AI55" s="1889"/>
      <c r="AJ55" s="2972"/>
      <c r="AK55" s="1890"/>
      <c r="AL55" s="3070"/>
      <c r="AM55" s="3349"/>
      <c r="AN55" s="1708"/>
      <c r="AO55" s="1773"/>
      <c r="AP55" s="3125"/>
      <c r="AQ55" s="1891"/>
      <c r="AR55" s="1892"/>
      <c r="AS55" s="1891"/>
      <c r="AT55" s="1920"/>
      <c r="AU55" s="2866"/>
      <c r="AV55" s="2882"/>
      <c r="AW55" s="2874"/>
      <c r="AX55" s="2826"/>
      <c r="AY55" s="2728"/>
      <c r="AZ55" s="2721"/>
      <c r="BA55" s="1921"/>
      <c r="BB55" s="1922"/>
      <c r="BC55" s="1923"/>
      <c r="BD55" s="1924"/>
      <c r="BE55" s="1947"/>
      <c r="BF55" s="1891"/>
      <c r="BG55" s="1948"/>
      <c r="BH55" s="1924"/>
      <c r="BI55" s="3634"/>
      <c r="BJ55" s="3634"/>
      <c r="BK55" s="1945"/>
      <c r="BL55" s="1952"/>
      <c r="BM55" s="3630"/>
    </row>
    <row r="56" spans="1:65" ht="15.75" thickBot="1">
      <c r="A56" s="3723">
        <v>46139</v>
      </c>
      <c r="B56" s="1688" t="s">
        <v>32</v>
      </c>
      <c r="C56" s="3678">
        <f>SUM(D56:D58)</f>
        <v>1008</v>
      </c>
      <c r="D56" s="1689">
        <f t="shared" si="1"/>
        <v>534</v>
      </c>
      <c r="E56" s="1690"/>
      <c r="F56" s="1691"/>
      <c r="G56" s="1692"/>
      <c r="H56" s="1693"/>
      <c r="I56" s="1745"/>
      <c r="J56" s="2980"/>
      <c r="K56" s="1746"/>
      <c r="L56" s="1747"/>
      <c r="M56" s="3058"/>
      <c r="N56" s="3192"/>
      <c r="O56" s="1748"/>
      <c r="P56" s="1747"/>
      <c r="Q56" s="1749"/>
      <c r="R56" s="3121"/>
      <c r="S56" s="1750">
        <v>528</v>
      </c>
      <c r="T56" s="1751"/>
      <c r="U56" s="1815"/>
      <c r="V56" s="2889"/>
      <c r="W56" s="1816"/>
      <c r="X56" s="1817"/>
      <c r="Y56" s="2818"/>
      <c r="Z56" s="2727"/>
      <c r="AA56" s="2720"/>
      <c r="AB56" s="1818"/>
      <c r="AC56" s="1819"/>
      <c r="AD56" s="1820"/>
      <c r="AE56" s="1726"/>
      <c r="AF56" s="1691"/>
      <c r="AG56" s="1869"/>
      <c r="AH56" s="1893"/>
      <c r="AI56" s="1854"/>
      <c r="AJ56" s="2975"/>
      <c r="AK56" s="1894"/>
      <c r="AL56" s="3073"/>
      <c r="AM56" s="3350"/>
      <c r="AN56" s="1748"/>
      <c r="AO56" s="1774"/>
      <c r="AP56" s="3126"/>
      <c r="AQ56" s="1873"/>
      <c r="AR56" s="1874">
        <v>5</v>
      </c>
      <c r="AS56" s="1873"/>
      <c r="AT56" s="1909"/>
      <c r="AU56" s="2865"/>
      <c r="AV56" s="2881"/>
      <c r="AW56" s="2873"/>
      <c r="AX56" s="2825"/>
      <c r="AY56" s="2727"/>
      <c r="AZ56" s="2720"/>
      <c r="BA56" s="1910"/>
      <c r="BB56" s="1911"/>
      <c r="BC56" s="1864"/>
      <c r="BD56" s="1865"/>
      <c r="BE56" s="1726">
        <v>1</v>
      </c>
      <c r="BF56" s="1873"/>
      <c r="BG56" s="1940"/>
      <c r="BH56" s="1865"/>
      <c r="BI56" s="3633">
        <f>SUM(E56:AD58)</f>
        <v>992</v>
      </c>
      <c r="BJ56" s="3633">
        <f>SUM(E56:BD58)</f>
        <v>1004</v>
      </c>
      <c r="BK56" s="1945">
        <v>6002</v>
      </c>
      <c r="BL56" s="1952" t="s">
        <v>466</v>
      </c>
      <c r="BM56" s="3629" t="s">
        <v>33</v>
      </c>
    </row>
    <row r="57" spans="1:65" ht="15.75" thickBot="1">
      <c r="A57" s="3724"/>
      <c r="B57" s="1694" t="s">
        <v>34</v>
      </c>
      <c r="C57" s="3679"/>
      <c r="D57" s="1705">
        <f t="shared" si="1"/>
        <v>474</v>
      </c>
      <c r="E57" s="1706"/>
      <c r="F57" s="1707"/>
      <c r="G57" s="1708"/>
      <c r="H57" s="1709"/>
      <c r="I57" s="1766"/>
      <c r="J57" s="2981"/>
      <c r="K57" s="1767"/>
      <c r="L57" s="1768"/>
      <c r="M57" s="3059"/>
      <c r="N57" s="3343"/>
      <c r="O57" s="1769"/>
      <c r="P57" s="1768"/>
      <c r="Q57" s="1770"/>
      <c r="R57" s="3122"/>
      <c r="S57" s="1771">
        <v>464</v>
      </c>
      <c r="T57" s="1772"/>
      <c r="U57" s="1834"/>
      <c r="V57" s="2890"/>
      <c r="W57" s="1835"/>
      <c r="X57" s="1836"/>
      <c r="Y57" s="2819"/>
      <c r="Z57" s="2728"/>
      <c r="AA57" s="2721"/>
      <c r="AB57" s="1837"/>
      <c r="AC57" s="1838"/>
      <c r="AD57" s="1839"/>
      <c r="AE57" s="1706"/>
      <c r="AF57" s="1707"/>
      <c r="AG57" s="1887"/>
      <c r="AH57" s="1888"/>
      <c r="AI57" s="1889"/>
      <c r="AJ57" s="2972"/>
      <c r="AK57" s="1890"/>
      <c r="AL57" s="3070"/>
      <c r="AM57" s="3349"/>
      <c r="AN57" s="1769"/>
      <c r="AO57" s="1770"/>
      <c r="AP57" s="3122"/>
      <c r="AQ57" s="1891"/>
      <c r="AR57" s="1892">
        <v>7</v>
      </c>
      <c r="AS57" s="1891"/>
      <c r="AT57" s="1920"/>
      <c r="AU57" s="2866"/>
      <c r="AV57" s="2882"/>
      <c r="AW57" s="2874"/>
      <c r="AX57" s="2826"/>
      <c r="AY57" s="2728"/>
      <c r="AZ57" s="2721"/>
      <c r="BA57" s="1921"/>
      <c r="BB57" s="1922"/>
      <c r="BC57" s="1923"/>
      <c r="BD57" s="1924"/>
      <c r="BE57" s="1947">
        <v>3</v>
      </c>
      <c r="BF57" s="1891"/>
      <c r="BG57" s="1948"/>
      <c r="BH57" s="1924"/>
      <c r="BI57" s="3634"/>
      <c r="BJ57" s="3634"/>
      <c r="BK57" s="1945"/>
      <c r="BL57" s="2486"/>
      <c r="BM57" s="3630"/>
    </row>
    <row r="58" spans="1:65" ht="15.75" thickBot="1">
      <c r="A58" s="3724"/>
      <c r="B58" s="1724" t="s">
        <v>34</v>
      </c>
      <c r="C58" s="3679"/>
      <c r="D58" s="1705">
        <f t="shared" si="1"/>
        <v>0</v>
      </c>
      <c r="E58" s="1706"/>
      <c r="F58" s="1707"/>
      <c r="G58" s="1708"/>
      <c r="H58" s="1709"/>
      <c r="I58" s="1766"/>
      <c r="J58" s="2981"/>
      <c r="K58" s="1767"/>
      <c r="L58" s="1768"/>
      <c r="M58" s="3059"/>
      <c r="N58" s="3343"/>
      <c r="O58" s="1769"/>
      <c r="P58" s="1768"/>
      <c r="Q58" s="1770"/>
      <c r="R58" s="3122"/>
      <c r="S58" s="1771"/>
      <c r="T58" s="1772"/>
      <c r="U58" s="1834"/>
      <c r="V58" s="2890"/>
      <c r="W58" s="1835"/>
      <c r="X58" s="1836"/>
      <c r="Y58" s="2819"/>
      <c r="Z58" s="2728"/>
      <c r="AA58" s="2721"/>
      <c r="AB58" s="1837"/>
      <c r="AC58" s="1838"/>
      <c r="AD58" s="1839"/>
      <c r="AE58" s="1706"/>
      <c r="AF58" s="1707"/>
      <c r="AG58" s="1887"/>
      <c r="AH58" s="1888"/>
      <c r="AI58" s="1889"/>
      <c r="AJ58" s="2972"/>
      <c r="AK58" s="1890"/>
      <c r="AL58" s="3070"/>
      <c r="AM58" s="3349"/>
      <c r="AN58" s="1769"/>
      <c r="AO58" s="1773"/>
      <c r="AP58" s="3125"/>
      <c r="AQ58" s="1891"/>
      <c r="AR58" s="1892"/>
      <c r="AS58" s="1891"/>
      <c r="AT58" s="1920"/>
      <c r="AU58" s="2866"/>
      <c r="AV58" s="2882"/>
      <c r="AW58" s="2874"/>
      <c r="AX58" s="2826"/>
      <c r="AY58" s="2728"/>
      <c r="AZ58" s="2721"/>
      <c r="BA58" s="1921"/>
      <c r="BB58" s="1922"/>
      <c r="BC58" s="1923"/>
      <c r="BD58" s="1924"/>
      <c r="BE58" s="1947"/>
      <c r="BF58" s="1891"/>
      <c r="BG58" s="1948"/>
      <c r="BH58" s="1924"/>
      <c r="BI58" s="3634"/>
      <c r="BJ58" s="3634"/>
      <c r="BK58" s="1945"/>
      <c r="BL58" s="1952"/>
      <c r="BM58" s="3630"/>
    </row>
    <row r="59" spans="1:65" ht="15.75" thickBot="1">
      <c r="A59" s="3723">
        <v>46140</v>
      </c>
      <c r="B59" s="1738" t="s">
        <v>32</v>
      </c>
      <c r="C59" s="3678">
        <f>SUM(D59:D61)</f>
        <v>713</v>
      </c>
      <c r="D59" s="1689">
        <f t="shared" si="1"/>
        <v>421</v>
      </c>
      <c r="E59" s="1690"/>
      <c r="F59" s="1691"/>
      <c r="G59" s="1692"/>
      <c r="H59" s="1693"/>
      <c r="I59" s="1745"/>
      <c r="J59" s="2980"/>
      <c r="K59" s="1746"/>
      <c r="L59" s="1747"/>
      <c r="M59" s="3058"/>
      <c r="N59" s="3192"/>
      <c r="O59" s="1748"/>
      <c r="P59" s="1747"/>
      <c r="Q59" s="1749"/>
      <c r="R59" s="3121"/>
      <c r="S59" s="1771">
        <v>416</v>
      </c>
      <c r="T59" s="1751"/>
      <c r="U59" s="1815"/>
      <c r="V59" s="2889"/>
      <c r="W59" s="1816"/>
      <c r="X59" s="1817"/>
      <c r="Y59" s="2818"/>
      <c r="Z59" s="2727"/>
      <c r="AA59" s="2720"/>
      <c r="AB59" s="1818"/>
      <c r="AC59" s="1819"/>
      <c r="AD59" s="1820"/>
      <c r="AE59" s="1726"/>
      <c r="AF59" s="1691"/>
      <c r="AG59" s="1869"/>
      <c r="AH59" s="1893"/>
      <c r="AI59" s="1854"/>
      <c r="AJ59" s="2975"/>
      <c r="AK59" s="1894"/>
      <c r="AL59" s="3073"/>
      <c r="AM59" s="3350"/>
      <c r="AN59" s="1748"/>
      <c r="AO59" s="1749"/>
      <c r="AP59" s="3121"/>
      <c r="AQ59" s="1873"/>
      <c r="AR59" s="1874">
        <v>3</v>
      </c>
      <c r="AS59" s="1873"/>
      <c r="AT59" s="1909"/>
      <c r="AU59" s="2865"/>
      <c r="AV59" s="2881"/>
      <c r="AW59" s="2873"/>
      <c r="AX59" s="2825"/>
      <c r="AY59" s="2727"/>
      <c r="AZ59" s="2720"/>
      <c r="BA59" s="1910"/>
      <c r="BB59" s="1911"/>
      <c r="BC59" s="1864"/>
      <c r="BD59" s="1865"/>
      <c r="BE59" s="1726">
        <v>2</v>
      </c>
      <c r="BF59" s="1873"/>
      <c r="BG59" s="1940"/>
      <c r="BH59" s="1865"/>
      <c r="BI59" s="3633">
        <f>SUM(E59:AD61)</f>
        <v>704</v>
      </c>
      <c r="BJ59" s="3633">
        <f>SUM(E59:BD61)</f>
        <v>708</v>
      </c>
      <c r="BK59" s="1945">
        <v>6002</v>
      </c>
      <c r="BL59" s="1952" t="s">
        <v>466</v>
      </c>
      <c r="BM59" s="3629" t="s">
        <v>33</v>
      </c>
    </row>
    <row r="60" spans="1:65" ht="15.75" thickBot="1">
      <c r="A60" s="3724"/>
      <c r="B60" s="1694" t="s">
        <v>34</v>
      </c>
      <c r="C60" s="3679"/>
      <c r="D60" s="1705">
        <f t="shared" si="1"/>
        <v>292</v>
      </c>
      <c r="E60" s="1706"/>
      <c r="F60" s="1707"/>
      <c r="G60" s="1708"/>
      <c r="H60" s="1709"/>
      <c r="I60" s="1766"/>
      <c r="J60" s="2981"/>
      <c r="K60" s="1767"/>
      <c r="L60" s="1768"/>
      <c r="M60" s="3059"/>
      <c r="N60" s="3343"/>
      <c r="O60" s="1769"/>
      <c r="P60" s="1768"/>
      <c r="Q60" s="1770"/>
      <c r="R60" s="3122"/>
      <c r="S60" s="1771">
        <v>288</v>
      </c>
      <c r="T60" s="1772"/>
      <c r="U60" s="1834"/>
      <c r="V60" s="2890"/>
      <c r="W60" s="1835"/>
      <c r="X60" s="1836"/>
      <c r="Y60" s="2819"/>
      <c r="Z60" s="2728"/>
      <c r="AA60" s="2721"/>
      <c r="AB60" s="1837"/>
      <c r="AC60" s="1838"/>
      <c r="AD60" s="1839"/>
      <c r="AE60" s="1706"/>
      <c r="AF60" s="1707"/>
      <c r="AG60" s="1887"/>
      <c r="AH60" s="1888"/>
      <c r="AI60" s="1889"/>
      <c r="AJ60" s="2972"/>
      <c r="AK60" s="1890"/>
      <c r="AL60" s="3070"/>
      <c r="AM60" s="3349"/>
      <c r="AN60" s="1769"/>
      <c r="AO60" s="1770"/>
      <c r="AP60" s="3122"/>
      <c r="AQ60" s="1891"/>
      <c r="AR60" s="1892">
        <v>1</v>
      </c>
      <c r="AS60" s="1891"/>
      <c r="AT60" s="1920"/>
      <c r="AU60" s="2866"/>
      <c r="AV60" s="2882"/>
      <c r="AW60" s="2874"/>
      <c r="AX60" s="2826"/>
      <c r="AY60" s="2728"/>
      <c r="AZ60" s="2721"/>
      <c r="BA60" s="1921"/>
      <c r="BB60" s="1922"/>
      <c r="BC60" s="1923"/>
      <c r="BD60" s="1924"/>
      <c r="BE60" s="1947">
        <v>3</v>
      </c>
      <c r="BF60" s="1891"/>
      <c r="BG60" s="1948"/>
      <c r="BH60" s="1924"/>
      <c r="BI60" s="3634"/>
      <c r="BJ60" s="3634"/>
      <c r="BK60" s="1945"/>
      <c r="BL60" s="2486"/>
      <c r="BM60" s="3630"/>
    </row>
    <row r="61" spans="1:65" ht="15.75" thickBot="1">
      <c r="A61" s="3724"/>
      <c r="B61" s="1694" t="s">
        <v>34</v>
      </c>
      <c r="C61" s="3679"/>
      <c r="D61" s="1705">
        <f t="shared" si="1"/>
        <v>0</v>
      </c>
      <c r="E61" s="1706"/>
      <c r="F61" s="1707"/>
      <c r="G61" s="1708"/>
      <c r="H61" s="1709"/>
      <c r="I61" s="1766"/>
      <c r="J61" s="2981"/>
      <c r="K61" s="1767"/>
      <c r="L61" s="1768"/>
      <c r="M61" s="3059"/>
      <c r="N61" s="3343"/>
      <c r="O61" s="1769"/>
      <c r="P61" s="1768"/>
      <c r="Q61" s="1770"/>
      <c r="R61" s="3122"/>
      <c r="S61" s="1771"/>
      <c r="T61" s="1772"/>
      <c r="U61" s="1834"/>
      <c r="V61" s="2890"/>
      <c r="W61" s="1835"/>
      <c r="X61" s="1836"/>
      <c r="Y61" s="2819"/>
      <c r="Z61" s="2728"/>
      <c r="AA61" s="2721"/>
      <c r="AB61" s="1837"/>
      <c r="AC61" s="1838"/>
      <c r="AD61" s="1839"/>
      <c r="AE61" s="1706"/>
      <c r="AF61" s="1707"/>
      <c r="AG61" s="1887"/>
      <c r="AH61" s="1888"/>
      <c r="AI61" s="1889"/>
      <c r="AJ61" s="2972"/>
      <c r="AK61" s="1890"/>
      <c r="AL61" s="3070"/>
      <c r="AM61" s="3349"/>
      <c r="AN61" s="1769"/>
      <c r="AO61" s="1770"/>
      <c r="AP61" s="3122"/>
      <c r="AQ61" s="1891"/>
      <c r="AR61" s="1892"/>
      <c r="AS61" s="1891"/>
      <c r="AT61" s="1920"/>
      <c r="AU61" s="2866"/>
      <c r="AV61" s="2882"/>
      <c r="AW61" s="2874"/>
      <c r="AX61" s="2826"/>
      <c r="AY61" s="2728"/>
      <c r="AZ61" s="2721"/>
      <c r="BA61" s="1921"/>
      <c r="BB61" s="1922"/>
      <c r="BC61" s="1923"/>
      <c r="BD61" s="1924"/>
      <c r="BE61" s="1947"/>
      <c r="BF61" s="1891"/>
      <c r="BG61" s="1948"/>
      <c r="BH61" s="1924"/>
      <c r="BI61" s="3634"/>
      <c r="BJ61" s="3634"/>
      <c r="BK61" s="1945"/>
      <c r="BL61" s="1952"/>
      <c r="BM61" s="3630"/>
    </row>
    <row r="62" spans="1:65" ht="15.75" thickBot="1">
      <c r="A62" s="3723">
        <v>46141</v>
      </c>
      <c r="B62" s="1738" t="s">
        <v>32</v>
      </c>
      <c r="C62" s="3678">
        <f>SUM(D62:D65)</f>
        <v>421</v>
      </c>
      <c r="D62" s="1689">
        <f t="shared" si="1"/>
        <v>421</v>
      </c>
      <c r="E62" s="1690"/>
      <c r="F62" s="1691"/>
      <c r="G62" s="1692"/>
      <c r="H62" s="1693"/>
      <c r="I62" s="1745"/>
      <c r="J62" s="2980"/>
      <c r="K62" s="1746"/>
      <c r="L62" s="1747"/>
      <c r="M62" s="3058"/>
      <c r="N62" s="3192"/>
      <c r="O62" s="1748"/>
      <c r="P62" s="1747"/>
      <c r="Q62" s="1749"/>
      <c r="R62" s="3121"/>
      <c r="S62" s="1750">
        <v>416</v>
      </c>
      <c r="T62" s="1751"/>
      <c r="U62" s="1815"/>
      <c r="V62" s="2889"/>
      <c r="W62" s="1816"/>
      <c r="X62" s="1817"/>
      <c r="Y62" s="2818"/>
      <c r="Z62" s="2727"/>
      <c r="AA62" s="2720"/>
      <c r="AB62" s="1818"/>
      <c r="AC62" s="1819"/>
      <c r="AD62" s="1820"/>
      <c r="AE62" s="1726"/>
      <c r="AF62" s="1691"/>
      <c r="AG62" s="1869"/>
      <c r="AH62" s="1893"/>
      <c r="AI62" s="1854"/>
      <c r="AJ62" s="2975"/>
      <c r="AK62" s="1894"/>
      <c r="AL62" s="3073"/>
      <c r="AM62" s="3350"/>
      <c r="AN62" s="1748"/>
      <c r="AO62" s="1749"/>
      <c r="AP62" s="3121"/>
      <c r="AQ62" s="1873"/>
      <c r="AR62" s="1874">
        <v>5</v>
      </c>
      <c r="AS62" s="1873"/>
      <c r="AT62" s="1909"/>
      <c r="AU62" s="2865"/>
      <c r="AV62" s="2881"/>
      <c r="AW62" s="2873"/>
      <c r="AX62" s="2825"/>
      <c r="AY62" s="2727"/>
      <c r="AZ62" s="2720"/>
      <c r="BA62" s="1910"/>
      <c r="BB62" s="1911"/>
      <c r="BC62" s="1864"/>
      <c r="BD62" s="1865"/>
      <c r="BE62" s="1726"/>
      <c r="BF62" s="1873"/>
      <c r="BG62" s="1940"/>
      <c r="BH62" s="1865"/>
      <c r="BI62" s="3633">
        <f>SUM(E62:AD65)</f>
        <v>416</v>
      </c>
      <c r="BJ62" s="3633">
        <f>SUM(E62:BD65)</f>
        <v>421</v>
      </c>
      <c r="BK62" s="1945">
        <v>6002</v>
      </c>
      <c r="BL62" s="1952" t="s">
        <v>466</v>
      </c>
      <c r="BM62" s="3629" t="s">
        <v>33</v>
      </c>
    </row>
    <row r="63" spans="1:65" ht="15.75" thickBot="1">
      <c r="A63" s="3724"/>
      <c r="B63" s="1694" t="s">
        <v>34</v>
      </c>
      <c r="C63" s="3679"/>
      <c r="D63" s="1705">
        <f t="shared" si="1"/>
        <v>0</v>
      </c>
      <c r="E63" s="1706"/>
      <c r="F63" s="1707"/>
      <c r="G63" s="1708"/>
      <c r="H63" s="1709"/>
      <c r="I63" s="1766"/>
      <c r="J63" s="2981"/>
      <c r="K63" s="1767"/>
      <c r="L63" s="1768"/>
      <c r="M63" s="3059"/>
      <c r="N63" s="3343"/>
      <c r="O63" s="1769"/>
      <c r="P63" s="1768"/>
      <c r="Q63" s="1770"/>
      <c r="R63" s="3122"/>
      <c r="S63" s="1771"/>
      <c r="T63" s="1772"/>
      <c r="U63" s="1834"/>
      <c r="V63" s="2890"/>
      <c r="W63" s="1835"/>
      <c r="X63" s="1836"/>
      <c r="Y63" s="2819"/>
      <c r="Z63" s="2728"/>
      <c r="AA63" s="2721"/>
      <c r="AB63" s="1837"/>
      <c r="AC63" s="1838"/>
      <c r="AD63" s="1839"/>
      <c r="AE63" s="1706"/>
      <c r="AF63" s="1707"/>
      <c r="AG63" s="1887"/>
      <c r="AH63" s="1888"/>
      <c r="AI63" s="1889"/>
      <c r="AJ63" s="2972"/>
      <c r="AK63" s="1890"/>
      <c r="AL63" s="3070"/>
      <c r="AM63" s="3349"/>
      <c r="AN63" s="1769"/>
      <c r="AO63" s="1770"/>
      <c r="AP63" s="3122"/>
      <c r="AQ63" s="1891"/>
      <c r="AR63" s="1892"/>
      <c r="AS63" s="1891"/>
      <c r="AT63" s="1920"/>
      <c r="AU63" s="2866"/>
      <c r="AV63" s="2882"/>
      <c r="AW63" s="2874"/>
      <c r="AX63" s="2826"/>
      <c r="AY63" s="2728"/>
      <c r="AZ63" s="2721"/>
      <c r="BA63" s="1921"/>
      <c r="BB63" s="1922"/>
      <c r="BC63" s="1923"/>
      <c r="BD63" s="1924"/>
      <c r="BE63" s="1947"/>
      <c r="BF63" s="1891"/>
      <c r="BG63" s="1948"/>
      <c r="BH63" s="1924"/>
      <c r="BI63" s="3634"/>
      <c r="BJ63" s="3634"/>
      <c r="BK63" s="1942"/>
      <c r="BL63" s="2486"/>
      <c r="BM63" s="3630"/>
    </row>
    <row r="64" spans="1:65" ht="15.75" thickBot="1">
      <c r="A64" s="3724"/>
      <c r="B64" s="1694" t="s">
        <v>34</v>
      </c>
      <c r="C64" s="3679"/>
      <c r="D64" s="1705">
        <f t="shared" si="1"/>
        <v>0</v>
      </c>
      <c r="E64" s="1706"/>
      <c r="F64" s="1707"/>
      <c r="G64" s="1708"/>
      <c r="H64" s="1709"/>
      <c r="I64" s="1766"/>
      <c r="J64" s="2981"/>
      <c r="K64" s="1767"/>
      <c r="L64" s="1768"/>
      <c r="M64" s="3059"/>
      <c r="N64" s="3343"/>
      <c r="O64" s="1769"/>
      <c r="P64" s="1768"/>
      <c r="Q64" s="1770"/>
      <c r="R64" s="3122"/>
      <c r="S64" s="1771"/>
      <c r="T64" s="1772"/>
      <c r="U64" s="1834"/>
      <c r="V64" s="2890"/>
      <c r="W64" s="1835"/>
      <c r="X64" s="1836"/>
      <c r="Y64" s="2819"/>
      <c r="Z64" s="2728"/>
      <c r="AA64" s="2721"/>
      <c r="AB64" s="1837"/>
      <c r="AC64" s="1838"/>
      <c r="AD64" s="1839"/>
      <c r="AE64" s="1706"/>
      <c r="AF64" s="1707"/>
      <c r="AG64" s="1887"/>
      <c r="AH64" s="1888"/>
      <c r="AI64" s="1889"/>
      <c r="AJ64" s="2972"/>
      <c r="AK64" s="1890"/>
      <c r="AL64" s="3070"/>
      <c r="AM64" s="3349"/>
      <c r="AN64" s="1769"/>
      <c r="AO64" s="1770"/>
      <c r="AP64" s="3122"/>
      <c r="AQ64" s="1891"/>
      <c r="AR64" s="1892"/>
      <c r="AS64" s="1891"/>
      <c r="AT64" s="1920"/>
      <c r="AU64" s="2866"/>
      <c r="AV64" s="2882"/>
      <c r="AW64" s="2874"/>
      <c r="AX64" s="2826"/>
      <c r="AY64" s="2728"/>
      <c r="AZ64" s="2721"/>
      <c r="BA64" s="1921"/>
      <c r="BB64" s="1922"/>
      <c r="BC64" s="1923"/>
      <c r="BD64" s="1924"/>
      <c r="BE64" s="1947"/>
      <c r="BF64" s="1891"/>
      <c r="BG64" s="1948"/>
      <c r="BH64" s="1924"/>
      <c r="BI64" s="3634"/>
      <c r="BJ64" s="3634"/>
      <c r="BK64" s="1942"/>
      <c r="BL64" s="2486"/>
      <c r="BM64" s="3630"/>
    </row>
    <row r="65" spans="1:65" ht="15.75" thickBot="1">
      <c r="A65" s="3724"/>
      <c r="B65" s="1694" t="s">
        <v>34</v>
      </c>
      <c r="C65" s="3679"/>
      <c r="D65" s="1705">
        <f t="shared" si="1"/>
        <v>0</v>
      </c>
      <c r="E65" s="1706"/>
      <c r="F65" s="1707"/>
      <c r="G65" s="1708"/>
      <c r="H65" s="1709"/>
      <c r="I65" s="1766"/>
      <c r="J65" s="2981"/>
      <c r="K65" s="1767"/>
      <c r="L65" s="1768"/>
      <c r="M65" s="3059"/>
      <c r="N65" s="3343"/>
      <c r="O65" s="1769"/>
      <c r="P65" s="1768"/>
      <c r="Q65" s="1770"/>
      <c r="R65" s="3122"/>
      <c r="S65" s="1771"/>
      <c r="T65" s="1772"/>
      <c r="U65" s="1834"/>
      <c r="V65" s="2890"/>
      <c r="W65" s="1835"/>
      <c r="X65" s="1836"/>
      <c r="Y65" s="2819"/>
      <c r="Z65" s="2728"/>
      <c r="AA65" s="2721"/>
      <c r="AB65" s="1837"/>
      <c r="AC65" s="1838"/>
      <c r="AD65" s="1839"/>
      <c r="AE65" s="1706"/>
      <c r="AF65" s="1707"/>
      <c r="AG65" s="1887"/>
      <c r="AH65" s="1888"/>
      <c r="AI65" s="1889"/>
      <c r="AJ65" s="2972"/>
      <c r="AK65" s="1890"/>
      <c r="AL65" s="3070"/>
      <c r="AM65" s="3349"/>
      <c r="AN65" s="1769"/>
      <c r="AO65" s="1770"/>
      <c r="AP65" s="3122"/>
      <c r="AQ65" s="1891"/>
      <c r="AR65" s="1892"/>
      <c r="AS65" s="1891"/>
      <c r="AT65" s="1920"/>
      <c r="AU65" s="2866"/>
      <c r="AV65" s="2882"/>
      <c r="AW65" s="2874"/>
      <c r="AX65" s="2826"/>
      <c r="AY65" s="2728"/>
      <c r="AZ65" s="2721"/>
      <c r="BA65" s="1921"/>
      <c r="BB65" s="1922"/>
      <c r="BC65" s="1923"/>
      <c r="BD65" s="1924"/>
      <c r="BE65" s="1947"/>
      <c r="BF65" s="1891"/>
      <c r="BG65" s="1948"/>
      <c r="BH65" s="1924"/>
      <c r="BI65" s="3634"/>
      <c r="BJ65" s="3634"/>
      <c r="BK65" s="1942"/>
      <c r="BL65" s="1952"/>
      <c r="BM65" s="3630"/>
    </row>
    <row r="66" spans="1:65" ht="15.75" thickBot="1">
      <c r="A66" s="3723"/>
      <c r="B66" s="1738" t="s">
        <v>32</v>
      </c>
      <c r="C66" s="3678">
        <f>SUM(D66:D69)</f>
        <v>0</v>
      </c>
      <c r="D66" s="1689">
        <f t="shared" si="1"/>
        <v>0</v>
      </c>
      <c r="E66" s="1690"/>
      <c r="F66" s="1691"/>
      <c r="G66" s="1692"/>
      <c r="H66" s="1693"/>
      <c r="I66" s="1745"/>
      <c r="J66" s="2980"/>
      <c r="K66" s="1746"/>
      <c r="L66" s="1747"/>
      <c r="M66" s="3058"/>
      <c r="N66" s="3192"/>
      <c r="O66" s="1748"/>
      <c r="P66" s="1747"/>
      <c r="Q66" s="1749"/>
      <c r="R66" s="3121"/>
      <c r="S66" s="1750"/>
      <c r="T66" s="1751"/>
      <c r="U66" s="1815"/>
      <c r="V66" s="2889"/>
      <c r="W66" s="1816"/>
      <c r="X66" s="1817"/>
      <c r="Y66" s="2818"/>
      <c r="Z66" s="2727"/>
      <c r="AA66" s="2720"/>
      <c r="AB66" s="1818"/>
      <c r="AC66" s="1819"/>
      <c r="AD66" s="1820"/>
      <c r="AE66" s="1726"/>
      <c r="AF66" s="1691"/>
      <c r="AG66" s="1869"/>
      <c r="AH66" s="1893"/>
      <c r="AI66" s="1854"/>
      <c r="AJ66" s="2975"/>
      <c r="AK66" s="1894"/>
      <c r="AL66" s="3073"/>
      <c r="AM66" s="3350"/>
      <c r="AN66" s="1748"/>
      <c r="AO66" s="1749"/>
      <c r="AP66" s="3121"/>
      <c r="AQ66" s="1873"/>
      <c r="AR66" s="1874"/>
      <c r="AS66" s="1873"/>
      <c r="AT66" s="1909"/>
      <c r="AU66" s="2865"/>
      <c r="AV66" s="2881"/>
      <c r="AW66" s="2873"/>
      <c r="AX66" s="2825"/>
      <c r="AY66" s="2727"/>
      <c r="AZ66" s="2720"/>
      <c r="BA66" s="1910"/>
      <c r="BB66" s="1911"/>
      <c r="BC66" s="1864"/>
      <c r="BD66" s="1865"/>
      <c r="BE66" s="1726"/>
      <c r="BF66" s="1873"/>
      <c r="BG66" s="1940"/>
      <c r="BH66" s="1865"/>
      <c r="BI66" s="3633">
        <f>SUM(E66:AD69)</f>
        <v>0</v>
      </c>
      <c r="BJ66" s="3633">
        <f>SUM(E66:BD69)</f>
        <v>0</v>
      </c>
      <c r="BK66" s="1942"/>
      <c r="BL66" s="1952"/>
      <c r="BM66" s="3629" t="s">
        <v>33</v>
      </c>
    </row>
    <row r="67" spans="1:65" ht="15.75" thickBot="1">
      <c r="A67" s="3724"/>
      <c r="B67" s="1694" t="s">
        <v>34</v>
      </c>
      <c r="C67" s="3679"/>
      <c r="D67" s="1705">
        <f t="shared" si="1"/>
        <v>0</v>
      </c>
      <c r="E67" s="1706"/>
      <c r="F67" s="1707"/>
      <c r="G67" s="1708"/>
      <c r="H67" s="1709"/>
      <c r="I67" s="1766"/>
      <c r="J67" s="2981"/>
      <c r="K67" s="1767"/>
      <c r="L67" s="1768"/>
      <c r="M67" s="3059"/>
      <c r="N67" s="3343"/>
      <c r="O67" s="1769"/>
      <c r="P67" s="1768"/>
      <c r="Q67" s="1770"/>
      <c r="R67" s="3122"/>
      <c r="S67" s="1771"/>
      <c r="T67" s="1772"/>
      <c r="U67" s="1834"/>
      <c r="V67" s="2890"/>
      <c r="W67" s="1835"/>
      <c r="X67" s="1836"/>
      <c r="Y67" s="2819"/>
      <c r="Z67" s="2728"/>
      <c r="AA67" s="2721"/>
      <c r="AB67" s="1837"/>
      <c r="AC67" s="1838"/>
      <c r="AD67" s="1839"/>
      <c r="AE67" s="1706"/>
      <c r="AF67" s="1707"/>
      <c r="AG67" s="1887"/>
      <c r="AH67" s="1888"/>
      <c r="AI67" s="1889"/>
      <c r="AJ67" s="2972"/>
      <c r="AK67" s="1890"/>
      <c r="AL67" s="3070"/>
      <c r="AM67" s="3349"/>
      <c r="AN67" s="1769"/>
      <c r="AO67" s="1770"/>
      <c r="AP67" s="3122"/>
      <c r="AQ67" s="1891"/>
      <c r="AR67" s="1892"/>
      <c r="AS67" s="1891"/>
      <c r="AT67" s="1920"/>
      <c r="AU67" s="2866"/>
      <c r="AV67" s="2882"/>
      <c r="AW67" s="2874"/>
      <c r="AX67" s="2826"/>
      <c r="AY67" s="2728"/>
      <c r="AZ67" s="2721"/>
      <c r="BA67" s="1921"/>
      <c r="BB67" s="1922"/>
      <c r="BC67" s="1923"/>
      <c r="BD67" s="1924"/>
      <c r="BE67" s="1947"/>
      <c r="BF67" s="1891"/>
      <c r="BG67" s="1948"/>
      <c r="BH67" s="1924"/>
      <c r="BI67" s="3634"/>
      <c r="BJ67" s="3634"/>
      <c r="BK67" s="1942"/>
      <c r="BL67" s="1952"/>
      <c r="BM67" s="3630"/>
    </row>
    <row r="68" spans="1:65" ht="15.75" thickBot="1">
      <c r="A68" s="3724"/>
      <c r="B68" s="1694" t="s">
        <v>34</v>
      </c>
      <c r="C68" s="3679"/>
      <c r="D68" s="1705">
        <f t="shared" si="1"/>
        <v>0</v>
      </c>
      <c r="E68" s="1706"/>
      <c r="F68" s="1707"/>
      <c r="G68" s="1708"/>
      <c r="H68" s="1709"/>
      <c r="I68" s="1766"/>
      <c r="J68" s="2981"/>
      <c r="K68" s="1767"/>
      <c r="L68" s="1768"/>
      <c r="M68" s="3059"/>
      <c r="N68" s="3343"/>
      <c r="O68" s="1769"/>
      <c r="P68" s="1768"/>
      <c r="Q68" s="1770"/>
      <c r="R68" s="3122"/>
      <c r="S68" s="1771"/>
      <c r="T68" s="1772"/>
      <c r="U68" s="1834"/>
      <c r="V68" s="2890"/>
      <c r="W68" s="1835"/>
      <c r="X68" s="1836"/>
      <c r="Y68" s="2819"/>
      <c r="Z68" s="2728"/>
      <c r="AA68" s="2721"/>
      <c r="AB68" s="1837"/>
      <c r="AC68" s="1838"/>
      <c r="AD68" s="1839"/>
      <c r="AE68" s="1706"/>
      <c r="AF68" s="1707"/>
      <c r="AG68" s="1887"/>
      <c r="AH68" s="1888"/>
      <c r="AI68" s="1889"/>
      <c r="AJ68" s="2972"/>
      <c r="AK68" s="1890"/>
      <c r="AL68" s="3070"/>
      <c r="AM68" s="3349"/>
      <c r="AN68" s="1769"/>
      <c r="AO68" s="1770"/>
      <c r="AP68" s="3122"/>
      <c r="AQ68" s="1891"/>
      <c r="AR68" s="1892"/>
      <c r="AS68" s="1891"/>
      <c r="AT68" s="1920"/>
      <c r="AU68" s="2866"/>
      <c r="AV68" s="2882"/>
      <c r="AW68" s="2874"/>
      <c r="AX68" s="2826"/>
      <c r="AY68" s="2728"/>
      <c r="AZ68" s="2721"/>
      <c r="BA68" s="1921"/>
      <c r="BB68" s="1922"/>
      <c r="BC68" s="1923"/>
      <c r="BD68" s="1924"/>
      <c r="BE68" s="1947"/>
      <c r="BF68" s="1891"/>
      <c r="BG68" s="1948"/>
      <c r="BH68" s="1924"/>
      <c r="BI68" s="3634"/>
      <c r="BJ68" s="3634"/>
      <c r="BK68" s="1942"/>
      <c r="BL68" s="1952"/>
      <c r="BM68" s="3630"/>
    </row>
    <row r="69" spans="1:65" ht="15.75" thickBot="1">
      <c r="A69" s="3724"/>
      <c r="B69" s="1694" t="s">
        <v>34</v>
      </c>
      <c r="C69" s="3679"/>
      <c r="D69" s="1705">
        <f t="shared" ref="D69:D100" si="2">SUM(E69:BH69)</f>
        <v>0</v>
      </c>
      <c r="E69" s="1706"/>
      <c r="F69" s="1707"/>
      <c r="G69" s="1708"/>
      <c r="H69" s="1709"/>
      <c r="I69" s="1766"/>
      <c r="J69" s="2981"/>
      <c r="K69" s="1767"/>
      <c r="L69" s="1768"/>
      <c r="M69" s="3059"/>
      <c r="N69" s="3343"/>
      <c r="O69" s="1769"/>
      <c r="P69" s="1768"/>
      <c r="Q69" s="1770"/>
      <c r="R69" s="3122"/>
      <c r="S69" s="1771"/>
      <c r="T69" s="1772"/>
      <c r="U69" s="1834"/>
      <c r="V69" s="2890"/>
      <c r="W69" s="1835"/>
      <c r="X69" s="1836"/>
      <c r="Y69" s="2819"/>
      <c r="Z69" s="2728"/>
      <c r="AA69" s="2721"/>
      <c r="AB69" s="1837"/>
      <c r="AC69" s="1838"/>
      <c r="AD69" s="1839"/>
      <c r="AE69" s="1706"/>
      <c r="AF69" s="1707"/>
      <c r="AG69" s="1887"/>
      <c r="AH69" s="1888"/>
      <c r="AI69" s="1889"/>
      <c r="AJ69" s="2972"/>
      <c r="AK69" s="1890"/>
      <c r="AL69" s="3070"/>
      <c r="AM69" s="3349"/>
      <c r="AN69" s="1769"/>
      <c r="AO69" s="1770"/>
      <c r="AP69" s="3122"/>
      <c r="AQ69" s="1891"/>
      <c r="AR69" s="1892"/>
      <c r="AS69" s="1891"/>
      <c r="AT69" s="1920"/>
      <c r="AU69" s="2866"/>
      <c r="AV69" s="2882"/>
      <c r="AW69" s="2874"/>
      <c r="AX69" s="2826"/>
      <c r="AY69" s="2728"/>
      <c r="AZ69" s="2721"/>
      <c r="BA69" s="1921"/>
      <c r="BB69" s="1922"/>
      <c r="BC69" s="1923"/>
      <c r="BD69" s="1924"/>
      <c r="BE69" s="1947"/>
      <c r="BF69" s="1891"/>
      <c r="BG69" s="1948"/>
      <c r="BH69" s="1924"/>
      <c r="BI69" s="3634"/>
      <c r="BJ69" s="3634"/>
      <c r="BK69" s="1942"/>
      <c r="BL69" s="1952"/>
      <c r="BM69" s="3630"/>
    </row>
    <row r="70" spans="1:65" ht="15.75" customHeight="1" thickBot="1">
      <c r="A70" s="3723"/>
      <c r="B70" s="1738" t="s">
        <v>32</v>
      </c>
      <c r="C70" s="3678">
        <f>SUM(D70:D73)</f>
        <v>0</v>
      </c>
      <c r="D70" s="1689">
        <f t="shared" si="2"/>
        <v>0</v>
      </c>
      <c r="E70" s="1690"/>
      <c r="F70" s="1691"/>
      <c r="G70" s="1692"/>
      <c r="H70" s="1693"/>
      <c r="I70" s="1745"/>
      <c r="J70" s="2980"/>
      <c r="K70" s="1746"/>
      <c r="L70" s="1747"/>
      <c r="M70" s="3058"/>
      <c r="N70" s="3192"/>
      <c r="O70" s="1748"/>
      <c r="P70" s="1747"/>
      <c r="Q70" s="1749"/>
      <c r="R70" s="3121"/>
      <c r="S70" s="1750"/>
      <c r="T70" s="1751"/>
      <c r="U70" s="1815"/>
      <c r="V70" s="2889"/>
      <c r="W70" s="1816"/>
      <c r="X70" s="1817"/>
      <c r="Y70" s="2818"/>
      <c r="Z70" s="2727"/>
      <c r="AA70" s="2720"/>
      <c r="AB70" s="1818"/>
      <c r="AC70" s="1819"/>
      <c r="AD70" s="1820"/>
      <c r="AE70" s="1726"/>
      <c r="AF70" s="1691"/>
      <c r="AG70" s="1869"/>
      <c r="AH70" s="1893"/>
      <c r="AI70" s="1854"/>
      <c r="AJ70" s="2975"/>
      <c r="AK70" s="1894"/>
      <c r="AL70" s="3073"/>
      <c r="AM70" s="3350"/>
      <c r="AN70" s="1748"/>
      <c r="AO70" s="1749"/>
      <c r="AP70" s="3121"/>
      <c r="AQ70" s="1873"/>
      <c r="AR70" s="1874"/>
      <c r="AS70" s="1873"/>
      <c r="AT70" s="1909"/>
      <c r="AU70" s="2865"/>
      <c r="AV70" s="2881"/>
      <c r="AW70" s="2873"/>
      <c r="AX70" s="2825"/>
      <c r="AY70" s="2727"/>
      <c r="AZ70" s="2720"/>
      <c r="BA70" s="1910"/>
      <c r="BB70" s="1911"/>
      <c r="BC70" s="1864"/>
      <c r="BD70" s="1865"/>
      <c r="BE70" s="1726"/>
      <c r="BF70" s="1873"/>
      <c r="BG70" s="1940"/>
      <c r="BH70" s="1865"/>
      <c r="BI70" s="3633">
        <f>SUM(E70:AD73)</f>
        <v>0</v>
      </c>
      <c r="BJ70" s="3633">
        <f>SUM(E70:BD73)</f>
        <v>0</v>
      </c>
      <c r="BK70" s="1942"/>
      <c r="BL70" s="1952"/>
      <c r="BM70" s="3629" t="s">
        <v>33</v>
      </c>
    </row>
    <row r="71" spans="1:65" ht="15.75" thickBot="1">
      <c r="A71" s="3724"/>
      <c r="B71" s="1738" t="s">
        <v>34</v>
      </c>
      <c r="C71" s="3679"/>
      <c r="D71" s="1705">
        <f t="shared" si="2"/>
        <v>0</v>
      </c>
      <c r="E71" s="1706"/>
      <c r="F71" s="1707"/>
      <c r="G71" s="1708"/>
      <c r="H71" s="1709"/>
      <c r="I71" s="1766"/>
      <c r="J71" s="2981"/>
      <c r="K71" s="1767"/>
      <c r="L71" s="1768"/>
      <c r="M71" s="3059"/>
      <c r="N71" s="3343"/>
      <c r="O71" s="1769"/>
      <c r="P71" s="1768"/>
      <c r="Q71" s="1770"/>
      <c r="R71" s="3122"/>
      <c r="S71" s="1771"/>
      <c r="T71" s="1772"/>
      <c r="U71" s="1834"/>
      <c r="V71" s="2890"/>
      <c r="W71" s="1835"/>
      <c r="X71" s="1836"/>
      <c r="Y71" s="2819"/>
      <c r="Z71" s="2728"/>
      <c r="AA71" s="2721"/>
      <c r="AB71" s="1837"/>
      <c r="AC71" s="1838"/>
      <c r="AD71" s="1839"/>
      <c r="AE71" s="1706"/>
      <c r="AF71" s="1707"/>
      <c r="AG71" s="1887"/>
      <c r="AH71" s="1888"/>
      <c r="AI71" s="1889"/>
      <c r="AJ71" s="2972"/>
      <c r="AK71" s="1890"/>
      <c r="AL71" s="3070"/>
      <c r="AM71" s="3349"/>
      <c r="AN71" s="1769"/>
      <c r="AO71" s="1770"/>
      <c r="AP71" s="3122"/>
      <c r="AQ71" s="1891"/>
      <c r="AR71" s="1892"/>
      <c r="AS71" s="1891"/>
      <c r="AT71" s="1920"/>
      <c r="AU71" s="2866"/>
      <c r="AV71" s="2882"/>
      <c r="AW71" s="2874"/>
      <c r="AX71" s="2826"/>
      <c r="AY71" s="2728"/>
      <c r="AZ71" s="2721"/>
      <c r="BA71" s="1921"/>
      <c r="BB71" s="1922"/>
      <c r="BC71" s="1923"/>
      <c r="BD71" s="1924"/>
      <c r="BE71" s="1947"/>
      <c r="BF71" s="1891"/>
      <c r="BG71" s="1948"/>
      <c r="BH71" s="1924"/>
      <c r="BI71" s="3634"/>
      <c r="BJ71" s="3634"/>
      <c r="BK71" s="1942"/>
      <c r="BL71" s="1952"/>
      <c r="BM71" s="3630"/>
    </row>
    <row r="72" spans="1:65" ht="15.75" thickBot="1">
      <c r="A72" s="3724"/>
      <c r="B72" s="1738" t="s">
        <v>34</v>
      </c>
      <c r="C72" s="3679"/>
      <c r="D72" s="1705">
        <f t="shared" si="2"/>
        <v>0</v>
      </c>
      <c r="E72" s="1706"/>
      <c r="F72" s="1707"/>
      <c r="G72" s="1708"/>
      <c r="H72" s="1709"/>
      <c r="I72" s="1766"/>
      <c r="J72" s="2981"/>
      <c r="K72" s="1767"/>
      <c r="L72" s="1768"/>
      <c r="M72" s="3059"/>
      <c r="N72" s="3343"/>
      <c r="O72" s="1769"/>
      <c r="P72" s="1768"/>
      <c r="Q72" s="1770"/>
      <c r="R72" s="3122"/>
      <c r="S72" s="1771"/>
      <c r="T72" s="1772"/>
      <c r="U72" s="1834"/>
      <c r="V72" s="2890"/>
      <c r="W72" s="1835"/>
      <c r="X72" s="1836"/>
      <c r="Y72" s="2819"/>
      <c r="Z72" s="2728"/>
      <c r="AA72" s="2721"/>
      <c r="AB72" s="1837"/>
      <c r="AC72" s="1838"/>
      <c r="AD72" s="1839"/>
      <c r="AE72" s="1706"/>
      <c r="AF72" s="1707"/>
      <c r="AG72" s="1887"/>
      <c r="AH72" s="1888"/>
      <c r="AI72" s="1889"/>
      <c r="AJ72" s="2972"/>
      <c r="AK72" s="1890"/>
      <c r="AL72" s="3070"/>
      <c r="AM72" s="3349"/>
      <c r="AN72" s="1769"/>
      <c r="AO72" s="1770"/>
      <c r="AP72" s="3122"/>
      <c r="AQ72" s="1891"/>
      <c r="AR72" s="1892"/>
      <c r="AS72" s="1891"/>
      <c r="AT72" s="1920"/>
      <c r="AU72" s="2866"/>
      <c r="AV72" s="2882"/>
      <c r="AW72" s="2874"/>
      <c r="AX72" s="2826"/>
      <c r="AY72" s="2728"/>
      <c r="AZ72" s="2721"/>
      <c r="BA72" s="1921"/>
      <c r="BB72" s="1922"/>
      <c r="BC72" s="1923"/>
      <c r="BD72" s="1924"/>
      <c r="BE72" s="1947"/>
      <c r="BF72" s="1891"/>
      <c r="BG72" s="1948"/>
      <c r="BH72" s="1924"/>
      <c r="BI72" s="3634"/>
      <c r="BJ72" s="3634"/>
      <c r="BK72" s="1942"/>
      <c r="BL72" s="1952"/>
      <c r="BM72" s="3630"/>
    </row>
    <row r="73" spans="1:65" ht="15.75" customHeight="1" thickBot="1">
      <c r="A73" s="3724"/>
      <c r="B73" s="1694" t="s">
        <v>34</v>
      </c>
      <c r="C73" s="3681"/>
      <c r="D73" s="1705">
        <f t="shared" si="2"/>
        <v>0</v>
      </c>
      <c r="E73" s="1706"/>
      <c r="F73" s="1707"/>
      <c r="G73" s="1708"/>
      <c r="H73" s="1709"/>
      <c r="I73" s="1766"/>
      <c r="J73" s="2981"/>
      <c r="K73" s="1767"/>
      <c r="L73" s="1768"/>
      <c r="M73" s="3059"/>
      <c r="N73" s="3343"/>
      <c r="O73" s="1769"/>
      <c r="P73" s="1768"/>
      <c r="Q73" s="1770"/>
      <c r="R73" s="3122"/>
      <c r="S73" s="1771"/>
      <c r="T73" s="1772"/>
      <c r="U73" s="1834"/>
      <c r="V73" s="2890"/>
      <c r="W73" s="1835"/>
      <c r="X73" s="1836"/>
      <c r="Y73" s="2819"/>
      <c r="Z73" s="2728"/>
      <c r="AA73" s="2721"/>
      <c r="AB73" s="1837"/>
      <c r="AC73" s="1838"/>
      <c r="AD73" s="1839"/>
      <c r="AE73" s="1706"/>
      <c r="AF73" s="1707"/>
      <c r="AG73" s="1887"/>
      <c r="AH73" s="1888"/>
      <c r="AI73" s="1889"/>
      <c r="AJ73" s="2972"/>
      <c r="AK73" s="1890"/>
      <c r="AL73" s="3070"/>
      <c r="AM73" s="3349"/>
      <c r="AN73" s="1769"/>
      <c r="AO73" s="1770"/>
      <c r="AP73" s="3122"/>
      <c r="AQ73" s="1891"/>
      <c r="AR73" s="1892"/>
      <c r="AS73" s="1891"/>
      <c r="AT73" s="1920"/>
      <c r="AU73" s="2866"/>
      <c r="AV73" s="2882"/>
      <c r="AW73" s="2874"/>
      <c r="AX73" s="2826"/>
      <c r="AY73" s="2728"/>
      <c r="AZ73" s="2721"/>
      <c r="BA73" s="1921"/>
      <c r="BB73" s="1922"/>
      <c r="BC73" s="1923"/>
      <c r="BD73" s="1924"/>
      <c r="BE73" s="1947"/>
      <c r="BF73" s="1891"/>
      <c r="BG73" s="1948"/>
      <c r="BH73" s="1924"/>
      <c r="BI73" s="3635"/>
      <c r="BJ73" s="3635"/>
      <c r="BK73" s="1942"/>
      <c r="BL73" s="2486"/>
      <c r="BM73" s="3631"/>
    </row>
    <row r="74" spans="1:65" ht="15.75" thickBot="1">
      <c r="A74" s="3723"/>
      <c r="B74" s="1738" t="s">
        <v>32</v>
      </c>
      <c r="C74" s="3678">
        <f>SUM(D74:D77)</f>
        <v>0</v>
      </c>
      <c r="D74" s="1689">
        <f t="shared" si="2"/>
        <v>0</v>
      </c>
      <c r="E74" s="1690"/>
      <c r="F74" s="1691"/>
      <c r="G74" s="1692"/>
      <c r="H74" s="1693"/>
      <c r="I74" s="1745"/>
      <c r="J74" s="2980"/>
      <c r="K74" s="1746"/>
      <c r="L74" s="1747"/>
      <c r="M74" s="3058"/>
      <c r="N74" s="3192"/>
      <c r="O74" s="1748"/>
      <c r="P74" s="1747"/>
      <c r="Q74" s="1749"/>
      <c r="R74" s="3121"/>
      <c r="S74" s="1750"/>
      <c r="T74" s="1751"/>
      <c r="U74" s="1815"/>
      <c r="V74" s="2889"/>
      <c r="W74" s="1816"/>
      <c r="X74" s="1817"/>
      <c r="Y74" s="2818"/>
      <c r="Z74" s="2727"/>
      <c r="AA74" s="2720"/>
      <c r="AB74" s="1818"/>
      <c r="AC74" s="1819"/>
      <c r="AD74" s="1820"/>
      <c r="AE74" s="1726"/>
      <c r="AF74" s="1691"/>
      <c r="AG74" s="1869"/>
      <c r="AH74" s="1893"/>
      <c r="AI74" s="1854"/>
      <c r="AJ74" s="2975"/>
      <c r="AK74" s="1894"/>
      <c r="AL74" s="3073"/>
      <c r="AM74" s="3350"/>
      <c r="AN74" s="1748"/>
      <c r="AO74" s="1749"/>
      <c r="AP74" s="3121"/>
      <c r="AQ74" s="1873"/>
      <c r="AR74" s="1874"/>
      <c r="AS74" s="1873"/>
      <c r="AT74" s="1909"/>
      <c r="AU74" s="2865"/>
      <c r="AV74" s="2881"/>
      <c r="AW74" s="2873"/>
      <c r="AX74" s="2825"/>
      <c r="AY74" s="2727"/>
      <c r="AZ74" s="2720"/>
      <c r="BA74" s="1910"/>
      <c r="BB74" s="1911"/>
      <c r="BC74" s="1864"/>
      <c r="BD74" s="1865"/>
      <c r="BE74" s="1726"/>
      <c r="BF74" s="1873"/>
      <c r="BG74" s="1940"/>
      <c r="BH74" s="1865"/>
      <c r="BI74" s="3633">
        <f>SUM(E74:AD77)</f>
        <v>0</v>
      </c>
      <c r="BJ74" s="3636">
        <f>SUM(E74:BD77)</f>
        <v>0</v>
      </c>
      <c r="BK74" s="1942"/>
      <c r="BL74" s="2486"/>
      <c r="BM74" s="3675" t="s">
        <v>33</v>
      </c>
    </row>
    <row r="75" spans="1:65" ht="15.75" thickBot="1">
      <c r="A75" s="3724"/>
      <c r="B75" s="1694" t="s">
        <v>34</v>
      </c>
      <c r="C75" s="3679"/>
      <c r="D75" s="1705">
        <f t="shared" si="2"/>
        <v>0</v>
      </c>
      <c r="E75" s="1706"/>
      <c r="F75" s="1707"/>
      <c r="G75" s="1708"/>
      <c r="H75" s="1709"/>
      <c r="I75" s="1766"/>
      <c r="J75" s="2981"/>
      <c r="K75" s="1767"/>
      <c r="L75" s="1768"/>
      <c r="M75" s="3059"/>
      <c r="N75" s="3343"/>
      <c r="O75" s="1769"/>
      <c r="P75" s="1768"/>
      <c r="Q75" s="1770"/>
      <c r="R75" s="3122"/>
      <c r="S75" s="1771"/>
      <c r="T75" s="1772"/>
      <c r="U75" s="1834"/>
      <c r="V75" s="2890"/>
      <c r="W75" s="1835"/>
      <c r="X75" s="1836"/>
      <c r="Y75" s="2819"/>
      <c r="Z75" s="2728"/>
      <c r="AA75" s="2721"/>
      <c r="AB75" s="1837"/>
      <c r="AC75" s="1838"/>
      <c r="AD75" s="1839"/>
      <c r="AE75" s="1706"/>
      <c r="AF75" s="1707"/>
      <c r="AG75" s="1887"/>
      <c r="AH75" s="1888"/>
      <c r="AI75" s="1889"/>
      <c r="AJ75" s="2972"/>
      <c r="AK75" s="1890"/>
      <c r="AL75" s="3070"/>
      <c r="AM75" s="3349"/>
      <c r="AN75" s="1769"/>
      <c r="AO75" s="1770"/>
      <c r="AP75" s="3122"/>
      <c r="AQ75" s="1891"/>
      <c r="AR75" s="1892"/>
      <c r="AS75" s="1891"/>
      <c r="AT75" s="1920"/>
      <c r="AU75" s="2866"/>
      <c r="AV75" s="2882"/>
      <c r="AW75" s="2874"/>
      <c r="AX75" s="2826"/>
      <c r="AY75" s="2728"/>
      <c r="AZ75" s="2721"/>
      <c r="BA75" s="1921"/>
      <c r="BB75" s="1922"/>
      <c r="BC75" s="1923"/>
      <c r="BD75" s="1924"/>
      <c r="BE75" s="1947"/>
      <c r="BF75" s="1891"/>
      <c r="BG75" s="1948"/>
      <c r="BH75" s="1924"/>
      <c r="BI75" s="3634"/>
      <c r="BJ75" s="3637"/>
      <c r="BK75" s="1953"/>
      <c r="BL75" s="2486"/>
      <c r="BM75" s="3632"/>
    </row>
    <row r="76" spans="1:65" ht="15.75" thickBot="1">
      <c r="A76" s="3724"/>
      <c r="B76" s="1694" t="s">
        <v>34</v>
      </c>
      <c r="C76" s="3679"/>
      <c r="D76" s="1705">
        <f t="shared" si="2"/>
        <v>0</v>
      </c>
      <c r="E76" s="1706"/>
      <c r="F76" s="1707"/>
      <c r="G76" s="1708"/>
      <c r="H76" s="1709"/>
      <c r="I76" s="1766"/>
      <c r="J76" s="2981"/>
      <c r="K76" s="1767"/>
      <c r="L76" s="1768"/>
      <c r="M76" s="3059"/>
      <c r="N76" s="3343"/>
      <c r="O76" s="1769"/>
      <c r="P76" s="1768"/>
      <c r="Q76" s="1770"/>
      <c r="R76" s="3122"/>
      <c r="S76" s="1771"/>
      <c r="T76" s="1772"/>
      <c r="U76" s="1834"/>
      <c r="V76" s="2890"/>
      <c r="W76" s="1835"/>
      <c r="X76" s="1836"/>
      <c r="Y76" s="2819"/>
      <c r="Z76" s="2728"/>
      <c r="AA76" s="2721"/>
      <c r="AB76" s="1837"/>
      <c r="AC76" s="1838"/>
      <c r="AD76" s="1839"/>
      <c r="AE76" s="1706"/>
      <c r="AF76" s="1707"/>
      <c r="AG76" s="1887"/>
      <c r="AH76" s="1888"/>
      <c r="AI76" s="1889"/>
      <c r="AJ76" s="2972"/>
      <c r="AK76" s="1890"/>
      <c r="AL76" s="3070"/>
      <c r="AM76" s="3349"/>
      <c r="AN76" s="1769"/>
      <c r="AO76" s="1770"/>
      <c r="AP76" s="3122"/>
      <c r="AQ76" s="1891"/>
      <c r="AR76" s="1892"/>
      <c r="AS76" s="1891"/>
      <c r="AT76" s="1920"/>
      <c r="AU76" s="2866"/>
      <c r="AV76" s="2882"/>
      <c r="AW76" s="2874"/>
      <c r="AX76" s="2826"/>
      <c r="AY76" s="2728"/>
      <c r="AZ76" s="2721"/>
      <c r="BA76" s="1921"/>
      <c r="BB76" s="1922"/>
      <c r="BC76" s="1923"/>
      <c r="BD76" s="1924"/>
      <c r="BE76" s="1947"/>
      <c r="BF76" s="1891"/>
      <c r="BG76" s="1948"/>
      <c r="BH76" s="1924"/>
      <c r="BI76" s="3634"/>
      <c r="BJ76" s="3637"/>
      <c r="BK76" s="1953"/>
      <c r="BL76" s="2486"/>
      <c r="BM76" s="3632"/>
    </row>
    <row r="77" spans="1:65" ht="15.75" thickBot="1">
      <c r="A77" s="3724"/>
      <c r="B77" s="1694" t="s">
        <v>34</v>
      </c>
      <c r="C77" s="3679"/>
      <c r="D77" s="1705">
        <f t="shared" si="2"/>
        <v>0</v>
      </c>
      <c r="E77" s="1706"/>
      <c r="F77" s="1707"/>
      <c r="G77" s="1708"/>
      <c r="H77" s="1709"/>
      <c r="I77" s="1766"/>
      <c r="J77" s="2981"/>
      <c r="K77" s="1767"/>
      <c r="L77" s="1768"/>
      <c r="M77" s="3059"/>
      <c r="N77" s="3343"/>
      <c r="O77" s="1769"/>
      <c r="P77" s="1768"/>
      <c r="Q77" s="1770"/>
      <c r="R77" s="3122"/>
      <c r="S77" s="1771"/>
      <c r="T77" s="1772"/>
      <c r="U77" s="1834"/>
      <c r="V77" s="2890"/>
      <c r="W77" s="1835"/>
      <c r="X77" s="1836"/>
      <c r="Y77" s="2819"/>
      <c r="Z77" s="2728"/>
      <c r="AA77" s="2721"/>
      <c r="AB77" s="1837"/>
      <c r="AC77" s="1838"/>
      <c r="AD77" s="1839"/>
      <c r="AE77" s="1706"/>
      <c r="AF77" s="1707"/>
      <c r="AG77" s="1887"/>
      <c r="AH77" s="1888"/>
      <c r="AI77" s="1889"/>
      <c r="AJ77" s="2972"/>
      <c r="AK77" s="1890"/>
      <c r="AL77" s="3070"/>
      <c r="AM77" s="3349"/>
      <c r="AN77" s="1769"/>
      <c r="AO77" s="1770"/>
      <c r="AP77" s="3122"/>
      <c r="AQ77" s="1891"/>
      <c r="AR77" s="1892"/>
      <c r="AS77" s="1891"/>
      <c r="AT77" s="1920"/>
      <c r="AU77" s="2866"/>
      <c r="AV77" s="2882"/>
      <c r="AW77" s="2874"/>
      <c r="AX77" s="2826"/>
      <c r="AY77" s="2728"/>
      <c r="AZ77" s="2721"/>
      <c r="BA77" s="1921"/>
      <c r="BB77" s="1922"/>
      <c r="BC77" s="1923"/>
      <c r="BD77" s="1924"/>
      <c r="BE77" s="1947"/>
      <c r="BF77" s="1891"/>
      <c r="BG77" s="1948"/>
      <c r="BH77" s="1924"/>
      <c r="BI77" s="3634"/>
      <c r="BJ77" s="3637"/>
      <c r="BK77" s="1953"/>
      <c r="BL77" s="2486"/>
      <c r="BM77" s="3632"/>
    </row>
    <row r="78" spans="1:65" ht="15.75" thickBot="1">
      <c r="A78" s="3723"/>
      <c r="B78" s="1738" t="s">
        <v>32</v>
      </c>
      <c r="C78" s="3678">
        <f>SUM(D78:D81)</f>
        <v>0</v>
      </c>
      <c r="D78" s="1689">
        <f t="shared" si="2"/>
        <v>0</v>
      </c>
      <c r="E78" s="1690"/>
      <c r="F78" s="1691"/>
      <c r="G78" s="1692"/>
      <c r="H78" s="1693"/>
      <c r="I78" s="1745"/>
      <c r="J78" s="2980"/>
      <c r="K78" s="1746"/>
      <c r="L78" s="1747"/>
      <c r="M78" s="3058"/>
      <c r="N78" s="3192"/>
      <c r="O78" s="1692"/>
      <c r="P78" s="1747"/>
      <c r="Q78" s="1749"/>
      <c r="R78" s="3121"/>
      <c r="S78" s="1750"/>
      <c r="T78" s="1751"/>
      <c r="U78" s="1815"/>
      <c r="V78" s="2889"/>
      <c r="W78" s="1816"/>
      <c r="X78" s="1817"/>
      <c r="Y78" s="2818"/>
      <c r="Z78" s="2727"/>
      <c r="AA78" s="2720"/>
      <c r="AB78" s="1818"/>
      <c r="AC78" s="1819"/>
      <c r="AD78" s="1820"/>
      <c r="AE78" s="1726"/>
      <c r="AF78" s="1691"/>
      <c r="AG78" s="1869"/>
      <c r="AH78" s="1893"/>
      <c r="AI78" s="1854"/>
      <c r="AJ78" s="2975"/>
      <c r="AK78" s="1894"/>
      <c r="AL78" s="3073"/>
      <c r="AM78" s="3350"/>
      <c r="AN78" s="1748"/>
      <c r="AO78" s="1749"/>
      <c r="AP78" s="3121"/>
      <c r="AQ78" s="1873"/>
      <c r="AR78" s="1874"/>
      <c r="AS78" s="1873"/>
      <c r="AT78" s="1909"/>
      <c r="AU78" s="2865"/>
      <c r="AV78" s="2881"/>
      <c r="AW78" s="2873"/>
      <c r="AX78" s="2825"/>
      <c r="AY78" s="2727"/>
      <c r="AZ78" s="2720"/>
      <c r="BA78" s="1910"/>
      <c r="BB78" s="1911"/>
      <c r="BC78" s="1864"/>
      <c r="BD78" s="1865"/>
      <c r="BE78" s="1726"/>
      <c r="BF78" s="1873"/>
      <c r="BG78" s="1940"/>
      <c r="BH78" s="1865"/>
      <c r="BI78" s="3633">
        <f>SUM(E78:AD81)</f>
        <v>0</v>
      </c>
      <c r="BJ78" s="3633">
        <f>SUM(E78:BD81)</f>
        <v>0</v>
      </c>
      <c r="BK78" s="1953"/>
      <c r="BL78" s="2486"/>
      <c r="BM78" s="3629" t="s">
        <v>33</v>
      </c>
    </row>
    <row r="79" spans="1:65" ht="15.75" thickBot="1">
      <c r="A79" s="3724"/>
      <c r="B79" s="1694" t="s">
        <v>32</v>
      </c>
      <c r="C79" s="3679"/>
      <c r="D79" s="1705">
        <f t="shared" si="2"/>
        <v>0</v>
      </c>
      <c r="E79" s="1706"/>
      <c r="F79" s="1707"/>
      <c r="G79" s="1708"/>
      <c r="H79" s="1709"/>
      <c r="I79" s="1766"/>
      <c r="J79" s="2981"/>
      <c r="K79" s="1767"/>
      <c r="L79" s="1768"/>
      <c r="M79" s="3059"/>
      <c r="N79" s="3343"/>
      <c r="O79" s="1769"/>
      <c r="P79" s="1768"/>
      <c r="Q79" s="1770"/>
      <c r="R79" s="3122"/>
      <c r="S79" s="1771"/>
      <c r="T79" s="1772"/>
      <c r="U79" s="1834"/>
      <c r="V79" s="2890"/>
      <c r="W79" s="1835"/>
      <c r="X79" s="1836"/>
      <c r="Y79" s="2819"/>
      <c r="Z79" s="2728"/>
      <c r="AA79" s="2721"/>
      <c r="AB79" s="1837"/>
      <c r="AC79" s="1838"/>
      <c r="AD79" s="1839"/>
      <c r="AE79" s="1706"/>
      <c r="AF79" s="1707"/>
      <c r="AG79" s="1887"/>
      <c r="AH79" s="1888"/>
      <c r="AI79" s="1889"/>
      <c r="AJ79" s="2972"/>
      <c r="AK79" s="1890"/>
      <c r="AL79" s="3070"/>
      <c r="AM79" s="3349"/>
      <c r="AN79" s="1769"/>
      <c r="AO79" s="1770"/>
      <c r="AP79" s="3122"/>
      <c r="AQ79" s="1891"/>
      <c r="AR79" s="1892"/>
      <c r="AS79" s="1891"/>
      <c r="AT79" s="1920"/>
      <c r="AU79" s="2866"/>
      <c r="AV79" s="2882"/>
      <c r="AW79" s="2874"/>
      <c r="AX79" s="2826"/>
      <c r="AY79" s="2728"/>
      <c r="AZ79" s="2721"/>
      <c r="BA79" s="1921"/>
      <c r="BB79" s="1922"/>
      <c r="BC79" s="1923"/>
      <c r="BD79" s="1924"/>
      <c r="BE79" s="1947"/>
      <c r="BF79" s="1891"/>
      <c r="BG79" s="1948"/>
      <c r="BH79" s="1924"/>
      <c r="BI79" s="3634"/>
      <c r="BJ79" s="3634"/>
      <c r="BK79" s="1953"/>
      <c r="BL79" s="2486"/>
      <c r="BM79" s="3630"/>
    </row>
    <row r="80" spans="1:65" ht="15.75" thickBot="1">
      <c r="A80" s="3724"/>
      <c r="B80" s="1694" t="s">
        <v>34</v>
      </c>
      <c r="C80" s="3679"/>
      <c r="D80" s="1705">
        <f t="shared" si="2"/>
        <v>0</v>
      </c>
      <c r="E80" s="1706"/>
      <c r="F80" s="1707"/>
      <c r="G80" s="1708"/>
      <c r="H80" s="1709"/>
      <c r="I80" s="1766"/>
      <c r="J80" s="2981"/>
      <c r="K80" s="1767"/>
      <c r="L80" s="1768"/>
      <c r="M80" s="3059"/>
      <c r="N80" s="3343"/>
      <c r="O80" s="1769"/>
      <c r="P80" s="1768"/>
      <c r="Q80" s="1770"/>
      <c r="R80" s="3122"/>
      <c r="S80" s="1771"/>
      <c r="T80" s="1772"/>
      <c r="U80" s="1834"/>
      <c r="V80" s="2890"/>
      <c r="W80" s="1835"/>
      <c r="X80" s="1836"/>
      <c r="Y80" s="2819"/>
      <c r="Z80" s="2728"/>
      <c r="AA80" s="2721"/>
      <c r="AB80" s="1837"/>
      <c r="AC80" s="1838"/>
      <c r="AD80" s="1839"/>
      <c r="AE80" s="1706"/>
      <c r="AF80" s="1707"/>
      <c r="AG80" s="1887"/>
      <c r="AH80" s="1888"/>
      <c r="AI80" s="1889"/>
      <c r="AJ80" s="2972"/>
      <c r="AK80" s="1890"/>
      <c r="AL80" s="3070"/>
      <c r="AM80" s="3349"/>
      <c r="AN80" s="1769"/>
      <c r="AO80" s="1770"/>
      <c r="AP80" s="3122"/>
      <c r="AQ80" s="1891"/>
      <c r="AR80" s="1892"/>
      <c r="AS80" s="1891"/>
      <c r="AT80" s="1920"/>
      <c r="AU80" s="2866"/>
      <c r="AV80" s="2882"/>
      <c r="AW80" s="2874"/>
      <c r="AX80" s="2826"/>
      <c r="AY80" s="2728"/>
      <c r="AZ80" s="2721"/>
      <c r="BA80" s="1921"/>
      <c r="BB80" s="1922"/>
      <c r="BC80" s="1923"/>
      <c r="BD80" s="1924"/>
      <c r="BE80" s="1947"/>
      <c r="BF80" s="1891"/>
      <c r="BG80" s="1948"/>
      <c r="BH80" s="1924"/>
      <c r="BI80" s="3634"/>
      <c r="BJ80" s="3634"/>
      <c r="BK80" s="1953"/>
      <c r="BL80" s="2486"/>
      <c r="BM80" s="3630"/>
    </row>
    <row r="81" spans="1:65" ht="15.75" thickBot="1">
      <c r="A81" s="3724"/>
      <c r="B81" s="1694" t="s">
        <v>34</v>
      </c>
      <c r="C81" s="3679"/>
      <c r="D81" s="1705">
        <f t="shared" si="2"/>
        <v>0</v>
      </c>
      <c r="E81" s="1706"/>
      <c r="F81" s="1707"/>
      <c r="G81" s="1708"/>
      <c r="H81" s="1709"/>
      <c r="I81" s="1766"/>
      <c r="J81" s="2981"/>
      <c r="K81" s="1767"/>
      <c r="L81" s="1768"/>
      <c r="M81" s="3059"/>
      <c r="N81" s="3343"/>
      <c r="O81" s="1708"/>
      <c r="P81" s="1768"/>
      <c r="Q81" s="1770"/>
      <c r="R81" s="3122"/>
      <c r="S81" s="1771"/>
      <c r="T81" s="1772"/>
      <c r="U81" s="1834"/>
      <c r="V81" s="2890"/>
      <c r="W81" s="1835"/>
      <c r="X81" s="1836"/>
      <c r="Y81" s="2819"/>
      <c r="Z81" s="2728"/>
      <c r="AA81" s="2721"/>
      <c r="AB81" s="1837"/>
      <c r="AC81" s="1838"/>
      <c r="AD81" s="1839"/>
      <c r="AE81" s="1706"/>
      <c r="AF81" s="1707"/>
      <c r="AG81" s="1887"/>
      <c r="AH81" s="1888"/>
      <c r="AI81" s="1889"/>
      <c r="AJ81" s="2972"/>
      <c r="AK81" s="1890"/>
      <c r="AL81" s="3070"/>
      <c r="AM81" s="3349"/>
      <c r="AN81" s="1708"/>
      <c r="AO81" s="1770"/>
      <c r="AP81" s="3122"/>
      <c r="AQ81" s="1891"/>
      <c r="AR81" s="1892"/>
      <c r="AS81" s="1891"/>
      <c r="AT81" s="1920"/>
      <c r="AU81" s="2866"/>
      <c r="AV81" s="2882"/>
      <c r="AW81" s="2874"/>
      <c r="AX81" s="2826"/>
      <c r="AY81" s="2728"/>
      <c r="AZ81" s="2721"/>
      <c r="BA81" s="1921"/>
      <c r="BB81" s="1922"/>
      <c r="BC81" s="1923"/>
      <c r="BD81" s="1924"/>
      <c r="BE81" s="1947"/>
      <c r="BF81" s="1891"/>
      <c r="BG81" s="1948"/>
      <c r="BH81" s="1924"/>
      <c r="BI81" s="3634"/>
      <c r="BJ81" s="3634"/>
      <c r="BK81" s="1953"/>
      <c r="BL81" s="2486"/>
      <c r="BM81" s="3630"/>
    </row>
    <row r="82" spans="1:65" ht="15.75" thickBot="1">
      <c r="A82" s="3723"/>
      <c r="B82" s="1738" t="s">
        <v>32</v>
      </c>
      <c r="C82" s="3678">
        <f>SUM(D82:D84)</f>
        <v>0</v>
      </c>
      <c r="D82" s="1689">
        <f t="shared" si="2"/>
        <v>0</v>
      </c>
      <c r="E82" s="1690"/>
      <c r="F82" s="1691"/>
      <c r="G82" s="1692"/>
      <c r="H82" s="1693"/>
      <c r="I82" s="1745"/>
      <c r="J82" s="2980"/>
      <c r="K82" s="1746"/>
      <c r="L82" s="1747"/>
      <c r="M82" s="3058"/>
      <c r="N82" s="3192"/>
      <c r="O82" s="1692"/>
      <c r="P82" s="1747"/>
      <c r="Q82" s="1749"/>
      <c r="R82" s="3121"/>
      <c r="S82" s="1750"/>
      <c r="T82" s="1751"/>
      <c r="U82" s="1815"/>
      <c r="V82" s="2889"/>
      <c r="W82" s="1816"/>
      <c r="X82" s="1817"/>
      <c r="Y82" s="2818"/>
      <c r="Z82" s="2727"/>
      <c r="AA82" s="2720"/>
      <c r="AB82" s="1818"/>
      <c r="AC82" s="1819"/>
      <c r="AD82" s="1820"/>
      <c r="AE82" s="1726"/>
      <c r="AF82" s="1691"/>
      <c r="AG82" s="1869"/>
      <c r="AH82" s="1893"/>
      <c r="AI82" s="1854"/>
      <c r="AJ82" s="2975"/>
      <c r="AK82" s="1894"/>
      <c r="AL82" s="3073"/>
      <c r="AM82" s="3350"/>
      <c r="AN82" s="1748"/>
      <c r="AO82" s="1749"/>
      <c r="AP82" s="3121"/>
      <c r="AQ82" s="1873"/>
      <c r="AR82" s="1874"/>
      <c r="AS82" s="1873"/>
      <c r="AT82" s="1909"/>
      <c r="AU82" s="2865"/>
      <c r="AV82" s="2881"/>
      <c r="AW82" s="2873"/>
      <c r="AX82" s="2825"/>
      <c r="AY82" s="2727"/>
      <c r="AZ82" s="2720"/>
      <c r="BA82" s="1910"/>
      <c r="BB82" s="1911"/>
      <c r="BC82" s="1864"/>
      <c r="BD82" s="1865"/>
      <c r="BE82" s="1726"/>
      <c r="BF82" s="1873"/>
      <c r="BG82" s="1940"/>
      <c r="BH82" s="1865"/>
      <c r="BI82" s="3633">
        <f>SUM(E82:AD84)</f>
        <v>0</v>
      </c>
      <c r="BJ82" s="3633">
        <f>SUM(E82:BD84)</f>
        <v>0</v>
      </c>
      <c r="BK82" s="1953"/>
      <c r="BL82" s="2486"/>
      <c r="BM82" s="3629" t="s">
        <v>33</v>
      </c>
    </row>
    <row r="83" spans="1:65" ht="15.75" thickBot="1">
      <c r="A83" s="3724"/>
      <c r="B83" s="1694" t="s">
        <v>32</v>
      </c>
      <c r="C83" s="3679"/>
      <c r="D83" s="1705">
        <f t="shared" si="2"/>
        <v>0</v>
      </c>
      <c r="E83" s="1706"/>
      <c r="F83" s="1707"/>
      <c r="G83" s="1708"/>
      <c r="H83" s="1709"/>
      <c r="I83" s="1766"/>
      <c r="J83" s="2981"/>
      <c r="K83" s="1767"/>
      <c r="L83" s="1768"/>
      <c r="M83" s="3059"/>
      <c r="N83" s="3343"/>
      <c r="O83" s="1769"/>
      <c r="P83" s="1768"/>
      <c r="Q83" s="1770"/>
      <c r="R83" s="3122"/>
      <c r="S83" s="1771"/>
      <c r="T83" s="1772"/>
      <c r="U83" s="1834"/>
      <c r="V83" s="2890"/>
      <c r="W83" s="1835"/>
      <c r="X83" s="1836"/>
      <c r="Y83" s="2819"/>
      <c r="Z83" s="2728"/>
      <c r="AA83" s="2721"/>
      <c r="AB83" s="1837"/>
      <c r="AC83" s="1838"/>
      <c r="AD83" s="1839"/>
      <c r="AE83" s="1706"/>
      <c r="AF83" s="1707"/>
      <c r="AG83" s="1887"/>
      <c r="AH83" s="1888"/>
      <c r="AI83" s="1889"/>
      <c r="AJ83" s="2972"/>
      <c r="AK83" s="1890"/>
      <c r="AL83" s="3070"/>
      <c r="AM83" s="3349"/>
      <c r="AN83" s="1769"/>
      <c r="AO83" s="1770"/>
      <c r="AP83" s="3122"/>
      <c r="AQ83" s="1891"/>
      <c r="AR83" s="1892"/>
      <c r="AS83" s="1891"/>
      <c r="AT83" s="1920"/>
      <c r="AU83" s="2866"/>
      <c r="AV83" s="2882"/>
      <c r="AW83" s="2874"/>
      <c r="AX83" s="2826"/>
      <c r="AY83" s="2728"/>
      <c r="AZ83" s="2721"/>
      <c r="BA83" s="1921"/>
      <c r="BB83" s="1922"/>
      <c r="BC83" s="1923"/>
      <c r="BD83" s="1924"/>
      <c r="BE83" s="1947"/>
      <c r="BF83" s="1891"/>
      <c r="BG83" s="1948"/>
      <c r="BH83" s="1924"/>
      <c r="BI83" s="3634"/>
      <c r="BJ83" s="3634"/>
      <c r="BK83" s="1953"/>
      <c r="BL83" s="2486"/>
      <c r="BM83" s="3630"/>
    </row>
    <row r="84" spans="1:65" ht="15.75" thickBot="1">
      <c r="A84" s="3724"/>
      <c r="B84" s="1694" t="s">
        <v>34</v>
      </c>
      <c r="C84" s="3679"/>
      <c r="D84" s="1705">
        <f t="shared" si="2"/>
        <v>0</v>
      </c>
      <c r="E84" s="1706"/>
      <c r="F84" s="1707"/>
      <c r="G84" s="1708"/>
      <c r="H84" s="1709"/>
      <c r="I84" s="1766"/>
      <c r="J84" s="2981"/>
      <c r="K84" s="1767"/>
      <c r="L84" s="1768"/>
      <c r="M84" s="3059"/>
      <c r="N84" s="3343"/>
      <c r="O84" s="1769"/>
      <c r="P84" s="1768"/>
      <c r="Q84" s="1770"/>
      <c r="R84" s="3122"/>
      <c r="S84" s="1771"/>
      <c r="T84" s="1772"/>
      <c r="U84" s="1834"/>
      <c r="V84" s="2890"/>
      <c r="W84" s="1835"/>
      <c r="X84" s="1836"/>
      <c r="Y84" s="2819"/>
      <c r="Z84" s="2728"/>
      <c r="AA84" s="2721"/>
      <c r="AB84" s="1837"/>
      <c r="AC84" s="1838"/>
      <c r="AD84" s="1839"/>
      <c r="AE84" s="1706"/>
      <c r="AF84" s="1707"/>
      <c r="AG84" s="1887"/>
      <c r="AH84" s="1888"/>
      <c r="AI84" s="1889"/>
      <c r="AJ84" s="2972"/>
      <c r="AK84" s="1890"/>
      <c r="AL84" s="3070"/>
      <c r="AM84" s="3349"/>
      <c r="AN84" s="1769"/>
      <c r="AO84" s="1770"/>
      <c r="AP84" s="3122"/>
      <c r="AQ84" s="1891"/>
      <c r="AR84" s="1892"/>
      <c r="AS84" s="1891"/>
      <c r="AT84" s="1920"/>
      <c r="AU84" s="2866"/>
      <c r="AV84" s="2882"/>
      <c r="AW84" s="2874"/>
      <c r="AX84" s="2826"/>
      <c r="AY84" s="2728"/>
      <c r="AZ84" s="2721"/>
      <c r="BA84" s="1921"/>
      <c r="BB84" s="1922"/>
      <c r="BC84" s="1923"/>
      <c r="BD84" s="1924"/>
      <c r="BE84" s="1947"/>
      <c r="BF84" s="1891"/>
      <c r="BG84" s="1948"/>
      <c r="BH84" s="1924"/>
      <c r="BI84" s="3634"/>
      <c r="BJ84" s="3634"/>
      <c r="BK84" s="1953"/>
      <c r="BL84" s="2486"/>
      <c r="BM84" s="3630"/>
    </row>
    <row r="85" spans="1:65" ht="18.75" customHeight="1" thickBot="1">
      <c r="A85" s="3725"/>
      <c r="B85" s="1738" t="s">
        <v>32</v>
      </c>
      <c r="C85" s="3678">
        <f>SUM(D85:D88)</f>
        <v>0</v>
      </c>
      <c r="D85" s="1689">
        <f t="shared" si="2"/>
        <v>0</v>
      </c>
      <c r="E85" s="1690"/>
      <c r="F85" s="1691"/>
      <c r="G85" s="1692"/>
      <c r="H85" s="1693"/>
      <c r="I85" s="1745"/>
      <c r="J85" s="2980"/>
      <c r="K85" s="1746"/>
      <c r="L85" s="1747"/>
      <c r="M85" s="3058"/>
      <c r="N85" s="3192"/>
      <c r="O85" s="1692"/>
      <c r="P85" s="1747"/>
      <c r="Q85" s="1749"/>
      <c r="R85" s="3121"/>
      <c r="S85" s="1750"/>
      <c r="T85" s="1751"/>
      <c r="U85" s="1815"/>
      <c r="V85" s="2889"/>
      <c r="W85" s="1816"/>
      <c r="X85" s="1817"/>
      <c r="Y85" s="2818"/>
      <c r="Z85" s="2727"/>
      <c r="AA85" s="2720"/>
      <c r="AB85" s="1818"/>
      <c r="AC85" s="1819"/>
      <c r="AD85" s="1820"/>
      <c r="AE85" s="1726"/>
      <c r="AF85" s="1691"/>
      <c r="AG85" s="1869"/>
      <c r="AH85" s="1893"/>
      <c r="AI85" s="1854"/>
      <c r="AJ85" s="2975"/>
      <c r="AK85" s="1894"/>
      <c r="AL85" s="3073"/>
      <c r="AM85" s="3350"/>
      <c r="AN85" s="1748"/>
      <c r="AO85" s="1749"/>
      <c r="AP85" s="3121"/>
      <c r="AQ85" s="1873"/>
      <c r="AR85" s="1874"/>
      <c r="AS85" s="1873"/>
      <c r="AT85" s="1909"/>
      <c r="AU85" s="2865"/>
      <c r="AV85" s="2881"/>
      <c r="AW85" s="2873"/>
      <c r="AX85" s="2825"/>
      <c r="AY85" s="2727"/>
      <c r="AZ85" s="2720"/>
      <c r="BA85" s="1910"/>
      <c r="BB85" s="1911"/>
      <c r="BC85" s="1864"/>
      <c r="BD85" s="1865"/>
      <c r="BE85" s="1726"/>
      <c r="BF85" s="1873"/>
      <c r="BG85" s="1940"/>
      <c r="BH85" s="1865"/>
      <c r="BI85" s="3633">
        <f>SUM(E85:AD88)</f>
        <v>0</v>
      </c>
      <c r="BJ85" s="3633">
        <f>SUM(E85:BD88)</f>
        <v>0</v>
      </c>
      <c r="BK85" s="1953"/>
      <c r="BL85" s="2486"/>
      <c r="BM85" s="3629" t="s">
        <v>33</v>
      </c>
    </row>
    <row r="86" spans="1:65" ht="15.75" thickBot="1">
      <c r="A86" s="3726"/>
      <c r="B86" s="1694" t="s">
        <v>34</v>
      </c>
      <c r="C86" s="3679"/>
      <c r="D86" s="1705">
        <f t="shared" si="2"/>
        <v>0</v>
      </c>
      <c r="E86" s="1706"/>
      <c r="F86" s="1707"/>
      <c r="G86" s="1708"/>
      <c r="H86" s="1709"/>
      <c r="I86" s="1766"/>
      <c r="J86" s="2981"/>
      <c r="K86" s="1767"/>
      <c r="L86" s="1768"/>
      <c r="M86" s="3059"/>
      <c r="N86" s="3343"/>
      <c r="O86" s="1769"/>
      <c r="P86" s="1768"/>
      <c r="Q86" s="1770"/>
      <c r="R86" s="3122"/>
      <c r="S86" s="1771"/>
      <c r="T86" s="1772"/>
      <c r="U86" s="1834"/>
      <c r="V86" s="2890"/>
      <c r="W86" s="1835"/>
      <c r="X86" s="1836"/>
      <c r="Y86" s="2819"/>
      <c r="Z86" s="2728"/>
      <c r="AA86" s="2721"/>
      <c r="AB86" s="1837"/>
      <c r="AC86" s="1838"/>
      <c r="AD86" s="1839"/>
      <c r="AE86" s="1706"/>
      <c r="AF86" s="1707"/>
      <c r="AG86" s="1887"/>
      <c r="AH86" s="1888"/>
      <c r="AI86" s="1889"/>
      <c r="AJ86" s="2972"/>
      <c r="AK86" s="1890"/>
      <c r="AL86" s="3070"/>
      <c r="AM86" s="3349"/>
      <c r="AN86" s="1769"/>
      <c r="AO86" s="1770"/>
      <c r="AP86" s="3122"/>
      <c r="AQ86" s="1891"/>
      <c r="AR86" s="1892"/>
      <c r="AS86" s="1891"/>
      <c r="AT86" s="1920"/>
      <c r="AU86" s="2866"/>
      <c r="AV86" s="2882"/>
      <c r="AW86" s="2874"/>
      <c r="AX86" s="2826"/>
      <c r="AY86" s="2728"/>
      <c r="AZ86" s="2721"/>
      <c r="BA86" s="1921"/>
      <c r="BB86" s="1922"/>
      <c r="BC86" s="1923"/>
      <c r="BD86" s="1924"/>
      <c r="BE86" s="1947"/>
      <c r="BF86" s="1891"/>
      <c r="BG86" s="1948"/>
      <c r="BH86" s="1924"/>
      <c r="BI86" s="3634"/>
      <c r="BJ86" s="3634"/>
      <c r="BK86" s="1942"/>
      <c r="BL86" s="1952"/>
      <c r="BM86" s="3630"/>
    </row>
    <row r="87" spans="1:65" ht="15.75" thickBot="1">
      <c r="A87" s="3726"/>
      <c r="B87" s="1694" t="s">
        <v>34</v>
      </c>
      <c r="C87" s="3679"/>
      <c r="D87" s="1705">
        <f t="shared" si="2"/>
        <v>0</v>
      </c>
      <c r="E87" s="1706"/>
      <c r="F87" s="1707"/>
      <c r="G87" s="1708"/>
      <c r="H87" s="1709"/>
      <c r="I87" s="1766"/>
      <c r="J87" s="2981"/>
      <c r="K87" s="1767"/>
      <c r="L87" s="1768"/>
      <c r="M87" s="3059"/>
      <c r="N87" s="3343"/>
      <c r="O87" s="1769"/>
      <c r="P87" s="1768"/>
      <c r="Q87" s="1770"/>
      <c r="R87" s="3122"/>
      <c r="S87" s="1771"/>
      <c r="T87" s="1772"/>
      <c r="U87" s="1834"/>
      <c r="V87" s="2890"/>
      <c r="W87" s="1835"/>
      <c r="X87" s="1836"/>
      <c r="Y87" s="2819"/>
      <c r="Z87" s="2728"/>
      <c r="AA87" s="2721"/>
      <c r="AB87" s="1837"/>
      <c r="AC87" s="1838"/>
      <c r="AD87" s="1839"/>
      <c r="AE87" s="1706"/>
      <c r="AF87" s="1707"/>
      <c r="AG87" s="1887"/>
      <c r="AH87" s="1888"/>
      <c r="AI87" s="1889"/>
      <c r="AJ87" s="2972"/>
      <c r="AK87" s="1890"/>
      <c r="AL87" s="3070"/>
      <c r="AM87" s="3349"/>
      <c r="AN87" s="1769"/>
      <c r="AO87" s="1770"/>
      <c r="AP87" s="3122"/>
      <c r="AQ87" s="1891"/>
      <c r="AR87" s="1892"/>
      <c r="AS87" s="1891"/>
      <c r="AT87" s="1920"/>
      <c r="AU87" s="2866"/>
      <c r="AV87" s="2882"/>
      <c r="AW87" s="2874"/>
      <c r="AX87" s="2826"/>
      <c r="AY87" s="2728"/>
      <c r="AZ87" s="2721"/>
      <c r="BA87" s="1921"/>
      <c r="BB87" s="1922"/>
      <c r="BC87" s="1923"/>
      <c r="BD87" s="1924"/>
      <c r="BE87" s="1947"/>
      <c r="BF87" s="1891"/>
      <c r="BG87" s="1948"/>
      <c r="BH87" s="1924"/>
      <c r="BI87" s="3634"/>
      <c r="BJ87" s="3634"/>
      <c r="BK87" s="1942"/>
      <c r="BL87" s="1952"/>
      <c r="BM87" s="3630"/>
    </row>
    <row r="88" spans="1:65" ht="15.75" customHeight="1" thickBot="1">
      <c r="A88" s="3727"/>
      <c r="B88" s="1694" t="s">
        <v>34</v>
      </c>
      <c r="C88" s="3681"/>
      <c r="D88" s="1705">
        <f t="shared" si="2"/>
        <v>0</v>
      </c>
      <c r="E88" s="1706"/>
      <c r="F88" s="1707"/>
      <c r="G88" s="1708"/>
      <c r="H88" s="1709"/>
      <c r="I88" s="1766"/>
      <c r="J88" s="2981"/>
      <c r="K88" s="1767"/>
      <c r="L88" s="1768"/>
      <c r="M88" s="3059"/>
      <c r="N88" s="3343"/>
      <c r="O88" s="1769"/>
      <c r="P88" s="1768"/>
      <c r="Q88" s="1770"/>
      <c r="R88" s="3122"/>
      <c r="S88" s="1771"/>
      <c r="T88" s="1772"/>
      <c r="U88" s="1834"/>
      <c r="V88" s="2890"/>
      <c r="W88" s="1835"/>
      <c r="X88" s="1836"/>
      <c r="Y88" s="2819"/>
      <c r="Z88" s="2728"/>
      <c r="AA88" s="2721"/>
      <c r="AB88" s="1837"/>
      <c r="AC88" s="1838"/>
      <c r="AD88" s="1839"/>
      <c r="AE88" s="1706"/>
      <c r="AF88" s="1707"/>
      <c r="AG88" s="1887"/>
      <c r="AH88" s="1888"/>
      <c r="AI88" s="1889"/>
      <c r="AJ88" s="2972"/>
      <c r="AK88" s="1890"/>
      <c r="AL88" s="3070"/>
      <c r="AM88" s="3349"/>
      <c r="AN88" s="1769"/>
      <c r="AO88" s="1770"/>
      <c r="AP88" s="3122"/>
      <c r="AQ88" s="1891"/>
      <c r="AR88" s="1892"/>
      <c r="AS88" s="1891"/>
      <c r="AT88" s="1920"/>
      <c r="AU88" s="2866"/>
      <c r="AV88" s="2882"/>
      <c r="AW88" s="2874"/>
      <c r="AX88" s="2826"/>
      <c r="AY88" s="2728"/>
      <c r="AZ88" s="2721"/>
      <c r="BA88" s="1921"/>
      <c r="BB88" s="1922"/>
      <c r="BC88" s="1923"/>
      <c r="BD88" s="1924"/>
      <c r="BE88" s="1947"/>
      <c r="BF88" s="1891"/>
      <c r="BG88" s="1948"/>
      <c r="BH88" s="1924"/>
      <c r="BI88" s="3635"/>
      <c r="BJ88" s="3635"/>
      <c r="BK88" s="1953"/>
      <c r="BL88" s="2486"/>
      <c r="BM88" s="3631"/>
    </row>
    <row r="89" spans="1:65" ht="15.75" thickBot="1">
      <c r="A89" s="3723"/>
      <c r="B89" s="1738" t="s">
        <v>32</v>
      </c>
      <c r="C89" s="3678">
        <f>SUM(D89:D92)</f>
        <v>0</v>
      </c>
      <c r="D89" s="1689">
        <f t="shared" si="2"/>
        <v>0</v>
      </c>
      <c r="E89" s="1690"/>
      <c r="F89" s="1691"/>
      <c r="G89" s="1692"/>
      <c r="H89" s="1693"/>
      <c r="I89" s="1745"/>
      <c r="J89" s="2980"/>
      <c r="K89" s="1746"/>
      <c r="L89" s="1747"/>
      <c r="M89" s="3058"/>
      <c r="N89" s="3192"/>
      <c r="O89" s="1748"/>
      <c r="P89" s="1747"/>
      <c r="Q89" s="1749"/>
      <c r="R89" s="3121"/>
      <c r="S89" s="1750"/>
      <c r="T89" s="1751"/>
      <c r="U89" s="1815"/>
      <c r="V89" s="2889"/>
      <c r="W89" s="1816"/>
      <c r="X89" s="1817"/>
      <c r="Y89" s="2818"/>
      <c r="Z89" s="2727"/>
      <c r="AA89" s="2720"/>
      <c r="AB89" s="1818"/>
      <c r="AC89" s="1819"/>
      <c r="AD89" s="1820"/>
      <c r="AE89" s="1726"/>
      <c r="AF89" s="1691"/>
      <c r="AG89" s="1869"/>
      <c r="AH89" s="1893"/>
      <c r="AI89" s="1854"/>
      <c r="AJ89" s="2975"/>
      <c r="AK89" s="1894"/>
      <c r="AL89" s="3073"/>
      <c r="AM89" s="3350"/>
      <c r="AN89" s="1748"/>
      <c r="AO89" s="1749"/>
      <c r="AP89" s="3121"/>
      <c r="AQ89" s="1873"/>
      <c r="AR89" s="1874"/>
      <c r="AS89" s="1873"/>
      <c r="AT89" s="1909"/>
      <c r="AU89" s="2865"/>
      <c r="AV89" s="2881"/>
      <c r="AW89" s="2873"/>
      <c r="AX89" s="2825"/>
      <c r="AY89" s="2727"/>
      <c r="AZ89" s="2720"/>
      <c r="BA89" s="1910"/>
      <c r="BB89" s="1911"/>
      <c r="BC89" s="1864"/>
      <c r="BD89" s="1865"/>
      <c r="BE89" s="1726"/>
      <c r="BF89" s="1873"/>
      <c r="BG89" s="1940"/>
      <c r="BH89" s="1865"/>
      <c r="BI89" s="3633">
        <f>SUM(E89:AD92)</f>
        <v>0</v>
      </c>
      <c r="BJ89" s="3633">
        <f>SUM(E89:BD92)</f>
        <v>0</v>
      </c>
      <c r="BK89" s="1942"/>
      <c r="BL89" s="1952"/>
      <c r="BM89" s="3629" t="s">
        <v>33</v>
      </c>
    </row>
    <row r="90" spans="1:65" ht="15.75" thickBot="1">
      <c r="A90" s="3724"/>
      <c r="B90" s="1694" t="s">
        <v>34</v>
      </c>
      <c r="C90" s="3679"/>
      <c r="D90" s="1705">
        <f>SUM(E90:BH90)</f>
        <v>0</v>
      </c>
      <c r="E90" s="1706"/>
      <c r="F90" s="1707"/>
      <c r="G90" s="1708"/>
      <c r="H90" s="1709"/>
      <c r="I90" s="1766"/>
      <c r="J90" s="2981"/>
      <c r="K90" s="1767"/>
      <c r="L90" s="1768"/>
      <c r="M90" s="3059"/>
      <c r="N90" s="3343"/>
      <c r="O90" s="1769"/>
      <c r="P90" s="1768"/>
      <c r="Q90" s="1770"/>
      <c r="R90" s="3122"/>
      <c r="S90" s="1771"/>
      <c r="T90" s="1772"/>
      <c r="U90" s="1834"/>
      <c r="V90" s="2890"/>
      <c r="W90" s="1835"/>
      <c r="X90" s="1836"/>
      <c r="Y90" s="2819"/>
      <c r="Z90" s="2728"/>
      <c r="AA90" s="2721"/>
      <c r="AB90" s="1837"/>
      <c r="AC90" s="1838"/>
      <c r="AD90" s="1839"/>
      <c r="AE90" s="1706"/>
      <c r="AF90" s="1707"/>
      <c r="AG90" s="1887"/>
      <c r="AH90" s="1888"/>
      <c r="AI90" s="1889"/>
      <c r="AJ90" s="2972"/>
      <c r="AK90" s="1890"/>
      <c r="AL90" s="3070"/>
      <c r="AM90" s="3349"/>
      <c r="AN90" s="1769"/>
      <c r="AO90" s="1770"/>
      <c r="AP90" s="3122"/>
      <c r="AQ90" s="1891"/>
      <c r="AR90" s="1892"/>
      <c r="AS90" s="1891"/>
      <c r="AT90" s="1920"/>
      <c r="AU90" s="2866"/>
      <c r="AV90" s="2882"/>
      <c r="AW90" s="2874"/>
      <c r="AX90" s="2826"/>
      <c r="AY90" s="2728"/>
      <c r="AZ90" s="2721"/>
      <c r="BA90" s="1921"/>
      <c r="BB90" s="1922"/>
      <c r="BC90" s="1923"/>
      <c r="BD90" s="1924"/>
      <c r="BE90" s="1947"/>
      <c r="BF90" s="1891"/>
      <c r="BG90" s="1948"/>
      <c r="BH90" s="1924"/>
      <c r="BI90" s="3634"/>
      <c r="BJ90" s="3634"/>
      <c r="BK90" s="1942"/>
      <c r="BL90" s="1952"/>
      <c r="BM90" s="3630"/>
    </row>
    <row r="91" spans="1:65" ht="15.75" thickBot="1">
      <c r="A91" s="3724"/>
      <c r="B91" s="1694" t="s">
        <v>34</v>
      </c>
      <c r="C91" s="3679"/>
      <c r="D91" s="1705">
        <f t="shared" si="2"/>
        <v>0</v>
      </c>
      <c r="E91" s="1706"/>
      <c r="F91" s="1707"/>
      <c r="G91" s="1708"/>
      <c r="H91" s="1709"/>
      <c r="I91" s="1766"/>
      <c r="J91" s="2981"/>
      <c r="K91" s="1767"/>
      <c r="L91" s="1768"/>
      <c r="M91" s="3059"/>
      <c r="N91" s="3343"/>
      <c r="O91" s="1769"/>
      <c r="P91" s="1768"/>
      <c r="Q91" s="1770"/>
      <c r="R91" s="3122"/>
      <c r="S91" s="1771"/>
      <c r="T91" s="1772"/>
      <c r="U91" s="1834"/>
      <c r="V91" s="2890"/>
      <c r="W91" s="1835"/>
      <c r="X91" s="1836"/>
      <c r="Y91" s="2819"/>
      <c r="Z91" s="2728"/>
      <c r="AA91" s="2721"/>
      <c r="AB91" s="1837"/>
      <c r="AC91" s="1838"/>
      <c r="AD91" s="1839"/>
      <c r="AE91" s="1706"/>
      <c r="AF91" s="1707"/>
      <c r="AG91" s="1887"/>
      <c r="AH91" s="1888"/>
      <c r="AI91" s="1889"/>
      <c r="AJ91" s="2972"/>
      <c r="AK91" s="1890"/>
      <c r="AL91" s="3070"/>
      <c r="AM91" s="3349"/>
      <c r="AN91" s="1769"/>
      <c r="AO91" s="1770"/>
      <c r="AP91" s="3122"/>
      <c r="AQ91" s="1891"/>
      <c r="AR91" s="1892"/>
      <c r="AS91" s="1891"/>
      <c r="AT91" s="1920"/>
      <c r="AU91" s="2866"/>
      <c r="AV91" s="2882"/>
      <c r="AW91" s="2874"/>
      <c r="AX91" s="2826"/>
      <c r="AY91" s="2728"/>
      <c r="AZ91" s="2721"/>
      <c r="BA91" s="1921"/>
      <c r="BB91" s="1922"/>
      <c r="BC91" s="1923"/>
      <c r="BD91" s="1924"/>
      <c r="BE91" s="1947"/>
      <c r="BF91" s="1891"/>
      <c r="BG91" s="1948"/>
      <c r="BH91" s="1924"/>
      <c r="BI91" s="3634"/>
      <c r="BJ91" s="3634"/>
      <c r="BK91" s="1942"/>
      <c r="BL91" s="1952"/>
      <c r="BM91" s="3630"/>
    </row>
    <row r="92" spans="1:65" ht="15.75" thickBot="1">
      <c r="A92" s="3724"/>
      <c r="B92" s="1694" t="s">
        <v>34</v>
      </c>
      <c r="C92" s="3679"/>
      <c r="D92" s="1705">
        <f t="shared" si="2"/>
        <v>0</v>
      </c>
      <c r="E92" s="1706"/>
      <c r="F92" s="1707"/>
      <c r="G92" s="1708"/>
      <c r="H92" s="1709"/>
      <c r="I92" s="1766"/>
      <c r="J92" s="2981"/>
      <c r="K92" s="1767"/>
      <c r="L92" s="1768"/>
      <c r="M92" s="3059"/>
      <c r="N92" s="3343"/>
      <c r="O92" s="1769"/>
      <c r="P92" s="1768"/>
      <c r="Q92" s="1770"/>
      <c r="R92" s="3122"/>
      <c r="S92" s="1771"/>
      <c r="T92" s="1772"/>
      <c r="U92" s="1834"/>
      <c r="V92" s="2890"/>
      <c r="W92" s="1835"/>
      <c r="X92" s="1836"/>
      <c r="Y92" s="2819"/>
      <c r="Z92" s="2728"/>
      <c r="AA92" s="2721"/>
      <c r="AB92" s="1837"/>
      <c r="AC92" s="1838"/>
      <c r="AD92" s="1839"/>
      <c r="AE92" s="1706"/>
      <c r="AF92" s="1707"/>
      <c r="AG92" s="1887"/>
      <c r="AH92" s="1888"/>
      <c r="AI92" s="1889"/>
      <c r="AJ92" s="2972"/>
      <c r="AK92" s="1890"/>
      <c r="AL92" s="3070"/>
      <c r="AM92" s="3349"/>
      <c r="AN92" s="1769"/>
      <c r="AO92" s="1770"/>
      <c r="AP92" s="3122"/>
      <c r="AQ92" s="1891"/>
      <c r="AR92" s="1892"/>
      <c r="AS92" s="1891"/>
      <c r="AT92" s="1920"/>
      <c r="AU92" s="2866"/>
      <c r="AV92" s="2882"/>
      <c r="AW92" s="2874"/>
      <c r="AX92" s="2826"/>
      <c r="AY92" s="2728"/>
      <c r="AZ92" s="2721"/>
      <c r="BA92" s="1921"/>
      <c r="BB92" s="1922"/>
      <c r="BC92" s="1923"/>
      <c r="BD92" s="1924"/>
      <c r="BE92" s="1947"/>
      <c r="BF92" s="1891"/>
      <c r="BG92" s="1948"/>
      <c r="BH92" s="1924"/>
      <c r="BI92" s="3634"/>
      <c r="BJ92" s="3634"/>
      <c r="BK92" s="1942"/>
      <c r="BL92" s="1952"/>
      <c r="BM92" s="3630"/>
    </row>
    <row r="93" spans="1:65" ht="15.75" thickBot="1">
      <c r="A93" s="3723"/>
      <c r="B93" s="1738" t="s">
        <v>32</v>
      </c>
      <c r="C93" s="3678">
        <f>SUM(D93:D96)</f>
        <v>0</v>
      </c>
      <c r="D93" s="1689">
        <f t="shared" si="2"/>
        <v>0</v>
      </c>
      <c r="E93" s="1690"/>
      <c r="F93" s="1691"/>
      <c r="G93" s="1692"/>
      <c r="H93" s="1693"/>
      <c r="I93" s="1745"/>
      <c r="J93" s="2980"/>
      <c r="K93" s="1746"/>
      <c r="L93" s="1747"/>
      <c r="M93" s="3058"/>
      <c r="N93" s="3192"/>
      <c r="O93" s="1748"/>
      <c r="P93" s="1747"/>
      <c r="Q93" s="1749"/>
      <c r="R93" s="3121"/>
      <c r="S93" s="1750"/>
      <c r="T93" s="1751"/>
      <c r="U93" s="1815"/>
      <c r="V93" s="2889"/>
      <c r="W93" s="1816"/>
      <c r="X93" s="1817"/>
      <c r="Y93" s="2818"/>
      <c r="Z93" s="2727"/>
      <c r="AA93" s="2720"/>
      <c r="AB93" s="1818"/>
      <c r="AC93" s="1819"/>
      <c r="AD93" s="1820"/>
      <c r="AE93" s="1726"/>
      <c r="AF93" s="1691"/>
      <c r="AG93" s="1869"/>
      <c r="AH93" s="1893"/>
      <c r="AI93" s="1854"/>
      <c r="AJ93" s="2975"/>
      <c r="AK93" s="1894"/>
      <c r="AL93" s="3073"/>
      <c r="AM93" s="3350"/>
      <c r="AN93" s="1748"/>
      <c r="AO93" s="1749"/>
      <c r="AP93" s="3121"/>
      <c r="AQ93" s="1873"/>
      <c r="AR93" s="1874"/>
      <c r="AS93" s="1873"/>
      <c r="AT93" s="1909"/>
      <c r="AU93" s="2865"/>
      <c r="AV93" s="2881"/>
      <c r="AW93" s="2873"/>
      <c r="AX93" s="2825"/>
      <c r="AY93" s="2727"/>
      <c r="AZ93" s="2720"/>
      <c r="BA93" s="1910"/>
      <c r="BB93" s="1911"/>
      <c r="BC93" s="1864"/>
      <c r="BD93" s="1865"/>
      <c r="BE93" s="1726"/>
      <c r="BF93" s="1873"/>
      <c r="BG93" s="1940"/>
      <c r="BH93" s="1865"/>
      <c r="BI93" s="3633">
        <f>SUM(E93:AD96)</f>
        <v>0</v>
      </c>
      <c r="BJ93" s="3633">
        <f>SUM(E93:BD96)</f>
        <v>0</v>
      </c>
      <c r="BK93" s="1942"/>
      <c r="BL93" s="1952"/>
      <c r="BM93" s="3629" t="s">
        <v>33</v>
      </c>
    </row>
    <row r="94" spans="1:65" ht="15.75" thickBot="1">
      <c r="A94" s="3724"/>
      <c r="B94" s="1694" t="s">
        <v>34</v>
      </c>
      <c r="C94" s="3679"/>
      <c r="D94" s="1705">
        <f t="shared" si="2"/>
        <v>0</v>
      </c>
      <c r="E94" s="1706"/>
      <c r="F94" s="1707"/>
      <c r="G94" s="1708"/>
      <c r="H94" s="1709"/>
      <c r="I94" s="1766"/>
      <c r="J94" s="2981"/>
      <c r="K94" s="1767"/>
      <c r="L94" s="1768"/>
      <c r="M94" s="3059"/>
      <c r="N94" s="3343"/>
      <c r="O94" s="1769"/>
      <c r="P94" s="1768"/>
      <c r="Q94" s="1770"/>
      <c r="R94" s="3122"/>
      <c r="S94" s="1771"/>
      <c r="T94" s="1772"/>
      <c r="U94" s="1834"/>
      <c r="V94" s="2890"/>
      <c r="W94" s="1835"/>
      <c r="X94" s="1836"/>
      <c r="Y94" s="2819"/>
      <c r="Z94" s="2728"/>
      <c r="AA94" s="2721"/>
      <c r="AB94" s="1837"/>
      <c r="AC94" s="1838"/>
      <c r="AD94" s="1839"/>
      <c r="AE94" s="1706"/>
      <c r="AF94" s="1707"/>
      <c r="AG94" s="1887"/>
      <c r="AH94" s="1888"/>
      <c r="AI94" s="1889"/>
      <c r="AJ94" s="2972"/>
      <c r="AK94" s="1890"/>
      <c r="AL94" s="3070"/>
      <c r="AM94" s="3349"/>
      <c r="AN94" s="1769"/>
      <c r="AO94" s="1770"/>
      <c r="AP94" s="3122"/>
      <c r="AQ94" s="1891"/>
      <c r="AR94" s="1892"/>
      <c r="AS94" s="1891"/>
      <c r="AT94" s="1920"/>
      <c r="AU94" s="2866"/>
      <c r="AV94" s="2882"/>
      <c r="AW94" s="2874"/>
      <c r="AX94" s="2826"/>
      <c r="AY94" s="2728"/>
      <c r="AZ94" s="2721"/>
      <c r="BA94" s="1921"/>
      <c r="BB94" s="1922"/>
      <c r="BC94" s="1923"/>
      <c r="BD94" s="1924"/>
      <c r="BE94" s="1947"/>
      <c r="BF94" s="1891"/>
      <c r="BG94" s="1948"/>
      <c r="BH94" s="1924"/>
      <c r="BI94" s="3634"/>
      <c r="BJ94" s="3634"/>
      <c r="BK94" s="1942"/>
      <c r="BL94" s="1952"/>
      <c r="BM94" s="3630"/>
    </row>
    <row r="95" spans="1:65" ht="15.75" thickBot="1">
      <c r="A95" s="3724"/>
      <c r="B95" s="1694" t="s">
        <v>34</v>
      </c>
      <c r="C95" s="3679"/>
      <c r="D95" s="1705">
        <f t="shared" si="2"/>
        <v>0</v>
      </c>
      <c r="E95" s="1706"/>
      <c r="F95" s="1707"/>
      <c r="G95" s="1708"/>
      <c r="H95" s="1709"/>
      <c r="I95" s="1766"/>
      <c r="J95" s="2981"/>
      <c r="K95" s="1767"/>
      <c r="L95" s="1768"/>
      <c r="M95" s="3059"/>
      <c r="N95" s="3343"/>
      <c r="O95" s="1769"/>
      <c r="P95" s="1768"/>
      <c r="Q95" s="1770"/>
      <c r="R95" s="3122"/>
      <c r="S95" s="1771"/>
      <c r="T95" s="1772"/>
      <c r="U95" s="1834"/>
      <c r="V95" s="2890"/>
      <c r="W95" s="1835"/>
      <c r="X95" s="1836"/>
      <c r="Y95" s="2819"/>
      <c r="Z95" s="2728"/>
      <c r="AA95" s="2721"/>
      <c r="AB95" s="1837"/>
      <c r="AC95" s="1838"/>
      <c r="AD95" s="1839"/>
      <c r="AE95" s="1706"/>
      <c r="AF95" s="1707"/>
      <c r="AG95" s="1887"/>
      <c r="AH95" s="1888"/>
      <c r="AI95" s="1889"/>
      <c r="AJ95" s="2972"/>
      <c r="AK95" s="1890"/>
      <c r="AL95" s="3070"/>
      <c r="AM95" s="3349"/>
      <c r="AN95" s="1769"/>
      <c r="AO95" s="1770"/>
      <c r="AP95" s="3122"/>
      <c r="AQ95" s="1891"/>
      <c r="AR95" s="1892"/>
      <c r="AS95" s="1891"/>
      <c r="AT95" s="1920"/>
      <c r="AU95" s="2866"/>
      <c r="AV95" s="2882"/>
      <c r="AW95" s="2874"/>
      <c r="AX95" s="2826"/>
      <c r="AY95" s="2728"/>
      <c r="AZ95" s="2721"/>
      <c r="BA95" s="1921"/>
      <c r="BB95" s="1922"/>
      <c r="BC95" s="1923"/>
      <c r="BD95" s="1924"/>
      <c r="BE95" s="1947"/>
      <c r="BF95" s="1891"/>
      <c r="BG95" s="1948"/>
      <c r="BH95" s="1924"/>
      <c r="BI95" s="3634"/>
      <c r="BJ95" s="3634"/>
      <c r="BK95" s="1942"/>
      <c r="BL95" s="1952"/>
      <c r="BM95" s="3630"/>
    </row>
    <row r="96" spans="1:65" ht="15.75" thickBot="1">
      <c r="A96" s="3724"/>
      <c r="B96" s="1694" t="s">
        <v>34</v>
      </c>
      <c r="C96" s="3679"/>
      <c r="D96" s="1705">
        <f t="shared" si="2"/>
        <v>0</v>
      </c>
      <c r="E96" s="1706"/>
      <c r="F96" s="1707"/>
      <c r="G96" s="1708"/>
      <c r="H96" s="1709"/>
      <c r="I96" s="1766"/>
      <c r="J96" s="2981"/>
      <c r="K96" s="1767"/>
      <c r="L96" s="1768"/>
      <c r="M96" s="3059"/>
      <c r="N96" s="3343"/>
      <c r="O96" s="1769"/>
      <c r="P96" s="1768"/>
      <c r="Q96" s="1770"/>
      <c r="R96" s="3122"/>
      <c r="S96" s="1771"/>
      <c r="T96" s="1772"/>
      <c r="U96" s="1834"/>
      <c r="V96" s="2890"/>
      <c r="W96" s="1835"/>
      <c r="X96" s="1836"/>
      <c r="Y96" s="2819"/>
      <c r="Z96" s="2728"/>
      <c r="AA96" s="2721"/>
      <c r="AB96" s="1837"/>
      <c r="AC96" s="1838"/>
      <c r="AD96" s="1839"/>
      <c r="AE96" s="1706"/>
      <c r="AF96" s="1707"/>
      <c r="AG96" s="1887"/>
      <c r="AH96" s="1888"/>
      <c r="AI96" s="1889"/>
      <c r="AJ96" s="2972"/>
      <c r="AK96" s="1890"/>
      <c r="AL96" s="3070"/>
      <c r="AM96" s="3349"/>
      <c r="AN96" s="1769"/>
      <c r="AO96" s="1770"/>
      <c r="AP96" s="3122"/>
      <c r="AQ96" s="1891"/>
      <c r="AR96" s="1892"/>
      <c r="AS96" s="1891"/>
      <c r="AT96" s="1920"/>
      <c r="AU96" s="2866"/>
      <c r="AV96" s="2882"/>
      <c r="AW96" s="2874"/>
      <c r="AX96" s="2826"/>
      <c r="AY96" s="2728"/>
      <c r="AZ96" s="2721"/>
      <c r="BA96" s="1921"/>
      <c r="BB96" s="1922"/>
      <c r="BC96" s="1923"/>
      <c r="BD96" s="1924"/>
      <c r="BE96" s="1947"/>
      <c r="BF96" s="1891"/>
      <c r="BG96" s="1948"/>
      <c r="BH96" s="1924"/>
      <c r="BI96" s="3634"/>
      <c r="BJ96" s="3634"/>
      <c r="BK96" s="1942"/>
      <c r="BL96" s="1952"/>
      <c r="BM96" s="3630"/>
    </row>
    <row r="97" spans="1:65" ht="15.75" thickBot="1">
      <c r="A97" s="3723"/>
      <c r="B97" s="1738" t="s">
        <v>32</v>
      </c>
      <c r="C97" s="3678">
        <f>SUM(D97:D100)</f>
        <v>0</v>
      </c>
      <c r="D97" s="1689">
        <f t="shared" si="2"/>
        <v>0</v>
      </c>
      <c r="E97" s="1690"/>
      <c r="F97" s="1691"/>
      <c r="G97" s="1692"/>
      <c r="H97" s="1693"/>
      <c r="I97" s="1745"/>
      <c r="J97" s="2980"/>
      <c r="K97" s="1746"/>
      <c r="L97" s="1747"/>
      <c r="M97" s="3058"/>
      <c r="N97" s="3192"/>
      <c r="O97" s="1748"/>
      <c r="P97" s="1747"/>
      <c r="Q97" s="1749"/>
      <c r="R97" s="3121"/>
      <c r="S97" s="1750"/>
      <c r="T97" s="1751"/>
      <c r="U97" s="1815"/>
      <c r="V97" s="2889"/>
      <c r="W97" s="1816"/>
      <c r="X97" s="1817"/>
      <c r="Y97" s="2818"/>
      <c r="Z97" s="2727"/>
      <c r="AA97" s="2720"/>
      <c r="AB97" s="1818"/>
      <c r="AC97" s="1819"/>
      <c r="AD97" s="1820"/>
      <c r="AE97" s="1726"/>
      <c r="AF97" s="1691"/>
      <c r="AG97" s="1869"/>
      <c r="AH97" s="1893"/>
      <c r="AI97" s="1854"/>
      <c r="AJ97" s="2975"/>
      <c r="AK97" s="1894"/>
      <c r="AL97" s="3073"/>
      <c r="AM97" s="3350"/>
      <c r="AN97" s="1748"/>
      <c r="AO97" s="1749"/>
      <c r="AP97" s="3121"/>
      <c r="AQ97" s="1873"/>
      <c r="AR97" s="1874"/>
      <c r="AS97" s="1873"/>
      <c r="AT97" s="1909"/>
      <c r="AU97" s="2865"/>
      <c r="AV97" s="2881"/>
      <c r="AW97" s="2873"/>
      <c r="AX97" s="2825"/>
      <c r="AY97" s="2727"/>
      <c r="AZ97" s="2720"/>
      <c r="BA97" s="1910"/>
      <c r="BB97" s="1911"/>
      <c r="BC97" s="1864"/>
      <c r="BD97" s="1865"/>
      <c r="BE97" s="1726"/>
      <c r="BF97" s="1873"/>
      <c r="BG97" s="1940"/>
      <c r="BH97" s="1865"/>
      <c r="BI97" s="3633">
        <f>SUM(E97:AD100)</f>
        <v>0</v>
      </c>
      <c r="BJ97" s="3633">
        <f>SUM(E97:BD100)</f>
        <v>0</v>
      </c>
      <c r="BK97" s="1942"/>
      <c r="BL97" s="1952"/>
      <c r="BM97" s="3629" t="s">
        <v>33</v>
      </c>
    </row>
    <row r="98" spans="1:65" ht="15.75" thickBot="1">
      <c r="A98" s="3724"/>
      <c r="B98" s="1738" t="s">
        <v>34</v>
      </c>
      <c r="C98" s="3679"/>
      <c r="D98" s="1705">
        <f t="shared" si="2"/>
        <v>0</v>
      </c>
      <c r="E98" s="1706"/>
      <c r="F98" s="1707"/>
      <c r="G98" s="1708"/>
      <c r="H98" s="1709"/>
      <c r="I98" s="1766"/>
      <c r="J98" s="2981"/>
      <c r="K98" s="1767"/>
      <c r="L98" s="1768"/>
      <c r="M98" s="3059"/>
      <c r="N98" s="3343"/>
      <c r="O98" s="1769"/>
      <c r="P98" s="1768"/>
      <c r="Q98" s="1770"/>
      <c r="R98" s="3122"/>
      <c r="S98" s="1771"/>
      <c r="T98" s="1772"/>
      <c r="U98" s="1834"/>
      <c r="V98" s="2890"/>
      <c r="W98" s="1835"/>
      <c r="X98" s="1836"/>
      <c r="Y98" s="2819"/>
      <c r="Z98" s="2728"/>
      <c r="AA98" s="2721"/>
      <c r="AB98" s="1837"/>
      <c r="AC98" s="1838"/>
      <c r="AD98" s="1839"/>
      <c r="AE98" s="1706"/>
      <c r="AF98" s="1707"/>
      <c r="AG98" s="1887"/>
      <c r="AH98" s="1888"/>
      <c r="AI98" s="1889"/>
      <c r="AJ98" s="2972"/>
      <c r="AK98" s="1890"/>
      <c r="AL98" s="3070"/>
      <c r="AM98" s="3349"/>
      <c r="AN98" s="1769"/>
      <c r="AO98" s="1770"/>
      <c r="AP98" s="3122"/>
      <c r="AQ98" s="1891"/>
      <c r="AR98" s="1892"/>
      <c r="AS98" s="1891"/>
      <c r="AT98" s="1920"/>
      <c r="AU98" s="2866"/>
      <c r="AV98" s="2882"/>
      <c r="AW98" s="2874"/>
      <c r="AX98" s="2826"/>
      <c r="AY98" s="2728"/>
      <c r="AZ98" s="2721"/>
      <c r="BA98" s="1921"/>
      <c r="BB98" s="1922"/>
      <c r="BC98" s="1923"/>
      <c r="BD98" s="1924"/>
      <c r="BE98" s="1947"/>
      <c r="BF98" s="1891"/>
      <c r="BG98" s="1948"/>
      <c r="BH98" s="1924"/>
      <c r="BI98" s="3634"/>
      <c r="BJ98" s="3634"/>
      <c r="BK98" s="1942"/>
      <c r="BL98" s="1952"/>
      <c r="BM98" s="3630"/>
    </row>
    <row r="99" spans="1:65" ht="15.75" thickBot="1">
      <c r="A99" s="3724"/>
      <c r="B99" s="1738" t="s">
        <v>34</v>
      </c>
      <c r="C99" s="3679"/>
      <c r="D99" s="1705">
        <f t="shared" si="2"/>
        <v>0</v>
      </c>
      <c r="E99" s="1706"/>
      <c r="F99" s="1707"/>
      <c r="G99" s="1708"/>
      <c r="H99" s="1709"/>
      <c r="I99" s="1766"/>
      <c r="J99" s="2981"/>
      <c r="K99" s="1767"/>
      <c r="L99" s="1768"/>
      <c r="M99" s="3059"/>
      <c r="N99" s="3343"/>
      <c r="O99" s="1769"/>
      <c r="P99" s="1768"/>
      <c r="Q99" s="1770"/>
      <c r="R99" s="3122"/>
      <c r="S99" s="1771"/>
      <c r="T99" s="1772"/>
      <c r="U99" s="1834"/>
      <c r="V99" s="2890"/>
      <c r="W99" s="1835"/>
      <c r="X99" s="1836"/>
      <c r="Y99" s="2819"/>
      <c r="Z99" s="2728"/>
      <c r="AA99" s="2721"/>
      <c r="AB99" s="1837"/>
      <c r="AC99" s="1838"/>
      <c r="AD99" s="1839"/>
      <c r="AE99" s="1706"/>
      <c r="AF99" s="1707"/>
      <c r="AG99" s="1887"/>
      <c r="AH99" s="1888"/>
      <c r="AI99" s="1889"/>
      <c r="AJ99" s="2972"/>
      <c r="AK99" s="1890"/>
      <c r="AL99" s="3070"/>
      <c r="AM99" s="3349"/>
      <c r="AN99" s="1769"/>
      <c r="AO99" s="1770"/>
      <c r="AP99" s="3122"/>
      <c r="AQ99" s="1891"/>
      <c r="AR99" s="1892"/>
      <c r="AS99" s="1891"/>
      <c r="AT99" s="1920"/>
      <c r="AU99" s="2866"/>
      <c r="AV99" s="2882"/>
      <c r="AW99" s="2874"/>
      <c r="AX99" s="2826"/>
      <c r="AY99" s="2728"/>
      <c r="AZ99" s="2721"/>
      <c r="BA99" s="1921"/>
      <c r="BB99" s="1922"/>
      <c r="BC99" s="1923"/>
      <c r="BD99" s="1924"/>
      <c r="BE99" s="1947"/>
      <c r="BF99" s="1891"/>
      <c r="BG99" s="1948"/>
      <c r="BH99" s="1924"/>
      <c r="BI99" s="3634"/>
      <c r="BJ99" s="3634"/>
      <c r="BK99" s="1942"/>
      <c r="BL99" s="1952"/>
      <c r="BM99" s="3630"/>
    </row>
    <row r="100" spans="1:65" ht="15.75" thickBot="1">
      <c r="A100" s="3724"/>
      <c r="B100" s="1694" t="s">
        <v>34</v>
      </c>
      <c r="C100" s="3679"/>
      <c r="D100" s="1705">
        <f t="shared" si="2"/>
        <v>0</v>
      </c>
      <c r="E100" s="1706"/>
      <c r="F100" s="1707"/>
      <c r="G100" s="1708"/>
      <c r="H100" s="1709"/>
      <c r="I100" s="1766"/>
      <c r="J100" s="2981"/>
      <c r="K100" s="1767"/>
      <c r="L100" s="1768"/>
      <c r="M100" s="3059"/>
      <c r="N100" s="3343"/>
      <c r="O100" s="1769"/>
      <c r="P100" s="1768"/>
      <c r="Q100" s="1770"/>
      <c r="R100" s="3122"/>
      <c r="S100" s="1771"/>
      <c r="T100" s="1772"/>
      <c r="U100" s="1834"/>
      <c r="V100" s="2890"/>
      <c r="W100" s="1835"/>
      <c r="X100" s="1836"/>
      <c r="Y100" s="2819"/>
      <c r="Z100" s="2728"/>
      <c r="AA100" s="2721"/>
      <c r="AB100" s="1837"/>
      <c r="AC100" s="1838"/>
      <c r="AD100" s="1839"/>
      <c r="AE100" s="1706"/>
      <c r="AF100" s="1707"/>
      <c r="AG100" s="1887"/>
      <c r="AH100" s="1888"/>
      <c r="AI100" s="1889"/>
      <c r="AJ100" s="2972"/>
      <c r="AK100" s="1890"/>
      <c r="AL100" s="3070"/>
      <c r="AM100" s="3349"/>
      <c r="AN100" s="1769"/>
      <c r="AO100" s="1770"/>
      <c r="AP100" s="3122"/>
      <c r="AQ100" s="1891"/>
      <c r="AR100" s="1892"/>
      <c r="AS100" s="1891"/>
      <c r="AT100" s="1920"/>
      <c r="AU100" s="2866"/>
      <c r="AV100" s="2882"/>
      <c r="AW100" s="2874"/>
      <c r="AX100" s="2826"/>
      <c r="AY100" s="2728"/>
      <c r="AZ100" s="2721"/>
      <c r="BA100" s="1921"/>
      <c r="BB100" s="1922"/>
      <c r="BC100" s="1923"/>
      <c r="BD100" s="1924"/>
      <c r="BE100" s="1947"/>
      <c r="BF100" s="1891"/>
      <c r="BG100" s="1948"/>
      <c r="BH100" s="1924"/>
      <c r="BI100" s="3634"/>
      <c r="BJ100" s="3634"/>
      <c r="BK100" s="1942"/>
      <c r="BL100" s="1952"/>
      <c r="BM100" s="3630"/>
    </row>
    <row r="101" spans="1:65" ht="15.75" thickBot="1">
      <c r="A101" s="3723"/>
      <c r="B101" s="1738" t="s">
        <v>32</v>
      </c>
      <c r="C101" s="3678">
        <f>SUM(D101:D103)</f>
        <v>0</v>
      </c>
      <c r="D101" s="1689">
        <f t="shared" ref="D101:D115" si="3">SUM(E101:BH101)</f>
        <v>0</v>
      </c>
      <c r="E101" s="1690"/>
      <c r="F101" s="1691"/>
      <c r="G101" s="1692"/>
      <c r="H101" s="1693"/>
      <c r="I101" s="1745"/>
      <c r="J101" s="2980"/>
      <c r="K101" s="1746"/>
      <c r="L101" s="1747"/>
      <c r="M101" s="3058"/>
      <c r="N101" s="3192"/>
      <c r="O101" s="1748"/>
      <c r="P101" s="1747"/>
      <c r="Q101" s="1749"/>
      <c r="R101" s="3121"/>
      <c r="S101" s="1750"/>
      <c r="T101" s="1751"/>
      <c r="U101" s="1815"/>
      <c r="V101" s="2889"/>
      <c r="W101" s="1816"/>
      <c r="X101" s="1817"/>
      <c r="Y101" s="2818"/>
      <c r="Z101" s="2727"/>
      <c r="AA101" s="2720"/>
      <c r="AB101" s="1818"/>
      <c r="AC101" s="1819"/>
      <c r="AD101" s="1820"/>
      <c r="AE101" s="1726"/>
      <c r="AF101" s="1691"/>
      <c r="AG101" s="1869"/>
      <c r="AH101" s="1893"/>
      <c r="AI101" s="1854"/>
      <c r="AJ101" s="2975"/>
      <c r="AK101" s="1894"/>
      <c r="AL101" s="3073"/>
      <c r="AM101" s="3350"/>
      <c r="AN101" s="1748"/>
      <c r="AO101" s="1749"/>
      <c r="AP101" s="3121"/>
      <c r="AQ101" s="1873"/>
      <c r="AR101" s="1874"/>
      <c r="AS101" s="1873"/>
      <c r="AT101" s="1909"/>
      <c r="AU101" s="2865"/>
      <c r="AV101" s="2881"/>
      <c r="AW101" s="2873"/>
      <c r="AX101" s="2825"/>
      <c r="AY101" s="2727"/>
      <c r="AZ101" s="2720"/>
      <c r="BA101" s="1910"/>
      <c r="BB101" s="1911"/>
      <c r="BC101" s="1864"/>
      <c r="BD101" s="1865"/>
      <c r="BE101" s="1726"/>
      <c r="BF101" s="1873"/>
      <c r="BG101" s="1940"/>
      <c r="BH101" s="1865"/>
      <c r="BI101" s="3633">
        <f>SUM(E101:AD103)</f>
        <v>0</v>
      </c>
      <c r="BJ101" s="3633">
        <f>SUM(E101:BD103)</f>
        <v>0</v>
      </c>
      <c r="BK101" s="1942"/>
      <c r="BL101" s="1952"/>
      <c r="BM101" s="3629" t="s">
        <v>33</v>
      </c>
    </row>
    <row r="102" spans="1:65" ht="15.75" thickBot="1">
      <c r="A102" s="3724"/>
      <c r="B102" s="1738" t="s">
        <v>34</v>
      </c>
      <c r="C102" s="3679"/>
      <c r="D102" s="1705">
        <f t="shared" si="3"/>
        <v>0</v>
      </c>
      <c r="E102" s="1706"/>
      <c r="F102" s="1707"/>
      <c r="G102" s="1708"/>
      <c r="H102" s="1709"/>
      <c r="I102" s="1766"/>
      <c r="J102" s="2981"/>
      <c r="K102" s="1767"/>
      <c r="L102" s="1768"/>
      <c r="M102" s="3059"/>
      <c r="N102" s="3343"/>
      <c r="O102" s="1769"/>
      <c r="P102" s="1768"/>
      <c r="Q102" s="1770"/>
      <c r="R102" s="3122"/>
      <c r="S102" s="1771"/>
      <c r="T102" s="1772"/>
      <c r="U102" s="1834"/>
      <c r="V102" s="2890"/>
      <c r="W102" s="1835"/>
      <c r="X102" s="1836"/>
      <c r="Y102" s="2819"/>
      <c r="Z102" s="2728"/>
      <c r="AA102" s="2721"/>
      <c r="AB102" s="1837"/>
      <c r="AC102" s="1838"/>
      <c r="AD102" s="1839"/>
      <c r="AE102" s="1706"/>
      <c r="AF102" s="1707"/>
      <c r="AG102" s="1887"/>
      <c r="AH102" s="1888"/>
      <c r="AI102" s="1889"/>
      <c r="AJ102" s="2972"/>
      <c r="AK102" s="1890"/>
      <c r="AL102" s="3070"/>
      <c r="AM102" s="3349"/>
      <c r="AN102" s="1769"/>
      <c r="AO102" s="1770"/>
      <c r="AP102" s="3122"/>
      <c r="AQ102" s="1891"/>
      <c r="AR102" s="1892"/>
      <c r="AS102" s="1891"/>
      <c r="AT102" s="1920"/>
      <c r="AU102" s="2866"/>
      <c r="AV102" s="2882"/>
      <c r="AW102" s="2874"/>
      <c r="AX102" s="2826"/>
      <c r="AY102" s="2728"/>
      <c r="AZ102" s="2721"/>
      <c r="BA102" s="1921"/>
      <c r="BB102" s="1922"/>
      <c r="BC102" s="1923"/>
      <c r="BD102" s="1924"/>
      <c r="BE102" s="1947"/>
      <c r="BF102" s="1891"/>
      <c r="BG102" s="1948"/>
      <c r="BH102" s="1924"/>
      <c r="BI102" s="3634"/>
      <c r="BJ102" s="3634"/>
      <c r="BK102" s="1942"/>
      <c r="BL102" s="1952"/>
      <c r="BM102" s="3630"/>
    </row>
    <row r="103" spans="1:65" ht="15.75" thickBot="1">
      <c r="A103" s="3724"/>
      <c r="B103" s="1694" t="s">
        <v>34</v>
      </c>
      <c r="C103" s="3679"/>
      <c r="D103" s="1705">
        <f t="shared" si="3"/>
        <v>0</v>
      </c>
      <c r="E103" s="1706"/>
      <c r="F103" s="1707"/>
      <c r="G103" s="1708"/>
      <c r="H103" s="1709"/>
      <c r="I103" s="1766"/>
      <c r="J103" s="2981"/>
      <c r="K103" s="1767"/>
      <c r="L103" s="1768"/>
      <c r="M103" s="3059"/>
      <c r="N103" s="3343"/>
      <c r="O103" s="1769"/>
      <c r="P103" s="1768"/>
      <c r="Q103" s="1770"/>
      <c r="R103" s="3122"/>
      <c r="S103" s="1771"/>
      <c r="T103" s="1772"/>
      <c r="U103" s="1834"/>
      <c r="V103" s="2890"/>
      <c r="W103" s="1835"/>
      <c r="X103" s="1836"/>
      <c r="Y103" s="2819"/>
      <c r="Z103" s="2728"/>
      <c r="AA103" s="2721"/>
      <c r="AB103" s="1837"/>
      <c r="AC103" s="1838"/>
      <c r="AD103" s="1839"/>
      <c r="AE103" s="1706"/>
      <c r="AF103" s="1707"/>
      <c r="AG103" s="1887"/>
      <c r="AH103" s="1888"/>
      <c r="AI103" s="1889"/>
      <c r="AJ103" s="2972"/>
      <c r="AK103" s="1890"/>
      <c r="AL103" s="3070"/>
      <c r="AM103" s="3349"/>
      <c r="AN103" s="1769"/>
      <c r="AO103" s="1770"/>
      <c r="AP103" s="3122"/>
      <c r="AQ103" s="1891"/>
      <c r="AR103" s="1892"/>
      <c r="AS103" s="1891"/>
      <c r="AT103" s="1920"/>
      <c r="AU103" s="2866"/>
      <c r="AV103" s="2882"/>
      <c r="AW103" s="2874"/>
      <c r="AX103" s="2826"/>
      <c r="AY103" s="2728"/>
      <c r="AZ103" s="2721"/>
      <c r="BA103" s="1921"/>
      <c r="BB103" s="1922"/>
      <c r="BC103" s="1923"/>
      <c r="BD103" s="1924"/>
      <c r="BE103" s="1947"/>
      <c r="BF103" s="1891"/>
      <c r="BG103" s="1948"/>
      <c r="BH103" s="1924"/>
      <c r="BI103" s="3634"/>
      <c r="BJ103" s="3634"/>
      <c r="BK103" s="1942"/>
      <c r="BL103" s="1952"/>
      <c r="BM103" s="3630"/>
    </row>
    <row r="104" spans="1:65" ht="15.75" thickBot="1">
      <c r="A104" s="3723"/>
      <c r="B104" s="1738" t="s">
        <v>32</v>
      </c>
      <c r="C104" s="3678">
        <f>SUM(D104:D106)</f>
        <v>0</v>
      </c>
      <c r="D104" s="1689">
        <f t="shared" si="3"/>
        <v>0</v>
      </c>
      <c r="E104" s="1690"/>
      <c r="F104" s="1691"/>
      <c r="G104" s="1692"/>
      <c r="H104" s="1693"/>
      <c r="I104" s="1745"/>
      <c r="J104" s="2980"/>
      <c r="K104" s="1746"/>
      <c r="L104" s="1747"/>
      <c r="M104" s="3058"/>
      <c r="N104" s="3192"/>
      <c r="O104" s="1748"/>
      <c r="P104" s="1747"/>
      <c r="Q104" s="1749"/>
      <c r="R104" s="3121"/>
      <c r="S104" s="1750"/>
      <c r="T104" s="1751"/>
      <c r="U104" s="1815"/>
      <c r="V104" s="2889"/>
      <c r="W104" s="1816"/>
      <c r="X104" s="1817"/>
      <c r="Y104" s="2818"/>
      <c r="Z104" s="2727"/>
      <c r="AA104" s="2720"/>
      <c r="AB104" s="1818"/>
      <c r="AC104" s="1819"/>
      <c r="AD104" s="1820"/>
      <c r="AE104" s="1726"/>
      <c r="AF104" s="1691"/>
      <c r="AG104" s="1869"/>
      <c r="AH104" s="1893"/>
      <c r="AI104" s="1854"/>
      <c r="AJ104" s="2975"/>
      <c r="AK104" s="1894"/>
      <c r="AL104" s="3073"/>
      <c r="AM104" s="3350"/>
      <c r="AN104" s="1748"/>
      <c r="AO104" s="1749"/>
      <c r="AP104" s="3121"/>
      <c r="AQ104" s="1873"/>
      <c r="AR104" s="1874"/>
      <c r="AS104" s="1873"/>
      <c r="AT104" s="1909"/>
      <c r="AU104" s="2865"/>
      <c r="AV104" s="2881"/>
      <c r="AW104" s="2873"/>
      <c r="AX104" s="2825"/>
      <c r="AY104" s="2727"/>
      <c r="AZ104" s="2720"/>
      <c r="BA104" s="1910"/>
      <c r="BB104" s="1911"/>
      <c r="BC104" s="1864"/>
      <c r="BD104" s="1865"/>
      <c r="BE104" s="1726"/>
      <c r="BF104" s="1873"/>
      <c r="BG104" s="1940"/>
      <c r="BH104" s="1865"/>
      <c r="BI104" s="3633">
        <f>SUM(E104:AD106)</f>
        <v>0</v>
      </c>
      <c r="BJ104" s="3633">
        <f>SUM(E104:BD106)</f>
        <v>0</v>
      </c>
      <c r="BK104" s="1942"/>
      <c r="BL104" s="1952"/>
      <c r="BM104" s="3629" t="s">
        <v>33</v>
      </c>
    </row>
    <row r="105" spans="1:65" ht="15.75" thickBot="1">
      <c r="A105" s="3724"/>
      <c r="B105" s="1738" t="s">
        <v>34</v>
      </c>
      <c r="C105" s="3679"/>
      <c r="D105" s="1705">
        <f t="shared" si="3"/>
        <v>0</v>
      </c>
      <c r="E105" s="1706"/>
      <c r="F105" s="1707"/>
      <c r="G105" s="1708"/>
      <c r="H105" s="1709"/>
      <c r="I105" s="1766"/>
      <c r="J105" s="2981"/>
      <c r="K105" s="1767"/>
      <c r="L105" s="1768"/>
      <c r="M105" s="3059"/>
      <c r="N105" s="3343"/>
      <c r="O105" s="1769"/>
      <c r="P105" s="1768"/>
      <c r="Q105" s="1770"/>
      <c r="R105" s="3122"/>
      <c r="S105" s="1771"/>
      <c r="T105" s="1772"/>
      <c r="U105" s="1834"/>
      <c r="V105" s="2890"/>
      <c r="W105" s="1835"/>
      <c r="X105" s="1836"/>
      <c r="Y105" s="2819"/>
      <c r="Z105" s="2728"/>
      <c r="AA105" s="2721"/>
      <c r="AB105" s="1837"/>
      <c r="AC105" s="1838"/>
      <c r="AD105" s="1839"/>
      <c r="AE105" s="1706"/>
      <c r="AF105" s="1707"/>
      <c r="AG105" s="1887"/>
      <c r="AH105" s="1888"/>
      <c r="AI105" s="1889"/>
      <c r="AJ105" s="2972"/>
      <c r="AK105" s="1890"/>
      <c r="AL105" s="3070"/>
      <c r="AM105" s="3349"/>
      <c r="AN105" s="1769"/>
      <c r="AO105" s="1770"/>
      <c r="AP105" s="3122"/>
      <c r="AQ105" s="1891"/>
      <c r="AR105" s="1892"/>
      <c r="AS105" s="1891"/>
      <c r="AT105" s="1920"/>
      <c r="AU105" s="2866"/>
      <c r="AV105" s="2882"/>
      <c r="AW105" s="2874"/>
      <c r="AX105" s="2826"/>
      <c r="AY105" s="2728"/>
      <c r="AZ105" s="2721"/>
      <c r="BA105" s="1921"/>
      <c r="BB105" s="1922"/>
      <c r="BC105" s="1923"/>
      <c r="BD105" s="1924"/>
      <c r="BE105" s="1947"/>
      <c r="BF105" s="1891"/>
      <c r="BG105" s="1948"/>
      <c r="BH105" s="1924"/>
      <c r="BI105" s="3634"/>
      <c r="BJ105" s="3634"/>
      <c r="BK105" s="1942"/>
      <c r="BL105" s="1952"/>
      <c r="BM105" s="3630"/>
    </row>
    <row r="106" spans="1:65" ht="15.75" thickBot="1">
      <c r="A106" s="3724"/>
      <c r="B106" s="1694" t="s">
        <v>34</v>
      </c>
      <c r="C106" s="3679"/>
      <c r="D106" s="1705">
        <f t="shared" si="3"/>
        <v>0</v>
      </c>
      <c r="E106" s="1706"/>
      <c r="F106" s="1707"/>
      <c r="G106" s="1708"/>
      <c r="H106" s="1709"/>
      <c r="I106" s="1766"/>
      <c r="J106" s="2981"/>
      <c r="K106" s="1767"/>
      <c r="L106" s="1768"/>
      <c r="M106" s="3059"/>
      <c r="N106" s="3343"/>
      <c r="O106" s="1769"/>
      <c r="P106" s="1768"/>
      <c r="Q106" s="1770"/>
      <c r="R106" s="3122"/>
      <c r="S106" s="1771"/>
      <c r="T106" s="1772"/>
      <c r="U106" s="1834"/>
      <c r="V106" s="2890"/>
      <c r="W106" s="1835"/>
      <c r="X106" s="1836"/>
      <c r="Y106" s="2819"/>
      <c r="Z106" s="2728"/>
      <c r="AA106" s="2721"/>
      <c r="AB106" s="1837"/>
      <c r="AC106" s="1838"/>
      <c r="AD106" s="1839"/>
      <c r="AE106" s="1706"/>
      <c r="AF106" s="1707"/>
      <c r="AG106" s="1887"/>
      <c r="AH106" s="1888"/>
      <c r="AI106" s="1889"/>
      <c r="AJ106" s="2972"/>
      <c r="AK106" s="1890"/>
      <c r="AL106" s="3070"/>
      <c r="AM106" s="3349"/>
      <c r="AN106" s="1769"/>
      <c r="AO106" s="1770"/>
      <c r="AP106" s="3122"/>
      <c r="AQ106" s="1891"/>
      <c r="AR106" s="1892"/>
      <c r="AS106" s="1891"/>
      <c r="AT106" s="1920"/>
      <c r="AU106" s="2866"/>
      <c r="AV106" s="2882"/>
      <c r="AW106" s="2874"/>
      <c r="AX106" s="2826"/>
      <c r="AY106" s="2728"/>
      <c r="AZ106" s="2721"/>
      <c r="BA106" s="1921"/>
      <c r="BB106" s="1922"/>
      <c r="BC106" s="1923"/>
      <c r="BD106" s="1924"/>
      <c r="BE106" s="1947"/>
      <c r="BF106" s="1891"/>
      <c r="BG106" s="1948"/>
      <c r="BH106" s="1924"/>
      <c r="BI106" s="3634"/>
      <c r="BJ106" s="3634"/>
      <c r="BK106" s="1942"/>
      <c r="BL106" s="1952"/>
      <c r="BM106" s="3630"/>
    </row>
    <row r="107" spans="1:65" ht="15.75" thickBot="1">
      <c r="A107" s="3723"/>
      <c r="B107" s="1738" t="s">
        <v>32</v>
      </c>
      <c r="C107" s="3678">
        <f>SUM(D107:D109)</f>
        <v>0</v>
      </c>
      <c r="D107" s="1689">
        <f t="shared" si="3"/>
        <v>0</v>
      </c>
      <c r="E107" s="1690"/>
      <c r="F107" s="1691"/>
      <c r="G107" s="1692"/>
      <c r="H107" s="1693"/>
      <c r="I107" s="1745"/>
      <c r="J107" s="2980"/>
      <c r="K107" s="1746"/>
      <c r="L107" s="1747"/>
      <c r="M107" s="3058"/>
      <c r="N107" s="3192"/>
      <c r="O107" s="1748"/>
      <c r="P107" s="1747"/>
      <c r="Q107" s="1749"/>
      <c r="R107" s="3121"/>
      <c r="S107" s="1750"/>
      <c r="T107" s="1751"/>
      <c r="U107" s="1815"/>
      <c r="V107" s="2889"/>
      <c r="W107" s="1816"/>
      <c r="X107" s="1817"/>
      <c r="Y107" s="2818"/>
      <c r="Z107" s="2727"/>
      <c r="AA107" s="2720"/>
      <c r="AB107" s="1818"/>
      <c r="AC107" s="1819"/>
      <c r="AD107" s="1820"/>
      <c r="AE107" s="1726"/>
      <c r="AF107" s="1691"/>
      <c r="AG107" s="1869"/>
      <c r="AH107" s="1893"/>
      <c r="AI107" s="1854"/>
      <c r="AJ107" s="2975"/>
      <c r="AK107" s="1894"/>
      <c r="AL107" s="3073"/>
      <c r="AM107" s="3350"/>
      <c r="AN107" s="1748"/>
      <c r="AO107" s="1749"/>
      <c r="AP107" s="3121"/>
      <c r="AQ107" s="1873"/>
      <c r="AR107" s="1874"/>
      <c r="AS107" s="1873"/>
      <c r="AT107" s="1909"/>
      <c r="AU107" s="2865"/>
      <c r="AV107" s="2881"/>
      <c r="AW107" s="2873"/>
      <c r="AX107" s="2825"/>
      <c r="AY107" s="2727"/>
      <c r="AZ107" s="2720"/>
      <c r="BA107" s="1910"/>
      <c r="BB107" s="1911"/>
      <c r="BC107" s="1864"/>
      <c r="BD107" s="1865"/>
      <c r="BE107" s="1726"/>
      <c r="BF107" s="1873"/>
      <c r="BG107" s="1940"/>
      <c r="BH107" s="1865"/>
      <c r="BI107" s="3633">
        <f>SUM(E107:AD109)</f>
        <v>0</v>
      </c>
      <c r="BJ107" s="3633">
        <f>SUM(E107:BD109)</f>
        <v>0</v>
      </c>
      <c r="BK107" s="1942"/>
      <c r="BL107" s="1952"/>
      <c r="BM107" s="3629" t="s">
        <v>33</v>
      </c>
    </row>
    <row r="108" spans="1:65" ht="15.75" thickBot="1">
      <c r="A108" s="3724"/>
      <c r="B108" s="1738" t="s">
        <v>32</v>
      </c>
      <c r="C108" s="3679"/>
      <c r="D108" s="1705">
        <f t="shared" si="3"/>
        <v>0</v>
      </c>
      <c r="E108" s="1706"/>
      <c r="F108" s="1707"/>
      <c r="G108" s="1708"/>
      <c r="H108" s="1709"/>
      <c r="I108" s="1766"/>
      <c r="J108" s="2981"/>
      <c r="K108" s="1767"/>
      <c r="L108" s="1768"/>
      <c r="M108" s="3059"/>
      <c r="N108" s="3343"/>
      <c r="O108" s="1769"/>
      <c r="P108" s="1768"/>
      <c r="Q108" s="1770"/>
      <c r="R108" s="3122"/>
      <c r="S108" s="1771"/>
      <c r="T108" s="1772"/>
      <c r="U108" s="1834"/>
      <c r="V108" s="2890"/>
      <c r="W108" s="1835"/>
      <c r="X108" s="1836"/>
      <c r="Y108" s="2819"/>
      <c r="Z108" s="2728"/>
      <c r="AA108" s="2721"/>
      <c r="AB108" s="1837"/>
      <c r="AC108" s="1838"/>
      <c r="AD108" s="1839"/>
      <c r="AE108" s="1706"/>
      <c r="AF108" s="1707"/>
      <c r="AG108" s="1887"/>
      <c r="AH108" s="1888"/>
      <c r="AI108" s="1889"/>
      <c r="AJ108" s="2972"/>
      <c r="AK108" s="1890"/>
      <c r="AL108" s="3070"/>
      <c r="AM108" s="3349"/>
      <c r="AN108" s="1769"/>
      <c r="AO108" s="1770"/>
      <c r="AP108" s="3122"/>
      <c r="AQ108" s="1891"/>
      <c r="AR108" s="1892"/>
      <c r="AS108" s="1891"/>
      <c r="AT108" s="1920"/>
      <c r="AU108" s="2866"/>
      <c r="AV108" s="2882"/>
      <c r="AW108" s="2874"/>
      <c r="AX108" s="2826"/>
      <c r="AY108" s="2728"/>
      <c r="AZ108" s="2721"/>
      <c r="BA108" s="1921"/>
      <c r="BB108" s="1922"/>
      <c r="BC108" s="1923"/>
      <c r="BD108" s="1924"/>
      <c r="BE108" s="1947"/>
      <c r="BF108" s="1891"/>
      <c r="BG108" s="1948"/>
      <c r="BH108" s="1924"/>
      <c r="BI108" s="3634"/>
      <c r="BJ108" s="3634"/>
      <c r="BK108" s="1942"/>
      <c r="BL108" s="1952"/>
      <c r="BM108" s="3630"/>
    </row>
    <row r="109" spans="1:65" ht="15.75" thickBot="1">
      <c r="A109" s="3724"/>
      <c r="B109" s="1694" t="s">
        <v>34</v>
      </c>
      <c r="C109" s="3679"/>
      <c r="D109" s="1705">
        <f t="shared" si="3"/>
        <v>0</v>
      </c>
      <c r="E109" s="1706"/>
      <c r="F109" s="1707"/>
      <c r="G109" s="1708"/>
      <c r="H109" s="1709"/>
      <c r="I109" s="1766"/>
      <c r="J109" s="2981"/>
      <c r="K109" s="1767"/>
      <c r="L109" s="1768"/>
      <c r="M109" s="3059"/>
      <c r="N109" s="3343"/>
      <c r="O109" s="1769"/>
      <c r="P109" s="1768"/>
      <c r="Q109" s="1770"/>
      <c r="R109" s="3122"/>
      <c r="S109" s="1771"/>
      <c r="T109" s="1772"/>
      <c r="U109" s="1834"/>
      <c r="V109" s="2890"/>
      <c r="W109" s="1835"/>
      <c r="X109" s="1836"/>
      <c r="Y109" s="2819"/>
      <c r="Z109" s="2728"/>
      <c r="AA109" s="2721"/>
      <c r="AB109" s="1837"/>
      <c r="AC109" s="1838"/>
      <c r="AD109" s="1839"/>
      <c r="AE109" s="1706"/>
      <c r="AF109" s="1707"/>
      <c r="AG109" s="1887"/>
      <c r="AH109" s="1888"/>
      <c r="AI109" s="1889"/>
      <c r="AJ109" s="2972"/>
      <c r="AK109" s="1890"/>
      <c r="AL109" s="3070"/>
      <c r="AM109" s="3349"/>
      <c r="AN109" s="1769"/>
      <c r="AO109" s="1770"/>
      <c r="AP109" s="3122"/>
      <c r="AQ109" s="1891"/>
      <c r="AR109" s="1892"/>
      <c r="AS109" s="1891"/>
      <c r="AT109" s="1920"/>
      <c r="AU109" s="2866"/>
      <c r="AV109" s="2882"/>
      <c r="AW109" s="2874"/>
      <c r="AX109" s="2826"/>
      <c r="AY109" s="2728"/>
      <c r="AZ109" s="2721"/>
      <c r="BA109" s="1921"/>
      <c r="BB109" s="1922"/>
      <c r="BC109" s="1923"/>
      <c r="BD109" s="1924"/>
      <c r="BE109" s="1947"/>
      <c r="BF109" s="1891"/>
      <c r="BG109" s="1948"/>
      <c r="BH109" s="1924"/>
      <c r="BI109" s="3634"/>
      <c r="BJ109" s="3634"/>
      <c r="BK109" s="1942"/>
      <c r="BL109" s="1952"/>
      <c r="BM109" s="3630"/>
    </row>
    <row r="110" spans="1:65" ht="15.75" thickBot="1">
      <c r="A110" s="3723"/>
      <c r="B110" s="1738" t="s">
        <v>32</v>
      </c>
      <c r="C110" s="3678">
        <f>SUM(D110:D112)</f>
        <v>0</v>
      </c>
      <c r="D110" s="1689">
        <f t="shared" si="3"/>
        <v>0</v>
      </c>
      <c r="E110" s="1690"/>
      <c r="F110" s="1691"/>
      <c r="G110" s="1692"/>
      <c r="H110" s="1693"/>
      <c r="I110" s="1745"/>
      <c r="J110" s="2980"/>
      <c r="K110" s="1746"/>
      <c r="L110" s="1747"/>
      <c r="M110" s="3058"/>
      <c r="N110" s="3192"/>
      <c r="O110" s="1748"/>
      <c r="P110" s="1747"/>
      <c r="Q110" s="1749"/>
      <c r="R110" s="3121"/>
      <c r="S110" s="1750"/>
      <c r="T110" s="1751"/>
      <c r="U110" s="1815"/>
      <c r="V110" s="2889"/>
      <c r="W110" s="1816"/>
      <c r="X110" s="1817"/>
      <c r="Y110" s="2818"/>
      <c r="Z110" s="2727"/>
      <c r="AA110" s="2720"/>
      <c r="AB110" s="1818"/>
      <c r="AC110" s="1819"/>
      <c r="AD110" s="1820"/>
      <c r="AE110" s="1726"/>
      <c r="AF110" s="1691"/>
      <c r="AG110" s="1869"/>
      <c r="AH110" s="1893"/>
      <c r="AI110" s="1854"/>
      <c r="AJ110" s="2975"/>
      <c r="AK110" s="1894"/>
      <c r="AL110" s="3073"/>
      <c r="AM110" s="3350"/>
      <c r="AN110" s="1748"/>
      <c r="AO110" s="1749"/>
      <c r="AP110" s="3121"/>
      <c r="AQ110" s="1873"/>
      <c r="AR110" s="1874"/>
      <c r="AS110" s="1873"/>
      <c r="AT110" s="1909"/>
      <c r="AU110" s="2865"/>
      <c r="AV110" s="2881"/>
      <c r="AW110" s="2873"/>
      <c r="AX110" s="2825"/>
      <c r="AY110" s="2727"/>
      <c r="AZ110" s="2720"/>
      <c r="BA110" s="1910"/>
      <c r="BB110" s="1911"/>
      <c r="BC110" s="1864"/>
      <c r="BD110" s="1865"/>
      <c r="BE110" s="1726"/>
      <c r="BF110" s="1873"/>
      <c r="BG110" s="1940"/>
      <c r="BH110" s="1865"/>
      <c r="BI110" s="3633">
        <f>SUM(E110:AD112)</f>
        <v>0</v>
      </c>
      <c r="BJ110" s="3633">
        <f>SUM(E110:BD112)</f>
        <v>0</v>
      </c>
      <c r="BK110" s="1942"/>
      <c r="BL110" s="1952"/>
      <c r="BM110" s="3629" t="s">
        <v>33</v>
      </c>
    </row>
    <row r="111" spans="1:65" ht="15.75" thickBot="1">
      <c r="A111" s="3724"/>
      <c r="B111" s="1738" t="s">
        <v>34</v>
      </c>
      <c r="C111" s="3679"/>
      <c r="D111" s="1705">
        <f t="shared" si="3"/>
        <v>0</v>
      </c>
      <c r="E111" s="1706"/>
      <c r="F111" s="1707"/>
      <c r="G111" s="1708"/>
      <c r="H111" s="1709"/>
      <c r="I111" s="1766"/>
      <c r="J111" s="2981"/>
      <c r="K111" s="1767"/>
      <c r="L111" s="1768"/>
      <c r="M111" s="3059"/>
      <c r="N111" s="3343"/>
      <c r="O111" s="1769"/>
      <c r="P111" s="1768"/>
      <c r="Q111" s="1770"/>
      <c r="R111" s="3122"/>
      <c r="S111" s="1771"/>
      <c r="T111" s="1772"/>
      <c r="U111" s="1834"/>
      <c r="V111" s="2890"/>
      <c r="W111" s="1835"/>
      <c r="X111" s="1836"/>
      <c r="Y111" s="2819"/>
      <c r="Z111" s="2728"/>
      <c r="AA111" s="2721"/>
      <c r="AB111" s="1837"/>
      <c r="AC111" s="1838"/>
      <c r="AD111" s="1839"/>
      <c r="AE111" s="1706"/>
      <c r="AF111" s="1707"/>
      <c r="AG111" s="1887"/>
      <c r="AH111" s="1888"/>
      <c r="AI111" s="1889"/>
      <c r="AJ111" s="2972"/>
      <c r="AK111" s="1890"/>
      <c r="AL111" s="3070"/>
      <c r="AM111" s="3349"/>
      <c r="AN111" s="1769"/>
      <c r="AO111" s="1770"/>
      <c r="AP111" s="3122"/>
      <c r="AQ111" s="1891"/>
      <c r="AR111" s="1892"/>
      <c r="AS111" s="1891"/>
      <c r="AT111" s="1920"/>
      <c r="AU111" s="2866"/>
      <c r="AV111" s="2882"/>
      <c r="AW111" s="2874"/>
      <c r="AX111" s="2826"/>
      <c r="AY111" s="2728"/>
      <c r="AZ111" s="2721"/>
      <c r="BA111" s="1921"/>
      <c r="BB111" s="1922"/>
      <c r="BC111" s="1923"/>
      <c r="BD111" s="1924"/>
      <c r="BE111" s="1947"/>
      <c r="BF111" s="1891"/>
      <c r="BG111" s="1948"/>
      <c r="BH111" s="1924"/>
      <c r="BI111" s="3634"/>
      <c r="BJ111" s="3634"/>
      <c r="BK111" s="1942"/>
      <c r="BL111" s="1952"/>
      <c r="BM111" s="3630"/>
    </row>
    <row r="112" spans="1:65" ht="15.75" thickBot="1">
      <c r="A112" s="3724"/>
      <c r="B112" s="1694" t="s">
        <v>34</v>
      </c>
      <c r="C112" s="3679"/>
      <c r="D112" s="1705">
        <f t="shared" si="3"/>
        <v>0</v>
      </c>
      <c r="E112" s="1706"/>
      <c r="F112" s="1707"/>
      <c r="G112" s="1708"/>
      <c r="H112" s="1709"/>
      <c r="I112" s="1766"/>
      <c r="J112" s="2981"/>
      <c r="K112" s="1767"/>
      <c r="L112" s="1768"/>
      <c r="M112" s="3059"/>
      <c r="N112" s="3343"/>
      <c r="O112" s="1769"/>
      <c r="P112" s="1768"/>
      <c r="Q112" s="1770"/>
      <c r="R112" s="3122"/>
      <c r="S112" s="1771"/>
      <c r="T112" s="1772"/>
      <c r="U112" s="1834"/>
      <c r="V112" s="2890"/>
      <c r="W112" s="1835"/>
      <c r="X112" s="1836"/>
      <c r="Y112" s="2819"/>
      <c r="Z112" s="2728"/>
      <c r="AA112" s="2721"/>
      <c r="AB112" s="1837"/>
      <c r="AC112" s="1838"/>
      <c r="AD112" s="1839"/>
      <c r="AE112" s="1706"/>
      <c r="AF112" s="1707"/>
      <c r="AG112" s="1887"/>
      <c r="AH112" s="1888"/>
      <c r="AI112" s="1889"/>
      <c r="AJ112" s="2972"/>
      <c r="AK112" s="1890"/>
      <c r="AL112" s="3070"/>
      <c r="AM112" s="3349"/>
      <c r="AN112" s="1769"/>
      <c r="AO112" s="1770"/>
      <c r="AP112" s="3122"/>
      <c r="AQ112" s="1891"/>
      <c r="AR112" s="1892"/>
      <c r="AS112" s="1891"/>
      <c r="AT112" s="1920"/>
      <c r="AU112" s="2866"/>
      <c r="AV112" s="2882"/>
      <c r="AW112" s="2874"/>
      <c r="AX112" s="2826"/>
      <c r="AY112" s="2728"/>
      <c r="AZ112" s="2721"/>
      <c r="BA112" s="1921"/>
      <c r="BB112" s="1922"/>
      <c r="BC112" s="1923"/>
      <c r="BD112" s="1924"/>
      <c r="BE112" s="1947"/>
      <c r="BF112" s="1891"/>
      <c r="BG112" s="1948"/>
      <c r="BH112" s="1924"/>
      <c r="BI112" s="3634"/>
      <c r="BJ112" s="3634"/>
      <c r="BK112" s="1942"/>
      <c r="BL112" s="1952"/>
      <c r="BM112" s="3630"/>
    </row>
    <row r="113" spans="1:65" ht="15.75" thickBot="1">
      <c r="A113" s="3723"/>
      <c r="B113" s="1738" t="s">
        <v>32</v>
      </c>
      <c r="C113" s="3678">
        <f>SUM(D113:D115)</f>
        <v>0</v>
      </c>
      <c r="D113" s="1689">
        <f t="shared" si="3"/>
        <v>0</v>
      </c>
      <c r="E113" s="1690"/>
      <c r="F113" s="1691"/>
      <c r="G113" s="1692"/>
      <c r="H113" s="1693"/>
      <c r="I113" s="1745"/>
      <c r="J113" s="2980"/>
      <c r="K113" s="1746"/>
      <c r="L113" s="1747"/>
      <c r="M113" s="3058"/>
      <c r="N113" s="3192"/>
      <c r="O113" s="1748"/>
      <c r="P113" s="1747"/>
      <c r="Q113" s="1749"/>
      <c r="R113" s="3121"/>
      <c r="S113" s="1750"/>
      <c r="T113" s="1751"/>
      <c r="U113" s="1815"/>
      <c r="V113" s="2889"/>
      <c r="W113" s="1816"/>
      <c r="X113" s="1817"/>
      <c r="Y113" s="2818"/>
      <c r="Z113" s="2727"/>
      <c r="AA113" s="2720"/>
      <c r="AB113" s="1818"/>
      <c r="AC113" s="1819"/>
      <c r="AD113" s="1820"/>
      <c r="AE113" s="1726"/>
      <c r="AF113" s="1691"/>
      <c r="AG113" s="1869"/>
      <c r="AH113" s="1893"/>
      <c r="AI113" s="1854"/>
      <c r="AJ113" s="2975"/>
      <c r="AK113" s="1894"/>
      <c r="AL113" s="3073"/>
      <c r="AM113" s="3350"/>
      <c r="AN113" s="1748"/>
      <c r="AO113" s="1749"/>
      <c r="AP113" s="3121"/>
      <c r="AQ113" s="1873"/>
      <c r="AR113" s="1874"/>
      <c r="AS113" s="1873"/>
      <c r="AT113" s="1909"/>
      <c r="AU113" s="2865"/>
      <c r="AV113" s="2881"/>
      <c r="AW113" s="2873"/>
      <c r="AX113" s="2825"/>
      <c r="AY113" s="2727"/>
      <c r="AZ113" s="2720"/>
      <c r="BA113" s="1910"/>
      <c r="BB113" s="1911"/>
      <c r="BC113" s="1864"/>
      <c r="BD113" s="1865"/>
      <c r="BE113" s="1726"/>
      <c r="BF113" s="1873"/>
      <c r="BG113" s="1940"/>
      <c r="BH113" s="1865"/>
      <c r="BI113" s="3633">
        <f>SUM(E113:AD115)</f>
        <v>0</v>
      </c>
      <c r="BJ113" s="3633">
        <f>SUM(E113:BD115)</f>
        <v>0</v>
      </c>
      <c r="BK113" s="1942"/>
      <c r="BL113" s="1952"/>
      <c r="BM113" s="3629"/>
    </row>
    <row r="114" spans="1:65" ht="15.75" thickBot="1">
      <c r="A114" s="3724"/>
      <c r="B114" s="1738" t="s">
        <v>34</v>
      </c>
      <c r="C114" s="3679"/>
      <c r="D114" s="1705">
        <f t="shared" si="3"/>
        <v>0</v>
      </c>
      <c r="E114" s="1706"/>
      <c r="F114" s="1707"/>
      <c r="G114" s="1708"/>
      <c r="H114" s="1709"/>
      <c r="I114" s="1766"/>
      <c r="J114" s="2981"/>
      <c r="K114" s="1767"/>
      <c r="L114" s="1768"/>
      <c r="M114" s="3059"/>
      <c r="N114" s="3343"/>
      <c r="O114" s="1769"/>
      <c r="P114" s="1768"/>
      <c r="Q114" s="1770"/>
      <c r="R114" s="3122"/>
      <c r="S114" s="1771"/>
      <c r="T114" s="1772"/>
      <c r="U114" s="1834"/>
      <c r="V114" s="2890"/>
      <c r="W114" s="1835"/>
      <c r="X114" s="1836"/>
      <c r="Y114" s="2819"/>
      <c r="Z114" s="2728"/>
      <c r="AA114" s="2721"/>
      <c r="AB114" s="1837"/>
      <c r="AC114" s="1838"/>
      <c r="AD114" s="1839"/>
      <c r="AE114" s="1706"/>
      <c r="AF114" s="1707"/>
      <c r="AG114" s="1887"/>
      <c r="AH114" s="1888"/>
      <c r="AI114" s="1889"/>
      <c r="AJ114" s="2972"/>
      <c r="AK114" s="1890"/>
      <c r="AL114" s="3070"/>
      <c r="AM114" s="3349"/>
      <c r="AN114" s="1769"/>
      <c r="AO114" s="1770"/>
      <c r="AP114" s="3122"/>
      <c r="AQ114" s="1891"/>
      <c r="AR114" s="1892"/>
      <c r="AS114" s="1891"/>
      <c r="AT114" s="1920"/>
      <c r="AU114" s="2866"/>
      <c r="AV114" s="2882"/>
      <c r="AW114" s="2874"/>
      <c r="AX114" s="2826"/>
      <c r="AY114" s="2728"/>
      <c r="AZ114" s="2721"/>
      <c r="BA114" s="1921"/>
      <c r="BB114" s="1922"/>
      <c r="BC114" s="1923"/>
      <c r="BD114" s="1924"/>
      <c r="BE114" s="1947"/>
      <c r="BF114" s="1891"/>
      <c r="BG114" s="1948"/>
      <c r="BH114" s="1924"/>
      <c r="BI114" s="3634"/>
      <c r="BJ114" s="3634"/>
      <c r="BK114" s="1942"/>
      <c r="BL114" s="1952"/>
      <c r="BM114" s="3630"/>
    </row>
    <row r="115" spans="1:65" ht="15.75" thickBot="1">
      <c r="A115" s="3724"/>
      <c r="B115" s="1694" t="s">
        <v>34</v>
      </c>
      <c r="C115" s="3679"/>
      <c r="D115" s="1705">
        <f t="shared" si="3"/>
        <v>0</v>
      </c>
      <c r="E115" s="1706"/>
      <c r="F115" s="1707"/>
      <c r="G115" s="1708"/>
      <c r="H115" s="1709"/>
      <c r="I115" s="1766"/>
      <c r="J115" s="2981"/>
      <c r="K115" s="1767"/>
      <c r="L115" s="1768"/>
      <c r="M115" s="3059"/>
      <c r="N115" s="3343"/>
      <c r="O115" s="1769"/>
      <c r="P115" s="1768"/>
      <c r="Q115" s="1770"/>
      <c r="R115" s="3122"/>
      <c r="S115" s="1771"/>
      <c r="T115" s="1772"/>
      <c r="U115" s="1834"/>
      <c r="V115" s="2890"/>
      <c r="W115" s="1835"/>
      <c r="X115" s="1836"/>
      <c r="Y115" s="2819"/>
      <c r="Z115" s="2728"/>
      <c r="AA115" s="2721"/>
      <c r="AB115" s="1837"/>
      <c r="AC115" s="1838"/>
      <c r="AD115" s="1839"/>
      <c r="AE115" s="1706"/>
      <c r="AF115" s="1707"/>
      <c r="AG115" s="1887"/>
      <c r="AH115" s="1888"/>
      <c r="AI115" s="1889"/>
      <c r="AJ115" s="2972"/>
      <c r="AK115" s="1890"/>
      <c r="AL115" s="3070"/>
      <c r="AM115" s="3349"/>
      <c r="AN115" s="1769"/>
      <c r="AO115" s="1770"/>
      <c r="AP115" s="3122"/>
      <c r="AQ115" s="1891"/>
      <c r="AR115" s="1892"/>
      <c r="AS115" s="1891"/>
      <c r="AT115" s="1920"/>
      <c r="AU115" s="2866"/>
      <c r="AV115" s="2883"/>
      <c r="AW115" s="2874"/>
      <c r="AX115" s="2826"/>
      <c r="AY115" s="2728"/>
      <c r="AZ115" s="2721"/>
      <c r="BA115" s="1921"/>
      <c r="BB115" s="1922"/>
      <c r="BC115" s="1923"/>
      <c r="BD115" s="1924"/>
      <c r="BE115" s="1947"/>
      <c r="BF115" s="1891"/>
      <c r="BG115" s="1948"/>
      <c r="BH115" s="1924"/>
      <c r="BI115" s="3634"/>
      <c r="BJ115" s="3634"/>
      <c r="BK115" s="1939"/>
      <c r="BL115" s="1952"/>
      <c r="BM115" s="3630"/>
    </row>
    <row r="116" spans="1:65" ht="23.25" customHeight="1" thickBot="1">
      <c r="A116" s="1963"/>
      <c r="B116" s="1724"/>
      <c r="C116" s="1964"/>
      <c r="D116" s="1965"/>
      <c r="E116" s="1966">
        <f t="shared" ref="E116:BJ116" si="4">SUM(E5:E115)</f>
        <v>0</v>
      </c>
      <c r="F116" s="1966">
        <f t="shared" si="4"/>
        <v>0</v>
      </c>
      <c r="G116" s="1966">
        <f t="shared" si="4"/>
        <v>0</v>
      </c>
      <c r="H116" s="1966">
        <f t="shared" si="4"/>
        <v>0</v>
      </c>
      <c r="I116" s="1966">
        <f t="shared" si="4"/>
        <v>0</v>
      </c>
      <c r="J116" s="1966">
        <f t="shared" si="4"/>
        <v>0</v>
      </c>
      <c r="K116" s="1966">
        <f t="shared" si="4"/>
        <v>0</v>
      </c>
      <c r="L116" s="1966">
        <f t="shared" si="4"/>
        <v>0</v>
      </c>
      <c r="M116" s="1966">
        <f t="shared" si="4"/>
        <v>0</v>
      </c>
      <c r="N116" s="1966">
        <f t="shared" ref="N116" si="5">SUM(N5:N115)</f>
        <v>0</v>
      </c>
      <c r="O116" s="1966">
        <f t="shared" si="4"/>
        <v>0</v>
      </c>
      <c r="P116" s="1966">
        <f t="shared" si="4"/>
        <v>0</v>
      </c>
      <c r="Q116" s="1966">
        <f t="shared" si="4"/>
        <v>0</v>
      </c>
      <c r="R116" s="1966">
        <f t="shared" si="4"/>
        <v>0</v>
      </c>
      <c r="S116" s="1966">
        <f t="shared" si="4"/>
        <v>6448</v>
      </c>
      <c r="T116" s="1966">
        <f t="shared" si="4"/>
        <v>0</v>
      </c>
      <c r="U116" s="1966">
        <f t="shared" si="4"/>
        <v>0</v>
      </c>
      <c r="V116" s="1966">
        <f t="shared" si="4"/>
        <v>0</v>
      </c>
      <c r="W116" s="1966">
        <f t="shared" si="4"/>
        <v>0</v>
      </c>
      <c r="X116" s="1966">
        <f t="shared" si="4"/>
        <v>0</v>
      </c>
      <c r="Y116" s="1966">
        <f t="shared" si="4"/>
        <v>0</v>
      </c>
      <c r="Z116" s="1966">
        <f t="shared" si="4"/>
        <v>0</v>
      </c>
      <c r="AA116" s="1966">
        <f t="shared" si="4"/>
        <v>0</v>
      </c>
      <c r="AB116" s="1966">
        <f t="shared" si="4"/>
        <v>0</v>
      </c>
      <c r="AC116" s="1966">
        <f t="shared" si="4"/>
        <v>4584</v>
      </c>
      <c r="AD116" s="1966">
        <f t="shared" si="4"/>
        <v>0</v>
      </c>
      <c r="AE116" s="1966">
        <f t="shared" si="4"/>
        <v>0</v>
      </c>
      <c r="AF116" s="1966">
        <f t="shared" si="4"/>
        <v>0</v>
      </c>
      <c r="AG116" s="1966">
        <f t="shared" si="4"/>
        <v>0</v>
      </c>
      <c r="AH116" s="1966">
        <f t="shared" si="4"/>
        <v>0</v>
      </c>
      <c r="AI116" s="1966">
        <f t="shared" si="4"/>
        <v>0</v>
      </c>
      <c r="AJ116" s="1966">
        <f t="shared" si="4"/>
        <v>0</v>
      </c>
      <c r="AK116" s="1966">
        <f t="shared" si="4"/>
        <v>0</v>
      </c>
      <c r="AL116" s="1966">
        <f t="shared" si="4"/>
        <v>0</v>
      </c>
      <c r="AM116" s="1966">
        <f t="shared" ref="AM116" si="6">SUM(AM5:AM115)</f>
        <v>0</v>
      </c>
      <c r="AN116" s="1966">
        <f t="shared" si="4"/>
        <v>0</v>
      </c>
      <c r="AO116" s="1966">
        <f t="shared" si="4"/>
        <v>0</v>
      </c>
      <c r="AP116" s="1966">
        <f t="shared" si="4"/>
        <v>0</v>
      </c>
      <c r="AQ116" s="1966">
        <f t="shared" si="4"/>
        <v>0</v>
      </c>
      <c r="AR116" s="1966">
        <f t="shared" si="4"/>
        <v>37</v>
      </c>
      <c r="AS116" s="1966">
        <f t="shared" si="4"/>
        <v>0</v>
      </c>
      <c r="AT116" s="1966">
        <f t="shared" si="4"/>
        <v>0</v>
      </c>
      <c r="AU116" s="1966">
        <f t="shared" si="4"/>
        <v>0</v>
      </c>
      <c r="AV116" s="1966">
        <f t="shared" si="4"/>
        <v>0</v>
      </c>
      <c r="AW116" s="1966">
        <f t="shared" si="4"/>
        <v>0</v>
      </c>
      <c r="AX116" s="1966">
        <f t="shared" si="4"/>
        <v>0</v>
      </c>
      <c r="AY116" s="1966">
        <f t="shared" si="4"/>
        <v>0</v>
      </c>
      <c r="AZ116" s="1966">
        <f t="shared" si="4"/>
        <v>0</v>
      </c>
      <c r="BA116" s="1966">
        <f t="shared" si="4"/>
        <v>0</v>
      </c>
      <c r="BB116" s="1966">
        <f t="shared" si="4"/>
        <v>0</v>
      </c>
      <c r="BC116" s="1966">
        <f t="shared" si="4"/>
        <v>29</v>
      </c>
      <c r="BD116" s="1966">
        <f t="shared" si="4"/>
        <v>0</v>
      </c>
      <c r="BE116" s="1966">
        <f t="shared" si="4"/>
        <v>47</v>
      </c>
      <c r="BF116" s="1966">
        <f t="shared" si="4"/>
        <v>0</v>
      </c>
      <c r="BG116" s="1966">
        <f t="shared" si="4"/>
        <v>0</v>
      </c>
      <c r="BH116" s="1966">
        <f t="shared" si="4"/>
        <v>77</v>
      </c>
      <c r="BI116" s="1966">
        <f t="shared" si="4"/>
        <v>11032</v>
      </c>
      <c r="BJ116" s="1966">
        <f t="shared" si="4"/>
        <v>11098</v>
      </c>
      <c r="BK116" s="1942"/>
      <c r="BL116" s="1939"/>
      <c r="BM116" s="1989"/>
    </row>
    <row r="117" spans="1:65" ht="21.75" thickBot="1">
      <c r="A117" s="1967"/>
      <c r="B117" s="1730"/>
      <c r="C117" s="1968">
        <f>SUM(C5:C115)</f>
        <v>11222</v>
      </c>
      <c r="D117" s="1969"/>
      <c r="E117" s="3699">
        <f>SUM(E116:AD116)</f>
        <v>11032</v>
      </c>
      <c r="F117" s="3700"/>
      <c r="G117" s="3700"/>
      <c r="H117" s="3700"/>
      <c r="I117" s="3700"/>
      <c r="J117" s="3700"/>
      <c r="K117" s="3700"/>
      <c r="L117" s="3700"/>
      <c r="M117" s="3700"/>
      <c r="N117" s="3700"/>
      <c r="O117" s="3700"/>
      <c r="P117" s="3700"/>
      <c r="Q117" s="3700"/>
      <c r="R117" s="3700"/>
      <c r="S117" s="3700"/>
      <c r="T117" s="3700"/>
      <c r="U117" s="3700"/>
      <c r="V117" s="3700"/>
      <c r="W117" s="3700"/>
      <c r="X117" s="3701"/>
      <c r="Y117" s="3701"/>
      <c r="Z117" s="3701"/>
      <c r="AA117" s="3701"/>
      <c r="AB117" s="3701"/>
      <c r="AC117" s="3701"/>
      <c r="AD117" s="3702"/>
      <c r="AE117" s="3703">
        <f>SUM(AE116:BD116)</f>
        <v>66</v>
      </c>
      <c r="AF117" s="3704"/>
      <c r="AG117" s="3704"/>
      <c r="AH117" s="3704"/>
      <c r="AI117" s="3704"/>
      <c r="AJ117" s="3704"/>
      <c r="AK117" s="3704"/>
      <c r="AL117" s="3704"/>
      <c r="AM117" s="3704"/>
      <c r="AN117" s="3704"/>
      <c r="AO117" s="3704"/>
      <c r="AP117" s="3704"/>
      <c r="AQ117" s="3704"/>
      <c r="AR117" s="3704"/>
      <c r="AS117" s="3704"/>
      <c r="AT117" s="3704"/>
      <c r="AU117" s="3704"/>
      <c r="AV117" s="3704"/>
      <c r="AW117" s="3704"/>
      <c r="AX117" s="3704"/>
      <c r="AY117" s="3704"/>
      <c r="AZ117" s="3704"/>
      <c r="BA117" s="3705"/>
      <c r="BB117" s="3705"/>
      <c r="BC117" s="3705"/>
      <c r="BD117" s="3706"/>
      <c r="BE117" s="3699">
        <f>SUM(BE116:BH116)</f>
        <v>124</v>
      </c>
      <c r="BF117" s="3701"/>
      <c r="BG117" s="3701"/>
      <c r="BH117" s="3702"/>
      <c r="BK117" s="1970"/>
      <c r="BL117" s="1970"/>
      <c r="BM117" s="1970"/>
    </row>
    <row r="118" spans="1:65" ht="15.75" thickBot="1">
      <c r="A118" s="1970"/>
      <c r="B118" s="1"/>
      <c r="C118" s="1"/>
      <c r="D118" s="1971"/>
      <c r="E118" s="1972"/>
      <c r="F118" s="1972"/>
      <c r="G118" s="1972"/>
      <c r="H118" s="1972"/>
      <c r="I118" s="1972"/>
      <c r="J118" s="1972"/>
      <c r="K118" s="1972"/>
      <c r="L118" s="1972"/>
      <c r="M118" s="1972"/>
      <c r="N118" s="1972"/>
      <c r="O118" s="1972"/>
      <c r="P118" s="1972"/>
      <c r="Q118" s="1972"/>
      <c r="R118" s="1972"/>
      <c r="S118" s="1972"/>
      <c r="T118" s="1972"/>
      <c r="U118" s="1972"/>
      <c r="V118" s="1972"/>
      <c r="W118" s="1972"/>
      <c r="X118" s="1972"/>
      <c r="Y118" s="1972"/>
      <c r="Z118" s="1972"/>
      <c r="AA118" s="1972"/>
      <c r="AB118" s="1972"/>
      <c r="AC118" s="1978"/>
      <c r="AD118" s="1978"/>
      <c r="AE118" s="1977"/>
      <c r="AF118" s="1971"/>
      <c r="AG118" s="1971"/>
      <c r="AH118" s="1971"/>
      <c r="AI118" s="1971"/>
      <c r="AJ118" s="1971"/>
      <c r="AK118" s="1971"/>
      <c r="AL118" s="1971"/>
      <c r="AM118" s="1971"/>
      <c r="AN118" s="1972"/>
      <c r="AO118" s="1972"/>
      <c r="AP118" s="1972"/>
      <c r="AQ118" s="1971"/>
      <c r="AR118" s="1971"/>
      <c r="AS118" s="1971"/>
      <c r="AT118" s="1971"/>
      <c r="AU118" s="1971"/>
      <c r="AV118" s="1971"/>
      <c r="AW118" s="1971"/>
      <c r="AX118" s="1971"/>
      <c r="AY118" s="1971"/>
      <c r="AZ118" s="1971"/>
      <c r="BA118" s="1971"/>
      <c r="BB118" s="1971"/>
      <c r="BC118" s="1971"/>
      <c r="BD118" s="1971"/>
      <c r="BE118" s="1983"/>
      <c r="BF118" s="1984"/>
      <c r="BG118" s="1984"/>
      <c r="BH118" s="1984"/>
      <c r="BK118" s="1970"/>
      <c r="BL118" s="1970"/>
      <c r="BM118" s="1970"/>
    </row>
    <row r="119" spans="1:65" ht="21.75" thickBot="1">
      <c r="A119" s="1970"/>
      <c r="B119" s="1"/>
      <c r="C119" s="1"/>
      <c r="D119" s="1971"/>
      <c r="E119" s="1972"/>
      <c r="F119" s="1973">
        <f>SUM(BJ49)</f>
        <v>704</v>
      </c>
      <c r="G119" s="1974"/>
      <c r="H119" s="1974"/>
      <c r="I119" s="1974"/>
      <c r="J119" s="1974"/>
      <c r="K119" s="1974"/>
      <c r="L119" s="1974"/>
      <c r="M119" s="1974"/>
      <c r="N119" s="1974"/>
      <c r="O119" s="1974"/>
      <c r="P119" s="1974"/>
      <c r="Q119" s="1974"/>
      <c r="R119" s="1974"/>
      <c r="S119" s="1974"/>
      <c r="T119" s="1974"/>
      <c r="U119" s="1974"/>
      <c r="V119" s="1974"/>
      <c r="W119" s="1974"/>
      <c r="X119" s="1974"/>
      <c r="Y119" s="1974"/>
      <c r="Z119" s="1974"/>
      <c r="AA119" s="1974"/>
      <c r="AB119" s="1974"/>
      <c r="AC119" s="1978"/>
      <c r="AD119" s="1978"/>
      <c r="AE119" s="1977"/>
      <c r="AF119" s="1971"/>
      <c r="AG119" s="1971"/>
      <c r="AH119" s="1971"/>
      <c r="AI119" s="1971"/>
      <c r="AJ119" s="1971"/>
      <c r="AK119" s="1971"/>
      <c r="AL119" s="1971"/>
      <c r="AM119" s="1971"/>
      <c r="AN119" s="1974"/>
      <c r="AO119" s="1974"/>
      <c r="AP119" s="1974"/>
      <c r="AQ119" s="1971"/>
      <c r="AR119" s="1971"/>
      <c r="AS119" s="1971"/>
      <c r="AT119" s="1971"/>
      <c r="AU119" s="1971"/>
      <c r="AV119" s="1971"/>
      <c r="AW119" s="1971"/>
      <c r="AX119" s="1971"/>
      <c r="AY119" s="1971"/>
      <c r="AZ119" s="1971"/>
      <c r="BA119" s="1971"/>
      <c r="BB119" s="1971"/>
      <c r="BC119" s="1971"/>
      <c r="BD119" s="1971"/>
      <c r="BE119" s="1983"/>
      <c r="BF119" s="1983">
        <f>'[1]M-1'!AU115</f>
        <v>214</v>
      </c>
      <c r="BG119" s="1984"/>
      <c r="BH119" s="1984"/>
      <c r="BI119" s="1985">
        <f>SUM(BE117:BH119)</f>
        <v>338</v>
      </c>
      <c r="BK119" s="1970"/>
      <c r="BL119" s="1970"/>
      <c r="BM119" s="1970"/>
    </row>
    <row r="120" spans="1:65" ht="21.75" thickBot="1">
      <c r="A120" s="1970"/>
      <c r="B120" s="1"/>
      <c r="C120" s="1"/>
      <c r="D120" s="1971"/>
      <c r="E120" s="1972"/>
      <c r="F120" s="1975">
        <f>SUM(E49:AD51)</f>
        <v>704</v>
      </c>
      <c r="G120" s="1976"/>
      <c r="H120" s="1976"/>
      <c r="I120" s="1976"/>
      <c r="J120" s="1976"/>
      <c r="K120" s="1976"/>
      <c r="L120" s="1976"/>
      <c r="M120" s="1976"/>
      <c r="N120" s="1976"/>
      <c r="O120" s="1976"/>
      <c r="P120" s="1976"/>
      <c r="Q120" s="1976"/>
      <c r="R120" s="1976"/>
      <c r="S120" s="1976"/>
      <c r="T120" s="1976"/>
      <c r="U120" s="1976"/>
      <c r="V120" s="1976"/>
      <c r="W120" s="1976"/>
      <c r="X120" s="1976"/>
      <c r="Y120" s="1976"/>
      <c r="Z120" s="1976"/>
      <c r="AA120" s="1976"/>
      <c r="AB120" s="1976"/>
      <c r="AC120" s="1979"/>
      <c r="AD120" s="1979"/>
      <c r="AE120" s="140">
        <f>SUM(AE49:BD51)</f>
        <v>0</v>
      </c>
      <c r="AF120" s="3375"/>
      <c r="AG120" s="3375"/>
      <c r="AH120" s="3375"/>
      <c r="AI120" s="3375"/>
      <c r="AJ120" s="3375"/>
      <c r="AK120" s="3375"/>
      <c r="AL120" s="3375"/>
      <c r="AM120" s="3480"/>
      <c r="AN120" s="1976"/>
      <c r="AO120" s="1976"/>
      <c r="AP120" s="1976"/>
      <c r="AQ120" s="3375"/>
      <c r="AR120" s="3375"/>
      <c r="AS120" s="3375"/>
      <c r="AT120" s="3375"/>
      <c r="AU120" s="3375"/>
      <c r="AV120" s="3375"/>
      <c r="AW120" s="3375"/>
      <c r="AX120" s="3375"/>
      <c r="AY120" s="3375"/>
      <c r="AZ120" s="3375"/>
      <c r="BA120" s="3375"/>
      <c r="BB120" s="3375"/>
      <c r="BC120" s="1981"/>
      <c r="BD120" s="1981"/>
      <c r="BE120" s="140">
        <f>SUM(BE49:BH51)</f>
        <v>8</v>
      </c>
      <c r="BF120" s="1986"/>
      <c r="BG120" s="1971"/>
      <c r="BH120" s="1971"/>
      <c r="BK120" s="1970"/>
      <c r="BL120" s="1970"/>
      <c r="BM120" s="1970"/>
    </row>
    <row r="121" spans="1:65" ht="19.5" thickBot="1">
      <c r="A121" s="1970"/>
      <c r="B121" s="1"/>
      <c r="C121" s="1"/>
      <c r="D121" s="1971"/>
      <c r="E121" s="1977"/>
      <c r="F121" s="1971"/>
      <c r="G121" s="1971"/>
      <c r="H121" s="1971"/>
      <c r="I121" s="1971"/>
      <c r="J121" s="1971"/>
      <c r="K121" s="1971"/>
      <c r="L121" s="1971"/>
      <c r="M121" s="1971"/>
      <c r="N121" s="1971"/>
      <c r="O121" s="1971"/>
      <c r="P121" s="1971"/>
      <c r="Q121" s="1971"/>
      <c r="R121" s="1971"/>
      <c r="S121" s="1971"/>
      <c r="T121" s="1971"/>
      <c r="U121" s="1971"/>
      <c r="V121" s="1971"/>
      <c r="W121" s="1971"/>
      <c r="X121" s="3707">
        <f>SUM(F120:AE120)</f>
        <v>704</v>
      </c>
      <c r="Y121" s="3708"/>
      <c r="Z121" s="3708"/>
      <c r="AA121" s="3708"/>
      <c r="AB121" s="3708"/>
      <c r="AC121" s="3708"/>
      <c r="AD121" s="3709"/>
      <c r="AE121" s="1977"/>
      <c r="AF121" s="1971"/>
      <c r="AG121" s="216"/>
      <c r="AH121" s="216"/>
      <c r="AI121" s="216"/>
      <c r="AJ121" s="216"/>
      <c r="AK121" s="216"/>
      <c r="AL121" s="216"/>
      <c r="AM121" s="216"/>
      <c r="AN121" s="1971"/>
      <c r="AO121" s="1971"/>
      <c r="AP121" s="1971"/>
      <c r="AQ121" s="216"/>
      <c r="AR121" s="216"/>
      <c r="AS121" s="216"/>
      <c r="AT121" s="216"/>
      <c r="AU121" s="216"/>
      <c r="AV121" s="216"/>
      <c r="AW121" s="216"/>
      <c r="AX121" s="216"/>
      <c r="AY121" s="1982">
        <f>SUM(D120:BC120)</f>
        <v>704</v>
      </c>
      <c r="AZ121" s="1982">
        <f>SUM(E120:BD120)</f>
        <v>704</v>
      </c>
      <c r="BA121" s="1982">
        <f>SUM(F120:BE120)</f>
        <v>712</v>
      </c>
      <c r="BB121" s="216"/>
      <c r="BC121" s="1971"/>
      <c r="BD121" s="1971"/>
      <c r="BE121" s="1977"/>
      <c r="BF121" s="1971"/>
      <c r="BG121" s="1971"/>
      <c r="BH121" s="1971"/>
      <c r="BI121" s="147" t="s">
        <v>42</v>
      </c>
      <c r="BJ121" s="1987">
        <f>BJ116+'[1]M-1'!AZ115</f>
        <v>11098</v>
      </c>
      <c r="BK121" s="1970"/>
      <c r="BL121" s="1970"/>
      <c r="BM121" s="1970"/>
    </row>
    <row r="122" spans="1:65">
      <c r="A122" s="1970"/>
      <c r="B122" s="1"/>
      <c r="C122" s="1"/>
      <c r="D122" s="1971"/>
      <c r="E122" s="1977"/>
      <c r="F122" s="1971"/>
      <c r="G122" s="1971"/>
      <c r="H122" s="1971"/>
      <c r="I122" s="1971"/>
      <c r="J122" s="1971"/>
      <c r="K122" s="1971"/>
      <c r="L122" s="1971"/>
      <c r="M122" s="1971"/>
      <c r="N122" s="1971"/>
      <c r="O122" s="1971"/>
      <c r="P122" s="1971"/>
      <c r="Q122" s="1971"/>
      <c r="R122" s="1971"/>
      <c r="S122" s="1977"/>
      <c r="T122" s="1977"/>
      <c r="U122" s="1977"/>
      <c r="V122" s="1977"/>
      <c r="W122" s="1977"/>
      <c r="X122" s="1977"/>
      <c r="Y122" s="1977"/>
      <c r="Z122" s="1977"/>
      <c r="AA122" s="1977"/>
      <c r="AB122" s="1977"/>
      <c r="AC122" s="1971"/>
      <c r="AD122" s="1971"/>
      <c r="AE122" s="1977"/>
      <c r="AF122" s="1971"/>
      <c r="AG122" s="1971"/>
      <c r="AH122" s="1971"/>
      <c r="AI122" s="1971"/>
      <c r="AJ122" s="1971"/>
      <c r="AK122" s="1971"/>
      <c r="AL122" s="1971"/>
      <c r="AM122" s="1971"/>
      <c r="AN122" s="1971"/>
      <c r="AO122" s="1971"/>
      <c r="AP122" s="1971"/>
      <c r="AQ122" s="1971"/>
      <c r="AR122" s="1971"/>
      <c r="AS122" s="1971"/>
      <c r="AT122" s="1971"/>
      <c r="AU122" s="1971"/>
      <c r="AV122" s="1971"/>
      <c r="AW122" s="1971"/>
      <c r="AX122" s="1971"/>
      <c r="AY122" s="1971"/>
      <c r="AZ122" s="1971"/>
      <c r="BA122" s="1971"/>
      <c r="BB122" s="1971"/>
      <c r="BC122" s="1971"/>
      <c r="BD122" s="1971"/>
      <c r="BE122" s="1977"/>
      <c r="BF122" s="1971"/>
      <c r="BG122" s="1971"/>
      <c r="BH122" s="1971"/>
      <c r="BK122" s="1970"/>
      <c r="BL122" s="1970"/>
      <c r="BM122" s="1970"/>
    </row>
  </sheetData>
  <mergeCells count="163">
    <mergeCell ref="BI107:BI109"/>
    <mergeCell ref="BJ107:BJ109"/>
    <mergeCell ref="BM107:BM109"/>
    <mergeCell ref="X121:AD121"/>
    <mergeCell ref="A5:A7"/>
    <mergeCell ref="A8:A11"/>
    <mergeCell ref="A12:A15"/>
    <mergeCell ref="A16:A18"/>
    <mergeCell ref="A19:A22"/>
    <mergeCell ref="A23:A25"/>
    <mergeCell ref="A26:A29"/>
    <mergeCell ref="A30:A33"/>
    <mergeCell ref="A34:A37"/>
    <mergeCell ref="A38:A40"/>
    <mergeCell ref="A41:A44"/>
    <mergeCell ref="A45:A48"/>
    <mergeCell ref="A49:A51"/>
    <mergeCell ref="A52:A55"/>
    <mergeCell ref="A56:A58"/>
    <mergeCell ref="A104:A106"/>
    <mergeCell ref="A66:A69"/>
    <mergeCell ref="A70:A73"/>
    <mergeCell ref="C52:C55"/>
    <mergeCell ref="C56:C58"/>
    <mergeCell ref="E3:AD3"/>
    <mergeCell ref="AE3:BD3"/>
    <mergeCell ref="BE3:BH3"/>
    <mergeCell ref="C4:D4"/>
    <mergeCell ref="A107:A109"/>
    <mergeCell ref="C107:C109"/>
    <mergeCell ref="E117:AD117"/>
    <mergeCell ref="AE117:BD117"/>
    <mergeCell ref="BE117:BH117"/>
    <mergeCell ref="A93:A96"/>
    <mergeCell ref="A97:A100"/>
    <mergeCell ref="A101:A103"/>
    <mergeCell ref="A113:A115"/>
    <mergeCell ref="C5:C7"/>
    <mergeCell ref="C8:C11"/>
    <mergeCell ref="C12:C15"/>
    <mergeCell ref="C16:C18"/>
    <mergeCell ref="C19:C22"/>
    <mergeCell ref="C23:C25"/>
    <mergeCell ref="C26:C29"/>
    <mergeCell ref="C30:C33"/>
    <mergeCell ref="C34:C37"/>
    <mergeCell ref="C38:C40"/>
    <mergeCell ref="C41:C44"/>
    <mergeCell ref="C45:C48"/>
    <mergeCell ref="C49:C51"/>
    <mergeCell ref="C66:C69"/>
    <mergeCell ref="A59:A61"/>
    <mergeCell ref="A62:A65"/>
    <mergeCell ref="A74:A77"/>
    <mergeCell ref="A78:A81"/>
    <mergeCell ref="C59:C61"/>
    <mergeCell ref="C62:C65"/>
    <mergeCell ref="C70:C73"/>
    <mergeCell ref="C74:C77"/>
    <mergeCell ref="A82:A84"/>
    <mergeCell ref="A85:A88"/>
    <mergeCell ref="A89:A92"/>
    <mergeCell ref="C104:C106"/>
    <mergeCell ref="C113:C115"/>
    <mergeCell ref="BI5:BI7"/>
    <mergeCell ref="BI8:BI11"/>
    <mergeCell ref="BI12:BI15"/>
    <mergeCell ref="BI16:BI18"/>
    <mergeCell ref="BI19:BI22"/>
    <mergeCell ref="BI23:BI25"/>
    <mergeCell ref="BI26:BI29"/>
    <mergeCell ref="BI30:BI33"/>
    <mergeCell ref="BI34:BI37"/>
    <mergeCell ref="BI38:BI40"/>
    <mergeCell ref="BI41:BI44"/>
    <mergeCell ref="BI45:BI48"/>
    <mergeCell ref="BI49:BI51"/>
    <mergeCell ref="BI52:BI55"/>
    <mergeCell ref="BI56:BI58"/>
    <mergeCell ref="BI59:BI61"/>
    <mergeCell ref="BI62:BI65"/>
    <mergeCell ref="BI66:BI69"/>
    <mergeCell ref="BI70:BI73"/>
    <mergeCell ref="BI93:BI96"/>
    <mergeCell ref="BI97:BI100"/>
    <mergeCell ref="BI101:BI103"/>
    <mergeCell ref="BI104:BI106"/>
    <mergeCell ref="BI82:BI84"/>
    <mergeCell ref="BI85:BI88"/>
    <mergeCell ref="BI89:BI92"/>
    <mergeCell ref="C78:C81"/>
    <mergeCell ref="C82:C84"/>
    <mergeCell ref="C85:C88"/>
    <mergeCell ref="C89:C92"/>
    <mergeCell ref="C93:C96"/>
    <mergeCell ref="C97:C100"/>
    <mergeCell ref="C101:C103"/>
    <mergeCell ref="BJ59:BJ61"/>
    <mergeCell ref="BI113:BI115"/>
    <mergeCell ref="BJ5:BJ7"/>
    <mergeCell ref="BJ8:BJ11"/>
    <mergeCell ref="BJ12:BJ15"/>
    <mergeCell ref="BJ16:BJ18"/>
    <mergeCell ref="BJ19:BJ22"/>
    <mergeCell ref="BJ23:BJ25"/>
    <mergeCell ref="BJ26:BJ29"/>
    <mergeCell ref="BJ30:BJ33"/>
    <mergeCell ref="BJ34:BJ37"/>
    <mergeCell ref="BJ38:BJ40"/>
    <mergeCell ref="BJ41:BJ44"/>
    <mergeCell ref="BJ45:BJ48"/>
    <mergeCell ref="BJ49:BJ51"/>
    <mergeCell ref="BJ52:BJ55"/>
    <mergeCell ref="BJ56:BJ58"/>
    <mergeCell ref="BJ62:BJ65"/>
    <mergeCell ref="BJ66:BJ69"/>
    <mergeCell ref="BJ70:BJ73"/>
    <mergeCell ref="BJ74:BJ77"/>
    <mergeCell ref="BJ78:BJ81"/>
    <mergeCell ref="BJ82:BJ84"/>
    <mergeCell ref="BJ85:BJ88"/>
    <mergeCell ref="BM38:BM40"/>
    <mergeCell ref="BM41:BM44"/>
    <mergeCell ref="BM45:BM48"/>
    <mergeCell ref="BM49:BM51"/>
    <mergeCell ref="BM52:BM55"/>
    <mergeCell ref="BM56:BM58"/>
    <mergeCell ref="BM59:BM61"/>
    <mergeCell ref="BM62:BM65"/>
    <mergeCell ref="BM66:BM69"/>
    <mergeCell ref="BM5:BM7"/>
    <mergeCell ref="BM8:BM11"/>
    <mergeCell ref="BM12:BM15"/>
    <mergeCell ref="BM16:BM18"/>
    <mergeCell ref="BM19:BM22"/>
    <mergeCell ref="BM23:BM25"/>
    <mergeCell ref="BM26:BM29"/>
    <mergeCell ref="BM30:BM33"/>
    <mergeCell ref="BM34:BM37"/>
    <mergeCell ref="A110:A112"/>
    <mergeCell ref="C110:C112"/>
    <mergeCell ref="BI110:BI112"/>
    <mergeCell ref="BJ110:BJ112"/>
    <mergeCell ref="BM110:BM112"/>
    <mergeCell ref="BM104:BM106"/>
    <mergeCell ref="BM113:BM115"/>
    <mergeCell ref="BM70:BM73"/>
    <mergeCell ref="BM74:BM77"/>
    <mergeCell ref="BM78:BM81"/>
    <mergeCell ref="BM82:BM84"/>
    <mergeCell ref="BM85:BM88"/>
    <mergeCell ref="BM89:BM92"/>
    <mergeCell ref="BM93:BM96"/>
    <mergeCell ref="BM97:BM100"/>
    <mergeCell ref="BM101:BM103"/>
    <mergeCell ref="BJ93:BJ96"/>
    <mergeCell ref="BJ97:BJ100"/>
    <mergeCell ref="BJ101:BJ103"/>
    <mergeCell ref="BJ104:BJ106"/>
    <mergeCell ref="BJ113:BJ115"/>
    <mergeCell ref="BJ89:BJ92"/>
    <mergeCell ref="BI74:BI77"/>
    <mergeCell ref="BI78:BI81"/>
  </mergeCells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29"/>
  <sheetViews>
    <sheetView topLeftCell="BG66" zoomScale="98" zoomScaleNormal="98" workbookViewId="0">
      <selection activeCell="BO85" sqref="BO85"/>
    </sheetView>
  </sheetViews>
  <sheetFormatPr defaultColWidth="9" defaultRowHeight="15"/>
  <cols>
    <col min="1" max="1" width="13.28515625" bestFit="1" customWidth="1"/>
    <col min="6" max="6" width="9.5703125" customWidth="1"/>
    <col min="20" max="20" width="9.5703125" customWidth="1"/>
    <col min="22" max="22" width="10.5703125" customWidth="1"/>
    <col min="23" max="23" width="12" customWidth="1"/>
    <col min="31" max="31" width="14.28515625" customWidth="1"/>
    <col min="51" max="51" width="11.28515625" customWidth="1"/>
    <col min="59" max="59" width="14.28515625" customWidth="1"/>
    <col min="61" max="61" width="11.28515625" customWidth="1"/>
    <col min="62" max="62" width="14.28515625" customWidth="1"/>
    <col min="63" max="63" width="13.7109375" customWidth="1"/>
    <col min="64" max="64" width="13.85546875" customWidth="1"/>
    <col min="65" max="65" width="14" customWidth="1"/>
    <col min="66" max="66" width="12.5703125" customWidth="1"/>
    <col min="67" max="67" width="14.5703125" customWidth="1"/>
    <col min="68" max="284" width="10" customWidth="1"/>
  </cols>
  <sheetData>
    <row r="1" spans="1:68" ht="21" thickBot="1">
      <c r="A1" s="1677">
        <v>46113</v>
      </c>
      <c r="B1" s="1673"/>
      <c r="C1" s="1673"/>
      <c r="D1" s="1673"/>
      <c r="E1" s="704"/>
      <c r="F1" s="1673"/>
      <c r="G1" s="1673"/>
      <c r="H1" s="1673"/>
      <c r="I1" s="1673"/>
      <c r="J1" s="1673"/>
      <c r="K1" s="1673"/>
      <c r="L1" s="1673"/>
      <c r="M1" s="1673"/>
      <c r="N1" s="1673"/>
      <c r="O1" s="1673"/>
      <c r="P1" s="1673"/>
      <c r="Q1" s="1673"/>
      <c r="R1" s="704"/>
      <c r="S1" s="704"/>
      <c r="T1" s="704"/>
      <c r="U1" s="704"/>
      <c r="V1" s="704"/>
      <c r="W1" s="704"/>
      <c r="X1" s="704"/>
      <c r="Y1" s="704"/>
      <c r="Z1" s="704"/>
      <c r="AA1" s="704"/>
      <c r="AB1" s="704"/>
      <c r="AC1" s="704"/>
      <c r="AD1" s="1673"/>
      <c r="AE1" s="1673"/>
      <c r="AF1" s="704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1673"/>
      <c r="AS1" s="1673"/>
      <c r="AT1" s="1673"/>
      <c r="AU1" s="1673"/>
      <c r="AV1" s="1673"/>
      <c r="AW1" s="1673"/>
      <c r="AX1" s="1673"/>
      <c r="AY1" s="1673"/>
      <c r="AZ1" s="1673"/>
      <c r="BA1" s="1673"/>
      <c r="BB1" s="1673"/>
      <c r="BC1" s="1673"/>
      <c r="BD1" s="1673"/>
      <c r="BE1" s="1673"/>
      <c r="BF1" s="1673"/>
      <c r="BG1" s="1673"/>
      <c r="BH1" s="704"/>
      <c r="BI1" s="1673"/>
      <c r="BJ1" s="1673"/>
      <c r="BK1" s="1673"/>
      <c r="BL1" s="1673"/>
      <c r="BM1" s="1673"/>
      <c r="BN1" s="1673"/>
      <c r="BO1" s="1673"/>
      <c r="BP1" s="1673"/>
    </row>
    <row r="2" spans="1:68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1680"/>
      <c r="AX2" s="1680"/>
      <c r="AY2" s="1680"/>
      <c r="AZ2" s="1680"/>
      <c r="BA2" s="1680"/>
      <c r="BB2" s="1680"/>
      <c r="BC2" s="1680"/>
      <c r="BD2" s="1680"/>
      <c r="BE2" s="1680"/>
      <c r="BF2" s="1680"/>
      <c r="BG2" s="1680"/>
      <c r="BH2" s="1680"/>
      <c r="BI2" s="1680"/>
      <c r="BJ2" s="1680"/>
      <c r="BK2" s="1680"/>
      <c r="BL2" s="704"/>
      <c r="BM2" s="1932"/>
      <c r="BN2" s="1933">
        <v>1</v>
      </c>
      <c r="BO2" s="1274">
        <v>4</v>
      </c>
      <c r="BP2" s="1274">
        <v>2026</v>
      </c>
    </row>
    <row r="3" spans="1:68" ht="24" thickBot="1">
      <c r="A3" s="1681" t="s">
        <v>388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59"/>
      <c r="AA3" s="3659"/>
      <c r="AB3" s="3659"/>
      <c r="AC3" s="3659"/>
      <c r="AD3" s="3659"/>
      <c r="AE3" s="3660"/>
      <c r="AF3" s="3696" t="s">
        <v>2</v>
      </c>
      <c r="AG3" s="3697"/>
      <c r="AH3" s="3697"/>
      <c r="AI3" s="3697"/>
      <c r="AJ3" s="3697"/>
      <c r="AK3" s="3697"/>
      <c r="AL3" s="3697"/>
      <c r="AM3" s="3697"/>
      <c r="AN3" s="3697"/>
      <c r="AO3" s="3697"/>
      <c r="AP3" s="3697"/>
      <c r="AQ3" s="3697"/>
      <c r="AR3" s="3697"/>
      <c r="AS3" s="3697"/>
      <c r="AT3" s="3697"/>
      <c r="AU3" s="3697"/>
      <c r="AV3" s="3697"/>
      <c r="AW3" s="3697"/>
      <c r="AX3" s="3697"/>
      <c r="AY3" s="3697"/>
      <c r="AZ3" s="3697"/>
      <c r="BA3" s="3697"/>
      <c r="BB3" s="3697"/>
      <c r="BC3" s="3697"/>
      <c r="BD3" s="3697"/>
      <c r="BE3" s="3697"/>
      <c r="BF3" s="3697"/>
      <c r="BG3" s="3698"/>
      <c r="BH3" s="3664" t="s">
        <v>3</v>
      </c>
      <c r="BI3" s="3665"/>
      <c r="BJ3" s="3665"/>
      <c r="BK3" s="3666"/>
      <c r="BL3" s="704"/>
      <c r="BM3" s="1932"/>
      <c r="BN3" s="1678"/>
      <c r="BO3" s="1934"/>
      <c r="BP3" s="1934"/>
    </row>
    <row r="4" spans="1:68" ht="64.5" thickBot="1">
      <c r="A4" s="1682" t="s">
        <v>5</v>
      </c>
      <c r="B4" s="1683" t="s">
        <v>6</v>
      </c>
      <c r="C4" s="3689" t="s">
        <v>7</v>
      </c>
      <c r="D4" s="3716"/>
      <c r="E4" s="1684" t="s">
        <v>8</v>
      </c>
      <c r="F4" s="1685" t="s">
        <v>9</v>
      </c>
      <c r="G4" s="1686" t="s">
        <v>10</v>
      </c>
      <c r="H4" s="1687" t="s">
        <v>11</v>
      </c>
      <c r="I4" s="2922" t="s">
        <v>459</v>
      </c>
      <c r="J4" s="1739" t="s">
        <v>13</v>
      </c>
      <c r="K4" s="1740" t="s">
        <v>12</v>
      </c>
      <c r="L4" s="1741" t="s">
        <v>17</v>
      </c>
      <c r="M4" s="1686" t="s">
        <v>14</v>
      </c>
      <c r="N4" s="3165" t="s">
        <v>438</v>
      </c>
      <c r="O4" s="1741" t="s">
        <v>44</v>
      </c>
      <c r="P4" s="1742" t="s">
        <v>15</v>
      </c>
      <c r="Q4" s="3120" t="s">
        <v>417</v>
      </c>
      <c r="R4" s="1743" t="s">
        <v>18</v>
      </c>
      <c r="S4" s="1744" t="s">
        <v>540</v>
      </c>
      <c r="T4" s="1809" t="s">
        <v>16</v>
      </c>
      <c r="U4" s="2817" t="s">
        <v>423</v>
      </c>
      <c r="V4" s="3185" t="s">
        <v>197</v>
      </c>
      <c r="W4" s="2888" t="s">
        <v>383</v>
      </c>
      <c r="X4" s="1810" t="s">
        <v>20</v>
      </c>
      <c r="Y4" s="1811" t="s">
        <v>21</v>
      </c>
      <c r="Z4" s="3296"/>
      <c r="AA4" s="2726" t="s">
        <v>333</v>
      </c>
      <c r="AB4" s="2719" t="s">
        <v>376</v>
      </c>
      <c r="AC4" s="1812" t="s">
        <v>22</v>
      </c>
      <c r="AD4" s="1813" t="s">
        <v>23</v>
      </c>
      <c r="AE4" s="1814" t="s">
        <v>24</v>
      </c>
      <c r="AF4" s="1684" t="s">
        <v>8</v>
      </c>
      <c r="AG4" s="1685" t="s">
        <v>9</v>
      </c>
      <c r="AH4" s="1686" t="s">
        <v>10</v>
      </c>
      <c r="AI4" s="1687" t="s">
        <v>11</v>
      </c>
      <c r="AJ4" s="2922"/>
      <c r="AK4" s="1868" t="s">
        <v>13</v>
      </c>
      <c r="AL4" s="1740" t="s">
        <v>12</v>
      </c>
      <c r="AM4" s="1686" t="s">
        <v>14</v>
      </c>
      <c r="AN4" s="3165" t="s">
        <v>439</v>
      </c>
      <c r="AO4" s="1742" t="s">
        <v>15</v>
      </c>
      <c r="AP4" s="3120" t="s">
        <v>417</v>
      </c>
      <c r="AQ4" s="1741" t="s">
        <v>56</v>
      </c>
      <c r="AR4" s="1743" t="s">
        <v>18</v>
      </c>
      <c r="AS4" s="1741" t="s">
        <v>17</v>
      </c>
      <c r="AT4" s="1744" t="s">
        <v>540</v>
      </c>
      <c r="AU4" s="2864" t="s">
        <v>16</v>
      </c>
      <c r="AV4" s="3112" t="s">
        <v>424</v>
      </c>
      <c r="AW4" s="3288" t="s">
        <v>405</v>
      </c>
      <c r="AX4" s="3193" t="s">
        <v>197</v>
      </c>
      <c r="AY4" s="2880" t="s">
        <v>383</v>
      </c>
      <c r="AZ4" s="2872" t="s">
        <v>20</v>
      </c>
      <c r="BA4" s="2824" t="s">
        <v>197</v>
      </c>
      <c r="BB4" s="2726" t="s">
        <v>333</v>
      </c>
      <c r="BC4" s="2719" t="s">
        <v>376</v>
      </c>
      <c r="BD4" s="1811" t="s">
        <v>39</v>
      </c>
      <c r="BE4" s="1812" t="s">
        <v>22</v>
      </c>
      <c r="BF4" s="1813" t="s">
        <v>23</v>
      </c>
      <c r="BG4" s="1814" t="s">
        <v>24</v>
      </c>
      <c r="BH4" s="1684" t="s">
        <v>50</v>
      </c>
      <c r="BI4" s="1741" t="s">
        <v>425</v>
      </c>
      <c r="BJ4" s="1935" t="s">
        <v>385</v>
      </c>
      <c r="BK4" s="1936" t="s">
        <v>26</v>
      </c>
      <c r="BL4" s="1937" t="s">
        <v>27</v>
      </c>
      <c r="BM4" s="1938" t="s">
        <v>28</v>
      </c>
      <c r="BN4" s="1939" t="s">
        <v>29</v>
      </c>
      <c r="BO4" s="1939" t="s">
        <v>30</v>
      </c>
      <c r="BP4" s="1958" t="s">
        <v>31</v>
      </c>
    </row>
    <row r="5" spans="1:68" ht="15.75" thickBot="1">
      <c r="A5" s="3694">
        <v>46116</v>
      </c>
      <c r="B5" s="1688" t="s">
        <v>32</v>
      </c>
      <c r="C5" s="3678">
        <f>SUM(D5:D8)</f>
        <v>281</v>
      </c>
      <c r="D5" s="1689">
        <f t="shared" ref="D5:D87" si="0">SUM(E5:BK5)</f>
        <v>281</v>
      </c>
      <c r="E5" s="1690"/>
      <c r="F5" s="1691"/>
      <c r="G5" s="1692"/>
      <c r="H5" s="1693"/>
      <c r="I5" s="2923">
        <v>276</v>
      </c>
      <c r="J5" s="1745"/>
      <c r="K5" s="1746"/>
      <c r="L5" s="1747"/>
      <c r="M5" s="1748"/>
      <c r="N5" s="3177"/>
      <c r="O5" s="1747"/>
      <c r="P5" s="1749"/>
      <c r="Q5" s="3121"/>
      <c r="R5" s="1750"/>
      <c r="S5" s="1751"/>
      <c r="T5" s="1815"/>
      <c r="U5" s="2818"/>
      <c r="V5" s="3186"/>
      <c r="W5" s="2889"/>
      <c r="X5" s="1816"/>
      <c r="Y5" s="1817"/>
      <c r="Z5" s="3297"/>
      <c r="AA5" s="2727"/>
      <c r="AB5" s="2720"/>
      <c r="AC5" s="1818"/>
      <c r="AD5" s="1819"/>
      <c r="AE5" s="1820"/>
      <c r="AF5" s="1726"/>
      <c r="AG5" s="1691"/>
      <c r="AH5" s="1869"/>
      <c r="AI5" s="1870"/>
      <c r="AJ5" s="2934"/>
      <c r="AK5" s="1871"/>
      <c r="AL5" s="1872"/>
      <c r="AM5" s="1748"/>
      <c r="AN5" s="3166"/>
      <c r="AO5" s="1774"/>
      <c r="AP5" s="3126"/>
      <c r="AQ5" s="1873"/>
      <c r="AR5" s="1874"/>
      <c r="AS5" s="1873"/>
      <c r="AT5" s="1909"/>
      <c r="AU5" s="2865"/>
      <c r="AV5" s="3113"/>
      <c r="AW5" s="3289"/>
      <c r="AX5" s="3194"/>
      <c r="AY5" s="2881"/>
      <c r="AZ5" s="2873"/>
      <c r="BA5" s="2825"/>
      <c r="BB5" s="2727"/>
      <c r="BC5" s="2720"/>
      <c r="BD5" s="1910"/>
      <c r="BE5" s="1911"/>
      <c r="BF5" s="1864"/>
      <c r="BG5" s="1865"/>
      <c r="BH5" s="1726"/>
      <c r="BI5" s="1873">
        <v>5</v>
      </c>
      <c r="BJ5" s="1940"/>
      <c r="BK5" s="1865"/>
      <c r="BL5" s="3633">
        <f>SUM(E5:AE8)</f>
        <v>276</v>
      </c>
      <c r="BM5" s="3633">
        <f>SUM(E5:BG8)</f>
        <v>276</v>
      </c>
      <c r="BN5" s="1941">
        <v>502</v>
      </c>
      <c r="BO5" s="1942" t="s">
        <v>533</v>
      </c>
      <c r="BP5" s="3629" t="s">
        <v>33</v>
      </c>
    </row>
    <row r="6" spans="1:68" ht="15.75" thickBot="1">
      <c r="A6" s="3695"/>
      <c r="B6" s="1694" t="s">
        <v>34</v>
      </c>
      <c r="C6" s="3679"/>
      <c r="D6" s="1705">
        <f t="shared" si="0"/>
        <v>0</v>
      </c>
      <c r="E6" s="1706"/>
      <c r="F6" s="1707"/>
      <c r="G6" s="1708"/>
      <c r="H6" s="1709"/>
      <c r="I6" s="2924"/>
      <c r="J6" s="1766"/>
      <c r="K6" s="1767"/>
      <c r="L6" s="1768"/>
      <c r="M6" s="1769"/>
      <c r="N6" s="3178"/>
      <c r="O6" s="1768"/>
      <c r="P6" s="1770"/>
      <c r="Q6" s="3122"/>
      <c r="R6" s="1771"/>
      <c r="S6" s="1772"/>
      <c r="T6" s="1834"/>
      <c r="U6" s="2819"/>
      <c r="V6" s="3187"/>
      <c r="W6" s="2890"/>
      <c r="X6" s="1835"/>
      <c r="Y6" s="1836"/>
      <c r="Z6" s="3298"/>
      <c r="AA6" s="2728"/>
      <c r="AB6" s="2721"/>
      <c r="AC6" s="1837"/>
      <c r="AD6" s="1838"/>
      <c r="AE6" s="1839"/>
      <c r="AF6" s="1706"/>
      <c r="AG6" s="1707"/>
      <c r="AH6" s="1887"/>
      <c r="AI6" s="1888"/>
      <c r="AJ6" s="2935"/>
      <c r="AK6" s="1889"/>
      <c r="AL6" s="1890"/>
      <c r="AM6" s="1769"/>
      <c r="AN6" s="3167"/>
      <c r="AO6" s="1770"/>
      <c r="AP6" s="3122"/>
      <c r="AQ6" s="1891"/>
      <c r="AR6" s="1892"/>
      <c r="AS6" s="1891"/>
      <c r="AT6" s="1920"/>
      <c r="AU6" s="2866"/>
      <c r="AV6" s="3114"/>
      <c r="AW6" s="3290"/>
      <c r="AX6" s="3195"/>
      <c r="AY6" s="2882"/>
      <c r="AZ6" s="2874"/>
      <c r="BA6" s="2826"/>
      <c r="BB6" s="2728"/>
      <c r="BC6" s="2721"/>
      <c r="BD6" s="1921"/>
      <c r="BE6" s="1922"/>
      <c r="BF6" s="1923"/>
      <c r="BG6" s="1924"/>
      <c r="BH6" s="1947"/>
      <c r="BI6" s="1891"/>
      <c r="BJ6" s="1948"/>
      <c r="BK6" s="1924"/>
      <c r="BL6" s="3634"/>
      <c r="BM6" s="3634"/>
      <c r="BN6" s="1945"/>
      <c r="BO6" s="1945"/>
      <c r="BP6" s="3630"/>
    </row>
    <row r="7" spans="1:68" ht="15.75" thickBot="1">
      <c r="A7" s="3695"/>
      <c r="B7" s="1694" t="s">
        <v>34</v>
      </c>
      <c r="C7" s="3679"/>
      <c r="D7" s="1705">
        <f t="shared" ref="D7" si="1">SUM(E7:BK7)</f>
        <v>0</v>
      </c>
      <c r="E7" s="1706"/>
      <c r="F7" s="1707"/>
      <c r="G7" s="1708"/>
      <c r="H7" s="1709"/>
      <c r="I7" s="2924"/>
      <c r="J7" s="1766"/>
      <c r="K7" s="1767"/>
      <c r="L7" s="1768"/>
      <c r="M7" s="1769"/>
      <c r="N7" s="3178"/>
      <c r="O7" s="1768"/>
      <c r="P7" s="1770"/>
      <c r="Q7" s="3122"/>
      <c r="R7" s="1771"/>
      <c r="S7" s="1772"/>
      <c r="T7" s="1834"/>
      <c r="U7" s="2819"/>
      <c r="V7" s="3187"/>
      <c r="W7" s="2890"/>
      <c r="X7" s="1835"/>
      <c r="Y7" s="1836"/>
      <c r="Z7" s="3298"/>
      <c r="AA7" s="2728"/>
      <c r="AB7" s="2721"/>
      <c r="AC7" s="1837"/>
      <c r="AD7" s="1838"/>
      <c r="AE7" s="1839"/>
      <c r="AF7" s="1706"/>
      <c r="AG7" s="1707"/>
      <c r="AH7" s="1887"/>
      <c r="AI7" s="1888"/>
      <c r="AJ7" s="2935"/>
      <c r="AK7" s="1889"/>
      <c r="AL7" s="1890"/>
      <c r="AM7" s="1769"/>
      <c r="AN7" s="3167"/>
      <c r="AO7" s="1770"/>
      <c r="AP7" s="3122"/>
      <c r="AQ7" s="1891"/>
      <c r="AR7" s="1892"/>
      <c r="AS7" s="1891"/>
      <c r="AT7" s="1920"/>
      <c r="AU7" s="2866"/>
      <c r="AV7" s="3114"/>
      <c r="AW7" s="3290"/>
      <c r="AX7" s="3195"/>
      <c r="AY7" s="2882"/>
      <c r="AZ7" s="2874"/>
      <c r="BA7" s="2826"/>
      <c r="BB7" s="2728"/>
      <c r="BC7" s="2721"/>
      <c r="BD7" s="1921"/>
      <c r="BE7" s="1922"/>
      <c r="BF7" s="1923"/>
      <c r="BG7" s="1924"/>
      <c r="BH7" s="1947"/>
      <c r="BI7" s="1891"/>
      <c r="BJ7" s="1948"/>
      <c r="BK7" s="1924"/>
      <c r="BL7" s="3634"/>
      <c r="BM7" s="3634"/>
      <c r="BN7" s="1939"/>
      <c r="BO7" s="2340"/>
      <c r="BP7" s="3630"/>
    </row>
    <row r="8" spans="1:68" ht="15.75" thickBot="1">
      <c r="A8" s="3695"/>
      <c r="B8" s="1694" t="s">
        <v>34</v>
      </c>
      <c r="C8" s="3679"/>
      <c r="D8" s="1695">
        <f t="shared" si="0"/>
        <v>0</v>
      </c>
      <c r="E8" s="1696"/>
      <c r="F8" s="1697"/>
      <c r="G8" s="1698"/>
      <c r="H8" s="1699"/>
      <c r="I8" s="2925"/>
      <c r="J8" s="1752"/>
      <c r="K8" s="1753"/>
      <c r="L8" s="1754"/>
      <c r="M8" s="1755"/>
      <c r="N8" s="3179"/>
      <c r="O8" s="1754"/>
      <c r="P8" s="1756"/>
      <c r="Q8" s="3123"/>
      <c r="R8" s="1757"/>
      <c r="S8" s="1758"/>
      <c r="T8" s="1821"/>
      <c r="U8" s="2820"/>
      <c r="V8" s="3188"/>
      <c r="W8" s="2891"/>
      <c r="X8" s="1822"/>
      <c r="Y8" s="1823"/>
      <c r="Z8" s="3299"/>
      <c r="AA8" s="2729"/>
      <c r="AB8" s="2722"/>
      <c r="AC8" s="1824"/>
      <c r="AD8" s="1825"/>
      <c r="AE8" s="1826"/>
      <c r="AF8" s="1696"/>
      <c r="AG8" s="1697"/>
      <c r="AH8" s="1875"/>
      <c r="AI8" s="1876"/>
      <c r="AJ8" s="2936"/>
      <c r="AK8" s="1877"/>
      <c r="AL8" s="1878"/>
      <c r="AM8" s="1755"/>
      <c r="AN8" s="3168"/>
      <c r="AO8" s="1775"/>
      <c r="AP8" s="3127"/>
      <c r="AQ8" s="1879"/>
      <c r="AR8" s="1880"/>
      <c r="AS8" s="1879"/>
      <c r="AT8" s="1912"/>
      <c r="AU8" s="2867"/>
      <c r="AV8" s="3115"/>
      <c r="AW8" s="3291"/>
      <c r="AX8" s="3196"/>
      <c r="AY8" s="2883"/>
      <c r="AZ8" s="2875"/>
      <c r="BA8" s="2827"/>
      <c r="BB8" s="2729"/>
      <c r="BC8" s="2722"/>
      <c r="BD8" s="1913"/>
      <c r="BE8" s="1914"/>
      <c r="BF8" s="1866"/>
      <c r="BG8" s="1867"/>
      <c r="BH8" s="1943"/>
      <c r="BI8" s="1879"/>
      <c r="BJ8" s="1944"/>
      <c r="BK8" s="1867"/>
      <c r="BL8" s="3635"/>
      <c r="BM8" s="3634"/>
      <c r="BN8" s="1945"/>
      <c r="BO8" s="1945"/>
      <c r="BP8" s="3630"/>
    </row>
    <row r="9" spans="1:68" ht="15.75" customHeight="1" thickBot="1">
      <c r="A9" s="3694">
        <v>46119</v>
      </c>
      <c r="B9" s="1688" t="s">
        <v>32</v>
      </c>
      <c r="C9" s="3678">
        <f>SUM(D9:D12)</f>
        <v>544</v>
      </c>
      <c r="D9" s="1700">
        <f t="shared" si="0"/>
        <v>88</v>
      </c>
      <c r="E9" s="1701"/>
      <c r="F9" s="1702"/>
      <c r="G9" s="1703"/>
      <c r="H9" s="1704"/>
      <c r="I9" s="2926">
        <v>84</v>
      </c>
      <c r="J9" s="1759"/>
      <c r="K9" s="1760"/>
      <c r="L9" s="1761"/>
      <c r="M9" s="1762"/>
      <c r="N9" s="3180"/>
      <c r="O9" s="1761"/>
      <c r="P9" s="1763"/>
      <c r="Q9" s="3124"/>
      <c r="R9" s="1764"/>
      <c r="S9" s="1765"/>
      <c r="T9" s="1827"/>
      <c r="U9" s="2821"/>
      <c r="V9" s="3189"/>
      <c r="W9" s="2892"/>
      <c r="X9" s="1828"/>
      <c r="Y9" s="1829"/>
      <c r="Z9" s="3300"/>
      <c r="AA9" s="2730"/>
      <c r="AB9" s="2723"/>
      <c r="AC9" s="1830"/>
      <c r="AD9" s="1831"/>
      <c r="AE9" s="1832"/>
      <c r="AF9" s="1833"/>
      <c r="AG9" s="1702"/>
      <c r="AH9" s="1881"/>
      <c r="AI9" s="1882"/>
      <c r="AJ9" s="2937"/>
      <c r="AK9" s="1883"/>
      <c r="AL9" s="1884"/>
      <c r="AM9" s="1762"/>
      <c r="AN9" s="3169"/>
      <c r="AO9" s="1763"/>
      <c r="AP9" s="3124"/>
      <c r="AQ9" s="1885"/>
      <c r="AR9" s="1886"/>
      <c r="AS9" s="1885"/>
      <c r="AT9" s="1915"/>
      <c r="AU9" s="2868"/>
      <c r="AV9" s="3116"/>
      <c r="AW9" s="3292">
        <v>1</v>
      </c>
      <c r="AX9" s="3197"/>
      <c r="AY9" s="2884"/>
      <c r="AZ9" s="2876"/>
      <c r="BA9" s="2828"/>
      <c r="BB9" s="2730"/>
      <c r="BC9" s="2723"/>
      <c r="BD9" s="1916"/>
      <c r="BE9" s="1917"/>
      <c r="BF9" s="1918"/>
      <c r="BG9" s="1919"/>
      <c r="BH9" s="1833"/>
      <c r="BI9" s="1885">
        <v>3</v>
      </c>
      <c r="BJ9" s="1946"/>
      <c r="BK9" s="1919"/>
      <c r="BL9" s="3633">
        <f>SUM(E9:AE12)</f>
        <v>540</v>
      </c>
      <c r="BM9" s="3633">
        <f>SUM(E9:BG12)</f>
        <v>541</v>
      </c>
      <c r="BN9" s="1939">
        <v>502</v>
      </c>
      <c r="BO9" s="2340" t="s">
        <v>532</v>
      </c>
      <c r="BP9" s="3629" t="s">
        <v>33</v>
      </c>
    </row>
    <row r="10" spans="1:68" ht="15.75" customHeight="1" thickBot="1">
      <c r="A10" s="3695"/>
      <c r="B10" s="1694" t="s">
        <v>34</v>
      </c>
      <c r="C10" s="3679"/>
      <c r="D10" s="1705">
        <f t="shared" si="0"/>
        <v>456</v>
      </c>
      <c r="E10" s="1706"/>
      <c r="F10" s="1707"/>
      <c r="G10" s="1708"/>
      <c r="H10" s="1709"/>
      <c r="I10" s="2924">
        <v>456</v>
      </c>
      <c r="J10" s="1766"/>
      <c r="K10" s="1767"/>
      <c r="L10" s="1768"/>
      <c r="M10" s="1769"/>
      <c r="N10" s="3178"/>
      <c r="O10" s="1768"/>
      <c r="P10" s="1770"/>
      <c r="Q10" s="3122"/>
      <c r="R10" s="1771"/>
      <c r="S10" s="1772"/>
      <c r="T10" s="1834"/>
      <c r="U10" s="2819"/>
      <c r="V10" s="3187"/>
      <c r="W10" s="2890"/>
      <c r="X10" s="1835"/>
      <c r="Y10" s="1836"/>
      <c r="Z10" s="3298"/>
      <c r="AA10" s="2728"/>
      <c r="AB10" s="2721"/>
      <c r="AC10" s="1837"/>
      <c r="AD10" s="1838"/>
      <c r="AE10" s="1839"/>
      <c r="AF10" s="1706"/>
      <c r="AG10" s="1707"/>
      <c r="AH10" s="1887"/>
      <c r="AI10" s="1888"/>
      <c r="AJ10" s="2935"/>
      <c r="AK10" s="1889"/>
      <c r="AL10" s="1890"/>
      <c r="AM10" s="1769"/>
      <c r="AN10" s="3167"/>
      <c r="AO10" s="1770"/>
      <c r="AP10" s="3122"/>
      <c r="AQ10" s="1891"/>
      <c r="AR10" s="1892"/>
      <c r="AS10" s="1891"/>
      <c r="AT10" s="1920"/>
      <c r="AU10" s="2866"/>
      <c r="AV10" s="3114"/>
      <c r="AW10" s="3290"/>
      <c r="AX10" s="3195"/>
      <c r="AY10" s="2882"/>
      <c r="AZ10" s="2874"/>
      <c r="BA10" s="2826"/>
      <c r="BB10" s="2728"/>
      <c r="BC10" s="2721"/>
      <c r="BD10" s="1921"/>
      <c r="BE10" s="1922"/>
      <c r="BF10" s="1923"/>
      <c r="BG10" s="1924"/>
      <c r="BH10" s="1947"/>
      <c r="BI10" s="1891"/>
      <c r="BJ10" s="1948"/>
      <c r="BK10" s="1924"/>
      <c r="BL10" s="3634"/>
      <c r="BM10" s="3634"/>
      <c r="BN10" s="1939"/>
      <c r="BO10" s="2340"/>
      <c r="BP10" s="3630"/>
    </row>
    <row r="11" spans="1:68" ht="15.75" customHeight="1" thickBot="1">
      <c r="A11" s="3695"/>
      <c r="B11" s="1694" t="s">
        <v>34</v>
      </c>
      <c r="C11" s="3679"/>
      <c r="D11" s="1705">
        <f t="shared" ref="D11" si="2">SUM(E11:BK11)</f>
        <v>0</v>
      </c>
      <c r="E11" s="1706"/>
      <c r="F11" s="1707"/>
      <c r="G11" s="1708"/>
      <c r="H11" s="1709"/>
      <c r="I11" s="2924"/>
      <c r="J11" s="1766"/>
      <c r="K11" s="1767"/>
      <c r="L11" s="1768"/>
      <c r="M11" s="1769"/>
      <c r="N11" s="3178"/>
      <c r="O11" s="1768"/>
      <c r="P11" s="1770"/>
      <c r="Q11" s="3122"/>
      <c r="R11" s="1771"/>
      <c r="S11" s="1772"/>
      <c r="T11" s="1834"/>
      <c r="U11" s="2819"/>
      <c r="V11" s="3187"/>
      <c r="W11" s="2890"/>
      <c r="X11" s="1835"/>
      <c r="Y11" s="1836"/>
      <c r="Z11" s="3298"/>
      <c r="AA11" s="2728"/>
      <c r="AB11" s="2721"/>
      <c r="AC11" s="1837"/>
      <c r="AD11" s="1838"/>
      <c r="AE11" s="1839"/>
      <c r="AF11" s="1706"/>
      <c r="AG11" s="1707"/>
      <c r="AH11" s="1887"/>
      <c r="AI11" s="1888"/>
      <c r="AJ11" s="2935"/>
      <c r="AK11" s="1889"/>
      <c r="AL11" s="1890"/>
      <c r="AM11" s="1769"/>
      <c r="AN11" s="3167"/>
      <c r="AO11" s="1770"/>
      <c r="AP11" s="3122"/>
      <c r="AQ11" s="1891"/>
      <c r="AR11" s="1892"/>
      <c r="AS11" s="1891"/>
      <c r="AT11" s="1920"/>
      <c r="AU11" s="2866"/>
      <c r="AV11" s="3114"/>
      <c r="AW11" s="3290"/>
      <c r="AX11" s="3195"/>
      <c r="AY11" s="2882"/>
      <c r="AZ11" s="2874"/>
      <c r="BA11" s="2826"/>
      <c r="BB11" s="2728"/>
      <c r="BC11" s="2721"/>
      <c r="BD11" s="1921"/>
      <c r="BE11" s="1922"/>
      <c r="BF11" s="1923"/>
      <c r="BG11" s="1924"/>
      <c r="BH11" s="1947"/>
      <c r="BI11" s="1891"/>
      <c r="BJ11" s="1948"/>
      <c r="BK11" s="1924"/>
      <c r="BL11" s="3634"/>
      <c r="BM11" s="3634"/>
      <c r="BN11" s="1939"/>
      <c r="BO11" s="2340"/>
      <c r="BP11" s="3630"/>
    </row>
    <row r="12" spans="1:68" ht="15.75" customHeight="1" thickBot="1">
      <c r="A12" s="3695"/>
      <c r="B12" s="1694" t="s">
        <v>34</v>
      </c>
      <c r="C12" s="3679"/>
      <c r="D12" s="1705">
        <f t="shared" si="0"/>
        <v>0</v>
      </c>
      <c r="E12" s="1706"/>
      <c r="F12" s="1707"/>
      <c r="G12" s="1708"/>
      <c r="H12" s="1709"/>
      <c r="I12" s="2924"/>
      <c r="J12" s="1766"/>
      <c r="K12" s="1767"/>
      <c r="L12" s="1768"/>
      <c r="M12" s="1769"/>
      <c r="N12" s="3178"/>
      <c r="O12" s="1768"/>
      <c r="P12" s="1773"/>
      <c r="Q12" s="3125"/>
      <c r="R12" s="1771"/>
      <c r="S12" s="1772"/>
      <c r="T12" s="1834"/>
      <c r="U12" s="2819"/>
      <c r="V12" s="3187"/>
      <c r="W12" s="2890"/>
      <c r="X12" s="1835"/>
      <c r="Y12" s="1836"/>
      <c r="Z12" s="3298"/>
      <c r="AA12" s="2728"/>
      <c r="AB12" s="2721"/>
      <c r="AC12" s="1837"/>
      <c r="AD12" s="1838"/>
      <c r="AE12" s="1839"/>
      <c r="AF12" s="1706"/>
      <c r="AG12" s="1707"/>
      <c r="AH12" s="1887"/>
      <c r="AI12" s="1888"/>
      <c r="AJ12" s="2935"/>
      <c r="AK12" s="1889"/>
      <c r="AL12" s="1890"/>
      <c r="AM12" s="1769"/>
      <c r="AN12" s="3167"/>
      <c r="AO12" s="1773"/>
      <c r="AP12" s="3125"/>
      <c r="AQ12" s="1891"/>
      <c r="AR12" s="1892"/>
      <c r="AS12" s="1891"/>
      <c r="AT12" s="1920"/>
      <c r="AU12" s="2866"/>
      <c r="AV12" s="3114"/>
      <c r="AW12" s="3290"/>
      <c r="AX12" s="3195"/>
      <c r="AY12" s="2882"/>
      <c r="AZ12" s="2874"/>
      <c r="BA12" s="2826"/>
      <c r="BB12" s="2728"/>
      <c r="BC12" s="2721"/>
      <c r="BD12" s="1921"/>
      <c r="BE12" s="1922"/>
      <c r="BF12" s="1923"/>
      <c r="BG12" s="1924"/>
      <c r="BH12" s="1947"/>
      <c r="BI12" s="1891"/>
      <c r="BJ12" s="1948"/>
      <c r="BK12" s="1924"/>
      <c r="BL12" s="3635"/>
      <c r="BM12" s="3634"/>
      <c r="BN12" s="1939"/>
      <c r="BO12" s="2340"/>
      <c r="BP12" s="3630"/>
    </row>
    <row r="13" spans="1:68" ht="15.75" customHeight="1" thickBot="1">
      <c r="A13" s="3694">
        <v>46120</v>
      </c>
      <c r="B13" s="1688" t="s">
        <v>32</v>
      </c>
      <c r="C13" s="3678">
        <f>SUM(D13:D16)</f>
        <v>868</v>
      </c>
      <c r="D13" s="1689">
        <f t="shared" si="0"/>
        <v>458</v>
      </c>
      <c r="E13" s="1690"/>
      <c r="F13" s="1691"/>
      <c r="G13" s="1692"/>
      <c r="H13" s="1693"/>
      <c r="I13" s="2923">
        <v>456</v>
      </c>
      <c r="J13" s="1745"/>
      <c r="K13" s="1746"/>
      <c r="L13" s="1747"/>
      <c r="M13" s="1748"/>
      <c r="N13" s="3177"/>
      <c r="O13" s="1747"/>
      <c r="P13" s="1774"/>
      <c r="Q13" s="3126"/>
      <c r="R13" s="1750"/>
      <c r="S13" s="1751"/>
      <c r="T13" s="1815"/>
      <c r="U13" s="2818"/>
      <c r="V13" s="3186"/>
      <c r="W13" s="2889"/>
      <c r="X13" s="1816"/>
      <c r="Y13" s="1836"/>
      <c r="Z13" s="3298"/>
      <c r="AA13" s="2727"/>
      <c r="AB13" s="2720"/>
      <c r="AC13" s="1818"/>
      <c r="AD13" s="1819"/>
      <c r="AE13" s="1820"/>
      <c r="AF13" s="1726"/>
      <c r="AG13" s="1691"/>
      <c r="AH13" s="1869"/>
      <c r="AI13" s="1893"/>
      <c r="AJ13" s="2938"/>
      <c r="AK13" s="1854"/>
      <c r="AL13" s="1894"/>
      <c r="AM13" s="1748"/>
      <c r="AN13" s="3166"/>
      <c r="AO13" s="1774"/>
      <c r="AP13" s="3126"/>
      <c r="AQ13" s="1873"/>
      <c r="AR13" s="1874"/>
      <c r="AS13" s="1873"/>
      <c r="AT13" s="1909"/>
      <c r="AU13" s="2865"/>
      <c r="AV13" s="3113"/>
      <c r="AW13" s="3289"/>
      <c r="AX13" s="3194"/>
      <c r="AY13" s="2881"/>
      <c r="AZ13" s="2873"/>
      <c r="BA13" s="2825"/>
      <c r="BB13" s="2727"/>
      <c r="BC13" s="2720"/>
      <c r="BD13" s="1910"/>
      <c r="BE13" s="1911"/>
      <c r="BF13" s="1864"/>
      <c r="BG13" s="1865"/>
      <c r="BH13" s="1726"/>
      <c r="BI13" s="1873">
        <v>2</v>
      </c>
      <c r="BJ13" s="1940"/>
      <c r="BK13" s="1865"/>
      <c r="BL13" s="3633">
        <f>SUM(E13:AE16)</f>
        <v>864</v>
      </c>
      <c r="BM13" s="3636">
        <f>SUM(E13:BG16)</f>
        <v>864</v>
      </c>
      <c r="BN13" s="1953">
        <v>502</v>
      </c>
      <c r="BO13" s="2340" t="s">
        <v>532</v>
      </c>
      <c r="BP13" s="3629" t="s">
        <v>33</v>
      </c>
    </row>
    <row r="14" spans="1:68" ht="15.75" customHeight="1" thickBot="1">
      <c r="A14" s="3695"/>
      <c r="B14" s="1694" t="s">
        <v>32</v>
      </c>
      <c r="C14" s="3679"/>
      <c r="D14" s="1705">
        <f t="shared" si="0"/>
        <v>410</v>
      </c>
      <c r="E14" s="1706"/>
      <c r="F14" s="1707"/>
      <c r="G14" s="1708"/>
      <c r="H14" s="1709"/>
      <c r="I14" s="2924">
        <v>408</v>
      </c>
      <c r="J14" s="1766"/>
      <c r="K14" s="1767"/>
      <c r="L14" s="1768"/>
      <c r="M14" s="1769"/>
      <c r="N14" s="3178"/>
      <c r="O14" s="1768"/>
      <c r="P14" s="1770"/>
      <c r="Q14" s="3122"/>
      <c r="R14" s="1771"/>
      <c r="S14" s="1772"/>
      <c r="T14" s="1834"/>
      <c r="U14" s="2819"/>
      <c r="V14" s="3187"/>
      <c r="W14" s="2890"/>
      <c r="X14" s="1835"/>
      <c r="Y14" s="1836"/>
      <c r="Z14" s="3298"/>
      <c r="AA14" s="2728"/>
      <c r="AB14" s="2721"/>
      <c r="AC14" s="1837"/>
      <c r="AD14" s="1838"/>
      <c r="AE14" s="1839"/>
      <c r="AF14" s="1706"/>
      <c r="AG14" s="1707"/>
      <c r="AH14" s="1887"/>
      <c r="AI14" s="1888"/>
      <c r="AJ14" s="2935"/>
      <c r="AK14" s="1889"/>
      <c r="AL14" s="1890"/>
      <c r="AM14" s="1769"/>
      <c r="AN14" s="3167"/>
      <c r="AO14" s="1770"/>
      <c r="AP14" s="3122"/>
      <c r="AQ14" s="1891"/>
      <c r="AR14" s="1892"/>
      <c r="AS14" s="1891"/>
      <c r="AT14" s="1920"/>
      <c r="AU14" s="2866"/>
      <c r="AV14" s="3114"/>
      <c r="AW14" s="3290"/>
      <c r="AX14" s="3195"/>
      <c r="AY14" s="2882"/>
      <c r="AZ14" s="2874"/>
      <c r="BA14" s="2826"/>
      <c r="BB14" s="2728"/>
      <c r="BC14" s="2721"/>
      <c r="BD14" s="1921"/>
      <c r="BE14" s="1922"/>
      <c r="BF14" s="1923"/>
      <c r="BG14" s="1924"/>
      <c r="BH14" s="1947"/>
      <c r="BI14" s="1891">
        <v>2</v>
      </c>
      <c r="BJ14" s="1948"/>
      <c r="BK14" s="1924"/>
      <c r="BL14" s="3634"/>
      <c r="BM14" s="3637"/>
      <c r="BN14" s="1953"/>
      <c r="BO14" s="2340"/>
      <c r="BP14" s="3630"/>
    </row>
    <row r="15" spans="1:68" ht="15.75" customHeight="1" thickBot="1">
      <c r="A15" s="3695"/>
      <c r="B15" s="1694" t="s">
        <v>34</v>
      </c>
      <c r="C15" s="3679"/>
      <c r="D15" s="1705">
        <f t="shared" ref="D15" si="3">SUM(E15:BK15)</f>
        <v>0</v>
      </c>
      <c r="E15" s="1706"/>
      <c r="F15" s="1707"/>
      <c r="G15" s="1708"/>
      <c r="H15" s="1709"/>
      <c r="I15" s="2924"/>
      <c r="J15" s="1766"/>
      <c r="K15" s="1767"/>
      <c r="L15" s="1768"/>
      <c r="M15" s="1769"/>
      <c r="N15" s="3178"/>
      <c r="O15" s="1768"/>
      <c r="P15" s="1770"/>
      <c r="Q15" s="3122"/>
      <c r="R15" s="1771"/>
      <c r="S15" s="1772"/>
      <c r="T15" s="1834"/>
      <c r="U15" s="2819"/>
      <c r="V15" s="3187"/>
      <c r="W15" s="2890"/>
      <c r="X15" s="1835"/>
      <c r="Y15" s="1836"/>
      <c r="Z15" s="3298"/>
      <c r="AA15" s="2728"/>
      <c r="AB15" s="2721"/>
      <c r="AC15" s="1837"/>
      <c r="AD15" s="1838"/>
      <c r="AE15" s="1839"/>
      <c r="AF15" s="1706"/>
      <c r="AG15" s="1707"/>
      <c r="AH15" s="1887"/>
      <c r="AI15" s="1888"/>
      <c r="AJ15" s="2935"/>
      <c r="AK15" s="1889"/>
      <c r="AL15" s="1890"/>
      <c r="AM15" s="1769"/>
      <c r="AN15" s="3167"/>
      <c r="AO15" s="1770"/>
      <c r="AP15" s="3122"/>
      <c r="AQ15" s="1891"/>
      <c r="AR15" s="1892"/>
      <c r="AS15" s="1891"/>
      <c r="AT15" s="1920"/>
      <c r="AU15" s="2866"/>
      <c r="AV15" s="3114"/>
      <c r="AW15" s="3290"/>
      <c r="AX15" s="3195"/>
      <c r="AY15" s="2882"/>
      <c r="AZ15" s="2874"/>
      <c r="BA15" s="2826"/>
      <c r="BB15" s="2728"/>
      <c r="BC15" s="2721"/>
      <c r="BD15" s="1921"/>
      <c r="BE15" s="1922"/>
      <c r="BF15" s="1923"/>
      <c r="BG15" s="1924"/>
      <c r="BH15" s="1947"/>
      <c r="BI15" s="1891"/>
      <c r="BJ15" s="1948"/>
      <c r="BK15" s="1924"/>
      <c r="BL15" s="3634"/>
      <c r="BM15" s="3637"/>
      <c r="BN15" s="1953"/>
      <c r="BO15" s="2340"/>
      <c r="BP15" s="3630"/>
    </row>
    <row r="16" spans="1:68" ht="15.75" customHeight="1" thickBot="1">
      <c r="A16" s="3695"/>
      <c r="B16" s="1694" t="s">
        <v>34</v>
      </c>
      <c r="C16" s="3679"/>
      <c r="D16" s="1710">
        <f t="shared" si="0"/>
        <v>0</v>
      </c>
      <c r="E16" s="1696"/>
      <c r="F16" s="1697"/>
      <c r="G16" s="1698"/>
      <c r="H16" s="1699"/>
      <c r="I16" s="2925"/>
      <c r="J16" s="1752"/>
      <c r="K16" s="1753"/>
      <c r="L16" s="1754"/>
      <c r="M16" s="1755"/>
      <c r="N16" s="3179"/>
      <c r="O16" s="1754"/>
      <c r="P16" s="1775"/>
      <c r="Q16" s="3127"/>
      <c r="R16" s="1757"/>
      <c r="S16" s="1758"/>
      <c r="T16" s="1821"/>
      <c r="U16" s="2820"/>
      <c r="V16" s="3188"/>
      <c r="W16" s="2891"/>
      <c r="X16" s="1822"/>
      <c r="Y16" s="1823"/>
      <c r="Z16" s="3299"/>
      <c r="AA16" s="2729"/>
      <c r="AB16" s="2722"/>
      <c r="AC16" s="1824"/>
      <c r="AD16" s="1825"/>
      <c r="AE16" s="1826"/>
      <c r="AF16" s="1696"/>
      <c r="AG16" s="1697"/>
      <c r="AH16" s="1875"/>
      <c r="AI16" s="1895"/>
      <c r="AJ16" s="2939"/>
      <c r="AK16" s="1858"/>
      <c r="AL16" s="1896"/>
      <c r="AM16" s="1755"/>
      <c r="AN16" s="3168"/>
      <c r="AO16" s="1775"/>
      <c r="AP16" s="3127"/>
      <c r="AQ16" s="1879"/>
      <c r="AR16" s="1880"/>
      <c r="AS16" s="1879"/>
      <c r="AT16" s="1912"/>
      <c r="AU16" s="2867"/>
      <c r="AV16" s="3115"/>
      <c r="AW16" s="3291"/>
      <c r="AX16" s="3196"/>
      <c r="AY16" s="2883"/>
      <c r="AZ16" s="2875"/>
      <c r="BA16" s="2827"/>
      <c r="BB16" s="2729"/>
      <c r="BC16" s="2722"/>
      <c r="BD16" s="1913"/>
      <c r="BE16" s="1914"/>
      <c r="BF16" s="1866"/>
      <c r="BG16" s="1867"/>
      <c r="BH16" s="1943"/>
      <c r="BI16" s="1879"/>
      <c r="BJ16" s="1944"/>
      <c r="BK16" s="1867"/>
      <c r="BL16" s="3635"/>
      <c r="BM16" s="3637"/>
      <c r="BN16" s="1953"/>
      <c r="BO16" s="2340"/>
      <c r="BP16" s="3630"/>
    </row>
    <row r="17" spans="1:68" ht="15.75" customHeight="1" thickBot="1">
      <c r="A17" s="3723">
        <v>46121</v>
      </c>
      <c r="B17" s="1688" t="s">
        <v>32</v>
      </c>
      <c r="C17" s="3678">
        <f>SUM(D17:D19)</f>
        <v>285</v>
      </c>
      <c r="D17" s="1700">
        <f>SUM(E17:BK17)</f>
        <v>285</v>
      </c>
      <c r="E17" s="1701"/>
      <c r="F17" s="1702"/>
      <c r="G17" s="1703"/>
      <c r="H17" s="1711"/>
      <c r="I17" s="2927">
        <f>204+72</f>
        <v>276</v>
      </c>
      <c r="J17" s="1776"/>
      <c r="K17" s="1777"/>
      <c r="L17" s="1778"/>
      <c r="M17" s="1703"/>
      <c r="N17" s="3180"/>
      <c r="O17" s="1778"/>
      <c r="P17" s="1763"/>
      <c r="Q17" s="3124"/>
      <c r="R17" s="1764"/>
      <c r="S17" s="1765"/>
      <c r="T17" s="1827"/>
      <c r="U17" s="2821"/>
      <c r="V17" s="3189"/>
      <c r="W17" s="2892"/>
      <c r="X17" s="1828"/>
      <c r="Y17" s="1829"/>
      <c r="Z17" s="3300"/>
      <c r="AA17" s="2730"/>
      <c r="AB17" s="2723"/>
      <c r="AC17" s="1830"/>
      <c r="AD17" s="1831"/>
      <c r="AE17" s="1832"/>
      <c r="AF17" s="1833"/>
      <c r="AG17" s="1702"/>
      <c r="AH17" s="1881"/>
      <c r="AI17" s="1882"/>
      <c r="AJ17" s="2937"/>
      <c r="AK17" s="1883"/>
      <c r="AL17" s="1884"/>
      <c r="AM17" s="1703"/>
      <c r="AN17" s="3170"/>
      <c r="AO17" s="1763"/>
      <c r="AP17" s="3124"/>
      <c r="AQ17" s="1885"/>
      <c r="AR17" s="1886"/>
      <c r="AS17" s="1885"/>
      <c r="AT17" s="1915"/>
      <c r="AU17" s="2868"/>
      <c r="AV17" s="3116"/>
      <c r="AW17" s="3292">
        <v>4</v>
      </c>
      <c r="AX17" s="3197"/>
      <c r="AY17" s="2884"/>
      <c r="AZ17" s="2876"/>
      <c r="BA17" s="2828"/>
      <c r="BB17" s="2730"/>
      <c r="BC17" s="2723"/>
      <c r="BD17" s="1916"/>
      <c r="BE17" s="1917"/>
      <c r="BF17" s="1918"/>
      <c r="BG17" s="1919"/>
      <c r="BH17" s="1833"/>
      <c r="BI17" s="1885">
        <v>5</v>
      </c>
      <c r="BJ17" s="1946"/>
      <c r="BK17" s="1919"/>
      <c r="BL17" s="3633">
        <f>SUM(E17:AE19)</f>
        <v>276</v>
      </c>
      <c r="BM17" s="3633">
        <f>SUM(E17:BG19)</f>
        <v>280</v>
      </c>
      <c r="BN17" s="1945">
        <v>502</v>
      </c>
      <c r="BO17" s="1942" t="s">
        <v>613</v>
      </c>
      <c r="BP17" s="3629" t="s">
        <v>33</v>
      </c>
    </row>
    <row r="18" spans="1:68" ht="15.75" customHeight="1" thickBot="1">
      <c r="A18" s="3724"/>
      <c r="B18" s="1694" t="s">
        <v>34</v>
      </c>
      <c r="C18" s="3679"/>
      <c r="D18" s="1705">
        <f t="shared" si="0"/>
        <v>0</v>
      </c>
      <c r="E18" s="1706"/>
      <c r="F18" s="1707"/>
      <c r="G18" s="1708"/>
      <c r="H18" s="1709"/>
      <c r="I18" s="2924"/>
      <c r="J18" s="1766"/>
      <c r="K18" s="1767"/>
      <c r="L18" s="1768"/>
      <c r="M18" s="1769"/>
      <c r="N18" s="3178"/>
      <c r="O18" s="1768"/>
      <c r="P18" s="1770"/>
      <c r="Q18" s="3122"/>
      <c r="R18" s="1771"/>
      <c r="S18" s="1772"/>
      <c r="T18" s="1834"/>
      <c r="U18" s="2819"/>
      <c r="V18" s="3187"/>
      <c r="W18" s="2890"/>
      <c r="X18" s="1835"/>
      <c r="Y18" s="1836"/>
      <c r="Z18" s="3298"/>
      <c r="AA18" s="2728"/>
      <c r="AB18" s="2721"/>
      <c r="AC18" s="1837"/>
      <c r="AD18" s="1838"/>
      <c r="AE18" s="1839"/>
      <c r="AF18" s="1706"/>
      <c r="AG18" s="1707"/>
      <c r="AH18" s="1887"/>
      <c r="AI18" s="1888"/>
      <c r="AJ18" s="2935"/>
      <c r="AK18" s="1889"/>
      <c r="AL18" s="1890"/>
      <c r="AM18" s="1769"/>
      <c r="AN18" s="3167"/>
      <c r="AO18" s="1770"/>
      <c r="AP18" s="3122"/>
      <c r="AQ18" s="1891"/>
      <c r="AR18" s="1892"/>
      <c r="AS18" s="1891"/>
      <c r="AT18" s="1920"/>
      <c r="AU18" s="2866"/>
      <c r="AV18" s="3114"/>
      <c r="AW18" s="3290"/>
      <c r="AX18" s="3195"/>
      <c r="AY18" s="2882"/>
      <c r="AZ18" s="2874"/>
      <c r="BA18" s="2826"/>
      <c r="BB18" s="2728"/>
      <c r="BC18" s="2721"/>
      <c r="BD18" s="1921"/>
      <c r="BE18" s="1922"/>
      <c r="BF18" s="1923"/>
      <c r="BG18" s="1924"/>
      <c r="BH18" s="1947"/>
      <c r="BI18" s="1891"/>
      <c r="BJ18" s="1948"/>
      <c r="BK18" s="1924"/>
      <c r="BL18" s="3634"/>
      <c r="BM18" s="3634"/>
      <c r="BN18" s="1945"/>
      <c r="BO18" s="1942"/>
      <c r="BP18" s="3630"/>
    </row>
    <row r="19" spans="1:68" ht="15.75" customHeight="1" thickBot="1">
      <c r="A19" s="3724"/>
      <c r="B19" s="1694" t="s">
        <v>34</v>
      </c>
      <c r="C19" s="3679"/>
      <c r="D19" s="1705">
        <f t="shared" si="0"/>
        <v>0</v>
      </c>
      <c r="E19" s="1706"/>
      <c r="F19" s="1707"/>
      <c r="G19" s="1708"/>
      <c r="H19" s="1712"/>
      <c r="I19" s="2928"/>
      <c r="J19" s="1779"/>
      <c r="K19" s="1780"/>
      <c r="L19" s="1781"/>
      <c r="M19" s="1708"/>
      <c r="N19" s="3178"/>
      <c r="O19" s="1781"/>
      <c r="P19" s="1773"/>
      <c r="Q19" s="3125"/>
      <c r="R19" s="1771"/>
      <c r="S19" s="1772"/>
      <c r="T19" s="1834"/>
      <c r="U19" s="2819"/>
      <c r="V19" s="3187"/>
      <c r="W19" s="2890"/>
      <c r="X19" s="1835"/>
      <c r="Y19" s="1836"/>
      <c r="Z19" s="3298"/>
      <c r="AA19" s="2728"/>
      <c r="AB19" s="2721"/>
      <c r="AC19" s="1837"/>
      <c r="AD19" s="1838"/>
      <c r="AE19" s="1839"/>
      <c r="AF19" s="1706"/>
      <c r="AG19" s="1707"/>
      <c r="AH19" s="1887"/>
      <c r="AI19" s="1888"/>
      <c r="AJ19" s="2935"/>
      <c r="AK19" s="1889"/>
      <c r="AL19" s="1890"/>
      <c r="AM19" s="1708"/>
      <c r="AN19" s="3171"/>
      <c r="AO19" s="1773"/>
      <c r="AP19" s="3125"/>
      <c r="AQ19" s="1891"/>
      <c r="AR19" s="1892"/>
      <c r="AS19" s="1891"/>
      <c r="AT19" s="1920"/>
      <c r="AU19" s="2866"/>
      <c r="AV19" s="3114"/>
      <c r="AW19" s="3290"/>
      <c r="AX19" s="3195"/>
      <c r="AY19" s="2882"/>
      <c r="AZ19" s="2874"/>
      <c r="BA19" s="2826"/>
      <c r="BB19" s="2728"/>
      <c r="BC19" s="2721"/>
      <c r="BD19" s="1921"/>
      <c r="BE19" s="1922"/>
      <c r="BF19" s="1923"/>
      <c r="BG19" s="1924"/>
      <c r="BH19" s="1947"/>
      <c r="BI19" s="1891"/>
      <c r="BJ19" s="1948"/>
      <c r="BK19" s="1924"/>
      <c r="BL19" s="3634"/>
      <c r="BM19" s="3634"/>
      <c r="BN19" s="1945"/>
      <c r="BO19" s="1942"/>
      <c r="BP19" s="3630"/>
    </row>
    <row r="20" spans="1:68" ht="15.75" customHeight="1" thickBot="1">
      <c r="A20" s="3725">
        <v>46123</v>
      </c>
      <c r="B20" s="1688" t="s">
        <v>32</v>
      </c>
      <c r="C20" s="3678">
        <f>SUM(D20:D23)</f>
        <v>218</v>
      </c>
      <c r="D20" s="1689">
        <f t="shared" si="0"/>
        <v>218</v>
      </c>
      <c r="E20" s="1690"/>
      <c r="F20" s="1691"/>
      <c r="G20" s="1692"/>
      <c r="H20" s="1713"/>
      <c r="I20" s="2929">
        <f>24+192</f>
        <v>216</v>
      </c>
      <c r="J20" s="1782"/>
      <c r="K20" s="1783"/>
      <c r="L20" s="1784"/>
      <c r="M20" s="1692"/>
      <c r="N20" s="3177"/>
      <c r="O20" s="1784"/>
      <c r="P20" s="1774"/>
      <c r="Q20" s="3126"/>
      <c r="R20" s="1750"/>
      <c r="S20" s="1751"/>
      <c r="T20" s="1815"/>
      <c r="U20" s="2818"/>
      <c r="V20" s="3186"/>
      <c r="W20" s="2889"/>
      <c r="X20" s="1816"/>
      <c r="Y20" s="1817"/>
      <c r="Z20" s="3297"/>
      <c r="AA20" s="2727"/>
      <c r="AB20" s="2720"/>
      <c r="AC20" s="1818"/>
      <c r="AD20" s="1819"/>
      <c r="AE20" s="1820"/>
      <c r="AF20" s="1726"/>
      <c r="AG20" s="1691"/>
      <c r="AH20" s="1869"/>
      <c r="AI20" s="1893"/>
      <c r="AJ20" s="2938"/>
      <c r="AK20" s="1854"/>
      <c r="AL20" s="1894"/>
      <c r="AM20" s="1692"/>
      <c r="AN20" s="3172"/>
      <c r="AO20" s="1774"/>
      <c r="AP20" s="3126"/>
      <c r="AQ20" s="1873"/>
      <c r="AR20" s="1874"/>
      <c r="AS20" s="1873"/>
      <c r="AT20" s="1909"/>
      <c r="AU20" s="2865"/>
      <c r="AV20" s="3113"/>
      <c r="AW20" s="3289"/>
      <c r="AX20" s="3194"/>
      <c r="AY20" s="2881"/>
      <c r="AZ20" s="2873"/>
      <c r="BA20" s="2825"/>
      <c r="BB20" s="2727"/>
      <c r="BC20" s="2720"/>
      <c r="BD20" s="1910"/>
      <c r="BE20" s="1911"/>
      <c r="BF20" s="1864"/>
      <c r="BG20" s="1865"/>
      <c r="BH20" s="1726"/>
      <c r="BI20" s="1873">
        <v>2</v>
      </c>
      <c r="BJ20" s="1940"/>
      <c r="BK20" s="1865"/>
      <c r="BL20" s="3633">
        <f>SUM(E20:AE23)</f>
        <v>216</v>
      </c>
      <c r="BM20" s="3633">
        <f>SUM(E20:BG23)</f>
        <v>216</v>
      </c>
      <c r="BN20" s="1945">
        <v>502</v>
      </c>
      <c r="BO20" s="1942" t="s">
        <v>617</v>
      </c>
      <c r="BP20" s="3629"/>
    </row>
    <row r="21" spans="1:68" ht="15.75" customHeight="1" thickBot="1">
      <c r="A21" s="3726"/>
      <c r="B21" s="1694" t="s">
        <v>34</v>
      </c>
      <c r="C21" s="3679"/>
      <c r="D21" s="1705">
        <f t="shared" si="0"/>
        <v>0</v>
      </c>
      <c r="E21" s="1706"/>
      <c r="F21" s="1707"/>
      <c r="G21" s="1708"/>
      <c r="H21" s="1709"/>
      <c r="I21" s="2924"/>
      <c r="J21" s="1766"/>
      <c r="K21" s="1767"/>
      <c r="L21" s="1768"/>
      <c r="M21" s="1769"/>
      <c r="N21" s="3178"/>
      <c r="O21" s="1768"/>
      <c r="P21" s="1770"/>
      <c r="Q21" s="3122"/>
      <c r="R21" s="1771"/>
      <c r="S21" s="1772"/>
      <c r="T21" s="1834"/>
      <c r="U21" s="2819"/>
      <c r="V21" s="3187"/>
      <c r="W21" s="2890"/>
      <c r="X21" s="1835"/>
      <c r="Y21" s="1836"/>
      <c r="Z21" s="3298"/>
      <c r="AA21" s="2728"/>
      <c r="AB21" s="2721"/>
      <c r="AC21" s="1837"/>
      <c r="AD21" s="1838"/>
      <c r="AE21" s="1839"/>
      <c r="AF21" s="1706"/>
      <c r="AG21" s="1707"/>
      <c r="AH21" s="1887"/>
      <c r="AI21" s="1888"/>
      <c r="AJ21" s="2935"/>
      <c r="AK21" s="1889"/>
      <c r="AL21" s="1890"/>
      <c r="AM21" s="1769"/>
      <c r="AN21" s="3167"/>
      <c r="AO21" s="1770"/>
      <c r="AP21" s="3122"/>
      <c r="AQ21" s="1891"/>
      <c r="AR21" s="1892"/>
      <c r="AS21" s="1891"/>
      <c r="AT21" s="1920"/>
      <c r="AU21" s="2866"/>
      <c r="AV21" s="3114"/>
      <c r="AW21" s="3290"/>
      <c r="AX21" s="3195"/>
      <c r="AY21" s="2882"/>
      <c r="AZ21" s="2874"/>
      <c r="BA21" s="2826"/>
      <c r="BB21" s="2728"/>
      <c r="BC21" s="2721"/>
      <c r="BD21" s="1921"/>
      <c r="BE21" s="1922"/>
      <c r="BF21" s="1923"/>
      <c r="BG21" s="1924"/>
      <c r="BH21" s="1947"/>
      <c r="BI21" s="1891"/>
      <c r="BJ21" s="1948"/>
      <c r="BK21" s="1924"/>
      <c r="BL21" s="3634"/>
      <c r="BM21" s="3634"/>
      <c r="BN21" s="1945"/>
      <c r="BO21" s="1942"/>
      <c r="BP21" s="3630"/>
    </row>
    <row r="22" spans="1:68" ht="15.75" customHeight="1" thickBot="1">
      <c r="A22" s="3726"/>
      <c r="B22" s="1694" t="s">
        <v>34</v>
      </c>
      <c r="C22" s="3679"/>
      <c r="D22" s="1705">
        <f t="shared" si="0"/>
        <v>0</v>
      </c>
      <c r="E22" s="1706"/>
      <c r="F22" s="1707"/>
      <c r="G22" s="1708"/>
      <c r="H22" s="1709"/>
      <c r="I22" s="2924"/>
      <c r="J22" s="1766"/>
      <c r="K22" s="1767"/>
      <c r="L22" s="1768"/>
      <c r="M22" s="1769"/>
      <c r="N22" s="3178"/>
      <c r="O22" s="1768"/>
      <c r="P22" s="1770"/>
      <c r="Q22" s="3122"/>
      <c r="R22" s="1771"/>
      <c r="S22" s="1772"/>
      <c r="T22" s="1834"/>
      <c r="U22" s="2819"/>
      <c r="V22" s="3187"/>
      <c r="W22" s="2890"/>
      <c r="X22" s="1835"/>
      <c r="Y22" s="1836"/>
      <c r="Z22" s="3298"/>
      <c r="AA22" s="2728"/>
      <c r="AB22" s="2721"/>
      <c r="AC22" s="1837"/>
      <c r="AD22" s="1838"/>
      <c r="AE22" s="1839"/>
      <c r="AF22" s="1706"/>
      <c r="AG22" s="1707"/>
      <c r="AH22" s="1887"/>
      <c r="AI22" s="1888"/>
      <c r="AJ22" s="2935"/>
      <c r="AK22" s="1889"/>
      <c r="AL22" s="1890"/>
      <c r="AM22" s="1769"/>
      <c r="AN22" s="3167"/>
      <c r="AO22" s="1770"/>
      <c r="AP22" s="3122"/>
      <c r="AQ22" s="1891"/>
      <c r="AR22" s="1892"/>
      <c r="AS22" s="1891"/>
      <c r="AT22" s="1920"/>
      <c r="AU22" s="2866"/>
      <c r="AV22" s="3114"/>
      <c r="AW22" s="3290"/>
      <c r="AX22" s="3195"/>
      <c r="AY22" s="2882"/>
      <c r="AZ22" s="2874"/>
      <c r="BA22" s="2826"/>
      <c r="BB22" s="2728"/>
      <c r="BC22" s="2721"/>
      <c r="BD22" s="1921"/>
      <c r="BE22" s="1922"/>
      <c r="BF22" s="1923"/>
      <c r="BG22" s="1924"/>
      <c r="BH22" s="1947"/>
      <c r="BI22" s="1891"/>
      <c r="BJ22" s="1948"/>
      <c r="BK22" s="1924"/>
      <c r="BL22" s="3634"/>
      <c r="BM22" s="3634"/>
      <c r="BN22" s="1945"/>
      <c r="BO22" s="1942"/>
      <c r="BP22" s="3630"/>
    </row>
    <row r="23" spans="1:68" ht="15.75" customHeight="1" thickBot="1">
      <c r="A23" s="3726"/>
      <c r="B23" s="1714" t="s">
        <v>34</v>
      </c>
      <c r="C23" s="3679"/>
      <c r="D23" s="1710">
        <f t="shared" si="0"/>
        <v>0</v>
      </c>
      <c r="E23" s="1715"/>
      <c r="F23" s="1716"/>
      <c r="G23" s="1717"/>
      <c r="H23" s="1718"/>
      <c r="I23" s="2930"/>
      <c r="J23" s="1785"/>
      <c r="K23" s="1786"/>
      <c r="L23" s="1787"/>
      <c r="M23" s="1717"/>
      <c r="N23" s="3181"/>
      <c r="O23" s="1787"/>
      <c r="P23" s="1788"/>
      <c r="Q23" s="3128"/>
      <c r="R23" s="1789"/>
      <c r="S23" s="1790"/>
      <c r="T23" s="1840"/>
      <c r="U23" s="2822"/>
      <c r="V23" s="3190"/>
      <c r="W23" s="2893"/>
      <c r="X23" s="1841"/>
      <c r="Y23" s="1842"/>
      <c r="Z23" s="3301"/>
      <c r="AA23" s="2731"/>
      <c r="AB23" s="2724"/>
      <c r="AC23" s="1843"/>
      <c r="AD23" s="1844"/>
      <c r="AE23" s="1845"/>
      <c r="AF23" s="1715"/>
      <c r="AG23" s="1716"/>
      <c r="AH23" s="1897"/>
      <c r="AI23" s="1898"/>
      <c r="AJ23" s="2940"/>
      <c r="AK23" s="1899"/>
      <c r="AL23" s="1900"/>
      <c r="AM23" s="1717"/>
      <c r="AN23" s="3173"/>
      <c r="AO23" s="1788"/>
      <c r="AP23" s="3128"/>
      <c r="AQ23" s="1901"/>
      <c r="AR23" s="1902"/>
      <c r="AS23" s="1901"/>
      <c r="AT23" s="1925"/>
      <c r="AU23" s="2869"/>
      <c r="AV23" s="3117"/>
      <c r="AW23" s="3293"/>
      <c r="AX23" s="3198"/>
      <c r="AY23" s="2885"/>
      <c r="AZ23" s="2877"/>
      <c r="BA23" s="2829"/>
      <c r="BB23" s="2731"/>
      <c r="BC23" s="2724"/>
      <c r="BD23" s="1926"/>
      <c r="BE23" s="1927"/>
      <c r="BF23" s="1844"/>
      <c r="BG23" s="1845"/>
      <c r="BH23" s="1715"/>
      <c r="BI23" s="1901"/>
      <c r="BJ23" s="1949"/>
      <c r="BK23" s="1845"/>
      <c r="BL23" s="3635"/>
      <c r="BM23" s="3634"/>
      <c r="BN23" s="1945"/>
      <c r="BO23" s="1942"/>
      <c r="BP23" s="3630"/>
    </row>
    <row r="24" spans="1:68" ht="16.5" thickBot="1">
      <c r="A24" s="3729">
        <v>46124</v>
      </c>
      <c r="B24" s="1688" t="s">
        <v>32</v>
      </c>
      <c r="C24" s="3678">
        <f>SUM(D24:D26)</f>
        <v>340</v>
      </c>
      <c r="D24" s="1719">
        <f t="shared" si="0"/>
        <v>340</v>
      </c>
      <c r="E24" s="1720"/>
      <c r="F24" s="1721"/>
      <c r="G24" s="1722"/>
      <c r="H24" s="1723"/>
      <c r="I24" s="2931">
        <f>84+252</f>
        <v>336</v>
      </c>
      <c r="J24" s="1791"/>
      <c r="K24" s="1792"/>
      <c r="L24" s="1793"/>
      <c r="M24" s="1794"/>
      <c r="N24" s="3182"/>
      <c r="O24" s="1793"/>
      <c r="P24" s="1795"/>
      <c r="Q24" s="3129"/>
      <c r="R24" s="1796"/>
      <c r="S24" s="1797"/>
      <c r="T24" s="1846"/>
      <c r="U24" s="2823"/>
      <c r="V24" s="3191"/>
      <c r="W24" s="2894"/>
      <c r="X24" s="1847"/>
      <c r="Y24" s="1848"/>
      <c r="Z24" s="3302"/>
      <c r="AA24" s="2732"/>
      <c r="AB24" s="2725"/>
      <c r="AC24" s="1849"/>
      <c r="AD24" s="1850"/>
      <c r="AE24" s="1851"/>
      <c r="AF24" s="1720"/>
      <c r="AG24" s="1721"/>
      <c r="AH24" s="1794"/>
      <c r="AI24" s="1723"/>
      <c r="AJ24" s="2931"/>
      <c r="AK24" s="1903"/>
      <c r="AL24" s="1792"/>
      <c r="AM24" s="1794"/>
      <c r="AN24" s="3174"/>
      <c r="AO24" s="1795"/>
      <c r="AP24" s="3129"/>
      <c r="AQ24" s="1793"/>
      <c r="AR24" s="1796"/>
      <c r="AS24" s="1793"/>
      <c r="AT24" s="1797"/>
      <c r="AU24" s="2870"/>
      <c r="AV24" s="3118"/>
      <c r="AW24" s="3294">
        <v>1</v>
      </c>
      <c r="AX24" s="3199"/>
      <c r="AY24" s="2886"/>
      <c r="AZ24" s="2878"/>
      <c r="BA24" s="2830"/>
      <c r="BB24" s="2732"/>
      <c r="BC24" s="2725"/>
      <c r="BD24" s="1848"/>
      <c r="BE24" s="1849"/>
      <c r="BF24" s="1850"/>
      <c r="BG24" s="1851"/>
      <c r="BH24" s="1720"/>
      <c r="BI24" s="1793">
        <v>3</v>
      </c>
      <c r="BJ24" s="1950"/>
      <c r="BK24" s="1851"/>
      <c r="BL24" s="3642">
        <f>SUM(E24:AE26)</f>
        <v>336</v>
      </c>
      <c r="BM24" s="3633">
        <f>SUM(E24:BG26)</f>
        <v>337</v>
      </c>
      <c r="BN24" s="1945">
        <v>502</v>
      </c>
      <c r="BO24" s="1942" t="s">
        <v>640</v>
      </c>
      <c r="BP24" s="3629" t="s">
        <v>33</v>
      </c>
    </row>
    <row r="25" spans="1:68" ht="15.75" thickBot="1">
      <c r="A25" s="3730"/>
      <c r="B25" s="1694" t="s">
        <v>32</v>
      </c>
      <c r="C25" s="3679"/>
      <c r="D25" s="1705">
        <f t="shared" si="0"/>
        <v>0</v>
      </c>
      <c r="E25" s="1706"/>
      <c r="F25" s="1707"/>
      <c r="G25" s="1708"/>
      <c r="H25" s="1709"/>
      <c r="I25" s="2924"/>
      <c r="J25" s="1766"/>
      <c r="K25" s="1767"/>
      <c r="L25" s="1768"/>
      <c r="M25" s="1769"/>
      <c r="N25" s="3178"/>
      <c r="O25" s="1768"/>
      <c r="P25" s="1770"/>
      <c r="Q25" s="3122"/>
      <c r="R25" s="1771"/>
      <c r="S25" s="1772"/>
      <c r="T25" s="1834"/>
      <c r="U25" s="2819"/>
      <c r="V25" s="3187"/>
      <c r="W25" s="2890"/>
      <c r="X25" s="1835"/>
      <c r="Y25" s="1836"/>
      <c r="Z25" s="3298"/>
      <c r="AA25" s="2728"/>
      <c r="AB25" s="2721"/>
      <c r="AC25" s="1837"/>
      <c r="AD25" s="1838"/>
      <c r="AE25" s="1839"/>
      <c r="AF25" s="1706"/>
      <c r="AG25" s="1707"/>
      <c r="AH25" s="1887"/>
      <c r="AI25" s="1888"/>
      <c r="AJ25" s="2935"/>
      <c r="AK25" s="1889"/>
      <c r="AL25" s="1890"/>
      <c r="AM25" s="1769"/>
      <c r="AN25" s="3167"/>
      <c r="AO25" s="1770"/>
      <c r="AP25" s="3122"/>
      <c r="AQ25" s="1891"/>
      <c r="AR25" s="1892"/>
      <c r="AS25" s="1891"/>
      <c r="AT25" s="1920"/>
      <c r="AU25" s="2866"/>
      <c r="AV25" s="3114"/>
      <c r="AW25" s="3290"/>
      <c r="AX25" s="3195"/>
      <c r="AY25" s="2882"/>
      <c r="AZ25" s="2874"/>
      <c r="BA25" s="2826"/>
      <c r="BB25" s="2728"/>
      <c r="BC25" s="2721"/>
      <c r="BD25" s="1921"/>
      <c r="BE25" s="1922"/>
      <c r="BF25" s="1923"/>
      <c r="BG25" s="1924"/>
      <c r="BH25" s="1947"/>
      <c r="BI25" s="1891"/>
      <c r="BJ25" s="1948"/>
      <c r="BK25" s="1924"/>
      <c r="BL25" s="3643"/>
      <c r="BM25" s="3634"/>
      <c r="BN25" s="1945"/>
      <c r="BO25" s="1942"/>
      <c r="BP25" s="3630"/>
    </row>
    <row r="26" spans="1:68" ht="15.75" thickBot="1">
      <c r="A26" s="3731"/>
      <c r="B26" s="1724" t="s">
        <v>34</v>
      </c>
      <c r="C26" s="3681"/>
      <c r="D26" s="1710">
        <f t="shared" si="0"/>
        <v>0</v>
      </c>
      <c r="E26" s="1696"/>
      <c r="F26" s="1725"/>
      <c r="G26" s="1698"/>
      <c r="H26" s="1699"/>
      <c r="I26" s="2925"/>
      <c r="J26" s="1752"/>
      <c r="K26" s="1798"/>
      <c r="L26" s="1799"/>
      <c r="M26" s="1755"/>
      <c r="N26" s="3179"/>
      <c r="O26" s="1754"/>
      <c r="P26" s="1775"/>
      <c r="Q26" s="3127"/>
      <c r="R26" s="1757"/>
      <c r="S26" s="1758"/>
      <c r="T26" s="1821"/>
      <c r="U26" s="2820"/>
      <c r="V26" s="3188"/>
      <c r="W26" s="2891"/>
      <c r="X26" s="1822"/>
      <c r="Y26" s="1823"/>
      <c r="Z26" s="3299"/>
      <c r="AA26" s="2729"/>
      <c r="AB26" s="2722"/>
      <c r="AC26" s="1824"/>
      <c r="AD26" s="1825"/>
      <c r="AE26" s="1826"/>
      <c r="AF26" s="1696"/>
      <c r="AG26" s="1697"/>
      <c r="AH26" s="1875"/>
      <c r="AI26" s="1895"/>
      <c r="AJ26" s="2939"/>
      <c r="AK26" s="1858"/>
      <c r="AL26" s="1896"/>
      <c r="AM26" s="1755"/>
      <c r="AN26" s="3168"/>
      <c r="AO26" s="1775"/>
      <c r="AP26" s="3127"/>
      <c r="AQ26" s="1879"/>
      <c r="AR26" s="1880"/>
      <c r="AS26" s="1879"/>
      <c r="AT26" s="1912"/>
      <c r="AU26" s="2867"/>
      <c r="AV26" s="3115"/>
      <c r="AW26" s="3291"/>
      <c r="AX26" s="3196"/>
      <c r="AY26" s="2883"/>
      <c r="AZ26" s="2875"/>
      <c r="BA26" s="2827"/>
      <c r="BB26" s="2729"/>
      <c r="BC26" s="2722"/>
      <c r="BD26" s="1913"/>
      <c r="BE26" s="1914"/>
      <c r="BF26" s="1866"/>
      <c r="BG26" s="1867"/>
      <c r="BH26" s="1943"/>
      <c r="BI26" s="1879"/>
      <c r="BJ26" s="1944"/>
      <c r="BK26" s="1867"/>
      <c r="BL26" s="3643"/>
      <c r="BM26" s="3634"/>
      <c r="BN26" s="1945"/>
      <c r="BO26" s="1942"/>
      <c r="BP26" s="3630"/>
    </row>
    <row r="27" spans="1:68" ht="15.75" thickBot="1">
      <c r="A27" s="3729">
        <v>46125</v>
      </c>
      <c r="B27" s="1688" t="s">
        <v>32</v>
      </c>
      <c r="C27" s="3678">
        <f>SUM(D27:D29)</f>
        <v>495</v>
      </c>
      <c r="D27" s="1700">
        <f t="shared" ref="D27:D29" si="4">SUM(E27:BK27)</f>
        <v>495</v>
      </c>
      <c r="E27" s="1726"/>
      <c r="F27" s="1727"/>
      <c r="G27" s="1692"/>
      <c r="H27" s="1713"/>
      <c r="I27" s="2929">
        <v>492</v>
      </c>
      <c r="J27" s="1782"/>
      <c r="K27" s="1783"/>
      <c r="L27" s="1784"/>
      <c r="M27" s="1692"/>
      <c r="N27" s="3177"/>
      <c r="O27" s="1784"/>
      <c r="P27" s="1774"/>
      <c r="Q27" s="3126"/>
      <c r="R27" s="1750"/>
      <c r="S27" s="1751"/>
      <c r="T27" s="1815"/>
      <c r="U27" s="2818"/>
      <c r="V27" s="3186"/>
      <c r="W27" s="2889"/>
      <c r="X27" s="1816"/>
      <c r="Y27" s="1817"/>
      <c r="Z27" s="3297"/>
      <c r="AA27" s="2727"/>
      <c r="AB27" s="2720"/>
      <c r="AC27" s="1818"/>
      <c r="AD27" s="1819"/>
      <c r="AE27" s="1820"/>
      <c r="AF27" s="1726"/>
      <c r="AG27" s="1691"/>
      <c r="AH27" s="1869"/>
      <c r="AI27" s="1893"/>
      <c r="AJ27" s="2938"/>
      <c r="AK27" s="1854"/>
      <c r="AL27" s="1894"/>
      <c r="AM27" s="1692"/>
      <c r="AN27" s="3172"/>
      <c r="AO27" s="1774"/>
      <c r="AP27" s="3126"/>
      <c r="AQ27" s="1873"/>
      <c r="AR27" s="1874"/>
      <c r="AS27" s="1873"/>
      <c r="AT27" s="1909"/>
      <c r="AU27" s="2865"/>
      <c r="AV27" s="3113"/>
      <c r="AW27" s="3289"/>
      <c r="AX27" s="3194"/>
      <c r="AY27" s="2881"/>
      <c r="AZ27" s="2873"/>
      <c r="BA27" s="2825"/>
      <c r="BB27" s="2727"/>
      <c r="BC27" s="2720"/>
      <c r="BD27" s="1910"/>
      <c r="BE27" s="1911"/>
      <c r="BF27" s="1864"/>
      <c r="BG27" s="1865"/>
      <c r="BH27" s="1726"/>
      <c r="BI27" s="1873">
        <v>3</v>
      </c>
      <c r="BJ27" s="1940"/>
      <c r="BK27" s="1865"/>
      <c r="BL27" s="3633">
        <f>SUM(E27:AE29)</f>
        <v>492</v>
      </c>
      <c r="BM27" s="3633">
        <f>SUM(E27:BG29)</f>
        <v>492</v>
      </c>
      <c r="BN27" s="1942">
        <v>502</v>
      </c>
      <c r="BO27" s="1942" t="s">
        <v>533</v>
      </c>
      <c r="BP27" s="3629" t="s">
        <v>33</v>
      </c>
    </row>
    <row r="28" spans="1:68" ht="15.75" thickBot="1">
      <c r="A28" s="3730"/>
      <c r="B28" s="1694" t="s">
        <v>34</v>
      </c>
      <c r="C28" s="3679"/>
      <c r="D28" s="1705">
        <f t="shared" si="4"/>
        <v>0</v>
      </c>
      <c r="E28" s="1706"/>
      <c r="F28" s="1707"/>
      <c r="G28" s="1708"/>
      <c r="H28" s="1709"/>
      <c r="I28" s="2924"/>
      <c r="J28" s="1766"/>
      <c r="K28" s="1767"/>
      <c r="L28" s="1768"/>
      <c r="M28" s="1769"/>
      <c r="N28" s="3178"/>
      <c r="O28" s="1768"/>
      <c r="P28" s="1770"/>
      <c r="Q28" s="3122"/>
      <c r="R28" s="1771"/>
      <c r="S28" s="1772"/>
      <c r="T28" s="1834"/>
      <c r="U28" s="2819"/>
      <c r="V28" s="3187"/>
      <c r="W28" s="2890"/>
      <c r="X28" s="1835"/>
      <c r="Y28" s="1836"/>
      <c r="Z28" s="3298"/>
      <c r="AA28" s="2728"/>
      <c r="AB28" s="2721"/>
      <c r="AC28" s="1837"/>
      <c r="AD28" s="1838"/>
      <c r="AE28" s="1839"/>
      <c r="AF28" s="1706"/>
      <c r="AG28" s="1707"/>
      <c r="AH28" s="1887"/>
      <c r="AI28" s="1888"/>
      <c r="AJ28" s="2935"/>
      <c r="AK28" s="1889"/>
      <c r="AL28" s="1890"/>
      <c r="AM28" s="1769"/>
      <c r="AN28" s="3167"/>
      <c r="AO28" s="1770"/>
      <c r="AP28" s="3122"/>
      <c r="AQ28" s="1891"/>
      <c r="AR28" s="1892"/>
      <c r="AS28" s="1891"/>
      <c r="AT28" s="1920"/>
      <c r="AU28" s="2866"/>
      <c r="AV28" s="3114"/>
      <c r="AW28" s="3290"/>
      <c r="AX28" s="3195"/>
      <c r="AY28" s="2882"/>
      <c r="AZ28" s="2874"/>
      <c r="BA28" s="2826"/>
      <c r="BB28" s="2728"/>
      <c r="BC28" s="2721"/>
      <c r="BD28" s="1921"/>
      <c r="BE28" s="1922"/>
      <c r="BF28" s="1923"/>
      <c r="BG28" s="1924"/>
      <c r="BH28" s="1947"/>
      <c r="BI28" s="1891"/>
      <c r="BJ28" s="1948"/>
      <c r="BK28" s="1924"/>
      <c r="BL28" s="3634"/>
      <c r="BM28" s="3634"/>
      <c r="BN28" s="1942"/>
      <c r="BO28" s="1942"/>
      <c r="BP28" s="3630"/>
    </row>
    <row r="29" spans="1:68" ht="15.75" thickBot="1">
      <c r="A29" s="3731"/>
      <c r="B29" s="1724" t="s">
        <v>34</v>
      </c>
      <c r="C29" s="3679"/>
      <c r="D29" s="1705">
        <f t="shared" si="4"/>
        <v>0</v>
      </c>
      <c r="E29" s="1696"/>
      <c r="F29" s="1725"/>
      <c r="G29" s="1698"/>
      <c r="H29" s="1699"/>
      <c r="I29" s="2925"/>
      <c r="J29" s="1752"/>
      <c r="K29" s="1753"/>
      <c r="L29" s="1754"/>
      <c r="M29" s="1755"/>
      <c r="N29" s="3179"/>
      <c r="O29" s="1754"/>
      <c r="P29" s="1775"/>
      <c r="Q29" s="3127"/>
      <c r="R29" s="1757"/>
      <c r="S29" s="1758"/>
      <c r="T29" s="1821"/>
      <c r="U29" s="2820"/>
      <c r="V29" s="3188"/>
      <c r="W29" s="2891"/>
      <c r="X29" s="1822"/>
      <c r="Y29" s="1823"/>
      <c r="Z29" s="3299"/>
      <c r="AA29" s="2729"/>
      <c r="AB29" s="2722"/>
      <c r="AC29" s="1824"/>
      <c r="AD29" s="1825"/>
      <c r="AE29" s="1826"/>
      <c r="AF29" s="1696"/>
      <c r="AG29" s="1697"/>
      <c r="AH29" s="1875"/>
      <c r="AI29" s="1895"/>
      <c r="AJ29" s="2939"/>
      <c r="AK29" s="1858"/>
      <c r="AL29" s="1896"/>
      <c r="AM29" s="1755"/>
      <c r="AN29" s="3168"/>
      <c r="AO29" s="1775"/>
      <c r="AP29" s="3127"/>
      <c r="AQ29" s="1879"/>
      <c r="AR29" s="1880"/>
      <c r="AS29" s="1879"/>
      <c r="AT29" s="1912"/>
      <c r="AU29" s="2867"/>
      <c r="AV29" s="3115"/>
      <c r="AW29" s="3291"/>
      <c r="AX29" s="3196"/>
      <c r="AY29" s="2883"/>
      <c r="AZ29" s="2875"/>
      <c r="BA29" s="2827"/>
      <c r="BB29" s="2729"/>
      <c r="BC29" s="2722"/>
      <c r="BD29" s="1913"/>
      <c r="BE29" s="1914"/>
      <c r="BF29" s="1866"/>
      <c r="BG29" s="1867"/>
      <c r="BH29" s="1943"/>
      <c r="BI29" s="1879"/>
      <c r="BJ29" s="1944"/>
      <c r="BK29" s="1867"/>
      <c r="BL29" s="3634"/>
      <c r="BM29" s="3634"/>
      <c r="BN29" s="1942"/>
      <c r="BO29" s="1942"/>
      <c r="BP29" s="3630"/>
    </row>
    <row r="30" spans="1:68" ht="15.75" thickBot="1">
      <c r="A30" s="3729">
        <v>46126</v>
      </c>
      <c r="B30" s="1688" t="s">
        <v>32</v>
      </c>
      <c r="C30" s="3678">
        <f>SUM(D30:D34)</f>
        <v>367</v>
      </c>
      <c r="D30" s="1700">
        <f t="shared" si="0"/>
        <v>367</v>
      </c>
      <c r="E30" s="1726"/>
      <c r="F30" s="1727"/>
      <c r="G30" s="1692"/>
      <c r="H30" s="1713"/>
      <c r="I30" s="2929">
        <v>360</v>
      </c>
      <c r="J30" s="1782"/>
      <c r="K30" s="1783"/>
      <c r="L30" s="1784"/>
      <c r="M30" s="1692"/>
      <c r="N30" s="3177"/>
      <c r="O30" s="1784"/>
      <c r="P30" s="1774"/>
      <c r="Q30" s="3126"/>
      <c r="R30" s="1750"/>
      <c r="S30" s="1751"/>
      <c r="T30" s="1815"/>
      <c r="U30" s="2818"/>
      <c r="V30" s="3186"/>
      <c r="W30" s="2889"/>
      <c r="X30" s="1816"/>
      <c r="Y30" s="1817"/>
      <c r="Z30" s="3297"/>
      <c r="AA30" s="2727"/>
      <c r="AB30" s="2720"/>
      <c r="AC30" s="1818"/>
      <c r="AD30" s="1819"/>
      <c r="AE30" s="1820"/>
      <c r="AF30" s="1726"/>
      <c r="AG30" s="1691"/>
      <c r="AH30" s="1869"/>
      <c r="AI30" s="1893"/>
      <c r="AJ30" s="2938"/>
      <c r="AK30" s="1854"/>
      <c r="AL30" s="1894"/>
      <c r="AM30" s="1692"/>
      <c r="AN30" s="3172"/>
      <c r="AO30" s="1774"/>
      <c r="AP30" s="3126"/>
      <c r="AQ30" s="1873"/>
      <c r="AR30" s="1874"/>
      <c r="AS30" s="1873"/>
      <c r="AT30" s="1909"/>
      <c r="AU30" s="2865"/>
      <c r="AV30" s="3113"/>
      <c r="AW30" s="3289"/>
      <c r="AX30" s="3194"/>
      <c r="AY30" s="2881"/>
      <c r="AZ30" s="2873"/>
      <c r="BA30" s="2825"/>
      <c r="BB30" s="2727"/>
      <c r="BC30" s="2720"/>
      <c r="BD30" s="1910"/>
      <c r="BE30" s="1911"/>
      <c r="BF30" s="1864"/>
      <c r="BG30" s="1865"/>
      <c r="BH30" s="1726"/>
      <c r="BI30" s="1873">
        <v>7</v>
      </c>
      <c r="BJ30" s="1940"/>
      <c r="BK30" s="1865"/>
      <c r="BL30" s="3633">
        <f>SUM(E30:AE34)</f>
        <v>360</v>
      </c>
      <c r="BM30" s="3633">
        <f>SUM(E30:BG34)</f>
        <v>360</v>
      </c>
      <c r="BN30" s="1942">
        <v>502</v>
      </c>
      <c r="BO30" s="1942" t="s">
        <v>533</v>
      </c>
      <c r="BP30" s="3629" t="s">
        <v>33</v>
      </c>
    </row>
    <row r="31" spans="1:68" ht="15.75" thickBot="1">
      <c r="A31" s="3730"/>
      <c r="B31" s="1694" t="s">
        <v>34</v>
      </c>
      <c r="C31" s="3679"/>
      <c r="D31" s="1705">
        <f t="shared" si="0"/>
        <v>0</v>
      </c>
      <c r="E31" s="1706"/>
      <c r="F31" s="1707"/>
      <c r="G31" s="1708"/>
      <c r="H31" s="1709"/>
      <c r="I31" s="2924"/>
      <c r="J31" s="1766"/>
      <c r="K31" s="1767"/>
      <c r="L31" s="1768"/>
      <c r="M31" s="1769"/>
      <c r="N31" s="3178"/>
      <c r="O31" s="1768"/>
      <c r="P31" s="1770"/>
      <c r="Q31" s="3122"/>
      <c r="R31" s="1771"/>
      <c r="S31" s="1772"/>
      <c r="T31" s="1834"/>
      <c r="U31" s="2819"/>
      <c r="V31" s="3187"/>
      <c r="W31" s="2890"/>
      <c r="X31" s="1835"/>
      <c r="Y31" s="1836"/>
      <c r="Z31" s="3298"/>
      <c r="AA31" s="2728"/>
      <c r="AB31" s="2721"/>
      <c r="AC31" s="1837"/>
      <c r="AD31" s="1838"/>
      <c r="AE31" s="1839"/>
      <c r="AF31" s="1706"/>
      <c r="AG31" s="1707"/>
      <c r="AH31" s="1887"/>
      <c r="AI31" s="1888"/>
      <c r="AJ31" s="2935"/>
      <c r="AK31" s="1889"/>
      <c r="AL31" s="1890"/>
      <c r="AM31" s="1769"/>
      <c r="AN31" s="3167"/>
      <c r="AO31" s="1770"/>
      <c r="AP31" s="3122"/>
      <c r="AQ31" s="1891"/>
      <c r="AR31" s="1892"/>
      <c r="AS31" s="1891"/>
      <c r="AT31" s="1920"/>
      <c r="AU31" s="2866"/>
      <c r="AV31" s="3114"/>
      <c r="AW31" s="3290"/>
      <c r="AX31" s="3195"/>
      <c r="AY31" s="2882"/>
      <c r="AZ31" s="2874"/>
      <c r="BA31" s="2826"/>
      <c r="BB31" s="2728"/>
      <c r="BC31" s="2721"/>
      <c r="BD31" s="1921"/>
      <c r="BE31" s="1922"/>
      <c r="BF31" s="1923"/>
      <c r="BG31" s="1924"/>
      <c r="BH31" s="1947"/>
      <c r="BI31" s="1891"/>
      <c r="BJ31" s="1948"/>
      <c r="BK31" s="1924"/>
      <c r="BL31" s="3634"/>
      <c r="BM31" s="3634"/>
      <c r="BN31" s="1942"/>
      <c r="BO31" s="1942"/>
      <c r="BP31" s="3630"/>
    </row>
    <row r="32" spans="1:68" ht="15.75" thickBot="1">
      <c r="A32" s="3730"/>
      <c r="B32" s="1694" t="s">
        <v>34</v>
      </c>
      <c r="C32" s="3679"/>
      <c r="D32" s="1705">
        <f t="shared" ref="D32" si="5">SUM(E32:BK32)</f>
        <v>0</v>
      </c>
      <c r="E32" s="1706"/>
      <c r="F32" s="1707"/>
      <c r="G32" s="1708"/>
      <c r="H32" s="1709"/>
      <c r="I32" s="2924"/>
      <c r="J32" s="1766"/>
      <c r="K32" s="1767"/>
      <c r="L32" s="1768"/>
      <c r="M32" s="1769"/>
      <c r="N32" s="3178"/>
      <c r="O32" s="1768"/>
      <c r="P32" s="1770"/>
      <c r="Q32" s="3122"/>
      <c r="R32" s="1771"/>
      <c r="S32" s="1772"/>
      <c r="T32" s="1834"/>
      <c r="U32" s="2819"/>
      <c r="V32" s="3187"/>
      <c r="W32" s="2890"/>
      <c r="X32" s="1835"/>
      <c r="Y32" s="1836"/>
      <c r="Z32" s="3298"/>
      <c r="AA32" s="2728"/>
      <c r="AB32" s="2721"/>
      <c r="AC32" s="1837"/>
      <c r="AD32" s="1838"/>
      <c r="AE32" s="1839"/>
      <c r="AF32" s="1706"/>
      <c r="AG32" s="1707"/>
      <c r="AH32" s="1887"/>
      <c r="AI32" s="1888"/>
      <c r="AJ32" s="2935"/>
      <c r="AK32" s="1889"/>
      <c r="AL32" s="1890"/>
      <c r="AM32" s="1769"/>
      <c r="AN32" s="3167"/>
      <c r="AO32" s="1770"/>
      <c r="AP32" s="3122"/>
      <c r="AQ32" s="1891"/>
      <c r="AR32" s="1892"/>
      <c r="AS32" s="1891"/>
      <c r="AT32" s="1920"/>
      <c r="AU32" s="2866"/>
      <c r="AV32" s="3114"/>
      <c r="AW32" s="3290"/>
      <c r="AX32" s="3195"/>
      <c r="AY32" s="2882"/>
      <c r="AZ32" s="2874"/>
      <c r="BA32" s="2826"/>
      <c r="BB32" s="2728"/>
      <c r="BC32" s="2721"/>
      <c r="BD32" s="1921"/>
      <c r="BE32" s="1922"/>
      <c r="BF32" s="1923"/>
      <c r="BG32" s="1924"/>
      <c r="BH32" s="1947"/>
      <c r="BI32" s="1891"/>
      <c r="BJ32" s="1948"/>
      <c r="BK32" s="1924"/>
      <c r="BL32" s="3634"/>
      <c r="BM32" s="3634"/>
      <c r="BN32" s="1942"/>
      <c r="BO32" s="1942"/>
      <c r="BP32" s="3630"/>
    </row>
    <row r="33" spans="1:68" ht="15.75" thickBot="1">
      <c r="A33" s="3730"/>
      <c r="B33" s="1694" t="s">
        <v>34</v>
      </c>
      <c r="C33" s="3679"/>
      <c r="D33" s="1705">
        <f t="shared" ref="D33" si="6">SUM(E33:BK33)</f>
        <v>0</v>
      </c>
      <c r="E33" s="1706"/>
      <c r="F33" s="1707"/>
      <c r="G33" s="1708"/>
      <c r="H33" s="1709"/>
      <c r="I33" s="2924"/>
      <c r="J33" s="1766"/>
      <c r="K33" s="1767"/>
      <c r="L33" s="1768"/>
      <c r="M33" s="1769"/>
      <c r="N33" s="3178"/>
      <c r="O33" s="1768"/>
      <c r="P33" s="1770"/>
      <c r="Q33" s="3122"/>
      <c r="R33" s="1771"/>
      <c r="S33" s="1772"/>
      <c r="T33" s="1834"/>
      <c r="U33" s="2819"/>
      <c r="V33" s="3187"/>
      <c r="W33" s="2890"/>
      <c r="X33" s="1835"/>
      <c r="Y33" s="1836"/>
      <c r="Z33" s="3298"/>
      <c r="AA33" s="2728"/>
      <c r="AB33" s="2721"/>
      <c r="AC33" s="1837"/>
      <c r="AD33" s="1838"/>
      <c r="AE33" s="1839"/>
      <c r="AF33" s="1706"/>
      <c r="AG33" s="1707"/>
      <c r="AH33" s="1887"/>
      <c r="AI33" s="1888"/>
      <c r="AJ33" s="2935"/>
      <c r="AK33" s="1889"/>
      <c r="AL33" s="1890"/>
      <c r="AM33" s="1769"/>
      <c r="AN33" s="3167"/>
      <c r="AO33" s="1770"/>
      <c r="AP33" s="3122"/>
      <c r="AQ33" s="1891"/>
      <c r="AR33" s="1892"/>
      <c r="AS33" s="1891"/>
      <c r="AT33" s="1920"/>
      <c r="AU33" s="2866"/>
      <c r="AV33" s="3114"/>
      <c r="AW33" s="3290"/>
      <c r="AX33" s="3195"/>
      <c r="AY33" s="2882"/>
      <c r="AZ33" s="2874"/>
      <c r="BA33" s="2826"/>
      <c r="BB33" s="2728"/>
      <c r="BC33" s="2721"/>
      <c r="BD33" s="1921"/>
      <c r="BE33" s="1922"/>
      <c r="BF33" s="1923"/>
      <c r="BG33" s="1924"/>
      <c r="BH33" s="1947"/>
      <c r="BI33" s="1891"/>
      <c r="BJ33" s="1948"/>
      <c r="BK33" s="1924"/>
      <c r="BL33" s="3634"/>
      <c r="BM33" s="3634"/>
      <c r="BN33" s="1942"/>
      <c r="BO33" s="1942"/>
      <c r="BP33" s="3630"/>
    </row>
    <row r="34" spans="1:68" ht="15.75" thickBot="1">
      <c r="A34" s="3731"/>
      <c r="B34" s="1724" t="s">
        <v>32</v>
      </c>
      <c r="C34" s="3679"/>
      <c r="D34" s="1705">
        <f t="shared" si="0"/>
        <v>0</v>
      </c>
      <c r="E34" s="1696"/>
      <c r="F34" s="1725"/>
      <c r="G34" s="1698"/>
      <c r="H34" s="1699"/>
      <c r="I34" s="2925"/>
      <c r="J34" s="1752"/>
      <c r="K34" s="1753"/>
      <c r="L34" s="1754"/>
      <c r="M34" s="1755"/>
      <c r="N34" s="3179"/>
      <c r="O34" s="1754"/>
      <c r="P34" s="1775"/>
      <c r="Q34" s="3127"/>
      <c r="R34" s="1757"/>
      <c r="S34" s="1758"/>
      <c r="T34" s="1821"/>
      <c r="U34" s="2820"/>
      <c r="V34" s="3188"/>
      <c r="W34" s="2891"/>
      <c r="X34" s="1822"/>
      <c r="Y34" s="1823"/>
      <c r="Z34" s="3299"/>
      <c r="AA34" s="2729"/>
      <c r="AB34" s="2722"/>
      <c r="AC34" s="1824"/>
      <c r="AD34" s="1825"/>
      <c r="AE34" s="1826"/>
      <c r="AF34" s="1696"/>
      <c r="AG34" s="1697"/>
      <c r="AH34" s="1875"/>
      <c r="AI34" s="1895"/>
      <c r="AJ34" s="2939"/>
      <c r="AK34" s="1858"/>
      <c r="AL34" s="1896"/>
      <c r="AM34" s="1755"/>
      <c r="AN34" s="3168"/>
      <c r="AO34" s="1775"/>
      <c r="AP34" s="3127"/>
      <c r="AQ34" s="1879"/>
      <c r="AR34" s="1880"/>
      <c r="AS34" s="1879"/>
      <c r="AT34" s="1912"/>
      <c r="AU34" s="2867"/>
      <c r="AV34" s="3115"/>
      <c r="AW34" s="3291"/>
      <c r="AX34" s="3196"/>
      <c r="AY34" s="2883"/>
      <c r="AZ34" s="2875"/>
      <c r="BA34" s="2827"/>
      <c r="BB34" s="2729"/>
      <c r="BC34" s="2722"/>
      <c r="BD34" s="1913"/>
      <c r="BE34" s="1914"/>
      <c r="BF34" s="1866"/>
      <c r="BG34" s="1867"/>
      <c r="BH34" s="1943"/>
      <c r="BI34" s="1879"/>
      <c r="BJ34" s="1944"/>
      <c r="BK34" s="1867"/>
      <c r="BL34" s="3634"/>
      <c r="BM34" s="3634"/>
      <c r="BN34" s="1942"/>
      <c r="BO34" s="1942"/>
      <c r="BP34" s="3630"/>
    </row>
    <row r="35" spans="1:68" ht="15" customHeight="1" thickBot="1">
      <c r="A35" s="3725">
        <v>46127</v>
      </c>
      <c r="B35" s="1688" t="s">
        <v>32</v>
      </c>
      <c r="C35" s="3678">
        <f>SUM(D35:D38)</f>
        <v>211</v>
      </c>
      <c r="D35" s="1689">
        <f t="shared" si="0"/>
        <v>211</v>
      </c>
      <c r="E35" s="1690"/>
      <c r="F35" s="1727"/>
      <c r="G35" s="1692"/>
      <c r="H35" s="1693"/>
      <c r="I35" s="2923">
        <v>204</v>
      </c>
      <c r="J35" s="1745"/>
      <c r="K35" s="1746"/>
      <c r="L35" s="1747"/>
      <c r="M35" s="1748"/>
      <c r="N35" s="3177"/>
      <c r="O35" s="1747"/>
      <c r="P35" s="1774"/>
      <c r="Q35" s="3126"/>
      <c r="R35" s="1750"/>
      <c r="S35" s="1751"/>
      <c r="T35" s="1815"/>
      <c r="U35" s="2818"/>
      <c r="V35" s="3186"/>
      <c r="W35" s="2889"/>
      <c r="X35" s="1816"/>
      <c r="Y35" s="1817"/>
      <c r="Z35" s="3297"/>
      <c r="AA35" s="2727"/>
      <c r="AB35" s="2720"/>
      <c r="AC35" s="1818"/>
      <c r="AD35" s="1819"/>
      <c r="AE35" s="1820"/>
      <c r="AF35" s="1726"/>
      <c r="AG35" s="1691"/>
      <c r="AH35" s="1869"/>
      <c r="AI35" s="1893"/>
      <c r="AJ35" s="2938"/>
      <c r="AK35" s="1854"/>
      <c r="AL35" s="1894"/>
      <c r="AM35" s="1748"/>
      <c r="AN35" s="3166"/>
      <c r="AO35" s="1774"/>
      <c r="AP35" s="3126"/>
      <c r="AQ35" s="1873"/>
      <c r="AR35" s="1874"/>
      <c r="AS35" s="1873"/>
      <c r="AT35" s="1909"/>
      <c r="AU35" s="2865"/>
      <c r="AV35" s="3113"/>
      <c r="AW35" s="3289"/>
      <c r="AX35" s="3194"/>
      <c r="AY35" s="2881"/>
      <c r="AZ35" s="2873"/>
      <c r="BA35" s="2825"/>
      <c r="BB35" s="2727"/>
      <c r="BC35" s="2720"/>
      <c r="BD35" s="1910"/>
      <c r="BE35" s="1911"/>
      <c r="BF35" s="1864"/>
      <c r="BG35" s="1865"/>
      <c r="BH35" s="1726"/>
      <c r="BI35" s="1873">
        <v>7</v>
      </c>
      <c r="BJ35" s="1940"/>
      <c r="BK35" s="1865"/>
      <c r="BL35" s="3633">
        <f>SUM(E35:AE38)</f>
        <v>204</v>
      </c>
      <c r="BM35" s="3633">
        <f>SUM(E35:BG38)</f>
        <v>204</v>
      </c>
      <c r="BN35" s="1942">
        <v>502</v>
      </c>
      <c r="BO35" s="1942" t="s">
        <v>533</v>
      </c>
      <c r="BP35" s="3629" t="s">
        <v>33</v>
      </c>
    </row>
    <row r="36" spans="1:68" ht="15.75" thickBot="1">
      <c r="A36" s="3726"/>
      <c r="B36" s="1694" t="s">
        <v>34</v>
      </c>
      <c r="C36" s="3679"/>
      <c r="D36" s="1705">
        <f t="shared" si="0"/>
        <v>0</v>
      </c>
      <c r="E36" s="1706"/>
      <c r="F36" s="1707"/>
      <c r="G36" s="1708"/>
      <c r="H36" s="1709"/>
      <c r="I36" s="2924"/>
      <c r="J36" s="1766"/>
      <c r="K36" s="1767"/>
      <c r="L36" s="1768"/>
      <c r="M36" s="1769"/>
      <c r="N36" s="3178"/>
      <c r="O36" s="1768"/>
      <c r="P36" s="1770"/>
      <c r="Q36" s="3122"/>
      <c r="R36" s="1771"/>
      <c r="S36" s="1772"/>
      <c r="T36" s="1834"/>
      <c r="U36" s="2819"/>
      <c r="V36" s="3187"/>
      <c r="W36" s="2890"/>
      <c r="X36" s="1835"/>
      <c r="Y36" s="1836"/>
      <c r="Z36" s="3298"/>
      <c r="AA36" s="2728"/>
      <c r="AB36" s="2721"/>
      <c r="AC36" s="1837"/>
      <c r="AD36" s="1838"/>
      <c r="AE36" s="1839"/>
      <c r="AF36" s="1706"/>
      <c r="AG36" s="1707"/>
      <c r="AH36" s="1887"/>
      <c r="AI36" s="1888"/>
      <c r="AJ36" s="2935"/>
      <c r="AK36" s="1889"/>
      <c r="AL36" s="1890"/>
      <c r="AM36" s="1769"/>
      <c r="AN36" s="3167"/>
      <c r="AO36" s="1770"/>
      <c r="AP36" s="3122"/>
      <c r="AQ36" s="1891"/>
      <c r="AR36" s="1892"/>
      <c r="AS36" s="1891"/>
      <c r="AT36" s="1920"/>
      <c r="AU36" s="2866"/>
      <c r="AV36" s="3114"/>
      <c r="AW36" s="3290"/>
      <c r="AX36" s="3195"/>
      <c r="AY36" s="2882"/>
      <c r="AZ36" s="2874"/>
      <c r="BA36" s="2826"/>
      <c r="BB36" s="2728"/>
      <c r="BC36" s="2721"/>
      <c r="BD36" s="1921"/>
      <c r="BE36" s="1922"/>
      <c r="BF36" s="1923"/>
      <c r="BG36" s="1924"/>
      <c r="BH36" s="1947"/>
      <c r="BI36" s="1891"/>
      <c r="BJ36" s="1948"/>
      <c r="BK36" s="1924"/>
      <c r="BL36" s="3634"/>
      <c r="BM36" s="3634"/>
      <c r="BN36" s="1942"/>
      <c r="BO36" s="1942"/>
      <c r="BP36" s="3630"/>
    </row>
    <row r="37" spans="1:68" ht="15.75" thickBot="1">
      <c r="A37" s="3726"/>
      <c r="B37" s="1694" t="s">
        <v>34</v>
      </c>
      <c r="C37" s="3679"/>
      <c r="D37" s="1705">
        <f t="shared" si="0"/>
        <v>0</v>
      </c>
      <c r="E37" s="1706"/>
      <c r="F37" s="1707"/>
      <c r="G37" s="1708"/>
      <c r="H37" s="1709"/>
      <c r="I37" s="2924"/>
      <c r="J37" s="1766"/>
      <c r="K37" s="1767"/>
      <c r="L37" s="1768"/>
      <c r="M37" s="1769"/>
      <c r="N37" s="3178"/>
      <c r="O37" s="1768"/>
      <c r="P37" s="1770"/>
      <c r="Q37" s="3122"/>
      <c r="R37" s="1771"/>
      <c r="S37" s="1772"/>
      <c r="T37" s="1834"/>
      <c r="U37" s="2819"/>
      <c r="V37" s="3187"/>
      <c r="W37" s="2890"/>
      <c r="X37" s="1835"/>
      <c r="Y37" s="1836"/>
      <c r="Z37" s="3298"/>
      <c r="AA37" s="2728"/>
      <c r="AB37" s="2721"/>
      <c r="AC37" s="1837"/>
      <c r="AD37" s="1838"/>
      <c r="AE37" s="1839"/>
      <c r="AF37" s="1706"/>
      <c r="AG37" s="1707"/>
      <c r="AH37" s="1887"/>
      <c r="AI37" s="1888"/>
      <c r="AJ37" s="2935"/>
      <c r="AK37" s="1889"/>
      <c r="AL37" s="1890"/>
      <c r="AM37" s="1769"/>
      <c r="AN37" s="3167"/>
      <c r="AO37" s="1770"/>
      <c r="AP37" s="3122"/>
      <c r="AQ37" s="1891"/>
      <c r="AR37" s="1892"/>
      <c r="AS37" s="1891"/>
      <c r="AT37" s="1920"/>
      <c r="AU37" s="2866"/>
      <c r="AV37" s="3114"/>
      <c r="AW37" s="3290"/>
      <c r="AX37" s="3195"/>
      <c r="AY37" s="2882"/>
      <c r="AZ37" s="2874"/>
      <c r="BA37" s="2826"/>
      <c r="BB37" s="2728"/>
      <c r="BC37" s="2721"/>
      <c r="BD37" s="1921"/>
      <c r="BE37" s="1922"/>
      <c r="BF37" s="1923"/>
      <c r="BG37" s="1924"/>
      <c r="BH37" s="1947"/>
      <c r="BI37" s="1891"/>
      <c r="BJ37" s="1948"/>
      <c r="BK37" s="1924"/>
      <c r="BL37" s="3634"/>
      <c r="BM37" s="3634"/>
      <c r="BN37" s="1951"/>
      <c r="BO37" s="1942"/>
      <c r="BP37" s="3630"/>
    </row>
    <row r="38" spans="1:68" ht="15.75" customHeight="1" thickBot="1">
      <c r="A38" s="3727"/>
      <c r="B38" s="1728" t="s">
        <v>34</v>
      </c>
      <c r="C38" s="3681"/>
      <c r="D38" s="1705">
        <f t="shared" si="0"/>
        <v>0</v>
      </c>
      <c r="E38" s="1706"/>
      <c r="F38" s="1729"/>
      <c r="G38" s="1708"/>
      <c r="H38" s="1709"/>
      <c r="I38" s="2924"/>
      <c r="J38" s="1766"/>
      <c r="K38" s="1767"/>
      <c r="L38" s="1768"/>
      <c r="M38" s="1769"/>
      <c r="N38" s="3178"/>
      <c r="O38" s="1768"/>
      <c r="P38" s="1773"/>
      <c r="Q38" s="3125"/>
      <c r="R38" s="1771"/>
      <c r="S38" s="1772"/>
      <c r="T38" s="1834"/>
      <c r="U38" s="2819"/>
      <c r="V38" s="3187"/>
      <c r="W38" s="2890"/>
      <c r="X38" s="1835"/>
      <c r="Y38" s="1836"/>
      <c r="Z38" s="3298"/>
      <c r="AA38" s="2728"/>
      <c r="AB38" s="2721"/>
      <c r="AC38" s="1837"/>
      <c r="AD38" s="1838"/>
      <c r="AE38" s="1839"/>
      <c r="AF38" s="1706"/>
      <c r="AG38" s="1707"/>
      <c r="AH38" s="1887"/>
      <c r="AI38" s="1888"/>
      <c r="AJ38" s="2935"/>
      <c r="AK38" s="1889"/>
      <c r="AL38" s="1890"/>
      <c r="AM38" s="1769"/>
      <c r="AN38" s="3167"/>
      <c r="AO38" s="1773"/>
      <c r="AP38" s="3125"/>
      <c r="AQ38" s="1891"/>
      <c r="AR38" s="1892"/>
      <c r="AS38" s="1891"/>
      <c r="AT38" s="1920"/>
      <c r="AU38" s="2866"/>
      <c r="AV38" s="3114"/>
      <c r="AW38" s="3290"/>
      <c r="AX38" s="3195"/>
      <c r="AY38" s="2882"/>
      <c r="AZ38" s="2874"/>
      <c r="BA38" s="2826"/>
      <c r="BB38" s="2728"/>
      <c r="BC38" s="2721"/>
      <c r="BD38" s="1921"/>
      <c r="BE38" s="1922"/>
      <c r="BF38" s="1923"/>
      <c r="BG38" s="1924"/>
      <c r="BH38" s="1947"/>
      <c r="BI38" s="1891"/>
      <c r="BJ38" s="1948"/>
      <c r="BK38" s="1924"/>
      <c r="BL38" s="3635"/>
      <c r="BM38" s="3635"/>
      <c r="BN38" s="1951"/>
      <c r="BO38" s="1942"/>
      <c r="BP38" s="3631"/>
    </row>
    <row r="39" spans="1:68" ht="15.75" thickBot="1">
      <c r="A39" s="3723">
        <v>46128</v>
      </c>
      <c r="B39" s="1730" t="s">
        <v>32</v>
      </c>
      <c r="C39" s="3678">
        <f>SUM(D39:D42)</f>
        <v>206</v>
      </c>
      <c r="D39" s="1719">
        <f t="shared" si="0"/>
        <v>206</v>
      </c>
      <c r="E39" s="1726"/>
      <c r="F39" s="1727"/>
      <c r="G39" s="1692"/>
      <c r="H39" s="1713"/>
      <c r="I39" s="2929">
        <v>198</v>
      </c>
      <c r="J39" s="1782"/>
      <c r="K39" s="1746"/>
      <c r="L39" s="1747"/>
      <c r="M39" s="1748"/>
      <c r="N39" s="3177"/>
      <c r="O39" s="1747"/>
      <c r="P39" s="1774"/>
      <c r="Q39" s="3126"/>
      <c r="R39" s="1750"/>
      <c r="S39" s="1751"/>
      <c r="T39" s="1815"/>
      <c r="U39" s="2818"/>
      <c r="V39" s="3186"/>
      <c r="W39" s="2889"/>
      <c r="X39" s="1816"/>
      <c r="Y39" s="1817"/>
      <c r="Z39" s="3297"/>
      <c r="AA39" s="2733"/>
      <c r="AB39" s="2306"/>
      <c r="AC39" s="1852"/>
      <c r="AD39" s="1853"/>
      <c r="AE39" s="1854"/>
      <c r="AF39" s="1855"/>
      <c r="AG39" s="1691"/>
      <c r="AH39" s="1869"/>
      <c r="AI39" s="1893"/>
      <c r="AJ39" s="2938"/>
      <c r="AK39" s="1854"/>
      <c r="AL39" s="1894"/>
      <c r="AM39" s="1748"/>
      <c r="AN39" s="3166"/>
      <c r="AO39" s="1774"/>
      <c r="AP39" s="3126"/>
      <c r="AQ39" s="1873"/>
      <c r="AR39" s="1874"/>
      <c r="AS39" s="1873"/>
      <c r="AT39" s="1909"/>
      <c r="AU39" s="2865"/>
      <c r="AV39" s="3113"/>
      <c r="AW39" s="3289"/>
      <c r="AX39" s="3194"/>
      <c r="AY39" s="2881"/>
      <c r="AZ39" s="2873"/>
      <c r="BA39" s="2825"/>
      <c r="BB39" s="2733"/>
      <c r="BC39" s="2306"/>
      <c r="BD39" s="1910"/>
      <c r="BE39" s="1928"/>
      <c r="BF39" s="1853"/>
      <c r="BG39" s="1854"/>
      <c r="BH39" s="1855"/>
      <c r="BI39" s="1873">
        <v>8</v>
      </c>
      <c r="BJ39" s="1816"/>
      <c r="BK39" s="1865"/>
      <c r="BL39" s="3642">
        <f>SUM(E39:AE42)</f>
        <v>198</v>
      </c>
      <c r="BM39" s="3633">
        <f>SUM(E39:BG42)</f>
        <v>198</v>
      </c>
      <c r="BN39" s="1954">
        <v>502</v>
      </c>
      <c r="BO39" s="1942" t="s">
        <v>533</v>
      </c>
      <c r="BP39" s="3630" t="s">
        <v>33</v>
      </c>
    </row>
    <row r="40" spans="1:68" ht="15.75" thickBot="1">
      <c r="A40" s="3724"/>
      <c r="B40" s="1694" t="s">
        <v>34</v>
      </c>
      <c r="C40" s="3679"/>
      <c r="D40" s="1705">
        <f t="shared" si="0"/>
        <v>0</v>
      </c>
      <c r="E40" s="1706"/>
      <c r="F40" s="1707"/>
      <c r="G40" s="1708"/>
      <c r="H40" s="1709"/>
      <c r="I40" s="2924"/>
      <c r="J40" s="1766"/>
      <c r="K40" s="1767"/>
      <c r="L40" s="1768"/>
      <c r="M40" s="1769"/>
      <c r="N40" s="3178"/>
      <c r="O40" s="1768"/>
      <c r="P40" s="1770"/>
      <c r="Q40" s="3122"/>
      <c r="R40" s="1771"/>
      <c r="S40" s="1772"/>
      <c r="T40" s="1834"/>
      <c r="U40" s="2819"/>
      <c r="V40" s="3187"/>
      <c r="W40" s="2890"/>
      <c r="X40" s="1835"/>
      <c r="Y40" s="1836"/>
      <c r="Z40" s="3298"/>
      <c r="AA40" s="2728"/>
      <c r="AB40" s="2721"/>
      <c r="AC40" s="1837"/>
      <c r="AD40" s="1838"/>
      <c r="AE40" s="1839"/>
      <c r="AF40" s="1706"/>
      <c r="AG40" s="1707"/>
      <c r="AH40" s="1887"/>
      <c r="AI40" s="1888"/>
      <c r="AJ40" s="2935"/>
      <c r="AK40" s="1889"/>
      <c r="AL40" s="1890"/>
      <c r="AM40" s="1769"/>
      <c r="AN40" s="3167"/>
      <c r="AO40" s="1770"/>
      <c r="AP40" s="3122"/>
      <c r="AQ40" s="1891"/>
      <c r="AR40" s="1892"/>
      <c r="AS40" s="1891"/>
      <c r="AT40" s="1920"/>
      <c r="AU40" s="2866"/>
      <c r="AV40" s="3114"/>
      <c r="AW40" s="3290"/>
      <c r="AX40" s="3195"/>
      <c r="AY40" s="2882"/>
      <c r="AZ40" s="2874"/>
      <c r="BA40" s="2826"/>
      <c r="BB40" s="2728"/>
      <c r="BC40" s="2721"/>
      <c r="BD40" s="1921"/>
      <c r="BE40" s="1922"/>
      <c r="BF40" s="1923"/>
      <c r="BG40" s="1924"/>
      <c r="BH40" s="1947"/>
      <c r="BI40" s="1891"/>
      <c r="BJ40" s="1948"/>
      <c r="BK40" s="1924"/>
      <c r="BL40" s="3643"/>
      <c r="BM40" s="3634"/>
      <c r="BN40" s="1954"/>
      <c r="BO40" s="1942"/>
      <c r="BP40" s="3630"/>
    </row>
    <row r="41" spans="1:68" ht="15.75" thickBot="1">
      <c r="A41" s="3724"/>
      <c r="B41" s="1694" t="s">
        <v>34</v>
      </c>
      <c r="C41" s="3679"/>
      <c r="D41" s="1705">
        <f t="shared" si="0"/>
        <v>0</v>
      </c>
      <c r="E41" s="1706"/>
      <c r="F41" s="1707"/>
      <c r="G41" s="1708"/>
      <c r="H41" s="1709"/>
      <c r="I41" s="2924"/>
      <c r="J41" s="1766"/>
      <c r="K41" s="1767"/>
      <c r="L41" s="1768"/>
      <c r="M41" s="1769"/>
      <c r="N41" s="3178"/>
      <c r="O41" s="1768"/>
      <c r="P41" s="1770"/>
      <c r="Q41" s="3122"/>
      <c r="R41" s="1771"/>
      <c r="S41" s="1772"/>
      <c r="T41" s="1834"/>
      <c r="U41" s="2819"/>
      <c r="V41" s="3187"/>
      <c r="W41" s="2890"/>
      <c r="X41" s="1835"/>
      <c r="Y41" s="1836"/>
      <c r="Z41" s="3298"/>
      <c r="AA41" s="2728"/>
      <c r="AB41" s="2721"/>
      <c r="AC41" s="1837"/>
      <c r="AD41" s="1838"/>
      <c r="AE41" s="1839"/>
      <c r="AF41" s="1706"/>
      <c r="AG41" s="1707"/>
      <c r="AH41" s="1887"/>
      <c r="AI41" s="1888"/>
      <c r="AJ41" s="2935"/>
      <c r="AK41" s="1889"/>
      <c r="AL41" s="1890"/>
      <c r="AM41" s="1769"/>
      <c r="AN41" s="3167"/>
      <c r="AO41" s="1770"/>
      <c r="AP41" s="3122"/>
      <c r="AQ41" s="1891"/>
      <c r="AR41" s="1892"/>
      <c r="AS41" s="1891"/>
      <c r="AT41" s="1920"/>
      <c r="AU41" s="2866"/>
      <c r="AV41" s="3114"/>
      <c r="AW41" s="3290"/>
      <c r="AX41" s="3195"/>
      <c r="AY41" s="2882"/>
      <c r="AZ41" s="2874"/>
      <c r="BA41" s="2826"/>
      <c r="BB41" s="2728"/>
      <c r="BC41" s="2721"/>
      <c r="BD41" s="1921"/>
      <c r="BE41" s="1922"/>
      <c r="BF41" s="1923"/>
      <c r="BG41" s="1924"/>
      <c r="BH41" s="1947"/>
      <c r="BI41" s="1891"/>
      <c r="BJ41" s="1948"/>
      <c r="BK41" s="1924"/>
      <c r="BL41" s="3643"/>
      <c r="BM41" s="3634"/>
      <c r="BN41" s="1954"/>
      <c r="BO41" s="1953"/>
      <c r="BP41" s="3630"/>
    </row>
    <row r="42" spans="1:68" ht="15.75" thickBot="1">
      <c r="A42" s="3732"/>
      <c r="B42" s="1724" t="s">
        <v>34</v>
      </c>
      <c r="C42" s="3681"/>
      <c r="D42" s="1731">
        <f t="shared" si="0"/>
        <v>0</v>
      </c>
      <c r="E42" s="1696"/>
      <c r="F42" s="1725"/>
      <c r="G42" s="1698"/>
      <c r="H42" s="1732"/>
      <c r="I42" s="2932"/>
      <c r="J42" s="1800"/>
      <c r="K42" s="1753"/>
      <c r="L42" s="1754"/>
      <c r="M42" s="1755"/>
      <c r="N42" s="3179"/>
      <c r="O42" s="1754"/>
      <c r="P42" s="1775"/>
      <c r="Q42" s="3127"/>
      <c r="R42" s="1757"/>
      <c r="S42" s="1758"/>
      <c r="T42" s="1821"/>
      <c r="U42" s="2820"/>
      <c r="V42" s="3188"/>
      <c r="W42" s="2891"/>
      <c r="X42" s="1822"/>
      <c r="Y42" s="1823"/>
      <c r="Z42" s="3299"/>
      <c r="AA42" s="2734"/>
      <c r="AB42" s="2307"/>
      <c r="AC42" s="1856"/>
      <c r="AD42" s="1857"/>
      <c r="AE42" s="1858"/>
      <c r="AF42" s="1859"/>
      <c r="AG42" s="1697"/>
      <c r="AH42" s="1875"/>
      <c r="AI42" s="1895"/>
      <c r="AJ42" s="2939"/>
      <c r="AK42" s="1858"/>
      <c r="AL42" s="1896"/>
      <c r="AM42" s="1755"/>
      <c r="AN42" s="3168"/>
      <c r="AO42" s="1775"/>
      <c r="AP42" s="3127"/>
      <c r="AQ42" s="1879"/>
      <c r="AR42" s="1880"/>
      <c r="AS42" s="1879"/>
      <c r="AT42" s="1912"/>
      <c r="AU42" s="2867"/>
      <c r="AV42" s="3115"/>
      <c r="AW42" s="3291"/>
      <c r="AX42" s="3196"/>
      <c r="AY42" s="2883"/>
      <c r="AZ42" s="2875"/>
      <c r="BA42" s="2827"/>
      <c r="BB42" s="2734"/>
      <c r="BC42" s="2307"/>
      <c r="BD42" s="1913"/>
      <c r="BE42" s="1929"/>
      <c r="BF42" s="1857"/>
      <c r="BG42" s="1858"/>
      <c r="BH42" s="1859"/>
      <c r="BI42" s="1879"/>
      <c r="BJ42" s="1822"/>
      <c r="BK42" s="1867"/>
      <c r="BL42" s="3644"/>
      <c r="BM42" s="3635"/>
      <c r="BN42" s="1955"/>
      <c r="BO42" s="1953"/>
      <c r="BP42" s="3630"/>
    </row>
    <row r="43" spans="1:68" ht="15.75" thickBot="1">
      <c r="A43" s="3723">
        <v>46131</v>
      </c>
      <c r="B43" s="1688" t="s">
        <v>32</v>
      </c>
      <c r="C43" s="3678">
        <f>SUM(D43:D46)</f>
        <v>340</v>
      </c>
      <c r="D43" s="1689">
        <f t="shared" si="0"/>
        <v>340</v>
      </c>
      <c r="E43" s="1701"/>
      <c r="F43" s="1733"/>
      <c r="G43" s="1703"/>
      <c r="H43" s="1711"/>
      <c r="I43" s="2927">
        <f>12+324</f>
        <v>336</v>
      </c>
      <c r="J43" s="1776"/>
      <c r="K43" s="1760"/>
      <c r="L43" s="1761"/>
      <c r="M43" s="1762"/>
      <c r="N43" s="3180"/>
      <c r="O43" s="1761"/>
      <c r="P43" s="1801"/>
      <c r="Q43" s="3130"/>
      <c r="R43" s="1764"/>
      <c r="S43" s="1765"/>
      <c r="T43" s="1827"/>
      <c r="U43" s="2821"/>
      <c r="V43" s="3189"/>
      <c r="W43" s="2892"/>
      <c r="X43" s="1828"/>
      <c r="Y43" s="1829"/>
      <c r="Z43" s="3300"/>
      <c r="AA43" s="2730"/>
      <c r="AB43" s="2723"/>
      <c r="AC43" s="1830"/>
      <c r="AD43" s="1831"/>
      <c r="AE43" s="1832"/>
      <c r="AF43" s="1833"/>
      <c r="AG43" s="1702"/>
      <c r="AH43" s="1881"/>
      <c r="AI43" s="1882"/>
      <c r="AJ43" s="2937"/>
      <c r="AK43" s="1883"/>
      <c r="AL43" s="1884"/>
      <c r="AM43" s="1762"/>
      <c r="AN43" s="3169"/>
      <c r="AO43" s="1763"/>
      <c r="AP43" s="3124"/>
      <c r="AQ43" s="1885"/>
      <c r="AR43" s="1886"/>
      <c r="AS43" s="1885"/>
      <c r="AT43" s="1915"/>
      <c r="AU43" s="2868"/>
      <c r="AV43" s="3116"/>
      <c r="AW43" s="3292"/>
      <c r="AX43" s="3197"/>
      <c r="AY43" s="2884"/>
      <c r="AZ43" s="2876"/>
      <c r="BA43" s="2828"/>
      <c r="BB43" s="2730"/>
      <c r="BC43" s="2723"/>
      <c r="BD43" s="1916"/>
      <c r="BE43" s="1917"/>
      <c r="BF43" s="1918"/>
      <c r="BG43" s="1919"/>
      <c r="BH43" s="1833"/>
      <c r="BI43" s="1885">
        <v>4</v>
      </c>
      <c r="BJ43" s="1946"/>
      <c r="BK43" s="1919"/>
      <c r="BL43" s="3633">
        <f>SUM(E43:AE46)</f>
        <v>336</v>
      </c>
      <c r="BM43" s="3633">
        <f>SUM(E43:BG46)</f>
        <v>336</v>
      </c>
      <c r="BN43" s="1955">
        <v>502</v>
      </c>
      <c r="BO43" s="1942" t="s">
        <v>650</v>
      </c>
      <c r="BP43" s="3629" t="s">
        <v>33</v>
      </c>
    </row>
    <row r="44" spans="1:68" ht="15.75" thickBot="1">
      <c r="A44" s="3724"/>
      <c r="B44" s="1694" t="s">
        <v>34</v>
      </c>
      <c r="C44" s="3679"/>
      <c r="D44" s="1705">
        <f t="shared" ref="D44" si="7">SUM(E44:BK44)</f>
        <v>0</v>
      </c>
      <c r="E44" s="1706"/>
      <c r="F44" s="1707"/>
      <c r="G44" s="1708"/>
      <c r="H44" s="1709"/>
      <c r="I44" s="2924"/>
      <c r="J44" s="1766"/>
      <c r="K44" s="1767"/>
      <c r="L44" s="1768"/>
      <c r="M44" s="1769"/>
      <c r="N44" s="3178"/>
      <c r="O44" s="1768"/>
      <c r="P44" s="1770"/>
      <c r="Q44" s="3122"/>
      <c r="R44" s="1771"/>
      <c r="S44" s="1772"/>
      <c r="T44" s="1834"/>
      <c r="U44" s="2819"/>
      <c r="V44" s="3187"/>
      <c r="W44" s="2890"/>
      <c r="X44" s="1835"/>
      <c r="Y44" s="1836"/>
      <c r="Z44" s="3298"/>
      <c r="AA44" s="2728"/>
      <c r="AB44" s="2721"/>
      <c r="AC44" s="1837"/>
      <c r="AD44" s="1838"/>
      <c r="AE44" s="1839"/>
      <c r="AF44" s="1706"/>
      <c r="AG44" s="1707"/>
      <c r="AH44" s="1887"/>
      <c r="AI44" s="1888"/>
      <c r="AJ44" s="2935"/>
      <c r="AK44" s="1889"/>
      <c r="AL44" s="1890"/>
      <c r="AM44" s="1769"/>
      <c r="AN44" s="3167"/>
      <c r="AO44" s="1770"/>
      <c r="AP44" s="3122"/>
      <c r="AQ44" s="1891"/>
      <c r="AR44" s="1892"/>
      <c r="AS44" s="1891"/>
      <c r="AT44" s="1920"/>
      <c r="AU44" s="2866"/>
      <c r="AV44" s="3114"/>
      <c r="AW44" s="3290"/>
      <c r="AX44" s="3195"/>
      <c r="AY44" s="2882"/>
      <c r="AZ44" s="2874"/>
      <c r="BA44" s="2826"/>
      <c r="BB44" s="2728"/>
      <c r="BC44" s="2721"/>
      <c r="BD44" s="1921"/>
      <c r="BE44" s="1922"/>
      <c r="BF44" s="1923"/>
      <c r="BG44" s="1924"/>
      <c r="BH44" s="1947"/>
      <c r="BI44" s="1891"/>
      <c r="BJ44" s="1948"/>
      <c r="BK44" s="1924"/>
      <c r="BL44" s="3634"/>
      <c r="BM44" s="3634"/>
      <c r="BN44" s="1945"/>
      <c r="BO44" s="1942"/>
      <c r="BP44" s="3630"/>
    </row>
    <row r="45" spans="1:68" ht="15.75" thickBot="1">
      <c r="A45" s="3724"/>
      <c r="B45" s="1694" t="s">
        <v>34</v>
      </c>
      <c r="C45" s="3679"/>
      <c r="D45" s="1705">
        <f t="shared" ref="D45" si="8">SUM(E45:BK45)</f>
        <v>0</v>
      </c>
      <c r="E45" s="1706"/>
      <c r="F45" s="1707"/>
      <c r="G45" s="1708"/>
      <c r="H45" s="1709"/>
      <c r="I45" s="2924"/>
      <c r="J45" s="1766"/>
      <c r="K45" s="1767"/>
      <c r="L45" s="1768"/>
      <c r="M45" s="1769"/>
      <c r="N45" s="3178"/>
      <c r="O45" s="1768"/>
      <c r="P45" s="1770"/>
      <c r="Q45" s="3122"/>
      <c r="R45" s="1771"/>
      <c r="S45" s="1772"/>
      <c r="T45" s="1834"/>
      <c r="U45" s="2819"/>
      <c r="V45" s="3187"/>
      <c r="W45" s="2890"/>
      <c r="X45" s="1835"/>
      <c r="Y45" s="1836"/>
      <c r="Z45" s="3298"/>
      <c r="AA45" s="2728"/>
      <c r="AB45" s="2721"/>
      <c r="AC45" s="1837"/>
      <c r="AD45" s="1838"/>
      <c r="AE45" s="1839"/>
      <c r="AF45" s="1706"/>
      <c r="AG45" s="1707"/>
      <c r="AH45" s="1887"/>
      <c r="AI45" s="1888"/>
      <c r="AJ45" s="2935"/>
      <c r="AK45" s="1889"/>
      <c r="AL45" s="1890"/>
      <c r="AM45" s="1769"/>
      <c r="AN45" s="3167"/>
      <c r="AO45" s="1770"/>
      <c r="AP45" s="3122"/>
      <c r="AQ45" s="1891"/>
      <c r="AR45" s="1892"/>
      <c r="AS45" s="1891"/>
      <c r="AT45" s="1920"/>
      <c r="AU45" s="2866"/>
      <c r="AV45" s="3114"/>
      <c r="AW45" s="3290"/>
      <c r="AX45" s="3195"/>
      <c r="AY45" s="2882"/>
      <c r="AZ45" s="2874"/>
      <c r="BA45" s="2826"/>
      <c r="BB45" s="2728"/>
      <c r="BC45" s="2721"/>
      <c r="BD45" s="1921"/>
      <c r="BE45" s="1922"/>
      <c r="BF45" s="1923"/>
      <c r="BG45" s="1924"/>
      <c r="BH45" s="1947"/>
      <c r="BI45" s="1891"/>
      <c r="BJ45" s="1948"/>
      <c r="BK45" s="1924"/>
      <c r="BL45" s="3634"/>
      <c r="BM45" s="3634"/>
      <c r="BN45" s="1945"/>
      <c r="BO45" s="1952"/>
      <c r="BP45" s="3630"/>
    </row>
    <row r="46" spans="1:68" ht="15.75" thickBot="1">
      <c r="A46" s="3724"/>
      <c r="B46" s="1694" t="s">
        <v>34</v>
      </c>
      <c r="C46" s="3679"/>
      <c r="D46" s="1734">
        <f t="shared" si="0"/>
        <v>0</v>
      </c>
      <c r="E46" s="1735"/>
      <c r="F46" s="1736"/>
      <c r="G46" s="1717"/>
      <c r="H46" s="1718"/>
      <c r="I46" s="2930"/>
      <c r="J46" s="1785"/>
      <c r="K46" s="1802"/>
      <c r="L46" s="1803"/>
      <c r="M46" s="1804"/>
      <c r="N46" s="3181"/>
      <c r="O46" s="1803"/>
      <c r="P46" s="1805"/>
      <c r="Q46" s="3131"/>
      <c r="R46" s="1789"/>
      <c r="S46" s="1790"/>
      <c r="T46" s="1840"/>
      <c r="U46" s="2822"/>
      <c r="V46" s="3190"/>
      <c r="W46" s="2893"/>
      <c r="X46" s="1841"/>
      <c r="Y46" s="1842"/>
      <c r="Z46" s="3301"/>
      <c r="AA46" s="2731"/>
      <c r="AB46" s="2724"/>
      <c r="AC46" s="1843"/>
      <c r="AD46" s="1860"/>
      <c r="AE46" s="1861"/>
      <c r="AF46" s="1715"/>
      <c r="AG46" s="1716"/>
      <c r="AH46" s="1897"/>
      <c r="AI46" s="1898"/>
      <c r="AJ46" s="2940"/>
      <c r="AK46" s="1899"/>
      <c r="AL46" s="1900"/>
      <c r="AM46" s="1804"/>
      <c r="AN46" s="3175"/>
      <c r="AO46" s="1788"/>
      <c r="AP46" s="3128"/>
      <c r="AQ46" s="1901"/>
      <c r="AR46" s="1902"/>
      <c r="AS46" s="1901"/>
      <c r="AT46" s="1925"/>
      <c r="AU46" s="2869"/>
      <c r="AV46" s="3117"/>
      <c r="AW46" s="3293"/>
      <c r="AX46" s="3198"/>
      <c r="AY46" s="2885"/>
      <c r="AZ46" s="2877"/>
      <c r="BA46" s="2829"/>
      <c r="BB46" s="2731"/>
      <c r="BC46" s="2724"/>
      <c r="BD46" s="1926"/>
      <c r="BE46" s="1927"/>
      <c r="BF46" s="1844"/>
      <c r="BG46" s="1845"/>
      <c r="BH46" s="1715"/>
      <c r="BI46" s="1901"/>
      <c r="BJ46" s="1949"/>
      <c r="BK46" s="1845"/>
      <c r="BL46" s="3634"/>
      <c r="BM46" s="3634"/>
      <c r="BN46" s="1955"/>
      <c r="BO46" s="1939"/>
      <c r="BP46" s="3631"/>
    </row>
    <row r="47" spans="1:68" ht="15.75" thickBot="1">
      <c r="A47" s="3723">
        <v>46132</v>
      </c>
      <c r="B47" s="1738" t="s">
        <v>32</v>
      </c>
      <c r="C47" s="3678">
        <f>SUM(D47:D50)</f>
        <v>386</v>
      </c>
      <c r="D47" s="1689">
        <f t="shared" ref="D47:D50" si="9">SUM(E47:BK47)</f>
        <v>386</v>
      </c>
      <c r="E47" s="1690"/>
      <c r="F47" s="1691"/>
      <c r="G47" s="1692"/>
      <c r="H47" s="1693"/>
      <c r="I47" s="2923">
        <v>372</v>
      </c>
      <c r="J47" s="1745"/>
      <c r="K47" s="1746"/>
      <c r="L47" s="1747"/>
      <c r="M47" s="1748"/>
      <c r="N47" s="3177"/>
      <c r="O47" s="1747"/>
      <c r="P47" s="1749"/>
      <c r="Q47" s="3121"/>
      <c r="R47" s="1750"/>
      <c r="S47" s="1751"/>
      <c r="T47" s="1815"/>
      <c r="U47" s="2818"/>
      <c r="V47" s="3186"/>
      <c r="W47" s="2889"/>
      <c r="X47" s="1816"/>
      <c r="Y47" s="1817"/>
      <c r="Z47" s="3297"/>
      <c r="AA47" s="2727"/>
      <c r="AB47" s="2720"/>
      <c r="AC47" s="1818"/>
      <c r="AD47" s="1819"/>
      <c r="AE47" s="1820"/>
      <c r="AF47" s="1726"/>
      <c r="AG47" s="1691"/>
      <c r="AH47" s="1869"/>
      <c r="AI47" s="1893"/>
      <c r="AJ47" s="2938"/>
      <c r="AK47" s="1854"/>
      <c r="AL47" s="1894"/>
      <c r="AM47" s="1748"/>
      <c r="AN47" s="3166"/>
      <c r="AO47" s="1749"/>
      <c r="AP47" s="3121"/>
      <c r="AQ47" s="1873"/>
      <c r="AR47" s="1874"/>
      <c r="AS47" s="1873"/>
      <c r="AT47" s="1909"/>
      <c r="AU47" s="2865"/>
      <c r="AV47" s="3113"/>
      <c r="AW47" s="3289"/>
      <c r="AX47" s="3194"/>
      <c r="AY47" s="2881"/>
      <c r="AZ47" s="2873"/>
      <c r="BA47" s="2825"/>
      <c r="BB47" s="2727"/>
      <c r="BC47" s="2720"/>
      <c r="BD47" s="1910"/>
      <c r="BE47" s="1911"/>
      <c r="BF47" s="1864"/>
      <c r="BG47" s="1865"/>
      <c r="BH47" s="1726"/>
      <c r="BI47" s="1873">
        <v>14</v>
      </c>
      <c r="BJ47" s="1940"/>
      <c r="BK47" s="1865"/>
      <c r="BL47" s="3633">
        <f>SUM(E47:AE50)</f>
        <v>372</v>
      </c>
      <c r="BM47" s="3633">
        <f>SUM(E47:BG50)</f>
        <v>372</v>
      </c>
      <c r="BN47" s="1942">
        <v>502</v>
      </c>
      <c r="BO47" s="1952" t="s">
        <v>652</v>
      </c>
      <c r="BP47" s="3629" t="s">
        <v>33</v>
      </c>
    </row>
    <row r="48" spans="1:68" ht="15.75" thickBot="1">
      <c r="A48" s="3724"/>
      <c r="B48" s="1694" t="s">
        <v>34</v>
      </c>
      <c r="C48" s="3679"/>
      <c r="D48" s="1705">
        <f t="shared" si="9"/>
        <v>0</v>
      </c>
      <c r="E48" s="1706"/>
      <c r="F48" s="1707"/>
      <c r="G48" s="1708"/>
      <c r="H48" s="1709"/>
      <c r="I48" s="2924"/>
      <c r="J48" s="1766"/>
      <c r="K48" s="1767"/>
      <c r="L48" s="1768"/>
      <c r="M48" s="1769"/>
      <c r="N48" s="3178"/>
      <c r="O48" s="1768"/>
      <c r="P48" s="1770"/>
      <c r="Q48" s="3122"/>
      <c r="R48" s="1771"/>
      <c r="S48" s="1772"/>
      <c r="T48" s="1834"/>
      <c r="U48" s="2819"/>
      <c r="V48" s="3187"/>
      <c r="W48" s="2890"/>
      <c r="X48" s="1835"/>
      <c r="Y48" s="1836"/>
      <c r="Z48" s="3298"/>
      <c r="AA48" s="2728"/>
      <c r="AB48" s="2721"/>
      <c r="AC48" s="1837"/>
      <c r="AD48" s="1838"/>
      <c r="AE48" s="1839"/>
      <c r="AF48" s="1706"/>
      <c r="AG48" s="1707"/>
      <c r="AH48" s="1887"/>
      <c r="AI48" s="1888"/>
      <c r="AJ48" s="2935"/>
      <c r="AK48" s="1889"/>
      <c r="AL48" s="1890"/>
      <c r="AM48" s="1769"/>
      <c r="AN48" s="3167"/>
      <c r="AO48" s="1770"/>
      <c r="AP48" s="3122"/>
      <c r="AQ48" s="1891"/>
      <c r="AR48" s="1892"/>
      <c r="AS48" s="1891"/>
      <c r="AT48" s="1920"/>
      <c r="AU48" s="2866"/>
      <c r="AV48" s="3114"/>
      <c r="AW48" s="3290"/>
      <c r="AX48" s="3195"/>
      <c r="AY48" s="2882"/>
      <c r="AZ48" s="2874"/>
      <c r="BA48" s="2826"/>
      <c r="BB48" s="2728"/>
      <c r="BC48" s="2721"/>
      <c r="BD48" s="1921"/>
      <c r="BE48" s="1922"/>
      <c r="BF48" s="1923"/>
      <c r="BG48" s="1924"/>
      <c r="BH48" s="1947"/>
      <c r="BI48" s="1891"/>
      <c r="BJ48" s="1948"/>
      <c r="BK48" s="1924"/>
      <c r="BL48" s="3634"/>
      <c r="BM48" s="3634"/>
      <c r="BN48" s="1942"/>
      <c r="BO48" s="1952"/>
      <c r="BP48" s="3630"/>
    </row>
    <row r="49" spans="1:68" ht="15.75" thickBot="1">
      <c r="A49" s="3724"/>
      <c r="B49" s="1694" t="s">
        <v>34</v>
      </c>
      <c r="C49" s="3679"/>
      <c r="D49" s="1705">
        <f t="shared" si="9"/>
        <v>0</v>
      </c>
      <c r="E49" s="1706"/>
      <c r="F49" s="1707"/>
      <c r="G49" s="1708"/>
      <c r="H49" s="1709"/>
      <c r="I49" s="2924"/>
      <c r="J49" s="1766"/>
      <c r="K49" s="1767"/>
      <c r="L49" s="1768"/>
      <c r="M49" s="1769"/>
      <c r="N49" s="3178"/>
      <c r="O49" s="1768"/>
      <c r="P49" s="1770"/>
      <c r="Q49" s="3122"/>
      <c r="R49" s="1771"/>
      <c r="S49" s="1772"/>
      <c r="T49" s="1834"/>
      <c r="U49" s="2819"/>
      <c r="V49" s="3187"/>
      <c r="W49" s="2890"/>
      <c r="X49" s="1835"/>
      <c r="Y49" s="1836"/>
      <c r="Z49" s="3298"/>
      <c r="AA49" s="2728"/>
      <c r="AB49" s="2721"/>
      <c r="AC49" s="1837"/>
      <c r="AD49" s="1838"/>
      <c r="AE49" s="1839"/>
      <c r="AF49" s="1706"/>
      <c r="AG49" s="1707"/>
      <c r="AH49" s="1887"/>
      <c r="AI49" s="1888"/>
      <c r="AJ49" s="2935"/>
      <c r="AK49" s="1889"/>
      <c r="AL49" s="1890"/>
      <c r="AM49" s="1769"/>
      <c r="AN49" s="3167"/>
      <c r="AO49" s="1770"/>
      <c r="AP49" s="3122"/>
      <c r="AQ49" s="1891"/>
      <c r="AR49" s="1892"/>
      <c r="AS49" s="1891"/>
      <c r="AT49" s="1920"/>
      <c r="AU49" s="2866"/>
      <c r="AV49" s="3114"/>
      <c r="AW49" s="3290"/>
      <c r="AX49" s="3195"/>
      <c r="AY49" s="2882"/>
      <c r="AZ49" s="2874"/>
      <c r="BA49" s="2826"/>
      <c r="BB49" s="2728"/>
      <c r="BC49" s="2721"/>
      <c r="BD49" s="1921"/>
      <c r="BE49" s="1922"/>
      <c r="BF49" s="1923"/>
      <c r="BG49" s="1924"/>
      <c r="BH49" s="1947"/>
      <c r="BI49" s="1891"/>
      <c r="BJ49" s="1948"/>
      <c r="BK49" s="1924"/>
      <c r="BL49" s="3634"/>
      <c r="BM49" s="3634"/>
      <c r="BN49" s="1942"/>
      <c r="BO49" s="1952"/>
      <c r="BP49" s="3630"/>
    </row>
    <row r="50" spans="1:68" ht="15.75" thickBot="1">
      <c r="A50" s="3724"/>
      <c r="B50" s="1694" t="s">
        <v>34</v>
      </c>
      <c r="C50" s="3681"/>
      <c r="D50" s="1705">
        <f t="shared" si="9"/>
        <v>0</v>
      </c>
      <c r="E50" s="1706"/>
      <c r="F50" s="1707"/>
      <c r="G50" s="1708"/>
      <c r="H50" s="1709"/>
      <c r="I50" s="2924"/>
      <c r="J50" s="1766"/>
      <c r="K50" s="1767"/>
      <c r="L50" s="1768"/>
      <c r="M50" s="1769"/>
      <c r="N50" s="3178"/>
      <c r="O50" s="1768"/>
      <c r="P50" s="1770"/>
      <c r="Q50" s="3122"/>
      <c r="R50" s="1771"/>
      <c r="S50" s="1772"/>
      <c r="T50" s="1834"/>
      <c r="U50" s="2819"/>
      <c r="V50" s="3187"/>
      <c r="W50" s="2890"/>
      <c r="X50" s="1835"/>
      <c r="Y50" s="1836"/>
      <c r="Z50" s="3298"/>
      <c r="AA50" s="2728"/>
      <c r="AB50" s="2721"/>
      <c r="AC50" s="1837"/>
      <c r="AD50" s="1838"/>
      <c r="AE50" s="1839"/>
      <c r="AF50" s="1706"/>
      <c r="AG50" s="1707"/>
      <c r="AH50" s="1887"/>
      <c r="AI50" s="1888"/>
      <c r="AJ50" s="2935"/>
      <c r="AK50" s="1889"/>
      <c r="AL50" s="1890"/>
      <c r="AM50" s="1769"/>
      <c r="AN50" s="3167"/>
      <c r="AO50" s="1770"/>
      <c r="AP50" s="3122"/>
      <c r="AQ50" s="1891"/>
      <c r="AR50" s="1892"/>
      <c r="AS50" s="1891"/>
      <c r="AT50" s="1920"/>
      <c r="AU50" s="2866"/>
      <c r="AV50" s="3114"/>
      <c r="AW50" s="3290"/>
      <c r="AX50" s="3195"/>
      <c r="AY50" s="2882"/>
      <c r="AZ50" s="2874"/>
      <c r="BA50" s="2826"/>
      <c r="BB50" s="2728"/>
      <c r="BC50" s="2721"/>
      <c r="BD50" s="1921"/>
      <c r="BE50" s="1922"/>
      <c r="BF50" s="1923"/>
      <c r="BG50" s="1924"/>
      <c r="BH50" s="1947"/>
      <c r="BI50" s="1891"/>
      <c r="BJ50" s="1948"/>
      <c r="BK50" s="1924"/>
      <c r="BL50" s="3635"/>
      <c r="BM50" s="3635"/>
      <c r="BN50" s="1942"/>
      <c r="BO50" s="1945"/>
      <c r="BP50" s="3631"/>
    </row>
    <row r="51" spans="1:68" ht="15" customHeight="1" thickBot="1">
      <c r="A51" s="3723">
        <v>46133</v>
      </c>
      <c r="B51" s="1688" t="s">
        <v>32</v>
      </c>
      <c r="C51" s="3711">
        <f>SUM(D51:D54)</f>
        <v>446</v>
      </c>
      <c r="D51" s="1719">
        <f t="shared" si="0"/>
        <v>446</v>
      </c>
      <c r="E51" s="1737"/>
      <c r="F51" s="1727"/>
      <c r="G51" s="1692"/>
      <c r="H51" s="1713"/>
      <c r="I51" s="2929">
        <v>444</v>
      </c>
      <c r="J51" s="1782"/>
      <c r="K51" s="1783"/>
      <c r="L51" s="1747"/>
      <c r="M51" s="1692"/>
      <c r="N51" s="3177"/>
      <c r="O51" s="1806"/>
      <c r="P51" s="1807"/>
      <c r="Q51" s="3132"/>
      <c r="R51" s="1750"/>
      <c r="S51" s="1751"/>
      <c r="T51" s="1862"/>
      <c r="U51" s="3111"/>
      <c r="V51" s="3192"/>
      <c r="W51" s="2889"/>
      <c r="X51" s="1863"/>
      <c r="Y51" s="1817"/>
      <c r="Z51" s="3297"/>
      <c r="AA51" s="2727"/>
      <c r="AB51" s="2720"/>
      <c r="AC51" s="1818"/>
      <c r="AD51" s="1864"/>
      <c r="AE51" s="1865"/>
      <c r="AF51" s="1737"/>
      <c r="AG51" s="1727"/>
      <c r="AH51" s="1869"/>
      <c r="AI51" s="1904"/>
      <c r="AJ51" s="2941"/>
      <c r="AK51" s="1905"/>
      <c r="AL51" s="1894"/>
      <c r="AM51" s="1906"/>
      <c r="AN51" s="3176"/>
      <c r="AO51" s="1907"/>
      <c r="AP51" s="3134"/>
      <c r="AQ51" s="1908"/>
      <c r="AR51" s="1874"/>
      <c r="AS51" s="1908"/>
      <c r="AT51" s="1909"/>
      <c r="AU51" s="2871"/>
      <c r="AV51" s="3119"/>
      <c r="AW51" s="3295"/>
      <c r="AX51" s="3200"/>
      <c r="AY51" s="2887"/>
      <c r="AZ51" s="2879"/>
      <c r="BA51" s="2831"/>
      <c r="BB51" s="2727"/>
      <c r="BC51" s="2720"/>
      <c r="BD51" s="1930"/>
      <c r="BE51" s="1931"/>
      <c r="BF51" s="1864"/>
      <c r="BG51" s="1865"/>
      <c r="BH51" s="1690"/>
      <c r="BI51" s="1873">
        <v>2</v>
      </c>
      <c r="BJ51" s="1863"/>
      <c r="BK51" s="1956"/>
      <c r="BL51" s="3642">
        <f>SUM(E51:AE54)</f>
        <v>444</v>
      </c>
      <c r="BM51" s="3633">
        <f>SUM(E51:BG54)</f>
        <v>444</v>
      </c>
      <c r="BN51" s="1942">
        <v>502</v>
      </c>
      <c r="BO51" s="1939" t="s">
        <v>482</v>
      </c>
      <c r="BP51" s="3629" t="s">
        <v>33</v>
      </c>
    </row>
    <row r="52" spans="1:68" ht="15.75" thickBot="1">
      <c r="A52" s="3724"/>
      <c r="B52" s="1694" t="s">
        <v>34</v>
      </c>
      <c r="C52" s="3712"/>
      <c r="D52" s="1705">
        <f t="shared" si="0"/>
        <v>0</v>
      </c>
      <c r="E52" s="1706"/>
      <c r="F52" s="1707"/>
      <c r="G52" s="1708"/>
      <c r="H52" s="1709"/>
      <c r="I52" s="2924"/>
      <c r="J52" s="1766"/>
      <c r="K52" s="1767"/>
      <c r="L52" s="1768"/>
      <c r="M52" s="1769"/>
      <c r="N52" s="3178"/>
      <c r="O52" s="1768"/>
      <c r="P52" s="1770"/>
      <c r="Q52" s="3122"/>
      <c r="R52" s="1771"/>
      <c r="S52" s="1772"/>
      <c r="T52" s="1834"/>
      <c r="U52" s="2819"/>
      <c r="V52" s="3187"/>
      <c r="W52" s="2890"/>
      <c r="X52" s="1835"/>
      <c r="Y52" s="1836"/>
      <c r="Z52" s="3298"/>
      <c r="AA52" s="2728"/>
      <c r="AB52" s="2721"/>
      <c r="AC52" s="1837"/>
      <c r="AD52" s="1838"/>
      <c r="AE52" s="1839"/>
      <c r="AF52" s="1706"/>
      <c r="AG52" s="1707"/>
      <c r="AH52" s="1887"/>
      <c r="AI52" s="1888"/>
      <c r="AJ52" s="2935"/>
      <c r="AK52" s="1889"/>
      <c r="AL52" s="1890"/>
      <c r="AM52" s="1769"/>
      <c r="AN52" s="3167"/>
      <c r="AO52" s="1770"/>
      <c r="AP52" s="3122"/>
      <c r="AQ52" s="1891"/>
      <c r="AR52" s="1892"/>
      <c r="AS52" s="1891"/>
      <c r="AT52" s="1920"/>
      <c r="AU52" s="2866"/>
      <c r="AV52" s="3114"/>
      <c r="AW52" s="3290"/>
      <c r="AX52" s="3195"/>
      <c r="AY52" s="2882"/>
      <c r="AZ52" s="2874"/>
      <c r="BA52" s="2826"/>
      <c r="BB52" s="2728"/>
      <c r="BC52" s="2721"/>
      <c r="BD52" s="1921"/>
      <c r="BE52" s="1922"/>
      <c r="BF52" s="1923"/>
      <c r="BG52" s="1924"/>
      <c r="BH52" s="1947"/>
      <c r="BI52" s="1891"/>
      <c r="BJ52" s="3372"/>
      <c r="BK52" s="1924"/>
      <c r="BL52" s="3643"/>
      <c r="BM52" s="3634"/>
      <c r="BN52" s="1945"/>
      <c r="BO52" s="1939"/>
      <c r="BP52" s="3630"/>
    </row>
    <row r="53" spans="1:68" ht="15.75" thickBot="1">
      <c r="A53" s="3724"/>
      <c r="B53" s="1694" t="s">
        <v>34</v>
      </c>
      <c r="C53" s="3712"/>
      <c r="D53" s="1705">
        <f t="shared" ref="D53" si="10">SUM(E53:BK53)</f>
        <v>0</v>
      </c>
      <c r="E53" s="1706"/>
      <c r="F53" s="1707"/>
      <c r="G53" s="1708"/>
      <c r="H53" s="1709"/>
      <c r="I53" s="2924"/>
      <c r="J53" s="1766"/>
      <c r="K53" s="1767"/>
      <c r="L53" s="1768"/>
      <c r="M53" s="1769"/>
      <c r="N53" s="3178"/>
      <c r="O53" s="1768"/>
      <c r="P53" s="1770"/>
      <c r="Q53" s="3122"/>
      <c r="R53" s="1771"/>
      <c r="S53" s="1772"/>
      <c r="T53" s="1834"/>
      <c r="U53" s="2819"/>
      <c r="V53" s="3187"/>
      <c r="W53" s="2890"/>
      <c r="X53" s="1835"/>
      <c r="Y53" s="1836"/>
      <c r="Z53" s="3298"/>
      <c r="AA53" s="2728"/>
      <c r="AB53" s="2721"/>
      <c r="AC53" s="1837"/>
      <c r="AD53" s="1838"/>
      <c r="AE53" s="1839"/>
      <c r="AF53" s="1706"/>
      <c r="AG53" s="1707"/>
      <c r="AH53" s="1887"/>
      <c r="AI53" s="1888"/>
      <c r="AJ53" s="2935"/>
      <c r="AK53" s="1889"/>
      <c r="AL53" s="1890"/>
      <c r="AM53" s="1769"/>
      <c r="AN53" s="3167"/>
      <c r="AO53" s="1770"/>
      <c r="AP53" s="3122"/>
      <c r="AQ53" s="1891"/>
      <c r="AR53" s="1892"/>
      <c r="AS53" s="1891"/>
      <c r="AT53" s="1920"/>
      <c r="AU53" s="2866"/>
      <c r="AV53" s="3114"/>
      <c r="AW53" s="3290"/>
      <c r="AX53" s="3195"/>
      <c r="AY53" s="2882"/>
      <c r="AZ53" s="2874"/>
      <c r="BA53" s="2826"/>
      <c r="BB53" s="2728"/>
      <c r="BC53" s="2721"/>
      <c r="BD53" s="1921"/>
      <c r="BE53" s="1922"/>
      <c r="BF53" s="1923"/>
      <c r="BG53" s="1924"/>
      <c r="BH53" s="1947"/>
      <c r="BI53" s="1891"/>
      <c r="BJ53" s="1948"/>
      <c r="BK53" s="1924"/>
      <c r="BL53" s="3643"/>
      <c r="BM53" s="3634"/>
      <c r="BN53" s="1945"/>
      <c r="BO53" s="1952"/>
      <c r="BP53" s="3630"/>
    </row>
    <row r="54" spans="1:68" ht="15.75" customHeight="1" thickBot="1">
      <c r="A54" s="3724"/>
      <c r="B54" s="1724" t="s">
        <v>34</v>
      </c>
      <c r="C54" s="3728"/>
      <c r="D54" s="1731">
        <f t="shared" si="0"/>
        <v>0</v>
      </c>
      <c r="E54" s="1696"/>
      <c r="F54" s="1725"/>
      <c r="G54" s="1698"/>
      <c r="H54" s="1732"/>
      <c r="I54" s="2932"/>
      <c r="J54" s="1800"/>
      <c r="K54" s="1798"/>
      <c r="L54" s="1754"/>
      <c r="M54" s="1698"/>
      <c r="N54" s="3179"/>
      <c r="O54" s="1754"/>
      <c r="P54" s="1808"/>
      <c r="Q54" s="3133"/>
      <c r="R54" s="1757"/>
      <c r="S54" s="1758"/>
      <c r="T54" s="1821"/>
      <c r="U54" s="2820"/>
      <c r="V54" s="3188"/>
      <c r="W54" s="2891"/>
      <c r="X54" s="1822"/>
      <c r="Y54" s="1823"/>
      <c r="Z54" s="3299"/>
      <c r="AA54" s="2729"/>
      <c r="AB54" s="2722"/>
      <c r="AC54" s="1824"/>
      <c r="AD54" s="1866"/>
      <c r="AE54" s="1867"/>
      <c r="AF54" s="1696"/>
      <c r="AG54" s="1697"/>
      <c r="AH54" s="1875"/>
      <c r="AI54" s="1895"/>
      <c r="AJ54" s="2939"/>
      <c r="AK54" s="1858"/>
      <c r="AL54" s="1896"/>
      <c r="AM54" s="1755"/>
      <c r="AN54" s="3168"/>
      <c r="AO54" s="1775"/>
      <c r="AP54" s="3127"/>
      <c r="AQ54" s="1879"/>
      <c r="AR54" s="1880"/>
      <c r="AS54" s="1879"/>
      <c r="AT54" s="1912"/>
      <c r="AU54" s="2867"/>
      <c r="AV54" s="3115"/>
      <c r="AW54" s="3291"/>
      <c r="AX54" s="3196"/>
      <c r="AY54" s="2883"/>
      <c r="AZ54" s="2875"/>
      <c r="BA54" s="2827"/>
      <c r="BB54" s="2729"/>
      <c r="BC54" s="2722"/>
      <c r="BD54" s="1913"/>
      <c r="BE54" s="1914"/>
      <c r="BF54" s="1866"/>
      <c r="BG54" s="1867"/>
      <c r="BH54" s="1943"/>
      <c r="BI54" s="1879"/>
      <c r="BJ54" s="1822"/>
      <c r="BK54" s="1867"/>
      <c r="BL54" s="3644"/>
      <c r="BM54" s="3635"/>
      <c r="BN54" s="1945"/>
      <c r="BO54" s="1957"/>
      <c r="BP54" s="3631"/>
    </row>
    <row r="55" spans="1:68" ht="15.75" thickBot="1">
      <c r="A55" s="3725">
        <v>46134</v>
      </c>
      <c r="B55" s="1694" t="s">
        <v>32</v>
      </c>
      <c r="C55" s="3678">
        <f>SUM(D55:D58)</f>
        <v>392</v>
      </c>
      <c r="D55" s="1705">
        <f t="shared" si="0"/>
        <v>392</v>
      </c>
      <c r="E55" s="1706"/>
      <c r="F55" s="1707"/>
      <c r="G55" s="1708"/>
      <c r="H55" s="1709"/>
      <c r="I55" s="2924">
        <v>384</v>
      </c>
      <c r="J55" s="1766"/>
      <c r="K55" s="1767"/>
      <c r="L55" s="1768"/>
      <c r="M55" s="1708"/>
      <c r="N55" s="3178"/>
      <c r="O55" s="1768"/>
      <c r="P55" s="1770"/>
      <c r="Q55" s="3122"/>
      <c r="R55" s="1771"/>
      <c r="S55" s="1772"/>
      <c r="T55" s="1834"/>
      <c r="U55" s="2819"/>
      <c r="V55" s="3187"/>
      <c r="W55" s="2890"/>
      <c r="X55" s="1835"/>
      <c r="Y55" s="1836"/>
      <c r="Z55" s="3298"/>
      <c r="AA55" s="2728"/>
      <c r="AB55" s="2721"/>
      <c r="AC55" s="1837"/>
      <c r="AD55" s="1838"/>
      <c r="AE55" s="1839"/>
      <c r="AF55" s="1706"/>
      <c r="AG55" s="1707"/>
      <c r="AH55" s="1887"/>
      <c r="AI55" s="1888"/>
      <c r="AJ55" s="2935"/>
      <c r="AK55" s="1889"/>
      <c r="AL55" s="1890"/>
      <c r="AM55" s="1769"/>
      <c r="AN55" s="3167"/>
      <c r="AO55" s="1773"/>
      <c r="AP55" s="3125"/>
      <c r="AQ55" s="1891"/>
      <c r="AR55" s="1892"/>
      <c r="AS55" s="1891"/>
      <c r="AT55" s="1920"/>
      <c r="AU55" s="2866"/>
      <c r="AV55" s="3114"/>
      <c r="AW55" s="3290"/>
      <c r="AX55" s="3195"/>
      <c r="AY55" s="2882"/>
      <c r="AZ55" s="2874"/>
      <c r="BA55" s="2826"/>
      <c r="BB55" s="2728"/>
      <c r="BC55" s="2721"/>
      <c r="BD55" s="1921"/>
      <c r="BE55" s="1922"/>
      <c r="BF55" s="1923"/>
      <c r="BG55" s="1924"/>
      <c r="BH55" s="1947"/>
      <c r="BI55" s="1873">
        <v>8</v>
      </c>
      <c r="BJ55" s="1948"/>
      <c r="BK55" s="1924"/>
      <c r="BL55" s="3633">
        <f>SUM(E55:AE58)</f>
        <v>384</v>
      </c>
      <c r="BM55" s="3633">
        <f>SUM(E55:BG58)</f>
        <v>384</v>
      </c>
      <c r="BN55" s="1945">
        <v>502</v>
      </c>
      <c r="BO55" s="1952" t="s">
        <v>482</v>
      </c>
      <c r="BP55" s="3630" t="s">
        <v>33</v>
      </c>
    </row>
    <row r="56" spans="1:68" ht="15.75" thickBot="1">
      <c r="A56" s="3726"/>
      <c r="B56" s="1694" t="s">
        <v>34</v>
      </c>
      <c r="C56" s="3679"/>
      <c r="D56" s="1705">
        <f t="shared" si="0"/>
        <v>0</v>
      </c>
      <c r="E56" s="1706"/>
      <c r="F56" s="1707"/>
      <c r="G56" s="1708"/>
      <c r="H56" s="1709"/>
      <c r="I56" s="2924"/>
      <c r="J56" s="1766"/>
      <c r="K56" s="1767"/>
      <c r="L56" s="1768"/>
      <c r="M56" s="1769"/>
      <c r="N56" s="3178"/>
      <c r="O56" s="1768"/>
      <c r="P56" s="1770"/>
      <c r="Q56" s="3122"/>
      <c r="R56" s="1771"/>
      <c r="S56" s="1772"/>
      <c r="T56" s="1834"/>
      <c r="U56" s="2819"/>
      <c r="V56" s="3187"/>
      <c r="W56" s="2890"/>
      <c r="X56" s="1835"/>
      <c r="Y56" s="1836"/>
      <c r="Z56" s="3298"/>
      <c r="AA56" s="2728"/>
      <c r="AB56" s="2721"/>
      <c r="AC56" s="1837"/>
      <c r="AD56" s="1838"/>
      <c r="AE56" s="1839"/>
      <c r="AF56" s="1706"/>
      <c r="AG56" s="1707"/>
      <c r="AH56" s="1887"/>
      <c r="AI56" s="1888"/>
      <c r="AJ56" s="2935"/>
      <c r="AK56" s="1889"/>
      <c r="AL56" s="1890"/>
      <c r="AM56" s="1769"/>
      <c r="AN56" s="3167"/>
      <c r="AO56" s="1770"/>
      <c r="AP56" s="3122"/>
      <c r="AQ56" s="1891"/>
      <c r="AR56" s="1892"/>
      <c r="AS56" s="1891"/>
      <c r="AT56" s="1920"/>
      <c r="AU56" s="2866"/>
      <c r="AV56" s="3114"/>
      <c r="AW56" s="3290"/>
      <c r="AX56" s="3195"/>
      <c r="AY56" s="2882"/>
      <c r="AZ56" s="2874"/>
      <c r="BA56" s="2826"/>
      <c r="BB56" s="2728"/>
      <c r="BC56" s="2721"/>
      <c r="BD56" s="1921"/>
      <c r="BE56" s="1922"/>
      <c r="BF56" s="1923"/>
      <c r="BG56" s="1924"/>
      <c r="BH56" s="1947"/>
      <c r="BI56" s="1891"/>
      <c r="BJ56" s="1948"/>
      <c r="BK56" s="1924"/>
      <c r="BL56" s="3634"/>
      <c r="BM56" s="3634"/>
      <c r="BN56" s="1945"/>
      <c r="BO56" s="1952"/>
      <c r="BP56" s="3630"/>
    </row>
    <row r="57" spans="1:68" ht="15.75" thickBot="1">
      <c r="A57" s="3726"/>
      <c r="B57" s="1694" t="s">
        <v>34</v>
      </c>
      <c r="C57" s="3679"/>
      <c r="D57" s="1705">
        <f t="shared" si="0"/>
        <v>0</v>
      </c>
      <c r="E57" s="1706"/>
      <c r="F57" s="1707"/>
      <c r="G57" s="1708"/>
      <c r="H57" s="1709"/>
      <c r="I57" s="2924"/>
      <c r="J57" s="1766"/>
      <c r="K57" s="1767"/>
      <c r="L57" s="1768"/>
      <c r="M57" s="1769"/>
      <c r="N57" s="3178"/>
      <c r="O57" s="1768"/>
      <c r="P57" s="1770"/>
      <c r="Q57" s="3122"/>
      <c r="R57" s="1771"/>
      <c r="S57" s="1772"/>
      <c r="T57" s="1834"/>
      <c r="U57" s="2819"/>
      <c r="V57" s="3187"/>
      <c r="W57" s="2890"/>
      <c r="X57" s="1835"/>
      <c r="Y57" s="1836"/>
      <c r="Z57" s="3298"/>
      <c r="AA57" s="2728"/>
      <c r="AB57" s="2721"/>
      <c r="AC57" s="1837"/>
      <c r="AD57" s="1838"/>
      <c r="AE57" s="1839"/>
      <c r="AF57" s="1706"/>
      <c r="AG57" s="1707"/>
      <c r="AH57" s="1887"/>
      <c r="AI57" s="1888"/>
      <c r="AJ57" s="2935"/>
      <c r="AK57" s="1889"/>
      <c r="AL57" s="1890"/>
      <c r="AM57" s="1769"/>
      <c r="AN57" s="3167"/>
      <c r="AO57" s="1770"/>
      <c r="AP57" s="3122"/>
      <c r="AQ57" s="1891"/>
      <c r="AR57" s="1892"/>
      <c r="AS57" s="1891"/>
      <c r="AT57" s="1920"/>
      <c r="AU57" s="2866"/>
      <c r="AV57" s="3114"/>
      <c r="AW57" s="3290"/>
      <c r="AX57" s="3195"/>
      <c r="AY57" s="2882"/>
      <c r="AZ57" s="2874"/>
      <c r="BA57" s="2826"/>
      <c r="BB57" s="2728"/>
      <c r="BC57" s="2721"/>
      <c r="BD57" s="1921"/>
      <c r="BE57" s="1922"/>
      <c r="BF57" s="1923"/>
      <c r="BG57" s="1924"/>
      <c r="BH57" s="1947"/>
      <c r="BI57" s="1891"/>
      <c r="BJ57" s="1948"/>
      <c r="BK57" s="1924"/>
      <c r="BL57" s="3634"/>
      <c r="BM57" s="3634"/>
      <c r="BN57" s="1945"/>
      <c r="BO57" s="1952"/>
      <c r="BP57" s="3630"/>
    </row>
    <row r="58" spans="1:68" ht="15.75" thickBot="1">
      <c r="A58" s="3727"/>
      <c r="B58" s="1694" t="s">
        <v>34</v>
      </c>
      <c r="C58" s="3679"/>
      <c r="D58" s="1705">
        <f t="shared" si="0"/>
        <v>0</v>
      </c>
      <c r="E58" s="1706"/>
      <c r="F58" s="1729"/>
      <c r="G58" s="1708"/>
      <c r="H58" s="1712"/>
      <c r="I58" s="2928"/>
      <c r="J58" s="1779"/>
      <c r="K58" s="1767"/>
      <c r="L58" s="1768"/>
      <c r="M58" s="1708"/>
      <c r="N58" s="3178"/>
      <c r="O58" s="1768"/>
      <c r="P58" s="1770"/>
      <c r="Q58" s="3122"/>
      <c r="R58" s="1771"/>
      <c r="S58" s="1772"/>
      <c r="T58" s="1834"/>
      <c r="U58" s="2819"/>
      <c r="V58" s="3187"/>
      <c r="W58" s="2890"/>
      <c r="X58" s="1835"/>
      <c r="Y58" s="1836"/>
      <c r="Z58" s="3298"/>
      <c r="AA58" s="2728"/>
      <c r="AB58" s="2721"/>
      <c r="AC58" s="1837"/>
      <c r="AD58" s="1838"/>
      <c r="AE58" s="1839"/>
      <c r="AF58" s="1706"/>
      <c r="AG58" s="1707"/>
      <c r="AH58" s="1887"/>
      <c r="AI58" s="1888"/>
      <c r="AJ58" s="2935"/>
      <c r="AK58" s="1889"/>
      <c r="AL58" s="1890"/>
      <c r="AM58" s="1769"/>
      <c r="AN58" s="3167"/>
      <c r="AO58" s="1773"/>
      <c r="AP58" s="3125"/>
      <c r="AQ58" s="1891"/>
      <c r="AR58" s="1892"/>
      <c r="AS58" s="1891"/>
      <c r="AT58" s="1920"/>
      <c r="AU58" s="2866"/>
      <c r="AV58" s="3114"/>
      <c r="AW58" s="3290"/>
      <c r="AX58" s="3195"/>
      <c r="AY58" s="2882"/>
      <c r="AZ58" s="2874"/>
      <c r="BA58" s="2826"/>
      <c r="BB58" s="2728"/>
      <c r="BC58" s="2721"/>
      <c r="BD58" s="1921"/>
      <c r="BE58" s="1922"/>
      <c r="BF58" s="1923"/>
      <c r="BG58" s="1924"/>
      <c r="BH58" s="1947"/>
      <c r="BI58" s="1891"/>
      <c r="BJ58" s="1948"/>
      <c r="BK58" s="1924"/>
      <c r="BL58" s="3634"/>
      <c r="BM58" s="3635"/>
      <c r="BN58" s="1945"/>
      <c r="BO58" s="1952"/>
      <c r="BP58" s="3630"/>
    </row>
    <row r="59" spans="1:68" ht="15.75" thickBot="1">
      <c r="A59" s="3723">
        <v>46135</v>
      </c>
      <c r="B59" s="1688" t="s">
        <v>32</v>
      </c>
      <c r="C59" s="3678">
        <f>SUM(D59:D62)</f>
        <v>209</v>
      </c>
      <c r="D59" s="1689">
        <f t="shared" si="0"/>
        <v>209</v>
      </c>
      <c r="E59" s="1690"/>
      <c r="F59" s="1727"/>
      <c r="G59" s="1692"/>
      <c r="H59" s="1693"/>
      <c r="I59" s="2923">
        <v>204</v>
      </c>
      <c r="J59" s="1745"/>
      <c r="K59" s="1746"/>
      <c r="L59" s="1747"/>
      <c r="M59" s="1692"/>
      <c r="N59" s="3177"/>
      <c r="O59" s="1747"/>
      <c r="P59" s="1749"/>
      <c r="Q59" s="3121"/>
      <c r="R59" s="1750"/>
      <c r="S59" s="1751"/>
      <c r="T59" s="1815"/>
      <c r="U59" s="2818"/>
      <c r="V59" s="3186"/>
      <c r="W59" s="2889"/>
      <c r="X59" s="1816"/>
      <c r="Y59" s="1817"/>
      <c r="Z59" s="3297"/>
      <c r="AA59" s="2727"/>
      <c r="AB59" s="2720"/>
      <c r="AC59" s="1818"/>
      <c r="AD59" s="1819"/>
      <c r="AE59" s="1820"/>
      <c r="AF59" s="1726"/>
      <c r="AG59" s="1691"/>
      <c r="AH59" s="1869"/>
      <c r="AI59" s="1893"/>
      <c r="AJ59" s="2938"/>
      <c r="AK59" s="1854"/>
      <c r="AL59" s="1894"/>
      <c r="AM59" s="1692"/>
      <c r="AN59" s="3172"/>
      <c r="AO59" s="1774"/>
      <c r="AP59" s="3126"/>
      <c r="AQ59" s="1873"/>
      <c r="AR59" s="1874"/>
      <c r="AS59" s="1873"/>
      <c r="AT59" s="1909"/>
      <c r="AU59" s="2865"/>
      <c r="AV59" s="3113"/>
      <c r="AW59" s="3289"/>
      <c r="AX59" s="3194"/>
      <c r="AY59" s="2881"/>
      <c r="AZ59" s="2873"/>
      <c r="BA59" s="2825"/>
      <c r="BB59" s="2727"/>
      <c r="BC59" s="2720"/>
      <c r="BD59" s="1910"/>
      <c r="BE59" s="1911"/>
      <c r="BF59" s="1864"/>
      <c r="BG59" s="1865"/>
      <c r="BH59" s="1726"/>
      <c r="BI59" s="1873">
        <v>5</v>
      </c>
      <c r="BJ59" s="1940"/>
      <c r="BK59" s="1865"/>
      <c r="BL59" s="3633">
        <f>SUM(E59:AE62)</f>
        <v>204</v>
      </c>
      <c r="BM59" s="3633">
        <f>SUM(E59:BG62)</f>
        <v>204</v>
      </c>
      <c r="BN59" s="1945">
        <v>502</v>
      </c>
      <c r="BO59" s="1952" t="s">
        <v>482</v>
      </c>
      <c r="BP59" s="3629" t="s">
        <v>33</v>
      </c>
    </row>
    <row r="60" spans="1:68" ht="15.75" thickBot="1">
      <c r="A60" s="3724"/>
      <c r="B60" s="1694" t="s">
        <v>34</v>
      </c>
      <c r="C60" s="3679"/>
      <c r="D60" s="1705">
        <f t="shared" si="0"/>
        <v>0</v>
      </c>
      <c r="E60" s="1706"/>
      <c r="F60" s="1707"/>
      <c r="G60" s="1708"/>
      <c r="H60" s="1709"/>
      <c r="I60" s="2924"/>
      <c r="J60" s="1766"/>
      <c r="K60" s="1767"/>
      <c r="L60" s="1768"/>
      <c r="M60" s="1769"/>
      <c r="N60" s="3178"/>
      <c r="O60" s="1768"/>
      <c r="P60" s="1770"/>
      <c r="Q60" s="3122"/>
      <c r="R60" s="1771"/>
      <c r="S60" s="1772"/>
      <c r="T60" s="1834"/>
      <c r="U60" s="2819"/>
      <c r="V60" s="3187"/>
      <c r="W60" s="2890"/>
      <c r="X60" s="1835"/>
      <c r="Y60" s="1836"/>
      <c r="Z60" s="3298"/>
      <c r="AA60" s="2728"/>
      <c r="AB60" s="2721"/>
      <c r="AC60" s="1837"/>
      <c r="AD60" s="1838"/>
      <c r="AE60" s="1839"/>
      <c r="AF60" s="1706"/>
      <c r="AG60" s="1707"/>
      <c r="AH60" s="1887"/>
      <c r="AI60" s="1888"/>
      <c r="AJ60" s="2935"/>
      <c r="AK60" s="1889"/>
      <c r="AL60" s="1890"/>
      <c r="AM60" s="1769"/>
      <c r="AN60" s="3167"/>
      <c r="AO60" s="1770"/>
      <c r="AP60" s="3122"/>
      <c r="AQ60" s="1891"/>
      <c r="AR60" s="1892"/>
      <c r="AS60" s="1891"/>
      <c r="AT60" s="1920"/>
      <c r="AU60" s="2866"/>
      <c r="AV60" s="3114"/>
      <c r="AW60" s="3290"/>
      <c r="AX60" s="3195"/>
      <c r="AY60" s="2882"/>
      <c r="AZ60" s="2874"/>
      <c r="BA60" s="2826"/>
      <c r="BB60" s="2728"/>
      <c r="BC60" s="2721"/>
      <c r="BD60" s="1921"/>
      <c r="BE60" s="1922"/>
      <c r="BF60" s="1923"/>
      <c r="BG60" s="1924"/>
      <c r="BH60" s="1947"/>
      <c r="BI60" s="1891"/>
      <c r="BJ60" s="1948"/>
      <c r="BK60" s="1924"/>
      <c r="BL60" s="3634"/>
      <c r="BM60" s="3634"/>
      <c r="BN60" s="1945"/>
      <c r="BO60" s="1952"/>
      <c r="BP60" s="3630"/>
    </row>
    <row r="61" spans="1:68" ht="15.75" thickBot="1">
      <c r="A61" s="3724"/>
      <c r="B61" s="1694" t="s">
        <v>34</v>
      </c>
      <c r="C61" s="3679"/>
      <c r="D61" s="1705">
        <f t="shared" ref="D61" si="11">SUM(E61:BK61)</f>
        <v>0</v>
      </c>
      <c r="E61" s="1706"/>
      <c r="F61" s="1707"/>
      <c r="G61" s="1708"/>
      <c r="H61" s="1709"/>
      <c r="I61" s="2924"/>
      <c r="J61" s="1766"/>
      <c r="K61" s="1767"/>
      <c r="L61" s="1768"/>
      <c r="M61" s="1769"/>
      <c r="N61" s="3178"/>
      <c r="O61" s="1768"/>
      <c r="P61" s="1770"/>
      <c r="Q61" s="3122"/>
      <c r="R61" s="1771"/>
      <c r="S61" s="1772"/>
      <c r="T61" s="1834"/>
      <c r="U61" s="2819"/>
      <c r="V61" s="3187"/>
      <c r="W61" s="2890"/>
      <c r="X61" s="1835"/>
      <c r="Y61" s="1836"/>
      <c r="Z61" s="3298"/>
      <c r="AA61" s="2728"/>
      <c r="AB61" s="2721"/>
      <c r="AC61" s="1837"/>
      <c r="AD61" s="1838"/>
      <c r="AE61" s="1839"/>
      <c r="AF61" s="1706"/>
      <c r="AG61" s="1707"/>
      <c r="AH61" s="1887"/>
      <c r="AI61" s="1888"/>
      <c r="AJ61" s="2935"/>
      <c r="AK61" s="1889"/>
      <c r="AL61" s="1890"/>
      <c r="AM61" s="1769"/>
      <c r="AN61" s="3167"/>
      <c r="AO61" s="1770"/>
      <c r="AP61" s="3122"/>
      <c r="AQ61" s="1891"/>
      <c r="AR61" s="1892"/>
      <c r="AS61" s="1891"/>
      <c r="AT61" s="1920"/>
      <c r="AU61" s="2866"/>
      <c r="AV61" s="3114"/>
      <c r="AW61" s="3290"/>
      <c r="AX61" s="3195"/>
      <c r="AY61" s="2882"/>
      <c r="AZ61" s="2874"/>
      <c r="BA61" s="2826"/>
      <c r="BB61" s="2728"/>
      <c r="BC61" s="2721"/>
      <c r="BD61" s="1921"/>
      <c r="BE61" s="1922"/>
      <c r="BF61" s="1923"/>
      <c r="BG61" s="1924"/>
      <c r="BH61" s="1947"/>
      <c r="BI61" s="1891"/>
      <c r="BJ61" s="1948"/>
      <c r="BK61" s="1924"/>
      <c r="BL61" s="3634"/>
      <c r="BM61" s="3634"/>
      <c r="BN61" s="1945"/>
      <c r="BO61" s="1952"/>
      <c r="BP61" s="3630"/>
    </row>
    <row r="62" spans="1:68" ht="15.75" thickBot="1">
      <c r="A62" s="3724"/>
      <c r="B62" s="1724" t="s">
        <v>34</v>
      </c>
      <c r="C62" s="3679"/>
      <c r="D62" s="1705">
        <f t="shared" si="0"/>
        <v>0</v>
      </c>
      <c r="E62" s="1706"/>
      <c r="F62" s="1729"/>
      <c r="G62" s="1708"/>
      <c r="H62" s="1709"/>
      <c r="I62" s="2924"/>
      <c r="J62" s="1766"/>
      <c r="K62" s="1767"/>
      <c r="L62" s="1768"/>
      <c r="M62" s="1708"/>
      <c r="N62" s="3178"/>
      <c r="O62" s="1768"/>
      <c r="P62" s="1770"/>
      <c r="Q62" s="3122"/>
      <c r="R62" s="1771"/>
      <c r="S62" s="1772"/>
      <c r="T62" s="1834"/>
      <c r="U62" s="2819"/>
      <c r="V62" s="3187"/>
      <c r="W62" s="2890"/>
      <c r="X62" s="1835"/>
      <c r="Y62" s="1836"/>
      <c r="Z62" s="3298"/>
      <c r="AA62" s="2728"/>
      <c r="AB62" s="2721"/>
      <c r="AC62" s="1837"/>
      <c r="AD62" s="1838"/>
      <c r="AE62" s="1839"/>
      <c r="AF62" s="1706"/>
      <c r="AG62" s="1707"/>
      <c r="AH62" s="1887"/>
      <c r="AI62" s="1888"/>
      <c r="AJ62" s="2935"/>
      <c r="AK62" s="1889"/>
      <c r="AL62" s="1890"/>
      <c r="AM62" s="1708"/>
      <c r="AN62" s="3171"/>
      <c r="AO62" s="1773"/>
      <c r="AP62" s="3125"/>
      <c r="AQ62" s="1891"/>
      <c r="AR62" s="1892"/>
      <c r="AS62" s="1891"/>
      <c r="AT62" s="1920"/>
      <c r="AU62" s="2866"/>
      <c r="AV62" s="3114"/>
      <c r="AW62" s="3290"/>
      <c r="AX62" s="3195"/>
      <c r="AY62" s="2882"/>
      <c r="AZ62" s="2874"/>
      <c r="BA62" s="2826"/>
      <c r="BB62" s="2728"/>
      <c r="BC62" s="2721"/>
      <c r="BD62" s="1921"/>
      <c r="BE62" s="1922"/>
      <c r="BF62" s="1923"/>
      <c r="BG62" s="1924"/>
      <c r="BH62" s="1947"/>
      <c r="BI62" s="1891"/>
      <c r="BJ62" s="1948"/>
      <c r="BK62" s="1924"/>
      <c r="BL62" s="3634"/>
      <c r="BM62" s="3635"/>
      <c r="BN62" s="1945"/>
      <c r="BO62" s="1952"/>
      <c r="BP62" s="3630"/>
    </row>
    <row r="63" spans="1:68" ht="15.75" thickBot="1">
      <c r="A63" s="3723">
        <v>46136</v>
      </c>
      <c r="B63" s="1688" t="s">
        <v>32</v>
      </c>
      <c r="C63" s="3678">
        <f>SUM(D63:D66)</f>
        <v>407</v>
      </c>
      <c r="D63" s="1689">
        <f t="shared" si="0"/>
        <v>407</v>
      </c>
      <c r="E63" s="1690"/>
      <c r="F63" s="1727"/>
      <c r="G63" s="1692"/>
      <c r="H63" s="1693"/>
      <c r="I63" s="2923">
        <v>396</v>
      </c>
      <c r="J63" s="1745"/>
      <c r="K63" s="1746"/>
      <c r="L63" s="1747"/>
      <c r="M63" s="1692"/>
      <c r="N63" s="3177"/>
      <c r="O63" s="1747"/>
      <c r="P63" s="1749"/>
      <c r="Q63" s="3121"/>
      <c r="R63" s="1750"/>
      <c r="S63" s="1751"/>
      <c r="T63" s="1815"/>
      <c r="U63" s="2818"/>
      <c r="V63" s="3186"/>
      <c r="W63" s="2889"/>
      <c r="X63" s="1816"/>
      <c r="Y63" s="1817"/>
      <c r="Z63" s="3297"/>
      <c r="AA63" s="2727"/>
      <c r="AB63" s="2720"/>
      <c r="AC63" s="1818"/>
      <c r="AD63" s="1819"/>
      <c r="AE63" s="1820"/>
      <c r="AF63" s="1726"/>
      <c r="AG63" s="1691"/>
      <c r="AH63" s="1869"/>
      <c r="AI63" s="1893"/>
      <c r="AJ63" s="2938"/>
      <c r="AK63" s="1854"/>
      <c r="AL63" s="1894"/>
      <c r="AM63" s="1692"/>
      <c r="AN63" s="3172"/>
      <c r="AO63" s="1774"/>
      <c r="AP63" s="3126"/>
      <c r="AQ63" s="1873"/>
      <c r="AR63" s="1874"/>
      <c r="AS63" s="1873"/>
      <c r="AT63" s="1909"/>
      <c r="AU63" s="2865"/>
      <c r="AV63" s="3113"/>
      <c r="AW63" s="3289"/>
      <c r="AX63" s="3194"/>
      <c r="AY63" s="2881"/>
      <c r="AZ63" s="2873"/>
      <c r="BA63" s="2825"/>
      <c r="BB63" s="2727"/>
      <c r="BC63" s="2720"/>
      <c r="BD63" s="1910"/>
      <c r="BE63" s="1911"/>
      <c r="BF63" s="1864"/>
      <c r="BG63" s="1865"/>
      <c r="BH63" s="1726"/>
      <c r="BI63" s="1873">
        <v>11</v>
      </c>
      <c r="BJ63" s="1940"/>
      <c r="BK63" s="1865"/>
      <c r="BL63" s="3633">
        <f>SUM(E63:AE66)</f>
        <v>396</v>
      </c>
      <c r="BM63" s="3634">
        <f>SUM(E63:BG66)</f>
        <v>396</v>
      </c>
      <c r="BN63" s="1945">
        <v>502</v>
      </c>
      <c r="BO63" s="1952" t="s">
        <v>482</v>
      </c>
      <c r="BP63" s="3629" t="s">
        <v>33</v>
      </c>
    </row>
    <row r="64" spans="1:68" ht="15.75" thickBot="1">
      <c r="A64" s="3724"/>
      <c r="B64" s="1694" t="s">
        <v>34</v>
      </c>
      <c r="C64" s="3679"/>
      <c r="D64" s="1705">
        <f t="shared" si="0"/>
        <v>0</v>
      </c>
      <c r="E64" s="1706"/>
      <c r="F64" s="1707"/>
      <c r="G64" s="1708"/>
      <c r="H64" s="1709"/>
      <c r="I64" s="2924"/>
      <c r="J64" s="1766"/>
      <c r="K64" s="1767"/>
      <c r="L64" s="1768"/>
      <c r="M64" s="1769"/>
      <c r="N64" s="3178"/>
      <c r="O64" s="1768"/>
      <c r="P64" s="1770"/>
      <c r="Q64" s="3122"/>
      <c r="R64" s="1771"/>
      <c r="S64" s="1772"/>
      <c r="T64" s="1834"/>
      <c r="U64" s="2819"/>
      <c r="V64" s="3187"/>
      <c r="W64" s="2890"/>
      <c r="X64" s="1835"/>
      <c r="Y64" s="1836"/>
      <c r="Z64" s="3298"/>
      <c r="AA64" s="2728"/>
      <c r="AB64" s="2721"/>
      <c r="AC64" s="1837"/>
      <c r="AD64" s="1838"/>
      <c r="AE64" s="1839"/>
      <c r="AF64" s="1706"/>
      <c r="AG64" s="1707"/>
      <c r="AH64" s="1887"/>
      <c r="AI64" s="1888"/>
      <c r="AJ64" s="2935"/>
      <c r="AK64" s="1889"/>
      <c r="AL64" s="1890"/>
      <c r="AM64" s="1769"/>
      <c r="AN64" s="3167"/>
      <c r="AO64" s="1770"/>
      <c r="AP64" s="3122"/>
      <c r="AQ64" s="1891"/>
      <c r="AR64" s="1892"/>
      <c r="AS64" s="1891"/>
      <c r="AT64" s="1920"/>
      <c r="AU64" s="2866"/>
      <c r="AV64" s="3114"/>
      <c r="AW64" s="3290"/>
      <c r="AX64" s="3195"/>
      <c r="AY64" s="2882"/>
      <c r="AZ64" s="2874"/>
      <c r="BA64" s="2826"/>
      <c r="BB64" s="2728"/>
      <c r="BC64" s="2721"/>
      <c r="BD64" s="1921"/>
      <c r="BE64" s="1922"/>
      <c r="BF64" s="1923"/>
      <c r="BG64" s="1924"/>
      <c r="BH64" s="1947"/>
      <c r="BI64" s="1891"/>
      <c r="BJ64" s="1948"/>
      <c r="BK64" s="1924"/>
      <c r="BL64" s="3634"/>
      <c r="BM64" s="3634"/>
      <c r="BN64" s="1945"/>
      <c r="BO64" s="1952"/>
      <c r="BP64" s="3630"/>
    </row>
    <row r="65" spans="1:68" ht="15.75" thickBot="1">
      <c r="A65" s="3724"/>
      <c r="B65" s="1694" t="s">
        <v>34</v>
      </c>
      <c r="C65" s="3679"/>
      <c r="D65" s="1705">
        <f t="shared" ref="D65" si="12">SUM(E65:BK65)</f>
        <v>0</v>
      </c>
      <c r="E65" s="1706"/>
      <c r="F65" s="1707"/>
      <c r="G65" s="1708"/>
      <c r="H65" s="1709"/>
      <c r="I65" s="2924"/>
      <c r="J65" s="1766"/>
      <c r="K65" s="1767"/>
      <c r="L65" s="1768"/>
      <c r="M65" s="1769"/>
      <c r="N65" s="3178"/>
      <c r="O65" s="1768"/>
      <c r="P65" s="1770"/>
      <c r="Q65" s="3122"/>
      <c r="R65" s="1771"/>
      <c r="S65" s="1772"/>
      <c r="T65" s="1834"/>
      <c r="U65" s="2819"/>
      <c r="V65" s="3187"/>
      <c r="W65" s="2890"/>
      <c r="X65" s="1835"/>
      <c r="Y65" s="1836"/>
      <c r="Z65" s="3298"/>
      <c r="AA65" s="2728"/>
      <c r="AB65" s="2721"/>
      <c r="AC65" s="1837"/>
      <c r="AD65" s="1838"/>
      <c r="AE65" s="1839"/>
      <c r="AF65" s="1706"/>
      <c r="AG65" s="1707"/>
      <c r="AH65" s="1887"/>
      <c r="AI65" s="1888"/>
      <c r="AJ65" s="2935"/>
      <c r="AK65" s="1889"/>
      <c r="AL65" s="1890"/>
      <c r="AM65" s="1769"/>
      <c r="AN65" s="3167"/>
      <c r="AO65" s="1770"/>
      <c r="AP65" s="3122"/>
      <c r="AQ65" s="1891"/>
      <c r="AR65" s="1892"/>
      <c r="AS65" s="1891"/>
      <c r="AT65" s="1920"/>
      <c r="AU65" s="2866"/>
      <c r="AV65" s="3114"/>
      <c r="AW65" s="3290"/>
      <c r="AX65" s="3195"/>
      <c r="AY65" s="2882"/>
      <c r="AZ65" s="2874"/>
      <c r="BA65" s="2826"/>
      <c r="BB65" s="2728"/>
      <c r="BC65" s="2721"/>
      <c r="BD65" s="1921"/>
      <c r="BE65" s="1922"/>
      <c r="BF65" s="1923"/>
      <c r="BG65" s="1924"/>
      <c r="BH65" s="1947"/>
      <c r="BI65" s="1891"/>
      <c r="BJ65" s="1948"/>
      <c r="BK65" s="1924"/>
      <c r="BL65" s="3634"/>
      <c r="BM65" s="3634"/>
      <c r="BN65" s="1945"/>
      <c r="BO65" s="1952"/>
      <c r="BP65" s="3630"/>
    </row>
    <row r="66" spans="1:68" ht="15.75" thickBot="1">
      <c r="A66" s="3724"/>
      <c r="B66" s="1724" t="s">
        <v>34</v>
      </c>
      <c r="C66" s="3679"/>
      <c r="D66" s="1705">
        <f t="shared" si="0"/>
        <v>0</v>
      </c>
      <c r="E66" s="1706"/>
      <c r="F66" s="1729"/>
      <c r="G66" s="1708"/>
      <c r="H66" s="1709"/>
      <c r="I66" s="2924"/>
      <c r="J66" s="1766"/>
      <c r="K66" s="1767"/>
      <c r="L66" s="1768"/>
      <c r="M66" s="1708"/>
      <c r="N66" s="3178"/>
      <c r="O66" s="1768"/>
      <c r="P66" s="1770"/>
      <c r="Q66" s="3122"/>
      <c r="R66" s="1771"/>
      <c r="S66" s="1772"/>
      <c r="T66" s="1834"/>
      <c r="U66" s="2819"/>
      <c r="V66" s="3187"/>
      <c r="W66" s="2890"/>
      <c r="X66" s="1835"/>
      <c r="Y66" s="1836"/>
      <c r="Z66" s="3298"/>
      <c r="AA66" s="2728"/>
      <c r="AB66" s="2721"/>
      <c r="AC66" s="1837"/>
      <c r="AD66" s="1838"/>
      <c r="AE66" s="1839"/>
      <c r="AF66" s="1706"/>
      <c r="AG66" s="1707"/>
      <c r="AH66" s="1887"/>
      <c r="AI66" s="1888"/>
      <c r="AJ66" s="2935"/>
      <c r="AK66" s="1889"/>
      <c r="AL66" s="1890"/>
      <c r="AM66" s="1708"/>
      <c r="AN66" s="3171"/>
      <c r="AO66" s="1773"/>
      <c r="AP66" s="3125"/>
      <c r="AQ66" s="1891"/>
      <c r="AR66" s="1892"/>
      <c r="AS66" s="1891"/>
      <c r="AT66" s="1920"/>
      <c r="AU66" s="2866"/>
      <c r="AV66" s="3114"/>
      <c r="AW66" s="3290"/>
      <c r="AX66" s="3195"/>
      <c r="AY66" s="2882"/>
      <c r="AZ66" s="2874"/>
      <c r="BA66" s="2826"/>
      <c r="BB66" s="2728"/>
      <c r="BC66" s="2721"/>
      <c r="BD66" s="1921"/>
      <c r="BE66" s="1922"/>
      <c r="BF66" s="1923"/>
      <c r="BG66" s="1924"/>
      <c r="BH66" s="1947"/>
      <c r="BI66" s="1891"/>
      <c r="BJ66" s="1948"/>
      <c r="BK66" s="1924"/>
      <c r="BL66" s="3634"/>
      <c r="BM66" s="3634"/>
      <c r="BN66" s="1945"/>
      <c r="BO66" s="1952"/>
      <c r="BP66" s="3630"/>
    </row>
    <row r="67" spans="1:68" ht="15.75" thickBot="1">
      <c r="A67" s="3723">
        <v>46137</v>
      </c>
      <c r="B67" s="1688" t="s">
        <v>32</v>
      </c>
      <c r="C67" s="3678">
        <f>SUM(D67:D70)</f>
        <v>416</v>
      </c>
      <c r="D67" s="1689">
        <f t="shared" si="0"/>
        <v>416</v>
      </c>
      <c r="E67" s="1690"/>
      <c r="F67" s="1691"/>
      <c r="G67" s="1692"/>
      <c r="H67" s="1693"/>
      <c r="I67" s="2923">
        <v>408</v>
      </c>
      <c r="J67" s="1745"/>
      <c r="K67" s="1746"/>
      <c r="L67" s="1747"/>
      <c r="M67" s="1748"/>
      <c r="N67" s="3177"/>
      <c r="O67" s="1747"/>
      <c r="P67" s="1749"/>
      <c r="Q67" s="3121"/>
      <c r="R67" s="1750"/>
      <c r="S67" s="1751"/>
      <c r="T67" s="1815"/>
      <c r="U67" s="2818"/>
      <c r="V67" s="3186"/>
      <c r="W67" s="2889"/>
      <c r="X67" s="1816"/>
      <c r="Y67" s="1817"/>
      <c r="Z67" s="3297"/>
      <c r="AA67" s="2727"/>
      <c r="AB67" s="2720"/>
      <c r="AC67" s="1818"/>
      <c r="AD67" s="1819"/>
      <c r="AE67" s="1820"/>
      <c r="AF67" s="1726"/>
      <c r="AG67" s="1691"/>
      <c r="AH67" s="1869"/>
      <c r="AI67" s="1893"/>
      <c r="AJ67" s="2938"/>
      <c r="AK67" s="1854"/>
      <c r="AL67" s="1894"/>
      <c r="AM67" s="1748"/>
      <c r="AN67" s="3166"/>
      <c r="AO67" s="1774"/>
      <c r="AP67" s="3126"/>
      <c r="AQ67" s="1873"/>
      <c r="AR67" s="1874"/>
      <c r="AS67" s="1873"/>
      <c r="AT67" s="1909"/>
      <c r="AU67" s="2865"/>
      <c r="AV67" s="3113"/>
      <c r="AW67" s="3289"/>
      <c r="AX67" s="3194"/>
      <c r="AY67" s="2881"/>
      <c r="AZ67" s="2873"/>
      <c r="BA67" s="2825"/>
      <c r="BB67" s="2727"/>
      <c r="BC67" s="2720"/>
      <c r="BD67" s="1910"/>
      <c r="BE67" s="1911"/>
      <c r="BF67" s="1864"/>
      <c r="BG67" s="1865"/>
      <c r="BH67" s="1726"/>
      <c r="BI67" s="1873">
        <v>8</v>
      </c>
      <c r="BJ67" s="1940"/>
      <c r="BK67" s="1865"/>
      <c r="BL67" s="3633">
        <f>SUM(E67:AE70)</f>
        <v>408</v>
      </c>
      <c r="BM67" s="3633">
        <f>SUM(E67:BG70)</f>
        <v>408</v>
      </c>
      <c r="BN67" s="1945">
        <v>502</v>
      </c>
      <c r="BO67" s="1952" t="s">
        <v>482</v>
      </c>
      <c r="BP67" s="3629" t="s">
        <v>33</v>
      </c>
    </row>
    <row r="68" spans="1:68" ht="15.75" thickBot="1">
      <c r="A68" s="3724"/>
      <c r="B68" s="1694" t="s">
        <v>34</v>
      </c>
      <c r="C68" s="3679"/>
      <c r="D68" s="1705">
        <f t="shared" si="0"/>
        <v>0</v>
      </c>
      <c r="E68" s="1706"/>
      <c r="F68" s="1707"/>
      <c r="G68" s="1708"/>
      <c r="H68" s="1709"/>
      <c r="I68" s="2924"/>
      <c r="J68" s="1766"/>
      <c r="K68" s="1767"/>
      <c r="L68" s="1768"/>
      <c r="M68" s="1769"/>
      <c r="N68" s="3178"/>
      <c r="O68" s="1768"/>
      <c r="P68" s="1770"/>
      <c r="Q68" s="3122"/>
      <c r="R68" s="1771"/>
      <c r="S68" s="1772"/>
      <c r="T68" s="1834"/>
      <c r="U68" s="2819"/>
      <c r="V68" s="3187"/>
      <c r="W68" s="2890"/>
      <c r="X68" s="1835"/>
      <c r="Y68" s="1836"/>
      <c r="Z68" s="3298"/>
      <c r="AA68" s="2728"/>
      <c r="AB68" s="2721"/>
      <c r="AC68" s="1837"/>
      <c r="AD68" s="1838"/>
      <c r="AE68" s="1839"/>
      <c r="AF68" s="1706"/>
      <c r="AG68" s="1707"/>
      <c r="AH68" s="1887"/>
      <c r="AI68" s="1888"/>
      <c r="AJ68" s="2935"/>
      <c r="AK68" s="1889"/>
      <c r="AL68" s="1890"/>
      <c r="AM68" s="1769"/>
      <c r="AN68" s="3167"/>
      <c r="AO68" s="1770"/>
      <c r="AP68" s="3122"/>
      <c r="AQ68" s="1891"/>
      <c r="AR68" s="1892"/>
      <c r="AS68" s="1891"/>
      <c r="AT68" s="1920"/>
      <c r="AU68" s="2866"/>
      <c r="AV68" s="3114"/>
      <c r="AW68" s="3290"/>
      <c r="AX68" s="3195"/>
      <c r="AY68" s="2882"/>
      <c r="AZ68" s="2874"/>
      <c r="BA68" s="2826"/>
      <c r="BB68" s="2728"/>
      <c r="BC68" s="2721"/>
      <c r="BD68" s="1921"/>
      <c r="BE68" s="1922"/>
      <c r="BF68" s="1923"/>
      <c r="BG68" s="1924"/>
      <c r="BH68" s="1947"/>
      <c r="BI68" s="1891"/>
      <c r="BJ68" s="1948"/>
      <c r="BK68" s="1924"/>
      <c r="BL68" s="3634"/>
      <c r="BM68" s="3634"/>
      <c r="BN68" s="1945"/>
      <c r="BO68" s="1952"/>
      <c r="BP68" s="3630"/>
    </row>
    <row r="69" spans="1:68" ht="15.75" thickBot="1">
      <c r="A69" s="3724"/>
      <c r="B69" s="1694" t="s">
        <v>34</v>
      </c>
      <c r="C69" s="3679"/>
      <c r="D69" s="1705">
        <f t="shared" ref="D69" si="13">SUM(E69:BK69)</f>
        <v>0</v>
      </c>
      <c r="E69" s="1706"/>
      <c r="F69" s="1707"/>
      <c r="G69" s="1708"/>
      <c r="H69" s="1709"/>
      <c r="I69" s="2924"/>
      <c r="J69" s="1766"/>
      <c r="K69" s="1767"/>
      <c r="L69" s="1768"/>
      <c r="M69" s="1769"/>
      <c r="N69" s="3178"/>
      <c r="O69" s="1768"/>
      <c r="P69" s="1770"/>
      <c r="Q69" s="3122"/>
      <c r="R69" s="1771"/>
      <c r="S69" s="1772"/>
      <c r="T69" s="1834"/>
      <c r="U69" s="2819"/>
      <c r="V69" s="3187"/>
      <c r="W69" s="2890"/>
      <c r="X69" s="1835"/>
      <c r="Y69" s="1836"/>
      <c r="Z69" s="3298"/>
      <c r="AA69" s="2728"/>
      <c r="AB69" s="2721"/>
      <c r="AC69" s="1837"/>
      <c r="AD69" s="1838"/>
      <c r="AE69" s="1839"/>
      <c r="AF69" s="1706"/>
      <c r="AG69" s="1707"/>
      <c r="AH69" s="1887"/>
      <c r="AI69" s="1888"/>
      <c r="AJ69" s="2935"/>
      <c r="AK69" s="1889"/>
      <c r="AL69" s="1890"/>
      <c r="AM69" s="1769"/>
      <c r="AN69" s="3167"/>
      <c r="AO69" s="1770"/>
      <c r="AP69" s="3122"/>
      <c r="AQ69" s="1891"/>
      <c r="AR69" s="1892"/>
      <c r="AS69" s="1891"/>
      <c r="AT69" s="1920"/>
      <c r="AU69" s="2866"/>
      <c r="AV69" s="3114"/>
      <c r="AW69" s="3290"/>
      <c r="AX69" s="3195"/>
      <c r="AY69" s="2882"/>
      <c r="AZ69" s="2874"/>
      <c r="BA69" s="2826"/>
      <c r="BB69" s="2728"/>
      <c r="BC69" s="2721"/>
      <c r="BD69" s="1921"/>
      <c r="BE69" s="1922"/>
      <c r="BF69" s="1923"/>
      <c r="BG69" s="1924"/>
      <c r="BH69" s="1947"/>
      <c r="BI69" s="1891"/>
      <c r="BJ69" s="1948"/>
      <c r="BK69" s="1924"/>
      <c r="BL69" s="3634"/>
      <c r="BM69" s="3634"/>
      <c r="BN69" s="1945"/>
      <c r="BO69" s="1945"/>
      <c r="BP69" s="3630"/>
    </row>
    <row r="70" spans="1:68" ht="15.75" thickBot="1">
      <c r="A70" s="3724"/>
      <c r="B70" s="1724" t="s">
        <v>34</v>
      </c>
      <c r="C70" s="3679"/>
      <c r="D70" s="1705">
        <f t="shared" si="0"/>
        <v>0</v>
      </c>
      <c r="E70" s="1706"/>
      <c r="F70" s="1707"/>
      <c r="G70" s="1708"/>
      <c r="H70" s="1709"/>
      <c r="I70" s="2924"/>
      <c r="J70" s="1766"/>
      <c r="K70" s="1767"/>
      <c r="L70" s="1768"/>
      <c r="M70" s="1769"/>
      <c r="N70" s="3178"/>
      <c r="O70" s="1768"/>
      <c r="P70" s="1770"/>
      <c r="Q70" s="3122"/>
      <c r="R70" s="1771"/>
      <c r="S70" s="1772"/>
      <c r="T70" s="1834"/>
      <c r="U70" s="2819"/>
      <c r="V70" s="3187"/>
      <c r="W70" s="2890"/>
      <c r="X70" s="1835"/>
      <c r="Y70" s="1836"/>
      <c r="Z70" s="3298"/>
      <c r="AA70" s="2728"/>
      <c r="AB70" s="2721"/>
      <c r="AC70" s="1837"/>
      <c r="AD70" s="1838"/>
      <c r="AE70" s="1839"/>
      <c r="AF70" s="1706"/>
      <c r="AG70" s="1707"/>
      <c r="AH70" s="1887"/>
      <c r="AI70" s="1888"/>
      <c r="AJ70" s="2935"/>
      <c r="AK70" s="1889"/>
      <c r="AL70" s="1890"/>
      <c r="AM70" s="1769"/>
      <c r="AN70" s="3167"/>
      <c r="AO70" s="1773"/>
      <c r="AP70" s="3125"/>
      <c r="AQ70" s="1891"/>
      <c r="AR70" s="1892"/>
      <c r="AS70" s="1891"/>
      <c r="AT70" s="1920"/>
      <c r="AU70" s="2866"/>
      <c r="AV70" s="3114"/>
      <c r="AW70" s="3290"/>
      <c r="AX70" s="3195"/>
      <c r="AY70" s="2882"/>
      <c r="AZ70" s="2874"/>
      <c r="BA70" s="2826"/>
      <c r="BB70" s="2728"/>
      <c r="BC70" s="2721"/>
      <c r="BD70" s="1921"/>
      <c r="BE70" s="1922"/>
      <c r="BF70" s="1923"/>
      <c r="BG70" s="1924"/>
      <c r="BH70" s="1947"/>
      <c r="BI70" s="1891"/>
      <c r="BJ70" s="1948"/>
      <c r="BK70" s="1924"/>
      <c r="BL70" s="3634"/>
      <c r="BM70" s="3634"/>
      <c r="BN70" s="1945"/>
      <c r="BO70" s="1945"/>
      <c r="BP70" s="3630"/>
    </row>
    <row r="71" spans="1:68" ht="15.75" thickBot="1">
      <c r="A71" s="3723">
        <v>46138</v>
      </c>
      <c r="B71" s="1738" t="s">
        <v>32</v>
      </c>
      <c r="C71" s="3678">
        <f>SUM(D71:D74)</f>
        <v>422</v>
      </c>
      <c r="D71" s="1689">
        <f t="shared" si="0"/>
        <v>422</v>
      </c>
      <c r="E71" s="1690"/>
      <c r="F71" s="1691"/>
      <c r="G71" s="1692"/>
      <c r="H71" s="1693"/>
      <c r="I71" s="2923">
        <f>24+372</f>
        <v>396</v>
      </c>
      <c r="J71" s="1745"/>
      <c r="K71" s="1746"/>
      <c r="L71" s="1747"/>
      <c r="M71" s="1748"/>
      <c r="N71" s="3177"/>
      <c r="O71" s="1747"/>
      <c r="P71" s="1749"/>
      <c r="Q71" s="3121"/>
      <c r="R71" s="1771"/>
      <c r="S71" s="1751"/>
      <c r="T71" s="1815"/>
      <c r="U71" s="2818"/>
      <c r="V71" s="3186"/>
      <c r="W71" s="2889"/>
      <c r="X71" s="1816"/>
      <c r="Y71" s="1817"/>
      <c r="Z71" s="3297"/>
      <c r="AA71" s="2727"/>
      <c r="AB71" s="2720"/>
      <c r="AC71" s="1818"/>
      <c r="AD71" s="1819"/>
      <c r="AE71" s="1820"/>
      <c r="AF71" s="1726"/>
      <c r="AG71" s="1691"/>
      <c r="AH71" s="1869"/>
      <c r="AI71" s="1893"/>
      <c r="AJ71" s="2938"/>
      <c r="AK71" s="1854"/>
      <c r="AL71" s="1894"/>
      <c r="AM71" s="1748"/>
      <c r="AN71" s="3166"/>
      <c r="AO71" s="1749"/>
      <c r="AP71" s="3121"/>
      <c r="AQ71" s="1873"/>
      <c r="AR71" s="1874"/>
      <c r="AS71" s="1873"/>
      <c r="AT71" s="1909"/>
      <c r="AU71" s="2865"/>
      <c r="AV71" s="3113"/>
      <c r="AW71" s="3289"/>
      <c r="AX71" s="3194"/>
      <c r="AY71" s="2881"/>
      <c r="AZ71" s="2873"/>
      <c r="BA71" s="2825"/>
      <c r="BB71" s="2727"/>
      <c r="BC71" s="2720"/>
      <c r="BD71" s="1910"/>
      <c r="BE71" s="1911"/>
      <c r="BF71" s="1864"/>
      <c r="BG71" s="1865"/>
      <c r="BH71" s="1726"/>
      <c r="BI71" s="1873">
        <f>6+20</f>
        <v>26</v>
      </c>
      <c r="BJ71" s="1940"/>
      <c r="BK71" s="1865"/>
      <c r="BL71" s="3633">
        <f>SUM(E71:AE74)</f>
        <v>396</v>
      </c>
      <c r="BM71" s="3633">
        <f>SUM(E71:BG74)</f>
        <v>396</v>
      </c>
      <c r="BN71" s="1945">
        <v>502</v>
      </c>
      <c r="BO71" s="1952" t="s">
        <v>678</v>
      </c>
      <c r="BP71" s="3629" t="s">
        <v>33</v>
      </c>
    </row>
    <row r="72" spans="1:68" ht="15.75" thickBot="1">
      <c r="A72" s="3724"/>
      <c r="B72" s="1694" t="s">
        <v>34</v>
      </c>
      <c r="C72" s="3679"/>
      <c r="D72" s="1705">
        <f t="shared" si="0"/>
        <v>0</v>
      </c>
      <c r="E72" s="1706"/>
      <c r="F72" s="1707"/>
      <c r="G72" s="1708"/>
      <c r="H72" s="1709"/>
      <c r="I72" s="2924"/>
      <c r="J72" s="1766"/>
      <c r="K72" s="1767"/>
      <c r="L72" s="1768"/>
      <c r="M72" s="1769"/>
      <c r="N72" s="3178"/>
      <c r="O72" s="1768"/>
      <c r="P72" s="1770"/>
      <c r="Q72" s="3122"/>
      <c r="R72" s="1771"/>
      <c r="S72" s="1772"/>
      <c r="T72" s="1834"/>
      <c r="U72" s="2819"/>
      <c r="V72" s="3187"/>
      <c r="W72" s="2890"/>
      <c r="X72" s="1835"/>
      <c r="Y72" s="1836"/>
      <c r="Z72" s="3298"/>
      <c r="AA72" s="2728"/>
      <c r="AB72" s="2721"/>
      <c r="AC72" s="1837"/>
      <c r="AD72" s="1838"/>
      <c r="AE72" s="1839"/>
      <c r="AF72" s="1706"/>
      <c r="AG72" s="1707"/>
      <c r="AH72" s="1887"/>
      <c r="AI72" s="1888"/>
      <c r="AJ72" s="2935"/>
      <c r="AK72" s="1889"/>
      <c r="AL72" s="1890"/>
      <c r="AM72" s="1769"/>
      <c r="AN72" s="3167"/>
      <c r="AO72" s="1770"/>
      <c r="AP72" s="3122"/>
      <c r="AQ72" s="1891"/>
      <c r="AR72" s="1892"/>
      <c r="AS72" s="1891"/>
      <c r="AT72" s="1920"/>
      <c r="AU72" s="2866"/>
      <c r="AV72" s="3114"/>
      <c r="AW72" s="3290"/>
      <c r="AX72" s="3195"/>
      <c r="AY72" s="2882"/>
      <c r="AZ72" s="2874"/>
      <c r="BA72" s="2826"/>
      <c r="BB72" s="2728"/>
      <c r="BC72" s="2721"/>
      <c r="BD72" s="1921"/>
      <c r="BE72" s="1922"/>
      <c r="BF72" s="1923"/>
      <c r="BG72" s="1924"/>
      <c r="BH72" s="1947"/>
      <c r="BI72" s="1891"/>
      <c r="BJ72" s="1948"/>
      <c r="BK72" s="1924"/>
      <c r="BL72" s="3634"/>
      <c r="BM72" s="3634"/>
      <c r="BN72" s="1945"/>
      <c r="BO72" s="1952"/>
      <c r="BP72" s="3630"/>
    </row>
    <row r="73" spans="1:68" ht="15.75" thickBot="1">
      <c r="A73" s="3724"/>
      <c r="B73" s="1694" t="s">
        <v>34</v>
      </c>
      <c r="C73" s="3679"/>
      <c r="D73" s="1705">
        <f t="shared" si="0"/>
        <v>0</v>
      </c>
      <c r="E73" s="1706"/>
      <c r="F73" s="1707"/>
      <c r="G73" s="1708"/>
      <c r="H73" s="1709"/>
      <c r="I73" s="2924"/>
      <c r="J73" s="1766"/>
      <c r="K73" s="1767"/>
      <c r="L73" s="1768"/>
      <c r="M73" s="1769"/>
      <c r="N73" s="3178"/>
      <c r="O73" s="1768"/>
      <c r="P73" s="1770"/>
      <c r="Q73" s="3122"/>
      <c r="R73" s="1771"/>
      <c r="S73" s="1772"/>
      <c r="T73" s="1834"/>
      <c r="U73" s="2819"/>
      <c r="V73" s="3187"/>
      <c r="W73" s="2890"/>
      <c r="X73" s="1835"/>
      <c r="Y73" s="1836"/>
      <c r="Z73" s="3298"/>
      <c r="AA73" s="2728"/>
      <c r="AB73" s="2721"/>
      <c r="AC73" s="1837"/>
      <c r="AD73" s="1838"/>
      <c r="AE73" s="1839"/>
      <c r="AF73" s="1706"/>
      <c r="AG73" s="1707"/>
      <c r="AH73" s="1887"/>
      <c r="AI73" s="1888"/>
      <c r="AJ73" s="2935"/>
      <c r="AK73" s="1889"/>
      <c r="AL73" s="1890"/>
      <c r="AM73" s="1769"/>
      <c r="AN73" s="3167"/>
      <c r="AO73" s="1770"/>
      <c r="AP73" s="3122"/>
      <c r="AQ73" s="1891"/>
      <c r="AR73" s="1892"/>
      <c r="AS73" s="1891"/>
      <c r="AT73" s="1920"/>
      <c r="AU73" s="2866"/>
      <c r="AV73" s="3114"/>
      <c r="AW73" s="3290"/>
      <c r="AX73" s="3195"/>
      <c r="AY73" s="2882"/>
      <c r="AZ73" s="2874"/>
      <c r="BA73" s="2826"/>
      <c r="BB73" s="2728"/>
      <c r="BC73" s="2721"/>
      <c r="BD73" s="1921"/>
      <c r="BE73" s="1922"/>
      <c r="BF73" s="1923"/>
      <c r="BG73" s="1924"/>
      <c r="BH73" s="1947"/>
      <c r="BI73" s="1891"/>
      <c r="BJ73" s="1948"/>
      <c r="BK73" s="1924"/>
      <c r="BL73" s="3634"/>
      <c r="BM73" s="3634"/>
      <c r="BN73" s="1945"/>
      <c r="BO73" s="1945"/>
      <c r="BP73" s="3630"/>
    </row>
    <row r="74" spans="1:68" ht="15.75" thickBot="1">
      <c r="A74" s="3724"/>
      <c r="B74" s="1694" t="s">
        <v>34</v>
      </c>
      <c r="C74" s="3679"/>
      <c r="D74" s="1705">
        <f t="shared" si="0"/>
        <v>0</v>
      </c>
      <c r="E74" s="1706"/>
      <c r="F74" s="1707"/>
      <c r="G74" s="1708"/>
      <c r="H74" s="1709"/>
      <c r="I74" s="2924"/>
      <c r="J74" s="1766"/>
      <c r="K74" s="1767"/>
      <c r="L74" s="1768"/>
      <c r="M74" s="1769"/>
      <c r="N74" s="3178"/>
      <c r="O74" s="1768"/>
      <c r="P74" s="1770"/>
      <c r="Q74" s="3122"/>
      <c r="R74" s="1771"/>
      <c r="S74" s="1772"/>
      <c r="T74" s="1834"/>
      <c r="U74" s="2819"/>
      <c r="V74" s="3187"/>
      <c r="W74" s="2890"/>
      <c r="X74" s="1835"/>
      <c r="Y74" s="1836"/>
      <c r="Z74" s="3298"/>
      <c r="AA74" s="2728"/>
      <c r="AB74" s="2721"/>
      <c r="AC74" s="1837"/>
      <c r="AD74" s="1838"/>
      <c r="AE74" s="1839"/>
      <c r="AF74" s="1706"/>
      <c r="AG74" s="1707"/>
      <c r="AH74" s="1887"/>
      <c r="AI74" s="1888"/>
      <c r="AJ74" s="2935"/>
      <c r="AK74" s="1889"/>
      <c r="AL74" s="1890"/>
      <c r="AM74" s="1769"/>
      <c r="AN74" s="3167"/>
      <c r="AO74" s="1770"/>
      <c r="AP74" s="3122"/>
      <c r="AQ74" s="1891"/>
      <c r="AR74" s="1892"/>
      <c r="AS74" s="1891"/>
      <c r="AT74" s="1920"/>
      <c r="AU74" s="2866"/>
      <c r="AV74" s="3114"/>
      <c r="AW74" s="3290"/>
      <c r="AX74" s="3195"/>
      <c r="AY74" s="2882"/>
      <c r="AZ74" s="2874"/>
      <c r="BA74" s="2826"/>
      <c r="BB74" s="2728"/>
      <c r="BC74" s="2721"/>
      <c r="BD74" s="1921"/>
      <c r="BE74" s="1922"/>
      <c r="BF74" s="1923"/>
      <c r="BG74" s="1924"/>
      <c r="BH74" s="1947"/>
      <c r="BI74" s="1891"/>
      <c r="BJ74" s="1948"/>
      <c r="BK74" s="1924"/>
      <c r="BL74" s="3634"/>
      <c r="BM74" s="3634"/>
      <c r="BN74" s="1945"/>
      <c r="BO74" s="1952"/>
      <c r="BP74" s="3630"/>
    </row>
    <row r="75" spans="1:68" ht="15.75" thickBot="1">
      <c r="A75" s="3723">
        <v>46139</v>
      </c>
      <c r="B75" s="1738" t="s">
        <v>32</v>
      </c>
      <c r="C75" s="3678">
        <f>SUM(D75:D78)</f>
        <v>360</v>
      </c>
      <c r="D75" s="1689">
        <f t="shared" si="0"/>
        <v>360</v>
      </c>
      <c r="E75" s="1690"/>
      <c r="F75" s="1691"/>
      <c r="G75" s="1692"/>
      <c r="H75" s="1693"/>
      <c r="I75" s="2923">
        <v>336</v>
      </c>
      <c r="J75" s="1745"/>
      <c r="K75" s="1746"/>
      <c r="L75" s="1747"/>
      <c r="M75" s="1748"/>
      <c r="N75" s="3177"/>
      <c r="O75" s="1747"/>
      <c r="P75" s="1749"/>
      <c r="Q75" s="3121"/>
      <c r="R75" s="1750"/>
      <c r="S75" s="1751"/>
      <c r="T75" s="1815"/>
      <c r="U75" s="2818"/>
      <c r="V75" s="3186"/>
      <c r="W75" s="2889"/>
      <c r="X75" s="1816"/>
      <c r="Y75" s="1817"/>
      <c r="Z75" s="3297"/>
      <c r="AA75" s="2727"/>
      <c r="AB75" s="2720"/>
      <c r="AC75" s="1818"/>
      <c r="AD75" s="1819"/>
      <c r="AE75" s="1820"/>
      <c r="AF75" s="1726"/>
      <c r="AG75" s="1691"/>
      <c r="AH75" s="1869"/>
      <c r="AI75" s="1893"/>
      <c r="AJ75" s="2938"/>
      <c r="AK75" s="1854"/>
      <c r="AL75" s="1894"/>
      <c r="AM75" s="1748"/>
      <c r="AN75" s="3166"/>
      <c r="AO75" s="1749"/>
      <c r="AP75" s="3121"/>
      <c r="AQ75" s="1873"/>
      <c r="AR75" s="1874"/>
      <c r="AS75" s="1873"/>
      <c r="AT75" s="1909"/>
      <c r="AU75" s="2865"/>
      <c r="AV75" s="3113"/>
      <c r="AW75" s="3289"/>
      <c r="AX75" s="3194"/>
      <c r="AY75" s="2881"/>
      <c r="AZ75" s="2873"/>
      <c r="BA75" s="2825"/>
      <c r="BB75" s="2727"/>
      <c r="BC75" s="2720"/>
      <c r="BD75" s="1910"/>
      <c r="BE75" s="1911"/>
      <c r="BF75" s="1864"/>
      <c r="BG75" s="1865"/>
      <c r="BH75" s="1726"/>
      <c r="BI75" s="1873">
        <v>24</v>
      </c>
      <c r="BJ75" s="1940"/>
      <c r="BK75" s="1865"/>
      <c r="BL75" s="3633">
        <f>SUM(E75:AE78)</f>
        <v>336</v>
      </c>
      <c r="BM75" s="3633">
        <f>SUM(E75:BG78)</f>
        <v>336</v>
      </c>
      <c r="BN75" s="1945">
        <v>502</v>
      </c>
      <c r="BO75" s="1952" t="s">
        <v>533</v>
      </c>
      <c r="BP75" s="3629" t="s">
        <v>33</v>
      </c>
    </row>
    <row r="76" spans="1:68" ht="15.75" thickBot="1">
      <c r="A76" s="3724"/>
      <c r="B76" s="1694" t="s">
        <v>34</v>
      </c>
      <c r="C76" s="3679"/>
      <c r="D76" s="1705">
        <f t="shared" si="0"/>
        <v>0</v>
      </c>
      <c r="E76" s="1706"/>
      <c r="F76" s="1707"/>
      <c r="G76" s="1708"/>
      <c r="H76" s="1709"/>
      <c r="I76" s="2924"/>
      <c r="J76" s="1766"/>
      <c r="K76" s="1767"/>
      <c r="L76" s="1768"/>
      <c r="M76" s="1769"/>
      <c r="N76" s="3178"/>
      <c r="O76" s="1768"/>
      <c r="P76" s="1770"/>
      <c r="Q76" s="3122"/>
      <c r="R76" s="1771"/>
      <c r="S76" s="1772"/>
      <c r="T76" s="1834"/>
      <c r="U76" s="2819"/>
      <c r="V76" s="3187"/>
      <c r="W76" s="2890"/>
      <c r="X76" s="1835"/>
      <c r="Y76" s="1836"/>
      <c r="Z76" s="3298"/>
      <c r="AA76" s="2728"/>
      <c r="AB76" s="2721"/>
      <c r="AC76" s="1837"/>
      <c r="AD76" s="1838"/>
      <c r="AE76" s="1839"/>
      <c r="AF76" s="1706"/>
      <c r="AG76" s="1707"/>
      <c r="AH76" s="1887"/>
      <c r="AI76" s="1888"/>
      <c r="AJ76" s="2935"/>
      <c r="AK76" s="1889"/>
      <c r="AL76" s="1890"/>
      <c r="AM76" s="1769"/>
      <c r="AN76" s="3167"/>
      <c r="AO76" s="1770"/>
      <c r="AP76" s="3122"/>
      <c r="AQ76" s="1891"/>
      <c r="AR76" s="1892"/>
      <c r="AS76" s="1891"/>
      <c r="AT76" s="1920"/>
      <c r="AU76" s="2866"/>
      <c r="AV76" s="3114"/>
      <c r="AW76" s="3290"/>
      <c r="AX76" s="3195"/>
      <c r="AY76" s="2882"/>
      <c r="AZ76" s="2874"/>
      <c r="BA76" s="2826"/>
      <c r="BB76" s="2728"/>
      <c r="BC76" s="2721"/>
      <c r="BD76" s="1921"/>
      <c r="BE76" s="1922"/>
      <c r="BF76" s="1923"/>
      <c r="BG76" s="1924"/>
      <c r="BH76" s="1947"/>
      <c r="BI76" s="1891"/>
      <c r="BJ76" s="1948"/>
      <c r="BK76" s="1924"/>
      <c r="BL76" s="3634"/>
      <c r="BM76" s="3634"/>
      <c r="BN76" s="1942"/>
      <c r="BO76" s="1945"/>
      <c r="BP76" s="3630"/>
    </row>
    <row r="77" spans="1:68" ht="15.75" thickBot="1">
      <c r="A77" s="3724"/>
      <c r="B77" s="1694" t="s">
        <v>34</v>
      </c>
      <c r="C77" s="3679"/>
      <c r="D77" s="1705">
        <f t="shared" si="0"/>
        <v>0</v>
      </c>
      <c r="E77" s="1706"/>
      <c r="F77" s="1707"/>
      <c r="G77" s="1708"/>
      <c r="H77" s="1709"/>
      <c r="I77" s="2924"/>
      <c r="J77" s="1766"/>
      <c r="K77" s="1767"/>
      <c r="L77" s="1768"/>
      <c r="M77" s="1769"/>
      <c r="N77" s="3178"/>
      <c r="O77" s="1768"/>
      <c r="P77" s="1770"/>
      <c r="Q77" s="3122"/>
      <c r="R77" s="1771"/>
      <c r="S77" s="1772"/>
      <c r="T77" s="1834"/>
      <c r="U77" s="2819"/>
      <c r="V77" s="3187"/>
      <c r="W77" s="2890"/>
      <c r="X77" s="1835"/>
      <c r="Y77" s="1836"/>
      <c r="Z77" s="3298"/>
      <c r="AA77" s="2728"/>
      <c r="AB77" s="2721"/>
      <c r="AC77" s="1837"/>
      <c r="AD77" s="1838"/>
      <c r="AE77" s="1839"/>
      <c r="AF77" s="1706"/>
      <c r="AG77" s="1707"/>
      <c r="AH77" s="1887"/>
      <c r="AI77" s="1888"/>
      <c r="AJ77" s="2935"/>
      <c r="AK77" s="1889"/>
      <c r="AL77" s="1890"/>
      <c r="AM77" s="1769"/>
      <c r="AN77" s="3167"/>
      <c r="AO77" s="1770"/>
      <c r="AP77" s="3122"/>
      <c r="AQ77" s="1891"/>
      <c r="AR77" s="1892"/>
      <c r="AS77" s="1891"/>
      <c r="AT77" s="1920"/>
      <c r="AU77" s="2866"/>
      <c r="AV77" s="3114"/>
      <c r="AW77" s="3290"/>
      <c r="AX77" s="3195"/>
      <c r="AY77" s="2882"/>
      <c r="AZ77" s="2874"/>
      <c r="BA77" s="2826"/>
      <c r="BB77" s="2728"/>
      <c r="BC77" s="2721"/>
      <c r="BD77" s="1921"/>
      <c r="BE77" s="1922"/>
      <c r="BF77" s="1923"/>
      <c r="BG77" s="1924"/>
      <c r="BH77" s="1947"/>
      <c r="BI77" s="1891"/>
      <c r="BJ77" s="1948"/>
      <c r="BK77" s="1924"/>
      <c r="BL77" s="3634"/>
      <c r="BM77" s="3634"/>
      <c r="BN77" s="1942"/>
      <c r="BO77" s="1945"/>
      <c r="BP77" s="3630"/>
    </row>
    <row r="78" spans="1:68" ht="15.75" thickBot="1">
      <c r="A78" s="3724"/>
      <c r="B78" s="1694" t="s">
        <v>34</v>
      </c>
      <c r="C78" s="3679"/>
      <c r="D78" s="1705">
        <f t="shared" si="0"/>
        <v>0</v>
      </c>
      <c r="E78" s="1706"/>
      <c r="F78" s="1707"/>
      <c r="G78" s="1708"/>
      <c r="H78" s="1709"/>
      <c r="I78" s="2924"/>
      <c r="J78" s="1766"/>
      <c r="K78" s="1767"/>
      <c r="L78" s="1768"/>
      <c r="M78" s="1769"/>
      <c r="N78" s="3178"/>
      <c r="O78" s="1768"/>
      <c r="P78" s="1770"/>
      <c r="Q78" s="3122"/>
      <c r="R78" s="1771"/>
      <c r="S78" s="1772"/>
      <c r="T78" s="1834"/>
      <c r="U78" s="2819"/>
      <c r="V78" s="3187"/>
      <c r="W78" s="2890"/>
      <c r="X78" s="1835"/>
      <c r="Y78" s="1836"/>
      <c r="Z78" s="3298"/>
      <c r="AA78" s="2728"/>
      <c r="AB78" s="2721"/>
      <c r="AC78" s="1837"/>
      <c r="AD78" s="1838"/>
      <c r="AE78" s="1839"/>
      <c r="AF78" s="1706"/>
      <c r="AG78" s="1707"/>
      <c r="AH78" s="1887"/>
      <c r="AI78" s="1888"/>
      <c r="AJ78" s="2935"/>
      <c r="AK78" s="1889"/>
      <c r="AL78" s="1890"/>
      <c r="AM78" s="1769"/>
      <c r="AN78" s="3167"/>
      <c r="AO78" s="1770"/>
      <c r="AP78" s="3122"/>
      <c r="AQ78" s="1891"/>
      <c r="AR78" s="1892"/>
      <c r="AS78" s="1891"/>
      <c r="AT78" s="1920"/>
      <c r="AU78" s="2866"/>
      <c r="AV78" s="3114"/>
      <c r="AW78" s="3290"/>
      <c r="AX78" s="3195"/>
      <c r="AY78" s="2882"/>
      <c r="AZ78" s="2874"/>
      <c r="BA78" s="2826"/>
      <c r="BB78" s="2728"/>
      <c r="BC78" s="2721"/>
      <c r="BD78" s="1921"/>
      <c r="BE78" s="1922"/>
      <c r="BF78" s="1923"/>
      <c r="BG78" s="1924"/>
      <c r="BH78" s="1947"/>
      <c r="BI78" s="1891"/>
      <c r="BJ78" s="1948"/>
      <c r="BK78" s="1924"/>
      <c r="BL78" s="3634"/>
      <c r="BM78" s="3634"/>
      <c r="BN78" s="1942"/>
      <c r="BO78" s="1945"/>
      <c r="BP78" s="3630"/>
    </row>
    <row r="79" spans="1:68" ht="15.75" thickBot="1">
      <c r="A79" s="3723">
        <v>46140</v>
      </c>
      <c r="B79" s="1738" t="s">
        <v>32</v>
      </c>
      <c r="C79" s="3678">
        <f>SUM(D79:D83)</f>
        <v>293</v>
      </c>
      <c r="D79" s="1689">
        <f t="shared" si="0"/>
        <v>293</v>
      </c>
      <c r="E79" s="1690"/>
      <c r="F79" s="1691"/>
      <c r="G79" s="1692"/>
      <c r="H79" s="1693"/>
      <c r="I79" s="2923">
        <v>276</v>
      </c>
      <c r="J79" s="1745"/>
      <c r="K79" s="1746"/>
      <c r="L79" s="1747"/>
      <c r="M79" s="1748"/>
      <c r="N79" s="3177"/>
      <c r="O79" s="1747"/>
      <c r="P79" s="1749"/>
      <c r="Q79" s="3121"/>
      <c r="R79" s="1750"/>
      <c r="S79" s="1751"/>
      <c r="T79" s="1815"/>
      <c r="U79" s="2818"/>
      <c r="V79" s="3186"/>
      <c r="W79" s="2889"/>
      <c r="X79" s="1816"/>
      <c r="Y79" s="1817"/>
      <c r="Z79" s="3297"/>
      <c r="AA79" s="2727"/>
      <c r="AB79" s="2720"/>
      <c r="AC79" s="1818"/>
      <c r="AD79" s="1819"/>
      <c r="AE79" s="1820"/>
      <c r="AF79" s="1726"/>
      <c r="AG79" s="1691"/>
      <c r="AH79" s="1869"/>
      <c r="AI79" s="1893"/>
      <c r="AJ79" s="2938"/>
      <c r="AK79" s="1854"/>
      <c r="AL79" s="1894"/>
      <c r="AM79" s="1748"/>
      <c r="AN79" s="3166"/>
      <c r="AO79" s="1749"/>
      <c r="AP79" s="3121"/>
      <c r="AQ79" s="1873"/>
      <c r="AR79" s="1874"/>
      <c r="AS79" s="1873"/>
      <c r="AT79" s="1909"/>
      <c r="AU79" s="2865"/>
      <c r="AV79" s="3113"/>
      <c r="AW79" s="3289"/>
      <c r="AX79" s="3194"/>
      <c r="AY79" s="2881"/>
      <c r="AZ79" s="2873"/>
      <c r="BA79" s="2825"/>
      <c r="BB79" s="2727"/>
      <c r="BC79" s="2720"/>
      <c r="BD79" s="1910"/>
      <c r="BE79" s="1911"/>
      <c r="BF79" s="1864"/>
      <c r="BG79" s="1865"/>
      <c r="BH79" s="1726"/>
      <c r="BI79" s="1873">
        <v>17</v>
      </c>
      <c r="BJ79" s="1940"/>
      <c r="BK79" s="1865"/>
      <c r="BL79" s="3633">
        <f>SUM(E79:AE83)</f>
        <v>276</v>
      </c>
      <c r="BM79" s="3633">
        <f>SUM(E79:BG83)</f>
        <v>276</v>
      </c>
      <c r="BN79" s="1942">
        <v>502</v>
      </c>
      <c r="BO79" s="1945" t="s">
        <v>533</v>
      </c>
      <c r="BP79" s="3629" t="s">
        <v>33</v>
      </c>
    </row>
    <row r="80" spans="1:68" ht="15.75" customHeight="1" thickBot="1">
      <c r="A80" s="3724"/>
      <c r="B80" s="1694" t="s">
        <v>34</v>
      </c>
      <c r="C80" s="3679"/>
      <c r="D80" s="1705">
        <f t="shared" si="0"/>
        <v>0</v>
      </c>
      <c r="E80" s="1706"/>
      <c r="F80" s="1707"/>
      <c r="G80" s="1708"/>
      <c r="H80" s="1709"/>
      <c r="I80" s="2924"/>
      <c r="J80" s="1766"/>
      <c r="K80" s="1767"/>
      <c r="L80" s="1768"/>
      <c r="M80" s="1769"/>
      <c r="N80" s="3178"/>
      <c r="O80" s="1768"/>
      <c r="P80" s="1770"/>
      <c r="Q80" s="3122"/>
      <c r="R80" s="1771"/>
      <c r="S80" s="1772"/>
      <c r="T80" s="1834"/>
      <c r="U80" s="2819"/>
      <c r="V80" s="3187"/>
      <c r="W80" s="2890"/>
      <c r="X80" s="1835"/>
      <c r="Y80" s="1836"/>
      <c r="Z80" s="3298"/>
      <c r="AA80" s="2728"/>
      <c r="AB80" s="2721"/>
      <c r="AC80" s="1837"/>
      <c r="AD80" s="1838"/>
      <c r="AE80" s="1839"/>
      <c r="AF80" s="1706"/>
      <c r="AG80" s="1707"/>
      <c r="AH80" s="1887"/>
      <c r="AI80" s="1888"/>
      <c r="AJ80" s="2935"/>
      <c r="AK80" s="1889"/>
      <c r="AL80" s="1890"/>
      <c r="AM80" s="1769"/>
      <c r="AN80" s="3167"/>
      <c r="AO80" s="1770"/>
      <c r="AP80" s="3122"/>
      <c r="AQ80" s="1891"/>
      <c r="AR80" s="1892"/>
      <c r="AS80" s="1891"/>
      <c r="AT80" s="1920"/>
      <c r="AU80" s="2866"/>
      <c r="AV80" s="3114"/>
      <c r="AW80" s="3290"/>
      <c r="AX80" s="3195"/>
      <c r="AY80" s="2882"/>
      <c r="AZ80" s="2874"/>
      <c r="BA80" s="2826"/>
      <c r="BB80" s="2728"/>
      <c r="BC80" s="2721"/>
      <c r="BD80" s="1921"/>
      <c r="BE80" s="1922"/>
      <c r="BF80" s="1923"/>
      <c r="BG80" s="1924"/>
      <c r="BH80" s="1947"/>
      <c r="BI80" s="1891"/>
      <c r="BJ80" s="1948"/>
      <c r="BK80" s="1924"/>
      <c r="BL80" s="3634"/>
      <c r="BM80" s="3634"/>
      <c r="BN80" s="1942"/>
      <c r="BO80" s="1945"/>
      <c r="BP80" s="3630"/>
    </row>
    <row r="81" spans="1:68" ht="15.75" thickBot="1">
      <c r="A81" s="3724"/>
      <c r="B81" s="1694" t="s">
        <v>34</v>
      </c>
      <c r="C81" s="3679"/>
      <c r="D81" s="1705">
        <f t="shared" si="0"/>
        <v>0</v>
      </c>
      <c r="E81" s="1706"/>
      <c r="F81" s="1707"/>
      <c r="G81" s="1708"/>
      <c r="H81" s="1709"/>
      <c r="I81" s="2924"/>
      <c r="J81" s="1766"/>
      <c r="K81" s="1767"/>
      <c r="L81" s="1768"/>
      <c r="M81" s="1769"/>
      <c r="N81" s="3178"/>
      <c r="O81" s="1768"/>
      <c r="P81" s="1770"/>
      <c r="Q81" s="3122"/>
      <c r="R81" s="1771"/>
      <c r="S81" s="1772"/>
      <c r="T81" s="1834"/>
      <c r="U81" s="2819"/>
      <c r="V81" s="3187"/>
      <c r="W81" s="2890"/>
      <c r="X81" s="1835"/>
      <c r="Y81" s="1836"/>
      <c r="Z81" s="3298"/>
      <c r="AA81" s="2728"/>
      <c r="AB81" s="2721"/>
      <c r="AC81" s="1837"/>
      <c r="AD81" s="1838"/>
      <c r="AE81" s="1839"/>
      <c r="AF81" s="1706"/>
      <c r="AG81" s="1707"/>
      <c r="AH81" s="1887"/>
      <c r="AI81" s="1888"/>
      <c r="AJ81" s="2935"/>
      <c r="AK81" s="1889"/>
      <c r="AL81" s="1890"/>
      <c r="AM81" s="1769"/>
      <c r="AN81" s="3167"/>
      <c r="AO81" s="1770"/>
      <c r="AP81" s="3122"/>
      <c r="AQ81" s="1891"/>
      <c r="AR81" s="1892"/>
      <c r="AS81" s="1891"/>
      <c r="AT81" s="1920"/>
      <c r="AU81" s="2866"/>
      <c r="AV81" s="3114"/>
      <c r="AW81" s="3290"/>
      <c r="AX81" s="3195"/>
      <c r="AY81" s="2882"/>
      <c r="AZ81" s="2874"/>
      <c r="BA81" s="2826"/>
      <c r="BB81" s="2728"/>
      <c r="BC81" s="2721"/>
      <c r="BD81" s="1921"/>
      <c r="BE81" s="1922"/>
      <c r="BF81" s="1923"/>
      <c r="BG81" s="1924"/>
      <c r="BH81" s="1947"/>
      <c r="BI81" s="1891"/>
      <c r="BJ81" s="1948"/>
      <c r="BK81" s="1924"/>
      <c r="BL81" s="3634"/>
      <c r="BM81" s="3634"/>
      <c r="BN81" s="1942"/>
      <c r="BO81" s="1945"/>
      <c r="BP81" s="3630"/>
    </row>
    <row r="82" spans="1:68" ht="15.75" thickBot="1">
      <c r="A82" s="3724"/>
      <c r="B82" s="1694" t="s">
        <v>34</v>
      </c>
      <c r="C82" s="3679"/>
      <c r="D82" s="1705">
        <f t="shared" ref="D82" si="14">SUM(E82:BK82)</f>
        <v>0</v>
      </c>
      <c r="E82" s="1706"/>
      <c r="F82" s="1707"/>
      <c r="G82" s="1708"/>
      <c r="H82" s="1709"/>
      <c r="I82" s="2924"/>
      <c r="J82" s="1766"/>
      <c r="K82" s="1767"/>
      <c r="L82" s="1768"/>
      <c r="M82" s="1769"/>
      <c r="N82" s="3178"/>
      <c r="O82" s="1768"/>
      <c r="P82" s="1770"/>
      <c r="Q82" s="3122"/>
      <c r="R82" s="1771"/>
      <c r="S82" s="1772"/>
      <c r="T82" s="1834"/>
      <c r="U82" s="2819"/>
      <c r="V82" s="3187"/>
      <c r="W82" s="2890"/>
      <c r="X82" s="1835"/>
      <c r="Y82" s="1836"/>
      <c r="Z82" s="3298"/>
      <c r="AA82" s="2728"/>
      <c r="AB82" s="2721"/>
      <c r="AC82" s="1837"/>
      <c r="AD82" s="1838"/>
      <c r="AE82" s="1839"/>
      <c r="AF82" s="1706"/>
      <c r="AG82" s="1707"/>
      <c r="AH82" s="1887"/>
      <c r="AI82" s="1888"/>
      <c r="AJ82" s="2935"/>
      <c r="AK82" s="1889"/>
      <c r="AL82" s="1890"/>
      <c r="AM82" s="1769"/>
      <c r="AN82" s="3167"/>
      <c r="AO82" s="1770"/>
      <c r="AP82" s="3122"/>
      <c r="AQ82" s="1891"/>
      <c r="AR82" s="1892"/>
      <c r="AS82" s="1891"/>
      <c r="AT82" s="1920"/>
      <c r="AU82" s="2866"/>
      <c r="AV82" s="3114"/>
      <c r="AW82" s="3290"/>
      <c r="AX82" s="3195"/>
      <c r="AY82" s="2882"/>
      <c r="AZ82" s="2874"/>
      <c r="BA82" s="2826"/>
      <c r="BB82" s="2728"/>
      <c r="BC82" s="2721"/>
      <c r="BD82" s="1921"/>
      <c r="BE82" s="1922"/>
      <c r="BF82" s="1923"/>
      <c r="BG82" s="1924"/>
      <c r="BH82" s="1947"/>
      <c r="BI82" s="1891"/>
      <c r="BJ82" s="1948"/>
      <c r="BK82" s="1924"/>
      <c r="BL82" s="3634"/>
      <c r="BM82" s="3634"/>
      <c r="BN82" s="1942"/>
      <c r="BO82" s="1945"/>
      <c r="BP82" s="3630"/>
    </row>
    <row r="83" spans="1:68" ht="15.75" customHeight="1" thickBot="1">
      <c r="A83" s="3724"/>
      <c r="B83" s="1694" t="s">
        <v>34</v>
      </c>
      <c r="C83" s="3679"/>
      <c r="D83" s="1705">
        <f t="shared" si="0"/>
        <v>0</v>
      </c>
      <c r="E83" s="1706"/>
      <c r="F83" s="1707"/>
      <c r="G83" s="1708"/>
      <c r="H83" s="1709"/>
      <c r="I83" s="2924"/>
      <c r="J83" s="1766"/>
      <c r="K83" s="1767"/>
      <c r="L83" s="1768"/>
      <c r="M83" s="1769"/>
      <c r="N83" s="3178"/>
      <c r="O83" s="1768"/>
      <c r="P83" s="1770"/>
      <c r="Q83" s="3122"/>
      <c r="R83" s="1771"/>
      <c r="S83" s="1772"/>
      <c r="T83" s="1834"/>
      <c r="U83" s="2819"/>
      <c r="V83" s="3187"/>
      <c r="W83" s="2890"/>
      <c r="X83" s="1835"/>
      <c r="Y83" s="1836"/>
      <c r="Z83" s="3298"/>
      <c r="AA83" s="2728"/>
      <c r="AB83" s="2721"/>
      <c r="AC83" s="1837"/>
      <c r="AD83" s="1838"/>
      <c r="AE83" s="1839"/>
      <c r="AF83" s="1706"/>
      <c r="AG83" s="1707"/>
      <c r="AH83" s="1887"/>
      <c r="AI83" s="1888"/>
      <c r="AJ83" s="2935"/>
      <c r="AK83" s="1889"/>
      <c r="AL83" s="1890"/>
      <c r="AM83" s="1769"/>
      <c r="AN83" s="3167"/>
      <c r="AO83" s="1770"/>
      <c r="AP83" s="3122"/>
      <c r="AQ83" s="1891"/>
      <c r="AR83" s="1892"/>
      <c r="AS83" s="1891"/>
      <c r="AT83" s="1920"/>
      <c r="AU83" s="2866"/>
      <c r="AV83" s="3114"/>
      <c r="AW83" s="3290"/>
      <c r="AX83" s="3195"/>
      <c r="AY83" s="2882"/>
      <c r="AZ83" s="2874"/>
      <c r="BA83" s="2826"/>
      <c r="BB83" s="2728"/>
      <c r="BC83" s="2721"/>
      <c r="BD83" s="1921"/>
      <c r="BE83" s="1922"/>
      <c r="BF83" s="1923"/>
      <c r="BG83" s="1924"/>
      <c r="BH83" s="1947"/>
      <c r="BI83" s="1891"/>
      <c r="BJ83" s="1948"/>
      <c r="BK83" s="1924"/>
      <c r="BL83" s="3634"/>
      <c r="BM83" s="3634"/>
      <c r="BN83" s="1942"/>
      <c r="BO83" s="1952"/>
      <c r="BP83" s="3630"/>
    </row>
    <row r="84" spans="1:68" ht="15.75" thickBot="1">
      <c r="A84" s="3723">
        <v>46141</v>
      </c>
      <c r="B84" s="1738" t="s">
        <v>32</v>
      </c>
      <c r="C84" s="3678">
        <f>SUM(D84:D87)</f>
        <v>323</v>
      </c>
      <c r="D84" s="1689">
        <f t="shared" si="0"/>
        <v>323</v>
      </c>
      <c r="E84" s="1690"/>
      <c r="F84" s="1691"/>
      <c r="G84" s="1692"/>
      <c r="H84" s="1693"/>
      <c r="I84" s="2923">
        <v>312</v>
      </c>
      <c r="J84" s="1745"/>
      <c r="K84" s="1746"/>
      <c r="L84" s="1747"/>
      <c r="M84" s="1748"/>
      <c r="N84" s="3177"/>
      <c r="O84" s="1747"/>
      <c r="P84" s="1749"/>
      <c r="Q84" s="3121"/>
      <c r="R84" s="1750"/>
      <c r="S84" s="1751"/>
      <c r="T84" s="1815"/>
      <c r="U84" s="2818"/>
      <c r="V84" s="3186"/>
      <c r="W84" s="2889"/>
      <c r="X84" s="1816"/>
      <c r="Y84" s="1817"/>
      <c r="Z84" s="3297"/>
      <c r="AA84" s="2727"/>
      <c r="AB84" s="2720"/>
      <c r="AC84" s="1818"/>
      <c r="AD84" s="1819"/>
      <c r="AE84" s="1820"/>
      <c r="AF84" s="1726"/>
      <c r="AG84" s="1691"/>
      <c r="AH84" s="1869"/>
      <c r="AI84" s="1893"/>
      <c r="AJ84" s="2938"/>
      <c r="AK84" s="1854"/>
      <c r="AL84" s="1894"/>
      <c r="AM84" s="1748"/>
      <c r="AN84" s="3166"/>
      <c r="AO84" s="1749"/>
      <c r="AP84" s="3121"/>
      <c r="AQ84" s="1873"/>
      <c r="AR84" s="1874"/>
      <c r="AS84" s="1873"/>
      <c r="AT84" s="1909"/>
      <c r="AU84" s="2865"/>
      <c r="AV84" s="3113"/>
      <c r="AW84" s="3289"/>
      <c r="AX84" s="3194"/>
      <c r="AY84" s="2881"/>
      <c r="AZ84" s="2873"/>
      <c r="BA84" s="2825"/>
      <c r="BB84" s="2727"/>
      <c r="BC84" s="2720"/>
      <c r="BD84" s="1910"/>
      <c r="BE84" s="1911"/>
      <c r="BF84" s="1864"/>
      <c r="BG84" s="1865"/>
      <c r="BH84" s="1726"/>
      <c r="BI84" s="1873">
        <v>11</v>
      </c>
      <c r="BJ84" s="1940"/>
      <c r="BK84" s="1865"/>
      <c r="BL84" s="3633">
        <f>SUM(E84:AE87)</f>
        <v>312</v>
      </c>
      <c r="BM84" s="3633">
        <f>SUM(E84:BG87)</f>
        <v>312</v>
      </c>
      <c r="BN84" s="1942">
        <v>502</v>
      </c>
      <c r="BO84" s="1952" t="s">
        <v>533</v>
      </c>
      <c r="BP84" s="3629" t="s">
        <v>33</v>
      </c>
    </row>
    <row r="85" spans="1:68" ht="15.75" thickBot="1">
      <c r="A85" s="3724"/>
      <c r="B85" s="1694" t="s">
        <v>34</v>
      </c>
      <c r="C85" s="3679"/>
      <c r="D85" s="1705">
        <f t="shared" si="0"/>
        <v>0</v>
      </c>
      <c r="E85" s="1706"/>
      <c r="F85" s="1707"/>
      <c r="G85" s="1708"/>
      <c r="H85" s="1709"/>
      <c r="I85" s="2924"/>
      <c r="J85" s="1766"/>
      <c r="K85" s="1767"/>
      <c r="L85" s="1768"/>
      <c r="M85" s="1769"/>
      <c r="N85" s="3178"/>
      <c r="O85" s="1768"/>
      <c r="P85" s="1770"/>
      <c r="Q85" s="3122"/>
      <c r="R85" s="1771"/>
      <c r="S85" s="1772"/>
      <c r="T85" s="1834"/>
      <c r="U85" s="2819"/>
      <c r="V85" s="3187"/>
      <c r="W85" s="2890"/>
      <c r="X85" s="1835"/>
      <c r="Y85" s="1836"/>
      <c r="Z85" s="3298"/>
      <c r="AA85" s="2728"/>
      <c r="AB85" s="2721"/>
      <c r="AC85" s="1837"/>
      <c r="AD85" s="1838"/>
      <c r="AE85" s="1839"/>
      <c r="AF85" s="1706"/>
      <c r="AG85" s="1707"/>
      <c r="AH85" s="1887"/>
      <c r="AI85" s="1888"/>
      <c r="AJ85" s="2935"/>
      <c r="AK85" s="1889"/>
      <c r="AL85" s="1890"/>
      <c r="AM85" s="1769"/>
      <c r="AN85" s="3167"/>
      <c r="AO85" s="1770"/>
      <c r="AP85" s="3122"/>
      <c r="AQ85" s="1891"/>
      <c r="AR85" s="1892"/>
      <c r="AS85" s="1891"/>
      <c r="AT85" s="1920"/>
      <c r="AU85" s="2866"/>
      <c r="AV85" s="3114"/>
      <c r="AW85" s="3290"/>
      <c r="AX85" s="3195"/>
      <c r="AY85" s="2882"/>
      <c r="AZ85" s="2874"/>
      <c r="BA85" s="2826"/>
      <c r="BB85" s="2728"/>
      <c r="BC85" s="2721"/>
      <c r="BD85" s="1921"/>
      <c r="BE85" s="1922"/>
      <c r="BF85" s="1923"/>
      <c r="BG85" s="1924"/>
      <c r="BH85" s="1947"/>
      <c r="BI85" s="1891"/>
      <c r="BJ85" s="1948"/>
      <c r="BK85" s="1924"/>
      <c r="BL85" s="3634"/>
      <c r="BM85" s="3634"/>
      <c r="BN85" s="1942"/>
      <c r="BO85" s="1952"/>
      <c r="BP85" s="3630"/>
    </row>
    <row r="86" spans="1:68" ht="15.75" thickBot="1">
      <c r="A86" s="3724"/>
      <c r="B86" s="1694" t="s">
        <v>34</v>
      </c>
      <c r="C86" s="3679"/>
      <c r="D86" s="1705">
        <f t="shared" si="0"/>
        <v>0</v>
      </c>
      <c r="E86" s="1706"/>
      <c r="F86" s="1707"/>
      <c r="G86" s="1708"/>
      <c r="H86" s="1709"/>
      <c r="I86" s="2924"/>
      <c r="J86" s="1766"/>
      <c r="K86" s="1767"/>
      <c r="L86" s="1768"/>
      <c r="M86" s="1769"/>
      <c r="N86" s="3178"/>
      <c r="O86" s="1768"/>
      <c r="P86" s="1770"/>
      <c r="Q86" s="3122"/>
      <c r="R86" s="1771"/>
      <c r="S86" s="1772"/>
      <c r="T86" s="1834"/>
      <c r="U86" s="2819"/>
      <c r="V86" s="3187"/>
      <c r="W86" s="2890"/>
      <c r="X86" s="1835"/>
      <c r="Y86" s="1836"/>
      <c r="Z86" s="3298"/>
      <c r="AA86" s="2728"/>
      <c r="AB86" s="2721"/>
      <c r="AC86" s="1837"/>
      <c r="AD86" s="1838"/>
      <c r="AE86" s="1839"/>
      <c r="AF86" s="1706"/>
      <c r="AG86" s="1707"/>
      <c r="AH86" s="1887"/>
      <c r="AI86" s="1888"/>
      <c r="AJ86" s="2935"/>
      <c r="AK86" s="1889"/>
      <c r="AL86" s="1890"/>
      <c r="AM86" s="1769"/>
      <c r="AN86" s="3167"/>
      <c r="AO86" s="1770"/>
      <c r="AP86" s="3122"/>
      <c r="AQ86" s="1891"/>
      <c r="AR86" s="1892"/>
      <c r="AS86" s="1891"/>
      <c r="AT86" s="1920"/>
      <c r="AU86" s="2866"/>
      <c r="AV86" s="3114"/>
      <c r="AW86" s="3290"/>
      <c r="AX86" s="3195"/>
      <c r="AY86" s="2882"/>
      <c r="AZ86" s="2874"/>
      <c r="BA86" s="2826"/>
      <c r="BB86" s="2728"/>
      <c r="BC86" s="2721"/>
      <c r="BD86" s="1921"/>
      <c r="BE86" s="1922"/>
      <c r="BF86" s="1923"/>
      <c r="BG86" s="1924"/>
      <c r="BH86" s="1947"/>
      <c r="BI86" s="1891"/>
      <c r="BJ86" s="1948"/>
      <c r="BK86" s="1924"/>
      <c r="BL86" s="3634"/>
      <c r="BM86" s="3634"/>
      <c r="BN86" s="1942"/>
      <c r="BO86" s="1952"/>
      <c r="BP86" s="3630"/>
    </row>
    <row r="87" spans="1:68" ht="15.75" thickBot="1">
      <c r="A87" s="3724"/>
      <c r="B87" s="1694" t="s">
        <v>34</v>
      </c>
      <c r="C87" s="3681"/>
      <c r="D87" s="1705">
        <f t="shared" si="0"/>
        <v>0</v>
      </c>
      <c r="E87" s="1706"/>
      <c r="F87" s="1707"/>
      <c r="G87" s="1708"/>
      <c r="H87" s="1709"/>
      <c r="I87" s="2924"/>
      <c r="J87" s="1766"/>
      <c r="K87" s="1767"/>
      <c r="L87" s="1768"/>
      <c r="M87" s="1769"/>
      <c r="N87" s="3178"/>
      <c r="O87" s="1768"/>
      <c r="P87" s="1770"/>
      <c r="Q87" s="3122"/>
      <c r="R87" s="1771"/>
      <c r="S87" s="1772"/>
      <c r="T87" s="1834"/>
      <c r="U87" s="2819"/>
      <c r="V87" s="3187"/>
      <c r="W87" s="2890"/>
      <c r="X87" s="1835"/>
      <c r="Y87" s="1836"/>
      <c r="Z87" s="3298"/>
      <c r="AA87" s="2728"/>
      <c r="AB87" s="2721"/>
      <c r="AC87" s="1837"/>
      <c r="AD87" s="1838"/>
      <c r="AE87" s="1839"/>
      <c r="AF87" s="1706"/>
      <c r="AG87" s="1707"/>
      <c r="AH87" s="1887"/>
      <c r="AI87" s="1888"/>
      <c r="AJ87" s="2935"/>
      <c r="AK87" s="1889"/>
      <c r="AL87" s="1890"/>
      <c r="AM87" s="1769"/>
      <c r="AN87" s="3167"/>
      <c r="AO87" s="1770"/>
      <c r="AP87" s="3122"/>
      <c r="AQ87" s="1891"/>
      <c r="AR87" s="1892"/>
      <c r="AS87" s="1891"/>
      <c r="AT87" s="1920"/>
      <c r="AU87" s="2866"/>
      <c r="AV87" s="3114"/>
      <c r="AW87" s="3290"/>
      <c r="AX87" s="3195"/>
      <c r="AY87" s="2882"/>
      <c r="AZ87" s="2874"/>
      <c r="BA87" s="2826"/>
      <c r="BB87" s="2728"/>
      <c r="BC87" s="2721"/>
      <c r="BD87" s="1921"/>
      <c r="BE87" s="1922"/>
      <c r="BF87" s="1923"/>
      <c r="BG87" s="1924"/>
      <c r="BH87" s="1947"/>
      <c r="BI87" s="1891"/>
      <c r="BJ87" s="1948"/>
      <c r="BK87" s="1924"/>
      <c r="BL87" s="3635"/>
      <c r="BM87" s="3635"/>
      <c r="BN87" s="1942"/>
      <c r="BO87" s="1945"/>
      <c r="BP87" s="3631"/>
    </row>
    <row r="88" spans="1:68" ht="15.75" thickBot="1">
      <c r="A88" s="3723"/>
      <c r="B88" s="1738" t="s">
        <v>32</v>
      </c>
      <c r="C88" s="3678">
        <f>SUM(D88:D91)</f>
        <v>0</v>
      </c>
      <c r="D88" s="1689">
        <f t="shared" ref="D88:D122" si="15">SUM(E88:BK88)</f>
        <v>0</v>
      </c>
      <c r="E88" s="1690"/>
      <c r="F88" s="1691"/>
      <c r="G88" s="1692"/>
      <c r="H88" s="1693"/>
      <c r="I88" s="2923"/>
      <c r="J88" s="1745"/>
      <c r="K88" s="1746"/>
      <c r="L88" s="1747"/>
      <c r="M88" s="1748"/>
      <c r="N88" s="3177"/>
      <c r="O88" s="1747"/>
      <c r="P88" s="1749"/>
      <c r="Q88" s="3121"/>
      <c r="R88" s="1750"/>
      <c r="S88" s="1751"/>
      <c r="T88" s="1815"/>
      <c r="U88" s="2818"/>
      <c r="V88" s="3186"/>
      <c r="W88" s="2889"/>
      <c r="X88" s="1816"/>
      <c r="Y88" s="1817"/>
      <c r="Z88" s="3297"/>
      <c r="AA88" s="2727"/>
      <c r="AB88" s="2720"/>
      <c r="AC88" s="1818"/>
      <c r="AD88" s="1819"/>
      <c r="AE88" s="1820"/>
      <c r="AF88" s="1726"/>
      <c r="AG88" s="1691"/>
      <c r="AH88" s="1869"/>
      <c r="AI88" s="1893"/>
      <c r="AJ88" s="2938"/>
      <c r="AK88" s="1854"/>
      <c r="AL88" s="1894"/>
      <c r="AM88" s="1748"/>
      <c r="AN88" s="3166"/>
      <c r="AO88" s="1749"/>
      <c r="AP88" s="3121"/>
      <c r="AQ88" s="1873"/>
      <c r="AR88" s="1874"/>
      <c r="AS88" s="1873"/>
      <c r="AT88" s="1909"/>
      <c r="AU88" s="2865"/>
      <c r="AV88" s="3113"/>
      <c r="AW88" s="3289"/>
      <c r="AX88" s="3194"/>
      <c r="AY88" s="2881"/>
      <c r="AZ88" s="2873"/>
      <c r="BA88" s="2825"/>
      <c r="BB88" s="2727"/>
      <c r="BC88" s="2720"/>
      <c r="BD88" s="1910"/>
      <c r="BE88" s="1911"/>
      <c r="BF88" s="1864"/>
      <c r="BG88" s="1865"/>
      <c r="BH88" s="1726"/>
      <c r="BI88" s="1873"/>
      <c r="BJ88" s="1940"/>
      <c r="BK88" s="1865"/>
      <c r="BL88" s="3633">
        <f>SUM(E88:AE91)</f>
        <v>0</v>
      </c>
      <c r="BM88" s="3636">
        <f>SUM(E88:BG91)</f>
        <v>0</v>
      </c>
      <c r="BN88" s="1942"/>
      <c r="BO88" s="1945"/>
      <c r="BP88" s="3675" t="s">
        <v>33</v>
      </c>
    </row>
    <row r="89" spans="1:68" ht="15.75" thickBot="1">
      <c r="A89" s="3724"/>
      <c r="B89" s="1694" t="s">
        <v>34</v>
      </c>
      <c r="C89" s="3679"/>
      <c r="D89" s="1705">
        <f t="shared" si="15"/>
        <v>0</v>
      </c>
      <c r="E89" s="1706"/>
      <c r="F89" s="1707"/>
      <c r="G89" s="1708"/>
      <c r="H89" s="1709"/>
      <c r="I89" s="2924"/>
      <c r="J89" s="1766"/>
      <c r="K89" s="1767"/>
      <c r="L89" s="1768"/>
      <c r="M89" s="1769"/>
      <c r="N89" s="3178"/>
      <c r="O89" s="1768"/>
      <c r="P89" s="1770"/>
      <c r="Q89" s="3122"/>
      <c r="R89" s="1771"/>
      <c r="S89" s="1772"/>
      <c r="T89" s="1834"/>
      <c r="U89" s="2819"/>
      <c r="V89" s="3187"/>
      <c r="W89" s="2890"/>
      <c r="X89" s="1835"/>
      <c r="Y89" s="1836"/>
      <c r="Z89" s="3298"/>
      <c r="AA89" s="2728"/>
      <c r="AB89" s="2721"/>
      <c r="AC89" s="1837"/>
      <c r="AD89" s="1838"/>
      <c r="AE89" s="1839"/>
      <c r="AF89" s="1706"/>
      <c r="AG89" s="1707"/>
      <c r="AH89" s="1887"/>
      <c r="AI89" s="1888"/>
      <c r="AJ89" s="2935"/>
      <c r="AK89" s="1889"/>
      <c r="AL89" s="1890"/>
      <c r="AM89" s="1769"/>
      <c r="AN89" s="3167"/>
      <c r="AO89" s="1770"/>
      <c r="AP89" s="3122"/>
      <c r="AQ89" s="1891"/>
      <c r="AR89" s="1892"/>
      <c r="AS89" s="1891"/>
      <c r="AT89" s="1920"/>
      <c r="AU89" s="2866"/>
      <c r="AV89" s="3114"/>
      <c r="AW89" s="3290"/>
      <c r="AX89" s="3195"/>
      <c r="AY89" s="2882"/>
      <c r="AZ89" s="2874"/>
      <c r="BA89" s="2826"/>
      <c r="BB89" s="2728"/>
      <c r="BC89" s="2721"/>
      <c r="BD89" s="1921"/>
      <c r="BE89" s="1922"/>
      <c r="BF89" s="1923"/>
      <c r="BG89" s="1924"/>
      <c r="BH89" s="1947"/>
      <c r="BI89" s="1891"/>
      <c r="BJ89" s="1948"/>
      <c r="BK89" s="1924"/>
      <c r="BL89" s="3634"/>
      <c r="BM89" s="3637"/>
      <c r="BN89" s="1942"/>
      <c r="BO89" s="1945"/>
      <c r="BP89" s="3632"/>
    </row>
    <row r="90" spans="1:68" ht="15.75" thickBot="1">
      <c r="A90" s="3724"/>
      <c r="B90" s="1694" t="s">
        <v>34</v>
      </c>
      <c r="C90" s="3679"/>
      <c r="D90" s="1705">
        <f t="shared" si="15"/>
        <v>0</v>
      </c>
      <c r="E90" s="1706"/>
      <c r="F90" s="1707"/>
      <c r="G90" s="1708"/>
      <c r="H90" s="1709"/>
      <c r="I90" s="2924"/>
      <c r="J90" s="1766"/>
      <c r="K90" s="1767"/>
      <c r="L90" s="1768"/>
      <c r="M90" s="1769"/>
      <c r="N90" s="3178"/>
      <c r="O90" s="1768"/>
      <c r="P90" s="1770"/>
      <c r="Q90" s="3122"/>
      <c r="R90" s="1771"/>
      <c r="S90" s="1772"/>
      <c r="T90" s="1834"/>
      <c r="U90" s="2819"/>
      <c r="V90" s="3187"/>
      <c r="W90" s="2890"/>
      <c r="X90" s="1835"/>
      <c r="Y90" s="1836"/>
      <c r="Z90" s="3298"/>
      <c r="AA90" s="2728"/>
      <c r="AB90" s="2721"/>
      <c r="AC90" s="1837"/>
      <c r="AD90" s="1838"/>
      <c r="AE90" s="1839"/>
      <c r="AF90" s="1706"/>
      <c r="AG90" s="1707"/>
      <c r="AH90" s="1887"/>
      <c r="AI90" s="1888"/>
      <c r="AJ90" s="2935"/>
      <c r="AK90" s="1889"/>
      <c r="AL90" s="1890"/>
      <c r="AM90" s="1769"/>
      <c r="AN90" s="3167"/>
      <c r="AO90" s="1770"/>
      <c r="AP90" s="3122"/>
      <c r="AQ90" s="1891"/>
      <c r="AR90" s="1892"/>
      <c r="AS90" s="1891"/>
      <c r="AT90" s="1920"/>
      <c r="AU90" s="2866"/>
      <c r="AV90" s="3114"/>
      <c r="AW90" s="3290"/>
      <c r="AX90" s="3195"/>
      <c r="AY90" s="2882"/>
      <c r="AZ90" s="2874"/>
      <c r="BA90" s="2826"/>
      <c r="BB90" s="2728"/>
      <c r="BC90" s="2721"/>
      <c r="BD90" s="1921"/>
      <c r="BE90" s="1922"/>
      <c r="BF90" s="1923"/>
      <c r="BG90" s="1924"/>
      <c r="BH90" s="1947"/>
      <c r="BI90" s="1891"/>
      <c r="BJ90" s="1948"/>
      <c r="BK90" s="1924"/>
      <c r="BL90" s="3634"/>
      <c r="BM90" s="3637"/>
      <c r="BN90" s="1942"/>
      <c r="BO90" s="1945"/>
      <c r="BP90" s="3632"/>
    </row>
    <row r="91" spans="1:68" ht="15.75" thickBot="1">
      <c r="A91" s="3724"/>
      <c r="B91" s="1694" t="s">
        <v>34</v>
      </c>
      <c r="C91" s="3679"/>
      <c r="D91" s="1705">
        <f t="shared" si="15"/>
        <v>0</v>
      </c>
      <c r="E91" s="1706"/>
      <c r="F91" s="1707"/>
      <c r="G91" s="1708"/>
      <c r="H91" s="1709"/>
      <c r="I91" s="2924"/>
      <c r="J91" s="1766"/>
      <c r="K91" s="1767"/>
      <c r="L91" s="1768"/>
      <c r="M91" s="1769"/>
      <c r="N91" s="3178"/>
      <c r="O91" s="1768"/>
      <c r="P91" s="1770"/>
      <c r="Q91" s="3122"/>
      <c r="R91" s="1771"/>
      <c r="S91" s="1772"/>
      <c r="T91" s="1834"/>
      <c r="U91" s="2819"/>
      <c r="V91" s="3187"/>
      <c r="W91" s="2890"/>
      <c r="X91" s="1835"/>
      <c r="Y91" s="1836"/>
      <c r="Z91" s="3298"/>
      <c r="AA91" s="2728"/>
      <c r="AB91" s="2721"/>
      <c r="AC91" s="1837"/>
      <c r="AD91" s="1838"/>
      <c r="AE91" s="1839"/>
      <c r="AF91" s="1706"/>
      <c r="AG91" s="1707"/>
      <c r="AH91" s="1887"/>
      <c r="AI91" s="1888"/>
      <c r="AJ91" s="2935"/>
      <c r="AK91" s="1889"/>
      <c r="AL91" s="1890"/>
      <c r="AM91" s="1769"/>
      <c r="AN91" s="3167"/>
      <c r="AO91" s="1770"/>
      <c r="AP91" s="3122"/>
      <c r="AQ91" s="1891"/>
      <c r="AR91" s="1892"/>
      <c r="AS91" s="1891"/>
      <c r="AT91" s="1920"/>
      <c r="AU91" s="2866"/>
      <c r="AV91" s="3114"/>
      <c r="AW91" s="3290"/>
      <c r="AX91" s="3195"/>
      <c r="AY91" s="2882"/>
      <c r="AZ91" s="2874"/>
      <c r="BA91" s="2826"/>
      <c r="BB91" s="2728"/>
      <c r="BC91" s="2721"/>
      <c r="BD91" s="1921"/>
      <c r="BE91" s="1922"/>
      <c r="BF91" s="1923"/>
      <c r="BG91" s="1924"/>
      <c r="BH91" s="1947"/>
      <c r="BI91" s="1891"/>
      <c r="BJ91" s="1948"/>
      <c r="BK91" s="1924"/>
      <c r="BL91" s="3634"/>
      <c r="BM91" s="3637"/>
      <c r="BN91" s="1942"/>
      <c r="BO91" s="1945"/>
      <c r="BP91" s="3632"/>
    </row>
    <row r="92" spans="1:68" ht="15.75" thickBot="1">
      <c r="A92" s="3723"/>
      <c r="B92" s="1738" t="s">
        <v>32</v>
      </c>
      <c r="C92" s="3678">
        <f>SUM(D92:D95)</f>
        <v>0</v>
      </c>
      <c r="D92" s="1689">
        <f t="shared" si="15"/>
        <v>0</v>
      </c>
      <c r="E92" s="1690"/>
      <c r="F92" s="1691"/>
      <c r="G92" s="1692"/>
      <c r="H92" s="1693"/>
      <c r="I92" s="2923"/>
      <c r="J92" s="1745"/>
      <c r="K92" s="1746"/>
      <c r="L92" s="1747"/>
      <c r="M92" s="1692"/>
      <c r="N92" s="3177"/>
      <c r="O92" s="1747"/>
      <c r="P92" s="1749"/>
      <c r="Q92" s="3121"/>
      <c r="R92" s="1750"/>
      <c r="S92" s="1751"/>
      <c r="T92" s="1815"/>
      <c r="U92" s="2818"/>
      <c r="V92" s="3186"/>
      <c r="W92" s="2889"/>
      <c r="X92" s="1816"/>
      <c r="Y92" s="1817"/>
      <c r="Z92" s="3297"/>
      <c r="AA92" s="2727"/>
      <c r="AB92" s="2720"/>
      <c r="AC92" s="1818"/>
      <c r="AD92" s="1819"/>
      <c r="AE92" s="1820"/>
      <c r="AF92" s="1726"/>
      <c r="AG92" s="1691"/>
      <c r="AH92" s="1869"/>
      <c r="AI92" s="1893"/>
      <c r="AJ92" s="2938"/>
      <c r="AK92" s="1854"/>
      <c r="AL92" s="1894"/>
      <c r="AM92" s="1748"/>
      <c r="AN92" s="3166"/>
      <c r="AO92" s="1749"/>
      <c r="AP92" s="3121"/>
      <c r="AQ92" s="1873"/>
      <c r="AR92" s="1874"/>
      <c r="AS92" s="1873"/>
      <c r="AT92" s="1909"/>
      <c r="AU92" s="2865"/>
      <c r="AV92" s="3113"/>
      <c r="AW92" s="3289"/>
      <c r="AX92" s="3194"/>
      <c r="AY92" s="2881"/>
      <c r="AZ92" s="2873"/>
      <c r="BA92" s="2825"/>
      <c r="BB92" s="2727"/>
      <c r="BC92" s="2720"/>
      <c r="BD92" s="1910"/>
      <c r="BE92" s="1911"/>
      <c r="BF92" s="1864"/>
      <c r="BG92" s="1865"/>
      <c r="BH92" s="1726"/>
      <c r="BI92" s="1873"/>
      <c r="BJ92" s="1940"/>
      <c r="BK92" s="1865"/>
      <c r="BL92" s="3633">
        <f>SUM(E92:AE95)</f>
        <v>0</v>
      </c>
      <c r="BM92" s="3633">
        <f>SUM(E92:BG95)</f>
        <v>0</v>
      </c>
      <c r="BN92" s="1942"/>
      <c r="BO92" s="1945"/>
      <c r="BP92" s="3629" t="s">
        <v>33</v>
      </c>
    </row>
    <row r="93" spans="1:68" ht="15.75" thickBot="1">
      <c r="A93" s="3724"/>
      <c r="B93" s="1694" t="s">
        <v>34</v>
      </c>
      <c r="C93" s="3679"/>
      <c r="D93" s="1705">
        <f t="shared" si="15"/>
        <v>0</v>
      </c>
      <c r="E93" s="1706"/>
      <c r="F93" s="1707"/>
      <c r="G93" s="1708"/>
      <c r="H93" s="1709"/>
      <c r="I93" s="2924"/>
      <c r="J93" s="1766"/>
      <c r="K93" s="1767"/>
      <c r="L93" s="1768"/>
      <c r="M93" s="1769"/>
      <c r="N93" s="3178"/>
      <c r="O93" s="1768"/>
      <c r="P93" s="1770"/>
      <c r="Q93" s="3122"/>
      <c r="R93" s="1771"/>
      <c r="S93" s="1772"/>
      <c r="T93" s="1834"/>
      <c r="U93" s="2819"/>
      <c r="V93" s="3187"/>
      <c r="W93" s="2890"/>
      <c r="X93" s="1835"/>
      <c r="Y93" s="1836"/>
      <c r="Z93" s="3298"/>
      <c r="AA93" s="2728"/>
      <c r="AB93" s="2721"/>
      <c r="AC93" s="1837"/>
      <c r="AD93" s="1838"/>
      <c r="AE93" s="1839"/>
      <c r="AF93" s="1706"/>
      <c r="AG93" s="1707"/>
      <c r="AH93" s="1887"/>
      <c r="AI93" s="1888"/>
      <c r="AJ93" s="2935"/>
      <c r="AK93" s="1889"/>
      <c r="AL93" s="1890"/>
      <c r="AM93" s="1769"/>
      <c r="AN93" s="3167"/>
      <c r="AO93" s="1770"/>
      <c r="AP93" s="3122"/>
      <c r="AQ93" s="1891"/>
      <c r="AR93" s="1892"/>
      <c r="AS93" s="1891"/>
      <c r="AT93" s="1920"/>
      <c r="AU93" s="2866"/>
      <c r="AV93" s="3114"/>
      <c r="AW93" s="3290"/>
      <c r="AX93" s="3195"/>
      <c r="AY93" s="2882"/>
      <c r="AZ93" s="2874"/>
      <c r="BA93" s="2826"/>
      <c r="BB93" s="2728"/>
      <c r="BC93" s="2721"/>
      <c r="BD93" s="1921"/>
      <c r="BE93" s="1922"/>
      <c r="BF93" s="1923"/>
      <c r="BG93" s="1924"/>
      <c r="BH93" s="1947"/>
      <c r="BI93" s="1891"/>
      <c r="BJ93" s="1948"/>
      <c r="BK93" s="1924"/>
      <c r="BL93" s="3634"/>
      <c r="BM93" s="3634"/>
      <c r="BN93" s="1942"/>
      <c r="BO93" s="1945"/>
      <c r="BP93" s="3630"/>
    </row>
    <row r="94" spans="1:68" ht="15.75" thickBot="1">
      <c r="A94" s="3724"/>
      <c r="B94" s="1694" t="s">
        <v>34</v>
      </c>
      <c r="C94" s="3679"/>
      <c r="D94" s="1705">
        <f t="shared" ref="D94" si="16">SUM(E94:BK94)</f>
        <v>0</v>
      </c>
      <c r="E94" s="1706"/>
      <c r="F94" s="1707"/>
      <c r="G94" s="1708"/>
      <c r="H94" s="1709"/>
      <c r="I94" s="2924"/>
      <c r="J94" s="1766"/>
      <c r="K94" s="1767"/>
      <c r="L94" s="1768"/>
      <c r="M94" s="1769"/>
      <c r="N94" s="3178"/>
      <c r="O94" s="1768"/>
      <c r="P94" s="1770"/>
      <c r="Q94" s="3122"/>
      <c r="R94" s="1771"/>
      <c r="S94" s="1772"/>
      <c r="T94" s="1834"/>
      <c r="U94" s="2819"/>
      <c r="V94" s="3187"/>
      <c r="W94" s="2890"/>
      <c r="X94" s="1835"/>
      <c r="Y94" s="1836"/>
      <c r="Z94" s="3298"/>
      <c r="AA94" s="2728"/>
      <c r="AB94" s="2721"/>
      <c r="AC94" s="1837"/>
      <c r="AD94" s="1838"/>
      <c r="AE94" s="1839"/>
      <c r="AF94" s="1706"/>
      <c r="AG94" s="1707"/>
      <c r="AH94" s="1887"/>
      <c r="AI94" s="1888"/>
      <c r="AJ94" s="2935"/>
      <c r="AK94" s="1889"/>
      <c r="AL94" s="1890"/>
      <c r="AM94" s="1769"/>
      <c r="AN94" s="3167"/>
      <c r="AO94" s="1770"/>
      <c r="AP94" s="3122"/>
      <c r="AQ94" s="1891"/>
      <c r="AR94" s="1892"/>
      <c r="AS94" s="1891"/>
      <c r="AT94" s="1920"/>
      <c r="AU94" s="2866"/>
      <c r="AV94" s="3114"/>
      <c r="AW94" s="3290"/>
      <c r="AX94" s="3195"/>
      <c r="AY94" s="2882"/>
      <c r="AZ94" s="2874"/>
      <c r="BA94" s="2826"/>
      <c r="BB94" s="2728"/>
      <c r="BC94" s="2721"/>
      <c r="BD94" s="1921"/>
      <c r="BE94" s="1922"/>
      <c r="BF94" s="1923"/>
      <c r="BG94" s="1924"/>
      <c r="BH94" s="1947"/>
      <c r="BI94" s="1891"/>
      <c r="BJ94" s="1948"/>
      <c r="BK94" s="1924"/>
      <c r="BL94" s="3634"/>
      <c r="BM94" s="3634"/>
      <c r="BN94" s="1953"/>
      <c r="BO94" s="1945"/>
      <c r="BP94" s="3630"/>
    </row>
    <row r="95" spans="1:68" ht="15.75" thickBot="1">
      <c r="A95" s="3724"/>
      <c r="B95" s="1694" t="s">
        <v>34</v>
      </c>
      <c r="C95" s="3679"/>
      <c r="D95" s="1705">
        <f t="shared" si="15"/>
        <v>0</v>
      </c>
      <c r="E95" s="1706"/>
      <c r="F95" s="1707"/>
      <c r="G95" s="1708"/>
      <c r="H95" s="1709"/>
      <c r="I95" s="2924"/>
      <c r="J95" s="1766"/>
      <c r="K95" s="1767"/>
      <c r="L95" s="1768"/>
      <c r="M95" s="1708"/>
      <c r="N95" s="3178"/>
      <c r="O95" s="1768"/>
      <c r="P95" s="1770"/>
      <c r="Q95" s="3122"/>
      <c r="R95" s="1771"/>
      <c r="S95" s="1772"/>
      <c r="T95" s="1834"/>
      <c r="U95" s="2819"/>
      <c r="V95" s="3187"/>
      <c r="W95" s="2890"/>
      <c r="X95" s="1835"/>
      <c r="Y95" s="1836"/>
      <c r="Z95" s="3298"/>
      <c r="AA95" s="2728"/>
      <c r="AB95" s="2721"/>
      <c r="AC95" s="1837"/>
      <c r="AD95" s="1838"/>
      <c r="AE95" s="1839"/>
      <c r="AF95" s="1706"/>
      <c r="AG95" s="1707"/>
      <c r="AH95" s="1887"/>
      <c r="AI95" s="1888"/>
      <c r="AJ95" s="2935"/>
      <c r="AK95" s="1889"/>
      <c r="AL95" s="1890"/>
      <c r="AM95" s="1708"/>
      <c r="AN95" s="3171"/>
      <c r="AO95" s="1770"/>
      <c r="AP95" s="3122"/>
      <c r="AQ95" s="1891"/>
      <c r="AR95" s="1892"/>
      <c r="AS95" s="1891"/>
      <c r="AT95" s="1920"/>
      <c r="AU95" s="2866"/>
      <c r="AV95" s="3114"/>
      <c r="AW95" s="3290"/>
      <c r="AX95" s="3195"/>
      <c r="AY95" s="2882"/>
      <c r="AZ95" s="2874"/>
      <c r="BA95" s="2826"/>
      <c r="BB95" s="2728"/>
      <c r="BC95" s="2721"/>
      <c r="BD95" s="1921"/>
      <c r="BE95" s="1922"/>
      <c r="BF95" s="1923"/>
      <c r="BG95" s="1924"/>
      <c r="BH95" s="1947"/>
      <c r="BI95" s="1891"/>
      <c r="BJ95" s="1948"/>
      <c r="BK95" s="1924"/>
      <c r="BL95" s="3634"/>
      <c r="BM95" s="3634"/>
      <c r="BN95" s="1953"/>
      <c r="BO95" s="1945"/>
      <c r="BP95" s="3630"/>
    </row>
    <row r="96" spans="1:68" ht="18.75" customHeight="1" thickBot="1">
      <c r="A96" s="3723"/>
      <c r="B96" s="1738" t="s">
        <v>32</v>
      </c>
      <c r="C96" s="3678">
        <f>SUM(D96:D99)</f>
        <v>0</v>
      </c>
      <c r="D96" s="1689">
        <f t="shared" si="15"/>
        <v>0</v>
      </c>
      <c r="E96" s="1690"/>
      <c r="F96" s="1691"/>
      <c r="G96" s="1692"/>
      <c r="H96" s="1693"/>
      <c r="I96" s="2923"/>
      <c r="J96" s="1745"/>
      <c r="K96" s="1746"/>
      <c r="L96" s="1747"/>
      <c r="M96" s="1692"/>
      <c r="N96" s="3177"/>
      <c r="O96" s="1747"/>
      <c r="P96" s="1749"/>
      <c r="Q96" s="3121"/>
      <c r="R96" s="1750"/>
      <c r="S96" s="1751"/>
      <c r="T96" s="1815"/>
      <c r="U96" s="2818"/>
      <c r="V96" s="3186"/>
      <c r="W96" s="2889"/>
      <c r="X96" s="1816"/>
      <c r="Y96" s="1817"/>
      <c r="Z96" s="3297"/>
      <c r="AA96" s="2727"/>
      <c r="AB96" s="2720"/>
      <c r="AC96" s="1818"/>
      <c r="AD96" s="1819"/>
      <c r="AE96" s="1820"/>
      <c r="AF96" s="1726"/>
      <c r="AG96" s="1691"/>
      <c r="AH96" s="1869"/>
      <c r="AI96" s="1893"/>
      <c r="AJ96" s="2938"/>
      <c r="AK96" s="1854"/>
      <c r="AL96" s="1894"/>
      <c r="AM96" s="1748"/>
      <c r="AN96" s="3166"/>
      <c r="AO96" s="1749"/>
      <c r="AP96" s="3121"/>
      <c r="AQ96" s="1873"/>
      <c r="AR96" s="1874"/>
      <c r="AS96" s="1873"/>
      <c r="AT96" s="1909"/>
      <c r="AU96" s="2865"/>
      <c r="AV96" s="3113"/>
      <c r="AW96" s="3289"/>
      <c r="AX96" s="3194"/>
      <c r="AY96" s="2881"/>
      <c r="AZ96" s="2873"/>
      <c r="BA96" s="2825"/>
      <c r="BB96" s="2727"/>
      <c r="BC96" s="2720"/>
      <c r="BD96" s="1910"/>
      <c r="BE96" s="1911"/>
      <c r="BF96" s="1864"/>
      <c r="BG96" s="1865"/>
      <c r="BH96" s="1726"/>
      <c r="BI96" s="1873"/>
      <c r="BJ96" s="1940"/>
      <c r="BK96" s="1865"/>
      <c r="BL96" s="3633">
        <f>SUM(E96:AE99)</f>
        <v>0</v>
      </c>
      <c r="BM96" s="3633">
        <f>SUM(E96:BG99)</f>
        <v>0</v>
      </c>
      <c r="BN96" s="1953"/>
      <c r="BO96" s="1945"/>
      <c r="BP96" s="3629" t="s">
        <v>33</v>
      </c>
    </row>
    <row r="97" spans="1:68" ht="15.75" thickBot="1">
      <c r="A97" s="3724"/>
      <c r="B97" s="1694" t="s">
        <v>34</v>
      </c>
      <c r="C97" s="3679"/>
      <c r="D97" s="1705">
        <f t="shared" si="15"/>
        <v>0</v>
      </c>
      <c r="E97" s="1706"/>
      <c r="F97" s="1707"/>
      <c r="G97" s="1708"/>
      <c r="H97" s="1709"/>
      <c r="I97" s="2924"/>
      <c r="J97" s="1766"/>
      <c r="K97" s="1767"/>
      <c r="L97" s="1768"/>
      <c r="M97" s="1769"/>
      <c r="N97" s="3178"/>
      <c r="O97" s="1768"/>
      <c r="P97" s="1770"/>
      <c r="Q97" s="3122"/>
      <c r="R97" s="1771"/>
      <c r="S97" s="1772"/>
      <c r="T97" s="1834"/>
      <c r="U97" s="2819"/>
      <c r="V97" s="3187"/>
      <c r="W97" s="2890"/>
      <c r="X97" s="1835"/>
      <c r="Y97" s="1836"/>
      <c r="Z97" s="3298"/>
      <c r="AA97" s="2728"/>
      <c r="AB97" s="2721"/>
      <c r="AC97" s="1837"/>
      <c r="AD97" s="1838"/>
      <c r="AE97" s="1839"/>
      <c r="AF97" s="1706"/>
      <c r="AG97" s="1707"/>
      <c r="AH97" s="1887"/>
      <c r="AI97" s="1888"/>
      <c r="AJ97" s="2935"/>
      <c r="AK97" s="1889"/>
      <c r="AL97" s="1890"/>
      <c r="AM97" s="1769"/>
      <c r="AN97" s="3167"/>
      <c r="AO97" s="1770"/>
      <c r="AP97" s="3122"/>
      <c r="AQ97" s="1891"/>
      <c r="AR97" s="1892"/>
      <c r="AS97" s="1891"/>
      <c r="AT97" s="1920"/>
      <c r="AU97" s="2866"/>
      <c r="AV97" s="3114"/>
      <c r="AW97" s="3290"/>
      <c r="AX97" s="3195"/>
      <c r="AY97" s="2882"/>
      <c r="AZ97" s="2874"/>
      <c r="BA97" s="2826"/>
      <c r="BB97" s="2728"/>
      <c r="BC97" s="2721"/>
      <c r="BD97" s="1921"/>
      <c r="BE97" s="1922"/>
      <c r="BF97" s="1923"/>
      <c r="BG97" s="1924"/>
      <c r="BH97" s="1947"/>
      <c r="BI97" s="1891"/>
      <c r="BJ97" s="1948"/>
      <c r="BK97" s="1924"/>
      <c r="BL97" s="3634"/>
      <c r="BM97" s="3634"/>
      <c r="BN97" s="1953"/>
      <c r="BO97" s="1945"/>
      <c r="BP97" s="3630"/>
    </row>
    <row r="98" spans="1:68" ht="15.75" thickBot="1">
      <c r="A98" s="3724"/>
      <c r="B98" s="1694" t="s">
        <v>32</v>
      </c>
      <c r="C98" s="3679"/>
      <c r="D98" s="1705">
        <f t="shared" ref="D98" si="17">SUM(E98:BK98)</f>
        <v>0</v>
      </c>
      <c r="E98" s="1706"/>
      <c r="G98" s="1708"/>
      <c r="H98" s="1709"/>
      <c r="I98" s="2924"/>
      <c r="J98" s="1766"/>
      <c r="K98" s="1767"/>
      <c r="L98" s="1768"/>
      <c r="M98" s="1769"/>
      <c r="N98" s="3178"/>
      <c r="O98" s="1768"/>
      <c r="P98" s="1770"/>
      <c r="Q98" s="3122"/>
      <c r="R98" s="1771"/>
      <c r="S98" s="1772"/>
      <c r="T98" s="1834"/>
      <c r="U98" s="2819"/>
      <c r="V98" s="3187"/>
      <c r="W98" s="2890"/>
      <c r="X98" s="1835"/>
      <c r="Y98" s="1836"/>
      <c r="Z98" s="3298"/>
      <c r="AA98" s="2728"/>
      <c r="AB98" s="2721"/>
      <c r="AC98" s="1837"/>
      <c r="AD98" s="1838"/>
      <c r="AE98" s="1839"/>
      <c r="AF98" s="1706"/>
      <c r="AG98" s="1707"/>
      <c r="AH98" s="1887"/>
      <c r="AI98" s="1888"/>
      <c r="AJ98" s="2935"/>
      <c r="AK98" s="1889"/>
      <c r="AL98" s="1890"/>
      <c r="AM98" s="1769"/>
      <c r="AN98" s="3167"/>
      <c r="AO98" s="1770"/>
      <c r="AP98" s="3122"/>
      <c r="AQ98" s="1891"/>
      <c r="AR98" s="1892"/>
      <c r="AS98" s="1891"/>
      <c r="AT98" s="1920"/>
      <c r="AU98" s="2866"/>
      <c r="AV98" s="3114"/>
      <c r="AW98" s="3290"/>
      <c r="AX98" s="3195"/>
      <c r="AY98" s="2882"/>
      <c r="AZ98" s="2874"/>
      <c r="BA98" s="2826"/>
      <c r="BB98" s="2728"/>
      <c r="BC98" s="2721"/>
      <c r="BD98" s="1921"/>
      <c r="BE98" s="1922"/>
      <c r="BF98" s="1923"/>
      <c r="BG98" s="1924"/>
      <c r="BH98" s="1947"/>
      <c r="BI98" s="1891"/>
      <c r="BJ98" s="1948"/>
      <c r="BK98" s="1924"/>
      <c r="BL98" s="3634"/>
      <c r="BM98" s="3634"/>
      <c r="BN98" s="1953"/>
      <c r="BO98" s="1945"/>
      <c r="BP98" s="3630"/>
    </row>
    <row r="99" spans="1:68" ht="15.75" thickBot="1">
      <c r="A99" s="3724"/>
      <c r="B99" s="1694" t="s">
        <v>34</v>
      </c>
      <c r="C99" s="3679"/>
      <c r="D99" s="1705">
        <f t="shared" si="15"/>
        <v>0</v>
      </c>
      <c r="E99" s="1706"/>
      <c r="F99" s="1707"/>
      <c r="G99" s="1708"/>
      <c r="H99" s="1709"/>
      <c r="I99" s="2924"/>
      <c r="J99" s="1766"/>
      <c r="K99" s="1767"/>
      <c r="L99" s="1768"/>
      <c r="M99" s="1769"/>
      <c r="N99" s="3178"/>
      <c r="O99" s="1768"/>
      <c r="P99" s="1770"/>
      <c r="Q99" s="3122"/>
      <c r="R99" s="1771"/>
      <c r="S99" s="1772"/>
      <c r="T99" s="1834"/>
      <c r="U99" s="2819"/>
      <c r="V99" s="3187"/>
      <c r="W99" s="2890"/>
      <c r="X99" s="1835"/>
      <c r="Y99" s="1836"/>
      <c r="Z99" s="3298"/>
      <c r="AA99" s="2728"/>
      <c r="AB99" s="2721"/>
      <c r="AC99" s="1837"/>
      <c r="AD99" s="1838"/>
      <c r="AE99" s="1839"/>
      <c r="AF99" s="1706"/>
      <c r="AG99" s="1707"/>
      <c r="AH99" s="1887"/>
      <c r="AI99" s="1888"/>
      <c r="AJ99" s="2935"/>
      <c r="AK99" s="1889"/>
      <c r="AL99" s="1890"/>
      <c r="AM99" s="1769"/>
      <c r="AN99" s="3167"/>
      <c r="AO99" s="1770"/>
      <c r="AP99" s="3122"/>
      <c r="AQ99" s="1891"/>
      <c r="AR99" s="1892"/>
      <c r="AS99" s="1891"/>
      <c r="AT99" s="1920"/>
      <c r="AU99" s="2866"/>
      <c r="AV99" s="3114"/>
      <c r="AW99" s="3290"/>
      <c r="AX99" s="3195"/>
      <c r="AY99" s="2882"/>
      <c r="AZ99" s="2874"/>
      <c r="BA99" s="2826"/>
      <c r="BB99" s="2728"/>
      <c r="BC99" s="2721"/>
      <c r="BD99" s="1921"/>
      <c r="BE99" s="1922"/>
      <c r="BF99" s="1923"/>
      <c r="BG99" s="1924"/>
      <c r="BH99" s="1947"/>
      <c r="BI99" s="1891"/>
      <c r="BJ99" s="1948"/>
      <c r="BK99" s="1924"/>
      <c r="BL99" s="3634"/>
      <c r="BM99" s="3634"/>
      <c r="BN99" s="1953"/>
      <c r="BO99" s="1945"/>
      <c r="BP99" s="3630"/>
    </row>
    <row r="100" spans="1:68" ht="15.75" customHeight="1" thickBot="1">
      <c r="A100" s="3725"/>
      <c r="B100" s="1738" t="s">
        <v>32</v>
      </c>
      <c r="C100" s="3678">
        <f>SUM(D100:D104)</f>
        <v>0</v>
      </c>
      <c r="D100" s="1689">
        <f t="shared" si="15"/>
        <v>0</v>
      </c>
      <c r="E100" s="1690"/>
      <c r="F100" s="1691"/>
      <c r="G100" s="1692"/>
      <c r="H100" s="1693"/>
      <c r="I100" s="2923"/>
      <c r="J100" s="1745"/>
      <c r="K100" s="1746"/>
      <c r="L100" s="1747"/>
      <c r="M100" s="1692"/>
      <c r="N100" s="3177"/>
      <c r="O100" s="1747"/>
      <c r="P100" s="1749"/>
      <c r="Q100" s="3121"/>
      <c r="R100" s="1750"/>
      <c r="S100" s="1751"/>
      <c r="T100" s="1815"/>
      <c r="U100" s="2818"/>
      <c r="V100" s="3186"/>
      <c r="W100" s="2889"/>
      <c r="X100" s="1816"/>
      <c r="Y100" s="1817"/>
      <c r="Z100" s="3297"/>
      <c r="AA100" s="2727"/>
      <c r="AB100" s="2720"/>
      <c r="AC100" s="1818"/>
      <c r="AD100" s="1819"/>
      <c r="AE100" s="1820"/>
      <c r="AF100" s="1726"/>
      <c r="AG100" s="1691"/>
      <c r="AH100" s="1869"/>
      <c r="AI100" s="1893"/>
      <c r="AJ100" s="2938"/>
      <c r="AK100" s="1854"/>
      <c r="AL100" s="1894"/>
      <c r="AM100" s="1748"/>
      <c r="AN100" s="3166"/>
      <c r="AO100" s="1749"/>
      <c r="AP100" s="3121"/>
      <c r="AQ100" s="1873"/>
      <c r="AR100" s="1874"/>
      <c r="AS100" s="1873"/>
      <c r="AT100" s="1909"/>
      <c r="AU100" s="2865"/>
      <c r="AV100" s="3113"/>
      <c r="AW100" s="3289"/>
      <c r="AX100" s="3194"/>
      <c r="AY100" s="2881"/>
      <c r="AZ100" s="2873"/>
      <c r="BA100" s="2825"/>
      <c r="BB100" s="2727"/>
      <c r="BC100" s="2720"/>
      <c r="BD100" s="1910"/>
      <c r="BE100" s="1911"/>
      <c r="BF100" s="1864"/>
      <c r="BG100" s="1865"/>
      <c r="BH100" s="1726"/>
      <c r="BI100" s="1873"/>
      <c r="BJ100" s="1940"/>
      <c r="BK100" s="1865"/>
      <c r="BL100" s="3633">
        <f>SUM(E100:AE104)</f>
        <v>0</v>
      </c>
      <c r="BM100" s="3633">
        <f>SUM(E100:BG104)</f>
        <v>0</v>
      </c>
      <c r="BN100" s="1953"/>
      <c r="BO100" s="1945"/>
      <c r="BP100" s="3629" t="s">
        <v>33</v>
      </c>
    </row>
    <row r="101" spans="1:68" ht="15.75" thickBot="1">
      <c r="A101" s="3726"/>
      <c r="B101" s="1694" t="s">
        <v>34</v>
      </c>
      <c r="C101" s="3679"/>
      <c r="D101" s="1705">
        <f t="shared" si="15"/>
        <v>0</v>
      </c>
      <c r="E101" s="1706"/>
      <c r="F101" s="1707"/>
      <c r="G101" s="1708"/>
      <c r="H101" s="1709"/>
      <c r="I101" s="2924"/>
      <c r="J101" s="1766"/>
      <c r="K101" s="1767"/>
      <c r="L101" s="1768"/>
      <c r="M101" s="1769"/>
      <c r="N101" s="3178"/>
      <c r="O101" s="1768"/>
      <c r="P101" s="1770"/>
      <c r="Q101" s="3122"/>
      <c r="R101" s="1771"/>
      <c r="S101" s="1772"/>
      <c r="T101" s="1834"/>
      <c r="U101" s="2819"/>
      <c r="V101" s="3187"/>
      <c r="W101" s="2890"/>
      <c r="X101" s="1835"/>
      <c r="Y101" s="1836"/>
      <c r="Z101" s="3298"/>
      <c r="AA101" s="2728"/>
      <c r="AB101" s="2721"/>
      <c r="AC101" s="1837"/>
      <c r="AD101" s="1838"/>
      <c r="AE101" s="1839"/>
      <c r="AF101" s="1706"/>
      <c r="AG101" s="1707"/>
      <c r="AH101" s="1887"/>
      <c r="AI101" s="1888"/>
      <c r="AJ101" s="2935"/>
      <c r="AK101" s="1889"/>
      <c r="AL101" s="1890"/>
      <c r="AM101" s="1769"/>
      <c r="AN101" s="3167"/>
      <c r="AO101" s="1770"/>
      <c r="AP101" s="3122"/>
      <c r="AQ101" s="1891"/>
      <c r="AR101" s="1892"/>
      <c r="AS101" s="1891"/>
      <c r="AT101" s="1920"/>
      <c r="AU101" s="2866"/>
      <c r="AV101" s="3114"/>
      <c r="AW101" s="3290"/>
      <c r="AX101" s="3195"/>
      <c r="AY101" s="2882"/>
      <c r="AZ101" s="2874"/>
      <c r="BA101" s="2826"/>
      <c r="BB101" s="2728"/>
      <c r="BC101" s="2721"/>
      <c r="BD101" s="1921"/>
      <c r="BE101" s="1922"/>
      <c r="BF101" s="1923"/>
      <c r="BG101" s="1924"/>
      <c r="BH101" s="1947"/>
      <c r="BI101" s="1891"/>
      <c r="BJ101" s="1948"/>
      <c r="BK101" s="1924"/>
      <c r="BL101" s="3634"/>
      <c r="BM101" s="3634"/>
      <c r="BN101" s="1942"/>
      <c r="BO101" s="1951"/>
      <c r="BP101" s="3630"/>
    </row>
    <row r="102" spans="1:68" ht="15.75" thickBot="1">
      <c r="A102" s="3726"/>
      <c r="B102" s="1694" t="s">
        <v>34</v>
      </c>
      <c r="C102" s="3679"/>
      <c r="D102" s="1705">
        <f t="shared" si="15"/>
        <v>0</v>
      </c>
      <c r="E102" s="1706"/>
      <c r="F102" s="1707"/>
      <c r="G102" s="1708"/>
      <c r="H102" s="1709"/>
      <c r="I102" s="2924"/>
      <c r="J102" s="1766"/>
      <c r="K102" s="1767"/>
      <c r="L102" s="1768"/>
      <c r="M102" s="1769"/>
      <c r="N102" s="3178"/>
      <c r="O102" s="1768"/>
      <c r="P102" s="1770"/>
      <c r="Q102" s="3122"/>
      <c r="R102" s="1771"/>
      <c r="S102" s="1772"/>
      <c r="T102" s="1834"/>
      <c r="U102" s="2819"/>
      <c r="V102" s="3187"/>
      <c r="W102" s="2890"/>
      <c r="X102" s="1835"/>
      <c r="Y102" s="1836"/>
      <c r="Z102" s="3298"/>
      <c r="AA102" s="2728"/>
      <c r="AB102" s="2721"/>
      <c r="AC102" s="1837"/>
      <c r="AD102" s="1838"/>
      <c r="AE102" s="1839"/>
      <c r="AF102" s="1706"/>
      <c r="AG102" s="1707"/>
      <c r="AH102" s="1887"/>
      <c r="AI102" s="1888"/>
      <c r="AJ102" s="2935"/>
      <c r="AK102" s="1889"/>
      <c r="AL102" s="1890"/>
      <c r="AM102" s="1769"/>
      <c r="AN102" s="3167"/>
      <c r="AO102" s="1770"/>
      <c r="AP102" s="3122"/>
      <c r="AQ102" s="1891"/>
      <c r="AR102" s="1892"/>
      <c r="AS102" s="1891"/>
      <c r="AT102" s="1920"/>
      <c r="AU102" s="2866"/>
      <c r="AV102" s="3114"/>
      <c r="AW102" s="3290"/>
      <c r="AX102" s="3195"/>
      <c r="AY102" s="2882"/>
      <c r="AZ102" s="2874"/>
      <c r="BA102" s="2826"/>
      <c r="BB102" s="2728"/>
      <c r="BC102" s="2721"/>
      <c r="BD102" s="1921"/>
      <c r="BE102" s="1922"/>
      <c r="BF102" s="1923"/>
      <c r="BG102" s="1924"/>
      <c r="BH102" s="1947"/>
      <c r="BI102" s="1891"/>
      <c r="BJ102" s="1948"/>
      <c r="BK102" s="1924"/>
      <c r="BL102" s="3634"/>
      <c r="BM102" s="3634"/>
      <c r="BN102" s="1942"/>
      <c r="BO102" s="1951"/>
      <c r="BP102" s="3630"/>
    </row>
    <row r="103" spans="1:68" ht="15.75" thickBot="1">
      <c r="A103" s="3726"/>
      <c r="B103" s="1694" t="s">
        <v>34</v>
      </c>
      <c r="C103" s="3679"/>
      <c r="D103" s="1705">
        <f t="shared" ref="D103" si="18">SUM(E103:BK103)</f>
        <v>0</v>
      </c>
      <c r="E103" s="1706"/>
      <c r="F103" s="1707"/>
      <c r="G103" s="1708"/>
      <c r="H103" s="1709"/>
      <c r="I103" s="2924"/>
      <c r="J103" s="1766"/>
      <c r="K103" s="1767"/>
      <c r="L103" s="1768"/>
      <c r="M103" s="1769"/>
      <c r="N103" s="3178"/>
      <c r="O103" s="1768"/>
      <c r="P103" s="1770"/>
      <c r="Q103" s="3122"/>
      <c r="R103" s="1771"/>
      <c r="S103" s="1772"/>
      <c r="T103" s="1834"/>
      <c r="U103" s="2819"/>
      <c r="V103" s="3187"/>
      <c r="W103" s="2890"/>
      <c r="X103" s="1835"/>
      <c r="Y103" s="1836"/>
      <c r="Z103" s="3298"/>
      <c r="AA103" s="2728"/>
      <c r="AB103" s="2721"/>
      <c r="AC103" s="1837"/>
      <c r="AD103" s="1838"/>
      <c r="AE103" s="1839"/>
      <c r="AF103" s="1706"/>
      <c r="AG103" s="1707"/>
      <c r="AH103" s="1887"/>
      <c r="AI103" s="1888"/>
      <c r="AJ103" s="2935"/>
      <c r="AK103" s="1889"/>
      <c r="AL103" s="1890"/>
      <c r="AM103" s="1769"/>
      <c r="AN103" s="3167"/>
      <c r="AO103" s="1770"/>
      <c r="AP103" s="3122"/>
      <c r="AQ103" s="1891"/>
      <c r="AR103" s="1892"/>
      <c r="AS103" s="1891"/>
      <c r="AT103" s="1920"/>
      <c r="AU103" s="2866"/>
      <c r="AV103" s="3114"/>
      <c r="AW103" s="3290"/>
      <c r="AX103" s="3195"/>
      <c r="AY103" s="2882"/>
      <c r="AZ103" s="2874"/>
      <c r="BA103" s="2826"/>
      <c r="BB103" s="2728"/>
      <c r="BC103" s="2721"/>
      <c r="BD103" s="1921"/>
      <c r="BE103" s="1922"/>
      <c r="BF103" s="1923"/>
      <c r="BG103" s="1924"/>
      <c r="BH103" s="1947"/>
      <c r="BI103" s="1891"/>
      <c r="BJ103" s="1948"/>
      <c r="BK103" s="1924"/>
      <c r="BL103" s="3634"/>
      <c r="BM103" s="3634"/>
      <c r="BN103" s="1942"/>
      <c r="BO103" s="1951"/>
      <c r="BP103" s="3630"/>
    </row>
    <row r="104" spans="1:68" ht="15.75" thickBot="1">
      <c r="A104" s="3727"/>
      <c r="B104" s="1694" t="s">
        <v>34</v>
      </c>
      <c r="C104" s="3681"/>
      <c r="D104" s="1705">
        <f t="shared" si="15"/>
        <v>0</v>
      </c>
      <c r="E104" s="1706"/>
      <c r="F104" s="1707"/>
      <c r="G104" s="1708"/>
      <c r="H104" s="1709"/>
      <c r="I104" s="2924"/>
      <c r="J104" s="1766"/>
      <c r="K104" s="1767"/>
      <c r="L104" s="1768"/>
      <c r="M104" s="1769"/>
      <c r="N104" s="3178"/>
      <c r="O104" s="1768"/>
      <c r="P104" s="1770"/>
      <c r="Q104" s="3122"/>
      <c r="R104" s="1771"/>
      <c r="S104" s="1772"/>
      <c r="T104" s="1834"/>
      <c r="U104" s="2819"/>
      <c r="V104" s="3187"/>
      <c r="W104" s="2890"/>
      <c r="X104" s="1835"/>
      <c r="Y104" s="1836"/>
      <c r="Z104" s="3298"/>
      <c r="AA104" s="2728"/>
      <c r="AB104" s="2721"/>
      <c r="AC104" s="1837"/>
      <c r="AD104" s="1838"/>
      <c r="AE104" s="1839"/>
      <c r="AF104" s="1706"/>
      <c r="AG104" s="1707"/>
      <c r="AH104" s="1887"/>
      <c r="AI104" s="1888"/>
      <c r="AJ104" s="2935"/>
      <c r="AK104" s="1889"/>
      <c r="AL104" s="1890"/>
      <c r="AM104" s="1769"/>
      <c r="AN104" s="3167"/>
      <c r="AO104" s="1770"/>
      <c r="AP104" s="3122"/>
      <c r="AQ104" s="1891"/>
      <c r="AR104" s="1892"/>
      <c r="AS104" s="1891"/>
      <c r="AT104" s="1920"/>
      <c r="AU104" s="2866"/>
      <c r="AV104" s="3114"/>
      <c r="AW104" s="3290"/>
      <c r="AX104" s="3195"/>
      <c r="AY104" s="2882"/>
      <c r="AZ104" s="2874"/>
      <c r="BA104" s="2826"/>
      <c r="BB104" s="2728"/>
      <c r="BC104" s="2721"/>
      <c r="BD104" s="1921"/>
      <c r="BE104" s="1922"/>
      <c r="BF104" s="1923"/>
      <c r="BG104" s="1924"/>
      <c r="BH104" s="1947"/>
      <c r="BI104" s="1891"/>
      <c r="BJ104" s="1948"/>
      <c r="BK104" s="1924"/>
      <c r="BL104" s="3635"/>
      <c r="BM104" s="3635"/>
      <c r="BN104" s="1953"/>
      <c r="BO104" s="1951"/>
      <c r="BP104" s="3631"/>
    </row>
    <row r="105" spans="1:68" ht="15.75" thickBot="1">
      <c r="A105" s="3723"/>
      <c r="B105" s="1738" t="s">
        <v>32</v>
      </c>
      <c r="C105" s="3678">
        <f>SUM(D105:D107)</f>
        <v>0</v>
      </c>
      <c r="D105" s="1689">
        <f t="shared" si="15"/>
        <v>0</v>
      </c>
      <c r="E105" s="1690"/>
      <c r="F105" s="1691"/>
      <c r="G105" s="1692"/>
      <c r="H105" s="1693"/>
      <c r="I105" s="2923"/>
      <c r="J105" s="1745"/>
      <c r="K105" s="1746"/>
      <c r="L105" s="1747"/>
      <c r="M105" s="1748"/>
      <c r="N105" s="3177"/>
      <c r="O105" s="1747"/>
      <c r="P105" s="1749"/>
      <c r="Q105" s="3121"/>
      <c r="R105" s="1750"/>
      <c r="S105" s="1751"/>
      <c r="T105" s="1815"/>
      <c r="U105" s="2818"/>
      <c r="V105" s="3186"/>
      <c r="W105" s="2889"/>
      <c r="X105" s="1816"/>
      <c r="Y105" s="1817"/>
      <c r="Z105" s="3297"/>
      <c r="AA105" s="2727"/>
      <c r="AB105" s="2720"/>
      <c r="AC105" s="1818"/>
      <c r="AD105" s="1819"/>
      <c r="AE105" s="1820"/>
      <c r="AF105" s="1726"/>
      <c r="AG105" s="1691"/>
      <c r="AH105" s="1869"/>
      <c r="AI105" s="1893"/>
      <c r="AJ105" s="2938"/>
      <c r="AK105" s="1854"/>
      <c r="AL105" s="1894"/>
      <c r="AM105" s="1748"/>
      <c r="AN105" s="3166"/>
      <c r="AO105" s="1749"/>
      <c r="AP105" s="3121"/>
      <c r="AQ105" s="1873"/>
      <c r="AR105" s="1874"/>
      <c r="AS105" s="1873"/>
      <c r="AT105" s="1909"/>
      <c r="AU105" s="2865"/>
      <c r="AV105" s="3113"/>
      <c r="AW105" s="3289"/>
      <c r="AX105" s="3194"/>
      <c r="AY105" s="2881"/>
      <c r="AZ105" s="2873"/>
      <c r="BA105" s="2825"/>
      <c r="BB105" s="2727"/>
      <c r="BC105" s="2720"/>
      <c r="BD105" s="1910"/>
      <c r="BE105" s="1911"/>
      <c r="BF105" s="1864"/>
      <c r="BG105" s="1865"/>
      <c r="BH105" s="1726"/>
      <c r="BI105" s="1873"/>
      <c r="BJ105" s="1940"/>
      <c r="BK105" s="1865"/>
      <c r="BL105" s="3633">
        <f>SUM(E105:AE107)</f>
        <v>0</v>
      </c>
      <c r="BM105" s="3633">
        <f>SUM(E105:BG107)</f>
        <v>0</v>
      </c>
      <c r="BN105" s="1953"/>
      <c r="BO105" s="1951"/>
      <c r="BP105" s="3629" t="s">
        <v>33</v>
      </c>
    </row>
    <row r="106" spans="1:68" ht="15.75" thickBot="1">
      <c r="A106" s="3724"/>
      <c r="B106" s="1694" t="s">
        <v>32</v>
      </c>
      <c r="C106" s="3679"/>
      <c r="D106" s="1705">
        <f t="shared" si="15"/>
        <v>0</v>
      </c>
      <c r="E106" s="1706"/>
      <c r="F106" s="1707"/>
      <c r="G106" s="1708"/>
      <c r="H106" s="1709"/>
      <c r="I106" s="2924"/>
      <c r="J106" s="1766"/>
      <c r="K106" s="1767"/>
      <c r="L106" s="1768"/>
      <c r="M106" s="1769"/>
      <c r="N106" s="3178"/>
      <c r="O106" s="1768"/>
      <c r="P106" s="1770"/>
      <c r="Q106" s="3122"/>
      <c r="R106" s="1771"/>
      <c r="S106" s="1772"/>
      <c r="T106" s="1834"/>
      <c r="U106" s="2819"/>
      <c r="V106" s="3187"/>
      <c r="W106" s="2890"/>
      <c r="X106" s="1835"/>
      <c r="Y106" s="1836"/>
      <c r="Z106" s="3298"/>
      <c r="AA106" s="2728"/>
      <c r="AB106" s="2721"/>
      <c r="AC106" s="1837"/>
      <c r="AD106" s="1838"/>
      <c r="AE106" s="1839"/>
      <c r="AF106" s="1706"/>
      <c r="AG106" s="1707"/>
      <c r="AH106" s="1887"/>
      <c r="AI106" s="1888"/>
      <c r="AJ106" s="2935"/>
      <c r="AK106" s="1889"/>
      <c r="AL106" s="1890"/>
      <c r="AM106" s="1769"/>
      <c r="AN106" s="3167"/>
      <c r="AO106" s="1770"/>
      <c r="AP106" s="3122"/>
      <c r="AQ106" s="1891"/>
      <c r="AR106" s="1892"/>
      <c r="AS106" s="1891"/>
      <c r="AT106" s="1920"/>
      <c r="AU106" s="2866"/>
      <c r="AV106" s="3114"/>
      <c r="AW106" s="3290"/>
      <c r="AX106" s="3195"/>
      <c r="AY106" s="2882"/>
      <c r="AZ106" s="2874"/>
      <c r="BA106" s="2826"/>
      <c r="BB106" s="2728"/>
      <c r="BC106" s="2721"/>
      <c r="BD106" s="1921"/>
      <c r="BE106" s="1922"/>
      <c r="BF106" s="1923"/>
      <c r="BG106" s="1924"/>
      <c r="BH106" s="1947"/>
      <c r="BI106" s="1891"/>
      <c r="BJ106" s="1948"/>
      <c r="BK106" s="1924"/>
      <c r="BL106" s="3634"/>
      <c r="BM106" s="3634"/>
      <c r="BN106" s="1953"/>
      <c r="BO106" s="1951"/>
      <c r="BP106" s="3630"/>
    </row>
    <row r="107" spans="1:68" ht="15.75" thickBot="1">
      <c r="A107" s="3724"/>
      <c r="B107" s="1694" t="s">
        <v>34</v>
      </c>
      <c r="C107" s="3679"/>
      <c r="D107" s="1705">
        <f t="shared" si="15"/>
        <v>0</v>
      </c>
      <c r="E107" s="1706"/>
      <c r="F107" s="1707"/>
      <c r="G107" s="1708"/>
      <c r="H107" s="1709"/>
      <c r="I107" s="2924"/>
      <c r="J107" s="1766"/>
      <c r="K107" s="1767"/>
      <c r="L107" s="1768"/>
      <c r="M107" s="1769"/>
      <c r="N107" s="3178"/>
      <c r="O107" s="1768"/>
      <c r="P107" s="1770"/>
      <c r="Q107" s="3122"/>
      <c r="R107" s="1771"/>
      <c r="S107" s="1772"/>
      <c r="T107" s="1834"/>
      <c r="U107" s="2819"/>
      <c r="V107" s="3187"/>
      <c r="W107" s="2890"/>
      <c r="X107" s="1835"/>
      <c r="Y107" s="1836"/>
      <c r="Z107" s="3298"/>
      <c r="AA107" s="2728"/>
      <c r="AB107" s="2721"/>
      <c r="AC107" s="1837"/>
      <c r="AD107" s="1838"/>
      <c r="AE107" s="1839"/>
      <c r="AF107" s="1706"/>
      <c r="AG107" s="1707"/>
      <c r="AH107" s="1887"/>
      <c r="AI107" s="1888"/>
      <c r="AJ107" s="2935"/>
      <c r="AK107" s="1889"/>
      <c r="AL107" s="1890"/>
      <c r="AM107" s="1769"/>
      <c r="AN107" s="3167"/>
      <c r="AO107" s="1770"/>
      <c r="AP107" s="3122"/>
      <c r="AQ107" s="1891"/>
      <c r="AR107" s="1892"/>
      <c r="AS107" s="1891"/>
      <c r="AT107" s="1920"/>
      <c r="AU107" s="2866"/>
      <c r="AV107" s="3114"/>
      <c r="AW107" s="3290"/>
      <c r="AX107" s="3195"/>
      <c r="AY107" s="2882"/>
      <c r="AZ107" s="2874"/>
      <c r="BA107" s="2826"/>
      <c r="BB107" s="2728"/>
      <c r="BC107" s="2721"/>
      <c r="BD107" s="1921"/>
      <c r="BE107" s="1922"/>
      <c r="BF107" s="1923"/>
      <c r="BG107" s="1924"/>
      <c r="BH107" s="1947"/>
      <c r="BI107" s="1891"/>
      <c r="BJ107" s="1948"/>
      <c r="BK107" s="1924"/>
      <c r="BL107" s="3634"/>
      <c r="BM107" s="3634"/>
      <c r="BN107" s="1953"/>
      <c r="BO107" s="1951"/>
      <c r="BP107" s="3630"/>
    </row>
    <row r="108" spans="1:68" ht="15.75" thickBot="1">
      <c r="A108" s="3723"/>
      <c r="B108" s="1738" t="s">
        <v>32</v>
      </c>
      <c r="C108" s="3678">
        <f>SUM(D108:D110)</f>
        <v>0</v>
      </c>
      <c r="D108" s="1689">
        <f t="shared" si="15"/>
        <v>0</v>
      </c>
      <c r="E108" s="1690"/>
      <c r="F108" s="1691"/>
      <c r="G108" s="1692"/>
      <c r="H108" s="1693"/>
      <c r="I108" s="2923"/>
      <c r="J108" s="1745"/>
      <c r="K108" s="1746"/>
      <c r="L108" s="1747"/>
      <c r="M108" s="1748"/>
      <c r="N108" s="3177"/>
      <c r="O108" s="1747"/>
      <c r="P108" s="1749"/>
      <c r="Q108" s="3121"/>
      <c r="R108" s="1750"/>
      <c r="S108" s="1751"/>
      <c r="T108" s="1815"/>
      <c r="U108" s="2818"/>
      <c r="V108" s="3186"/>
      <c r="W108" s="2889"/>
      <c r="X108" s="1816"/>
      <c r="Y108" s="1817"/>
      <c r="Z108" s="3297"/>
      <c r="AA108" s="2727"/>
      <c r="AB108" s="2720"/>
      <c r="AC108" s="1818"/>
      <c r="AD108" s="1819"/>
      <c r="AE108" s="1820"/>
      <c r="AF108" s="1726"/>
      <c r="AG108" s="1691"/>
      <c r="AH108" s="1869"/>
      <c r="AI108" s="1893"/>
      <c r="AJ108" s="2938"/>
      <c r="AK108" s="1854"/>
      <c r="AL108" s="1894"/>
      <c r="AM108" s="1748"/>
      <c r="AN108" s="3166"/>
      <c r="AO108" s="1749"/>
      <c r="AP108" s="3121"/>
      <c r="AQ108" s="1873"/>
      <c r="AR108" s="1874"/>
      <c r="AS108" s="1873"/>
      <c r="AT108" s="1909"/>
      <c r="AU108" s="2865"/>
      <c r="AV108" s="3113"/>
      <c r="AW108" s="3289"/>
      <c r="AX108" s="3194"/>
      <c r="AY108" s="2881"/>
      <c r="AZ108" s="2873"/>
      <c r="BA108" s="2825"/>
      <c r="BB108" s="2727"/>
      <c r="BC108" s="2720"/>
      <c r="BD108" s="1910"/>
      <c r="BE108" s="1911"/>
      <c r="BF108" s="1864"/>
      <c r="BG108" s="1865"/>
      <c r="BH108" s="1726"/>
      <c r="BI108" s="1873"/>
      <c r="BJ108" s="1940"/>
      <c r="BK108" s="1865"/>
      <c r="BL108" s="3633">
        <f>SUM(E108:AE110)</f>
        <v>0</v>
      </c>
      <c r="BM108" s="3633">
        <f>SUM(E108:BG110)</f>
        <v>0</v>
      </c>
      <c r="BN108" s="1942"/>
      <c r="BO108" s="1951"/>
      <c r="BP108" s="3629" t="s">
        <v>33</v>
      </c>
    </row>
    <row r="109" spans="1:68" ht="15.75" thickBot="1">
      <c r="A109" s="3724"/>
      <c r="B109" s="1694" t="s">
        <v>34</v>
      </c>
      <c r="C109" s="3679"/>
      <c r="D109" s="1705">
        <f t="shared" si="15"/>
        <v>0</v>
      </c>
      <c r="E109" s="1706"/>
      <c r="F109" s="1707"/>
      <c r="G109" s="1708"/>
      <c r="H109" s="1709"/>
      <c r="I109" s="2924"/>
      <c r="J109" s="1766"/>
      <c r="K109" s="1767"/>
      <c r="L109" s="1768"/>
      <c r="M109" s="1769"/>
      <c r="N109" s="3178"/>
      <c r="O109" s="1768"/>
      <c r="P109" s="1770"/>
      <c r="Q109" s="3122"/>
      <c r="R109" s="1771"/>
      <c r="S109" s="1772"/>
      <c r="T109" s="1834"/>
      <c r="U109" s="2819"/>
      <c r="V109" s="3187"/>
      <c r="W109" s="2890"/>
      <c r="X109" s="1835"/>
      <c r="Y109" s="1836"/>
      <c r="Z109" s="3298"/>
      <c r="AA109" s="2728"/>
      <c r="AB109" s="2721"/>
      <c r="AC109" s="1837"/>
      <c r="AD109" s="1838"/>
      <c r="AE109" s="1839"/>
      <c r="AF109" s="1706"/>
      <c r="AG109" s="1707"/>
      <c r="AH109" s="1887"/>
      <c r="AI109" s="1888"/>
      <c r="AJ109" s="2935"/>
      <c r="AK109" s="1889"/>
      <c r="AL109" s="1890"/>
      <c r="AM109" s="1769"/>
      <c r="AN109" s="3167"/>
      <c r="AO109" s="1770"/>
      <c r="AP109" s="3122"/>
      <c r="AQ109" s="1891"/>
      <c r="AR109" s="1892"/>
      <c r="AS109" s="1891"/>
      <c r="AT109" s="1920"/>
      <c r="AU109" s="2866"/>
      <c r="AV109" s="3114"/>
      <c r="AW109" s="3290"/>
      <c r="AX109" s="3195"/>
      <c r="AY109" s="2882"/>
      <c r="AZ109" s="2874"/>
      <c r="BA109" s="2826"/>
      <c r="BB109" s="2728"/>
      <c r="BC109" s="2721"/>
      <c r="BD109" s="1921"/>
      <c r="BE109" s="1922"/>
      <c r="BF109" s="1923"/>
      <c r="BG109" s="1924"/>
      <c r="BH109" s="1947"/>
      <c r="BI109" s="1891"/>
      <c r="BJ109" s="1948"/>
      <c r="BK109" s="1924"/>
      <c r="BL109" s="3634"/>
      <c r="BM109" s="3634"/>
      <c r="BN109" s="1942"/>
      <c r="BO109" s="1951"/>
      <c r="BP109" s="3630"/>
    </row>
    <row r="110" spans="1:68" ht="15.75" thickBot="1">
      <c r="A110" s="3724"/>
      <c r="B110" s="1694" t="s">
        <v>34</v>
      </c>
      <c r="C110" s="3679"/>
      <c r="D110" s="1705">
        <f t="shared" si="15"/>
        <v>0</v>
      </c>
      <c r="E110" s="1706"/>
      <c r="F110" s="1707"/>
      <c r="G110" s="1708"/>
      <c r="H110" s="1709"/>
      <c r="I110" s="2924"/>
      <c r="J110" s="1766"/>
      <c r="K110" s="1767"/>
      <c r="L110" s="1768"/>
      <c r="M110" s="1769"/>
      <c r="N110" s="3178"/>
      <c r="O110" s="1768"/>
      <c r="P110" s="1770"/>
      <c r="Q110" s="3122"/>
      <c r="R110" s="1771"/>
      <c r="S110" s="1772"/>
      <c r="T110" s="1834"/>
      <c r="U110" s="2819"/>
      <c r="V110" s="3187"/>
      <c r="W110" s="2890"/>
      <c r="X110" s="1835"/>
      <c r="Y110" s="1836"/>
      <c r="Z110" s="3298"/>
      <c r="AA110" s="2728"/>
      <c r="AB110" s="2721"/>
      <c r="AC110" s="1837"/>
      <c r="AD110" s="1838"/>
      <c r="AE110" s="1839"/>
      <c r="AF110" s="1706"/>
      <c r="AG110" s="1707"/>
      <c r="AH110" s="1887"/>
      <c r="AI110" s="1888"/>
      <c r="AJ110" s="2935"/>
      <c r="AK110" s="1889"/>
      <c r="AL110" s="1890"/>
      <c r="AM110" s="1769"/>
      <c r="AN110" s="3167"/>
      <c r="AO110" s="1770"/>
      <c r="AP110" s="3122"/>
      <c r="AQ110" s="1891"/>
      <c r="AR110" s="1892"/>
      <c r="AS110" s="1891"/>
      <c r="AT110" s="1920"/>
      <c r="AU110" s="2866"/>
      <c r="AV110" s="3114"/>
      <c r="AW110" s="3290"/>
      <c r="AX110" s="3195"/>
      <c r="AY110" s="2882"/>
      <c r="AZ110" s="2874"/>
      <c r="BA110" s="2826"/>
      <c r="BB110" s="2728"/>
      <c r="BC110" s="2721"/>
      <c r="BD110" s="1921"/>
      <c r="BE110" s="1922"/>
      <c r="BF110" s="1923"/>
      <c r="BG110" s="1924"/>
      <c r="BH110" s="1947"/>
      <c r="BI110" s="1891"/>
      <c r="BJ110" s="1948"/>
      <c r="BK110" s="1924"/>
      <c r="BL110" s="3634"/>
      <c r="BM110" s="3634"/>
      <c r="BN110" s="1942"/>
      <c r="BO110" s="1951"/>
      <c r="BP110" s="3630"/>
    </row>
    <row r="111" spans="1:68" ht="15.75" thickBot="1">
      <c r="A111" s="3723"/>
      <c r="B111" s="1738" t="s">
        <v>32</v>
      </c>
      <c r="C111" s="3678">
        <f>SUM(D111:D113)</f>
        <v>0</v>
      </c>
      <c r="D111" s="1689">
        <f t="shared" si="15"/>
        <v>0</v>
      </c>
      <c r="E111" s="1690"/>
      <c r="F111" s="1691"/>
      <c r="G111" s="1692"/>
      <c r="H111" s="1693"/>
      <c r="I111" s="2923"/>
      <c r="J111" s="1745"/>
      <c r="K111" s="1746"/>
      <c r="L111" s="1747"/>
      <c r="M111" s="1748"/>
      <c r="N111" s="3177"/>
      <c r="O111" s="1747"/>
      <c r="P111" s="1749"/>
      <c r="Q111" s="3121"/>
      <c r="R111" s="1750"/>
      <c r="S111" s="1751"/>
      <c r="T111" s="1815"/>
      <c r="U111" s="2818"/>
      <c r="V111" s="3186"/>
      <c r="W111" s="2889"/>
      <c r="X111" s="1816"/>
      <c r="Y111" s="1817"/>
      <c r="Z111" s="3297"/>
      <c r="AA111" s="2727"/>
      <c r="AB111" s="2720"/>
      <c r="AC111" s="1818"/>
      <c r="AD111" s="1819"/>
      <c r="AE111" s="1820"/>
      <c r="AF111" s="1726"/>
      <c r="AG111" s="1691"/>
      <c r="AH111" s="1869"/>
      <c r="AI111" s="1893"/>
      <c r="AJ111" s="2938"/>
      <c r="AK111" s="1854"/>
      <c r="AL111" s="1894"/>
      <c r="AM111" s="1748"/>
      <c r="AN111" s="3166"/>
      <c r="AO111" s="1749"/>
      <c r="AP111" s="3121"/>
      <c r="AQ111" s="1873"/>
      <c r="AR111" s="1874"/>
      <c r="AS111" s="1873"/>
      <c r="AT111" s="1909"/>
      <c r="AU111" s="2865"/>
      <c r="AV111" s="3113"/>
      <c r="AW111" s="3289"/>
      <c r="AX111" s="3194"/>
      <c r="AY111" s="2881"/>
      <c r="AZ111" s="2873"/>
      <c r="BA111" s="2825"/>
      <c r="BB111" s="2727"/>
      <c r="BC111" s="2720"/>
      <c r="BD111" s="1910"/>
      <c r="BE111" s="1911"/>
      <c r="BF111" s="1864"/>
      <c r="BG111" s="1865"/>
      <c r="BH111" s="1726"/>
      <c r="BI111" s="1873"/>
      <c r="BJ111" s="1940"/>
      <c r="BK111" s="1865"/>
      <c r="BL111" s="3633">
        <f>SUM(E111:AE113)</f>
        <v>0</v>
      </c>
      <c r="BM111" s="3633">
        <f>SUM(E111:BG113)</f>
        <v>0</v>
      </c>
      <c r="BN111" s="1942"/>
      <c r="BO111" s="1951"/>
      <c r="BP111" s="3629" t="s">
        <v>33</v>
      </c>
    </row>
    <row r="112" spans="1:68" ht="15.75" thickBot="1">
      <c r="A112" s="3724"/>
      <c r="B112" s="1738" t="s">
        <v>34</v>
      </c>
      <c r="C112" s="3679"/>
      <c r="D112" s="1705">
        <f t="shared" si="15"/>
        <v>0</v>
      </c>
      <c r="E112" s="1706"/>
      <c r="F112" s="1707"/>
      <c r="G112" s="1708"/>
      <c r="H112" s="1709"/>
      <c r="I112" s="2924"/>
      <c r="J112" s="1766"/>
      <c r="K112" s="1767"/>
      <c r="L112" s="1768"/>
      <c r="M112" s="1769"/>
      <c r="N112" s="3178"/>
      <c r="O112" s="1768"/>
      <c r="P112" s="1770"/>
      <c r="Q112" s="3122"/>
      <c r="R112" s="1771"/>
      <c r="S112" s="1772"/>
      <c r="T112" s="1834"/>
      <c r="U112" s="2819"/>
      <c r="V112" s="3187"/>
      <c r="W112" s="2890"/>
      <c r="X112" s="1835"/>
      <c r="Y112" s="1836"/>
      <c r="Z112" s="3298"/>
      <c r="AA112" s="2728"/>
      <c r="AB112" s="2721"/>
      <c r="AC112" s="1837"/>
      <c r="AD112" s="1838"/>
      <c r="AE112" s="1839"/>
      <c r="AF112" s="1706"/>
      <c r="AG112" s="1707"/>
      <c r="AH112" s="1887"/>
      <c r="AI112" s="1888"/>
      <c r="AJ112" s="2935"/>
      <c r="AK112" s="1889"/>
      <c r="AL112" s="1890"/>
      <c r="AM112" s="1769"/>
      <c r="AN112" s="3167"/>
      <c r="AO112" s="1770"/>
      <c r="AP112" s="3122"/>
      <c r="AQ112" s="1891"/>
      <c r="AR112" s="1892"/>
      <c r="AS112" s="1891"/>
      <c r="AT112" s="1920"/>
      <c r="AU112" s="2866"/>
      <c r="AV112" s="3114"/>
      <c r="AW112" s="3290"/>
      <c r="AX112" s="3195"/>
      <c r="AY112" s="2882"/>
      <c r="AZ112" s="2874"/>
      <c r="BA112" s="2826"/>
      <c r="BB112" s="2728"/>
      <c r="BC112" s="2721"/>
      <c r="BD112" s="1921"/>
      <c r="BE112" s="1922"/>
      <c r="BF112" s="1923"/>
      <c r="BG112" s="1924"/>
      <c r="BH112" s="1947"/>
      <c r="BI112" s="1891"/>
      <c r="BJ112" s="1948"/>
      <c r="BK112" s="1924"/>
      <c r="BL112" s="3634"/>
      <c r="BM112" s="3634"/>
      <c r="BN112" s="1942"/>
      <c r="BO112" s="1951"/>
      <c r="BP112" s="3630"/>
    </row>
    <row r="113" spans="1:68" ht="16.5" customHeight="1" thickBot="1">
      <c r="A113" s="3724"/>
      <c r="B113" s="1694" t="s">
        <v>34</v>
      </c>
      <c r="C113" s="3679"/>
      <c r="D113" s="1705">
        <f t="shared" si="15"/>
        <v>0</v>
      </c>
      <c r="E113" s="1706"/>
      <c r="F113" s="1707"/>
      <c r="G113" s="1708"/>
      <c r="H113" s="1709"/>
      <c r="I113" s="2924"/>
      <c r="J113" s="1766"/>
      <c r="K113" s="1767"/>
      <c r="L113" s="1768"/>
      <c r="M113" s="1769"/>
      <c r="N113" s="3178"/>
      <c r="O113" s="1768"/>
      <c r="P113" s="1770"/>
      <c r="Q113" s="3122"/>
      <c r="R113" s="1771"/>
      <c r="S113" s="1772"/>
      <c r="T113" s="1834"/>
      <c r="U113" s="2819"/>
      <c r="V113" s="3187"/>
      <c r="W113" s="2890"/>
      <c r="X113" s="1835"/>
      <c r="Y113" s="1836"/>
      <c r="Z113" s="3298"/>
      <c r="AA113" s="2728"/>
      <c r="AB113" s="2721"/>
      <c r="AC113" s="1837"/>
      <c r="AD113" s="1838"/>
      <c r="AE113" s="1839"/>
      <c r="AF113" s="1706"/>
      <c r="AG113" s="1707"/>
      <c r="AH113" s="1887"/>
      <c r="AI113" s="1888"/>
      <c r="AJ113" s="2935"/>
      <c r="AK113" s="1889"/>
      <c r="AL113" s="1890"/>
      <c r="AM113" s="1769"/>
      <c r="AN113" s="3167"/>
      <c r="AO113" s="1770"/>
      <c r="AP113" s="3122"/>
      <c r="AQ113" s="1891"/>
      <c r="AR113" s="1892"/>
      <c r="AS113" s="1891"/>
      <c r="AT113" s="1920"/>
      <c r="AU113" s="2866"/>
      <c r="AV113" s="3114"/>
      <c r="AW113" s="3290"/>
      <c r="AX113" s="3195"/>
      <c r="AY113" s="2882"/>
      <c r="AZ113" s="2874"/>
      <c r="BA113" s="2826"/>
      <c r="BB113" s="2728"/>
      <c r="BC113" s="2721"/>
      <c r="BD113" s="1921"/>
      <c r="BE113" s="1922"/>
      <c r="BF113" s="1923"/>
      <c r="BG113" s="1924"/>
      <c r="BH113" s="1947"/>
      <c r="BI113" s="1891"/>
      <c r="BJ113" s="1948"/>
      <c r="BK113" s="1924"/>
      <c r="BL113" s="3634"/>
      <c r="BM113" s="3634"/>
      <c r="BN113" s="1942"/>
      <c r="BO113" s="1951"/>
      <c r="BP113" s="3630"/>
    </row>
    <row r="114" spans="1:68" ht="15.75" thickBot="1">
      <c r="A114" s="3723"/>
      <c r="B114" s="1738" t="s">
        <v>32</v>
      </c>
      <c r="C114" s="3678">
        <f>SUM(D114:D116)</f>
        <v>0</v>
      </c>
      <c r="D114" s="1689">
        <f t="shared" si="15"/>
        <v>0</v>
      </c>
      <c r="E114" s="1690"/>
      <c r="F114" s="1691"/>
      <c r="G114" s="1692"/>
      <c r="H114" s="1693"/>
      <c r="I114" s="2923"/>
      <c r="J114" s="1745"/>
      <c r="K114" s="1746"/>
      <c r="L114" s="1747"/>
      <c r="M114" s="1748"/>
      <c r="N114" s="3177"/>
      <c r="O114" s="1747"/>
      <c r="P114" s="1749"/>
      <c r="Q114" s="3121"/>
      <c r="R114" s="1750"/>
      <c r="S114" s="1751"/>
      <c r="T114" s="1815"/>
      <c r="U114" s="2818"/>
      <c r="V114" s="3186"/>
      <c r="W114" s="2889"/>
      <c r="X114" s="1816"/>
      <c r="Y114" s="1817"/>
      <c r="Z114" s="3297"/>
      <c r="AA114" s="2727"/>
      <c r="AB114" s="2720"/>
      <c r="AC114" s="1818"/>
      <c r="AD114" s="1819"/>
      <c r="AE114" s="1820"/>
      <c r="AF114" s="1726"/>
      <c r="AG114" s="1691"/>
      <c r="AH114" s="1869"/>
      <c r="AI114" s="1893"/>
      <c r="AJ114" s="2938"/>
      <c r="AK114" s="1854"/>
      <c r="AL114" s="1894"/>
      <c r="AM114" s="1748"/>
      <c r="AN114" s="3166"/>
      <c r="AO114" s="1749"/>
      <c r="AP114" s="3121"/>
      <c r="AQ114" s="1873"/>
      <c r="AR114" s="1874"/>
      <c r="AS114" s="1873"/>
      <c r="AT114" s="1909"/>
      <c r="AU114" s="2865"/>
      <c r="AV114" s="3113"/>
      <c r="AW114" s="3289"/>
      <c r="AX114" s="3194"/>
      <c r="AY114" s="2881"/>
      <c r="AZ114" s="2873"/>
      <c r="BA114" s="2825"/>
      <c r="BB114" s="2727"/>
      <c r="BC114" s="2720"/>
      <c r="BD114" s="1910"/>
      <c r="BE114" s="1911"/>
      <c r="BF114" s="1864"/>
      <c r="BG114" s="1865"/>
      <c r="BH114" s="1726"/>
      <c r="BI114" s="1873"/>
      <c r="BJ114" s="1940"/>
      <c r="BK114" s="1865"/>
      <c r="BL114" s="3633">
        <f>SUM(E114:AE116)</f>
        <v>0</v>
      </c>
      <c r="BM114" s="3633">
        <f>SUM(E114:BG116)</f>
        <v>0</v>
      </c>
      <c r="BN114" s="1942"/>
      <c r="BO114" s="1951"/>
      <c r="BP114" s="3629" t="s">
        <v>33</v>
      </c>
    </row>
    <row r="115" spans="1:68" ht="15.75" thickBot="1">
      <c r="A115" s="3724"/>
      <c r="B115" s="1738" t="s">
        <v>34</v>
      </c>
      <c r="C115" s="3679"/>
      <c r="D115" s="1705">
        <f t="shared" ref="D115" si="19">SUM(E115:BK115)</f>
        <v>0</v>
      </c>
      <c r="E115" s="1706"/>
      <c r="F115" s="1707"/>
      <c r="G115" s="1708"/>
      <c r="H115" s="1709"/>
      <c r="I115" s="2924"/>
      <c r="J115" s="1766"/>
      <c r="K115" s="1767"/>
      <c r="L115" s="1768"/>
      <c r="M115" s="1769"/>
      <c r="N115" s="3178"/>
      <c r="O115" s="1768"/>
      <c r="P115" s="1770"/>
      <c r="Q115" s="3122"/>
      <c r="R115" s="1771"/>
      <c r="S115" s="1772"/>
      <c r="T115" s="1834"/>
      <c r="U115" s="2819"/>
      <c r="V115" s="3187"/>
      <c r="W115" s="2890"/>
      <c r="X115" s="1835"/>
      <c r="Y115" s="1836"/>
      <c r="Z115" s="3298"/>
      <c r="AA115" s="2728"/>
      <c r="AB115" s="2721"/>
      <c r="AC115" s="1837"/>
      <c r="AD115" s="1838"/>
      <c r="AE115" s="1839"/>
      <c r="AF115" s="1706"/>
      <c r="AG115" s="1707"/>
      <c r="AH115" s="1887"/>
      <c r="AI115" s="1888"/>
      <c r="AJ115" s="2935"/>
      <c r="AK115" s="1889"/>
      <c r="AL115" s="1890"/>
      <c r="AM115" s="1769"/>
      <c r="AN115" s="3167"/>
      <c r="AO115" s="1770"/>
      <c r="AP115" s="3122"/>
      <c r="AQ115" s="1891"/>
      <c r="AR115" s="1892"/>
      <c r="AS115" s="1891"/>
      <c r="AT115" s="1920"/>
      <c r="AU115" s="2866"/>
      <c r="AV115" s="3114"/>
      <c r="AW115" s="3290"/>
      <c r="AX115" s="3195"/>
      <c r="AY115" s="2882"/>
      <c r="AZ115" s="2874"/>
      <c r="BA115" s="2826"/>
      <c r="BB115" s="2728"/>
      <c r="BC115" s="2721"/>
      <c r="BD115" s="1921"/>
      <c r="BE115" s="1922"/>
      <c r="BF115" s="1923"/>
      <c r="BG115" s="1924"/>
      <c r="BH115" s="1947"/>
      <c r="BI115" s="1891"/>
      <c r="BJ115" s="1948"/>
      <c r="BK115" s="1924"/>
      <c r="BL115" s="3634"/>
      <c r="BM115" s="3634"/>
      <c r="BN115" s="1942"/>
      <c r="BO115" s="1951"/>
      <c r="BP115" s="3630"/>
    </row>
    <row r="116" spans="1:68" ht="15.75" thickBot="1">
      <c r="A116" s="3724"/>
      <c r="B116" s="1694" t="s">
        <v>34</v>
      </c>
      <c r="C116" s="3679"/>
      <c r="D116" s="1705">
        <f t="shared" si="15"/>
        <v>0</v>
      </c>
      <c r="E116" s="1706"/>
      <c r="F116" s="1707"/>
      <c r="G116" s="1708"/>
      <c r="H116" s="1709"/>
      <c r="I116" s="2924"/>
      <c r="J116" s="1766"/>
      <c r="K116" s="1767"/>
      <c r="L116" s="1768"/>
      <c r="M116" s="1769"/>
      <c r="N116" s="3178"/>
      <c r="O116" s="1768"/>
      <c r="P116" s="1770"/>
      <c r="Q116" s="3122"/>
      <c r="R116" s="1771"/>
      <c r="S116" s="1772"/>
      <c r="T116" s="1834"/>
      <c r="U116" s="2819"/>
      <c r="V116" s="3187"/>
      <c r="W116" s="2890"/>
      <c r="X116" s="1835"/>
      <c r="Y116" s="1836"/>
      <c r="Z116" s="3298"/>
      <c r="AA116" s="2728"/>
      <c r="AB116" s="2721"/>
      <c r="AC116" s="1837"/>
      <c r="AD116" s="1838"/>
      <c r="AE116" s="1839"/>
      <c r="AF116" s="1706"/>
      <c r="AG116" s="1707"/>
      <c r="AH116" s="1887"/>
      <c r="AI116" s="1888"/>
      <c r="AJ116" s="2935"/>
      <c r="AK116" s="1889"/>
      <c r="AL116" s="1890"/>
      <c r="AM116" s="1769"/>
      <c r="AN116" s="3167"/>
      <c r="AO116" s="1770"/>
      <c r="AP116" s="3122"/>
      <c r="AQ116" s="1891"/>
      <c r="AR116" s="1892"/>
      <c r="AS116" s="1891"/>
      <c r="AT116" s="1920"/>
      <c r="AU116" s="2866"/>
      <c r="AV116" s="3114"/>
      <c r="AW116" s="3290"/>
      <c r="AX116" s="3195"/>
      <c r="AY116" s="2882"/>
      <c r="AZ116" s="2874"/>
      <c r="BA116" s="2826"/>
      <c r="BB116" s="2728"/>
      <c r="BC116" s="2721"/>
      <c r="BD116" s="1921"/>
      <c r="BE116" s="1922"/>
      <c r="BF116" s="1923"/>
      <c r="BG116" s="1924"/>
      <c r="BH116" s="1947"/>
      <c r="BI116" s="1891"/>
      <c r="BJ116" s="1948"/>
      <c r="BK116" s="1924"/>
      <c r="BL116" s="3634"/>
      <c r="BM116" s="3634"/>
      <c r="BN116" s="1942"/>
      <c r="BO116" s="1951"/>
      <c r="BP116" s="3630"/>
    </row>
    <row r="117" spans="1:68" ht="15.75" thickBot="1">
      <c r="A117" s="3723"/>
      <c r="B117" s="1738" t="s">
        <v>32</v>
      </c>
      <c r="C117" s="3678">
        <f>SUM(D117:D119)</f>
        <v>0</v>
      </c>
      <c r="D117" s="1689">
        <f t="shared" si="15"/>
        <v>0</v>
      </c>
      <c r="E117" s="1690"/>
      <c r="F117" s="1691"/>
      <c r="G117" s="1692"/>
      <c r="H117" s="1693"/>
      <c r="I117" s="2923"/>
      <c r="J117" s="1745"/>
      <c r="K117" s="1746"/>
      <c r="L117" s="1747"/>
      <c r="M117" s="1748"/>
      <c r="N117" s="3177"/>
      <c r="O117" s="1747"/>
      <c r="P117" s="1749"/>
      <c r="Q117" s="3121"/>
      <c r="R117" s="1750"/>
      <c r="S117" s="1751"/>
      <c r="T117" s="1815"/>
      <c r="U117" s="2818"/>
      <c r="V117" s="3186"/>
      <c r="W117" s="2889"/>
      <c r="X117" s="1816"/>
      <c r="Y117" s="1817"/>
      <c r="Z117" s="3297"/>
      <c r="AA117" s="2727"/>
      <c r="AB117" s="2720"/>
      <c r="AC117" s="1818"/>
      <c r="AD117" s="1819"/>
      <c r="AE117" s="1820"/>
      <c r="AF117" s="1726"/>
      <c r="AG117" s="1691"/>
      <c r="AH117" s="1869"/>
      <c r="AI117" s="1893"/>
      <c r="AJ117" s="2938"/>
      <c r="AK117" s="1854"/>
      <c r="AL117" s="1894"/>
      <c r="AM117" s="1748"/>
      <c r="AN117" s="3166"/>
      <c r="AO117" s="1749"/>
      <c r="AP117" s="3121"/>
      <c r="AQ117" s="1873"/>
      <c r="AR117" s="1874"/>
      <c r="AS117" s="1873"/>
      <c r="AT117" s="1909"/>
      <c r="AU117" s="2865"/>
      <c r="AV117" s="3113"/>
      <c r="AW117" s="3289"/>
      <c r="AX117" s="3194"/>
      <c r="AY117" s="2881"/>
      <c r="AZ117" s="2873"/>
      <c r="BA117" s="2825"/>
      <c r="BB117" s="2727"/>
      <c r="BC117" s="2720"/>
      <c r="BD117" s="1910"/>
      <c r="BE117" s="1911"/>
      <c r="BF117" s="1864"/>
      <c r="BG117" s="1865"/>
      <c r="BH117" s="1726"/>
      <c r="BI117" s="1873"/>
      <c r="BJ117" s="1940"/>
      <c r="BK117" s="1865"/>
      <c r="BL117" s="3633">
        <f>SUM(E117:AE119)</f>
        <v>0</v>
      </c>
      <c r="BM117" s="3633">
        <f>SUM(E117:BG119)</f>
        <v>0</v>
      </c>
      <c r="BN117" s="1942"/>
      <c r="BO117" s="1951"/>
      <c r="BP117" s="3629" t="s">
        <v>33</v>
      </c>
    </row>
    <row r="118" spans="1:68" ht="15.75" thickBot="1">
      <c r="A118" s="3724"/>
      <c r="B118" s="1738" t="s">
        <v>34</v>
      </c>
      <c r="C118" s="3679"/>
      <c r="D118" s="1705">
        <f t="shared" ref="D118" si="20">SUM(E118:BK118)</f>
        <v>0</v>
      </c>
      <c r="E118" s="1706"/>
      <c r="F118" s="1707"/>
      <c r="G118" s="1708"/>
      <c r="H118" s="1709"/>
      <c r="I118" s="2924"/>
      <c r="J118" s="1766"/>
      <c r="K118" s="1767"/>
      <c r="L118" s="1768"/>
      <c r="M118" s="1769"/>
      <c r="N118" s="3178"/>
      <c r="O118" s="1768"/>
      <c r="P118" s="1770"/>
      <c r="Q118" s="3122"/>
      <c r="R118" s="1771"/>
      <c r="S118" s="1772"/>
      <c r="T118" s="1834"/>
      <c r="U118" s="2819"/>
      <c r="V118" s="3187"/>
      <c r="W118" s="2890"/>
      <c r="X118" s="1835"/>
      <c r="Y118" s="1836"/>
      <c r="Z118" s="3298"/>
      <c r="AA118" s="2728"/>
      <c r="AB118" s="2721"/>
      <c r="AC118" s="1837"/>
      <c r="AD118" s="1838"/>
      <c r="AE118" s="1839"/>
      <c r="AF118" s="1706"/>
      <c r="AG118" s="1707"/>
      <c r="AH118" s="1887"/>
      <c r="AI118" s="1888"/>
      <c r="AJ118" s="2935"/>
      <c r="AK118" s="1889"/>
      <c r="AL118" s="1890"/>
      <c r="AM118" s="1769"/>
      <c r="AN118" s="3167"/>
      <c r="AO118" s="1770"/>
      <c r="AP118" s="3122"/>
      <c r="AQ118" s="1891"/>
      <c r="AR118" s="1892"/>
      <c r="AS118" s="1891"/>
      <c r="AT118" s="1920"/>
      <c r="AU118" s="2866"/>
      <c r="AV118" s="3114"/>
      <c r="AW118" s="3290"/>
      <c r="AX118" s="3195"/>
      <c r="AY118" s="2882"/>
      <c r="AZ118" s="2874"/>
      <c r="BA118" s="2826"/>
      <c r="BB118" s="2728"/>
      <c r="BC118" s="2721"/>
      <c r="BD118" s="1921"/>
      <c r="BE118" s="1922"/>
      <c r="BF118" s="1923"/>
      <c r="BG118" s="1924"/>
      <c r="BH118" s="1947"/>
      <c r="BI118" s="1891"/>
      <c r="BJ118" s="1948"/>
      <c r="BK118" s="1924"/>
      <c r="BL118" s="3634"/>
      <c r="BM118" s="3634"/>
      <c r="BN118" s="1942"/>
      <c r="BO118" s="1951"/>
      <c r="BP118" s="3630"/>
    </row>
    <row r="119" spans="1:68" ht="23.25" customHeight="1" thickBot="1">
      <c r="A119" s="3724"/>
      <c r="B119" s="1694" t="s">
        <v>34</v>
      </c>
      <c r="C119" s="3679"/>
      <c r="D119" s="1705">
        <f t="shared" si="15"/>
        <v>0</v>
      </c>
      <c r="E119" s="1706"/>
      <c r="F119" s="1707"/>
      <c r="G119" s="1708"/>
      <c r="H119" s="1709"/>
      <c r="I119" s="2924"/>
      <c r="J119" s="1766"/>
      <c r="K119" s="1767"/>
      <c r="L119" s="1768"/>
      <c r="M119" s="1769"/>
      <c r="N119" s="3178"/>
      <c r="O119" s="1768"/>
      <c r="P119" s="1770"/>
      <c r="Q119" s="3122"/>
      <c r="R119" s="1771"/>
      <c r="S119" s="1772"/>
      <c r="T119" s="1834"/>
      <c r="U119" s="2819"/>
      <c r="V119" s="3187"/>
      <c r="W119" s="2890"/>
      <c r="X119" s="1835"/>
      <c r="Y119" s="1836"/>
      <c r="Z119" s="3298"/>
      <c r="AA119" s="2728"/>
      <c r="AB119" s="2721"/>
      <c r="AC119" s="1837"/>
      <c r="AD119" s="1838"/>
      <c r="AE119" s="1839"/>
      <c r="AF119" s="1706"/>
      <c r="AG119" s="1707"/>
      <c r="AH119" s="1887"/>
      <c r="AI119" s="1888"/>
      <c r="AJ119" s="2935"/>
      <c r="AK119" s="1889"/>
      <c r="AL119" s="1890"/>
      <c r="AM119" s="1769"/>
      <c r="AN119" s="3167"/>
      <c r="AO119" s="1770"/>
      <c r="AP119" s="3122"/>
      <c r="AQ119" s="1891"/>
      <c r="AR119" s="1892"/>
      <c r="AS119" s="1891"/>
      <c r="AT119" s="1920"/>
      <c r="AU119" s="2866"/>
      <c r="AV119" s="3114"/>
      <c r="AW119" s="3290"/>
      <c r="AX119" s="3195"/>
      <c r="AY119" s="2882"/>
      <c r="AZ119" s="2874"/>
      <c r="BA119" s="2826"/>
      <c r="BB119" s="2728"/>
      <c r="BC119" s="2721"/>
      <c r="BD119" s="1921"/>
      <c r="BE119" s="1922"/>
      <c r="BF119" s="1923"/>
      <c r="BG119" s="1924"/>
      <c r="BH119" s="1947"/>
      <c r="BI119" s="1891"/>
      <c r="BJ119" s="1948"/>
      <c r="BK119" s="1924"/>
      <c r="BL119" s="3634"/>
      <c r="BM119" s="3634"/>
      <c r="BN119" s="1942"/>
      <c r="BO119" s="1951"/>
      <c r="BP119" s="3630"/>
    </row>
    <row r="120" spans="1:68" ht="15.75" thickBot="1">
      <c r="A120" s="3723"/>
      <c r="B120" s="1738" t="s">
        <v>32</v>
      </c>
      <c r="C120" s="3678">
        <f>SUM(D120:D122)</f>
        <v>0</v>
      </c>
      <c r="D120" s="1689">
        <f t="shared" si="15"/>
        <v>0</v>
      </c>
      <c r="E120" s="1690"/>
      <c r="F120" s="1691"/>
      <c r="G120" s="1692"/>
      <c r="H120" s="1693"/>
      <c r="I120" s="2923"/>
      <c r="J120" s="1745"/>
      <c r="K120" s="1746"/>
      <c r="L120" s="1747"/>
      <c r="M120" s="1748"/>
      <c r="N120" s="3177"/>
      <c r="O120" s="1747"/>
      <c r="P120" s="1749"/>
      <c r="Q120" s="3121"/>
      <c r="R120" s="1750"/>
      <c r="S120" s="1751"/>
      <c r="T120" s="1815"/>
      <c r="U120" s="2818"/>
      <c r="V120" s="3186"/>
      <c r="W120" s="2889"/>
      <c r="X120" s="1816"/>
      <c r="Y120" s="1817"/>
      <c r="Z120" s="3297"/>
      <c r="AA120" s="2727"/>
      <c r="AB120" s="2720"/>
      <c r="AC120" s="1818"/>
      <c r="AD120" s="1819"/>
      <c r="AE120" s="1820"/>
      <c r="AF120" s="1726"/>
      <c r="AG120" s="1691"/>
      <c r="AH120" s="1869"/>
      <c r="AI120" s="1893"/>
      <c r="AJ120" s="2938"/>
      <c r="AK120" s="1854"/>
      <c r="AL120" s="1894"/>
      <c r="AM120" s="1748"/>
      <c r="AN120" s="3166"/>
      <c r="AO120" s="1749"/>
      <c r="AP120" s="3121"/>
      <c r="AQ120" s="1873"/>
      <c r="AR120" s="1874"/>
      <c r="AS120" s="1873"/>
      <c r="AT120" s="1909"/>
      <c r="AU120" s="2865"/>
      <c r="AV120" s="3113"/>
      <c r="AW120" s="3289"/>
      <c r="AX120" s="3194"/>
      <c r="AY120" s="2881"/>
      <c r="AZ120" s="2873"/>
      <c r="BA120" s="2825"/>
      <c r="BB120" s="2727"/>
      <c r="BC120" s="2720"/>
      <c r="BD120" s="1910"/>
      <c r="BE120" s="1911"/>
      <c r="BF120" s="1864"/>
      <c r="BG120" s="1865"/>
      <c r="BH120" s="1726"/>
      <c r="BI120" s="1873"/>
      <c r="BJ120" s="1940"/>
      <c r="BK120" s="1865"/>
      <c r="BL120" s="3633">
        <f>SUM(E120:AE122)</f>
        <v>0</v>
      </c>
      <c r="BM120" s="3633">
        <f>SUM(E120:BG122)</f>
        <v>0</v>
      </c>
      <c r="BN120" s="1942"/>
      <c r="BO120" s="1951"/>
      <c r="BP120" s="3629"/>
    </row>
    <row r="121" spans="1:68" ht="15.75" thickBot="1">
      <c r="A121" s="3724"/>
      <c r="B121" s="1738" t="s">
        <v>32</v>
      </c>
      <c r="C121" s="3679"/>
      <c r="D121" s="1705">
        <f t="shared" si="15"/>
        <v>0</v>
      </c>
      <c r="E121" s="1706"/>
      <c r="F121" s="1707"/>
      <c r="G121" s="1708"/>
      <c r="H121" s="1709"/>
      <c r="I121" s="2924"/>
      <c r="J121" s="1766"/>
      <c r="K121" s="1767"/>
      <c r="L121" s="1768"/>
      <c r="M121" s="1769"/>
      <c r="N121" s="3178"/>
      <c r="O121" s="1768"/>
      <c r="P121" s="1770"/>
      <c r="Q121" s="3122"/>
      <c r="R121" s="1771"/>
      <c r="S121" s="1772"/>
      <c r="T121" s="1834"/>
      <c r="U121" s="2819"/>
      <c r="V121" s="3187"/>
      <c r="W121" s="2890"/>
      <c r="X121" s="1835"/>
      <c r="Y121" s="1836"/>
      <c r="Z121" s="3298"/>
      <c r="AA121" s="2728"/>
      <c r="AB121" s="2721"/>
      <c r="AC121" s="1837"/>
      <c r="AD121" s="1838"/>
      <c r="AE121" s="1839"/>
      <c r="AF121" s="1706"/>
      <c r="AG121" s="1707"/>
      <c r="AH121" s="1887"/>
      <c r="AI121" s="1888"/>
      <c r="AJ121" s="2935"/>
      <c r="AK121" s="1889"/>
      <c r="AL121" s="1890"/>
      <c r="AM121" s="1769"/>
      <c r="AN121" s="3167"/>
      <c r="AO121" s="1770"/>
      <c r="AP121" s="3122"/>
      <c r="AQ121" s="1891"/>
      <c r="AR121" s="1892"/>
      <c r="AS121" s="1891"/>
      <c r="AT121" s="1920"/>
      <c r="AU121" s="2866"/>
      <c r="AV121" s="3114"/>
      <c r="AW121" s="3290"/>
      <c r="AX121" s="3195"/>
      <c r="AY121" s="2882"/>
      <c r="AZ121" s="2874"/>
      <c r="BA121" s="2826"/>
      <c r="BB121" s="2728"/>
      <c r="BC121" s="2721"/>
      <c r="BD121" s="1921"/>
      <c r="BE121" s="1922"/>
      <c r="BF121" s="1923"/>
      <c r="BG121" s="1924"/>
      <c r="BH121" s="1947"/>
      <c r="BI121" s="1891"/>
      <c r="BJ121" s="1948"/>
      <c r="BK121" s="1924"/>
      <c r="BL121" s="3634"/>
      <c r="BM121" s="3634"/>
      <c r="BN121" s="1942"/>
      <c r="BO121" s="1951"/>
      <c r="BP121" s="3630"/>
    </row>
    <row r="122" spans="1:68" ht="15.75" thickBot="1">
      <c r="A122" s="3724"/>
      <c r="B122" s="1694" t="s">
        <v>34</v>
      </c>
      <c r="C122" s="3679"/>
      <c r="D122" s="1705">
        <f t="shared" si="15"/>
        <v>0</v>
      </c>
      <c r="E122" s="1706"/>
      <c r="F122" s="1707"/>
      <c r="G122" s="1708"/>
      <c r="H122" s="1709"/>
      <c r="I122" s="2924"/>
      <c r="J122" s="1766"/>
      <c r="K122" s="1767"/>
      <c r="L122" s="1768"/>
      <c r="M122" s="1769"/>
      <c r="N122" s="3178"/>
      <c r="O122" s="1768"/>
      <c r="P122" s="1770"/>
      <c r="Q122" s="3122"/>
      <c r="R122" s="1771"/>
      <c r="S122" s="1772"/>
      <c r="T122" s="1834"/>
      <c r="U122" s="2819"/>
      <c r="V122" s="3187"/>
      <c r="W122" s="2890"/>
      <c r="X122" s="1835"/>
      <c r="Y122" s="1836"/>
      <c r="Z122" s="3298"/>
      <c r="AA122" s="2728"/>
      <c r="AB122" s="2721"/>
      <c r="AC122" s="1837"/>
      <c r="AD122" s="1838"/>
      <c r="AE122" s="1839"/>
      <c r="AF122" s="1706"/>
      <c r="AG122" s="1707"/>
      <c r="AH122" s="1887"/>
      <c r="AI122" s="1888"/>
      <c r="AJ122" s="2935"/>
      <c r="AK122" s="1889"/>
      <c r="AL122" s="1890"/>
      <c r="AM122" s="1769"/>
      <c r="AN122" s="3167"/>
      <c r="AO122" s="1770"/>
      <c r="AP122" s="3122"/>
      <c r="AQ122" s="1891"/>
      <c r="AR122" s="1892"/>
      <c r="AS122" s="1891"/>
      <c r="AT122" s="1920"/>
      <c r="AU122" s="2866"/>
      <c r="AV122" s="3114"/>
      <c r="AW122" s="3290"/>
      <c r="AX122" s="3195"/>
      <c r="AY122" s="2883"/>
      <c r="AZ122" s="2874"/>
      <c r="BA122" s="2826"/>
      <c r="BB122" s="2728"/>
      <c r="BC122" s="2721"/>
      <c r="BD122" s="1921"/>
      <c r="BE122" s="1922"/>
      <c r="BF122" s="1923"/>
      <c r="BG122" s="1924"/>
      <c r="BH122" s="1947"/>
      <c r="BI122" s="1891"/>
      <c r="BJ122" s="1948"/>
      <c r="BK122" s="1924"/>
      <c r="BL122" s="3634"/>
      <c r="BM122" s="3634"/>
      <c r="BN122" s="1942"/>
      <c r="BO122" s="1951"/>
      <c r="BP122" s="3630"/>
    </row>
    <row r="123" spans="1:68" ht="15.75" thickBot="1">
      <c r="A123" s="1963"/>
      <c r="B123" s="1724"/>
      <c r="C123" s="1964"/>
      <c r="D123" s="1965"/>
      <c r="E123" s="1966">
        <f t="shared" ref="E123:AJ123" si="21">SUM(E5:E122)</f>
        <v>0</v>
      </c>
      <c r="F123" s="1966">
        <f t="shared" si="21"/>
        <v>0</v>
      </c>
      <c r="G123" s="1966">
        <f t="shared" si="21"/>
        <v>0</v>
      </c>
      <c r="H123" s="1966">
        <f t="shared" si="21"/>
        <v>0</v>
      </c>
      <c r="I123" s="2933">
        <f t="shared" si="21"/>
        <v>7626</v>
      </c>
      <c r="J123" s="1966">
        <f t="shared" si="21"/>
        <v>0</v>
      </c>
      <c r="K123" s="1966">
        <f t="shared" si="21"/>
        <v>0</v>
      </c>
      <c r="L123" s="1966">
        <f t="shared" si="21"/>
        <v>0</v>
      </c>
      <c r="M123" s="1966">
        <f t="shared" si="21"/>
        <v>0</v>
      </c>
      <c r="N123" s="1966">
        <f t="shared" si="21"/>
        <v>0</v>
      </c>
      <c r="O123" s="1966">
        <f t="shared" si="21"/>
        <v>0</v>
      </c>
      <c r="P123" s="1966">
        <f t="shared" si="21"/>
        <v>0</v>
      </c>
      <c r="Q123" s="1966">
        <f t="shared" si="21"/>
        <v>0</v>
      </c>
      <c r="R123" s="1966">
        <f t="shared" si="21"/>
        <v>0</v>
      </c>
      <c r="S123" s="1966">
        <f t="shared" si="21"/>
        <v>0</v>
      </c>
      <c r="T123" s="1966">
        <f t="shared" si="21"/>
        <v>0</v>
      </c>
      <c r="U123" s="1966">
        <f t="shared" si="21"/>
        <v>0</v>
      </c>
      <c r="V123" s="1966">
        <f t="shared" si="21"/>
        <v>0</v>
      </c>
      <c r="W123" s="1966">
        <f t="shared" si="21"/>
        <v>0</v>
      </c>
      <c r="X123" s="1966">
        <f t="shared" si="21"/>
        <v>0</v>
      </c>
      <c r="Y123" s="1966">
        <f t="shared" si="21"/>
        <v>0</v>
      </c>
      <c r="Z123" s="1966">
        <f t="shared" si="21"/>
        <v>0</v>
      </c>
      <c r="AA123" s="1966">
        <f t="shared" si="21"/>
        <v>0</v>
      </c>
      <c r="AB123" s="1966">
        <f t="shared" si="21"/>
        <v>0</v>
      </c>
      <c r="AC123" s="1966">
        <f t="shared" si="21"/>
        <v>0</v>
      </c>
      <c r="AD123" s="1966">
        <f t="shared" si="21"/>
        <v>0</v>
      </c>
      <c r="AE123" s="1966">
        <f t="shared" si="21"/>
        <v>0</v>
      </c>
      <c r="AF123" s="1966">
        <f t="shared" si="21"/>
        <v>0</v>
      </c>
      <c r="AG123" s="1966">
        <f t="shared" si="21"/>
        <v>0</v>
      </c>
      <c r="AH123" s="1966">
        <f t="shared" si="21"/>
        <v>0</v>
      </c>
      <c r="AI123" s="1966">
        <f t="shared" si="21"/>
        <v>0</v>
      </c>
      <c r="AJ123" s="2933">
        <f t="shared" si="21"/>
        <v>0</v>
      </c>
      <c r="AK123" s="1966">
        <f t="shared" ref="AK123:BM123" si="22">SUM(AK5:AK122)</f>
        <v>0</v>
      </c>
      <c r="AL123" s="1966">
        <f t="shared" si="22"/>
        <v>0</v>
      </c>
      <c r="AM123" s="1966">
        <f t="shared" si="22"/>
        <v>0</v>
      </c>
      <c r="AN123" s="1966">
        <f t="shared" si="22"/>
        <v>0</v>
      </c>
      <c r="AO123" s="1966">
        <f t="shared" si="22"/>
        <v>0</v>
      </c>
      <c r="AP123" s="1966">
        <f t="shared" si="22"/>
        <v>0</v>
      </c>
      <c r="AQ123" s="1966">
        <f t="shared" si="22"/>
        <v>0</v>
      </c>
      <c r="AR123" s="1966">
        <f t="shared" si="22"/>
        <v>0</v>
      </c>
      <c r="AS123" s="1966">
        <f t="shared" si="22"/>
        <v>0</v>
      </c>
      <c r="AT123" s="1966">
        <f t="shared" si="22"/>
        <v>0</v>
      </c>
      <c r="AU123" s="1966">
        <f t="shared" si="22"/>
        <v>0</v>
      </c>
      <c r="AV123" s="1966">
        <f t="shared" si="22"/>
        <v>0</v>
      </c>
      <c r="AW123" s="1966">
        <f t="shared" si="22"/>
        <v>6</v>
      </c>
      <c r="AX123" s="1966">
        <f t="shared" si="22"/>
        <v>0</v>
      </c>
      <c r="AY123" s="1966">
        <f t="shared" si="22"/>
        <v>0</v>
      </c>
      <c r="AZ123" s="1966">
        <f t="shared" si="22"/>
        <v>0</v>
      </c>
      <c r="BA123" s="1966">
        <f t="shared" si="22"/>
        <v>0</v>
      </c>
      <c r="BB123" s="1966">
        <f t="shared" si="22"/>
        <v>0</v>
      </c>
      <c r="BC123" s="1966">
        <f t="shared" si="22"/>
        <v>0</v>
      </c>
      <c r="BD123" s="1966">
        <f t="shared" si="22"/>
        <v>0</v>
      </c>
      <c r="BE123" s="1966">
        <f t="shared" si="22"/>
        <v>0</v>
      </c>
      <c r="BF123" s="1966">
        <f t="shared" si="22"/>
        <v>0</v>
      </c>
      <c r="BG123" s="1966">
        <f t="shared" si="22"/>
        <v>0</v>
      </c>
      <c r="BH123" s="1966">
        <f t="shared" si="22"/>
        <v>0</v>
      </c>
      <c r="BI123" s="1966">
        <f t="shared" si="22"/>
        <v>177</v>
      </c>
      <c r="BJ123" s="1966">
        <f t="shared" si="22"/>
        <v>0</v>
      </c>
      <c r="BK123" s="1966">
        <f t="shared" si="22"/>
        <v>0</v>
      </c>
      <c r="BL123" s="1966">
        <f t="shared" si="22"/>
        <v>7626</v>
      </c>
      <c r="BM123" s="1966">
        <f t="shared" si="22"/>
        <v>7632</v>
      </c>
      <c r="BN123" s="1939"/>
      <c r="BO123" s="1939"/>
      <c r="BP123" s="1989"/>
    </row>
    <row r="124" spans="1:68" ht="21.75" thickBot="1">
      <c r="A124" s="1967"/>
      <c r="B124" s="1730"/>
      <c r="C124" s="1968">
        <f>SUM(C5:C122)</f>
        <v>7809</v>
      </c>
      <c r="D124" s="1969"/>
      <c r="E124" s="3699">
        <f>SUM(E123:AE123)</f>
        <v>7626</v>
      </c>
      <c r="F124" s="3700"/>
      <c r="G124" s="3700"/>
      <c r="H124" s="3700"/>
      <c r="I124" s="3700"/>
      <c r="J124" s="3700"/>
      <c r="K124" s="3700"/>
      <c r="L124" s="3700"/>
      <c r="M124" s="3700"/>
      <c r="N124" s="3700"/>
      <c r="O124" s="3700"/>
      <c r="P124" s="3700"/>
      <c r="Q124" s="3700"/>
      <c r="R124" s="3700"/>
      <c r="S124" s="3700"/>
      <c r="T124" s="3700"/>
      <c r="U124" s="3700"/>
      <c r="V124" s="3700"/>
      <c r="W124" s="3700"/>
      <c r="X124" s="3700"/>
      <c r="Y124" s="3701"/>
      <c r="Z124" s="3701"/>
      <c r="AA124" s="3701"/>
      <c r="AB124" s="3701"/>
      <c r="AC124" s="3701"/>
      <c r="AD124" s="3701"/>
      <c r="AE124" s="3702"/>
      <c r="AF124" s="3703">
        <f>SUM(AF123:BG123)</f>
        <v>6</v>
      </c>
      <c r="AG124" s="3704"/>
      <c r="AH124" s="3704"/>
      <c r="AI124" s="3704"/>
      <c r="AJ124" s="3704"/>
      <c r="AK124" s="3704"/>
      <c r="AL124" s="3704"/>
      <c r="AM124" s="3704"/>
      <c r="AN124" s="3704"/>
      <c r="AO124" s="3704"/>
      <c r="AP124" s="3704"/>
      <c r="AQ124" s="3704"/>
      <c r="AR124" s="3704"/>
      <c r="AS124" s="3704"/>
      <c r="AT124" s="3704"/>
      <c r="AU124" s="3704"/>
      <c r="AV124" s="3704"/>
      <c r="AW124" s="3704"/>
      <c r="AX124" s="3704"/>
      <c r="AY124" s="3704"/>
      <c r="AZ124" s="3704"/>
      <c r="BA124" s="3704"/>
      <c r="BB124" s="3704"/>
      <c r="BC124" s="3704"/>
      <c r="BD124" s="3705"/>
      <c r="BE124" s="3705"/>
      <c r="BF124" s="3705"/>
      <c r="BG124" s="3706"/>
      <c r="BH124" s="3699">
        <f>SUM(BH123:BK123)</f>
        <v>177</v>
      </c>
      <c r="BI124" s="3701"/>
      <c r="BJ124" s="3701"/>
      <c r="BK124" s="3702"/>
      <c r="BN124" s="1970"/>
      <c r="BO124" s="1970"/>
      <c r="BP124" s="1970"/>
    </row>
    <row r="125" spans="1:68" ht="15.75" thickBot="1">
      <c r="A125" s="1970"/>
      <c r="B125" s="1"/>
      <c r="C125" s="1"/>
      <c r="D125" s="1971"/>
      <c r="E125" s="1972"/>
      <c r="F125" s="1972"/>
      <c r="G125" s="1972"/>
      <c r="H125" s="1972"/>
      <c r="I125" s="1972"/>
      <c r="J125" s="1972"/>
      <c r="K125" s="1972"/>
      <c r="L125" s="1972"/>
      <c r="M125" s="1972"/>
      <c r="N125" s="1972"/>
      <c r="O125" s="1972"/>
      <c r="P125" s="1972"/>
      <c r="Q125" s="1972"/>
      <c r="R125" s="1972"/>
      <c r="S125" s="1972"/>
      <c r="T125" s="1972"/>
      <c r="U125" s="1972"/>
      <c r="V125" s="1972"/>
      <c r="W125" s="1972"/>
      <c r="X125" s="1972"/>
      <c r="Y125" s="1972"/>
      <c r="Z125" s="1972"/>
      <c r="AA125" s="1972"/>
      <c r="AB125" s="1972"/>
      <c r="AC125" s="1972"/>
      <c r="AD125" s="1978"/>
      <c r="AE125" s="1978"/>
      <c r="AF125" s="1977"/>
      <c r="AG125" s="1971"/>
      <c r="AH125" s="1971"/>
      <c r="AI125" s="1971"/>
      <c r="AJ125" s="1971"/>
      <c r="AK125" s="1971"/>
      <c r="AL125" s="1971"/>
      <c r="AM125" s="1972"/>
      <c r="AN125" s="1972"/>
      <c r="AO125" s="1972"/>
      <c r="AP125" s="1972"/>
      <c r="AQ125" s="1971"/>
      <c r="AR125" s="1971"/>
      <c r="AS125" s="1971"/>
      <c r="AT125" s="1971"/>
      <c r="AU125" s="1971"/>
      <c r="AV125" s="1971"/>
      <c r="AW125" s="1971"/>
      <c r="AX125" s="1971"/>
      <c r="AY125" s="1971"/>
      <c r="AZ125" s="1971"/>
      <c r="BA125" s="1971"/>
      <c r="BB125" s="1971"/>
      <c r="BC125" s="1971"/>
      <c r="BD125" s="1971"/>
      <c r="BE125" s="1971"/>
      <c r="BF125" s="1971"/>
      <c r="BG125" s="1971"/>
      <c r="BH125" s="1983"/>
      <c r="BI125" s="1984"/>
      <c r="BJ125" s="1984"/>
      <c r="BK125" s="1984"/>
      <c r="BN125" s="1970"/>
      <c r="BO125" s="1970"/>
      <c r="BP125" s="1970"/>
    </row>
    <row r="126" spans="1:68" ht="21.75" thickBot="1">
      <c r="A126" s="1970"/>
      <c r="B126" s="1"/>
      <c r="C126" s="1"/>
      <c r="D126" s="1971"/>
      <c r="E126" s="1972"/>
      <c r="F126" s="1973">
        <f>SUM(BM59)</f>
        <v>204</v>
      </c>
      <c r="G126" s="1974"/>
      <c r="H126" s="1974"/>
      <c r="I126" s="1974"/>
      <c r="J126" s="1974"/>
      <c r="K126" s="1974"/>
      <c r="L126" s="1974"/>
      <c r="M126" s="1974"/>
      <c r="N126" s="1974"/>
      <c r="O126" s="1974"/>
      <c r="P126" s="1974"/>
      <c r="Q126" s="1974"/>
      <c r="R126" s="1974"/>
      <c r="S126" s="1974"/>
      <c r="T126" s="1974"/>
      <c r="U126" s="1974"/>
      <c r="V126" s="1974"/>
      <c r="W126" s="1974"/>
      <c r="X126" s="1974"/>
      <c r="Y126" s="1974"/>
      <c r="Z126" s="1974"/>
      <c r="AA126" s="1974"/>
      <c r="AB126" s="1974"/>
      <c r="AC126" s="1974"/>
      <c r="AD126" s="1978"/>
      <c r="AE126" s="1978"/>
      <c r="AF126" s="1977"/>
      <c r="AG126" s="1971"/>
      <c r="AH126" s="1971"/>
      <c r="AI126" s="1971"/>
      <c r="AJ126" s="1971"/>
      <c r="AK126" s="1971"/>
      <c r="AL126" s="1971"/>
      <c r="AM126" s="1974"/>
      <c r="AN126" s="1974"/>
      <c r="AO126" s="1974"/>
      <c r="AP126" s="1974"/>
      <c r="AQ126" s="1971"/>
      <c r="AR126" s="1971"/>
      <c r="AS126" s="1971"/>
      <c r="AT126" s="1971"/>
      <c r="AU126" s="1971"/>
      <c r="AV126" s="1971"/>
      <c r="AW126" s="1971"/>
      <c r="AX126" s="1971"/>
      <c r="AY126" s="1971"/>
      <c r="AZ126" s="1971"/>
      <c r="BA126" s="1971"/>
      <c r="BB126" s="1971"/>
      <c r="BC126" s="1971"/>
      <c r="BD126" s="1971"/>
      <c r="BE126" s="1971"/>
      <c r="BF126" s="1971"/>
      <c r="BG126" s="1971"/>
      <c r="BH126" s="1983"/>
      <c r="BI126" s="1983">
        <f>'M-1'!AW115</f>
        <v>300</v>
      </c>
      <c r="BJ126" s="1984"/>
      <c r="BK126" s="1984"/>
      <c r="BL126" s="1985">
        <f>SUM(BH124:BK126)</f>
        <v>477</v>
      </c>
      <c r="BN126" s="1970"/>
      <c r="BO126" s="1970"/>
      <c r="BP126" s="1970"/>
    </row>
    <row r="127" spans="1:68" ht="21.75" thickBot="1">
      <c r="A127" s="1970"/>
      <c r="B127" s="1"/>
      <c r="C127" s="1"/>
      <c r="D127" s="1971"/>
      <c r="E127" s="1972"/>
      <c r="F127" s="1975">
        <f>SUM(E59:AE62)</f>
        <v>204</v>
      </c>
      <c r="G127" s="1976"/>
      <c r="H127" s="1976"/>
      <c r="I127" s="1976"/>
      <c r="J127" s="1976"/>
      <c r="K127" s="1976"/>
      <c r="L127" s="1976"/>
      <c r="M127" s="1976"/>
      <c r="N127" s="1976"/>
      <c r="O127" s="1976"/>
      <c r="P127" s="1976"/>
      <c r="Q127" s="1976"/>
      <c r="R127" s="1976"/>
      <c r="S127" s="1976"/>
      <c r="T127" s="1976"/>
      <c r="U127" s="1976"/>
      <c r="V127" s="1976"/>
      <c r="W127" s="1976"/>
      <c r="X127" s="1976"/>
      <c r="Y127" s="1976"/>
      <c r="Z127" s="1976"/>
      <c r="AA127" s="1976"/>
      <c r="AB127" s="1976"/>
      <c r="AC127" s="1976"/>
      <c r="AD127" s="1979"/>
      <c r="AE127" s="1979"/>
      <c r="AF127" s="140">
        <f>SUM(AF59:BG62)</f>
        <v>0</v>
      </c>
      <c r="AG127" s="1980"/>
      <c r="AH127" s="1980"/>
      <c r="AI127" s="1980"/>
      <c r="AJ127" s="1980"/>
      <c r="AK127" s="1980"/>
      <c r="AL127" s="1980"/>
      <c r="AM127" s="1976"/>
      <c r="AN127" s="1976"/>
      <c r="AO127" s="1976"/>
      <c r="AP127" s="1976"/>
      <c r="AQ127" s="1980"/>
      <c r="AR127" s="1980"/>
      <c r="AS127" s="1980"/>
      <c r="AT127" s="1980"/>
      <c r="AU127" s="1980"/>
      <c r="AV127" s="1980"/>
      <c r="AW127" s="1980"/>
      <c r="AX127" s="1980"/>
      <c r="AY127" s="1980"/>
      <c r="AZ127" s="1980"/>
      <c r="BA127" s="1980"/>
      <c r="BB127" s="1980"/>
      <c r="BC127" s="1980"/>
      <c r="BD127" s="1980"/>
      <c r="BE127" s="1980"/>
      <c r="BF127" s="1981"/>
      <c r="BG127" s="1981"/>
      <c r="BH127" s="140">
        <f>SUM(BH59:BK62)</f>
        <v>5</v>
      </c>
      <c r="BI127" s="1986"/>
      <c r="BJ127" s="1971"/>
      <c r="BK127" s="1971"/>
      <c r="BN127" s="1970"/>
      <c r="BO127" s="1970"/>
      <c r="BP127" s="1970"/>
    </row>
    <row r="128" spans="1:68" ht="19.5" thickBot="1">
      <c r="A128" s="1970"/>
      <c r="B128" s="1"/>
      <c r="C128" s="1"/>
      <c r="D128" s="1971"/>
      <c r="E128" s="1977"/>
      <c r="F128" s="1971"/>
      <c r="G128" s="1971"/>
      <c r="H128" s="1971"/>
      <c r="I128" s="1971"/>
      <c r="J128" s="1971"/>
      <c r="K128" s="1971"/>
      <c r="L128" s="1971"/>
      <c r="M128" s="1971"/>
      <c r="N128" s="1971"/>
      <c r="O128" s="1971"/>
      <c r="P128" s="1971"/>
      <c r="Q128" s="1971"/>
      <c r="R128" s="1971"/>
      <c r="S128" s="1971"/>
      <c r="T128" s="1971"/>
      <c r="U128" s="1971"/>
      <c r="V128" s="1971"/>
      <c r="W128" s="1971"/>
      <c r="X128" s="1971"/>
      <c r="Y128" s="3707">
        <f>SUM(F127:AF127)</f>
        <v>204</v>
      </c>
      <c r="Z128" s="3708"/>
      <c r="AA128" s="3708"/>
      <c r="AB128" s="3708"/>
      <c r="AC128" s="3708"/>
      <c r="AD128" s="3708"/>
      <c r="AE128" s="3709"/>
      <c r="AF128" s="1977"/>
      <c r="AG128" s="1971"/>
      <c r="AH128" s="216"/>
      <c r="AI128" s="216"/>
      <c r="AJ128" s="216"/>
      <c r="AK128" s="216"/>
      <c r="AL128" s="216"/>
      <c r="AM128" s="1971"/>
      <c r="AN128" s="1971"/>
      <c r="AO128" s="1971"/>
      <c r="AP128" s="1971"/>
      <c r="AQ128" s="216"/>
      <c r="AR128" s="216"/>
      <c r="AS128" s="216"/>
      <c r="AT128" s="216"/>
      <c r="AU128" s="216"/>
      <c r="AV128" s="216"/>
      <c r="AW128" s="216"/>
      <c r="AX128" s="216"/>
      <c r="AY128" s="216"/>
      <c r="AZ128" s="216"/>
      <c r="BA128" s="216"/>
      <c r="BB128" s="1982">
        <f>SUM(D127:BF127)</f>
        <v>204</v>
      </c>
      <c r="BC128" s="1982">
        <f>SUM(E127:BG127)</f>
        <v>204</v>
      </c>
      <c r="BD128" s="1982">
        <f>SUM(F127:BH127)</f>
        <v>209</v>
      </c>
      <c r="BE128" s="216"/>
      <c r="BF128" s="1971"/>
      <c r="BG128" s="1971"/>
      <c r="BH128" s="1977"/>
      <c r="BI128" s="1971"/>
      <c r="BJ128" s="1971"/>
      <c r="BK128" s="1971"/>
      <c r="BL128" s="147" t="s">
        <v>42</v>
      </c>
      <c r="BM128" s="1987">
        <f>BM123+'M-1'!BB115</f>
        <v>7632</v>
      </c>
      <c r="BN128" s="1970"/>
      <c r="BO128" s="1970"/>
      <c r="BP128" s="1970"/>
    </row>
    <row r="129" spans="1:68">
      <c r="A129" s="1970"/>
      <c r="B129" s="1"/>
      <c r="C129" s="1"/>
      <c r="D129" s="1971"/>
      <c r="E129" s="1977"/>
      <c r="F129" s="1971"/>
      <c r="G129" s="1971"/>
      <c r="H129" s="1971"/>
      <c r="I129" s="1971"/>
      <c r="J129" s="1971"/>
      <c r="K129" s="1971"/>
      <c r="L129" s="1971"/>
      <c r="M129" s="1971"/>
      <c r="N129" s="1971"/>
      <c r="O129" s="1971"/>
      <c r="P129" s="1971"/>
      <c r="Q129" s="1971"/>
      <c r="R129" s="1977"/>
      <c r="S129" s="1977"/>
      <c r="T129" s="1977"/>
      <c r="U129" s="1977"/>
      <c r="V129" s="1977"/>
      <c r="W129" s="1977"/>
      <c r="X129" s="1977"/>
      <c r="Y129" s="1977"/>
      <c r="Z129" s="1977"/>
      <c r="AA129" s="1977"/>
      <c r="AB129" s="1977"/>
      <c r="AC129" s="1977"/>
      <c r="AD129" s="1971"/>
      <c r="AE129" s="1971"/>
      <c r="AF129" s="1977"/>
      <c r="AG129" s="1971"/>
      <c r="AH129" s="1971"/>
      <c r="AI129" s="1971"/>
      <c r="AJ129" s="1971"/>
      <c r="AK129" s="1971"/>
      <c r="AL129" s="1971"/>
      <c r="AM129" s="1971"/>
      <c r="AN129" s="1971"/>
      <c r="AO129" s="1971"/>
      <c r="AP129" s="1971"/>
      <c r="AQ129" s="1971"/>
      <c r="AR129" s="1971"/>
      <c r="AS129" s="1971"/>
      <c r="AT129" s="1971"/>
      <c r="AU129" s="1971"/>
      <c r="AV129" s="1971"/>
      <c r="AW129" s="1971"/>
      <c r="AX129" s="1971"/>
      <c r="AY129" s="1971"/>
      <c r="AZ129" s="1971"/>
      <c r="BA129" s="1971"/>
      <c r="BB129" s="1971"/>
      <c r="BC129" s="1971"/>
      <c r="BD129" s="1971"/>
      <c r="BE129" s="1971"/>
      <c r="BF129" s="1971"/>
      <c r="BG129" s="1971"/>
      <c r="BH129" s="1977"/>
      <c r="BI129" s="1971"/>
      <c r="BJ129" s="1971"/>
      <c r="BK129" s="1971"/>
      <c r="BN129" s="1970"/>
      <c r="BO129" s="1970"/>
      <c r="BP129" s="1970"/>
    </row>
  </sheetData>
  <mergeCells count="163">
    <mergeCell ref="A17:A19"/>
    <mergeCell ref="C17:C19"/>
    <mergeCell ref="BL17:BL19"/>
    <mergeCell ref="BM17:BM19"/>
    <mergeCell ref="BP17:BP19"/>
    <mergeCell ref="A20:A23"/>
    <mergeCell ref="C20:C23"/>
    <mergeCell ref="BL20:BL23"/>
    <mergeCell ref="BM20:BM23"/>
    <mergeCell ref="BP20:BP23"/>
    <mergeCell ref="BM5:BM8"/>
    <mergeCell ref="BP5:BP8"/>
    <mergeCell ref="A9:A12"/>
    <mergeCell ref="C9:C12"/>
    <mergeCell ref="BL9:BL12"/>
    <mergeCell ref="BM9:BM12"/>
    <mergeCell ref="BP9:BP12"/>
    <mergeCell ref="BM13:BM16"/>
    <mergeCell ref="BP13:BP16"/>
    <mergeCell ref="E3:AE3"/>
    <mergeCell ref="AF3:BG3"/>
    <mergeCell ref="BH3:BK3"/>
    <mergeCell ref="C4:D4"/>
    <mergeCell ref="A5:A8"/>
    <mergeCell ref="C5:C8"/>
    <mergeCell ref="A13:A16"/>
    <mergeCell ref="C13:C16"/>
    <mergeCell ref="BL13:BL16"/>
    <mergeCell ref="BL5:BL8"/>
    <mergeCell ref="A24:A26"/>
    <mergeCell ref="C24:C26"/>
    <mergeCell ref="BL24:BL26"/>
    <mergeCell ref="BM24:BM26"/>
    <mergeCell ref="BP24:BP26"/>
    <mergeCell ref="A30:A34"/>
    <mergeCell ref="C30:C34"/>
    <mergeCell ref="BL30:BL34"/>
    <mergeCell ref="BM30:BM34"/>
    <mergeCell ref="BP30:BP34"/>
    <mergeCell ref="A35:A38"/>
    <mergeCell ref="C35:C38"/>
    <mergeCell ref="BL35:BL38"/>
    <mergeCell ref="BM35:BM38"/>
    <mergeCell ref="BP35:BP38"/>
    <mergeCell ref="A39:A42"/>
    <mergeCell ref="C39:C42"/>
    <mergeCell ref="BL39:BL42"/>
    <mergeCell ref="BM39:BM42"/>
    <mergeCell ref="BP39:BP42"/>
    <mergeCell ref="A43:A46"/>
    <mergeCell ref="C43:C46"/>
    <mergeCell ref="BL43:BL46"/>
    <mergeCell ref="BM43:BM46"/>
    <mergeCell ref="BP43:BP46"/>
    <mergeCell ref="A51:A54"/>
    <mergeCell ref="C51:C54"/>
    <mergeCell ref="BL51:BL54"/>
    <mergeCell ref="BM51:BM54"/>
    <mergeCell ref="BP51:BP54"/>
    <mergeCell ref="A47:A50"/>
    <mergeCell ref="C47:C50"/>
    <mergeCell ref="BL47:BL50"/>
    <mergeCell ref="BM47:BM50"/>
    <mergeCell ref="BP47:BP50"/>
    <mergeCell ref="A55:A58"/>
    <mergeCell ref="C55:C58"/>
    <mergeCell ref="BL55:BL58"/>
    <mergeCell ref="BM55:BM58"/>
    <mergeCell ref="BP55:BP58"/>
    <mergeCell ref="A59:A62"/>
    <mergeCell ref="C59:C62"/>
    <mergeCell ref="BL59:BL62"/>
    <mergeCell ref="BM59:BM62"/>
    <mergeCell ref="BP59:BP62"/>
    <mergeCell ref="A63:A66"/>
    <mergeCell ref="C63:C66"/>
    <mergeCell ref="BL63:BL66"/>
    <mergeCell ref="BM63:BM66"/>
    <mergeCell ref="BP63:BP66"/>
    <mergeCell ref="A67:A70"/>
    <mergeCell ref="C67:C70"/>
    <mergeCell ref="BL67:BL70"/>
    <mergeCell ref="BM67:BM70"/>
    <mergeCell ref="BP67:BP70"/>
    <mergeCell ref="A71:A74"/>
    <mergeCell ref="C71:C74"/>
    <mergeCell ref="BL71:BL74"/>
    <mergeCell ref="BM71:BM74"/>
    <mergeCell ref="BP71:BP74"/>
    <mergeCell ref="A75:A78"/>
    <mergeCell ref="C75:C78"/>
    <mergeCell ref="BL75:BL78"/>
    <mergeCell ref="BM75:BM78"/>
    <mergeCell ref="BP75:BP78"/>
    <mergeCell ref="A79:A83"/>
    <mergeCell ref="C79:C83"/>
    <mergeCell ref="BL79:BL83"/>
    <mergeCell ref="BM79:BM83"/>
    <mergeCell ref="BP79:BP83"/>
    <mergeCell ref="A84:A87"/>
    <mergeCell ref="C84:C87"/>
    <mergeCell ref="BL84:BL87"/>
    <mergeCell ref="BM84:BM87"/>
    <mergeCell ref="BP84:BP87"/>
    <mergeCell ref="BP96:BP99"/>
    <mergeCell ref="A100:A104"/>
    <mergeCell ref="C100:C104"/>
    <mergeCell ref="BL100:BL104"/>
    <mergeCell ref="BM100:BM104"/>
    <mergeCell ref="BP100:BP104"/>
    <mergeCell ref="A88:A91"/>
    <mergeCell ref="C88:C91"/>
    <mergeCell ref="BL88:BL91"/>
    <mergeCell ref="BM88:BM91"/>
    <mergeCell ref="BP88:BP91"/>
    <mergeCell ref="A92:A95"/>
    <mergeCell ref="C92:C95"/>
    <mergeCell ref="BL92:BL95"/>
    <mergeCell ref="BM92:BM95"/>
    <mergeCell ref="BP92:BP95"/>
    <mergeCell ref="A111:A113"/>
    <mergeCell ref="C111:C113"/>
    <mergeCell ref="BL111:BL113"/>
    <mergeCell ref="BM111:BM113"/>
    <mergeCell ref="BP111:BP113"/>
    <mergeCell ref="A27:A29"/>
    <mergeCell ref="C27:C29"/>
    <mergeCell ref="BL27:BL29"/>
    <mergeCell ref="BM27:BM29"/>
    <mergeCell ref="BP27:BP29"/>
    <mergeCell ref="A105:A107"/>
    <mergeCell ref="C105:C107"/>
    <mergeCell ref="BL105:BL107"/>
    <mergeCell ref="BM105:BM107"/>
    <mergeCell ref="BP105:BP107"/>
    <mergeCell ref="A108:A110"/>
    <mergeCell ref="C108:C110"/>
    <mergeCell ref="BL108:BL110"/>
    <mergeCell ref="BM108:BM110"/>
    <mergeCell ref="BP108:BP110"/>
    <mergeCell ref="A96:A99"/>
    <mergeCell ref="C96:C99"/>
    <mergeCell ref="BL96:BL99"/>
    <mergeCell ref="BM96:BM99"/>
    <mergeCell ref="Y128:AE128"/>
    <mergeCell ref="A120:A122"/>
    <mergeCell ref="C120:C122"/>
    <mergeCell ref="BL120:BL122"/>
    <mergeCell ref="BM120:BM122"/>
    <mergeCell ref="BP120:BP122"/>
    <mergeCell ref="E124:AE124"/>
    <mergeCell ref="AF124:BG124"/>
    <mergeCell ref="BH124:BK124"/>
    <mergeCell ref="A114:A116"/>
    <mergeCell ref="C114:C116"/>
    <mergeCell ref="BL114:BL116"/>
    <mergeCell ref="BM114:BM116"/>
    <mergeCell ref="BP114:BP116"/>
    <mergeCell ref="A117:A119"/>
    <mergeCell ref="C117:C119"/>
    <mergeCell ref="BL117:BL119"/>
    <mergeCell ref="BM117:BM119"/>
    <mergeCell ref="BP117:BP1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24"/>
  <sheetViews>
    <sheetView topLeftCell="A29" workbookViewId="0">
      <selection activeCell="G48" sqref="G48"/>
    </sheetView>
  </sheetViews>
  <sheetFormatPr defaultRowHeight="15"/>
  <cols>
    <col min="1" max="1" width="12.85546875" bestFit="1" customWidth="1"/>
    <col min="2" max="2" width="8.28515625" bestFit="1" customWidth="1"/>
    <col min="64" max="65" width="9.5703125" bestFit="1" customWidth="1"/>
    <col min="66" max="66" width="12.7109375" customWidth="1"/>
    <col min="67" max="67" width="13.42578125" customWidth="1"/>
  </cols>
  <sheetData>
    <row r="1" spans="1:68" ht="21" thickBot="1">
      <c r="A1" s="1677">
        <v>46113</v>
      </c>
      <c r="B1" s="1673"/>
      <c r="C1" s="1673"/>
      <c r="D1" s="1673"/>
      <c r="E1" s="704"/>
      <c r="F1" s="1673"/>
      <c r="G1" s="1673"/>
      <c r="H1" s="1673"/>
      <c r="I1" s="1673"/>
      <c r="J1" s="1673"/>
      <c r="K1" s="1673"/>
      <c r="L1" s="1673"/>
      <c r="M1" s="1673"/>
      <c r="N1" s="1673"/>
      <c r="O1" s="1673"/>
      <c r="P1" s="1673"/>
      <c r="Q1" s="1673"/>
      <c r="R1" s="704"/>
      <c r="S1" s="704"/>
      <c r="T1" s="704"/>
      <c r="U1" s="704"/>
      <c r="V1" s="704"/>
      <c r="W1" s="704"/>
      <c r="X1" s="704"/>
      <c r="Y1" s="704"/>
      <c r="Z1" s="704"/>
      <c r="AA1" s="704"/>
      <c r="AB1" s="704"/>
      <c r="AC1" s="704"/>
      <c r="AD1" s="1673"/>
      <c r="AE1" s="1673"/>
      <c r="AF1" s="704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1673"/>
      <c r="AS1" s="1673"/>
      <c r="AT1" s="1673"/>
      <c r="AU1" s="1673"/>
      <c r="AV1" s="1673"/>
      <c r="AW1" s="1673"/>
      <c r="AX1" s="1673"/>
      <c r="AY1" s="1673"/>
      <c r="AZ1" s="1673"/>
      <c r="BA1" s="1673"/>
      <c r="BB1" s="1673"/>
      <c r="BC1" s="1673"/>
      <c r="BD1" s="1673"/>
      <c r="BE1" s="1673"/>
      <c r="BF1" s="1673"/>
      <c r="BG1" s="1673"/>
      <c r="BH1" s="704"/>
      <c r="BI1" s="1673"/>
      <c r="BJ1" s="1673"/>
      <c r="BK1" s="1673"/>
      <c r="BL1" s="1673"/>
      <c r="BM1" s="1673"/>
      <c r="BN1" s="1673"/>
      <c r="BO1" s="1673"/>
      <c r="BP1" s="1673"/>
    </row>
    <row r="2" spans="1:68" ht="21" thickBot="1">
      <c r="A2" s="1678"/>
      <c r="B2" s="1679"/>
      <c r="C2" s="1679"/>
      <c r="D2" s="1680"/>
      <c r="E2" s="1680"/>
      <c r="F2" s="1680"/>
      <c r="G2" s="1680"/>
      <c r="H2" s="1680"/>
      <c r="I2" s="1680"/>
      <c r="J2" s="1680"/>
      <c r="K2" s="1680"/>
      <c r="L2" s="1680"/>
      <c r="M2" s="1680"/>
      <c r="N2" s="1680"/>
      <c r="O2" s="1680"/>
      <c r="P2" s="1680"/>
      <c r="Q2" s="1680"/>
      <c r="R2" s="1680"/>
      <c r="S2" s="1680"/>
      <c r="T2" s="1680"/>
      <c r="U2" s="1680"/>
      <c r="V2" s="1680"/>
      <c r="W2" s="1680"/>
      <c r="X2" s="1680"/>
      <c r="Y2" s="1680"/>
      <c r="Z2" s="1680"/>
      <c r="AA2" s="1680"/>
      <c r="AB2" s="1680"/>
      <c r="AC2" s="1680"/>
      <c r="AD2" s="1680"/>
      <c r="AE2" s="1680"/>
      <c r="AF2" s="1680"/>
      <c r="AG2" s="1680"/>
      <c r="AH2" s="1680"/>
      <c r="AI2" s="1680"/>
      <c r="AJ2" s="1680"/>
      <c r="AK2" s="1680"/>
      <c r="AL2" s="1680"/>
      <c r="AM2" s="1680"/>
      <c r="AN2" s="1680"/>
      <c r="AO2" s="1680"/>
      <c r="AP2" s="1680"/>
      <c r="AQ2" s="1680"/>
      <c r="AR2" s="1680"/>
      <c r="AS2" s="1680"/>
      <c r="AT2" s="1680"/>
      <c r="AU2" s="1680"/>
      <c r="AV2" s="1680"/>
      <c r="AW2" s="1680"/>
      <c r="AX2" s="1680"/>
      <c r="AY2" s="1680"/>
      <c r="AZ2" s="1680"/>
      <c r="BA2" s="1680"/>
      <c r="BB2" s="1680"/>
      <c r="BC2" s="1680"/>
      <c r="BD2" s="1680"/>
      <c r="BE2" s="1680"/>
      <c r="BF2" s="1680"/>
      <c r="BG2" s="1680"/>
      <c r="BH2" s="1680"/>
      <c r="BI2" s="1680"/>
      <c r="BJ2" s="1680"/>
      <c r="BK2" s="1680"/>
      <c r="BL2" s="704"/>
      <c r="BM2" s="1932"/>
      <c r="BN2" s="1933">
        <v>1</v>
      </c>
      <c r="BO2" s="1274">
        <v>4</v>
      </c>
      <c r="BP2" s="1274">
        <v>26</v>
      </c>
    </row>
    <row r="3" spans="1:68" ht="24" thickBot="1">
      <c r="A3" s="1681" t="s">
        <v>529</v>
      </c>
      <c r="B3" s="1679"/>
      <c r="C3" s="1679"/>
      <c r="D3" s="1680"/>
      <c r="E3" s="3658" t="s">
        <v>1</v>
      </c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59"/>
      <c r="AA3" s="3659"/>
      <c r="AB3" s="3659"/>
      <c r="AC3" s="3659"/>
      <c r="AD3" s="3659"/>
      <c r="AE3" s="3660"/>
      <c r="AF3" s="3696" t="s">
        <v>2</v>
      </c>
      <c r="AG3" s="3697"/>
      <c r="AH3" s="3697"/>
      <c r="AI3" s="3697"/>
      <c r="AJ3" s="3697"/>
      <c r="AK3" s="3697"/>
      <c r="AL3" s="3697"/>
      <c r="AM3" s="3697"/>
      <c r="AN3" s="3697"/>
      <c r="AO3" s="3697"/>
      <c r="AP3" s="3697"/>
      <c r="AQ3" s="3697"/>
      <c r="AR3" s="3697"/>
      <c r="AS3" s="3697"/>
      <c r="AT3" s="3697"/>
      <c r="AU3" s="3697"/>
      <c r="AV3" s="3697"/>
      <c r="AW3" s="3697"/>
      <c r="AX3" s="3697"/>
      <c r="AY3" s="3697"/>
      <c r="AZ3" s="3697"/>
      <c r="BA3" s="3697"/>
      <c r="BB3" s="3697"/>
      <c r="BC3" s="3697"/>
      <c r="BD3" s="3697"/>
      <c r="BE3" s="3697"/>
      <c r="BF3" s="3697"/>
      <c r="BG3" s="3698"/>
      <c r="BH3" s="3664" t="s">
        <v>3</v>
      </c>
      <c r="BI3" s="3665"/>
      <c r="BJ3" s="3665"/>
      <c r="BK3" s="3666"/>
      <c r="BL3" s="704"/>
      <c r="BM3" s="1932"/>
      <c r="BN3" s="1678"/>
      <c r="BO3" s="1934"/>
      <c r="BP3" s="1934"/>
    </row>
    <row r="4" spans="1:68" ht="102" thickBot="1">
      <c r="A4" s="3521" t="s">
        <v>5</v>
      </c>
      <c r="B4" s="3520" t="s">
        <v>6</v>
      </c>
      <c r="C4" s="3689" t="s">
        <v>7</v>
      </c>
      <c r="D4" s="3716"/>
      <c r="E4" s="1684" t="s">
        <v>8</v>
      </c>
      <c r="F4" s="1685" t="s">
        <v>9</v>
      </c>
      <c r="G4" s="1686" t="s">
        <v>10</v>
      </c>
      <c r="H4" s="1687" t="s">
        <v>11</v>
      </c>
      <c r="I4" s="2922" t="s">
        <v>39</v>
      </c>
      <c r="J4" s="1739" t="s">
        <v>13</v>
      </c>
      <c r="K4" s="1740" t="s">
        <v>12</v>
      </c>
      <c r="L4" s="1741" t="s">
        <v>17</v>
      </c>
      <c r="M4" s="1686" t="s">
        <v>14</v>
      </c>
      <c r="N4" s="3165" t="s">
        <v>438</v>
      </c>
      <c r="O4" s="1741" t="s">
        <v>531</v>
      </c>
      <c r="P4" s="1742" t="s">
        <v>15</v>
      </c>
      <c r="Q4" s="3120" t="s">
        <v>417</v>
      </c>
      <c r="R4" s="1743" t="s">
        <v>537</v>
      </c>
      <c r="S4" s="1744" t="s">
        <v>19</v>
      </c>
      <c r="T4" s="1809" t="s">
        <v>16</v>
      </c>
      <c r="U4" s="2817" t="s">
        <v>423</v>
      </c>
      <c r="V4" s="3185" t="s">
        <v>197</v>
      </c>
      <c r="W4" s="2888" t="s">
        <v>383</v>
      </c>
      <c r="X4" s="1810" t="s">
        <v>20</v>
      </c>
      <c r="Y4" s="1811"/>
      <c r="Z4" s="3296" t="s">
        <v>592</v>
      </c>
      <c r="AA4" s="2726" t="s">
        <v>333</v>
      </c>
      <c r="AB4" s="2719" t="s">
        <v>376</v>
      </c>
      <c r="AC4" s="1812" t="s">
        <v>22</v>
      </c>
      <c r="AD4" s="1813" t="s">
        <v>23</v>
      </c>
      <c r="AE4" s="1814" t="s">
        <v>24</v>
      </c>
      <c r="AF4" s="1684" t="s">
        <v>8</v>
      </c>
      <c r="AG4" s="1685" t="s">
        <v>9</v>
      </c>
      <c r="AH4" s="1686" t="s">
        <v>10</v>
      </c>
      <c r="AI4" s="1687" t="s">
        <v>11</v>
      </c>
      <c r="AJ4" s="3296" t="s">
        <v>592</v>
      </c>
      <c r="AK4" s="1868" t="s">
        <v>13</v>
      </c>
      <c r="AL4" s="1740" t="s">
        <v>12</v>
      </c>
      <c r="AM4" s="1686" t="s">
        <v>14</v>
      </c>
      <c r="AN4" s="3165" t="s">
        <v>439</v>
      </c>
      <c r="AO4" s="1742" t="s">
        <v>15</v>
      </c>
      <c r="AP4" s="3120" t="s">
        <v>417</v>
      </c>
      <c r="AQ4" s="1741" t="s">
        <v>531</v>
      </c>
      <c r="AR4" s="1743" t="s">
        <v>537</v>
      </c>
      <c r="AS4" s="1741" t="s">
        <v>17</v>
      </c>
      <c r="AT4" s="1744" t="s">
        <v>19</v>
      </c>
      <c r="AU4" s="2864" t="s">
        <v>16</v>
      </c>
      <c r="AV4" s="3112" t="s">
        <v>424</v>
      </c>
      <c r="AW4" s="2922" t="s">
        <v>39</v>
      </c>
      <c r="AX4" s="3193" t="s">
        <v>197</v>
      </c>
      <c r="AY4" s="2880" t="s">
        <v>383</v>
      </c>
      <c r="AZ4" s="2872" t="s">
        <v>20</v>
      </c>
      <c r="BA4" s="2824" t="s">
        <v>197</v>
      </c>
      <c r="BB4" s="2726" t="s">
        <v>333</v>
      </c>
      <c r="BC4" s="2719" t="s">
        <v>376</v>
      </c>
      <c r="BD4" s="1811" t="s">
        <v>520</v>
      </c>
      <c r="BE4" s="1812" t="s">
        <v>22</v>
      </c>
      <c r="BF4" s="1813" t="s">
        <v>23</v>
      </c>
      <c r="BG4" s="1814" t="s">
        <v>24</v>
      </c>
      <c r="BH4" s="1684" t="s">
        <v>50</v>
      </c>
      <c r="BI4" s="1741" t="s">
        <v>425</v>
      </c>
      <c r="BJ4" s="1935" t="s">
        <v>385</v>
      </c>
      <c r="BK4" s="1936" t="s">
        <v>26</v>
      </c>
      <c r="BL4" s="1937" t="s">
        <v>27</v>
      </c>
      <c r="BM4" s="1938" t="s">
        <v>28</v>
      </c>
      <c r="BN4" s="1939" t="s">
        <v>29</v>
      </c>
      <c r="BO4" s="1939" t="s">
        <v>30</v>
      </c>
      <c r="BP4" s="1958" t="s">
        <v>31</v>
      </c>
    </row>
    <row r="5" spans="1:68" ht="15.75" thickBot="1">
      <c r="A5" s="3694">
        <v>46130</v>
      </c>
      <c r="B5" s="1688" t="s">
        <v>32</v>
      </c>
      <c r="C5" s="3678">
        <f>SUM(D5:D8)</f>
        <v>1301</v>
      </c>
      <c r="D5" s="1689">
        <f t="shared" ref="D5:D87" si="0">SUM(E5:BK5)</f>
        <v>579</v>
      </c>
      <c r="E5" s="1690"/>
      <c r="F5" s="1691"/>
      <c r="G5" s="1692"/>
      <c r="H5" s="1693"/>
      <c r="I5" s="2923">
        <v>560</v>
      </c>
      <c r="J5" s="1745"/>
      <c r="K5" s="1746"/>
      <c r="L5" s="1747"/>
      <c r="M5" s="1748"/>
      <c r="N5" s="3177"/>
      <c r="O5" s="1747"/>
      <c r="P5" s="1749"/>
      <c r="Q5" s="3121"/>
      <c r="R5" s="1750"/>
      <c r="S5" s="1751"/>
      <c r="T5" s="1815"/>
      <c r="U5" s="2818"/>
      <c r="V5" s="3186"/>
      <c r="W5" s="2889"/>
      <c r="X5" s="1816"/>
      <c r="Y5" s="1817"/>
      <c r="Z5" s="3297"/>
      <c r="AA5" s="2727"/>
      <c r="AB5" s="2720"/>
      <c r="AC5" s="1818"/>
      <c r="AD5" s="1819"/>
      <c r="AE5" s="1820"/>
      <c r="AF5" s="1726"/>
      <c r="AG5" s="1691"/>
      <c r="AH5" s="1869"/>
      <c r="AI5" s="1870"/>
      <c r="AJ5" s="2934"/>
      <c r="AK5" s="1871"/>
      <c r="AL5" s="1872"/>
      <c r="AM5" s="1748"/>
      <c r="AN5" s="3166"/>
      <c r="AO5" s="1774"/>
      <c r="AP5" s="3126"/>
      <c r="AQ5" s="1873"/>
      <c r="AR5" s="1874"/>
      <c r="AS5" s="1873"/>
      <c r="AT5" s="1909"/>
      <c r="AU5" s="2865"/>
      <c r="AV5" s="3113"/>
      <c r="AW5" s="3289">
        <v>7</v>
      </c>
      <c r="AX5" s="3194"/>
      <c r="AY5" s="2881"/>
      <c r="AZ5" s="2873"/>
      <c r="BA5" s="2825"/>
      <c r="BB5" s="2727"/>
      <c r="BC5" s="2720"/>
      <c r="BD5" s="1910"/>
      <c r="BE5" s="1911"/>
      <c r="BF5" s="1864"/>
      <c r="BG5" s="1865"/>
      <c r="BH5" s="1726"/>
      <c r="BI5" s="1873">
        <v>12</v>
      </c>
      <c r="BJ5" s="1940"/>
      <c r="BK5" s="1865"/>
      <c r="BL5" s="3633">
        <f>SUM(E5:AE8)</f>
        <v>1280</v>
      </c>
      <c r="BM5" s="3633">
        <f>SUM(E5:BG8)</f>
        <v>1289</v>
      </c>
      <c r="BN5" s="1941">
        <v>101</v>
      </c>
      <c r="BO5" s="1942" t="s">
        <v>649</v>
      </c>
      <c r="BP5" s="3629" t="s">
        <v>33</v>
      </c>
    </row>
    <row r="6" spans="1:68" ht="15.75" thickBot="1">
      <c r="A6" s="3695"/>
      <c r="B6" s="1694" t="s">
        <v>34</v>
      </c>
      <c r="C6" s="3679"/>
      <c r="D6" s="1705">
        <f t="shared" si="0"/>
        <v>722</v>
      </c>
      <c r="E6" s="1706"/>
      <c r="F6" s="1707"/>
      <c r="G6" s="1708"/>
      <c r="H6" s="1709"/>
      <c r="I6" s="2924">
        <f>440+280</f>
        <v>720</v>
      </c>
      <c r="J6" s="1766"/>
      <c r="K6" s="1767"/>
      <c r="L6" s="1768"/>
      <c r="M6" s="1769"/>
      <c r="N6" s="3178"/>
      <c r="O6" s="1768"/>
      <c r="P6" s="1770"/>
      <c r="Q6" s="3122"/>
      <c r="R6" s="1771"/>
      <c r="S6" s="1772"/>
      <c r="T6" s="1834"/>
      <c r="U6" s="2819"/>
      <c r="V6" s="3187"/>
      <c r="W6" s="2890"/>
      <c r="X6" s="1835"/>
      <c r="Y6" s="1836"/>
      <c r="Z6" s="3298"/>
      <c r="AA6" s="2728"/>
      <c r="AB6" s="2721"/>
      <c r="AC6" s="1837"/>
      <c r="AD6" s="1838"/>
      <c r="AE6" s="1839"/>
      <c r="AF6" s="1706"/>
      <c r="AG6" s="1707"/>
      <c r="AH6" s="1887"/>
      <c r="AI6" s="1888"/>
      <c r="AJ6" s="2935"/>
      <c r="AK6" s="1889"/>
      <c r="AL6" s="1890"/>
      <c r="AM6" s="1769"/>
      <c r="AN6" s="3167"/>
      <c r="AO6" s="1770"/>
      <c r="AP6" s="3122"/>
      <c r="AQ6" s="1891"/>
      <c r="AR6" s="1892"/>
      <c r="AS6" s="1891"/>
      <c r="AT6" s="1920"/>
      <c r="AU6" s="2866"/>
      <c r="AV6" s="3114"/>
      <c r="AW6" s="3290">
        <v>2</v>
      </c>
      <c r="AX6" s="3195"/>
      <c r="AY6" s="2882"/>
      <c r="AZ6" s="2874"/>
      <c r="BA6" s="2826"/>
      <c r="BB6" s="2728"/>
      <c r="BC6" s="2721"/>
      <c r="BD6" s="1921"/>
      <c r="BE6" s="1922"/>
      <c r="BF6" s="1923"/>
      <c r="BG6" s="1924"/>
      <c r="BH6" s="1947"/>
      <c r="BI6" s="1891"/>
      <c r="BJ6" s="1948"/>
      <c r="BK6" s="1924"/>
      <c r="BL6" s="3634"/>
      <c r="BM6" s="3634"/>
      <c r="BN6" s="1945"/>
      <c r="BO6" s="1945"/>
      <c r="BP6" s="3630"/>
    </row>
    <row r="7" spans="1:68" ht="15.75" thickBot="1">
      <c r="A7" s="3695"/>
      <c r="B7" s="1694" t="s">
        <v>34</v>
      </c>
      <c r="C7" s="3679"/>
      <c r="D7" s="1705">
        <f t="shared" si="0"/>
        <v>0</v>
      </c>
      <c r="E7" s="1706"/>
      <c r="F7" s="1707"/>
      <c r="G7" s="1708"/>
      <c r="H7" s="1709"/>
      <c r="I7" s="2924"/>
      <c r="J7" s="1766"/>
      <c r="K7" s="1767"/>
      <c r="L7" s="1768"/>
      <c r="M7" s="1769"/>
      <c r="N7" s="3178"/>
      <c r="O7" s="1768"/>
      <c r="P7" s="1770"/>
      <c r="Q7" s="3122"/>
      <c r="R7" s="1771"/>
      <c r="S7" s="1772"/>
      <c r="T7" s="1834"/>
      <c r="U7" s="2819"/>
      <c r="V7" s="3187"/>
      <c r="W7" s="2890"/>
      <c r="X7" s="1835"/>
      <c r="Y7" s="1836"/>
      <c r="Z7" s="3298"/>
      <c r="AA7" s="2728"/>
      <c r="AB7" s="2721"/>
      <c r="AC7" s="1837"/>
      <c r="AD7" s="1838"/>
      <c r="AE7" s="1839"/>
      <c r="AF7" s="1706"/>
      <c r="AG7" s="1707"/>
      <c r="AH7" s="1887"/>
      <c r="AI7" s="1888"/>
      <c r="AJ7" s="2935"/>
      <c r="AK7" s="1889"/>
      <c r="AL7" s="1890"/>
      <c r="AM7" s="1769"/>
      <c r="AN7" s="3167"/>
      <c r="AO7" s="1770"/>
      <c r="AP7" s="3122"/>
      <c r="AQ7" s="1891"/>
      <c r="AR7" s="1892"/>
      <c r="AS7" s="1891"/>
      <c r="AT7" s="1920"/>
      <c r="AU7" s="2866"/>
      <c r="AV7" s="3114"/>
      <c r="AW7" s="3290"/>
      <c r="AX7" s="3195"/>
      <c r="AY7" s="2882"/>
      <c r="AZ7" s="2874"/>
      <c r="BA7" s="2826"/>
      <c r="BB7" s="2728"/>
      <c r="BC7" s="2721"/>
      <c r="BD7" s="1921"/>
      <c r="BE7" s="1922"/>
      <c r="BF7" s="1923"/>
      <c r="BG7" s="1924"/>
      <c r="BH7" s="1947"/>
      <c r="BI7" s="1891"/>
      <c r="BJ7" s="1948"/>
      <c r="BK7" s="1924"/>
      <c r="BL7" s="3634"/>
      <c r="BM7" s="3634"/>
      <c r="BN7" s="1939"/>
      <c r="BO7" s="2340"/>
      <c r="BP7" s="3630"/>
    </row>
    <row r="8" spans="1:68" ht="15.75" thickBot="1">
      <c r="A8" s="3695"/>
      <c r="B8" s="1694" t="s">
        <v>34</v>
      </c>
      <c r="C8" s="3679"/>
      <c r="D8" s="1695">
        <f t="shared" si="0"/>
        <v>0</v>
      </c>
      <c r="E8" s="1696"/>
      <c r="F8" s="1697"/>
      <c r="G8" s="1698"/>
      <c r="H8" s="1699"/>
      <c r="I8" s="2925"/>
      <c r="J8" s="1752"/>
      <c r="K8" s="1753"/>
      <c r="L8" s="1754"/>
      <c r="M8" s="1755"/>
      <c r="N8" s="3179"/>
      <c r="O8" s="1754"/>
      <c r="P8" s="1756"/>
      <c r="Q8" s="3123"/>
      <c r="R8" s="1757"/>
      <c r="S8" s="1758"/>
      <c r="T8" s="1821"/>
      <c r="U8" s="2820"/>
      <c r="V8" s="3188"/>
      <c r="W8" s="2891"/>
      <c r="X8" s="1822"/>
      <c r="Y8" s="1823"/>
      <c r="Z8" s="3299"/>
      <c r="AA8" s="2729"/>
      <c r="AB8" s="2722"/>
      <c r="AC8" s="1824"/>
      <c r="AD8" s="1825"/>
      <c r="AE8" s="1826"/>
      <c r="AF8" s="1696"/>
      <c r="AG8" s="1697"/>
      <c r="AH8" s="1875"/>
      <c r="AI8" s="1876"/>
      <c r="AJ8" s="2936"/>
      <c r="AK8" s="1877"/>
      <c r="AL8" s="1878"/>
      <c r="AM8" s="1755"/>
      <c r="AN8" s="3168"/>
      <c r="AO8" s="1775"/>
      <c r="AP8" s="3127"/>
      <c r="AQ8" s="1879"/>
      <c r="AR8" s="1880"/>
      <c r="AS8" s="1879"/>
      <c r="AT8" s="1912"/>
      <c r="AU8" s="2867"/>
      <c r="AV8" s="3115"/>
      <c r="AW8" s="3291"/>
      <c r="AX8" s="3196"/>
      <c r="AY8" s="2883"/>
      <c r="AZ8" s="2875"/>
      <c r="BA8" s="2827"/>
      <c r="BB8" s="2729"/>
      <c r="BC8" s="2722"/>
      <c r="BD8" s="1913"/>
      <c r="BE8" s="1914"/>
      <c r="BF8" s="1866"/>
      <c r="BG8" s="1867"/>
      <c r="BH8" s="1943"/>
      <c r="BI8" s="1879"/>
      <c r="BJ8" s="1944"/>
      <c r="BK8" s="1867"/>
      <c r="BL8" s="3635"/>
      <c r="BM8" s="3634"/>
      <c r="BN8" s="1945"/>
      <c r="BO8" s="1945"/>
      <c r="BP8" s="3630"/>
    </row>
    <row r="9" spans="1:68" ht="15.75" thickBot="1">
      <c r="A9" s="3694">
        <v>46131</v>
      </c>
      <c r="B9" s="1688" t="s">
        <v>32</v>
      </c>
      <c r="C9" s="3678">
        <f>SUM(D9:D12)</f>
        <v>1403</v>
      </c>
      <c r="D9" s="1700">
        <f t="shared" si="0"/>
        <v>680</v>
      </c>
      <c r="E9" s="1701"/>
      <c r="F9" s="1702"/>
      <c r="G9" s="1703"/>
      <c r="H9" s="1704"/>
      <c r="I9" s="2926">
        <v>680</v>
      </c>
      <c r="J9" s="1759"/>
      <c r="K9" s="1760"/>
      <c r="L9" s="1761"/>
      <c r="M9" s="1762"/>
      <c r="N9" s="3180"/>
      <c r="O9" s="1761"/>
      <c r="P9" s="1763"/>
      <c r="Q9" s="3124"/>
      <c r="R9" s="1764"/>
      <c r="S9" s="1765"/>
      <c r="T9" s="1827"/>
      <c r="U9" s="2821"/>
      <c r="V9" s="3189"/>
      <c r="W9" s="2892"/>
      <c r="X9" s="1828"/>
      <c r="Y9" s="1829"/>
      <c r="Z9" s="3300"/>
      <c r="AA9" s="2730"/>
      <c r="AB9" s="2723"/>
      <c r="AC9" s="1830"/>
      <c r="AD9" s="1831"/>
      <c r="AE9" s="1832"/>
      <c r="AF9" s="1833"/>
      <c r="AG9" s="1702"/>
      <c r="AH9" s="1881"/>
      <c r="AI9" s="1882"/>
      <c r="AJ9" s="2937"/>
      <c r="AK9" s="1883"/>
      <c r="AL9" s="1884"/>
      <c r="AM9" s="1762"/>
      <c r="AN9" s="3169"/>
      <c r="AO9" s="1763"/>
      <c r="AP9" s="3124"/>
      <c r="AQ9" s="1885"/>
      <c r="AR9" s="1886"/>
      <c r="AS9" s="1885"/>
      <c r="AT9" s="1915"/>
      <c r="AU9" s="2868"/>
      <c r="AV9" s="3116"/>
      <c r="AW9" s="3292"/>
      <c r="AX9" s="3197"/>
      <c r="AY9" s="2884"/>
      <c r="AZ9" s="2876"/>
      <c r="BA9" s="2828"/>
      <c r="BB9" s="2730"/>
      <c r="BC9" s="2723"/>
      <c r="BD9" s="1916"/>
      <c r="BE9" s="1917"/>
      <c r="BF9" s="1918"/>
      <c r="BG9" s="1919"/>
      <c r="BH9" s="1833"/>
      <c r="BI9" s="1885"/>
      <c r="BJ9" s="1946"/>
      <c r="BK9" s="1919"/>
      <c r="BL9" s="3633">
        <f>SUM(E9:AE12)</f>
        <v>1400</v>
      </c>
      <c r="BM9" s="3633">
        <f>SUM(E9:BG12)</f>
        <v>1400</v>
      </c>
      <c r="BN9" s="1939">
        <v>101</v>
      </c>
      <c r="BO9" s="2340" t="s">
        <v>651</v>
      </c>
      <c r="BP9" s="3629" t="s">
        <v>33</v>
      </c>
    </row>
    <row r="10" spans="1:68" ht="15.75" thickBot="1">
      <c r="A10" s="3695"/>
      <c r="B10" s="1694" t="s">
        <v>34</v>
      </c>
      <c r="C10" s="3679"/>
      <c r="D10" s="1705">
        <f t="shared" si="0"/>
        <v>723</v>
      </c>
      <c r="E10" s="1706"/>
      <c r="F10" s="1707"/>
      <c r="G10" s="1708"/>
      <c r="H10" s="1709"/>
      <c r="I10" s="2924">
        <v>720</v>
      </c>
      <c r="J10" s="1766"/>
      <c r="K10" s="1767"/>
      <c r="L10" s="1768"/>
      <c r="M10" s="1769"/>
      <c r="N10" s="3178"/>
      <c r="O10" s="1768"/>
      <c r="P10" s="1770"/>
      <c r="Q10" s="3122"/>
      <c r="R10" s="1771"/>
      <c r="S10" s="1772"/>
      <c r="T10" s="1834"/>
      <c r="U10" s="2819"/>
      <c r="V10" s="3187"/>
      <c r="W10" s="2890"/>
      <c r="X10" s="1835"/>
      <c r="Y10" s="1836"/>
      <c r="Z10" s="3298"/>
      <c r="AA10" s="2728"/>
      <c r="AB10" s="2721"/>
      <c r="AC10" s="1837"/>
      <c r="AD10" s="1838"/>
      <c r="AE10" s="1839"/>
      <c r="AF10" s="1706"/>
      <c r="AG10" s="1707"/>
      <c r="AH10" s="1887"/>
      <c r="AI10" s="1888"/>
      <c r="AJ10" s="2935"/>
      <c r="AK10" s="1889"/>
      <c r="AL10" s="1890"/>
      <c r="AM10" s="1769"/>
      <c r="AN10" s="3167"/>
      <c r="AO10" s="1770"/>
      <c r="AP10" s="3122"/>
      <c r="AQ10" s="1891"/>
      <c r="AR10" s="1892"/>
      <c r="AS10" s="1891"/>
      <c r="AT10" s="1920"/>
      <c r="AU10" s="2866"/>
      <c r="AV10" s="3114"/>
      <c r="AW10" s="3290"/>
      <c r="AX10" s="3195"/>
      <c r="AY10" s="2882"/>
      <c r="AZ10" s="2874"/>
      <c r="BA10" s="2826"/>
      <c r="BB10" s="2728"/>
      <c r="BC10" s="2721"/>
      <c r="BD10" s="1921"/>
      <c r="BE10" s="1922"/>
      <c r="BF10" s="1923"/>
      <c r="BG10" s="1924"/>
      <c r="BH10" s="1947"/>
      <c r="BI10" s="1891">
        <v>3</v>
      </c>
      <c r="BJ10" s="1948"/>
      <c r="BK10" s="1924"/>
      <c r="BL10" s="3634"/>
      <c r="BM10" s="3634"/>
      <c r="BN10" s="1939"/>
      <c r="BO10" s="2340"/>
      <c r="BP10" s="3630"/>
    </row>
    <row r="11" spans="1:68" ht="15.75" thickBot="1">
      <c r="A11" s="3695"/>
      <c r="B11" s="1694" t="s">
        <v>34</v>
      </c>
      <c r="C11" s="3679"/>
      <c r="D11" s="1705">
        <f t="shared" si="0"/>
        <v>0</v>
      </c>
      <c r="E11" s="1706"/>
      <c r="F11" s="1707"/>
      <c r="G11" s="1708"/>
      <c r="H11" s="1709"/>
      <c r="I11" s="2924"/>
      <c r="J11" s="1766"/>
      <c r="K11" s="1767"/>
      <c r="L11" s="1768"/>
      <c r="M11" s="1769"/>
      <c r="N11" s="3178"/>
      <c r="O11" s="1768"/>
      <c r="P11" s="1770"/>
      <c r="Q11" s="3122"/>
      <c r="R11" s="1771"/>
      <c r="S11" s="1772"/>
      <c r="T11" s="1834"/>
      <c r="U11" s="2819"/>
      <c r="V11" s="3187"/>
      <c r="W11" s="2890"/>
      <c r="X11" s="1835"/>
      <c r="Y11" s="1836"/>
      <c r="Z11" s="3298"/>
      <c r="AA11" s="2728"/>
      <c r="AB11" s="2721"/>
      <c r="AC11" s="1837"/>
      <c r="AD11" s="1838"/>
      <c r="AE11" s="1839"/>
      <c r="AF11" s="1706"/>
      <c r="AG11" s="1707"/>
      <c r="AH11" s="1887"/>
      <c r="AI11" s="1888"/>
      <c r="AJ11" s="2935"/>
      <c r="AK11" s="1889"/>
      <c r="AL11" s="1890"/>
      <c r="AM11" s="1769"/>
      <c r="AN11" s="3167"/>
      <c r="AO11" s="1770"/>
      <c r="AP11" s="3122"/>
      <c r="AQ11" s="1891"/>
      <c r="AR11" s="1892"/>
      <c r="AS11" s="1891"/>
      <c r="AT11" s="1920"/>
      <c r="AU11" s="2866"/>
      <c r="AV11" s="3114"/>
      <c r="AW11" s="3290"/>
      <c r="AX11" s="3195"/>
      <c r="AY11" s="2882"/>
      <c r="AZ11" s="2874"/>
      <c r="BA11" s="2826"/>
      <c r="BB11" s="2728"/>
      <c r="BC11" s="2721"/>
      <c r="BD11" s="1921"/>
      <c r="BE11" s="1922"/>
      <c r="BF11" s="1923"/>
      <c r="BG11" s="1924"/>
      <c r="BH11" s="1947"/>
      <c r="BI11" s="1891"/>
      <c r="BJ11" s="1948"/>
      <c r="BK11" s="1924"/>
      <c r="BL11" s="3634"/>
      <c r="BM11" s="3634"/>
      <c r="BN11" s="1939"/>
      <c r="BO11" s="2340"/>
      <c r="BP11" s="3630"/>
    </row>
    <row r="12" spans="1:68" ht="15.75" thickBot="1">
      <c r="A12" s="3695"/>
      <c r="B12" s="1694" t="s">
        <v>34</v>
      </c>
      <c r="C12" s="3679"/>
      <c r="D12" s="1705">
        <f t="shared" si="0"/>
        <v>0</v>
      </c>
      <c r="E12" s="1706"/>
      <c r="F12" s="1707"/>
      <c r="G12" s="1708"/>
      <c r="H12" s="1709"/>
      <c r="I12" s="2924"/>
      <c r="J12" s="1766"/>
      <c r="K12" s="1767"/>
      <c r="L12" s="1768"/>
      <c r="M12" s="1769"/>
      <c r="N12" s="3178"/>
      <c r="O12" s="1768"/>
      <c r="P12" s="1773"/>
      <c r="Q12" s="3125"/>
      <c r="R12" s="1771"/>
      <c r="S12" s="1772"/>
      <c r="T12" s="1834"/>
      <c r="U12" s="2819"/>
      <c r="V12" s="3187"/>
      <c r="W12" s="2890"/>
      <c r="X12" s="1835"/>
      <c r="Y12" s="1836"/>
      <c r="Z12" s="3298"/>
      <c r="AA12" s="2728"/>
      <c r="AB12" s="2721"/>
      <c r="AC12" s="1837"/>
      <c r="AD12" s="1838"/>
      <c r="AE12" s="1839"/>
      <c r="AF12" s="1706"/>
      <c r="AG12" s="1707"/>
      <c r="AH12" s="1887"/>
      <c r="AI12" s="1888"/>
      <c r="AJ12" s="2935"/>
      <c r="AK12" s="1889"/>
      <c r="AL12" s="1890"/>
      <c r="AM12" s="1769"/>
      <c r="AN12" s="3167"/>
      <c r="AO12" s="1773"/>
      <c r="AP12" s="3125"/>
      <c r="AQ12" s="1891"/>
      <c r="AR12" s="1892"/>
      <c r="AS12" s="1891"/>
      <c r="AT12" s="1920"/>
      <c r="AU12" s="2866"/>
      <c r="AV12" s="3114"/>
      <c r="AW12" s="3290"/>
      <c r="AX12" s="3195"/>
      <c r="AY12" s="2882"/>
      <c r="AZ12" s="2874"/>
      <c r="BA12" s="2826"/>
      <c r="BB12" s="2728"/>
      <c r="BC12" s="2721"/>
      <c r="BD12" s="1921"/>
      <c r="BE12" s="1922"/>
      <c r="BF12" s="1923"/>
      <c r="BG12" s="1924"/>
      <c r="BH12" s="1947"/>
      <c r="BI12" s="1891"/>
      <c r="BJ12" s="1948"/>
      <c r="BK12" s="1924"/>
      <c r="BL12" s="3635"/>
      <c r="BM12" s="3634"/>
      <c r="BN12" s="1939"/>
      <c r="BO12" s="2340"/>
      <c r="BP12" s="3630"/>
    </row>
    <row r="13" spans="1:68" ht="15.75" thickBot="1">
      <c r="A13" s="3694">
        <v>46132</v>
      </c>
      <c r="B13" s="1688" t="s">
        <v>32</v>
      </c>
      <c r="C13" s="3678">
        <f>SUM(D13:D16)</f>
        <v>1224</v>
      </c>
      <c r="D13" s="1689">
        <f t="shared" si="0"/>
        <v>720</v>
      </c>
      <c r="E13" s="1690"/>
      <c r="F13" s="1691"/>
      <c r="G13" s="1692"/>
      <c r="H13" s="1693"/>
      <c r="I13" s="2923">
        <v>720</v>
      </c>
      <c r="J13" s="1745"/>
      <c r="K13" s="1746"/>
      <c r="L13" s="1747"/>
      <c r="M13" s="1748"/>
      <c r="N13" s="3177"/>
      <c r="O13" s="1747"/>
      <c r="P13" s="1774"/>
      <c r="Q13" s="3126"/>
      <c r="R13" s="1750"/>
      <c r="S13" s="1751"/>
      <c r="T13" s="1815"/>
      <c r="U13" s="2818"/>
      <c r="V13" s="3186"/>
      <c r="W13" s="2889"/>
      <c r="X13" s="1816"/>
      <c r="Y13" s="1836"/>
      <c r="Z13" s="3298"/>
      <c r="AA13" s="2727"/>
      <c r="AB13" s="2720"/>
      <c r="AC13" s="1818"/>
      <c r="AD13" s="1819"/>
      <c r="AE13" s="1820"/>
      <c r="AF13" s="1726"/>
      <c r="AG13" s="1691"/>
      <c r="AH13" s="1869"/>
      <c r="AI13" s="1893"/>
      <c r="AJ13" s="2938"/>
      <c r="AK13" s="1854"/>
      <c r="AL13" s="1894"/>
      <c r="AM13" s="1748"/>
      <c r="AN13" s="3166"/>
      <c r="AO13" s="1774"/>
      <c r="AP13" s="3126"/>
      <c r="AQ13" s="1873"/>
      <c r="AR13" s="1874"/>
      <c r="AS13" s="1873"/>
      <c r="AT13" s="1909"/>
      <c r="AU13" s="2865"/>
      <c r="AV13" s="3113"/>
      <c r="AW13" s="3289"/>
      <c r="AX13" s="3194"/>
      <c r="AY13" s="2881"/>
      <c r="AZ13" s="2873"/>
      <c r="BA13" s="2825"/>
      <c r="BB13" s="2727"/>
      <c r="BC13" s="2720"/>
      <c r="BD13" s="1910"/>
      <c r="BE13" s="1911"/>
      <c r="BF13" s="1864"/>
      <c r="BG13" s="1865"/>
      <c r="BH13" s="1726"/>
      <c r="BI13" s="1873"/>
      <c r="BJ13" s="1940"/>
      <c r="BK13" s="1865"/>
      <c r="BL13" s="3633">
        <f>SUM(E13:AE16)</f>
        <v>1220</v>
      </c>
      <c r="BM13" s="3636">
        <f>SUM(E13:BG16)</f>
        <v>1220</v>
      </c>
      <c r="BN13" s="1953">
        <v>101</v>
      </c>
      <c r="BO13" s="2340" t="s">
        <v>651</v>
      </c>
      <c r="BP13" s="3629" t="s">
        <v>33</v>
      </c>
    </row>
    <row r="14" spans="1:68" ht="15.75" thickBot="1">
      <c r="A14" s="3695"/>
      <c r="B14" s="1694" t="s">
        <v>34</v>
      </c>
      <c r="C14" s="3679"/>
      <c r="D14" s="1705">
        <f t="shared" si="0"/>
        <v>504</v>
      </c>
      <c r="E14" s="1706"/>
      <c r="F14" s="1707"/>
      <c r="G14" s="1708"/>
      <c r="H14" s="1709"/>
      <c r="I14" s="2924">
        <v>500</v>
      </c>
      <c r="J14" s="1766"/>
      <c r="K14" s="1767"/>
      <c r="L14" s="1768"/>
      <c r="M14" s="1769"/>
      <c r="N14" s="3178"/>
      <c r="O14" s="1768"/>
      <c r="P14" s="1770"/>
      <c r="Q14" s="3122"/>
      <c r="R14" s="1771"/>
      <c r="S14" s="1772"/>
      <c r="T14" s="1834"/>
      <c r="U14" s="2819"/>
      <c r="V14" s="3187"/>
      <c r="W14" s="2890"/>
      <c r="X14" s="1835"/>
      <c r="Y14" s="1836"/>
      <c r="Z14" s="3298"/>
      <c r="AA14" s="2728"/>
      <c r="AB14" s="2721"/>
      <c r="AC14" s="1837"/>
      <c r="AD14" s="1838"/>
      <c r="AE14" s="1839"/>
      <c r="AF14" s="1706"/>
      <c r="AG14" s="1707"/>
      <c r="AH14" s="1887"/>
      <c r="AI14" s="1888"/>
      <c r="AJ14" s="2935"/>
      <c r="AK14" s="1889"/>
      <c r="AL14" s="1890"/>
      <c r="AM14" s="1769"/>
      <c r="AN14" s="3167"/>
      <c r="AO14" s="1770"/>
      <c r="AP14" s="3122"/>
      <c r="AQ14" s="1891"/>
      <c r="AR14" s="1892"/>
      <c r="AS14" s="1891"/>
      <c r="AT14" s="1920"/>
      <c r="AU14" s="2866"/>
      <c r="AV14" s="3114"/>
      <c r="AW14" s="3290"/>
      <c r="AX14" s="3195"/>
      <c r="AY14" s="2882"/>
      <c r="AZ14" s="2874"/>
      <c r="BA14" s="2826"/>
      <c r="BB14" s="2728"/>
      <c r="BC14" s="2721"/>
      <c r="BD14" s="1921"/>
      <c r="BE14" s="1922"/>
      <c r="BF14" s="1923"/>
      <c r="BG14" s="1924"/>
      <c r="BH14" s="1947"/>
      <c r="BI14" s="1891">
        <v>4</v>
      </c>
      <c r="BJ14" s="1948"/>
      <c r="BK14" s="1924"/>
      <c r="BL14" s="3634"/>
      <c r="BM14" s="3637"/>
      <c r="BN14" s="1953"/>
      <c r="BO14" s="2340"/>
      <c r="BP14" s="3630"/>
    </row>
    <row r="15" spans="1:68" ht="15.75" thickBot="1">
      <c r="A15" s="3695"/>
      <c r="B15" s="1694" t="s">
        <v>34</v>
      </c>
      <c r="C15" s="3679"/>
      <c r="D15" s="1705">
        <f t="shared" si="0"/>
        <v>0</v>
      </c>
      <c r="E15" s="1706"/>
      <c r="F15" s="1707"/>
      <c r="G15" s="1708"/>
      <c r="H15" s="1709"/>
      <c r="I15" s="2924"/>
      <c r="J15" s="1766"/>
      <c r="K15" s="1767"/>
      <c r="L15" s="1768"/>
      <c r="M15" s="1769"/>
      <c r="N15" s="3178"/>
      <c r="O15" s="1768"/>
      <c r="P15" s="1770"/>
      <c r="Q15" s="3122"/>
      <c r="R15" s="1771"/>
      <c r="S15" s="1772"/>
      <c r="T15" s="1834"/>
      <c r="U15" s="2819"/>
      <c r="V15" s="3187"/>
      <c r="W15" s="2890"/>
      <c r="X15" s="1835"/>
      <c r="Y15" s="1836"/>
      <c r="Z15" s="3298"/>
      <c r="AA15" s="2728"/>
      <c r="AB15" s="2721"/>
      <c r="AC15" s="1837"/>
      <c r="AD15" s="1838"/>
      <c r="AE15" s="1839"/>
      <c r="AF15" s="1706"/>
      <c r="AG15" s="1707"/>
      <c r="AH15" s="1887"/>
      <c r="AI15" s="1888"/>
      <c r="AJ15" s="2935"/>
      <c r="AK15" s="1889"/>
      <c r="AL15" s="1890"/>
      <c r="AM15" s="1769"/>
      <c r="AN15" s="3167"/>
      <c r="AO15" s="1770"/>
      <c r="AP15" s="3122"/>
      <c r="AQ15" s="1891"/>
      <c r="AR15" s="1892"/>
      <c r="AS15" s="1891"/>
      <c r="AT15" s="1920"/>
      <c r="AU15" s="2866"/>
      <c r="AV15" s="3114"/>
      <c r="AW15" s="3290"/>
      <c r="AX15" s="3195"/>
      <c r="AY15" s="2882"/>
      <c r="AZ15" s="2874"/>
      <c r="BA15" s="2826"/>
      <c r="BB15" s="2728"/>
      <c r="BC15" s="2721"/>
      <c r="BD15" s="1921"/>
      <c r="BE15" s="1922"/>
      <c r="BF15" s="1923"/>
      <c r="BG15" s="1924"/>
      <c r="BH15" s="1947"/>
      <c r="BI15" s="1891"/>
      <c r="BJ15" s="1948"/>
      <c r="BK15" s="1924"/>
      <c r="BL15" s="3634"/>
      <c r="BM15" s="3637"/>
      <c r="BN15" s="1953"/>
      <c r="BO15" s="2340"/>
      <c r="BP15" s="3630"/>
    </row>
    <row r="16" spans="1:68" ht="15.75" thickBot="1">
      <c r="A16" s="3695"/>
      <c r="B16" s="1694" t="s">
        <v>34</v>
      </c>
      <c r="C16" s="3679"/>
      <c r="D16" s="1710">
        <f t="shared" si="0"/>
        <v>0</v>
      </c>
      <c r="E16" s="1696"/>
      <c r="F16" s="1697"/>
      <c r="G16" s="1698"/>
      <c r="H16" s="1699"/>
      <c r="I16" s="2925"/>
      <c r="J16" s="1752"/>
      <c r="K16" s="1753"/>
      <c r="L16" s="1754"/>
      <c r="M16" s="1755"/>
      <c r="N16" s="3179"/>
      <c r="O16" s="1754"/>
      <c r="P16" s="1775"/>
      <c r="Q16" s="3127"/>
      <c r="R16" s="1757"/>
      <c r="S16" s="1758"/>
      <c r="T16" s="1821"/>
      <c r="U16" s="2820"/>
      <c r="V16" s="3188"/>
      <c r="W16" s="2891"/>
      <c r="X16" s="1822"/>
      <c r="Y16" s="1823"/>
      <c r="Z16" s="3299"/>
      <c r="AA16" s="2729"/>
      <c r="AB16" s="2722"/>
      <c r="AC16" s="1824"/>
      <c r="AD16" s="1825"/>
      <c r="AE16" s="1826"/>
      <c r="AF16" s="1696"/>
      <c r="AG16" s="1697"/>
      <c r="AH16" s="1875"/>
      <c r="AI16" s="1895"/>
      <c r="AJ16" s="2939"/>
      <c r="AK16" s="1858"/>
      <c r="AL16" s="1896"/>
      <c r="AM16" s="1755"/>
      <c r="AN16" s="3168"/>
      <c r="AO16" s="1775"/>
      <c r="AP16" s="3127"/>
      <c r="AQ16" s="1879"/>
      <c r="AR16" s="1880"/>
      <c r="AS16" s="1879"/>
      <c r="AT16" s="1912"/>
      <c r="AU16" s="2867"/>
      <c r="AV16" s="3115"/>
      <c r="AW16" s="3291"/>
      <c r="AX16" s="3196"/>
      <c r="AY16" s="2883"/>
      <c r="AZ16" s="2875"/>
      <c r="BA16" s="2827"/>
      <c r="BB16" s="2729"/>
      <c r="BC16" s="2722"/>
      <c r="BD16" s="1913"/>
      <c r="BE16" s="1914"/>
      <c r="BF16" s="1866"/>
      <c r="BG16" s="1867"/>
      <c r="BH16" s="1943"/>
      <c r="BI16" s="1879"/>
      <c r="BJ16" s="1944"/>
      <c r="BK16" s="1867"/>
      <c r="BL16" s="3635"/>
      <c r="BM16" s="3637"/>
      <c r="BN16" s="1953"/>
      <c r="BO16" s="2340"/>
      <c r="BP16" s="3630"/>
    </row>
    <row r="17" spans="1:68" ht="15.75" thickBot="1">
      <c r="A17" s="3723">
        <v>46133</v>
      </c>
      <c r="B17" s="1688" t="s">
        <v>32</v>
      </c>
      <c r="C17" s="3678">
        <f>SUM(D17:D19)</f>
        <v>702</v>
      </c>
      <c r="D17" s="1700">
        <f>SUM(E17:BK17)</f>
        <v>702</v>
      </c>
      <c r="E17" s="1701"/>
      <c r="F17" s="1702"/>
      <c r="G17" s="1703"/>
      <c r="H17" s="1711"/>
      <c r="I17" s="2927">
        <v>700</v>
      </c>
      <c r="J17" s="1776"/>
      <c r="K17" s="1777"/>
      <c r="L17" s="1778"/>
      <c r="M17" s="1703"/>
      <c r="N17" s="3180"/>
      <c r="O17" s="1778"/>
      <c r="P17" s="1763"/>
      <c r="Q17" s="3124"/>
      <c r="R17" s="1764"/>
      <c r="S17" s="1765"/>
      <c r="T17" s="1827"/>
      <c r="U17" s="2821"/>
      <c r="V17" s="3189"/>
      <c r="W17" s="2892"/>
      <c r="X17" s="1828"/>
      <c r="Y17" s="1829"/>
      <c r="Z17" s="3300"/>
      <c r="AA17" s="2730"/>
      <c r="AB17" s="2723"/>
      <c r="AC17" s="1830"/>
      <c r="AD17" s="1831"/>
      <c r="AE17" s="1832"/>
      <c r="AF17" s="1833"/>
      <c r="AG17" s="1702"/>
      <c r="AH17" s="1881"/>
      <c r="AI17" s="1882"/>
      <c r="AJ17" s="2937"/>
      <c r="AK17" s="1883"/>
      <c r="AL17" s="1884"/>
      <c r="AM17" s="1703"/>
      <c r="AN17" s="3170"/>
      <c r="AO17" s="1763"/>
      <c r="AP17" s="3124"/>
      <c r="AQ17" s="1885"/>
      <c r="AR17" s="1886"/>
      <c r="AS17" s="1885"/>
      <c r="AT17" s="1915"/>
      <c r="AU17" s="2868"/>
      <c r="AV17" s="3116"/>
      <c r="AW17" s="3292">
        <v>2</v>
      </c>
      <c r="AX17" s="3197"/>
      <c r="AY17" s="2884"/>
      <c r="AZ17" s="2876"/>
      <c r="BA17" s="2828"/>
      <c r="BB17" s="2730"/>
      <c r="BC17" s="2723"/>
      <c r="BD17" s="1916"/>
      <c r="BE17" s="1917"/>
      <c r="BF17" s="1918"/>
      <c r="BG17" s="1919"/>
      <c r="BH17" s="1833"/>
      <c r="BI17" s="1885"/>
      <c r="BJ17" s="1946"/>
      <c r="BK17" s="1919"/>
      <c r="BL17" s="3633">
        <f>SUM(E17:AE19)</f>
        <v>700</v>
      </c>
      <c r="BM17" s="3633">
        <f>SUM(E17:BG19)</f>
        <v>702</v>
      </c>
      <c r="BN17" s="1945">
        <v>101</v>
      </c>
      <c r="BO17" s="1942" t="s">
        <v>651</v>
      </c>
      <c r="BP17" s="3629" t="s">
        <v>33</v>
      </c>
    </row>
    <row r="18" spans="1:68" ht="15.75" thickBot="1">
      <c r="A18" s="3724"/>
      <c r="B18" s="1694" t="s">
        <v>32</v>
      </c>
      <c r="C18" s="3679"/>
      <c r="D18" s="1705">
        <f t="shared" si="0"/>
        <v>0</v>
      </c>
      <c r="E18" s="1706"/>
      <c r="F18" s="1707"/>
      <c r="G18" s="1708"/>
      <c r="H18" s="1709"/>
      <c r="I18" s="2924"/>
      <c r="J18" s="1766"/>
      <c r="K18" s="1767"/>
      <c r="L18" s="1768"/>
      <c r="M18" s="1769"/>
      <c r="N18" s="3178"/>
      <c r="O18" s="1768"/>
      <c r="P18" s="1770"/>
      <c r="Q18" s="3122"/>
      <c r="R18" s="1771"/>
      <c r="S18" s="1772"/>
      <c r="T18" s="1834"/>
      <c r="U18" s="2819"/>
      <c r="V18" s="3187"/>
      <c r="W18" s="2890"/>
      <c r="X18" s="1835"/>
      <c r="Y18" s="1836"/>
      <c r="Z18" s="3298"/>
      <c r="AA18" s="2728"/>
      <c r="AB18" s="2721"/>
      <c r="AC18" s="1837"/>
      <c r="AD18" s="1838"/>
      <c r="AE18" s="1839"/>
      <c r="AF18" s="1706"/>
      <c r="AG18" s="1707"/>
      <c r="AH18" s="1887"/>
      <c r="AI18" s="1888"/>
      <c r="AJ18" s="2935"/>
      <c r="AK18" s="1889"/>
      <c r="AL18" s="1890"/>
      <c r="AM18" s="1769"/>
      <c r="AN18" s="3167"/>
      <c r="AO18" s="1770"/>
      <c r="AP18" s="3122"/>
      <c r="AQ18" s="1891"/>
      <c r="AR18" s="1892"/>
      <c r="AS18" s="1891"/>
      <c r="AT18" s="1920"/>
      <c r="AU18" s="2866"/>
      <c r="AV18" s="3114"/>
      <c r="AW18" s="3290"/>
      <c r="AX18" s="3195"/>
      <c r="AY18" s="2882"/>
      <c r="AZ18" s="2874"/>
      <c r="BA18" s="2826"/>
      <c r="BB18" s="2728"/>
      <c r="BC18" s="2721"/>
      <c r="BD18" s="1921"/>
      <c r="BE18" s="1922"/>
      <c r="BF18" s="1923"/>
      <c r="BG18" s="1924"/>
      <c r="BH18" s="1947"/>
      <c r="BI18" s="1891"/>
      <c r="BJ18" s="1948"/>
      <c r="BK18" s="1924"/>
      <c r="BL18" s="3634"/>
      <c r="BM18" s="3634"/>
      <c r="BN18" s="1945"/>
      <c r="BO18" s="1942"/>
      <c r="BP18" s="3630"/>
    </row>
    <row r="19" spans="1:68" ht="15.75" thickBot="1">
      <c r="A19" s="3724"/>
      <c r="B19" s="1694" t="s">
        <v>34</v>
      </c>
      <c r="C19" s="3679"/>
      <c r="D19" s="1705">
        <f t="shared" si="0"/>
        <v>0</v>
      </c>
      <c r="E19" s="1706"/>
      <c r="F19" s="1707"/>
      <c r="G19" s="1708"/>
      <c r="H19" s="1712"/>
      <c r="I19" s="2928"/>
      <c r="J19" s="1779"/>
      <c r="K19" s="1780"/>
      <c r="L19" s="1781"/>
      <c r="M19" s="1708"/>
      <c r="N19" s="3178"/>
      <c r="O19" s="1781"/>
      <c r="P19" s="1773"/>
      <c r="Q19" s="3125"/>
      <c r="R19" s="1771"/>
      <c r="S19" s="1772"/>
      <c r="T19" s="1834"/>
      <c r="U19" s="2819"/>
      <c r="V19" s="3187"/>
      <c r="W19" s="2890"/>
      <c r="X19" s="1835"/>
      <c r="Y19" s="1836"/>
      <c r="Z19" s="3298"/>
      <c r="AA19" s="2728"/>
      <c r="AB19" s="2721"/>
      <c r="AC19" s="1837"/>
      <c r="AD19" s="1838"/>
      <c r="AE19" s="1839"/>
      <c r="AF19" s="1706"/>
      <c r="AG19" s="1707"/>
      <c r="AH19" s="1887"/>
      <c r="AI19" s="1888"/>
      <c r="AJ19" s="2935"/>
      <c r="AK19" s="1889"/>
      <c r="AL19" s="1890"/>
      <c r="AM19" s="1708"/>
      <c r="AN19" s="3171"/>
      <c r="AO19" s="1773"/>
      <c r="AP19" s="3125"/>
      <c r="AQ19" s="1891"/>
      <c r="AR19" s="1892"/>
      <c r="AS19" s="1891"/>
      <c r="AT19" s="1920"/>
      <c r="AU19" s="2866"/>
      <c r="AV19" s="3114"/>
      <c r="AW19" s="3290"/>
      <c r="AX19" s="3195"/>
      <c r="AY19" s="2882"/>
      <c r="AZ19" s="2874"/>
      <c r="BA19" s="2826"/>
      <c r="BB19" s="2728"/>
      <c r="BC19" s="2721"/>
      <c r="BD19" s="1921"/>
      <c r="BE19" s="1922"/>
      <c r="BF19" s="1923"/>
      <c r="BG19" s="1924"/>
      <c r="BH19" s="1947"/>
      <c r="BI19" s="1891"/>
      <c r="BJ19" s="1948"/>
      <c r="BK19" s="1924"/>
      <c r="BL19" s="3634"/>
      <c r="BM19" s="3634"/>
      <c r="BN19" s="1945"/>
      <c r="BO19" s="1942"/>
      <c r="BP19" s="3630"/>
    </row>
    <row r="20" spans="1:68" ht="15.75" thickBot="1">
      <c r="A20" s="3725">
        <v>46134</v>
      </c>
      <c r="B20" s="1688" t="s">
        <v>32</v>
      </c>
      <c r="C20" s="3678">
        <f>SUM(D20:D23)</f>
        <v>1011</v>
      </c>
      <c r="D20" s="1689">
        <f t="shared" si="0"/>
        <v>624</v>
      </c>
      <c r="E20" s="1690"/>
      <c r="F20" s="1691"/>
      <c r="G20" s="1692"/>
      <c r="H20" s="1713"/>
      <c r="I20" s="2929">
        <v>620</v>
      </c>
      <c r="J20" s="1782"/>
      <c r="K20" s="1783"/>
      <c r="L20" s="1784"/>
      <c r="M20" s="1692"/>
      <c r="N20" s="3177"/>
      <c r="O20" s="1784"/>
      <c r="P20" s="1774"/>
      <c r="Q20" s="3126"/>
      <c r="R20" s="1750"/>
      <c r="S20" s="1751"/>
      <c r="T20" s="1815"/>
      <c r="U20" s="2818"/>
      <c r="V20" s="3186"/>
      <c r="W20" s="2889"/>
      <c r="X20" s="1816"/>
      <c r="Y20" s="1817"/>
      <c r="Z20" s="3297"/>
      <c r="AA20" s="2727"/>
      <c r="AB20" s="2720"/>
      <c r="AC20" s="1818"/>
      <c r="AD20" s="1819"/>
      <c r="AE20" s="1820"/>
      <c r="AF20" s="1726"/>
      <c r="AG20" s="1691"/>
      <c r="AH20" s="1869"/>
      <c r="AI20" s="1893"/>
      <c r="AJ20" s="2938"/>
      <c r="AK20" s="1854"/>
      <c r="AL20" s="1894"/>
      <c r="AM20" s="1692"/>
      <c r="AN20" s="3172"/>
      <c r="AO20" s="1774"/>
      <c r="AP20" s="3126"/>
      <c r="AQ20" s="1873"/>
      <c r="AR20" s="1874"/>
      <c r="AS20" s="1873"/>
      <c r="AT20" s="1909"/>
      <c r="AU20" s="2865"/>
      <c r="AV20" s="3113"/>
      <c r="AW20" s="3289"/>
      <c r="AX20" s="3194"/>
      <c r="AY20" s="2881"/>
      <c r="AZ20" s="2873"/>
      <c r="BA20" s="2825"/>
      <c r="BB20" s="2727"/>
      <c r="BC20" s="2720"/>
      <c r="BD20" s="1910"/>
      <c r="BE20" s="1911"/>
      <c r="BF20" s="1864"/>
      <c r="BG20" s="1865"/>
      <c r="BH20" s="1726"/>
      <c r="BI20" s="1873">
        <v>4</v>
      </c>
      <c r="BJ20" s="1940"/>
      <c r="BK20" s="1865"/>
      <c r="BL20" s="3633">
        <f>SUM(E20:AE23)</f>
        <v>1000</v>
      </c>
      <c r="BM20" s="3633">
        <f>SUM(E20:BG23)</f>
        <v>1000</v>
      </c>
      <c r="BN20" s="1945">
        <v>101</v>
      </c>
      <c r="BO20" s="1942" t="s">
        <v>667</v>
      </c>
      <c r="BP20" s="3629"/>
    </row>
    <row r="21" spans="1:68" ht="15.75" thickBot="1">
      <c r="A21" s="3726"/>
      <c r="B21" s="1694" t="s">
        <v>34</v>
      </c>
      <c r="C21" s="3679"/>
      <c r="D21" s="1705">
        <f t="shared" si="0"/>
        <v>387</v>
      </c>
      <c r="E21" s="1706"/>
      <c r="F21" s="1707"/>
      <c r="G21" s="1708"/>
      <c r="H21" s="1709"/>
      <c r="I21" s="2924">
        <f>80+300</f>
        <v>380</v>
      </c>
      <c r="J21" s="1766"/>
      <c r="K21" s="1767"/>
      <c r="L21" s="1768"/>
      <c r="M21" s="1769"/>
      <c r="N21" s="3178"/>
      <c r="O21" s="1768"/>
      <c r="P21" s="1770"/>
      <c r="Q21" s="3122"/>
      <c r="R21" s="1771"/>
      <c r="S21" s="1772"/>
      <c r="T21" s="1834"/>
      <c r="U21" s="2819"/>
      <c r="V21" s="3187"/>
      <c r="W21" s="2890"/>
      <c r="X21" s="1835"/>
      <c r="Y21" s="1836"/>
      <c r="Z21" s="3298"/>
      <c r="AA21" s="2728"/>
      <c r="AB21" s="2721"/>
      <c r="AC21" s="1837"/>
      <c r="AD21" s="1838"/>
      <c r="AE21" s="1839"/>
      <c r="AF21" s="1706"/>
      <c r="AG21" s="1707"/>
      <c r="AH21" s="1887"/>
      <c r="AI21" s="1888"/>
      <c r="AJ21" s="2935"/>
      <c r="AK21" s="1889"/>
      <c r="AL21" s="1890"/>
      <c r="AM21" s="1769"/>
      <c r="AN21" s="3167"/>
      <c r="AO21" s="1770"/>
      <c r="AP21" s="3122"/>
      <c r="AQ21" s="1891"/>
      <c r="AR21" s="1892"/>
      <c r="AS21" s="1891"/>
      <c r="AT21" s="1920"/>
      <c r="AU21" s="2866"/>
      <c r="AV21" s="3114"/>
      <c r="AW21" s="3290"/>
      <c r="AX21" s="3195"/>
      <c r="AY21" s="2882"/>
      <c r="AZ21" s="2874"/>
      <c r="BA21" s="2826"/>
      <c r="BB21" s="2728"/>
      <c r="BC21" s="2721"/>
      <c r="BD21" s="1921"/>
      <c r="BE21" s="1922"/>
      <c r="BF21" s="1923"/>
      <c r="BG21" s="1924"/>
      <c r="BH21" s="1947"/>
      <c r="BI21" s="1891">
        <f>2+5</f>
        <v>7</v>
      </c>
      <c r="BJ21" s="1948"/>
      <c r="BK21" s="1924"/>
      <c r="BL21" s="3634"/>
      <c r="BM21" s="3634"/>
      <c r="BN21" s="1945"/>
      <c r="BO21" s="1942"/>
      <c r="BP21" s="3630"/>
    </row>
    <row r="22" spans="1:68" ht="15.75" thickBot="1">
      <c r="A22" s="3726"/>
      <c r="B22" s="1694" t="s">
        <v>34</v>
      </c>
      <c r="C22" s="3679"/>
      <c r="D22" s="1705">
        <f t="shared" si="0"/>
        <v>0</v>
      </c>
      <c r="E22" s="1706"/>
      <c r="F22" s="1707"/>
      <c r="G22" s="1708"/>
      <c r="H22" s="1709"/>
      <c r="I22" s="2924"/>
      <c r="J22" s="1766"/>
      <c r="K22" s="1767"/>
      <c r="L22" s="1768"/>
      <c r="M22" s="1769"/>
      <c r="N22" s="3178"/>
      <c r="O22" s="1768"/>
      <c r="P22" s="1770"/>
      <c r="Q22" s="3122"/>
      <c r="R22" s="1771"/>
      <c r="S22" s="1772"/>
      <c r="T22" s="1834"/>
      <c r="U22" s="2819"/>
      <c r="V22" s="3187"/>
      <c r="W22" s="2890"/>
      <c r="X22" s="1835"/>
      <c r="Y22" s="1836"/>
      <c r="Z22" s="3298"/>
      <c r="AA22" s="2728"/>
      <c r="AB22" s="2721"/>
      <c r="AC22" s="1837"/>
      <c r="AD22" s="1838"/>
      <c r="AE22" s="1839"/>
      <c r="AF22" s="1706"/>
      <c r="AG22" s="1707"/>
      <c r="AH22" s="1887"/>
      <c r="AI22" s="1888"/>
      <c r="AJ22" s="2935"/>
      <c r="AK22" s="1889"/>
      <c r="AL22" s="1890"/>
      <c r="AM22" s="1769"/>
      <c r="AN22" s="3167"/>
      <c r="AO22" s="1770"/>
      <c r="AP22" s="3122"/>
      <c r="AQ22" s="1891"/>
      <c r="AR22" s="1892"/>
      <c r="AS22" s="1891"/>
      <c r="AT22" s="1920"/>
      <c r="AU22" s="2866"/>
      <c r="AV22" s="3114"/>
      <c r="AW22" s="3290"/>
      <c r="AX22" s="3195"/>
      <c r="AY22" s="2882"/>
      <c r="AZ22" s="2874"/>
      <c r="BA22" s="2826"/>
      <c r="BB22" s="2728"/>
      <c r="BC22" s="2721"/>
      <c r="BD22" s="1921"/>
      <c r="BE22" s="1922"/>
      <c r="BF22" s="1923"/>
      <c r="BG22" s="1924"/>
      <c r="BH22" s="1947"/>
      <c r="BI22" s="1891"/>
      <c r="BJ22" s="1948"/>
      <c r="BK22" s="1924"/>
      <c r="BL22" s="3634"/>
      <c r="BM22" s="3634"/>
      <c r="BN22" s="1945"/>
      <c r="BO22" s="1942"/>
      <c r="BP22" s="3630"/>
    </row>
    <row r="23" spans="1:68" ht="15.75" thickBot="1">
      <c r="A23" s="3726"/>
      <c r="B23" s="1714" t="s">
        <v>34</v>
      </c>
      <c r="C23" s="3679"/>
      <c r="D23" s="1710">
        <f t="shared" si="0"/>
        <v>0</v>
      </c>
      <c r="E23" s="1715"/>
      <c r="F23" s="1716"/>
      <c r="G23" s="1717"/>
      <c r="H23" s="1718"/>
      <c r="I23" s="2930"/>
      <c r="J23" s="1785"/>
      <c r="K23" s="1786"/>
      <c r="L23" s="1787"/>
      <c r="M23" s="1717"/>
      <c r="N23" s="3181"/>
      <c r="O23" s="1787"/>
      <c r="P23" s="1788"/>
      <c r="Q23" s="3128"/>
      <c r="R23" s="1789"/>
      <c r="S23" s="1790"/>
      <c r="T23" s="1840"/>
      <c r="U23" s="2822"/>
      <c r="V23" s="3190"/>
      <c r="W23" s="2893"/>
      <c r="X23" s="1841"/>
      <c r="Y23" s="1842"/>
      <c r="Z23" s="3301"/>
      <c r="AA23" s="2731"/>
      <c r="AB23" s="2724"/>
      <c r="AC23" s="1843"/>
      <c r="AD23" s="1844"/>
      <c r="AE23" s="1845"/>
      <c r="AF23" s="1715"/>
      <c r="AG23" s="1716"/>
      <c r="AH23" s="1897"/>
      <c r="AI23" s="1898"/>
      <c r="AJ23" s="2940"/>
      <c r="AK23" s="1899"/>
      <c r="AL23" s="1900"/>
      <c r="AM23" s="1717"/>
      <c r="AN23" s="3173"/>
      <c r="AO23" s="1788"/>
      <c r="AP23" s="3128"/>
      <c r="AQ23" s="1901"/>
      <c r="AR23" s="1902"/>
      <c r="AS23" s="1901"/>
      <c r="AT23" s="1925"/>
      <c r="AU23" s="2869"/>
      <c r="AV23" s="3117"/>
      <c r="AW23" s="3293"/>
      <c r="AX23" s="3198"/>
      <c r="AY23" s="2885"/>
      <c r="AZ23" s="2877"/>
      <c r="BA23" s="2829"/>
      <c r="BB23" s="2731"/>
      <c r="BC23" s="2724"/>
      <c r="BD23" s="1926"/>
      <c r="BE23" s="1927"/>
      <c r="BF23" s="1844"/>
      <c r="BG23" s="1845"/>
      <c r="BH23" s="1715"/>
      <c r="BI23" s="1901"/>
      <c r="BJ23" s="1949"/>
      <c r="BK23" s="1845"/>
      <c r="BL23" s="3635"/>
      <c r="BM23" s="3634"/>
      <c r="BN23" s="1945"/>
      <c r="BO23" s="1942"/>
      <c r="BP23" s="3630"/>
    </row>
    <row r="24" spans="1:68" ht="16.5" thickBot="1">
      <c r="A24" s="3729">
        <v>46135</v>
      </c>
      <c r="B24" s="1688" t="s">
        <v>32</v>
      </c>
      <c r="C24" s="3678">
        <f>SUM(D24:D26)</f>
        <v>403</v>
      </c>
      <c r="D24" s="1719">
        <f t="shared" si="0"/>
        <v>403</v>
      </c>
      <c r="E24" s="1720"/>
      <c r="F24" s="1721"/>
      <c r="G24" s="1722"/>
      <c r="H24" s="1723"/>
      <c r="I24" s="2931">
        <v>400</v>
      </c>
      <c r="J24" s="1791"/>
      <c r="K24" s="1792"/>
      <c r="L24" s="1793"/>
      <c r="M24" s="1794"/>
      <c r="N24" s="3182"/>
      <c r="O24" s="1793"/>
      <c r="P24" s="1795"/>
      <c r="Q24" s="3129"/>
      <c r="R24" s="1796"/>
      <c r="S24" s="1797"/>
      <c r="T24" s="1846"/>
      <c r="U24" s="2823"/>
      <c r="V24" s="3191"/>
      <c r="W24" s="2894"/>
      <c r="X24" s="1847"/>
      <c r="Y24" s="1848"/>
      <c r="Z24" s="3302"/>
      <c r="AA24" s="2732"/>
      <c r="AB24" s="2725"/>
      <c r="AC24" s="1849"/>
      <c r="AD24" s="1850"/>
      <c r="AE24" s="1851"/>
      <c r="AF24" s="1720"/>
      <c r="AG24" s="1721"/>
      <c r="AH24" s="1794"/>
      <c r="AI24" s="1723"/>
      <c r="AJ24" s="2931"/>
      <c r="AK24" s="1903"/>
      <c r="AL24" s="1792"/>
      <c r="AM24" s="1794"/>
      <c r="AN24" s="3174"/>
      <c r="AO24" s="1795"/>
      <c r="AP24" s="3129"/>
      <c r="AQ24" s="1793"/>
      <c r="AR24" s="1796"/>
      <c r="AS24" s="1793"/>
      <c r="AT24" s="1797"/>
      <c r="AU24" s="2870"/>
      <c r="AV24" s="3118"/>
      <c r="AW24" s="3294"/>
      <c r="AX24" s="3199"/>
      <c r="AY24" s="2886"/>
      <c r="AZ24" s="2878"/>
      <c r="BA24" s="2830"/>
      <c r="BB24" s="2732"/>
      <c r="BC24" s="2725"/>
      <c r="BD24" s="1848"/>
      <c r="BE24" s="1849"/>
      <c r="BF24" s="1850"/>
      <c r="BG24" s="1851"/>
      <c r="BH24" s="1720"/>
      <c r="BI24" s="1793">
        <v>3</v>
      </c>
      <c r="BJ24" s="1950"/>
      <c r="BK24" s="1851"/>
      <c r="BL24" s="3642">
        <f>SUM(E24:AE26)</f>
        <v>400</v>
      </c>
      <c r="BM24" s="3633">
        <f>SUM(E24:BG26)</f>
        <v>400</v>
      </c>
      <c r="BN24" s="1945">
        <v>103</v>
      </c>
      <c r="BO24" s="1942" t="s">
        <v>532</v>
      </c>
      <c r="BP24" s="3629" t="s">
        <v>33</v>
      </c>
    </row>
    <row r="25" spans="1:68" ht="15.75" thickBot="1">
      <c r="A25" s="3730"/>
      <c r="B25" s="1694" t="s">
        <v>34</v>
      </c>
      <c r="C25" s="3679"/>
      <c r="D25" s="1705">
        <f t="shared" si="0"/>
        <v>0</v>
      </c>
      <c r="E25" s="1706"/>
      <c r="F25" s="1707"/>
      <c r="G25" s="1708"/>
      <c r="H25" s="1709"/>
      <c r="I25" s="2924"/>
      <c r="J25" s="1766"/>
      <c r="K25" s="1767"/>
      <c r="L25" s="1768"/>
      <c r="M25" s="1769"/>
      <c r="N25" s="3178"/>
      <c r="O25" s="1768"/>
      <c r="P25" s="1770"/>
      <c r="Q25" s="3122"/>
      <c r="R25" s="1771"/>
      <c r="S25" s="1772"/>
      <c r="T25" s="1834"/>
      <c r="U25" s="2819"/>
      <c r="V25" s="3187"/>
      <c r="W25" s="2890"/>
      <c r="X25" s="1835"/>
      <c r="Y25" s="1836"/>
      <c r="Z25" s="3298"/>
      <c r="AA25" s="2728"/>
      <c r="AB25" s="2721"/>
      <c r="AC25" s="1837"/>
      <c r="AD25" s="1838"/>
      <c r="AE25" s="1839"/>
      <c r="AF25" s="1706"/>
      <c r="AG25" s="1707"/>
      <c r="AH25" s="1887"/>
      <c r="AI25" s="1888"/>
      <c r="AJ25" s="2935"/>
      <c r="AK25" s="1889"/>
      <c r="AL25" s="1890"/>
      <c r="AM25" s="1769"/>
      <c r="AN25" s="3167"/>
      <c r="AO25" s="1770"/>
      <c r="AP25" s="3122"/>
      <c r="AQ25" s="1891"/>
      <c r="AR25" s="1892"/>
      <c r="AS25" s="1891"/>
      <c r="AT25" s="1920"/>
      <c r="AU25" s="2866"/>
      <c r="AV25" s="3114"/>
      <c r="AW25" s="3290"/>
      <c r="AX25" s="3195"/>
      <c r="AY25" s="2882"/>
      <c r="AZ25" s="2874"/>
      <c r="BA25" s="2826"/>
      <c r="BB25" s="2728"/>
      <c r="BC25" s="2721"/>
      <c r="BD25" s="1921"/>
      <c r="BE25" s="1922"/>
      <c r="BF25" s="1923"/>
      <c r="BG25" s="1924"/>
      <c r="BH25" s="1947"/>
      <c r="BI25" s="1891"/>
      <c r="BJ25" s="1948"/>
      <c r="BK25" s="1924"/>
      <c r="BL25" s="3643"/>
      <c r="BM25" s="3634"/>
      <c r="BN25" s="1945"/>
      <c r="BO25" s="1942"/>
      <c r="BP25" s="3630"/>
    </row>
    <row r="26" spans="1:68" ht="15.75" thickBot="1">
      <c r="A26" s="3731"/>
      <c r="B26" s="1724" t="s">
        <v>34</v>
      </c>
      <c r="C26" s="3681"/>
      <c r="D26" s="1710">
        <f t="shared" si="0"/>
        <v>0</v>
      </c>
      <c r="E26" s="1696"/>
      <c r="F26" s="1725"/>
      <c r="G26" s="1698"/>
      <c r="H26" s="1699"/>
      <c r="I26" s="2925"/>
      <c r="J26" s="1752"/>
      <c r="K26" s="1798"/>
      <c r="L26" s="1799"/>
      <c r="M26" s="1755"/>
      <c r="N26" s="3179"/>
      <c r="O26" s="1754"/>
      <c r="P26" s="1775"/>
      <c r="Q26" s="3127"/>
      <c r="R26" s="1757"/>
      <c r="S26" s="1758"/>
      <c r="T26" s="1821"/>
      <c r="U26" s="2820"/>
      <c r="V26" s="3188"/>
      <c r="W26" s="2891"/>
      <c r="X26" s="1822"/>
      <c r="Y26" s="1823"/>
      <c r="Z26" s="3299"/>
      <c r="AA26" s="2729"/>
      <c r="AB26" s="2722"/>
      <c r="AC26" s="1824"/>
      <c r="AD26" s="1825"/>
      <c r="AE26" s="1826"/>
      <c r="AF26" s="1696"/>
      <c r="AG26" s="1697"/>
      <c r="AH26" s="1875"/>
      <c r="AI26" s="1895"/>
      <c r="AJ26" s="2939"/>
      <c r="AK26" s="1858"/>
      <c r="AL26" s="1896"/>
      <c r="AM26" s="1755"/>
      <c r="AN26" s="3168"/>
      <c r="AO26" s="1775"/>
      <c r="AP26" s="3127"/>
      <c r="AQ26" s="1879"/>
      <c r="AR26" s="1880"/>
      <c r="AS26" s="1879"/>
      <c r="AT26" s="1912"/>
      <c r="AU26" s="2867"/>
      <c r="AV26" s="3115"/>
      <c r="AW26" s="3291"/>
      <c r="AX26" s="3196"/>
      <c r="AY26" s="2883"/>
      <c r="AZ26" s="2875"/>
      <c r="BA26" s="2827"/>
      <c r="BB26" s="2729"/>
      <c r="BC26" s="2722"/>
      <c r="BD26" s="1913"/>
      <c r="BE26" s="1914"/>
      <c r="BF26" s="1866"/>
      <c r="BG26" s="1867"/>
      <c r="BH26" s="1943"/>
      <c r="BI26" s="1879"/>
      <c r="BJ26" s="1944"/>
      <c r="BK26" s="1867"/>
      <c r="BL26" s="3643"/>
      <c r="BM26" s="3634"/>
      <c r="BN26" s="1945"/>
      <c r="BO26" s="1942"/>
      <c r="BP26" s="3630"/>
    </row>
    <row r="27" spans="1:68" ht="15.75" thickBot="1">
      <c r="A27" s="3729">
        <v>46136</v>
      </c>
      <c r="B27" s="1688" t="s">
        <v>32</v>
      </c>
      <c r="C27" s="3678">
        <f>SUM(D27:D29)</f>
        <v>602</v>
      </c>
      <c r="D27" s="1700">
        <f t="shared" si="0"/>
        <v>602</v>
      </c>
      <c r="E27" s="1726"/>
      <c r="F27" s="1727"/>
      <c r="G27" s="1692"/>
      <c r="H27" s="1713"/>
      <c r="I27" s="2929">
        <v>600</v>
      </c>
      <c r="J27" s="1782"/>
      <c r="K27" s="1783"/>
      <c r="L27" s="1784"/>
      <c r="M27" s="1692"/>
      <c r="N27" s="3177"/>
      <c r="O27" s="1784"/>
      <c r="P27" s="1774"/>
      <c r="Q27" s="3126"/>
      <c r="R27" s="1750"/>
      <c r="S27" s="1751"/>
      <c r="T27" s="1815"/>
      <c r="U27" s="2818"/>
      <c r="V27" s="3186"/>
      <c r="W27" s="2889"/>
      <c r="X27" s="1816"/>
      <c r="Y27" s="1817"/>
      <c r="Z27" s="3297"/>
      <c r="AA27" s="2727"/>
      <c r="AB27" s="2720"/>
      <c r="AC27" s="1818"/>
      <c r="AD27" s="1819"/>
      <c r="AE27" s="1820"/>
      <c r="AF27" s="1726"/>
      <c r="AG27" s="1691"/>
      <c r="AH27" s="1869"/>
      <c r="AI27" s="1893"/>
      <c r="AJ27" s="2938"/>
      <c r="AK27" s="1854"/>
      <c r="AL27" s="1894"/>
      <c r="AM27" s="1692"/>
      <c r="AN27" s="3172"/>
      <c r="AO27" s="1774"/>
      <c r="AP27" s="3126"/>
      <c r="AQ27" s="1873"/>
      <c r="AR27" s="1874"/>
      <c r="AS27" s="1873"/>
      <c r="AT27" s="1909"/>
      <c r="AU27" s="2865"/>
      <c r="AV27" s="3113"/>
      <c r="AW27" s="3289"/>
      <c r="AX27" s="3194"/>
      <c r="AY27" s="2881"/>
      <c r="AZ27" s="2873"/>
      <c r="BA27" s="2825"/>
      <c r="BB27" s="2727"/>
      <c r="BC27" s="2720"/>
      <c r="BD27" s="1910"/>
      <c r="BE27" s="1911"/>
      <c r="BF27" s="1864"/>
      <c r="BG27" s="1865"/>
      <c r="BH27" s="1726"/>
      <c r="BI27" s="1873">
        <v>2</v>
      </c>
      <c r="BJ27" s="1940"/>
      <c r="BK27" s="1865"/>
      <c r="BL27" s="3633">
        <f>SUM(E27:AE29)</f>
        <v>600</v>
      </c>
      <c r="BM27" s="3633">
        <f>SUM(E27:BG29)</f>
        <v>600</v>
      </c>
      <c r="BN27" s="1942">
        <v>103</v>
      </c>
      <c r="BO27" s="1942" t="s">
        <v>532</v>
      </c>
      <c r="BP27" s="3629" t="s">
        <v>33</v>
      </c>
    </row>
    <row r="28" spans="1:68" ht="15.75" thickBot="1">
      <c r="A28" s="3730"/>
      <c r="B28" s="1694" t="s">
        <v>34</v>
      </c>
      <c r="C28" s="3679"/>
      <c r="D28" s="1705">
        <f t="shared" si="0"/>
        <v>0</v>
      </c>
      <c r="E28" s="1706"/>
      <c r="F28" s="1707"/>
      <c r="G28" s="1708"/>
      <c r="H28" s="1709"/>
      <c r="I28" s="2924"/>
      <c r="J28" s="1766"/>
      <c r="K28" s="1767"/>
      <c r="L28" s="1768"/>
      <c r="M28" s="1769"/>
      <c r="N28" s="3178"/>
      <c r="O28" s="1768"/>
      <c r="P28" s="1770"/>
      <c r="Q28" s="3122"/>
      <c r="R28" s="1771"/>
      <c r="S28" s="1772"/>
      <c r="T28" s="1834"/>
      <c r="U28" s="2819"/>
      <c r="V28" s="3187"/>
      <c r="W28" s="2890"/>
      <c r="X28" s="1835"/>
      <c r="Y28" s="1836"/>
      <c r="Z28" s="3298"/>
      <c r="AA28" s="2728"/>
      <c r="AB28" s="2721"/>
      <c r="AC28" s="1837"/>
      <c r="AD28" s="1838"/>
      <c r="AE28" s="1839"/>
      <c r="AF28" s="1706"/>
      <c r="AG28" s="1707"/>
      <c r="AH28" s="1887"/>
      <c r="AI28" s="1888"/>
      <c r="AJ28" s="2935"/>
      <c r="AK28" s="1889"/>
      <c r="AL28" s="1890"/>
      <c r="AM28" s="1769"/>
      <c r="AN28" s="3167"/>
      <c r="AO28" s="1770"/>
      <c r="AP28" s="3122"/>
      <c r="AQ28" s="1891"/>
      <c r="AR28" s="1892"/>
      <c r="AS28" s="1891"/>
      <c r="AT28" s="1920"/>
      <c r="AU28" s="2866"/>
      <c r="AV28" s="3114"/>
      <c r="AW28" s="3290"/>
      <c r="AX28" s="3195"/>
      <c r="AY28" s="2882"/>
      <c r="AZ28" s="2874"/>
      <c r="BA28" s="2826"/>
      <c r="BB28" s="2728"/>
      <c r="BC28" s="2721"/>
      <c r="BD28" s="1921"/>
      <c r="BE28" s="1922"/>
      <c r="BF28" s="1923"/>
      <c r="BG28" s="1924"/>
      <c r="BH28" s="1947"/>
      <c r="BI28" s="1891"/>
      <c r="BJ28" s="1948"/>
      <c r="BK28" s="1924"/>
      <c r="BL28" s="3634"/>
      <c r="BM28" s="3634"/>
      <c r="BN28" s="1942"/>
      <c r="BO28" s="1942"/>
      <c r="BP28" s="3630"/>
    </row>
    <row r="29" spans="1:68" ht="15.75" thickBot="1">
      <c r="A29" s="3731"/>
      <c r="B29" s="1724" t="s">
        <v>34</v>
      </c>
      <c r="C29" s="3679"/>
      <c r="D29" s="1705">
        <f t="shared" si="0"/>
        <v>0</v>
      </c>
      <c r="E29" s="1696"/>
      <c r="F29" s="1725"/>
      <c r="G29" s="1698"/>
      <c r="H29" s="1699"/>
      <c r="I29" s="2925"/>
      <c r="J29" s="1752"/>
      <c r="K29" s="1753"/>
      <c r="L29" s="1754"/>
      <c r="M29" s="1755"/>
      <c r="N29" s="3179"/>
      <c r="O29" s="1754"/>
      <c r="P29" s="1775"/>
      <c r="Q29" s="3127"/>
      <c r="R29" s="1757"/>
      <c r="S29" s="1758"/>
      <c r="T29" s="1821"/>
      <c r="U29" s="2820"/>
      <c r="V29" s="3188"/>
      <c r="W29" s="2891"/>
      <c r="X29" s="1822"/>
      <c r="Y29" s="1823"/>
      <c r="Z29" s="3299"/>
      <c r="AA29" s="2729"/>
      <c r="AB29" s="2722"/>
      <c r="AC29" s="1824"/>
      <c r="AD29" s="1825"/>
      <c r="AE29" s="1826"/>
      <c r="AF29" s="1696"/>
      <c r="AG29" s="1697"/>
      <c r="AH29" s="1875"/>
      <c r="AI29" s="1895"/>
      <c r="AJ29" s="2939"/>
      <c r="AK29" s="1858"/>
      <c r="AL29" s="1896"/>
      <c r="AM29" s="1755"/>
      <c r="AN29" s="3168"/>
      <c r="AO29" s="1775"/>
      <c r="AP29" s="3127"/>
      <c r="AQ29" s="1879"/>
      <c r="AR29" s="1880"/>
      <c r="AS29" s="1879"/>
      <c r="AT29" s="1912"/>
      <c r="AU29" s="2867"/>
      <c r="AV29" s="3115"/>
      <c r="AW29" s="3291"/>
      <c r="AX29" s="3196"/>
      <c r="AY29" s="2883"/>
      <c r="AZ29" s="2875"/>
      <c r="BA29" s="2827"/>
      <c r="BB29" s="2729"/>
      <c r="BC29" s="2722"/>
      <c r="BD29" s="1913"/>
      <c r="BE29" s="1914"/>
      <c r="BF29" s="1866"/>
      <c r="BG29" s="1867"/>
      <c r="BH29" s="1943"/>
      <c r="BI29" s="1879"/>
      <c r="BJ29" s="1944"/>
      <c r="BK29" s="1867"/>
      <c r="BL29" s="3634"/>
      <c r="BM29" s="3634"/>
      <c r="BN29" s="1942"/>
      <c r="BO29" s="1942"/>
      <c r="BP29" s="3630"/>
    </row>
    <row r="30" spans="1:68" ht="15.75" thickBot="1">
      <c r="A30" s="3729">
        <v>46137</v>
      </c>
      <c r="B30" s="1688" t="s">
        <v>32</v>
      </c>
      <c r="C30" s="3678">
        <f>SUM(D30:D34)</f>
        <v>601</v>
      </c>
      <c r="D30" s="1700">
        <f t="shared" si="0"/>
        <v>601</v>
      </c>
      <c r="E30" s="1726"/>
      <c r="F30" s="1727"/>
      <c r="G30" s="1692"/>
      <c r="H30" s="1713"/>
      <c r="I30" s="2929">
        <v>600</v>
      </c>
      <c r="J30" s="1782"/>
      <c r="K30" s="1783"/>
      <c r="L30" s="1784"/>
      <c r="M30" s="1692"/>
      <c r="N30" s="3177"/>
      <c r="O30" s="1784"/>
      <c r="P30" s="1774"/>
      <c r="Q30" s="3126"/>
      <c r="R30" s="1750"/>
      <c r="S30" s="1751"/>
      <c r="T30" s="1815"/>
      <c r="U30" s="2818"/>
      <c r="V30" s="3186"/>
      <c r="W30" s="2889"/>
      <c r="X30" s="1816"/>
      <c r="Y30" s="1817"/>
      <c r="Z30" s="3297"/>
      <c r="AA30" s="2727"/>
      <c r="AB30" s="2720"/>
      <c r="AC30" s="1818"/>
      <c r="AD30" s="1819"/>
      <c r="AE30" s="1820"/>
      <c r="AF30" s="1726"/>
      <c r="AG30" s="1691"/>
      <c r="AH30" s="1869"/>
      <c r="AI30" s="1893"/>
      <c r="AJ30" s="2938"/>
      <c r="AK30" s="1854"/>
      <c r="AL30" s="1894"/>
      <c r="AM30" s="1692"/>
      <c r="AN30" s="3172"/>
      <c r="AO30" s="1774"/>
      <c r="AP30" s="3126"/>
      <c r="AQ30" s="1873"/>
      <c r="AR30" s="1874"/>
      <c r="AS30" s="1873"/>
      <c r="AT30" s="1909"/>
      <c r="AU30" s="2865"/>
      <c r="AV30" s="3113"/>
      <c r="AW30" s="3289"/>
      <c r="AX30" s="3194"/>
      <c r="AY30" s="2881"/>
      <c r="AZ30" s="2873"/>
      <c r="BA30" s="2825"/>
      <c r="BB30" s="2727"/>
      <c r="BC30" s="2720"/>
      <c r="BD30" s="1910"/>
      <c r="BE30" s="1911"/>
      <c r="BF30" s="1864"/>
      <c r="BG30" s="1865"/>
      <c r="BH30" s="1726"/>
      <c r="BI30" s="1873">
        <v>1</v>
      </c>
      <c r="BJ30" s="1940"/>
      <c r="BK30" s="1865"/>
      <c r="BL30" s="3633">
        <f>SUM(E30:AE34)</f>
        <v>600</v>
      </c>
      <c r="BM30" s="3633">
        <f>SUM(E30:BG34)</f>
        <v>600</v>
      </c>
      <c r="BN30" s="1942">
        <v>103</v>
      </c>
      <c r="BO30" s="1942" t="s">
        <v>532</v>
      </c>
      <c r="BP30" s="3629" t="s">
        <v>33</v>
      </c>
    </row>
    <row r="31" spans="1:68" ht="15.75" thickBot="1">
      <c r="A31" s="3730"/>
      <c r="B31" s="1694" t="s">
        <v>34</v>
      </c>
      <c r="C31" s="3679"/>
      <c r="D31" s="1705">
        <f t="shared" si="0"/>
        <v>0</v>
      </c>
      <c r="E31" s="1706"/>
      <c r="F31" s="1707"/>
      <c r="G31" s="1708"/>
      <c r="H31" s="1709"/>
      <c r="I31" s="2924"/>
      <c r="J31" s="1766"/>
      <c r="K31" s="1767"/>
      <c r="L31" s="1768"/>
      <c r="M31" s="1769"/>
      <c r="N31" s="3178"/>
      <c r="O31" s="1768"/>
      <c r="P31" s="1770"/>
      <c r="Q31" s="3122"/>
      <c r="R31" s="1771"/>
      <c r="S31" s="1772"/>
      <c r="T31" s="1834"/>
      <c r="U31" s="2819"/>
      <c r="V31" s="3187"/>
      <c r="W31" s="2890"/>
      <c r="X31" s="1835"/>
      <c r="Y31" s="1836"/>
      <c r="Z31" s="3298"/>
      <c r="AA31" s="2728"/>
      <c r="AB31" s="2721"/>
      <c r="AC31" s="1837"/>
      <c r="AD31" s="1838"/>
      <c r="AE31" s="1839"/>
      <c r="AF31" s="1706"/>
      <c r="AG31" s="1707"/>
      <c r="AH31" s="1887"/>
      <c r="AI31" s="1888"/>
      <c r="AJ31" s="2935"/>
      <c r="AK31" s="1889"/>
      <c r="AL31" s="1890"/>
      <c r="AM31" s="1769"/>
      <c r="AN31" s="3167"/>
      <c r="AO31" s="1770"/>
      <c r="AP31" s="3122"/>
      <c r="AQ31" s="1891"/>
      <c r="AR31" s="1892"/>
      <c r="AS31" s="1891"/>
      <c r="AT31" s="1920"/>
      <c r="AU31" s="2866"/>
      <c r="AV31" s="3114"/>
      <c r="AW31" s="3290"/>
      <c r="AX31" s="3195"/>
      <c r="AY31" s="2882"/>
      <c r="AZ31" s="2874"/>
      <c r="BA31" s="2826"/>
      <c r="BB31" s="2728"/>
      <c r="BC31" s="2721"/>
      <c r="BD31" s="1921"/>
      <c r="BE31" s="1922"/>
      <c r="BF31" s="1923"/>
      <c r="BG31" s="1924"/>
      <c r="BH31" s="1947"/>
      <c r="BI31" s="1891"/>
      <c r="BJ31" s="1948"/>
      <c r="BK31" s="1924"/>
      <c r="BL31" s="3634"/>
      <c r="BM31" s="3634"/>
      <c r="BN31" s="1942"/>
      <c r="BO31" s="1942"/>
      <c r="BP31" s="3630"/>
    </row>
    <row r="32" spans="1:68" ht="15.75" thickBot="1">
      <c r="A32" s="3730"/>
      <c r="B32" s="1694" t="s">
        <v>34</v>
      </c>
      <c r="C32" s="3679"/>
      <c r="D32" s="1705">
        <f t="shared" si="0"/>
        <v>0</v>
      </c>
      <c r="E32" s="1706"/>
      <c r="F32" s="1707"/>
      <c r="G32" s="1708"/>
      <c r="H32" s="1709"/>
      <c r="I32" s="2924"/>
      <c r="J32" s="1766"/>
      <c r="K32" s="1767"/>
      <c r="L32" s="1768"/>
      <c r="M32" s="1769"/>
      <c r="N32" s="3178"/>
      <c r="O32" s="1768"/>
      <c r="P32" s="1770"/>
      <c r="Q32" s="3122"/>
      <c r="R32" s="1771"/>
      <c r="S32" s="1772"/>
      <c r="T32" s="1834"/>
      <c r="U32" s="2819"/>
      <c r="V32" s="3187"/>
      <c r="W32" s="2890"/>
      <c r="X32" s="1835"/>
      <c r="Y32" s="1836"/>
      <c r="Z32" s="3298"/>
      <c r="AA32" s="2728"/>
      <c r="AB32" s="2721"/>
      <c r="AC32" s="1837"/>
      <c r="AD32" s="1838"/>
      <c r="AE32" s="1839"/>
      <c r="AF32" s="1706"/>
      <c r="AG32" s="1707"/>
      <c r="AH32" s="1887"/>
      <c r="AI32" s="1888"/>
      <c r="AJ32" s="2935"/>
      <c r="AK32" s="1889"/>
      <c r="AL32" s="1890"/>
      <c r="AM32" s="1769"/>
      <c r="AN32" s="3167"/>
      <c r="AO32" s="1770"/>
      <c r="AP32" s="3122"/>
      <c r="AQ32" s="1891"/>
      <c r="AR32" s="1892"/>
      <c r="AS32" s="1891"/>
      <c r="AT32" s="1920"/>
      <c r="AU32" s="2866"/>
      <c r="AV32" s="3114"/>
      <c r="AW32" s="3290"/>
      <c r="AX32" s="3195"/>
      <c r="AY32" s="2882"/>
      <c r="AZ32" s="2874"/>
      <c r="BA32" s="2826"/>
      <c r="BB32" s="2728"/>
      <c r="BC32" s="2721"/>
      <c r="BD32" s="1921"/>
      <c r="BE32" s="1922"/>
      <c r="BF32" s="1923"/>
      <c r="BG32" s="1924"/>
      <c r="BH32" s="1947"/>
      <c r="BI32" s="1891"/>
      <c r="BJ32" s="1948"/>
      <c r="BK32" s="1924"/>
      <c r="BL32" s="3634"/>
      <c r="BM32" s="3634"/>
      <c r="BN32" s="1942"/>
      <c r="BO32" s="1942"/>
      <c r="BP32" s="3630"/>
    </row>
    <row r="33" spans="1:68" ht="15.75" thickBot="1">
      <c r="A33" s="3730"/>
      <c r="B33" s="1694" t="s">
        <v>34</v>
      </c>
      <c r="C33" s="3679"/>
      <c r="D33" s="1705">
        <f t="shared" si="0"/>
        <v>0</v>
      </c>
      <c r="E33" s="1706"/>
      <c r="F33" s="1707"/>
      <c r="G33" s="1708"/>
      <c r="H33" s="1709"/>
      <c r="I33" s="2924"/>
      <c r="J33" s="1766"/>
      <c r="K33" s="1767"/>
      <c r="L33" s="1768"/>
      <c r="M33" s="1769"/>
      <c r="N33" s="3178"/>
      <c r="O33" s="1768"/>
      <c r="P33" s="1770"/>
      <c r="Q33" s="3122"/>
      <c r="R33" s="1771"/>
      <c r="S33" s="1772"/>
      <c r="T33" s="1834"/>
      <c r="U33" s="2819"/>
      <c r="V33" s="3187"/>
      <c r="W33" s="2890"/>
      <c r="X33" s="1835"/>
      <c r="Y33" s="1836"/>
      <c r="Z33" s="3298"/>
      <c r="AA33" s="2728"/>
      <c r="AB33" s="2721"/>
      <c r="AC33" s="1837"/>
      <c r="AD33" s="1838"/>
      <c r="AE33" s="1839"/>
      <c r="AF33" s="1706"/>
      <c r="AG33" s="1707"/>
      <c r="AH33" s="1887"/>
      <c r="AI33" s="1888"/>
      <c r="AJ33" s="2935"/>
      <c r="AK33" s="1889"/>
      <c r="AL33" s="1890"/>
      <c r="AM33" s="1769"/>
      <c r="AN33" s="3167"/>
      <c r="AO33" s="1770"/>
      <c r="AP33" s="3122"/>
      <c r="AQ33" s="1891"/>
      <c r="AR33" s="1892"/>
      <c r="AS33" s="1891"/>
      <c r="AT33" s="1920"/>
      <c r="AU33" s="2866"/>
      <c r="AV33" s="3114"/>
      <c r="AW33" s="3290"/>
      <c r="AX33" s="3195"/>
      <c r="AY33" s="2882"/>
      <c r="AZ33" s="2874"/>
      <c r="BA33" s="2826"/>
      <c r="BB33" s="2728"/>
      <c r="BC33" s="2721"/>
      <c r="BD33" s="1921"/>
      <c r="BE33" s="1922"/>
      <c r="BF33" s="1923"/>
      <c r="BG33" s="1924"/>
      <c r="BH33" s="1947"/>
      <c r="BI33" s="1891"/>
      <c r="BJ33" s="1948"/>
      <c r="BK33" s="1924"/>
      <c r="BL33" s="3634"/>
      <c r="BM33" s="3634"/>
      <c r="BN33" s="1942"/>
      <c r="BO33" s="1942"/>
      <c r="BP33" s="3630"/>
    </row>
    <row r="34" spans="1:68" ht="15.75" thickBot="1">
      <c r="A34" s="3731"/>
      <c r="B34" s="1724" t="s">
        <v>32</v>
      </c>
      <c r="C34" s="3679"/>
      <c r="D34" s="3591"/>
      <c r="E34" s="1696"/>
      <c r="F34" s="1725"/>
      <c r="G34" s="1698"/>
      <c r="H34" s="1699"/>
      <c r="I34" s="2925"/>
      <c r="J34" s="1752"/>
      <c r="K34" s="1753"/>
      <c r="L34" s="1754"/>
      <c r="M34" s="1755"/>
      <c r="N34" s="3179"/>
      <c r="O34" s="1754"/>
      <c r="P34" s="1775"/>
      <c r="Q34" s="3127"/>
      <c r="R34" s="1757"/>
      <c r="S34" s="1758"/>
      <c r="T34" s="1821"/>
      <c r="U34" s="2820"/>
      <c r="V34" s="3188"/>
      <c r="W34" s="2891"/>
      <c r="X34" s="1822"/>
      <c r="Y34" s="1823"/>
      <c r="Z34" s="3299"/>
      <c r="AA34" s="2729"/>
      <c r="AB34" s="2722"/>
      <c r="AC34" s="1824"/>
      <c r="AD34" s="1825"/>
      <c r="AE34" s="1826"/>
      <c r="AF34" s="1696"/>
      <c r="AG34" s="1697"/>
      <c r="AH34" s="1875"/>
      <c r="AI34" s="1895"/>
      <c r="AJ34" s="2939"/>
      <c r="AK34" s="1858"/>
      <c r="AL34" s="1896"/>
      <c r="AM34" s="1755"/>
      <c r="AN34" s="3168"/>
      <c r="AO34" s="1775"/>
      <c r="AP34" s="3127"/>
      <c r="AQ34" s="1879"/>
      <c r="AR34" s="1880"/>
      <c r="AS34" s="1879"/>
      <c r="AT34" s="1912"/>
      <c r="AU34" s="2867"/>
      <c r="AV34" s="3115"/>
      <c r="AW34" s="3291"/>
      <c r="AX34" s="3196"/>
      <c r="AY34" s="2883"/>
      <c r="AZ34" s="2875"/>
      <c r="BA34" s="2827"/>
      <c r="BB34" s="2729"/>
      <c r="BC34" s="2722"/>
      <c r="BD34" s="1913"/>
      <c r="BE34" s="1914"/>
      <c r="BF34" s="1866"/>
      <c r="BG34" s="1867"/>
      <c r="BH34" s="1943"/>
      <c r="BI34" s="1879"/>
      <c r="BJ34" s="1944"/>
      <c r="BK34" s="1867"/>
      <c r="BL34" s="3634"/>
      <c r="BM34" s="3634"/>
      <c r="BN34" s="1942"/>
      <c r="BO34" s="1942"/>
      <c r="BP34" s="3630"/>
    </row>
    <row r="35" spans="1:68" ht="15.75" thickBot="1">
      <c r="A35" s="3725">
        <v>46138</v>
      </c>
      <c r="B35" s="1688" t="s">
        <v>32</v>
      </c>
      <c r="C35" s="3678">
        <f>SUM(D35:D38)</f>
        <v>585</v>
      </c>
      <c r="D35" s="1689">
        <f t="shared" si="0"/>
        <v>585</v>
      </c>
      <c r="E35" s="1690"/>
      <c r="F35" s="1727"/>
      <c r="G35" s="1692"/>
      <c r="H35" s="1693"/>
      <c r="I35" s="2923">
        <v>580</v>
      </c>
      <c r="J35" s="1745"/>
      <c r="K35" s="1746"/>
      <c r="L35" s="1747"/>
      <c r="M35" s="1748"/>
      <c r="N35" s="3177"/>
      <c r="O35" s="1747"/>
      <c r="P35" s="1774"/>
      <c r="Q35" s="3126"/>
      <c r="R35" s="1750"/>
      <c r="S35" s="1751"/>
      <c r="T35" s="1815"/>
      <c r="U35" s="2818"/>
      <c r="V35" s="3186"/>
      <c r="W35" s="2889"/>
      <c r="X35" s="1816"/>
      <c r="Y35" s="1817"/>
      <c r="Z35" s="3297"/>
      <c r="AA35" s="2727"/>
      <c r="AB35" s="2720"/>
      <c r="AC35" s="1818"/>
      <c r="AD35" s="1819"/>
      <c r="AE35" s="1820"/>
      <c r="AF35" s="1726"/>
      <c r="AG35" s="1691"/>
      <c r="AH35" s="1869"/>
      <c r="AI35" s="1893"/>
      <c r="AJ35" s="2938"/>
      <c r="AK35" s="1854"/>
      <c r="AL35" s="1894"/>
      <c r="AM35" s="1748"/>
      <c r="AN35" s="3166"/>
      <c r="AO35" s="1774"/>
      <c r="AP35" s="3126"/>
      <c r="AQ35" s="1873"/>
      <c r="AR35" s="1874"/>
      <c r="AS35" s="1873"/>
      <c r="AT35" s="1909"/>
      <c r="AU35" s="2865"/>
      <c r="AV35" s="3113"/>
      <c r="AW35" s="3289"/>
      <c r="AX35" s="3194"/>
      <c r="AY35" s="2881"/>
      <c r="AZ35" s="2873"/>
      <c r="BA35" s="2825"/>
      <c r="BB35" s="2727"/>
      <c r="BC35" s="2720"/>
      <c r="BD35" s="1910"/>
      <c r="BE35" s="1911"/>
      <c r="BF35" s="1864"/>
      <c r="BG35" s="1865"/>
      <c r="BH35" s="1726"/>
      <c r="BI35" s="1873">
        <v>5</v>
      </c>
      <c r="BJ35" s="1940"/>
      <c r="BK35" s="1865"/>
      <c r="BL35" s="3633">
        <f>SUM(E35:AE38)</f>
        <v>580</v>
      </c>
      <c r="BM35" s="3633">
        <f>SUM(E35:BG38)</f>
        <v>580</v>
      </c>
      <c r="BN35" s="1942">
        <v>103</v>
      </c>
      <c r="BO35" s="1942" t="s">
        <v>532</v>
      </c>
      <c r="BP35" s="3629" t="s">
        <v>33</v>
      </c>
    </row>
    <row r="36" spans="1:68" ht="15.75" thickBot="1">
      <c r="A36" s="3726"/>
      <c r="B36" s="1694" t="s">
        <v>34</v>
      </c>
      <c r="C36" s="3679"/>
      <c r="D36" s="1705">
        <f t="shared" si="0"/>
        <v>0</v>
      </c>
      <c r="E36" s="1706"/>
      <c r="F36" s="1707"/>
      <c r="G36" s="1708"/>
      <c r="H36" s="1709"/>
      <c r="I36" s="2924"/>
      <c r="J36" s="1766"/>
      <c r="K36" s="1767"/>
      <c r="L36" s="1768"/>
      <c r="M36" s="1769"/>
      <c r="N36" s="3178"/>
      <c r="O36" s="1768"/>
      <c r="P36" s="1770"/>
      <c r="Q36" s="3122"/>
      <c r="R36" s="1771"/>
      <c r="S36" s="1772"/>
      <c r="T36" s="1834"/>
      <c r="U36" s="2819"/>
      <c r="V36" s="3187"/>
      <c r="W36" s="2890"/>
      <c r="X36" s="1835"/>
      <c r="Y36" s="1836"/>
      <c r="Z36" s="3298"/>
      <c r="AA36" s="2728"/>
      <c r="AB36" s="2721"/>
      <c r="AC36" s="1837"/>
      <c r="AD36" s="1838"/>
      <c r="AE36" s="1839"/>
      <c r="AF36" s="1706"/>
      <c r="AG36" s="1707"/>
      <c r="AH36" s="1887"/>
      <c r="AI36" s="1888"/>
      <c r="AJ36" s="2935"/>
      <c r="AK36" s="1889"/>
      <c r="AL36" s="1890"/>
      <c r="AM36" s="1769"/>
      <c r="AN36" s="3167"/>
      <c r="AO36" s="1770"/>
      <c r="AP36" s="3122"/>
      <c r="AQ36" s="1891"/>
      <c r="AR36" s="1892"/>
      <c r="AS36" s="1891"/>
      <c r="AT36" s="1920"/>
      <c r="AU36" s="2866"/>
      <c r="AV36" s="3114"/>
      <c r="AW36" s="3290"/>
      <c r="AX36" s="3195"/>
      <c r="AY36" s="2882"/>
      <c r="AZ36" s="2874"/>
      <c r="BA36" s="2826"/>
      <c r="BB36" s="2728"/>
      <c r="BC36" s="2721"/>
      <c r="BD36" s="1921"/>
      <c r="BE36" s="1922"/>
      <c r="BF36" s="1923"/>
      <c r="BG36" s="1924"/>
      <c r="BH36" s="1947"/>
      <c r="BI36" s="1891"/>
      <c r="BJ36" s="1948"/>
      <c r="BK36" s="1924"/>
      <c r="BL36" s="3634"/>
      <c r="BM36" s="3634"/>
      <c r="BN36" s="1942"/>
      <c r="BO36" s="1942"/>
      <c r="BP36" s="3630"/>
    </row>
    <row r="37" spans="1:68" ht="15.75" thickBot="1">
      <c r="A37" s="3726"/>
      <c r="B37" s="1694" t="s">
        <v>34</v>
      </c>
      <c r="C37" s="3679"/>
      <c r="D37" s="1705">
        <f t="shared" si="0"/>
        <v>0</v>
      </c>
      <c r="E37" s="1706"/>
      <c r="F37" s="1707"/>
      <c r="G37" s="1708"/>
      <c r="H37" s="1709"/>
      <c r="I37" s="2924"/>
      <c r="J37" s="1766"/>
      <c r="K37" s="1767"/>
      <c r="L37" s="1768"/>
      <c r="M37" s="1769"/>
      <c r="N37" s="3178"/>
      <c r="O37" s="1768"/>
      <c r="P37" s="1770"/>
      <c r="Q37" s="3122"/>
      <c r="R37" s="1771"/>
      <c r="S37" s="1772"/>
      <c r="T37" s="1834"/>
      <c r="U37" s="2819"/>
      <c r="V37" s="3187"/>
      <c r="W37" s="2890"/>
      <c r="X37" s="1835"/>
      <c r="Y37" s="1836"/>
      <c r="Z37" s="3298"/>
      <c r="AA37" s="2728"/>
      <c r="AB37" s="2721"/>
      <c r="AC37" s="1837"/>
      <c r="AD37" s="1838"/>
      <c r="AE37" s="1839"/>
      <c r="AF37" s="1706"/>
      <c r="AG37" s="1707"/>
      <c r="AH37" s="1887"/>
      <c r="AI37" s="1888"/>
      <c r="AJ37" s="2935"/>
      <c r="AK37" s="1889"/>
      <c r="AL37" s="1890"/>
      <c r="AM37" s="1769"/>
      <c r="AN37" s="3167"/>
      <c r="AO37" s="1770"/>
      <c r="AP37" s="3122"/>
      <c r="AQ37" s="1891"/>
      <c r="AR37" s="1892"/>
      <c r="AS37" s="1891"/>
      <c r="AT37" s="1920"/>
      <c r="AU37" s="2866"/>
      <c r="AV37" s="3114"/>
      <c r="AW37" s="3290"/>
      <c r="AX37" s="3195"/>
      <c r="AY37" s="2882"/>
      <c r="AZ37" s="2874"/>
      <c r="BA37" s="2826"/>
      <c r="BB37" s="2728"/>
      <c r="BC37" s="2721"/>
      <c r="BD37" s="1921"/>
      <c r="BE37" s="1922"/>
      <c r="BF37" s="1923"/>
      <c r="BG37" s="1924"/>
      <c r="BH37" s="1947"/>
      <c r="BI37" s="1891"/>
      <c r="BJ37" s="1948"/>
      <c r="BK37" s="1924"/>
      <c r="BL37" s="3634"/>
      <c r="BM37" s="3634"/>
      <c r="BN37" s="1951"/>
      <c r="BO37" s="1942"/>
      <c r="BP37" s="3630"/>
    </row>
    <row r="38" spans="1:68" ht="15.75" thickBot="1">
      <c r="A38" s="3727"/>
      <c r="B38" s="1728" t="s">
        <v>34</v>
      </c>
      <c r="C38" s="3681"/>
      <c r="D38" s="1705">
        <f t="shared" si="0"/>
        <v>0</v>
      </c>
      <c r="E38" s="1706"/>
      <c r="F38" s="1729"/>
      <c r="G38" s="1708"/>
      <c r="H38" s="1709"/>
      <c r="I38" s="2924"/>
      <c r="J38" s="1766"/>
      <c r="K38" s="1767"/>
      <c r="L38" s="1768"/>
      <c r="M38" s="1769"/>
      <c r="N38" s="3178"/>
      <c r="O38" s="1768"/>
      <c r="P38" s="1773"/>
      <c r="Q38" s="3125"/>
      <c r="R38" s="1771"/>
      <c r="S38" s="1772"/>
      <c r="T38" s="1834"/>
      <c r="U38" s="2819"/>
      <c r="V38" s="3187"/>
      <c r="W38" s="2890"/>
      <c r="X38" s="1835"/>
      <c r="Y38" s="1836"/>
      <c r="Z38" s="3298"/>
      <c r="AA38" s="2728"/>
      <c r="AB38" s="2721"/>
      <c r="AC38" s="1837"/>
      <c r="AD38" s="1838"/>
      <c r="AE38" s="1839"/>
      <c r="AF38" s="1706"/>
      <c r="AG38" s="1707"/>
      <c r="AH38" s="1887"/>
      <c r="AI38" s="1888"/>
      <c r="AJ38" s="2935"/>
      <c r="AK38" s="1889"/>
      <c r="AL38" s="1890"/>
      <c r="AM38" s="1769"/>
      <c r="AN38" s="3167"/>
      <c r="AO38" s="1773"/>
      <c r="AP38" s="3125"/>
      <c r="AQ38" s="1891"/>
      <c r="AR38" s="1892"/>
      <c r="AS38" s="1891"/>
      <c r="AT38" s="1920"/>
      <c r="AU38" s="2866"/>
      <c r="AV38" s="3114"/>
      <c r="AW38" s="3290"/>
      <c r="AX38" s="3195"/>
      <c r="AY38" s="2882"/>
      <c r="AZ38" s="2874"/>
      <c r="BA38" s="2826"/>
      <c r="BB38" s="2728"/>
      <c r="BC38" s="2721"/>
      <c r="BD38" s="1921"/>
      <c r="BE38" s="1922"/>
      <c r="BF38" s="1923"/>
      <c r="BG38" s="1924"/>
      <c r="BH38" s="1947"/>
      <c r="BI38" s="1891"/>
      <c r="BJ38" s="1948"/>
      <c r="BK38" s="1924"/>
      <c r="BL38" s="3635"/>
      <c r="BM38" s="3635"/>
      <c r="BN38" s="1951"/>
      <c r="BO38" s="1942"/>
      <c r="BP38" s="3631"/>
    </row>
    <row r="39" spans="1:68" ht="15.75" thickBot="1">
      <c r="A39" s="3723">
        <v>46139</v>
      </c>
      <c r="B39" s="1730" t="s">
        <v>32</v>
      </c>
      <c r="C39" s="3678">
        <f>SUM(D39:D42)</f>
        <v>583</v>
      </c>
      <c r="D39" s="1719">
        <f t="shared" si="0"/>
        <v>583</v>
      </c>
      <c r="E39" s="1726"/>
      <c r="F39" s="1727"/>
      <c r="G39" s="1692"/>
      <c r="H39" s="1713"/>
      <c r="I39" s="2929">
        <v>580</v>
      </c>
      <c r="J39" s="1782"/>
      <c r="K39" s="1746"/>
      <c r="L39" s="1747"/>
      <c r="M39" s="1748"/>
      <c r="N39" s="3177"/>
      <c r="O39" s="1747"/>
      <c r="P39" s="1774"/>
      <c r="Q39" s="3126"/>
      <c r="R39" s="1750"/>
      <c r="S39" s="1751"/>
      <c r="T39" s="1815"/>
      <c r="U39" s="2818"/>
      <c r="V39" s="3186"/>
      <c r="W39" s="2889"/>
      <c r="X39" s="1816"/>
      <c r="Y39" s="1817"/>
      <c r="Z39" s="3297"/>
      <c r="AA39" s="2733"/>
      <c r="AB39" s="2306"/>
      <c r="AC39" s="1852"/>
      <c r="AD39" s="1853"/>
      <c r="AE39" s="1854"/>
      <c r="AF39" s="1855"/>
      <c r="AG39" s="1691"/>
      <c r="AH39" s="1869"/>
      <c r="AI39" s="1893"/>
      <c r="AJ39" s="2938"/>
      <c r="AK39" s="1854"/>
      <c r="AL39" s="1894"/>
      <c r="AM39" s="1748"/>
      <c r="AN39" s="3166"/>
      <c r="AO39" s="1774"/>
      <c r="AP39" s="3126"/>
      <c r="AQ39" s="1873"/>
      <c r="AR39" s="1874"/>
      <c r="AS39" s="1873"/>
      <c r="AT39" s="1909"/>
      <c r="AU39" s="2865"/>
      <c r="AV39" s="3113"/>
      <c r="AW39" s="3289"/>
      <c r="AX39" s="3194"/>
      <c r="AY39" s="2881"/>
      <c r="AZ39" s="2873"/>
      <c r="BA39" s="2825"/>
      <c r="BB39" s="2733"/>
      <c r="BC39" s="2306"/>
      <c r="BD39" s="1910"/>
      <c r="BE39" s="1928"/>
      <c r="BF39" s="1853"/>
      <c r="BG39" s="1854"/>
      <c r="BH39" s="1855"/>
      <c r="BI39" s="1873">
        <v>3</v>
      </c>
      <c r="BJ39" s="1816"/>
      <c r="BK39" s="1865"/>
      <c r="BL39" s="3642">
        <f>SUM(E39:AE42)</f>
        <v>580</v>
      </c>
      <c r="BM39" s="3633">
        <f>SUM(E39:BG42)</f>
        <v>580</v>
      </c>
      <c r="BN39" s="1954">
        <v>103</v>
      </c>
      <c r="BO39" s="1942" t="s">
        <v>532</v>
      </c>
      <c r="BP39" s="3630" t="s">
        <v>33</v>
      </c>
    </row>
    <row r="40" spans="1:68" ht="15.75" thickBot="1">
      <c r="A40" s="3724"/>
      <c r="B40" s="1694" t="s">
        <v>34</v>
      </c>
      <c r="C40" s="3679"/>
      <c r="D40" s="1705">
        <f t="shared" si="0"/>
        <v>0</v>
      </c>
      <c r="E40" s="1706"/>
      <c r="F40" s="1707"/>
      <c r="G40" s="1708"/>
      <c r="H40" s="1709"/>
      <c r="I40" s="2924"/>
      <c r="J40" s="1766"/>
      <c r="K40" s="1767"/>
      <c r="L40" s="1768"/>
      <c r="M40" s="1769"/>
      <c r="N40" s="3178"/>
      <c r="O40" s="1768"/>
      <c r="P40" s="1770"/>
      <c r="Q40" s="3122"/>
      <c r="R40" s="1771"/>
      <c r="S40" s="1772"/>
      <c r="T40" s="1834"/>
      <c r="U40" s="2819"/>
      <c r="V40" s="3187"/>
      <c r="W40" s="2890"/>
      <c r="X40" s="1835"/>
      <c r="Y40" s="1836"/>
      <c r="Z40" s="3298"/>
      <c r="AA40" s="2728"/>
      <c r="AB40" s="2721"/>
      <c r="AC40" s="1837"/>
      <c r="AD40" s="1838"/>
      <c r="AE40" s="1839"/>
      <c r="AF40" s="1706"/>
      <c r="AG40" s="1707"/>
      <c r="AH40" s="1887"/>
      <c r="AI40" s="1888"/>
      <c r="AJ40" s="2935"/>
      <c r="AK40" s="1889"/>
      <c r="AL40" s="1890"/>
      <c r="AM40" s="1769"/>
      <c r="AN40" s="3167"/>
      <c r="AO40" s="1770"/>
      <c r="AP40" s="3122"/>
      <c r="AQ40" s="1891"/>
      <c r="AR40" s="1892"/>
      <c r="AS40" s="1891"/>
      <c r="AT40" s="1920"/>
      <c r="AU40" s="2866"/>
      <c r="AV40" s="3114"/>
      <c r="AW40" s="3290"/>
      <c r="AX40" s="3195"/>
      <c r="AY40" s="2882"/>
      <c r="AZ40" s="2874"/>
      <c r="BA40" s="2826"/>
      <c r="BB40" s="2728"/>
      <c r="BC40" s="2721"/>
      <c r="BD40" s="1921"/>
      <c r="BE40" s="1922"/>
      <c r="BF40" s="1923"/>
      <c r="BG40" s="1924"/>
      <c r="BH40" s="1947"/>
      <c r="BI40" s="1891"/>
      <c r="BJ40" s="1948"/>
      <c r="BK40" s="1924"/>
      <c r="BL40" s="3643"/>
      <c r="BM40" s="3634"/>
      <c r="BN40" s="1954"/>
      <c r="BO40" s="1942"/>
      <c r="BP40" s="3630"/>
    </row>
    <row r="41" spans="1:68" ht="15.75" thickBot="1">
      <c r="A41" s="3724"/>
      <c r="B41" s="1694" t="s">
        <v>34</v>
      </c>
      <c r="C41" s="3679"/>
      <c r="D41" s="1705">
        <f t="shared" si="0"/>
        <v>0</v>
      </c>
      <c r="E41" s="1706"/>
      <c r="F41" s="1707"/>
      <c r="G41" s="1708"/>
      <c r="H41" s="1709"/>
      <c r="I41" s="2924"/>
      <c r="J41" s="1766"/>
      <c r="K41" s="1767"/>
      <c r="L41" s="1768"/>
      <c r="M41" s="1769"/>
      <c r="N41" s="3178"/>
      <c r="O41" s="1768"/>
      <c r="P41" s="1770"/>
      <c r="Q41" s="3122"/>
      <c r="R41" s="1771"/>
      <c r="S41" s="1772"/>
      <c r="T41" s="1834"/>
      <c r="U41" s="2819"/>
      <c r="V41" s="3187"/>
      <c r="W41" s="2890"/>
      <c r="X41" s="1835"/>
      <c r="Y41" s="1836"/>
      <c r="Z41" s="3298"/>
      <c r="AA41" s="2728"/>
      <c r="AB41" s="2721"/>
      <c r="AC41" s="1837"/>
      <c r="AD41" s="1838"/>
      <c r="AE41" s="1839"/>
      <c r="AF41" s="1706"/>
      <c r="AG41" s="1707"/>
      <c r="AH41" s="1887"/>
      <c r="AI41" s="1888"/>
      <c r="AJ41" s="2935"/>
      <c r="AK41" s="1889"/>
      <c r="AL41" s="1890"/>
      <c r="AM41" s="1769"/>
      <c r="AN41" s="3167"/>
      <c r="AO41" s="1770"/>
      <c r="AP41" s="3122"/>
      <c r="AQ41" s="1891"/>
      <c r="AR41" s="1892"/>
      <c r="AS41" s="1891"/>
      <c r="AT41" s="1920"/>
      <c r="AU41" s="2866"/>
      <c r="AV41" s="3114"/>
      <c r="AW41" s="3290"/>
      <c r="AX41" s="3195"/>
      <c r="AY41" s="2882"/>
      <c r="AZ41" s="2874"/>
      <c r="BA41" s="2826"/>
      <c r="BB41" s="2728"/>
      <c r="BC41" s="2721"/>
      <c r="BD41" s="1921"/>
      <c r="BE41" s="1922"/>
      <c r="BF41" s="1923"/>
      <c r="BG41" s="1924"/>
      <c r="BH41" s="1947"/>
      <c r="BI41" s="1891"/>
      <c r="BJ41" s="1948"/>
      <c r="BK41" s="1924"/>
      <c r="BL41" s="3643"/>
      <c r="BM41" s="3634"/>
      <c r="BN41" s="1954"/>
      <c r="BO41" s="1953"/>
      <c r="BP41" s="3630"/>
    </row>
    <row r="42" spans="1:68" ht="15.75" thickBot="1">
      <c r="A42" s="3732"/>
      <c r="B42" s="1724" t="s">
        <v>34</v>
      </c>
      <c r="C42" s="3681"/>
      <c r="D42" s="1731">
        <f t="shared" si="0"/>
        <v>0</v>
      </c>
      <c r="E42" s="1696"/>
      <c r="F42" s="1725"/>
      <c r="G42" s="1698"/>
      <c r="H42" s="1732"/>
      <c r="I42" s="2932"/>
      <c r="J42" s="1800"/>
      <c r="K42" s="1753"/>
      <c r="L42" s="1754"/>
      <c r="M42" s="1755"/>
      <c r="N42" s="3179"/>
      <c r="O42" s="1754"/>
      <c r="P42" s="1775"/>
      <c r="Q42" s="3127"/>
      <c r="R42" s="1757"/>
      <c r="S42" s="1758"/>
      <c r="T42" s="1821"/>
      <c r="U42" s="2820"/>
      <c r="V42" s="3188"/>
      <c r="W42" s="2891"/>
      <c r="X42" s="1822"/>
      <c r="Y42" s="1823"/>
      <c r="Z42" s="3299"/>
      <c r="AA42" s="2734"/>
      <c r="AB42" s="2307"/>
      <c r="AC42" s="1856"/>
      <c r="AD42" s="1857"/>
      <c r="AE42" s="1858"/>
      <c r="AF42" s="1859"/>
      <c r="AG42" s="1697"/>
      <c r="AH42" s="1875"/>
      <c r="AI42" s="1895"/>
      <c r="AJ42" s="2939"/>
      <c r="AK42" s="1858"/>
      <c r="AL42" s="1896"/>
      <c r="AM42" s="1755"/>
      <c r="AN42" s="3168"/>
      <c r="AO42" s="1775"/>
      <c r="AP42" s="3127"/>
      <c r="AQ42" s="1879"/>
      <c r="AR42" s="1880"/>
      <c r="AS42" s="1879"/>
      <c r="AT42" s="1912"/>
      <c r="AU42" s="2867"/>
      <c r="AV42" s="3115"/>
      <c r="AW42" s="3291"/>
      <c r="AX42" s="3196"/>
      <c r="AY42" s="2883"/>
      <c r="AZ42" s="2875"/>
      <c r="BA42" s="2827"/>
      <c r="BB42" s="2734"/>
      <c r="BC42" s="2307"/>
      <c r="BD42" s="1913"/>
      <c r="BE42" s="1929"/>
      <c r="BF42" s="1857"/>
      <c r="BG42" s="1858"/>
      <c r="BH42" s="1859"/>
      <c r="BI42" s="1879"/>
      <c r="BJ42" s="1822"/>
      <c r="BK42" s="1867"/>
      <c r="BL42" s="3644"/>
      <c r="BM42" s="3635"/>
      <c r="BN42" s="1955"/>
      <c r="BO42" s="1953"/>
      <c r="BP42" s="3630"/>
    </row>
    <row r="43" spans="1:68" ht="15.75" thickBot="1">
      <c r="A43" s="3723">
        <v>46140</v>
      </c>
      <c r="B43" s="1688" t="s">
        <v>32</v>
      </c>
      <c r="C43" s="3678">
        <f>SUM(D43:D46)</f>
        <v>999</v>
      </c>
      <c r="D43" s="1689">
        <f t="shared" si="0"/>
        <v>452</v>
      </c>
      <c r="E43" s="1701"/>
      <c r="F43" s="1733"/>
      <c r="G43" s="1703"/>
      <c r="H43" s="1711"/>
      <c r="I43" s="2927">
        <f>60+380</f>
        <v>440</v>
      </c>
      <c r="J43" s="1776"/>
      <c r="K43" s="1760"/>
      <c r="L43" s="1761"/>
      <c r="M43" s="1762"/>
      <c r="N43" s="3180"/>
      <c r="O43" s="1761"/>
      <c r="P43" s="1801"/>
      <c r="Q43" s="3130"/>
      <c r="R43" s="1764"/>
      <c r="S43" s="1765"/>
      <c r="T43" s="1827"/>
      <c r="U43" s="2821"/>
      <c r="V43" s="3189"/>
      <c r="W43" s="2892"/>
      <c r="X43" s="1828"/>
      <c r="Y43" s="1829"/>
      <c r="Z43" s="3300"/>
      <c r="AA43" s="2730"/>
      <c r="AB43" s="2723"/>
      <c r="AC43" s="1830"/>
      <c r="AD43" s="1831"/>
      <c r="AE43" s="1832"/>
      <c r="AF43" s="1833"/>
      <c r="AG43" s="1702"/>
      <c r="AH43" s="1881"/>
      <c r="AI43" s="1882"/>
      <c r="AJ43" s="2937"/>
      <c r="AK43" s="1883"/>
      <c r="AL43" s="1884"/>
      <c r="AM43" s="1762"/>
      <c r="AN43" s="3169"/>
      <c r="AO43" s="1763"/>
      <c r="AP43" s="3124"/>
      <c r="AQ43" s="1885"/>
      <c r="AR43" s="1886"/>
      <c r="AS43" s="1885"/>
      <c r="AT43" s="1915"/>
      <c r="AU43" s="2868"/>
      <c r="AV43" s="3116"/>
      <c r="AW43" s="3292">
        <v>11</v>
      </c>
      <c r="AX43" s="3197"/>
      <c r="AY43" s="2884"/>
      <c r="AZ43" s="2876"/>
      <c r="BA43" s="2828"/>
      <c r="BB43" s="2730"/>
      <c r="BC43" s="2723"/>
      <c r="BD43" s="1916"/>
      <c r="BE43" s="1917"/>
      <c r="BF43" s="1918"/>
      <c r="BG43" s="1919"/>
      <c r="BH43" s="1833"/>
      <c r="BI43" s="1885">
        <v>1</v>
      </c>
      <c r="BJ43" s="1946"/>
      <c r="BK43" s="1919"/>
      <c r="BL43" s="3633">
        <f>SUM(E43:AE46)</f>
        <v>980</v>
      </c>
      <c r="BM43" s="3633">
        <f>SUM(E43:BG46)</f>
        <v>994</v>
      </c>
      <c r="BN43" s="1955"/>
      <c r="BO43" s="1942"/>
      <c r="BP43" s="3629" t="s">
        <v>33</v>
      </c>
    </row>
    <row r="44" spans="1:68" ht="15.75" thickBot="1">
      <c r="A44" s="3724"/>
      <c r="B44" s="1694" t="s">
        <v>34</v>
      </c>
      <c r="C44" s="3679"/>
      <c r="D44" s="1705">
        <f t="shared" si="0"/>
        <v>547</v>
      </c>
      <c r="E44" s="1706"/>
      <c r="F44" s="1707"/>
      <c r="G44" s="1708"/>
      <c r="H44" s="1709"/>
      <c r="I44" s="2924">
        <v>540</v>
      </c>
      <c r="J44" s="1766"/>
      <c r="K44" s="1767"/>
      <c r="L44" s="1768"/>
      <c r="M44" s="1769"/>
      <c r="N44" s="3178"/>
      <c r="O44" s="1768"/>
      <c r="P44" s="1770"/>
      <c r="Q44" s="3122"/>
      <c r="R44" s="1771"/>
      <c r="S44" s="1772"/>
      <c r="T44" s="1834"/>
      <c r="U44" s="2819"/>
      <c r="V44" s="3187"/>
      <c r="W44" s="2890"/>
      <c r="X44" s="1835"/>
      <c r="Y44" s="1836"/>
      <c r="Z44" s="3298"/>
      <c r="AA44" s="2728"/>
      <c r="AB44" s="2721"/>
      <c r="AC44" s="1837"/>
      <c r="AD44" s="1838"/>
      <c r="AE44" s="1839"/>
      <c r="AF44" s="1706"/>
      <c r="AG44" s="1707"/>
      <c r="AH44" s="1887"/>
      <c r="AI44" s="1888"/>
      <c r="AJ44" s="2935"/>
      <c r="AK44" s="1889"/>
      <c r="AL44" s="1890"/>
      <c r="AM44" s="1769"/>
      <c r="AN44" s="3167"/>
      <c r="AO44" s="1770"/>
      <c r="AP44" s="3122"/>
      <c r="AQ44" s="1891"/>
      <c r="AR44" s="1892"/>
      <c r="AS44" s="1891"/>
      <c r="AT44" s="1920"/>
      <c r="AU44" s="2866"/>
      <c r="AV44" s="3114"/>
      <c r="AW44" s="3290">
        <v>3</v>
      </c>
      <c r="AX44" s="3195"/>
      <c r="AY44" s="2882"/>
      <c r="AZ44" s="2874"/>
      <c r="BA44" s="2826"/>
      <c r="BB44" s="2728"/>
      <c r="BC44" s="2721"/>
      <c r="BD44" s="1921"/>
      <c r="BE44" s="1922"/>
      <c r="BF44" s="1923"/>
      <c r="BG44" s="1924"/>
      <c r="BH44" s="1947"/>
      <c r="BI44" s="1891">
        <v>4</v>
      </c>
      <c r="BJ44" s="1948"/>
      <c r="BK44" s="1924"/>
      <c r="BL44" s="3634"/>
      <c r="BM44" s="3634"/>
      <c r="BN44" s="1945"/>
      <c r="BO44" s="1942"/>
      <c r="BP44" s="3630"/>
    </row>
    <row r="45" spans="1:68" ht="15.75" thickBot="1">
      <c r="A45" s="3724"/>
      <c r="B45" s="1694" t="s">
        <v>34</v>
      </c>
      <c r="C45" s="3679"/>
      <c r="D45" s="1705">
        <f t="shared" si="0"/>
        <v>0</v>
      </c>
      <c r="E45" s="1706"/>
      <c r="F45" s="1707"/>
      <c r="G45" s="1708"/>
      <c r="H45" s="1709"/>
      <c r="I45" s="2924"/>
      <c r="J45" s="1766"/>
      <c r="K45" s="1767"/>
      <c r="L45" s="1768"/>
      <c r="M45" s="1769"/>
      <c r="N45" s="3178"/>
      <c r="O45" s="1768"/>
      <c r="P45" s="1770"/>
      <c r="Q45" s="3122"/>
      <c r="R45" s="1771"/>
      <c r="S45" s="1772"/>
      <c r="T45" s="1834"/>
      <c r="U45" s="2819"/>
      <c r="V45" s="3187"/>
      <c r="W45" s="2890"/>
      <c r="X45" s="1835"/>
      <c r="Y45" s="1836"/>
      <c r="Z45" s="3298"/>
      <c r="AA45" s="2728"/>
      <c r="AB45" s="2721"/>
      <c r="AC45" s="1837"/>
      <c r="AD45" s="1838"/>
      <c r="AE45" s="1839"/>
      <c r="AF45" s="1706"/>
      <c r="AG45" s="1707"/>
      <c r="AH45" s="1887"/>
      <c r="AI45" s="1888"/>
      <c r="AJ45" s="2935"/>
      <c r="AK45" s="1889"/>
      <c r="AL45" s="1890"/>
      <c r="AM45" s="1769"/>
      <c r="AN45" s="3167"/>
      <c r="AO45" s="1770"/>
      <c r="AP45" s="3122"/>
      <c r="AQ45" s="1891"/>
      <c r="AR45" s="1892"/>
      <c r="AS45" s="1891"/>
      <c r="AT45" s="1920"/>
      <c r="AU45" s="2866"/>
      <c r="AV45" s="3114"/>
      <c r="AW45" s="3290"/>
      <c r="AX45" s="3195"/>
      <c r="AY45" s="2882"/>
      <c r="AZ45" s="2874"/>
      <c r="BA45" s="2826"/>
      <c r="BB45" s="2728"/>
      <c r="BC45" s="2721"/>
      <c r="BD45" s="1921"/>
      <c r="BE45" s="1922"/>
      <c r="BF45" s="1923"/>
      <c r="BG45" s="1924"/>
      <c r="BH45" s="1947"/>
      <c r="BI45" s="1891"/>
      <c r="BJ45" s="1948"/>
      <c r="BK45" s="1924"/>
      <c r="BL45" s="3634"/>
      <c r="BM45" s="3634"/>
      <c r="BN45" s="1945"/>
      <c r="BO45" s="1952"/>
      <c r="BP45" s="3630"/>
    </row>
    <row r="46" spans="1:68" ht="15.75" thickBot="1">
      <c r="A46" s="3724"/>
      <c r="B46" s="1694" t="s">
        <v>34</v>
      </c>
      <c r="C46" s="3679"/>
      <c r="D46" s="1734">
        <f t="shared" si="0"/>
        <v>0</v>
      </c>
      <c r="E46" s="1735"/>
      <c r="F46" s="1736"/>
      <c r="G46" s="1717"/>
      <c r="H46" s="1718"/>
      <c r="I46" s="2930"/>
      <c r="J46" s="1785"/>
      <c r="K46" s="1802"/>
      <c r="L46" s="1803"/>
      <c r="M46" s="1804"/>
      <c r="N46" s="3181"/>
      <c r="O46" s="1803"/>
      <c r="P46" s="1805"/>
      <c r="Q46" s="3131"/>
      <c r="R46" s="1789"/>
      <c r="S46" s="1790"/>
      <c r="T46" s="1840"/>
      <c r="U46" s="2822"/>
      <c r="V46" s="3190"/>
      <c r="W46" s="2893"/>
      <c r="X46" s="1841"/>
      <c r="Y46" s="1842"/>
      <c r="Z46" s="3301"/>
      <c r="AA46" s="2731"/>
      <c r="AB46" s="2724"/>
      <c r="AC46" s="1843"/>
      <c r="AD46" s="1860"/>
      <c r="AE46" s="1861"/>
      <c r="AF46" s="1715"/>
      <c r="AG46" s="1716"/>
      <c r="AH46" s="1897"/>
      <c r="AI46" s="1898"/>
      <c r="AJ46" s="2940"/>
      <c r="AK46" s="1899"/>
      <c r="AL46" s="1900"/>
      <c r="AM46" s="1804"/>
      <c r="AN46" s="3175"/>
      <c r="AO46" s="1788"/>
      <c r="AP46" s="3128"/>
      <c r="AQ46" s="1901"/>
      <c r="AR46" s="1902"/>
      <c r="AS46" s="1901"/>
      <c r="AT46" s="1925"/>
      <c r="AU46" s="2869"/>
      <c r="AV46" s="3117"/>
      <c r="AW46" s="3293"/>
      <c r="AX46" s="3198"/>
      <c r="AY46" s="2885"/>
      <c r="AZ46" s="2877"/>
      <c r="BA46" s="2829"/>
      <c r="BB46" s="2731"/>
      <c r="BC46" s="2724"/>
      <c r="BD46" s="1926"/>
      <c r="BE46" s="1927"/>
      <c r="BF46" s="1844"/>
      <c r="BG46" s="1845"/>
      <c r="BH46" s="1715"/>
      <c r="BI46" s="1901"/>
      <c r="BJ46" s="1949"/>
      <c r="BK46" s="1845"/>
      <c r="BL46" s="3634"/>
      <c r="BM46" s="3634"/>
      <c r="BN46" s="1955"/>
      <c r="BO46" s="1939"/>
      <c r="BP46" s="3631"/>
    </row>
    <row r="47" spans="1:68" ht="15.75" thickBot="1">
      <c r="A47" s="3723">
        <v>46141</v>
      </c>
      <c r="B47" s="1738" t="s">
        <v>32</v>
      </c>
      <c r="C47" s="3678">
        <f>SUM(D47:D50)</f>
        <v>1105</v>
      </c>
      <c r="D47" s="1689">
        <f t="shared" si="0"/>
        <v>605</v>
      </c>
      <c r="E47" s="1690"/>
      <c r="F47" s="1691"/>
      <c r="G47" s="1692"/>
      <c r="H47" s="1693"/>
      <c r="I47" s="2923">
        <f>80+520</f>
        <v>600</v>
      </c>
      <c r="J47" s="1745"/>
      <c r="K47" s="1746"/>
      <c r="L47" s="1747"/>
      <c r="M47" s="1748"/>
      <c r="N47" s="3177"/>
      <c r="O47" s="1747"/>
      <c r="P47" s="1749"/>
      <c r="Q47" s="3121"/>
      <c r="R47" s="1750"/>
      <c r="S47" s="1751"/>
      <c r="T47" s="1815"/>
      <c r="U47" s="2818"/>
      <c r="V47" s="3186"/>
      <c r="W47" s="2889"/>
      <c r="X47" s="1816"/>
      <c r="Y47" s="1817"/>
      <c r="Z47" s="3297"/>
      <c r="AA47" s="2727"/>
      <c r="AB47" s="2720"/>
      <c r="AC47" s="1818"/>
      <c r="AD47" s="1819"/>
      <c r="AE47" s="1820"/>
      <c r="AF47" s="1726"/>
      <c r="AG47" s="1691"/>
      <c r="AH47" s="1869"/>
      <c r="AI47" s="1893"/>
      <c r="AJ47" s="2938"/>
      <c r="AK47" s="1854"/>
      <c r="AL47" s="1894"/>
      <c r="AM47" s="1748"/>
      <c r="AN47" s="3166"/>
      <c r="AO47" s="1749"/>
      <c r="AP47" s="3121"/>
      <c r="AQ47" s="1873"/>
      <c r="AR47" s="1874"/>
      <c r="AS47" s="1873"/>
      <c r="AT47" s="1909"/>
      <c r="AU47" s="2865"/>
      <c r="AV47" s="3113"/>
      <c r="AW47" s="3289">
        <v>1</v>
      </c>
      <c r="AX47" s="3194"/>
      <c r="AY47" s="2881"/>
      <c r="AZ47" s="2873"/>
      <c r="BA47" s="2825"/>
      <c r="BB47" s="2727"/>
      <c r="BC47" s="2720"/>
      <c r="BD47" s="1910"/>
      <c r="BE47" s="1911"/>
      <c r="BF47" s="1864"/>
      <c r="BG47" s="1865"/>
      <c r="BH47" s="1726"/>
      <c r="BI47" s="1873">
        <v>4</v>
      </c>
      <c r="BJ47" s="1940"/>
      <c r="BK47" s="1865"/>
      <c r="BL47" s="3633">
        <f>SUM(E47:AE50)</f>
        <v>1100</v>
      </c>
      <c r="BM47" s="3633">
        <f>SUM(E47:BG50)</f>
        <v>1101</v>
      </c>
      <c r="BN47" s="1942">
        <v>103</v>
      </c>
      <c r="BO47" s="1952" t="s">
        <v>688</v>
      </c>
      <c r="BP47" s="3629" t="s">
        <v>33</v>
      </c>
    </row>
    <row r="48" spans="1:68" ht="15.75" thickBot="1">
      <c r="A48" s="3724"/>
      <c r="B48" s="1694" t="s">
        <v>34</v>
      </c>
      <c r="C48" s="3679"/>
      <c r="D48" s="1705">
        <f t="shared" si="0"/>
        <v>500</v>
      </c>
      <c r="E48" s="1706"/>
      <c r="F48" s="1707"/>
      <c r="G48" s="1708"/>
      <c r="H48" s="1709"/>
      <c r="I48" s="2924">
        <v>500</v>
      </c>
      <c r="J48" s="1766"/>
      <c r="K48" s="1767"/>
      <c r="L48" s="1768"/>
      <c r="M48" s="1769"/>
      <c r="N48" s="3178"/>
      <c r="O48" s="1768"/>
      <c r="P48" s="1770"/>
      <c r="Q48" s="3122"/>
      <c r="R48" s="1771"/>
      <c r="S48" s="1772"/>
      <c r="T48" s="1834"/>
      <c r="U48" s="2819"/>
      <c r="V48" s="3187"/>
      <c r="W48" s="2890"/>
      <c r="X48" s="1835"/>
      <c r="Y48" s="1836"/>
      <c r="Z48" s="3298"/>
      <c r="AA48" s="2728"/>
      <c r="AB48" s="2721"/>
      <c r="AC48" s="1837"/>
      <c r="AD48" s="1838"/>
      <c r="AE48" s="1839"/>
      <c r="AF48" s="1706"/>
      <c r="AG48" s="1707"/>
      <c r="AH48" s="1887"/>
      <c r="AI48" s="1888"/>
      <c r="AJ48" s="2935"/>
      <c r="AK48" s="1889"/>
      <c r="AL48" s="1890"/>
      <c r="AM48" s="1769"/>
      <c r="AN48" s="3167"/>
      <c r="AO48" s="1770"/>
      <c r="AP48" s="3122"/>
      <c r="AQ48" s="1891"/>
      <c r="AR48" s="1892"/>
      <c r="AS48" s="1891"/>
      <c r="AT48" s="1920"/>
      <c r="AU48" s="2866"/>
      <c r="AV48" s="3114"/>
      <c r="AW48" s="3290"/>
      <c r="AX48" s="3195"/>
      <c r="AY48" s="2882"/>
      <c r="AZ48" s="2874"/>
      <c r="BA48" s="2826"/>
      <c r="BB48" s="2728"/>
      <c r="BC48" s="2721"/>
      <c r="BD48" s="1921"/>
      <c r="BE48" s="1922"/>
      <c r="BF48" s="1923"/>
      <c r="BG48" s="1924"/>
      <c r="BH48" s="1947"/>
      <c r="BI48" s="1891"/>
      <c r="BJ48" s="1948"/>
      <c r="BK48" s="1924"/>
      <c r="BL48" s="3634"/>
      <c r="BM48" s="3634"/>
      <c r="BN48" s="1942"/>
      <c r="BO48" s="1952"/>
      <c r="BP48" s="3630"/>
    </row>
    <row r="49" spans="1:68" ht="15.75" thickBot="1">
      <c r="A49" s="3724"/>
      <c r="B49" s="1694" t="s">
        <v>34</v>
      </c>
      <c r="C49" s="3679"/>
      <c r="D49" s="1705">
        <f t="shared" si="0"/>
        <v>0</v>
      </c>
      <c r="E49" s="1706"/>
      <c r="F49" s="1707"/>
      <c r="G49" s="1708"/>
      <c r="H49" s="1709"/>
      <c r="I49" s="2924"/>
      <c r="J49" s="1766"/>
      <c r="K49" s="1767"/>
      <c r="L49" s="1768"/>
      <c r="M49" s="1769"/>
      <c r="N49" s="3178"/>
      <c r="O49" s="1768"/>
      <c r="P49" s="1770"/>
      <c r="Q49" s="3122"/>
      <c r="R49" s="1771"/>
      <c r="S49" s="1772"/>
      <c r="T49" s="1834"/>
      <c r="U49" s="2819"/>
      <c r="V49" s="3187"/>
      <c r="W49" s="2890"/>
      <c r="X49" s="1835"/>
      <c r="Y49" s="1836"/>
      <c r="Z49" s="3298"/>
      <c r="AA49" s="2728"/>
      <c r="AB49" s="2721"/>
      <c r="AC49" s="1837"/>
      <c r="AD49" s="1838"/>
      <c r="AE49" s="1839"/>
      <c r="AF49" s="1706"/>
      <c r="AG49" s="1707"/>
      <c r="AH49" s="1887"/>
      <c r="AI49" s="1888"/>
      <c r="AJ49" s="2935"/>
      <c r="AK49" s="1889"/>
      <c r="AL49" s="1890"/>
      <c r="AM49" s="1769"/>
      <c r="AN49" s="3167"/>
      <c r="AO49" s="1770"/>
      <c r="AP49" s="3122"/>
      <c r="AQ49" s="1891"/>
      <c r="AR49" s="1892"/>
      <c r="AS49" s="1891"/>
      <c r="AT49" s="1920"/>
      <c r="AU49" s="2866"/>
      <c r="AV49" s="3114"/>
      <c r="AW49" s="3290"/>
      <c r="AX49" s="3195"/>
      <c r="AY49" s="2882"/>
      <c r="AZ49" s="2874"/>
      <c r="BA49" s="2826"/>
      <c r="BB49" s="2728"/>
      <c r="BC49" s="2721"/>
      <c r="BD49" s="1921"/>
      <c r="BE49" s="1922"/>
      <c r="BF49" s="1923"/>
      <c r="BG49" s="1924"/>
      <c r="BH49" s="1947"/>
      <c r="BI49" s="1891"/>
      <c r="BJ49" s="1948"/>
      <c r="BK49" s="1924"/>
      <c r="BL49" s="3634"/>
      <c r="BM49" s="3634"/>
      <c r="BN49" s="1942"/>
      <c r="BO49" s="1952"/>
      <c r="BP49" s="3630"/>
    </row>
    <row r="50" spans="1:68" ht="15.75" thickBot="1">
      <c r="A50" s="3724"/>
      <c r="B50" s="1694" t="s">
        <v>34</v>
      </c>
      <c r="C50" s="3681"/>
      <c r="D50" s="1705">
        <f t="shared" si="0"/>
        <v>0</v>
      </c>
      <c r="E50" s="1706"/>
      <c r="F50" s="1707"/>
      <c r="G50" s="1708"/>
      <c r="H50" s="1709"/>
      <c r="I50" s="2924"/>
      <c r="J50" s="1766"/>
      <c r="K50" s="1767"/>
      <c r="L50" s="1768"/>
      <c r="M50" s="1769"/>
      <c r="N50" s="3178"/>
      <c r="O50" s="1768"/>
      <c r="P50" s="1770"/>
      <c r="Q50" s="3122"/>
      <c r="R50" s="1771"/>
      <c r="S50" s="1772"/>
      <c r="T50" s="1834"/>
      <c r="U50" s="2819"/>
      <c r="V50" s="3187"/>
      <c r="W50" s="2890"/>
      <c r="X50" s="1835"/>
      <c r="Y50" s="1836"/>
      <c r="Z50" s="3298"/>
      <c r="AA50" s="2728"/>
      <c r="AB50" s="2721"/>
      <c r="AC50" s="1837"/>
      <c r="AD50" s="1838"/>
      <c r="AE50" s="1839"/>
      <c r="AF50" s="1706"/>
      <c r="AG50" s="1707"/>
      <c r="AH50" s="1887"/>
      <c r="AI50" s="1888"/>
      <c r="AJ50" s="2935"/>
      <c r="AK50" s="1889"/>
      <c r="AL50" s="1890"/>
      <c r="AM50" s="1769"/>
      <c r="AN50" s="3167"/>
      <c r="AO50" s="1770"/>
      <c r="AP50" s="3122"/>
      <c r="AQ50" s="1891"/>
      <c r="AR50" s="1892"/>
      <c r="AS50" s="1891"/>
      <c r="AT50" s="1920"/>
      <c r="AU50" s="2866"/>
      <c r="AV50" s="3114"/>
      <c r="AW50" s="3290"/>
      <c r="AX50" s="3195"/>
      <c r="AY50" s="2882"/>
      <c r="AZ50" s="2874"/>
      <c r="BA50" s="2826"/>
      <c r="BB50" s="2728"/>
      <c r="BC50" s="2721"/>
      <c r="BD50" s="1921"/>
      <c r="BE50" s="1922"/>
      <c r="BF50" s="1923"/>
      <c r="BG50" s="1924"/>
      <c r="BH50" s="1947"/>
      <c r="BI50" s="1891"/>
      <c r="BJ50" s="1948"/>
      <c r="BK50" s="1924"/>
      <c r="BL50" s="3635"/>
      <c r="BM50" s="3635"/>
      <c r="BN50" s="1942"/>
      <c r="BO50" s="1945"/>
      <c r="BP50" s="3631"/>
    </row>
    <row r="51" spans="1:68" ht="15.75" thickBot="1">
      <c r="A51" s="3723"/>
      <c r="B51" s="1688" t="s">
        <v>32</v>
      </c>
      <c r="C51" s="3711">
        <f>SUM(D51:D54)</f>
        <v>0</v>
      </c>
      <c r="D51" s="1719">
        <f t="shared" si="0"/>
        <v>0</v>
      </c>
      <c r="E51" s="1737"/>
      <c r="F51" s="1727"/>
      <c r="G51" s="1692"/>
      <c r="H51" s="1713"/>
      <c r="I51" s="2929"/>
      <c r="J51" s="1782"/>
      <c r="K51" s="1783"/>
      <c r="L51" s="1747"/>
      <c r="M51" s="1692"/>
      <c r="N51" s="3177"/>
      <c r="O51" s="1806"/>
      <c r="P51" s="1807"/>
      <c r="Q51" s="3132"/>
      <c r="R51" s="1750"/>
      <c r="S51" s="1751"/>
      <c r="T51" s="1862"/>
      <c r="U51" s="3111"/>
      <c r="V51" s="3192"/>
      <c r="W51" s="2889"/>
      <c r="X51" s="1863"/>
      <c r="Y51" s="1817"/>
      <c r="Z51" s="3297"/>
      <c r="AA51" s="2727"/>
      <c r="AB51" s="2720"/>
      <c r="AC51" s="1818"/>
      <c r="AD51" s="1864"/>
      <c r="AE51" s="1865"/>
      <c r="AF51" s="1737"/>
      <c r="AG51" s="1727"/>
      <c r="AH51" s="1869"/>
      <c r="AI51" s="1904"/>
      <c r="AJ51" s="2941"/>
      <c r="AK51" s="1905"/>
      <c r="AL51" s="1894"/>
      <c r="AM51" s="1906"/>
      <c r="AN51" s="3176"/>
      <c r="AO51" s="1907"/>
      <c r="AP51" s="3134"/>
      <c r="AQ51" s="1908"/>
      <c r="AR51" s="1874"/>
      <c r="AS51" s="1908"/>
      <c r="AT51" s="1909"/>
      <c r="AU51" s="2871"/>
      <c r="AV51" s="3119"/>
      <c r="AW51" s="3295"/>
      <c r="AX51" s="3200"/>
      <c r="AY51" s="2887"/>
      <c r="AZ51" s="2879"/>
      <c r="BA51" s="2831"/>
      <c r="BB51" s="2727"/>
      <c r="BC51" s="2720"/>
      <c r="BD51" s="1930"/>
      <c r="BE51" s="1931"/>
      <c r="BF51" s="1864"/>
      <c r="BG51" s="1865"/>
      <c r="BH51" s="1690"/>
      <c r="BI51" s="1873"/>
      <c r="BJ51" s="1863"/>
      <c r="BK51" s="1956"/>
      <c r="BL51" s="3642">
        <f>SUM(E51:AE54)</f>
        <v>0</v>
      </c>
      <c r="BM51" s="3633">
        <f>SUM(E51:BG54)</f>
        <v>0</v>
      </c>
      <c r="BN51" s="1942"/>
      <c r="BO51" s="1939"/>
      <c r="BP51" s="3629" t="s">
        <v>33</v>
      </c>
    </row>
    <row r="52" spans="1:68" ht="15.75" thickBot="1">
      <c r="A52" s="3724"/>
      <c r="B52" s="1694" t="s">
        <v>34</v>
      </c>
      <c r="C52" s="3712"/>
      <c r="D52" s="1705">
        <f t="shared" si="0"/>
        <v>0</v>
      </c>
      <c r="E52" s="1706"/>
      <c r="F52" s="1707"/>
      <c r="G52" s="1708"/>
      <c r="H52" s="1709"/>
      <c r="I52" s="2924"/>
      <c r="J52" s="1766"/>
      <c r="K52" s="1767"/>
      <c r="L52" s="1768"/>
      <c r="M52" s="1769"/>
      <c r="N52" s="3178"/>
      <c r="O52" s="1768"/>
      <c r="P52" s="1770"/>
      <c r="Q52" s="3122"/>
      <c r="R52" s="1771"/>
      <c r="S52" s="1772"/>
      <c r="T52" s="1834"/>
      <c r="U52" s="2819"/>
      <c r="V52" s="3187"/>
      <c r="W52" s="2890"/>
      <c r="X52" s="1835"/>
      <c r="Y52" s="1836"/>
      <c r="Z52" s="3298"/>
      <c r="AA52" s="2728"/>
      <c r="AB52" s="2721"/>
      <c r="AC52" s="1837"/>
      <c r="AD52" s="1838"/>
      <c r="AE52" s="1839"/>
      <c r="AF52" s="1706"/>
      <c r="AG52" s="1707"/>
      <c r="AH52" s="1887"/>
      <c r="AI52" s="1888"/>
      <c r="AJ52" s="2935"/>
      <c r="AK52" s="1889"/>
      <c r="AL52" s="1890"/>
      <c r="AM52" s="1769"/>
      <c r="AN52" s="3167"/>
      <c r="AO52" s="1770"/>
      <c r="AP52" s="3122"/>
      <c r="AQ52" s="1891"/>
      <c r="AR52" s="1892"/>
      <c r="AS52" s="1891"/>
      <c r="AT52" s="1920"/>
      <c r="AU52" s="2866"/>
      <c r="AV52" s="3114"/>
      <c r="AW52" s="3290"/>
      <c r="AX52" s="3195"/>
      <c r="AY52" s="2882"/>
      <c r="AZ52" s="2874"/>
      <c r="BA52" s="2826"/>
      <c r="BB52" s="2728"/>
      <c r="BC52" s="2721"/>
      <c r="BD52" s="1921"/>
      <c r="BE52" s="1922"/>
      <c r="BF52" s="1923"/>
      <c r="BG52" s="1924"/>
      <c r="BH52" s="1947"/>
      <c r="BI52" s="1891"/>
      <c r="BJ52" s="3372"/>
      <c r="BK52" s="1924"/>
      <c r="BL52" s="3643"/>
      <c r="BM52" s="3634"/>
      <c r="BN52" s="1945"/>
      <c r="BO52" s="1939"/>
      <c r="BP52" s="3630"/>
    </row>
    <row r="53" spans="1:68" ht="15.75" thickBot="1">
      <c r="A53" s="3724"/>
      <c r="B53" s="1694" t="s">
        <v>34</v>
      </c>
      <c r="C53" s="3712"/>
      <c r="D53" s="1705">
        <f t="shared" si="0"/>
        <v>0</v>
      </c>
      <c r="E53" s="1706"/>
      <c r="F53" s="1707"/>
      <c r="G53" s="1708"/>
      <c r="H53" s="1709"/>
      <c r="I53" s="2924"/>
      <c r="J53" s="1766"/>
      <c r="K53" s="1767"/>
      <c r="L53" s="1768"/>
      <c r="M53" s="1769"/>
      <c r="N53" s="3178"/>
      <c r="O53" s="1768"/>
      <c r="P53" s="1770"/>
      <c r="Q53" s="3122"/>
      <c r="R53" s="1771"/>
      <c r="S53" s="1772"/>
      <c r="T53" s="1834"/>
      <c r="U53" s="2819"/>
      <c r="V53" s="3187"/>
      <c r="W53" s="2890"/>
      <c r="X53" s="1835"/>
      <c r="Y53" s="1836"/>
      <c r="Z53" s="3298"/>
      <c r="AA53" s="2728"/>
      <c r="AB53" s="2721"/>
      <c r="AC53" s="1837"/>
      <c r="AD53" s="1838"/>
      <c r="AE53" s="1839"/>
      <c r="AF53" s="1706"/>
      <c r="AG53" s="1707"/>
      <c r="AH53" s="1887"/>
      <c r="AI53" s="1888"/>
      <c r="AJ53" s="2935"/>
      <c r="AK53" s="1889"/>
      <c r="AL53" s="1890"/>
      <c r="AM53" s="1769"/>
      <c r="AN53" s="3167"/>
      <c r="AO53" s="1770"/>
      <c r="AP53" s="3122"/>
      <c r="AQ53" s="1891"/>
      <c r="AR53" s="1892"/>
      <c r="AS53" s="1891"/>
      <c r="AT53" s="1920"/>
      <c r="AU53" s="2866"/>
      <c r="AV53" s="3114"/>
      <c r="AW53" s="3290"/>
      <c r="AX53" s="3195"/>
      <c r="AY53" s="2882"/>
      <c r="AZ53" s="2874"/>
      <c r="BA53" s="2826"/>
      <c r="BB53" s="2728"/>
      <c r="BC53" s="2721"/>
      <c r="BD53" s="1921"/>
      <c r="BE53" s="1922"/>
      <c r="BF53" s="1923"/>
      <c r="BG53" s="1924"/>
      <c r="BH53" s="1947"/>
      <c r="BI53" s="1891"/>
      <c r="BJ53" s="1948"/>
      <c r="BK53" s="1924"/>
      <c r="BL53" s="3643"/>
      <c r="BM53" s="3634"/>
      <c r="BN53" s="1945"/>
      <c r="BO53" s="1952"/>
      <c r="BP53" s="3630"/>
    </row>
    <row r="54" spans="1:68" ht="15.75" thickBot="1">
      <c r="A54" s="3724"/>
      <c r="B54" s="1724" t="s">
        <v>34</v>
      </c>
      <c r="C54" s="3728"/>
      <c r="D54" s="1731">
        <f t="shared" si="0"/>
        <v>0</v>
      </c>
      <c r="E54" s="1696"/>
      <c r="F54" s="1725"/>
      <c r="G54" s="1698"/>
      <c r="H54" s="1732"/>
      <c r="I54" s="2932"/>
      <c r="J54" s="1800"/>
      <c r="K54" s="1798"/>
      <c r="L54" s="1754"/>
      <c r="M54" s="1698"/>
      <c r="N54" s="3179"/>
      <c r="O54" s="1754"/>
      <c r="P54" s="1808"/>
      <c r="Q54" s="3133"/>
      <c r="R54" s="1757"/>
      <c r="S54" s="1758"/>
      <c r="T54" s="1821"/>
      <c r="U54" s="2820"/>
      <c r="V54" s="3188"/>
      <c r="W54" s="2891"/>
      <c r="X54" s="1822"/>
      <c r="Y54" s="1823"/>
      <c r="Z54" s="3299"/>
      <c r="AA54" s="2729"/>
      <c r="AB54" s="2722"/>
      <c r="AC54" s="1824"/>
      <c r="AD54" s="1866"/>
      <c r="AE54" s="1867"/>
      <c r="AF54" s="1696"/>
      <c r="AG54" s="1697"/>
      <c r="AH54" s="1875"/>
      <c r="AI54" s="1895"/>
      <c r="AJ54" s="2939"/>
      <c r="AK54" s="1858"/>
      <c r="AL54" s="1896"/>
      <c r="AM54" s="1755"/>
      <c r="AN54" s="3168"/>
      <c r="AO54" s="1775"/>
      <c r="AP54" s="3127"/>
      <c r="AQ54" s="1879"/>
      <c r="AR54" s="1880"/>
      <c r="AS54" s="1879"/>
      <c r="AT54" s="1912"/>
      <c r="AU54" s="2867"/>
      <c r="AV54" s="3115"/>
      <c r="AW54" s="3291"/>
      <c r="AX54" s="3196"/>
      <c r="AY54" s="2883"/>
      <c r="AZ54" s="2875"/>
      <c r="BA54" s="2827"/>
      <c r="BB54" s="2729"/>
      <c r="BC54" s="2722"/>
      <c r="BD54" s="1913"/>
      <c r="BE54" s="1914"/>
      <c r="BF54" s="1866"/>
      <c r="BG54" s="1867"/>
      <c r="BH54" s="1943"/>
      <c r="BI54" s="1879"/>
      <c r="BJ54" s="1822"/>
      <c r="BK54" s="1867"/>
      <c r="BL54" s="3644"/>
      <c r="BM54" s="3635"/>
      <c r="BN54" s="1945"/>
      <c r="BO54" s="1957"/>
      <c r="BP54" s="3631"/>
    </row>
    <row r="55" spans="1:68" ht="15.75" thickBot="1">
      <c r="A55" s="3725"/>
      <c r="B55" s="1694" t="s">
        <v>32</v>
      </c>
      <c r="C55" s="3678">
        <f>SUM(D55:D58)</f>
        <v>0</v>
      </c>
      <c r="D55" s="1705">
        <f t="shared" si="0"/>
        <v>0</v>
      </c>
      <c r="E55" s="1706"/>
      <c r="F55" s="1707"/>
      <c r="G55" s="1708"/>
      <c r="H55" s="1709"/>
      <c r="I55" s="2924"/>
      <c r="J55" s="1766"/>
      <c r="K55" s="1767"/>
      <c r="L55" s="1768"/>
      <c r="M55" s="1708"/>
      <c r="N55" s="3178"/>
      <c r="O55" s="1768"/>
      <c r="P55" s="1770"/>
      <c r="Q55" s="3122"/>
      <c r="R55" s="1771"/>
      <c r="S55" s="1772"/>
      <c r="T55" s="1834"/>
      <c r="U55" s="2819"/>
      <c r="V55" s="3187"/>
      <c r="W55" s="2890"/>
      <c r="X55" s="1835"/>
      <c r="Y55" s="1836"/>
      <c r="Z55" s="3298"/>
      <c r="AA55" s="2728"/>
      <c r="AB55" s="2721"/>
      <c r="AC55" s="1837"/>
      <c r="AD55" s="1838"/>
      <c r="AE55" s="1839"/>
      <c r="AF55" s="1706"/>
      <c r="AG55" s="1707"/>
      <c r="AH55" s="1887"/>
      <c r="AI55" s="1888"/>
      <c r="AJ55" s="2935"/>
      <c r="AK55" s="1889"/>
      <c r="AL55" s="1890"/>
      <c r="AM55" s="1769"/>
      <c r="AN55" s="3167"/>
      <c r="AO55" s="1773"/>
      <c r="AP55" s="3125"/>
      <c r="AQ55" s="1891"/>
      <c r="AR55" s="1892"/>
      <c r="AS55" s="1891"/>
      <c r="AT55" s="1920"/>
      <c r="AU55" s="2866"/>
      <c r="AV55" s="3114"/>
      <c r="AW55" s="3290"/>
      <c r="AX55" s="3195"/>
      <c r="AY55" s="2882"/>
      <c r="AZ55" s="2874"/>
      <c r="BA55" s="2826"/>
      <c r="BB55" s="2728"/>
      <c r="BC55" s="2721"/>
      <c r="BD55" s="1921"/>
      <c r="BE55" s="1922"/>
      <c r="BF55" s="1923"/>
      <c r="BG55" s="1924"/>
      <c r="BH55" s="1947"/>
      <c r="BI55" s="1873"/>
      <c r="BJ55" s="1948"/>
      <c r="BK55" s="1924"/>
      <c r="BL55" s="3633">
        <f>SUM(E55:AE58)</f>
        <v>0</v>
      </c>
      <c r="BM55" s="3633">
        <f>SUM(E55:BG58)</f>
        <v>0</v>
      </c>
      <c r="BN55" s="1945"/>
      <c r="BO55" s="1952"/>
      <c r="BP55" s="3630" t="s">
        <v>33</v>
      </c>
    </row>
    <row r="56" spans="1:68" ht="15.75" thickBot="1">
      <c r="A56" s="3726"/>
      <c r="B56" s="1694" t="s">
        <v>34</v>
      </c>
      <c r="C56" s="3679"/>
      <c r="D56" s="1705">
        <f t="shared" si="0"/>
        <v>0</v>
      </c>
      <c r="E56" s="1706"/>
      <c r="F56" s="1707"/>
      <c r="G56" s="1708"/>
      <c r="H56" s="1709"/>
      <c r="I56" s="2924"/>
      <c r="J56" s="1766"/>
      <c r="K56" s="1767"/>
      <c r="L56" s="1768"/>
      <c r="M56" s="1769"/>
      <c r="N56" s="3178"/>
      <c r="O56" s="1768"/>
      <c r="P56" s="1770"/>
      <c r="Q56" s="3122"/>
      <c r="R56" s="1771"/>
      <c r="S56" s="1772"/>
      <c r="T56" s="1834"/>
      <c r="U56" s="2819"/>
      <c r="V56" s="3187"/>
      <c r="W56" s="2890"/>
      <c r="X56" s="1835"/>
      <c r="Y56" s="1836"/>
      <c r="Z56" s="3298"/>
      <c r="AA56" s="2728"/>
      <c r="AB56" s="2721"/>
      <c r="AC56" s="1837"/>
      <c r="AD56" s="1838"/>
      <c r="AE56" s="1839"/>
      <c r="AF56" s="1706"/>
      <c r="AG56" s="1707"/>
      <c r="AH56" s="1887"/>
      <c r="AI56" s="1888"/>
      <c r="AJ56" s="2935"/>
      <c r="AK56" s="1889"/>
      <c r="AL56" s="1890"/>
      <c r="AM56" s="1769"/>
      <c r="AN56" s="3167"/>
      <c r="AO56" s="1770"/>
      <c r="AP56" s="3122"/>
      <c r="AQ56" s="1891"/>
      <c r="AR56" s="1892"/>
      <c r="AS56" s="1891"/>
      <c r="AT56" s="1920"/>
      <c r="AU56" s="2866"/>
      <c r="AV56" s="3114"/>
      <c r="AW56" s="3290"/>
      <c r="AX56" s="3195"/>
      <c r="AY56" s="2882"/>
      <c r="AZ56" s="2874"/>
      <c r="BA56" s="2826"/>
      <c r="BB56" s="2728"/>
      <c r="BC56" s="2721"/>
      <c r="BD56" s="1921"/>
      <c r="BE56" s="1922"/>
      <c r="BF56" s="1923"/>
      <c r="BG56" s="1924"/>
      <c r="BH56" s="1947"/>
      <c r="BI56" s="1891"/>
      <c r="BJ56" s="1948"/>
      <c r="BK56" s="1924"/>
      <c r="BL56" s="3634"/>
      <c r="BM56" s="3634"/>
      <c r="BN56" s="1945"/>
      <c r="BO56" s="1952"/>
      <c r="BP56" s="3630"/>
    </row>
    <row r="57" spans="1:68" ht="15.75" thickBot="1">
      <c r="A57" s="3726"/>
      <c r="B57" s="1694" t="s">
        <v>34</v>
      </c>
      <c r="C57" s="3679"/>
      <c r="D57" s="1705">
        <f t="shared" si="0"/>
        <v>0</v>
      </c>
      <c r="E57" s="1706"/>
      <c r="F57" s="1707"/>
      <c r="G57" s="1708"/>
      <c r="H57" s="1709"/>
      <c r="I57" s="2924"/>
      <c r="J57" s="1766"/>
      <c r="K57" s="1767"/>
      <c r="L57" s="1768"/>
      <c r="M57" s="1769"/>
      <c r="N57" s="3178"/>
      <c r="O57" s="1768"/>
      <c r="P57" s="1770"/>
      <c r="Q57" s="3122"/>
      <c r="R57" s="1771"/>
      <c r="S57" s="1772"/>
      <c r="T57" s="1834"/>
      <c r="U57" s="2819"/>
      <c r="V57" s="3187"/>
      <c r="W57" s="2890"/>
      <c r="X57" s="1835"/>
      <c r="Y57" s="1836"/>
      <c r="Z57" s="3298"/>
      <c r="AA57" s="2728"/>
      <c r="AB57" s="2721"/>
      <c r="AC57" s="1837"/>
      <c r="AD57" s="1838"/>
      <c r="AE57" s="1839"/>
      <c r="AF57" s="1706"/>
      <c r="AG57" s="1707"/>
      <c r="AH57" s="1887"/>
      <c r="AI57" s="1888"/>
      <c r="AJ57" s="2935"/>
      <c r="AK57" s="1889"/>
      <c r="AL57" s="1890"/>
      <c r="AM57" s="1769"/>
      <c r="AN57" s="3167"/>
      <c r="AO57" s="1770"/>
      <c r="AP57" s="3122"/>
      <c r="AQ57" s="1891"/>
      <c r="AR57" s="1892"/>
      <c r="AS57" s="1891"/>
      <c r="AT57" s="1920"/>
      <c r="AU57" s="2866"/>
      <c r="AV57" s="3114"/>
      <c r="AW57" s="3290"/>
      <c r="AX57" s="3195"/>
      <c r="AY57" s="2882"/>
      <c r="AZ57" s="2874"/>
      <c r="BA57" s="2826"/>
      <c r="BB57" s="2728"/>
      <c r="BC57" s="2721"/>
      <c r="BD57" s="1921"/>
      <c r="BE57" s="1922"/>
      <c r="BF57" s="1923"/>
      <c r="BG57" s="1924"/>
      <c r="BH57" s="1947"/>
      <c r="BI57" s="1891"/>
      <c r="BJ57" s="1948"/>
      <c r="BK57" s="1924"/>
      <c r="BL57" s="3634"/>
      <c r="BM57" s="3634"/>
      <c r="BN57" s="1945"/>
      <c r="BO57" s="1952"/>
      <c r="BP57" s="3630"/>
    </row>
    <row r="58" spans="1:68" ht="15.75" thickBot="1">
      <c r="A58" s="3727"/>
      <c r="B58" s="1694" t="s">
        <v>34</v>
      </c>
      <c r="C58" s="3679"/>
      <c r="D58" s="1705">
        <f t="shared" si="0"/>
        <v>0</v>
      </c>
      <c r="E58" s="1706"/>
      <c r="F58" s="1729"/>
      <c r="G58" s="1708"/>
      <c r="H58" s="1712"/>
      <c r="I58" s="2928"/>
      <c r="J58" s="1779"/>
      <c r="K58" s="1767"/>
      <c r="L58" s="1768"/>
      <c r="M58" s="1708"/>
      <c r="N58" s="3178"/>
      <c r="O58" s="1768"/>
      <c r="P58" s="1770"/>
      <c r="Q58" s="3122"/>
      <c r="R58" s="1771"/>
      <c r="S58" s="1772"/>
      <c r="T58" s="1834"/>
      <c r="U58" s="2819"/>
      <c r="V58" s="3187"/>
      <c r="W58" s="2890"/>
      <c r="X58" s="1835"/>
      <c r="Y58" s="1836"/>
      <c r="Z58" s="3298"/>
      <c r="AA58" s="2728"/>
      <c r="AB58" s="2721"/>
      <c r="AC58" s="1837"/>
      <c r="AD58" s="1838"/>
      <c r="AE58" s="1839"/>
      <c r="AF58" s="1706"/>
      <c r="AG58" s="1707"/>
      <c r="AH58" s="1887"/>
      <c r="AI58" s="1888"/>
      <c r="AJ58" s="2935"/>
      <c r="AK58" s="1889"/>
      <c r="AL58" s="1890"/>
      <c r="AM58" s="1769"/>
      <c r="AN58" s="3167"/>
      <c r="AO58" s="1773"/>
      <c r="AP58" s="3125"/>
      <c r="AQ58" s="1891"/>
      <c r="AR58" s="1892"/>
      <c r="AS58" s="1891"/>
      <c r="AT58" s="1920"/>
      <c r="AU58" s="2866"/>
      <c r="AV58" s="3114"/>
      <c r="AW58" s="3290"/>
      <c r="AX58" s="3195"/>
      <c r="AY58" s="2882"/>
      <c r="AZ58" s="2874"/>
      <c r="BA58" s="2826"/>
      <c r="BB58" s="2728"/>
      <c r="BC58" s="2721"/>
      <c r="BD58" s="1921"/>
      <c r="BE58" s="1922"/>
      <c r="BF58" s="1923"/>
      <c r="BG58" s="1924"/>
      <c r="BH58" s="1947"/>
      <c r="BI58" s="1891"/>
      <c r="BJ58" s="1948"/>
      <c r="BK58" s="1924"/>
      <c r="BL58" s="3634"/>
      <c r="BM58" s="3635"/>
      <c r="BN58" s="1945"/>
      <c r="BO58" s="1952"/>
      <c r="BP58" s="3630"/>
    </row>
    <row r="59" spans="1:68" ht="15.75" thickBot="1">
      <c r="A59" s="3723"/>
      <c r="B59" s="1688" t="s">
        <v>32</v>
      </c>
      <c r="C59" s="3678">
        <f>SUM(D59:D62)</f>
        <v>0</v>
      </c>
      <c r="D59" s="1689">
        <f t="shared" si="0"/>
        <v>0</v>
      </c>
      <c r="E59" s="1690"/>
      <c r="F59" s="1727"/>
      <c r="G59" s="1692"/>
      <c r="H59" s="1693"/>
      <c r="I59" s="2923"/>
      <c r="J59" s="1745"/>
      <c r="K59" s="1746"/>
      <c r="L59" s="1747"/>
      <c r="M59" s="1692"/>
      <c r="N59" s="3177"/>
      <c r="O59" s="1747"/>
      <c r="P59" s="1749"/>
      <c r="Q59" s="3121"/>
      <c r="R59" s="1750"/>
      <c r="S59" s="1751"/>
      <c r="T59" s="1815"/>
      <c r="U59" s="2818"/>
      <c r="V59" s="3186"/>
      <c r="W59" s="2889"/>
      <c r="X59" s="1816"/>
      <c r="Y59" s="1817"/>
      <c r="Z59" s="3297"/>
      <c r="AA59" s="2727"/>
      <c r="AB59" s="2720"/>
      <c r="AC59" s="1818"/>
      <c r="AD59" s="1819"/>
      <c r="AE59" s="1820"/>
      <c r="AF59" s="1726"/>
      <c r="AG59" s="1691"/>
      <c r="AH59" s="1869"/>
      <c r="AI59" s="1893"/>
      <c r="AJ59" s="2938"/>
      <c r="AK59" s="1854"/>
      <c r="AL59" s="1894"/>
      <c r="AM59" s="1692"/>
      <c r="AN59" s="3172"/>
      <c r="AO59" s="1774"/>
      <c r="AP59" s="3126"/>
      <c r="AQ59" s="1873"/>
      <c r="AR59" s="1874"/>
      <c r="AS59" s="1873"/>
      <c r="AT59" s="1909"/>
      <c r="AU59" s="2865"/>
      <c r="AV59" s="3113"/>
      <c r="AW59" s="3289"/>
      <c r="AX59" s="3194"/>
      <c r="AY59" s="2881"/>
      <c r="AZ59" s="2873"/>
      <c r="BA59" s="2825"/>
      <c r="BB59" s="2727"/>
      <c r="BC59" s="2720"/>
      <c r="BD59" s="1910"/>
      <c r="BE59" s="1911"/>
      <c r="BF59" s="1864"/>
      <c r="BG59" s="1865"/>
      <c r="BH59" s="1726"/>
      <c r="BI59" s="1873"/>
      <c r="BJ59" s="1940"/>
      <c r="BK59" s="1865"/>
      <c r="BL59" s="3633">
        <f>SUM(E59:AE62)</f>
        <v>0</v>
      </c>
      <c r="BM59" s="3633">
        <f>SUM(E59:BG62)</f>
        <v>0</v>
      </c>
      <c r="BN59" s="1945"/>
      <c r="BO59" s="1952"/>
      <c r="BP59" s="3629" t="s">
        <v>33</v>
      </c>
    </row>
    <row r="60" spans="1:68" ht="15.75" thickBot="1">
      <c r="A60" s="3724"/>
      <c r="B60" s="1694" t="s">
        <v>34</v>
      </c>
      <c r="C60" s="3679"/>
      <c r="D60" s="1705">
        <f t="shared" si="0"/>
        <v>0</v>
      </c>
      <c r="E60" s="1706"/>
      <c r="F60" s="1707"/>
      <c r="G60" s="1708"/>
      <c r="H60" s="1709"/>
      <c r="I60" s="2924"/>
      <c r="J60" s="1766"/>
      <c r="K60" s="1767"/>
      <c r="L60" s="1768"/>
      <c r="M60" s="1769"/>
      <c r="N60" s="3178"/>
      <c r="O60" s="1768"/>
      <c r="P60" s="1770"/>
      <c r="Q60" s="3122"/>
      <c r="R60" s="1771"/>
      <c r="S60" s="1772"/>
      <c r="T60" s="1834"/>
      <c r="U60" s="2819"/>
      <c r="V60" s="3187"/>
      <c r="W60" s="2890"/>
      <c r="X60" s="1835"/>
      <c r="Y60" s="1836"/>
      <c r="Z60" s="3298"/>
      <c r="AA60" s="2728"/>
      <c r="AB60" s="2721"/>
      <c r="AC60" s="1837"/>
      <c r="AD60" s="1838"/>
      <c r="AE60" s="1839"/>
      <c r="AF60" s="1706"/>
      <c r="AG60" s="1707"/>
      <c r="AH60" s="1887"/>
      <c r="AI60" s="1888"/>
      <c r="AJ60" s="2935"/>
      <c r="AK60" s="1889"/>
      <c r="AL60" s="1890"/>
      <c r="AM60" s="1769"/>
      <c r="AN60" s="3167"/>
      <c r="AO60" s="1770"/>
      <c r="AP60" s="3122"/>
      <c r="AQ60" s="1891"/>
      <c r="AR60" s="1892"/>
      <c r="AS60" s="1891"/>
      <c r="AT60" s="1920"/>
      <c r="AU60" s="2866"/>
      <c r="AV60" s="3114"/>
      <c r="AW60" s="3290"/>
      <c r="AX60" s="3195"/>
      <c r="AY60" s="2882"/>
      <c r="AZ60" s="2874"/>
      <c r="BA60" s="2826"/>
      <c r="BB60" s="2728"/>
      <c r="BC60" s="2721"/>
      <c r="BD60" s="1921"/>
      <c r="BE60" s="1922"/>
      <c r="BF60" s="1923"/>
      <c r="BG60" s="1924"/>
      <c r="BH60" s="1947"/>
      <c r="BI60" s="1891"/>
      <c r="BJ60" s="1948"/>
      <c r="BK60" s="1924"/>
      <c r="BL60" s="3634"/>
      <c r="BM60" s="3634"/>
      <c r="BN60" s="1945"/>
      <c r="BO60" s="1952"/>
      <c r="BP60" s="3630"/>
    </row>
    <row r="61" spans="1:68" ht="15.75" thickBot="1">
      <c r="A61" s="3724"/>
      <c r="B61" s="1694" t="s">
        <v>34</v>
      </c>
      <c r="C61" s="3679"/>
      <c r="D61" s="1705">
        <f t="shared" si="0"/>
        <v>0</v>
      </c>
      <c r="E61" s="1706"/>
      <c r="F61" s="1707"/>
      <c r="G61" s="1708"/>
      <c r="H61" s="1709"/>
      <c r="I61" s="2924"/>
      <c r="J61" s="1766"/>
      <c r="K61" s="1767"/>
      <c r="L61" s="1768"/>
      <c r="M61" s="1769"/>
      <c r="N61" s="3178"/>
      <c r="O61" s="1768"/>
      <c r="P61" s="1770"/>
      <c r="Q61" s="3122"/>
      <c r="R61" s="1771"/>
      <c r="S61" s="1772"/>
      <c r="T61" s="1834"/>
      <c r="U61" s="2819"/>
      <c r="V61" s="3187"/>
      <c r="W61" s="2890"/>
      <c r="X61" s="1835"/>
      <c r="Y61" s="1836"/>
      <c r="Z61" s="3298"/>
      <c r="AA61" s="2728"/>
      <c r="AB61" s="2721"/>
      <c r="AC61" s="1837"/>
      <c r="AD61" s="1838"/>
      <c r="AE61" s="1839"/>
      <c r="AF61" s="1706"/>
      <c r="AG61" s="1707"/>
      <c r="AH61" s="1887"/>
      <c r="AI61" s="1888"/>
      <c r="AJ61" s="2935"/>
      <c r="AK61" s="1889"/>
      <c r="AL61" s="1890"/>
      <c r="AM61" s="1769"/>
      <c r="AN61" s="3167"/>
      <c r="AO61" s="1770"/>
      <c r="AP61" s="3122"/>
      <c r="AQ61" s="1891"/>
      <c r="AR61" s="1892"/>
      <c r="AS61" s="1891"/>
      <c r="AT61" s="1920"/>
      <c r="AU61" s="2866"/>
      <c r="AV61" s="3114"/>
      <c r="AW61" s="3290"/>
      <c r="AX61" s="3195"/>
      <c r="AY61" s="2882"/>
      <c r="AZ61" s="2874"/>
      <c r="BA61" s="2826"/>
      <c r="BB61" s="2728"/>
      <c r="BC61" s="2721"/>
      <c r="BD61" s="1921"/>
      <c r="BE61" s="1922"/>
      <c r="BF61" s="1923"/>
      <c r="BG61" s="1924"/>
      <c r="BH61" s="1947"/>
      <c r="BI61" s="1891"/>
      <c r="BJ61" s="1948"/>
      <c r="BK61" s="1924"/>
      <c r="BL61" s="3634"/>
      <c r="BM61" s="3634"/>
      <c r="BN61" s="1945"/>
      <c r="BO61" s="1952"/>
      <c r="BP61" s="3630"/>
    </row>
    <row r="62" spans="1:68" ht="15.75" thickBot="1">
      <c r="A62" s="3724"/>
      <c r="B62" s="1724" t="s">
        <v>34</v>
      </c>
      <c r="C62" s="3679"/>
      <c r="D62" s="1705">
        <f t="shared" si="0"/>
        <v>0</v>
      </c>
      <c r="E62" s="1706"/>
      <c r="F62" s="1729"/>
      <c r="G62" s="1708"/>
      <c r="H62" s="1709"/>
      <c r="I62" s="2924"/>
      <c r="J62" s="1766"/>
      <c r="K62" s="1767"/>
      <c r="L62" s="1768"/>
      <c r="M62" s="1708"/>
      <c r="N62" s="3178"/>
      <c r="O62" s="1768"/>
      <c r="P62" s="1770"/>
      <c r="Q62" s="3122"/>
      <c r="R62" s="1771"/>
      <c r="S62" s="1772"/>
      <c r="T62" s="1834"/>
      <c r="U62" s="2819"/>
      <c r="V62" s="3187"/>
      <c r="W62" s="2890"/>
      <c r="X62" s="1835"/>
      <c r="Y62" s="1836"/>
      <c r="Z62" s="3298"/>
      <c r="AA62" s="2728"/>
      <c r="AB62" s="2721"/>
      <c r="AC62" s="1837"/>
      <c r="AD62" s="1838"/>
      <c r="AE62" s="1839"/>
      <c r="AF62" s="1706"/>
      <c r="AG62" s="1707"/>
      <c r="AH62" s="1887"/>
      <c r="AI62" s="1888"/>
      <c r="AJ62" s="2935"/>
      <c r="AK62" s="1889"/>
      <c r="AL62" s="1890"/>
      <c r="AM62" s="1708"/>
      <c r="AN62" s="3171"/>
      <c r="AO62" s="1773"/>
      <c r="AP62" s="3125"/>
      <c r="AQ62" s="1891"/>
      <c r="AR62" s="1892"/>
      <c r="AS62" s="1891"/>
      <c r="AT62" s="1920"/>
      <c r="AU62" s="2866"/>
      <c r="AV62" s="3114"/>
      <c r="AW62" s="3290"/>
      <c r="AX62" s="3195"/>
      <c r="AY62" s="2882"/>
      <c r="AZ62" s="2874"/>
      <c r="BA62" s="2826"/>
      <c r="BB62" s="2728"/>
      <c r="BC62" s="2721"/>
      <c r="BD62" s="1921"/>
      <c r="BE62" s="1922"/>
      <c r="BF62" s="1923"/>
      <c r="BG62" s="1924"/>
      <c r="BH62" s="1947"/>
      <c r="BI62" s="1891"/>
      <c r="BJ62" s="1948"/>
      <c r="BK62" s="1924"/>
      <c r="BL62" s="3634"/>
      <c r="BM62" s="3635"/>
      <c r="BN62" s="1945"/>
      <c r="BO62" s="1952"/>
      <c r="BP62" s="3630"/>
    </row>
    <row r="63" spans="1:68" ht="15.75" thickBot="1">
      <c r="A63" s="3723"/>
      <c r="B63" s="1688" t="s">
        <v>32</v>
      </c>
      <c r="C63" s="3678">
        <f>SUM(D63:D66)</f>
        <v>0</v>
      </c>
      <c r="D63" s="1689">
        <f t="shared" si="0"/>
        <v>0</v>
      </c>
      <c r="E63" s="1690"/>
      <c r="F63" s="1727"/>
      <c r="G63" s="1692"/>
      <c r="H63" s="1693"/>
      <c r="I63" s="2923"/>
      <c r="J63" s="1745"/>
      <c r="K63" s="1746"/>
      <c r="L63" s="1747"/>
      <c r="M63" s="1692"/>
      <c r="N63" s="3177"/>
      <c r="O63" s="1747"/>
      <c r="P63" s="1749"/>
      <c r="Q63" s="3121"/>
      <c r="R63" s="1750"/>
      <c r="S63" s="1751"/>
      <c r="T63" s="1815"/>
      <c r="U63" s="2818"/>
      <c r="V63" s="3186"/>
      <c r="W63" s="2889"/>
      <c r="X63" s="1816"/>
      <c r="Y63" s="1817"/>
      <c r="Z63" s="3297"/>
      <c r="AA63" s="2727"/>
      <c r="AB63" s="2720"/>
      <c r="AC63" s="1818"/>
      <c r="AD63" s="1819"/>
      <c r="AE63" s="1820"/>
      <c r="AF63" s="1726"/>
      <c r="AG63" s="1691"/>
      <c r="AH63" s="1869"/>
      <c r="AI63" s="1893"/>
      <c r="AJ63" s="2938"/>
      <c r="AK63" s="1854"/>
      <c r="AL63" s="1894"/>
      <c r="AM63" s="1692"/>
      <c r="AN63" s="3172"/>
      <c r="AO63" s="1774"/>
      <c r="AP63" s="3126"/>
      <c r="AQ63" s="1873"/>
      <c r="AR63" s="1874"/>
      <c r="AS63" s="1873"/>
      <c r="AT63" s="1909"/>
      <c r="AU63" s="2865"/>
      <c r="AV63" s="3113"/>
      <c r="AW63" s="3289"/>
      <c r="AX63" s="3194"/>
      <c r="AY63" s="2881"/>
      <c r="AZ63" s="2873"/>
      <c r="BA63" s="2825"/>
      <c r="BB63" s="2727"/>
      <c r="BC63" s="2720"/>
      <c r="BD63" s="1910"/>
      <c r="BE63" s="1911"/>
      <c r="BF63" s="1864"/>
      <c r="BG63" s="1865"/>
      <c r="BH63" s="1726"/>
      <c r="BI63" s="1873"/>
      <c r="BJ63" s="1940"/>
      <c r="BK63" s="1865"/>
      <c r="BL63" s="3633">
        <f>SUM(E63:AE66)</f>
        <v>0</v>
      </c>
      <c r="BM63" s="3634">
        <f>SUM(E63:BG66)</f>
        <v>0</v>
      </c>
      <c r="BN63" s="1945"/>
      <c r="BO63" s="1952"/>
      <c r="BP63" s="3629" t="s">
        <v>33</v>
      </c>
    </row>
    <row r="64" spans="1:68" ht="15.75" thickBot="1">
      <c r="A64" s="3724"/>
      <c r="B64" s="1694" t="s">
        <v>34</v>
      </c>
      <c r="C64" s="3679"/>
      <c r="D64" s="1705">
        <f t="shared" si="0"/>
        <v>0</v>
      </c>
      <c r="E64" s="1706"/>
      <c r="F64" s="1707"/>
      <c r="G64" s="1708"/>
      <c r="H64" s="1709"/>
      <c r="I64" s="2924"/>
      <c r="J64" s="1766"/>
      <c r="K64" s="1767"/>
      <c r="L64" s="1768"/>
      <c r="M64" s="1769"/>
      <c r="N64" s="3178"/>
      <c r="O64" s="1768"/>
      <c r="P64" s="1770"/>
      <c r="Q64" s="3122"/>
      <c r="R64" s="1771"/>
      <c r="S64" s="1772"/>
      <c r="T64" s="1834"/>
      <c r="U64" s="2819"/>
      <c r="V64" s="3187"/>
      <c r="W64" s="2890"/>
      <c r="X64" s="1835"/>
      <c r="Y64" s="1836"/>
      <c r="Z64" s="3298"/>
      <c r="AA64" s="2728"/>
      <c r="AB64" s="2721"/>
      <c r="AC64" s="1837"/>
      <c r="AD64" s="1838"/>
      <c r="AE64" s="1839"/>
      <c r="AF64" s="1706"/>
      <c r="AG64" s="1707"/>
      <c r="AH64" s="1887"/>
      <c r="AI64" s="1888"/>
      <c r="AJ64" s="2935"/>
      <c r="AK64" s="1889"/>
      <c r="AL64" s="1890"/>
      <c r="AM64" s="1769"/>
      <c r="AN64" s="3167"/>
      <c r="AO64" s="1770"/>
      <c r="AP64" s="3122"/>
      <c r="AQ64" s="1891"/>
      <c r="AR64" s="1892"/>
      <c r="AS64" s="1891"/>
      <c r="AT64" s="1920"/>
      <c r="AU64" s="2866"/>
      <c r="AV64" s="3114"/>
      <c r="AW64" s="3290"/>
      <c r="AX64" s="3195"/>
      <c r="AY64" s="2882"/>
      <c r="AZ64" s="2874"/>
      <c r="BA64" s="2826"/>
      <c r="BB64" s="2728"/>
      <c r="BC64" s="2721"/>
      <c r="BD64" s="1921"/>
      <c r="BE64" s="1922"/>
      <c r="BF64" s="1923"/>
      <c r="BG64" s="1924"/>
      <c r="BH64" s="1947"/>
      <c r="BI64" s="1891"/>
      <c r="BJ64" s="1948"/>
      <c r="BK64" s="1924"/>
      <c r="BL64" s="3634"/>
      <c r="BM64" s="3634"/>
      <c r="BN64" s="1945"/>
      <c r="BO64" s="1952"/>
      <c r="BP64" s="3630"/>
    </row>
    <row r="65" spans="1:68" ht="15.75" thickBot="1">
      <c r="A65" s="3724"/>
      <c r="B65" s="1694" t="s">
        <v>34</v>
      </c>
      <c r="C65" s="3679"/>
      <c r="D65" s="1705">
        <f t="shared" si="0"/>
        <v>0</v>
      </c>
      <c r="E65" s="1706"/>
      <c r="F65" s="1707"/>
      <c r="G65" s="1708"/>
      <c r="H65" s="1709"/>
      <c r="I65" s="2924"/>
      <c r="J65" s="1766"/>
      <c r="K65" s="1767"/>
      <c r="L65" s="1768"/>
      <c r="M65" s="1769"/>
      <c r="N65" s="3178"/>
      <c r="O65" s="1768"/>
      <c r="P65" s="1770"/>
      <c r="Q65" s="3122"/>
      <c r="R65" s="1771"/>
      <c r="S65" s="1772"/>
      <c r="T65" s="1834"/>
      <c r="U65" s="2819"/>
      <c r="V65" s="3187"/>
      <c r="W65" s="2890"/>
      <c r="X65" s="1835"/>
      <c r="Y65" s="1836"/>
      <c r="Z65" s="3298"/>
      <c r="AA65" s="2728"/>
      <c r="AB65" s="2721"/>
      <c r="AC65" s="1837"/>
      <c r="AD65" s="1838"/>
      <c r="AE65" s="1839"/>
      <c r="AF65" s="1706"/>
      <c r="AG65" s="1707"/>
      <c r="AH65" s="1887"/>
      <c r="AI65" s="1888"/>
      <c r="AJ65" s="2935"/>
      <c r="AK65" s="1889"/>
      <c r="AL65" s="1890"/>
      <c r="AM65" s="1769"/>
      <c r="AN65" s="3167"/>
      <c r="AO65" s="1770"/>
      <c r="AP65" s="3122"/>
      <c r="AQ65" s="1891"/>
      <c r="AR65" s="1892"/>
      <c r="AS65" s="1891"/>
      <c r="AT65" s="1920"/>
      <c r="AU65" s="2866"/>
      <c r="AV65" s="3114"/>
      <c r="AW65" s="3290"/>
      <c r="AX65" s="3195"/>
      <c r="AY65" s="2882"/>
      <c r="AZ65" s="2874"/>
      <c r="BA65" s="2826"/>
      <c r="BB65" s="2728"/>
      <c r="BC65" s="2721"/>
      <c r="BD65" s="1921"/>
      <c r="BE65" s="1922"/>
      <c r="BF65" s="1923"/>
      <c r="BG65" s="1924"/>
      <c r="BH65" s="1947"/>
      <c r="BI65" s="1891"/>
      <c r="BJ65" s="1948"/>
      <c r="BK65" s="1924"/>
      <c r="BL65" s="3634"/>
      <c r="BM65" s="3634"/>
      <c r="BN65" s="1945"/>
      <c r="BO65" s="1952"/>
      <c r="BP65" s="3630"/>
    </row>
    <row r="66" spans="1:68" ht="15.75" thickBot="1">
      <c r="A66" s="3724"/>
      <c r="B66" s="1724" t="s">
        <v>34</v>
      </c>
      <c r="C66" s="3679"/>
      <c r="D66" s="1705">
        <f t="shared" si="0"/>
        <v>0</v>
      </c>
      <c r="E66" s="1706"/>
      <c r="F66" s="1729"/>
      <c r="G66" s="1708"/>
      <c r="H66" s="1709"/>
      <c r="I66" s="2924"/>
      <c r="J66" s="1766"/>
      <c r="K66" s="1767"/>
      <c r="L66" s="1768"/>
      <c r="M66" s="1708"/>
      <c r="N66" s="3178"/>
      <c r="O66" s="1768"/>
      <c r="P66" s="1770"/>
      <c r="Q66" s="3122"/>
      <c r="R66" s="1771"/>
      <c r="S66" s="1772"/>
      <c r="T66" s="1834"/>
      <c r="U66" s="2819"/>
      <c r="V66" s="3187"/>
      <c r="W66" s="2890"/>
      <c r="X66" s="1835"/>
      <c r="Y66" s="1836"/>
      <c r="Z66" s="3298"/>
      <c r="AA66" s="2728"/>
      <c r="AB66" s="2721"/>
      <c r="AC66" s="1837"/>
      <c r="AD66" s="1838"/>
      <c r="AE66" s="1839"/>
      <c r="AF66" s="1706"/>
      <c r="AG66" s="1707"/>
      <c r="AH66" s="1887"/>
      <c r="AI66" s="1888"/>
      <c r="AJ66" s="2935"/>
      <c r="AK66" s="1889"/>
      <c r="AL66" s="1890"/>
      <c r="AM66" s="1708"/>
      <c r="AN66" s="3171"/>
      <c r="AO66" s="1773"/>
      <c r="AP66" s="3125"/>
      <c r="AQ66" s="1891"/>
      <c r="AR66" s="1892"/>
      <c r="AS66" s="1891"/>
      <c r="AT66" s="1920"/>
      <c r="AU66" s="2866"/>
      <c r="AV66" s="3114"/>
      <c r="AW66" s="3290"/>
      <c r="AX66" s="3195"/>
      <c r="AY66" s="2882"/>
      <c r="AZ66" s="2874"/>
      <c r="BA66" s="2826"/>
      <c r="BB66" s="2728"/>
      <c r="BC66" s="2721"/>
      <c r="BD66" s="1921"/>
      <c r="BE66" s="1922"/>
      <c r="BF66" s="1923"/>
      <c r="BG66" s="1924"/>
      <c r="BH66" s="1947"/>
      <c r="BI66" s="1891"/>
      <c r="BJ66" s="1948"/>
      <c r="BK66" s="1924"/>
      <c r="BL66" s="3634"/>
      <c r="BM66" s="3634"/>
      <c r="BN66" s="1945"/>
      <c r="BO66" s="1952"/>
      <c r="BP66" s="3630"/>
    </row>
    <row r="67" spans="1:68" ht="15.75" thickBot="1">
      <c r="A67" s="3723"/>
      <c r="B67" s="1688" t="s">
        <v>32</v>
      </c>
      <c r="C67" s="3678">
        <f>SUM(D67:D70)</f>
        <v>0</v>
      </c>
      <c r="D67" s="1689">
        <f t="shared" si="0"/>
        <v>0</v>
      </c>
      <c r="E67" s="1690"/>
      <c r="F67" s="1691"/>
      <c r="G67" s="1692"/>
      <c r="H67" s="1693"/>
      <c r="I67" s="2923"/>
      <c r="J67" s="1745"/>
      <c r="K67" s="1746"/>
      <c r="L67" s="1747"/>
      <c r="M67" s="1748"/>
      <c r="N67" s="3177"/>
      <c r="O67" s="1747"/>
      <c r="P67" s="1749"/>
      <c r="Q67" s="3121"/>
      <c r="R67" s="1750"/>
      <c r="S67" s="1751"/>
      <c r="T67" s="1815"/>
      <c r="U67" s="2818"/>
      <c r="V67" s="3186"/>
      <c r="W67" s="2889"/>
      <c r="X67" s="1816"/>
      <c r="Y67" s="1817"/>
      <c r="Z67" s="3297"/>
      <c r="AA67" s="2727"/>
      <c r="AB67" s="2720"/>
      <c r="AC67" s="1818"/>
      <c r="AD67" s="1819"/>
      <c r="AE67" s="1820"/>
      <c r="AF67" s="1726"/>
      <c r="AG67" s="1691"/>
      <c r="AH67" s="1869"/>
      <c r="AI67" s="1893"/>
      <c r="AJ67" s="2938"/>
      <c r="AK67" s="1854"/>
      <c r="AL67" s="1894"/>
      <c r="AM67" s="1748"/>
      <c r="AN67" s="3166"/>
      <c r="AO67" s="1774"/>
      <c r="AP67" s="3126"/>
      <c r="AQ67" s="1873"/>
      <c r="AR67" s="1874"/>
      <c r="AS67" s="1873"/>
      <c r="AT67" s="1909"/>
      <c r="AU67" s="2865"/>
      <c r="AV67" s="3113"/>
      <c r="AW67" s="3289"/>
      <c r="AX67" s="3194"/>
      <c r="AY67" s="2881"/>
      <c r="AZ67" s="2873"/>
      <c r="BA67" s="2825"/>
      <c r="BB67" s="2727"/>
      <c r="BC67" s="2720"/>
      <c r="BD67" s="1910"/>
      <c r="BE67" s="1911"/>
      <c r="BF67" s="1864"/>
      <c r="BG67" s="1865"/>
      <c r="BH67" s="1726"/>
      <c r="BI67" s="1873"/>
      <c r="BJ67" s="1940"/>
      <c r="BK67" s="1865"/>
      <c r="BL67" s="3633">
        <f>SUM(E67:AE70)</f>
        <v>0</v>
      </c>
      <c r="BM67" s="3633">
        <f>SUM(E67:BG70)</f>
        <v>0</v>
      </c>
      <c r="BN67" s="1945"/>
      <c r="BO67" s="1952"/>
      <c r="BP67" s="3629" t="s">
        <v>33</v>
      </c>
    </row>
    <row r="68" spans="1:68" ht="15.75" thickBot="1">
      <c r="A68" s="3724"/>
      <c r="B68" s="1694" t="s">
        <v>34</v>
      </c>
      <c r="C68" s="3679"/>
      <c r="D68" s="1705">
        <f t="shared" si="0"/>
        <v>0</v>
      </c>
      <c r="E68" s="1706"/>
      <c r="F68" s="1707"/>
      <c r="G68" s="1708"/>
      <c r="H68" s="1709"/>
      <c r="I68" s="2924"/>
      <c r="J68" s="1766"/>
      <c r="K68" s="1767"/>
      <c r="L68" s="1768"/>
      <c r="M68" s="1769"/>
      <c r="N68" s="3178"/>
      <c r="O68" s="1768"/>
      <c r="P68" s="1770"/>
      <c r="Q68" s="3122"/>
      <c r="R68" s="1771"/>
      <c r="S68" s="1772"/>
      <c r="T68" s="1834"/>
      <c r="U68" s="2819"/>
      <c r="V68" s="3187"/>
      <c r="W68" s="2890"/>
      <c r="X68" s="1835"/>
      <c r="Y68" s="1836"/>
      <c r="Z68" s="3298"/>
      <c r="AA68" s="2728"/>
      <c r="AB68" s="2721"/>
      <c r="AC68" s="1837"/>
      <c r="AD68" s="1838"/>
      <c r="AE68" s="1839"/>
      <c r="AF68" s="1706"/>
      <c r="AG68" s="1707"/>
      <c r="AH68" s="1887"/>
      <c r="AI68" s="1888"/>
      <c r="AJ68" s="2935"/>
      <c r="AK68" s="1889"/>
      <c r="AL68" s="1890"/>
      <c r="AM68" s="1769"/>
      <c r="AN68" s="3167"/>
      <c r="AO68" s="1770"/>
      <c r="AP68" s="3122"/>
      <c r="AQ68" s="1891"/>
      <c r="AR68" s="1892"/>
      <c r="AS68" s="1891"/>
      <c r="AT68" s="1920"/>
      <c r="AU68" s="2866"/>
      <c r="AV68" s="3114"/>
      <c r="AW68" s="3290"/>
      <c r="AX68" s="3195"/>
      <c r="AY68" s="2882"/>
      <c r="AZ68" s="2874"/>
      <c r="BA68" s="2826"/>
      <c r="BB68" s="2728"/>
      <c r="BC68" s="2721"/>
      <c r="BD68" s="1921"/>
      <c r="BE68" s="1922"/>
      <c r="BF68" s="1923"/>
      <c r="BG68" s="1924"/>
      <c r="BH68" s="1947"/>
      <c r="BI68" s="1891"/>
      <c r="BJ68" s="1948"/>
      <c r="BK68" s="1924"/>
      <c r="BL68" s="3634"/>
      <c r="BM68" s="3634"/>
      <c r="BN68" s="1945"/>
      <c r="BO68" s="1952"/>
      <c r="BP68" s="3630"/>
    </row>
    <row r="69" spans="1:68" ht="15.75" thickBot="1">
      <c r="A69" s="3724"/>
      <c r="B69" s="1694" t="s">
        <v>34</v>
      </c>
      <c r="C69" s="3679"/>
      <c r="D69" s="1705">
        <f t="shared" si="0"/>
        <v>0</v>
      </c>
      <c r="E69" s="1706"/>
      <c r="F69" s="1707"/>
      <c r="G69" s="1708"/>
      <c r="H69" s="1709"/>
      <c r="I69" s="2924"/>
      <c r="J69" s="1766"/>
      <c r="K69" s="1767"/>
      <c r="L69" s="1768"/>
      <c r="M69" s="1769"/>
      <c r="N69" s="3178"/>
      <c r="O69" s="1768"/>
      <c r="P69" s="1770"/>
      <c r="Q69" s="3122"/>
      <c r="R69" s="1771"/>
      <c r="S69" s="1772"/>
      <c r="T69" s="1834"/>
      <c r="U69" s="2819"/>
      <c r="V69" s="3187"/>
      <c r="W69" s="2890"/>
      <c r="X69" s="1835"/>
      <c r="Y69" s="1836"/>
      <c r="Z69" s="3298"/>
      <c r="AA69" s="2728"/>
      <c r="AB69" s="2721"/>
      <c r="AC69" s="1837"/>
      <c r="AD69" s="1838"/>
      <c r="AE69" s="1839"/>
      <c r="AF69" s="1706"/>
      <c r="AG69" s="1707"/>
      <c r="AH69" s="1887"/>
      <c r="AI69" s="1888"/>
      <c r="AJ69" s="2935"/>
      <c r="AK69" s="1889"/>
      <c r="AL69" s="1890"/>
      <c r="AM69" s="1769"/>
      <c r="AN69" s="3167"/>
      <c r="AO69" s="1770"/>
      <c r="AP69" s="3122"/>
      <c r="AQ69" s="1891"/>
      <c r="AR69" s="1892"/>
      <c r="AS69" s="1891"/>
      <c r="AT69" s="1920"/>
      <c r="AU69" s="2866"/>
      <c r="AV69" s="3114"/>
      <c r="AW69" s="3290"/>
      <c r="AX69" s="3195"/>
      <c r="AY69" s="2882"/>
      <c r="AZ69" s="2874"/>
      <c r="BA69" s="2826"/>
      <c r="BB69" s="2728"/>
      <c r="BC69" s="2721"/>
      <c r="BD69" s="1921"/>
      <c r="BE69" s="1922"/>
      <c r="BF69" s="1923"/>
      <c r="BG69" s="1924"/>
      <c r="BH69" s="1947"/>
      <c r="BI69" s="1891"/>
      <c r="BJ69" s="1948"/>
      <c r="BK69" s="1924"/>
      <c r="BL69" s="3634"/>
      <c r="BM69" s="3634"/>
      <c r="BN69" s="1945"/>
      <c r="BO69" s="1945"/>
      <c r="BP69" s="3630"/>
    </row>
    <row r="70" spans="1:68" ht="15.75" thickBot="1">
      <c r="A70" s="3724"/>
      <c r="B70" s="1724" t="s">
        <v>34</v>
      </c>
      <c r="C70" s="3679"/>
      <c r="D70" s="1705">
        <f t="shared" si="0"/>
        <v>0</v>
      </c>
      <c r="E70" s="1706"/>
      <c r="F70" s="1707"/>
      <c r="G70" s="1708"/>
      <c r="H70" s="1709"/>
      <c r="I70" s="2924"/>
      <c r="J70" s="1766"/>
      <c r="K70" s="1767"/>
      <c r="L70" s="1768"/>
      <c r="M70" s="1769"/>
      <c r="N70" s="3178"/>
      <c r="O70" s="1768"/>
      <c r="P70" s="1770"/>
      <c r="Q70" s="3122"/>
      <c r="R70" s="1771"/>
      <c r="S70" s="1772"/>
      <c r="T70" s="1834"/>
      <c r="U70" s="2819"/>
      <c r="V70" s="3187"/>
      <c r="W70" s="2890"/>
      <c r="X70" s="1835"/>
      <c r="Y70" s="1836"/>
      <c r="Z70" s="3298"/>
      <c r="AA70" s="2728"/>
      <c r="AB70" s="2721"/>
      <c r="AC70" s="1837"/>
      <c r="AD70" s="1838"/>
      <c r="AE70" s="1839"/>
      <c r="AF70" s="1706"/>
      <c r="AG70" s="1707"/>
      <c r="AH70" s="1887"/>
      <c r="AI70" s="1888"/>
      <c r="AJ70" s="2935"/>
      <c r="AK70" s="1889"/>
      <c r="AL70" s="1890"/>
      <c r="AM70" s="1769"/>
      <c r="AN70" s="3167"/>
      <c r="AO70" s="1773"/>
      <c r="AP70" s="3125"/>
      <c r="AQ70" s="1891"/>
      <c r="AR70" s="1892"/>
      <c r="AS70" s="1891"/>
      <c r="AT70" s="1920"/>
      <c r="AU70" s="2866"/>
      <c r="AV70" s="3114"/>
      <c r="AW70" s="3290"/>
      <c r="AX70" s="3195"/>
      <c r="AY70" s="2882"/>
      <c r="AZ70" s="2874"/>
      <c r="BA70" s="2826"/>
      <c r="BB70" s="2728"/>
      <c r="BC70" s="2721"/>
      <c r="BD70" s="1921"/>
      <c r="BE70" s="1922"/>
      <c r="BF70" s="1923"/>
      <c r="BG70" s="1924"/>
      <c r="BH70" s="1947"/>
      <c r="BI70" s="1891"/>
      <c r="BJ70" s="1948"/>
      <c r="BK70" s="1924"/>
      <c r="BL70" s="3634"/>
      <c r="BM70" s="3634"/>
      <c r="BN70" s="1945"/>
      <c r="BO70" s="1945"/>
      <c r="BP70" s="3630"/>
    </row>
    <row r="71" spans="1:68" ht="15.75" thickBot="1">
      <c r="A71" s="3723"/>
      <c r="B71" s="1738" t="s">
        <v>32</v>
      </c>
      <c r="C71" s="3678">
        <f>SUM(D71:D74)</f>
        <v>0</v>
      </c>
      <c r="D71" s="1689">
        <f t="shared" si="0"/>
        <v>0</v>
      </c>
      <c r="E71" s="1690"/>
      <c r="F71" s="1691"/>
      <c r="G71" s="1692"/>
      <c r="H71" s="1693"/>
      <c r="I71" s="2923"/>
      <c r="J71" s="1745"/>
      <c r="K71" s="1746"/>
      <c r="L71" s="1747"/>
      <c r="M71" s="1748"/>
      <c r="N71" s="3177"/>
      <c r="O71" s="1747"/>
      <c r="P71" s="1749"/>
      <c r="Q71" s="3121"/>
      <c r="R71" s="1771"/>
      <c r="S71" s="1751"/>
      <c r="T71" s="1815"/>
      <c r="U71" s="2818"/>
      <c r="V71" s="3186"/>
      <c r="W71" s="2889"/>
      <c r="X71" s="1816"/>
      <c r="Y71" s="1817"/>
      <c r="Z71" s="3297"/>
      <c r="AA71" s="2727"/>
      <c r="AB71" s="2720"/>
      <c r="AC71" s="1818"/>
      <c r="AD71" s="1819"/>
      <c r="AE71" s="1820"/>
      <c r="AF71" s="1726"/>
      <c r="AG71" s="1691"/>
      <c r="AH71" s="1869"/>
      <c r="AI71" s="1893"/>
      <c r="AJ71" s="2938"/>
      <c r="AK71" s="1854"/>
      <c r="AL71" s="1894"/>
      <c r="AM71" s="1748"/>
      <c r="AN71" s="3166"/>
      <c r="AO71" s="1749"/>
      <c r="AP71" s="3121"/>
      <c r="AQ71" s="1873"/>
      <c r="AR71" s="1874"/>
      <c r="AS71" s="1873"/>
      <c r="AT71" s="1909"/>
      <c r="AU71" s="2865"/>
      <c r="AV71" s="3113"/>
      <c r="AW71" s="3289"/>
      <c r="AX71" s="3194"/>
      <c r="AY71" s="2881"/>
      <c r="AZ71" s="2873"/>
      <c r="BA71" s="2825"/>
      <c r="BB71" s="2727"/>
      <c r="BC71" s="2720"/>
      <c r="BD71" s="1910"/>
      <c r="BE71" s="1911"/>
      <c r="BF71" s="1864"/>
      <c r="BG71" s="1865"/>
      <c r="BH71" s="1726"/>
      <c r="BI71" s="1873"/>
      <c r="BJ71" s="1940"/>
      <c r="BK71" s="1865"/>
      <c r="BL71" s="3633">
        <f>SUM(E71:AE74)</f>
        <v>0</v>
      </c>
      <c r="BM71" s="3633">
        <f>SUM(E71:BG74)</f>
        <v>0</v>
      </c>
      <c r="BN71" s="1945"/>
      <c r="BO71" s="1952"/>
      <c r="BP71" s="3629" t="s">
        <v>33</v>
      </c>
    </row>
    <row r="72" spans="1:68" ht="15.75" thickBot="1">
      <c r="A72" s="3724"/>
      <c r="B72" s="1694" t="s">
        <v>34</v>
      </c>
      <c r="C72" s="3679"/>
      <c r="D72" s="1705">
        <f t="shared" si="0"/>
        <v>0</v>
      </c>
      <c r="E72" s="1706"/>
      <c r="F72" s="1707"/>
      <c r="G72" s="1708"/>
      <c r="H72" s="1709"/>
      <c r="I72" s="2924"/>
      <c r="J72" s="1766"/>
      <c r="K72" s="1767"/>
      <c r="L72" s="1768"/>
      <c r="M72" s="1769"/>
      <c r="N72" s="3178"/>
      <c r="O72" s="1768"/>
      <c r="P72" s="1770"/>
      <c r="Q72" s="3122"/>
      <c r="R72" s="1771"/>
      <c r="S72" s="1772"/>
      <c r="T72" s="1834"/>
      <c r="U72" s="2819"/>
      <c r="V72" s="3187"/>
      <c r="W72" s="2890"/>
      <c r="X72" s="1835"/>
      <c r="Y72" s="1836"/>
      <c r="Z72" s="3298"/>
      <c r="AA72" s="2728"/>
      <c r="AB72" s="2721"/>
      <c r="AC72" s="1837"/>
      <c r="AD72" s="1838"/>
      <c r="AE72" s="1839"/>
      <c r="AF72" s="1706"/>
      <c r="AG72" s="1707"/>
      <c r="AH72" s="1887"/>
      <c r="AI72" s="1888"/>
      <c r="AJ72" s="2935"/>
      <c r="AK72" s="1889"/>
      <c r="AL72" s="1890"/>
      <c r="AM72" s="1769"/>
      <c r="AN72" s="3167"/>
      <c r="AO72" s="1770"/>
      <c r="AP72" s="3122"/>
      <c r="AQ72" s="1891"/>
      <c r="AR72" s="1892"/>
      <c r="AS72" s="1891"/>
      <c r="AT72" s="1920"/>
      <c r="AU72" s="2866"/>
      <c r="AV72" s="3114"/>
      <c r="AW72" s="3290"/>
      <c r="AX72" s="3195"/>
      <c r="AY72" s="2882"/>
      <c r="AZ72" s="2874"/>
      <c r="BA72" s="2826"/>
      <c r="BB72" s="2728"/>
      <c r="BC72" s="2721"/>
      <c r="BD72" s="1921"/>
      <c r="BE72" s="1922"/>
      <c r="BF72" s="1923"/>
      <c r="BG72" s="1924"/>
      <c r="BH72" s="1947"/>
      <c r="BI72" s="1891"/>
      <c r="BJ72" s="1948"/>
      <c r="BK72" s="1924"/>
      <c r="BL72" s="3634"/>
      <c r="BM72" s="3634"/>
      <c r="BN72" s="1945"/>
      <c r="BO72" s="1952"/>
      <c r="BP72" s="3630"/>
    </row>
    <row r="73" spans="1:68" ht="15.75" thickBot="1">
      <c r="A73" s="3724"/>
      <c r="B73" s="1694" t="s">
        <v>34</v>
      </c>
      <c r="C73" s="3679"/>
      <c r="D73" s="1705">
        <f t="shared" si="0"/>
        <v>0</v>
      </c>
      <c r="E73" s="1706"/>
      <c r="F73" s="1707"/>
      <c r="G73" s="1708"/>
      <c r="H73" s="1709"/>
      <c r="I73" s="2924"/>
      <c r="J73" s="1766"/>
      <c r="K73" s="1767"/>
      <c r="L73" s="1768"/>
      <c r="M73" s="1769"/>
      <c r="N73" s="3178"/>
      <c r="O73" s="1768"/>
      <c r="P73" s="1770"/>
      <c r="Q73" s="3122"/>
      <c r="R73" s="1771"/>
      <c r="S73" s="1772"/>
      <c r="T73" s="1834"/>
      <c r="U73" s="2819"/>
      <c r="V73" s="3187"/>
      <c r="W73" s="2890"/>
      <c r="X73" s="1835"/>
      <c r="Y73" s="1836"/>
      <c r="Z73" s="3298"/>
      <c r="AA73" s="2728"/>
      <c r="AB73" s="2721"/>
      <c r="AC73" s="1837"/>
      <c r="AD73" s="1838"/>
      <c r="AE73" s="1839"/>
      <c r="AF73" s="1706"/>
      <c r="AG73" s="1707"/>
      <c r="AH73" s="1887"/>
      <c r="AI73" s="1888"/>
      <c r="AJ73" s="2935"/>
      <c r="AK73" s="1889"/>
      <c r="AL73" s="1890"/>
      <c r="AM73" s="1769"/>
      <c r="AN73" s="3167"/>
      <c r="AO73" s="1770"/>
      <c r="AP73" s="3122"/>
      <c r="AQ73" s="1891"/>
      <c r="AR73" s="1892"/>
      <c r="AS73" s="1891"/>
      <c r="AT73" s="1920"/>
      <c r="AU73" s="2866"/>
      <c r="AV73" s="3114"/>
      <c r="AW73" s="3290"/>
      <c r="AX73" s="3195"/>
      <c r="AY73" s="2882"/>
      <c r="AZ73" s="2874"/>
      <c r="BA73" s="2826"/>
      <c r="BB73" s="2728"/>
      <c r="BC73" s="2721"/>
      <c r="BD73" s="1921"/>
      <c r="BE73" s="1922"/>
      <c r="BF73" s="1923"/>
      <c r="BG73" s="1924"/>
      <c r="BH73" s="1947"/>
      <c r="BI73" s="1891"/>
      <c r="BJ73" s="1948"/>
      <c r="BK73" s="1924"/>
      <c r="BL73" s="3634"/>
      <c r="BM73" s="3634"/>
      <c r="BN73" s="1945"/>
      <c r="BO73" s="1945"/>
      <c r="BP73" s="3630"/>
    </row>
    <row r="74" spans="1:68" ht="15.75" thickBot="1">
      <c r="A74" s="3724"/>
      <c r="B74" s="1694" t="s">
        <v>34</v>
      </c>
      <c r="C74" s="3679"/>
      <c r="D74" s="1705">
        <f t="shared" si="0"/>
        <v>0</v>
      </c>
      <c r="E74" s="1706"/>
      <c r="F74" s="1707"/>
      <c r="G74" s="1708"/>
      <c r="H74" s="1709"/>
      <c r="I74" s="2924"/>
      <c r="J74" s="1766"/>
      <c r="K74" s="1767"/>
      <c r="L74" s="1768"/>
      <c r="M74" s="1769"/>
      <c r="N74" s="3178"/>
      <c r="O74" s="1768"/>
      <c r="P74" s="1770"/>
      <c r="Q74" s="3122"/>
      <c r="R74" s="1771"/>
      <c r="S74" s="1772"/>
      <c r="T74" s="1834"/>
      <c r="U74" s="2819"/>
      <c r="V74" s="3187"/>
      <c r="W74" s="2890"/>
      <c r="X74" s="1835"/>
      <c r="Y74" s="1836"/>
      <c r="Z74" s="3298"/>
      <c r="AA74" s="2728"/>
      <c r="AB74" s="2721"/>
      <c r="AC74" s="1837"/>
      <c r="AD74" s="1838"/>
      <c r="AE74" s="1839"/>
      <c r="AF74" s="1706"/>
      <c r="AG74" s="1707"/>
      <c r="AH74" s="1887"/>
      <c r="AI74" s="1888"/>
      <c r="AJ74" s="2935"/>
      <c r="AK74" s="1889"/>
      <c r="AL74" s="1890"/>
      <c r="AM74" s="1769"/>
      <c r="AN74" s="3167"/>
      <c r="AO74" s="1770"/>
      <c r="AP74" s="3122"/>
      <c r="AQ74" s="1891"/>
      <c r="AR74" s="1892"/>
      <c r="AS74" s="1891"/>
      <c r="AT74" s="1920"/>
      <c r="AU74" s="2866"/>
      <c r="AV74" s="3114"/>
      <c r="AW74" s="3290"/>
      <c r="AX74" s="3195"/>
      <c r="AY74" s="2882"/>
      <c r="AZ74" s="2874"/>
      <c r="BA74" s="2826"/>
      <c r="BB74" s="2728"/>
      <c r="BC74" s="2721"/>
      <c r="BD74" s="1921"/>
      <c r="BE74" s="1922"/>
      <c r="BF74" s="1923"/>
      <c r="BG74" s="1924"/>
      <c r="BH74" s="1947"/>
      <c r="BI74" s="1891"/>
      <c r="BJ74" s="1948"/>
      <c r="BK74" s="1924"/>
      <c r="BL74" s="3634"/>
      <c r="BM74" s="3634"/>
      <c r="BN74" s="1945"/>
      <c r="BO74" s="1952"/>
      <c r="BP74" s="3630"/>
    </row>
    <row r="75" spans="1:68" ht="15.75" thickBot="1">
      <c r="A75" s="3723"/>
      <c r="B75" s="1738" t="s">
        <v>32</v>
      </c>
      <c r="C75" s="3678">
        <f>SUM(D75:D78)</f>
        <v>0</v>
      </c>
      <c r="D75" s="1689">
        <f t="shared" si="0"/>
        <v>0</v>
      </c>
      <c r="E75" s="1690"/>
      <c r="F75" s="1691"/>
      <c r="G75" s="1692"/>
      <c r="H75" s="1693"/>
      <c r="I75" s="2923"/>
      <c r="J75" s="1745"/>
      <c r="K75" s="1746"/>
      <c r="L75" s="1747"/>
      <c r="M75" s="1748"/>
      <c r="N75" s="3177"/>
      <c r="O75" s="1747"/>
      <c r="P75" s="1749"/>
      <c r="Q75" s="3121"/>
      <c r="R75" s="1750"/>
      <c r="S75" s="1751"/>
      <c r="T75" s="1815"/>
      <c r="U75" s="2818"/>
      <c r="V75" s="3186"/>
      <c r="W75" s="2889"/>
      <c r="X75" s="1816"/>
      <c r="Y75" s="1817"/>
      <c r="Z75" s="3297"/>
      <c r="AA75" s="2727"/>
      <c r="AB75" s="2720"/>
      <c r="AC75" s="1818"/>
      <c r="AD75" s="1819"/>
      <c r="AE75" s="1820"/>
      <c r="AF75" s="1726"/>
      <c r="AG75" s="1691"/>
      <c r="AH75" s="1869"/>
      <c r="AI75" s="1893"/>
      <c r="AJ75" s="2938"/>
      <c r="AK75" s="1854"/>
      <c r="AL75" s="1894"/>
      <c r="AM75" s="1748"/>
      <c r="AN75" s="3166"/>
      <c r="AO75" s="1749"/>
      <c r="AP75" s="3121"/>
      <c r="AQ75" s="1873"/>
      <c r="AR75" s="1874"/>
      <c r="AS75" s="1873"/>
      <c r="AT75" s="1909"/>
      <c r="AU75" s="2865"/>
      <c r="AV75" s="3113"/>
      <c r="AW75" s="3289"/>
      <c r="AX75" s="3194"/>
      <c r="AY75" s="2881"/>
      <c r="AZ75" s="2873"/>
      <c r="BA75" s="2825"/>
      <c r="BB75" s="2727"/>
      <c r="BC75" s="2720"/>
      <c r="BD75" s="1910"/>
      <c r="BE75" s="1911"/>
      <c r="BF75" s="1864"/>
      <c r="BG75" s="1865"/>
      <c r="BH75" s="1726"/>
      <c r="BI75" s="1873"/>
      <c r="BJ75" s="1940"/>
      <c r="BK75" s="1865"/>
      <c r="BL75" s="3633">
        <f>SUM(E75:AE78)</f>
        <v>0</v>
      </c>
      <c r="BM75" s="3633">
        <f>SUM(E75:BG78)</f>
        <v>0</v>
      </c>
      <c r="BN75" s="1945"/>
      <c r="BO75" s="1952"/>
      <c r="BP75" s="3629" t="s">
        <v>33</v>
      </c>
    </row>
    <row r="76" spans="1:68" ht="15.75" thickBot="1">
      <c r="A76" s="3724"/>
      <c r="B76" s="1694" t="s">
        <v>34</v>
      </c>
      <c r="C76" s="3679"/>
      <c r="D76" s="1705">
        <f t="shared" si="0"/>
        <v>0</v>
      </c>
      <c r="E76" s="1706"/>
      <c r="F76" s="1707"/>
      <c r="G76" s="1708"/>
      <c r="H76" s="1709"/>
      <c r="I76" s="2924"/>
      <c r="J76" s="1766"/>
      <c r="K76" s="1767"/>
      <c r="L76" s="1768"/>
      <c r="M76" s="1769"/>
      <c r="N76" s="3178"/>
      <c r="O76" s="1768"/>
      <c r="P76" s="1770"/>
      <c r="Q76" s="3122"/>
      <c r="R76" s="1771"/>
      <c r="S76" s="1772"/>
      <c r="T76" s="1834"/>
      <c r="U76" s="2819"/>
      <c r="V76" s="3187"/>
      <c r="W76" s="2890"/>
      <c r="X76" s="1835"/>
      <c r="Y76" s="1836"/>
      <c r="Z76" s="3298"/>
      <c r="AA76" s="2728"/>
      <c r="AB76" s="2721"/>
      <c r="AC76" s="1837"/>
      <c r="AD76" s="1838"/>
      <c r="AE76" s="1839"/>
      <c r="AF76" s="1706"/>
      <c r="AG76" s="1707"/>
      <c r="AH76" s="1887"/>
      <c r="AI76" s="1888"/>
      <c r="AJ76" s="2935"/>
      <c r="AK76" s="1889"/>
      <c r="AL76" s="1890"/>
      <c r="AM76" s="1769"/>
      <c r="AN76" s="3167"/>
      <c r="AO76" s="1770"/>
      <c r="AP76" s="3122"/>
      <c r="AQ76" s="1891"/>
      <c r="AR76" s="1892"/>
      <c r="AS76" s="1891"/>
      <c r="AT76" s="1920"/>
      <c r="AU76" s="2866"/>
      <c r="AV76" s="3114"/>
      <c r="AW76" s="3290"/>
      <c r="AX76" s="3195"/>
      <c r="AY76" s="2882"/>
      <c r="AZ76" s="2874"/>
      <c r="BA76" s="2826"/>
      <c r="BB76" s="2728"/>
      <c r="BC76" s="2721"/>
      <c r="BD76" s="1921"/>
      <c r="BE76" s="1922"/>
      <c r="BF76" s="1923"/>
      <c r="BG76" s="1924"/>
      <c r="BH76" s="1947"/>
      <c r="BI76" s="1891"/>
      <c r="BJ76" s="1948"/>
      <c r="BK76" s="1924"/>
      <c r="BL76" s="3634"/>
      <c r="BM76" s="3634"/>
      <c r="BN76" s="1942"/>
      <c r="BO76" s="1945"/>
      <c r="BP76" s="3630"/>
    </row>
    <row r="77" spans="1:68" ht="15.75" thickBot="1">
      <c r="A77" s="3724"/>
      <c r="B77" s="1694" t="s">
        <v>34</v>
      </c>
      <c r="C77" s="3679"/>
      <c r="D77" s="1705">
        <f t="shared" si="0"/>
        <v>0</v>
      </c>
      <c r="E77" s="1706"/>
      <c r="F77" s="1707"/>
      <c r="G77" s="1708"/>
      <c r="H77" s="1709"/>
      <c r="I77" s="2924"/>
      <c r="J77" s="1766"/>
      <c r="K77" s="1767"/>
      <c r="L77" s="1768"/>
      <c r="M77" s="1769"/>
      <c r="N77" s="3178"/>
      <c r="O77" s="1768"/>
      <c r="P77" s="1770"/>
      <c r="Q77" s="3122"/>
      <c r="R77" s="1771"/>
      <c r="S77" s="1772"/>
      <c r="T77" s="1834"/>
      <c r="U77" s="2819"/>
      <c r="V77" s="3187"/>
      <c r="W77" s="2890"/>
      <c r="X77" s="1835"/>
      <c r="Y77" s="1836"/>
      <c r="Z77" s="3298"/>
      <c r="AA77" s="2728"/>
      <c r="AB77" s="2721"/>
      <c r="AC77" s="1837"/>
      <c r="AD77" s="1838"/>
      <c r="AE77" s="1839"/>
      <c r="AF77" s="1706"/>
      <c r="AG77" s="1707"/>
      <c r="AH77" s="1887"/>
      <c r="AI77" s="1888"/>
      <c r="AJ77" s="2935"/>
      <c r="AK77" s="1889"/>
      <c r="AL77" s="1890"/>
      <c r="AM77" s="1769"/>
      <c r="AN77" s="3167"/>
      <c r="AO77" s="1770"/>
      <c r="AP77" s="3122"/>
      <c r="AQ77" s="1891"/>
      <c r="AR77" s="1892"/>
      <c r="AS77" s="1891"/>
      <c r="AT77" s="1920"/>
      <c r="AU77" s="2866"/>
      <c r="AV77" s="3114"/>
      <c r="AW77" s="3290"/>
      <c r="AX77" s="3195"/>
      <c r="AY77" s="2882"/>
      <c r="AZ77" s="2874"/>
      <c r="BA77" s="2826"/>
      <c r="BB77" s="2728"/>
      <c r="BC77" s="2721"/>
      <c r="BD77" s="1921"/>
      <c r="BE77" s="1922"/>
      <c r="BF77" s="1923"/>
      <c r="BG77" s="1924"/>
      <c r="BH77" s="1947"/>
      <c r="BI77" s="1891"/>
      <c r="BJ77" s="1948"/>
      <c r="BK77" s="1924"/>
      <c r="BL77" s="3634"/>
      <c r="BM77" s="3634"/>
      <c r="BN77" s="1942"/>
      <c r="BO77" s="1945"/>
      <c r="BP77" s="3630"/>
    </row>
    <row r="78" spans="1:68" ht="15.75" thickBot="1">
      <c r="A78" s="3724"/>
      <c r="B78" s="1694" t="s">
        <v>34</v>
      </c>
      <c r="C78" s="3679"/>
      <c r="D78" s="1705">
        <f t="shared" si="0"/>
        <v>0</v>
      </c>
      <c r="E78" s="1706"/>
      <c r="F78" s="1707"/>
      <c r="G78" s="1708"/>
      <c r="H78" s="1709"/>
      <c r="I78" s="2924"/>
      <c r="J78" s="1766"/>
      <c r="K78" s="1767"/>
      <c r="L78" s="1768"/>
      <c r="M78" s="1769"/>
      <c r="N78" s="3178"/>
      <c r="O78" s="1768"/>
      <c r="P78" s="1770"/>
      <c r="Q78" s="3122"/>
      <c r="R78" s="1771"/>
      <c r="S78" s="1772"/>
      <c r="T78" s="1834"/>
      <c r="U78" s="2819"/>
      <c r="V78" s="3187"/>
      <c r="W78" s="2890"/>
      <c r="X78" s="1835"/>
      <c r="Y78" s="1836"/>
      <c r="Z78" s="3298"/>
      <c r="AA78" s="2728"/>
      <c r="AB78" s="2721"/>
      <c r="AC78" s="1837"/>
      <c r="AD78" s="1838"/>
      <c r="AE78" s="1839"/>
      <c r="AF78" s="1706"/>
      <c r="AG78" s="1707"/>
      <c r="AH78" s="1887"/>
      <c r="AI78" s="1888"/>
      <c r="AJ78" s="2935"/>
      <c r="AK78" s="1889"/>
      <c r="AL78" s="1890"/>
      <c r="AM78" s="1769"/>
      <c r="AN78" s="3167"/>
      <c r="AO78" s="1770"/>
      <c r="AP78" s="3122"/>
      <c r="AQ78" s="1891"/>
      <c r="AR78" s="1892"/>
      <c r="AS78" s="1891"/>
      <c r="AT78" s="1920"/>
      <c r="AU78" s="2866"/>
      <c r="AV78" s="3114"/>
      <c r="AW78" s="3290"/>
      <c r="AX78" s="3195"/>
      <c r="AY78" s="2882"/>
      <c r="AZ78" s="2874"/>
      <c r="BA78" s="2826"/>
      <c r="BB78" s="2728"/>
      <c r="BC78" s="2721"/>
      <c r="BD78" s="1921"/>
      <c r="BE78" s="1922"/>
      <c r="BF78" s="1923"/>
      <c r="BG78" s="1924"/>
      <c r="BH78" s="1947"/>
      <c r="BI78" s="1891"/>
      <c r="BJ78" s="1948"/>
      <c r="BK78" s="1924"/>
      <c r="BL78" s="3634"/>
      <c r="BM78" s="3634"/>
      <c r="BN78" s="1942"/>
      <c r="BO78" s="1945"/>
      <c r="BP78" s="3630"/>
    </row>
    <row r="79" spans="1:68" ht="15.75" thickBot="1">
      <c r="A79" s="3723"/>
      <c r="B79" s="1738" t="s">
        <v>32</v>
      </c>
      <c r="C79" s="3678">
        <f>SUM(D79:D83)</f>
        <v>0</v>
      </c>
      <c r="D79" s="1689">
        <f t="shared" si="0"/>
        <v>0</v>
      </c>
      <c r="E79" s="1690"/>
      <c r="F79" s="1691"/>
      <c r="G79" s="1692"/>
      <c r="H79" s="1693"/>
      <c r="I79" s="2923"/>
      <c r="J79" s="1745"/>
      <c r="K79" s="1746"/>
      <c r="L79" s="1747"/>
      <c r="M79" s="1748"/>
      <c r="N79" s="3177"/>
      <c r="O79" s="1747"/>
      <c r="P79" s="1749"/>
      <c r="Q79" s="3121"/>
      <c r="R79" s="1750"/>
      <c r="S79" s="1751"/>
      <c r="T79" s="1815"/>
      <c r="U79" s="2818"/>
      <c r="V79" s="3186"/>
      <c r="W79" s="2889"/>
      <c r="X79" s="1816"/>
      <c r="Y79" s="1817"/>
      <c r="Z79" s="3297"/>
      <c r="AA79" s="2727"/>
      <c r="AB79" s="2720"/>
      <c r="AC79" s="1818"/>
      <c r="AD79" s="1819"/>
      <c r="AE79" s="1820"/>
      <c r="AF79" s="1726"/>
      <c r="AG79" s="1691"/>
      <c r="AH79" s="1869"/>
      <c r="AI79" s="1893"/>
      <c r="AJ79" s="2938"/>
      <c r="AK79" s="1854"/>
      <c r="AL79" s="1894"/>
      <c r="AM79" s="1748"/>
      <c r="AN79" s="3166"/>
      <c r="AO79" s="1749"/>
      <c r="AP79" s="3121"/>
      <c r="AQ79" s="1873"/>
      <c r="AR79" s="1874"/>
      <c r="AS79" s="1873"/>
      <c r="AT79" s="1909"/>
      <c r="AU79" s="2865"/>
      <c r="AV79" s="3113"/>
      <c r="AW79" s="3289"/>
      <c r="AX79" s="3194"/>
      <c r="AY79" s="2881"/>
      <c r="AZ79" s="2873"/>
      <c r="BA79" s="2825"/>
      <c r="BB79" s="2727"/>
      <c r="BC79" s="2720"/>
      <c r="BD79" s="1910"/>
      <c r="BE79" s="1911"/>
      <c r="BF79" s="1864"/>
      <c r="BG79" s="1865"/>
      <c r="BH79" s="1726"/>
      <c r="BI79" s="1873"/>
      <c r="BJ79" s="1940"/>
      <c r="BK79" s="1865"/>
      <c r="BL79" s="3633">
        <f>SUM(E79:AE83)</f>
        <v>0</v>
      </c>
      <c r="BM79" s="3633">
        <f>SUM(E79:BG83)</f>
        <v>0</v>
      </c>
      <c r="BN79" s="1942"/>
      <c r="BO79" s="1945"/>
      <c r="BP79" s="3629" t="s">
        <v>33</v>
      </c>
    </row>
    <row r="80" spans="1:68" ht="15.75" thickBot="1">
      <c r="A80" s="3724"/>
      <c r="B80" s="1694" t="s">
        <v>34</v>
      </c>
      <c r="C80" s="3679"/>
      <c r="D80" s="1705">
        <f t="shared" si="0"/>
        <v>0</v>
      </c>
      <c r="E80" s="1706"/>
      <c r="F80" s="1707"/>
      <c r="G80" s="1708"/>
      <c r="H80" s="1709"/>
      <c r="I80" s="2924"/>
      <c r="J80" s="1766"/>
      <c r="K80" s="1767"/>
      <c r="L80" s="1768"/>
      <c r="M80" s="1769"/>
      <c r="N80" s="3178"/>
      <c r="O80" s="1768"/>
      <c r="P80" s="1770"/>
      <c r="Q80" s="3122"/>
      <c r="R80" s="1771"/>
      <c r="S80" s="1772"/>
      <c r="T80" s="1834"/>
      <c r="U80" s="2819"/>
      <c r="V80" s="3187"/>
      <c r="W80" s="2890"/>
      <c r="X80" s="1835"/>
      <c r="Y80" s="1836"/>
      <c r="Z80" s="3298"/>
      <c r="AA80" s="2728"/>
      <c r="AB80" s="2721"/>
      <c r="AC80" s="1837"/>
      <c r="AD80" s="1838"/>
      <c r="AE80" s="1839"/>
      <c r="AF80" s="1706"/>
      <c r="AG80" s="1707"/>
      <c r="AH80" s="1887"/>
      <c r="AI80" s="1888"/>
      <c r="AJ80" s="2935"/>
      <c r="AK80" s="1889"/>
      <c r="AL80" s="1890"/>
      <c r="AM80" s="1769"/>
      <c r="AN80" s="3167"/>
      <c r="AO80" s="1770"/>
      <c r="AP80" s="3122"/>
      <c r="AQ80" s="1891"/>
      <c r="AR80" s="1892"/>
      <c r="AS80" s="1891"/>
      <c r="AT80" s="1920"/>
      <c r="AU80" s="2866"/>
      <c r="AV80" s="3114"/>
      <c r="AW80" s="3290"/>
      <c r="AX80" s="3195"/>
      <c r="AY80" s="2882"/>
      <c r="AZ80" s="2874"/>
      <c r="BA80" s="2826"/>
      <c r="BB80" s="2728"/>
      <c r="BC80" s="2721"/>
      <c r="BD80" s="1921"/>
      <c r="BE80" s="1922"/>
      <c r="BF80" s="1923"/>
      <c r="BG80" s="1924"/>
      <c r="BH80" s="1947"/>
      <c r="BI80" s="1891"/>
      <c r="BJ80" s="1948"/>
      <c r="BK80" s="1924"/>
      <c r="BL80" s="3634"/>
      <c r="BM80" s="3634"/>
      <c r="BN80" s="1942"/>
      <c r="BO80" s="1945"/>
      <c r="BP80" s="3630"/>
    </row>
    <row r="81" spans="1:68" ht="15.75" thickBot="1">
      <c r="A81" s="3724"/>
      <c r="B81" s="1694" t="s">
        <v>34</v>
      </c>
      <c r="C81" s="3679"/>
      <c r="D81" s="1705">
        <f t="shared" si="0"/>
        <v>0</v>
      </c>
      <c r="E81" s="1706"/>
      <c r="F81" s="1707"/>
      <c r="G81" s="1708"/>
      <c r="H81" s="1709"/>
      <c r="I81" s="2924"/>
      <c r="J81" s="1766"/>
      <c r="K81" s="1767"/>
      <c r="L81" s="1768"/>
      <c r="M81" s="1769"/>
      <c r="N81" s="3178"/>
      <c r="O81" s="1768"/>
      <c r="P81" s="1770"/>
      <c r="Q81" s="3122"/>
      <c r="R81" s="1771"/>
      <c r="S81" s="1772"/>
      <c r="T81" s="1834"/>
      <c r="U81" s="2819"/>
      <c r="V81" s="3187"/>
      <c r="W81" s="2890"/>
      <c r="X81" s="1835"/>
      <c r="Y81" s="1836"/>
      <c r="Z81" s="3298"/>
      <c r="AA81" s="2728"/>
      <c r="AB81" s="2721"/>
      <c r="AC81" s="1837"/>
      <c r="AD81" s="1838"/>
      <c r="AE81" s="1839"/>
      <c r="AF81" s="1706"/>
      <c r="AG81" s="1707"/>
      <c r="AH81" s="1887"/>
      <c r="AI81" s="1888"/>
      <c r="AJ81" s="2935"/>
      <c r="AK81" s="1889"/>
      <c r="AL81" s="1890"/>
      <c r="AM81" s="1769"/>
      <c r="AN81" s="3167"/>
      <c r="AO81" s="1770"/>
      <c r="AP81" s="3122"/>
      <c r="AQ81" s="1891"/>
      <c r="AR81" s="1892"/>
      <c r="AS81" s="1891"/>
      <c r="AT81" s="1920"/>
      <c r="AU81" s="2866"/>
      <c r="AV81" s="3114"/>
      <c r="AW81" s="3290"/>
      <c r="AX81" s="3195"/>
      <c r="AY81" s="2882"/>
      <c r="AZ81" s="2874"/>
      <c r="BA81" s="2826"/>
      <c r="BB81" s="2728"/>
      <c r="BC81" s="2721"/>
      <c r="BD81" s="1921"/>
      <c r="BE81" s="1922"/>
      <c r="BF81" s="1923"/>
      <c r="BG81" s="1924"/>
      <c r="BH81" s="1947"/>
      <c r="BI81" s="1891"/>
      <c r="BJ81" s="1948"/>
      <c r="BK81" s="1924"/>
      <c r="BL81" s="3634"/>
      <c r="BM81" s="3634"/>
      <c r="BN81" s="1942"/>
      <c r="BO81" s="1945"/>
      <c r="BP81" s="3630"/>
    </row>
    <row r="82" spans="1:68" ht="15.75" thickBot="1">
      <c r="A82" s="3724"/>
      <c r="B82" s="1694" t="s">
        <v>34</v>
      </c>
      <c r="C82" s="3679"/>
      <c r="D82" s="1705">
        <f t="shared" si="0"/>
        <v>0</v>
      </c>
      <c r="E82" s="1706"/>
      <c r="F82" s="1707"/>
      <c r="G82" s="1708"/>
      <c r="H82" s="1709"/>
      <c r="I82" s="2924"/>
      <c r="J82" s="1766"/>
      <c r="K82" s="1767"/>
      <c r="L82" s="1768"/>
      <c r="M82" s="1769"/>
      <c r="N82" s="3178"/>
      <c r="O82" s="1768"/>
      <c r="P82" s="1770"/>
      <c r="Q82" s="3122"/>
      <c r="R82" s="1771"/>
      <c r="S82" s="1772"/>
      <c r="T82" s="1834"/>
      <c r="U82" s="2819"/>
      <c r="V82" s="3187"/>
      <c r="W82" s="2890"/>
      <c r="X82" s="1835"/>
      <c r="Y82" s="1836"/>
      <c r="Z82" s="3298"/>
      <c r="AA82" s="2728"/>
      <c r="AB82" s="2721"/>
      <c r="AC82" s="1837"/>
      <c r="AD82" s="1838"/>
      <c r="AE82" s="1839"/>
      <c r="AF82" s="1706"/>
      <c r="AG82" s="1707"/>
      <c r="AH82" s="1887"/>
      <c r="AI82" s="1888"/>
      <c r="AJ82" s="2935"/>
      <c r="AK82" s="1889"/>
      <c r="AL82" s="1890"/>
      <c r="AM82" s="1769"/>
      <c r="AN82" s="3167"/>
      <c r="AO82" s="1770"/>
      <c r="AP82" s="3122"/>
      <c r="AQ82" s="1891"/>
      <c r="AR82" s="1892"/>
      <c r="AS82" s="1891"/>
      <c r="AT82" s="1920"/>
      <c r="AU82" s="2866"/>
      <c r="AV82" s="3114"/>
      <c r="AW82" s="3290"/>
      <c r="AX82" s="3195"/>
      <c r="AY82" s="2882"/>
      <c r="AZ82" s="2874"/>
      <c r="BA82" s="2826"/>
      <c r="BB82" s="2728"/>
      <c r="BC82" s="2721"/>
      <c r="BD82" s="1921"/>
      <c r="BE82" s="1922"/>
      <c r="BF82" s="1923"/>
      <c r="BG82" s="1924"/>
      <c r="BH82" s="1947"/>
      <c r="BI82" s="1891"/>
      <c r="BJ82" s="1948"/>
      <c r="BK82" s="1924"/>
      <c r="BL82" s="3634"/>
      <c r="BM82" s="3634"/>
      <c r="BN82" s="1942"/>
      <c r="BO82" s="1945"/>
      <c r="BP82" s="3630"/>
    </row>
    <row r="83" spans="1:68" ht="15.75" thickBot="1">
      <c r="A83" s="3724"/>
      <c r="B83" s="1694" t="s">
        <v>34</v>
      </c>
      <c r="C83" s="3679"/>
      <c r="D83" s="1705">
        <f t="shared" si="0"/>
        <v>0</v>
      </c>
      <c r="E83" s="1706"/>
      <c r="F83" s="1707"/>
      <c r="G83" s="1708"/>
      <c r="H83" s="1709"/>
      <c r="I83" s="2924"/>
      <c r="J83" s="1766"/>
      <c r="K83" s="1767"/>
      <c r="L83" s="1768"/>
      <c r="M83" s="1769"/>
      <c r="N83" s="3178"/>
      <c r="O83" s="1768"/>
      <c r="P83" s="1770"/>
      <c r="Q83" s="3122"/>
      <c r="R83" s="1771"/>
      <c r="S83" s="1772"/>
      <c r="T83" s="1834"/>
      <c r="U83" s="2819"/>
      <c r="V83" s="3187"/>
      <c r="W83" s="2890"/>
      <c r="X83" s="1835"/>
      <c r="Y83" s="1836"/>
      <c r="Z83" s="3298"/>
      <c r="AA83" s="2728"/>
      <c r="AB83" s="2721"/>
      <c r="AC83" s="1837"/>
      <c r="AD83" s="1838"/>
      <c r="AE83" s="1839"/>
      <c r="AF83" s="1706"/>
      <c r="AG83" s="1707"/>
      <c r="AH83" s="1887"/>
      <c r="AI83" s="1888"/>
      <c r="AJ83" s="2935"/>
      <c r="AK83" s="1889"/>
      <c r="AL83" s="1890"/>
      <c r="AM83" s="1769"/>
      <c r="AN83" s="3167"/>
      <c r="AO83" s="1770"/>
      <c r="AP83" s="3122"/>
      <c r="AQ83" s="1891"/>
      <c r="AR83" s="1892"/>
      <c r="AS83" s="1891"/>
      <c r="AT83" s="1920"/>
      <c r="AU83" s="2866"/>
      <c r="AV83" s="3114"/>
      <c r="AW83" s="3290"/>
      <c r="AX83" s="3195"/>
      <c r="AY83" s="2882"/>
      <c r="AZ83" s="2874"/>
      <c r="BA83" s="2826"/>
      <c r="BB83" s="2728"/>
      <c r="BC83" s="2721"/>
      <c r="BD83" s="1921"/>
      <c r="BE83" s="1922"/>
      <c r="BF83" s="1923"/>
      <c r="BG83" s="1924"/>
      <c r="BH83" s="1947"/>
      <c r="BI83" s="1891"/>
      <c r="BJ83" s="1948"/>
      <c r="BK83" s="1924"/>
      <c r="BL83" s="3634"/>
      <c r="BM83" s="3634"/>
      <c r="BN83" s="1942"/>
      <c r="BO83" s="1952"/>
      <c r="BP83" s="3630"/>
    </row>
    <row r="84" spans="1:68" ht="15.75" thickBot="1">
      <c r="A84" s="3723"/>
      <c r="B84" s="1738" t="s">
        <v>32</v>
      </c>
      <c r="C84" s="3678">
        <f>SUM(D84:D87)</f>
        <v>0</v>
      </c>
      <c r="D84" s="1689">
        <f t="shared" si="0"/>
        <v>0</v>
      </c>
      <c r="E84" s="1690"/>
      <c r="F84" s="1691"/>
      <c r="G84" s="1692"/>
      <c r="H84" s="1693"/>
      <c r="I84" s="2923"/>
      <c r="J84" s="1745"/>
      <c r="K84" s="1746"/>
      <c r="L84" s="1747"/>
      <c r="M84" s="1748"/>
      <c r="N84" s="3177"/>
      <c r="O84" s="1747"/>
      <c r="P84" s="1749"/>
      <c r="Q84" s="3121"/>
      <c r="R84" s="1750"/>
      <c r="S84" s="1751"/>
      <c r="T84" s="1815"/>
      <c r="U84" s="2818"/>
      <c r="V84" s="3186"/>
      <c r="W84" s="2889"/>
      <c r="X84" s="1816"/>
      <c r="Y84" s="1817"/>
      <c r="Z84" s="3297"/>
      <c r="AA84" s="2727"/>
      <c r="AB84" s="2720"/>
      <c r="AC84" s="1818"/>
      <c r="AD84" s="1819"/>
      <c r="AE84" s="1820"/>
      <c r="AF84" s="1726"/>
      <c r="AG84" s="1691"/>
      <c r="AH84" s="1869"/>
      <c r="AI84" s="1893"/>
      <c r="AJ84" s="2938"/>
      <c r="AK84" s="1854"/>
      <c r="AL84" s="1894"/>
      <c r="AM84" s="1748"/>
      <c r="AN84" s="3166"/>
      <c r="AO84" s="1749"/>
      <c r="AP84" s="3121"/>
      <c r="AQ84" s="1873"/>
      <c r="AR84" s="1874"/>
      <c r="AS84" s="1873"/>
      <c r="AT84" s="1909"/>
      <c r="AU84" s="2865"/>
      <c r="AV84" s="3113"/>
      <c r="AW84" s="3289"/>
      <c r="AX84" s="3194"/>
      <c r="AY84" s="2881"/>
      <c r="AZ84" s="2873"/>
      <c r="BA84" s="2825"/>
      <c r="BB84" s="2727"/>
      <c r="BC84" s="2720"/>
      <c r="BD84" s="1910"/>
      <c r="BE84" s="1911"/>
      <c r="BF84" s="1864"/>
      <c r="BG84" s="1865"/>
      <c r="BH84" s="1726"/>
      <c r="BI84" s="1873"/>
      <c r="BJ84" s="1940"/>
      <c r="BK84" s="1865"/>
      <c r="BL84" s="3633">
        <f>SUM(E84:AE87)</f>
        <v>0</v>
      </c>
      <c r="BM84" s="3633">
        <f>SUM(E84:BG87)</f>
        <v>0</v>
      </c>
      <c r="BN84" s="1942"/>
      <c r="BO84" s="1952"/>
      <c r="BP84" s="3629" t="s">
        <v>33</v>
      </c>
    </row>
    <row r="85" spans="1:68" ht="15.75" thickBot="1">
      <c r="A85" s="3724"/>
      <c r="B85" s="1694" t="s">
        <v>34</v>
      </c>
      <c r="C85" s="3679"/>
      <c r="D85" s="1705">
        <f t="shared" si="0"/>
        <v>0</v>
      </c>
      <c r="E85" s="1706"/>
      <c r="F85" s="1707"/>
      <c r="G85" s="1708"/>
      <c r="H85" s="1709"/>
      <c r="I85" s="2924"/>
      <c r="J85" s="1766"/>
      <c r="K85" s="1767"/>
      <c r="L85" s="1768"/>
      <c r="M85" s="1769"/>
      <c r="N85" s="3178"/>
      <c r="O85" s="1768"/>
      <c r="P85" s="1770"/>
      <c r="Q85" s="3122"/>
      <c r="R85" s="1771"/>
      <c r="S85" s="1772"/>
      <c r="T85" s="1834"/>
      <c r="U85" s="2819"/>
      <c r="V85" s="3187"/>
      <c r="W85" s="2890"/>
      <c r="X85" s="1835"/>
      <c r="Y85" s="1836"/>
      <c r="Z85" s="3298"/>
      <c r="AA85" s="2728"/>
      <c r="AB85" s="2721"/>
      <c r="AC85" s="1837"/>
      <c r="AD85" s="1838"/>
      <c r="AE85" s="1839"/>
      <c r="AF85" s="1706"/>
      <c r="AG85" s="1707"/>
      <c r="AH85" s="1887"/>
      <c r="AI85" s="1888"/>
      <c r="AJ85" s="2935"/>
      <c r="AK85" s="1889"/>
      <c r="AL85" s="1890"/>
      <c r="AM85" s="1769"/>
      <c r="AN85" s="3167"/>
      <c r="AO85" s="1770"/>
      <c r="AP85" s="3122"/>
      <c r="AQ85" s="1891"/>
      <c r="AR85" s="1892"/>
      <c r="AS85" s="1891"/>
      <c r="AT85" s="1920"/>
      <c r="AU85" s="2866"/>
      <c r="AV85" s="3114"/>
      <c r="AW85" s="3290"/>
      <c r="AX85" s="3195"/>
      <c r="AY85" s="2882"/>
      <c r="AZ85" s="2874"/>
      <c r="BA85" s="2826"/>
      <c r="BB85" s="2728"/>
      <c r="BC85" s="2721"/>
      <c r="BD85" s="1921"/>
      <c r="BE85" s="1922"/>
      <c r="BF85" s="1923"/>
      <c r="BG85" s="1924"/>
      <c r="BH85" s="1947"/>
      <c r="BI85" s="1891"/>
      <c r="BJ85" s="1948"/>
      <c r="BK85" s="1924"/>
      <c r="BL85" s="3634"/>
      <c r="BM85" s="3634"/>
      <c r="BN85" s="1942"/>
      <c r="BO85" s="1952"/>
      <c r="BP85" s="3630"/>
    </row>
    <row r="86" spans="1:68" ht="15.75" thickBot="1">
      <c r="A86" s="3724"/>
      <c r="B86" s="1694" t="s">
        <v>34</v>
      </c>
      <c r="C86" s="3679"/>
      <c r="D86" s="1705">
        <f t="shared" si="0"/>
        <v>0</v>
      </c>
      <c r="E86" s="1706"/>
      <c r="F86" s="1707"/>
      <c r="G86" s="1708"/>
      <c r="H86" s="1709"/>
      <c r="I86" s="2924"/>
      <c r="J86" s="1766"/>
      <c r="K86" s="1767"/>
      <c r="L86" s="1768"/>
      <c r="M86" s="1769"/>
      <c r="N86" s="3178"/>
      <c r="O86" s="1768"/>
      <c r="P86" s="1770"/>
      <c r="Q86" s="3122"/>
      <c r="R86" s="1771"/>
      <c r="S86" s="1772"/>
      <c r="T86" s="1834"/>
      <c r="U86" s="2819"/>
      <c r="V86" s="3187"/>
      <c r="W86" s="2890"/>
      <c r="X86" s="1835"/>
      <c r="Y86" s="1836"/>
      <c r="Z86" s="3298"/>
      <c r="AA86" s="2728"/>
      <c r="AB86" s="2721"/>
      <c r="AC86" s="1837"/>
      <c r="AD86" s="1838"/>
      <c r="AE86" s="1839"/>
      <c r="AF86" s="1706"/>
      <c r="AG86" s="1707"/>
      <c r="AH86" s="1887"/>
      <c r="AI86" s="1888"/>
      <c r="AJ86" s="2935"/>
      <c r="AK86" s="1889"/>
      <c r="AL86" s="1890"/>
      <c r="AM86" s="1769"/>
      <c r="AN86" s="3167"/>
      <c r="AO86" s="1770"/>
      <c r="AP86" s="3122"/>
      <c r="AQ86" s="1891"/>
      <c r="AR86" s="1892"/>
      <c r="AS86" s="1891"/>
      <c r="AT86" s="1920"/>
      <c r="AU86" s="2866"/>
      <c r="AV86" s="3114"/>
      <c r="AW86" s="3290"/>
      <c r="AX86" s="3195"/>
      <c r="AY86" s="2882"/>
      <c r="AZ86" s="2874"/>
      <c r="BA86" s="2826"/>
      <c r="BB86" s="2728"/>
      <c r="BC86" s="2721"/>
      <c r="BD86" s="1921"/>
      <c r="BE86" s="1922"/>
      <c r="BF86" s="1923"/>
      <c r="BG86" s="1924"/>
      <c r="BH86" s="1947"/>
      <c r="BI86" s="1891"/>
      <c r="BJ86" s="1948"/>
      <c r="BK86" s="1924"/>
      <c r="BL86" s="3634"/>
      <c r="BM86" s="3634"/>
      <c r="BN86" s="1942"/>
      <c r="BO86" s="1952"/>
      <c r="BP86" s="3630"/>
    </row>
    <row r="87" spans="1:68" ht="15.75" thickBot="1">
      <c r="A87" s="3724"/>
      <c r="B87" s="1694" t="s">
        <v>34</v>
      </c>
      <c r="C87" s="3681"/>
      <c r="D87" s="1705">
        <f t="shared" si="0"/>
        <v>0</v>
      </c>
      <c r="E87" s="1706"/>
      <c r="F87" s="1707"/>
      <c r="G87" s="1708"/>
      <c r="H87" s="1709"/>
      <c r="I87" s="2924"/>
      <c r="J87" s="1766"/>
      <c r="K87" s="1767"/>
      <c r="L87" s="1768"/>
      <c r="M87" s="1769"/>
      <c r="N87" s="3178"/>
      <c r="O87" s="1768"/>
      <c r="P87" s="1770"/>
      <c r="Q87" s="3122"/>
      <c r="R87" s="1771"/>
      <c r="S87" s="1772"/>
      <c r="T87" s="1834"/>
      <c r="U87" s="2819"/>
      <c r="V87" s="3187"/>
      <c r="W87" s="2890"/>
      <c r="X87" s="1835"/>
      <c r="Y87" s="1836"/>
      <c r="Z87" s="3298"/>
      <c r="AA87" s="2728"/>
      <c r="AB87" s="2721"/>
      <c r="AC87" s="1837"/>
      <c r="AD87" s="1838"/>
      <c r="AE87" s="1839"/>
      <c r="AF87" s="1706"/>
      <c r="AG87" s="1707"/>
      <c r="AH87" s="1887"/>
      <c r="AI87" s="1888"/>
      <c r="AJ87" s="2935"/>
      <c r="AK87" s="1889"/>
      <c r="AL87" s="1890"/>
      <c r="AM87" s="1769"/>
      <c r="AN87" s="3167"/>
      <c r="AO87" s="1770"/>
      <c r="AP87" s="3122"/>
      <c r="AQ87" s="1891"/>
      <c r="AR87" s="1892"/>
      <c r="AS87" s="1891"/>
      <c r="AT87" s="1920"/>
      <c r="AU87" s="2866"/>
      <c r="AV87" s="3114"/>
      <c r="AW87" s="3290"/>
      <c r="AX87" s="3195"/>
      <c r="AY87" s="2882"/>
      <c r="AZ87" s="2874"/>
      <c r="BA87" s="2826"/>
      <c r="BB87" s="2728"/>
      <c r="BC87" s="2721"/>
      <c r="BD87" s="1921"/>
      <c r="BE87" s="1922"/>
      <c r="BF87" s="1923"/>
      <c r="BG87" s="1924"/>
      <c r="BH87" s="1947"/>
      <c r="BI87" s="1891"/>
      <c r="BJ87" s="1948"/>
      <c r="BK87" s="1924"/>
      <c r="BL87" s="3635"/>
      <c r="BM87" s="3635"/>
      <c r="BN87" s="1942"/>
      <c r="BO87" s="1945"/>
      <c r="BP87" s="3631"/>
    </row>
    <row r="88" spans="1:68" ht="15.75" thickBot="1">
      <c r="A88" s="3723"/>
      <c r="B88" s="1738" t="s">
        <v>32</v>
      </c>
      <c r="C88" s="3678">
        <f>SUM(D88:D91)</f>
        <v>0</v>
      </c>
      <c r="D88" s="1689">
        <f t="shared" ref="D88:D122" si="1">SUM(E88:BK88)</f>
        <v>0</v>
      </c>
      <c r="E88" s="1690"/>
      <c r="F88" s="1691"/>
      <c r="G88" s="1692"/>
      <c r="H88" s="1693"/>
      <c r="I88" s="2923"/>
      <c r="J88" s="1745"/>
      <c r="K88" s="1746"/>
      <c r="L88" s="1747"/>
      <c r="M88" s="1748"/>
      <c r="N88" s="3177"/>
      <c r="O88" s="1747"/>
      <c r="P88" s="1749"/>
      <c r="Q88" s="3121"/>
      <c r="R88" s="1750"/>
      <c r="S88" s="1751"/>
      <c r="T88" s="1815"/>
      <c r="U88" s="2818"/>
      <c r="V88" s="3186"/>
      <c r="W88" s="2889"/>
      <c r="X88" s="1816"/>
      <c r="Y88" s="1817"/>
      <c r="Z88" s="3297"/>
      <c r="AA88" s="2727"/>
      <c r="AB88" s="2720"/>
      <c r="AC88" s="1818"/>
      <c r="AD88" s="1819"/>
      <c r="AE88" s="1820"/>
      <c r="AF88" s="1726"/>
      <c r="AG88" s="1691"/>
      <c r="AH88" s="1869"/>
      <c r="AI88" s="1893"/>
      <c r="AJ88" s="2938"/>
      <c r="AK88" s="1854"/>
      <c r="AL88" s="1894"/>
      <c r="AM88" s="1748"/>
      <c r="AN88" s="3166"/>
      <c r="AO88" s="1749"/>
      <c r="AP88" s="3121"/>
      <c r="AQ88" s="1873"/>
      <c r="AR88" s="1874"/>
      <c r="AS88" s="1873"/>
      <c r="AT88" s="1909"/>
      <c r="AU88" s="2865"/>
      <c r="AV88" s="3113"/>
      <c r="AW88" s="3289"/>
      <c r="AX88" s="3194"/>
      <c r="AY88" s="2881"/>
      <c r="AZ88" s="2873"/>
      <c r="BA88" s="2825"/>
      <c r="BB88" s="2727"/>
      <c r="BC88" s="2720"/>
      <c r="BD88" s="1910"/>
      <c r="BE88" s="1911"/>
      <c r="BF88" s="1864"/>
      <c r="BG88" s="1865"/>
      <c r="BH88" s="1726"/>
      <c r="BI88" s="1873"/>
      <c r="BJ88" s="1940"/>
      <c r="BK88" s="1865"/>
      <c r="BL88" s="3633">
        <f>SUM(E88:AE91)</f>
        <v>0</v>
      </c>
      <c r="BM88" s="3636">
        <f>SUM(E88:BG91)</f>
        <v>0</v>
      </c>
      <c r="BN88" s="1942"/>
      <c r="BO88" s="1945"/>
      <c r="BP88" s="3675" t="s">
        <v>33</v>
      </c>
    </row>
    <row r="89" spans="1:68" ht="15.75" thickBot="1">
      <c r="A89" s="3724"/>
      <c r="B89" s="1694" t="s">
        <v>34</v>
      </c>
      <c r="C89" s="3679"/>
      <c r="D89" s="1705">
        <f t="shared" si="1"/>
        <v>0</v>
      </c>
      <c r="E89" s="1706"/>
      <c r="F89" s="1707"/>
      <c r="G89" s="1708"/>
      <c r="H89" s="1709"/>
      <c r="I89" s="2924"/>
      <c r="J89" s="1766"/>
      <c r="K89" s="1767"/>
      <c r="L89" s="1768"/>
      <c r="M89" s="1769"/>
      <c r="N89" s="3178"/>
      <c r="O89" s="1768"/>
      <c r="P89" s="1770"/>
      <c r="Q89" s="3122"/>
      <c r="R89" s="1771"/>
      <c r="S89" s="1772"/>
      <c r="T89" s="1834"/>
      <c r="U89" s="2819"/>
      <c r="V89" s="3187"/>
      <c r="W89" s="2890"/>
      <c r="X89" s="1835"/>
      <c r="Y89" s="1836"/>
      <c r="Z89" s="3298"/>
      <c r="AA89" s="2728"/>
      <c r="AB89" s="2721"/>
      <c r="AC89" s="1837"/>
      <c r="AD89" s="1838"/>
      <c r="AE89" s="1839"/>
      <c r="AF89" s="1706"/>
      <c r="AG89" s="1707"/>
      <c r="AH89" s="1887"/>
      <c r="AI89" s="1888"/>
      <c r="AJ89" s="2935"/>
      <c r="AK89" s="1889"/>
      <c r="AL89" s="1890"/>
      <c r="AM89" s="1769"/>
      <c r="AN89" s="3167"/>
      <c r="AO89" s="1770"/>
      <c r="AP89" s="3122"/>
      <c r="AQ89" s="1891"/>
      <c r="AR89" s="1892"/>
      <c r="AS89" s="1891"/>
      <c r="AT89" s="1920"/>
      <c r="AU89" s="2866"/>
      <c r="AV89" s="3114"/>
      <c r="AW89" s="3290"/>
      <c r="AX89" s="3195"/>
      <c r="AY89" s="2882"/>
      <c r="AZ89" s="2874"/>
      <c r="BA89" s="2826"/>
      <c r="BB89" s="2728"/>
      <c r="BC89" s="2721"/>
      <c r="BD89" s="1921"/>
      <c r="BE89" s="1922"/>
      <c r="BF89" s="1923"/>
      <c r="BG89" s="1924"/>
      <c r="BH89" s="1947"/>
      <c r="BI89" s="1891"/>
      <c r="BJ89" s="1948"/>
      <c r="BK89" s="1924"/>
      <c r="BL89" s="3634"/>
      <c r="BM89" s="3637"/>
      <c r="BN89" s="1942"/>
      <c r="BO89" s="1945"/>
      <c r="BP89" s="3632"/>
    </row>
    <row r="90" spans="1:68" ht="15.75" thickBot="1">
      <c r="A90" s="3724"/>
      <c r="B90" s="1694" t="s">
        <v>34</v>
      </c>
      <c r="C90" s="3679"/>
      <c r="D90" s="1705">
        <f t="shared" si="1"/>
        <v>0</v>
      </c>
      <c r="E90" s="1706"/>
      <c r="F90" s="1707"/>
      <c r="G90" s="1708"/>
      <c r="H90" s="1709"/>
      <c r="I90" s="2924"/>
      <c r="J90" s="1766"/>
      <c r="K90" s="1767"/>
      <c r="L90" s="1768"/>
      <c r="M90" s="1769"/>
      <c r="N90" s="3178"/>
      <c r="O90" s="1768"/>
      <c r="P90" s="1770"/>
      <c r="Q90" s="3122"/>
      <c r="R90" s="1771"/>
      <c r="S90" s="1772"/>
      <c r="T90" s="1834"/>
      <c r="U90" s="2819"/>
      <c r="V90" s="3187"/>
      <c r="W90" s="2890"/>
      <c r="X90" s="1835"/>
      <c r="Y90" s="1836"/>
      <c r="Z90" s="3298"/>
      <c r="AA90" s="2728"/>
      <c r="AB90" s="2721"/>
      <c r="AC90" s="1837"/>
      <c r="AD90" s="1838"/>
      <c r="AE90" s="1839"/>
      <c r="AF90" s="1706"/>
      <c r="AG90" s="1707"/>
      <c r="AH90" s="1887"/>
      <c r="AI90" s="1888"/>
      <c r="AJ90" s="2935"/>
      <c r="AK90" s="1889"/>
      <c r="AL90" s="1890"/>
      <c r="AM90" s="1769"/>
      <c r="AN90" s="3167"/>
      <c r="AO90" s="1770"/>
      <c r="AP90" s="3122"/>
      <c r="AQ90" s="1891"/>
      <c r="AR90" s="1892"/>
      <c r="AS90" s="1891"/>
      <c r="AT90" s="1920"/>
      <c r="AU90" s="2866"/>
      <c r="AV90" s="3114"/>
      <c r="AW90" s="3290"/>
      <c r="AX90" s="3195"/>
      <c r="AY90" s="2882"/>
      <c r="AZ90" s="2874"/>
      <c r="BA90" s="2826"/>
      <c r="BB90" s="2728"/>
      <c r="BC90" s="2721"/>
      <c r="BD90" s="1921"/>
      <c r="BE90" s="1922"/>
      <c r="BF90" s="1923"/>
      <c r="BG90" s="1924"/>
      <c r="BH90" s="1947"/>
      <c r="BI90" s="1891"/>
      <c r="BJ90" s="1948"/>
      <c r="BK90" s="1924"/>
      <c r="BL90" s="3634"/>
      <c r="BM90" s="3637"/>
      <c r="BN90" s="1942"/>
      <c r="BO90" s="1945"/>
      <c r="BP90" s="3632"/>
    </row>
    <row r="91" spans="1:68" ht="15.75" thickBot="1">
      <c r="A91" s="3724"/>
      <c r="B91" s="1694" t="s">
        <v>34</v>
      </c>
      <c r="C91" s="3679"/>
      <c r="D91" s="1705">
        <f t="shared" si="1"/>
        <v>0</v>
      </c>
      <c r="E91" s="1706"/>
      <c r="F91" s="1707"/>
      <c r="G91" s="1708"/>
      <c r="H91" s="1709"/>
      <c r="I91" s="2924"/>
      <c r="J91" s="1766"/>
      <c r="K91" s="1767"/>
      <c r="L91" s="1768"/>
      <c r="M91" s="1769"/>
      <c r="N91" s="3178"/>
      <c r="O91" s="1768"/>
      <c r="P91" s="1770"/>
      <c r="Q91" s="3122"/>
      <c r="R91" s="1771"/>
      <c r="S91" s="1772"/>
      <c r="T91" s="1834"/>
      <c r="U91" s="2819"/>
      <c r="V91" s="3187"/>
      <c r="W91" s="2890"/>
      <c r="X91" s="1835"/>
      <c r="Y91" s="1836"/>
      <c r="Z91" s="3298"/>
      <c r="AA91" s="2728"/>
      <c r="AB91" s="2721"/>
      <c r="AC91" s="1837"/>
      <c r="AD91" s="1838"/>
      <c r="AE91" s="1839"/>
      <c r="AF91" s="1706"/>
      <c r="AG91" s="1707"/>
      <c r="AH91" s="1887"/>
      <c r="AI91" s="1888"/>
      <c r="AJ91" s="2935"/>
      <c r="AK91" s="1889"/>
      <c r="AL91" s="1890"/>
      <c r="AM91" s="1769"/>
      <c r="AN91" s="3167"/>
      <c r="AO91" s="1770"/>
      <c r="AP91" s="3122"/>
      <c r="AQ91" s="1891"/>
      <c r="AR91" s="1892"/>
      <c r="AS91" s="1891"/>
      <c r="AT91" s="1920"/>
      <c r="AU91" s="2866"/>
      <c r="AV91" s="3114"/>
      <c r="AW91" s="3290"/>
      <c r="AX91" s="3195"/>
      <c r="AY91" s="2882"/>
      <c r="AZ91" s="2874"/>
      <c r="BA91" s="2826"/>
      <c r="BB91" s="2728"/>
      <c r="BC91" s="2721"/>
      <c r="BD91" s="1921"/>
      <c r="BE91" s="1922"/>
      <c r="BF91" s="1923"/>
      <c r="BG91" s="1924"/>
      <c r="BH91" s="1947"/>
      <c r="BI91" s="1891"/>
      <c r="BJ91" s="1948"/>
      <c r="BK91" s="1924"/>
      <c r="BL91" s="3634"/>
      <c r="BM91" s="3637"/>
      <c r="BN91" s="1942"/>
      <c r="BO91" s="1945"/>
      <c r="BP91" s="3632"/>
    </row>
    <row r="92" spans="1:68" ht="15.75" thickBot="1">
      <c r="A92" s="3723"/>
      <c r="B92" s="1738" t="s">
        <v>32</v>
      </c>
      <c r="C92" s="3678">
        <f>SUM(D92:D95)</f>
        <v>0</v>
      </c>
      <c r="D92" s="1689">
        <f t="shared" si="1"/>
        <v>0</v>
      </c>
      <c r="E92" s="1690"/>
      <c r="F92" s="1691"/>
      <c r="G92" s="1692"/>
      <c r="H92" s="1693"/>
      <c r="I92" s="2923"/>
      <c r="J92" s="1745"/>
      <c r="K92" s="1746"/>
      <c r="L92" s="1747"/>
      <c r="M92" s="1692"/>
      <c r="N92" s="3177"/>
      <c r="O92" s="1747"/>
      <c r="P92" s="1749"/>
      <c r="Q92" s="3121"/>
      <c r="R92" s="1750"/>
      <c r="S92" s="1751"/>
      <c r="T92" s="1815"/>
      <c r="U92" s="2818"/>
      <c r="V92" s="3186"/>
      <c r="W92" s="2889"/>
      <c r="X92" s="1816"/>
      <c r="Y92" s="1817"/>
      <c r="Z92" s="3297"/>
      <c r="AA92" s="2727"/>
      <c r="AB92" s="2720"/>
      <c r="AC92" s="1818"/>
      <c r="AD92" s="1819"/>
      <c r="AE92" s="1820"/>
      <c r="AF92" s="1726"/>
      <c r="AG92" s="1691"/>
      <c r="AH92" s="1869"/>
      <c r="AI92" s="1893"/>
      <c r="AJ92" s="2938"/>
      <c r="AK92" s="1854"/>
      <c r="AL92" s="1894"/>
      <c r="AM92" s="1748"/>
      <c r="AN92" s="3166"/>
      <c r="AO92" s="1749"/>
      <c r="AP92" s="3121"/>
      <c r="AQ92" s="1873"/>
      <c r="AR92" s="1874"/>
      <c r="AS92" s="1873"/>
      <c r="AT92" s="1909"/>
      <c r="AU92" s="2865"/>
      <c r="AV92" s="3113"/>
      <c r="AW92" s="3289"/>
      <c r="AX92" s="3194"/>
      <c r="AY92" s="2881"/>
      <c r="AZ92" s="2873"/>
      <c r="BA92" s="2825"/>
      <c r="BB92" s="2727"/>
      <c r="BC92" s="2720"/>
      <c r="BD92" s="1910"/>
      <c r="BE92" s="1911"/>
      <c r="BF92" s="1864"/>
      <c r="BG92" s="1865"/>
      <c r="BH92" s="1726"/>
      <c r="BI92" s="1873"/>
      <c r="BJ92" s="1940"/>
      <c r="BK92" s="1865"/>
      <c r="BL92" s="3633">
        <f>SUM(E92:AE95)</f>
        <v>0</v>
      </c>
      <c r="BM92" s="3633">
        <f>SUM(E92:BG95)</f>
        <v>0</v>
      </c>
      <c r="BN92" s="1942"/>
      <c r="BO92" s="1945"/>
      <c r="BP92" s="3629" t="s">
        <v>33</v>
      </c>
    </row>
    <row r="93" spans="1:68" ht="15.75" thickBot="1">
      <c r="A93" s="3724"/>
      <c r="B93" s="1694" t="s">
        <v>34</v>
      </c>
      <c r="C93" s="3679"/>
      <c r="D93" s="1705">
        <f t="shared" si="1"/>
        <v>0</v>
      </c>
      <c r="E93" s="1706"/>
      <c r="F93" s="1707"/>
      <c r="G93" s="1708"/>
      <c r="H93" s="1709"/>
      <c r="I93" s="2924"/>
      <c r="J93" s="1766"/>
      <c r="K93" s="1767"/>
      <c r="L93" s="1768"/>
      <c r="M93" s="1769"/>
      <c r="N93" s="3178"/>
      <c r="O93" s="1768"/>
      <c r="P93" s="1770"/>
      <c r="Q93" s="3122"/>
      <c r="R93" s="1771"/>
      <c r="S93" s="1772"/>
      <c r="T93" s="1834"/>
      <c r="U93" s="2819"/>
      <c r="V93" s="3187"/>
      <c r="W93" s="2890"/>
      <c r="X93" s="1835"/>
      <c r="Y93" s="1836"/>
      <c r="Z93" s="3298"/>
      <c r="AA93" s="2728"/>
      <c r="AB93" s="2721"/>
      <c r="AC93" s="1837"/>
      <c r="AD93" s="1838"/>
      <c r="AE93" s="1839"/>
      <c r="AF93" s="1706"/>
      <c r="AG93" s="1707"/>
      <c r="AH93" s="1887"/>
      <c r="AI93" s="1888"/>
      <c r="AJ93" s="2935"/>
      <c r="AK93" s="1889"/>
      <c r="AL93" s="1890"/>
      <c r="AM93" s="1769"/>
      <c r="AN93" s="3167"/>
      <c r="AO93" s="1770"/>
      <c r="AP93" s="3122"/>
      <c r="AQ93" s="1891"/>
      <c r="AR93" s="1892"/>
      <c r="AS93" s="1891"/>
      <c r="AT93" s="1920"/>
      <c r="AU93" s="2866"/>
      <c r="AV93" s="3114"/>
      <c r="AW93" s="3290"/>
      <c r="AX93" s="3195"/>
      <c r="AY93" s="2882"/>
      <c r="AZ93" s="2874"/>
      <c r="BA93" s="2826"/>
      <c r="BB93" s="2728"/>
      <c r="BC93" s="2721"/>
      <c r="BD93" s="1921"/>
      <c r="BE93" s="1922"/>
      <c r="BF93" s="1923"/>
      <c r="BG93" s="1924"/>
      <c r="BH93" s="1947"/>
      <c r="BI93" s="1891"/>
      <c r="BJ93" s="1948"/>
      <c r="BK93" s="1924"/>
      <c r="BL93" s="3634"/>
      <c r="BM93" s="3634"/>
      <c r="BN93" s="1942"/>
      <c r="BO93" s="1945"/>
      <c r="BP93" s="3630"/>
    </row>
    <row r="94" spans="1:68" ht="15.75" thickBot="1">
      <c r="A94" s="3724"/>
      <c r="B94" s="1694" t="s">
        <v>34</v>
      </c>
      <c r="C94" s="3679"/>
      <c r="D94" s="1705">
        <f t="shared" si="1"/>
        <v>0</v>
      </c>
      <c r="E94" s="1706"/>
      <c r="F94" s="1707"/>
      <c r="G94" s="1708"/>
      <c r="H94" s="1709"/>
      <c r="I94" s="2924"/>
      <c r="J94" s="1766"/>
      <c r="K94" s="1767"/>
      <c r="L94" s="1768"/>
      <c r="M94" s="1769"/>
      <c r="N94" s="3178"/>
      <c r="O94" s="1768"/>
      <c r="P94" s="1770"/>
      <c r="Q94" s="3122"/>
      <c r="R94" s="1771"/>
      <c r="S94" s="1772"/>
      <c r="T94" s="1834"/>
      <c r="U94" s="2819"/>
      <c r="V94" s="3187"/>
      <c r="W94" s="2890"/>
      <c r="X94" s="1835"/>
      <c r="Y94" s="1836"/>
      <c r="Z94" s="3298"/>
      <c r="AA94" s="2728"/>
      <c r="AB94" s="2721"/>
      <c r="AC94" s="1837"/>
      <c r="AD94" s="1838"/>
      <c r="AE94" s="1839"/>
      <c r="AF94" s="1706"/>
      <c r="AG94" s="1707"/>
      <c r="AH94" s="1887"/>
      <c r="AI94" s="1888"/>
      <c r="AJ94" s="2935"/>
      <c r="AK94" s="1889"/>
      <c r="AL94" s="1890"/>
      <c r="AM94" s="1769"/>
      <c r="AN94" s="3167"/>
      <c r="AO94" s="1770"/>
      <c r="AP94" s="3122"/>
      <c r="AQ94" s="1891"/>
      <c r="AR94" s="1892"/>
      <c r="AS94" s="1891"/>
      <c r="AT94" s="1920"/>
      <c r="AU94" s="2866"/>
      <c r="AV94" s="3114"/>
      <c r="AW94" s="3290"/>
      <c r="AX94" s="3195"/>
      <c r="AY94" s="2882"/>
      <c r="AZ94" s="2874"/>
      <c r="BA94" s="2826"/>
      <c r="BB94" s="2728"/>
      <c r="BC94" s="2721"/>
      <c r="BD94" s="1921"/>
      <c r="BE94" s="1922"/>
      <c r="BF94" s="1923"/>
      <c r="BG94" s="1924"/>
      <c r="BH94" s="1947"/>
      <c r="BI94" s="1891"/>
      <c r="BJ94" s="1948"/>
      <c r="BK94" s="1924"/>
      <c r="BL94" s="3634"/>
      <c r="BM94" s="3634"/>
      <c r="BN94" s="1953"/>
      <c r="BO94" s="1945"/>
      <c r="BP94" s="3630"/>
    </row>
    <row r="95" spans="1:68" ht="15.75" thickBot="1">
      <c r="A95" s="3724"/>
      <c r="B95" s="1694" t="s">
        <v>34</v>
      </c>
      <c r="C95" s="3679"/>
      <c r="D95" s="1705">
        <f t="shared" si="1"/>
        <v>0</v>
      </c>
      <c r="E95" s="1706"/>
      <c r="F95" s="1707"/>
      <c r="G95" s="1708"/>
      <c r="H95" s="1709"/>
      <c r="I95" s="2924"/>
      <c r="J95" s="1766"/>
      <c r="K95" s="1767"/>
      <c r="L95" s="1768"/>
      <c r="M95" s="1708"/>
      <c r="N95" s="3178"/>
      <c r="O95" s="1768"/>
      <c r="P95" s="1770"/>
      <c r="Q95" s="3122"/>
      <c r="R95" s="1771"/>
      <c r="S95" s="1772"/>
      <c r="T95" s="1834"/>
      <c r="U95" s="2819"/>
      <c r="V95" s="3187"/>
      <c r="W95" s="2890"/>
      <c r="X95" s="1835"/>
      <c r="Y95" s="1836"/>
      <c r="Z95" s="3298"/>
      <c r="AA95" s="2728"/>
      <c r="AB95" s="2721"/>
      <c r="AC95" s="1837"/>
      <c r="AD95" s="1838"/>
      <c r="AE95" s="1839"/>
      <c r="AF95" s="1706"/>
      <c r="AG95" s="1707"/>
      <c r="AH95" s="1887"/>
      <c r="AI95" s="1888"/>
      <c r="AJ95" s="2935"/>
      <c r="AK95" s="1889"/>
      <c r="AL95" s="1890"/>
      <c r="AM95" s="1708"/>
      <c r="AN95" s="3171"/>
      <c r="AO95" s="1770"/>
      <c r="AP95" s="3122"/>
      <c r="AQ95" s="1891"/>
      <c r="AR95" s="1892"/>
      <c r="AS95" s="1891"/>
      <c r="AT95" s="1920"/>
      <c r="AU95" s="2866"/>
      <c r="AV95" s="3114"/>
      <c r="AW95" s="3290"/>
      <c r="AX95" s="3195"/>
      <c r="AY95" s="2882"/>
      <c r="AZ95" s="2874"/>
      <c r="BA95" s="2826"/>
      <c r="BB95" s="2728"/>
      <c r="BC95" s="2721"/>
      <c r="BD95" s="1921"/>
      <c r="BE95" s="1922"/>
      <c r="BF95" s="1923"/>
      <c r="BG95" s="1924"/>
      <c r="BH95" s="1947"/>
      <c r="BI95" s="1891"/>
      <c r="BJ95" s="1948"/>
      <c r="BK95" s="1924"/>
      <c r="BL95" s="3634"/>
      <c r="BM95" s="3634"/>
      <c r="BN95" s="1953"/>
      <c r="BO95" s="1945"/>
      <c r="BP95" s="3630"/>
    </row>
    <row r="96" spans="1:68" ht="15.75" thickBot="1">
      <c r="A96" s="3723"/>
      <c r="B96" s="1738" t="s">
        <v>32</v>
      </c>
      <c r="C96" s="3678">
        <f>SUM(D96:D99)</f>
        <v>0</v>
      </c>
      <c r="D96" s="1689">
        <f t="shared" si="1"/>
        <v>0</v>
      </c>
      <c r="E96" s="1690"/>
      <c r="F96" s="1691"/>
      <c r="G96" s="1692"/>
      <c r="H96" s="1693"/>
      <c r="I96" s="2923"/>
      <c r="J96" s="1745"/>
      <c r="K96" s="1746"/>
      <c r="L96" s="1747"/>
      <c r="M96" s="1692"/>
      <c r="N96" s="3177"/>
      <c r="O96" s="1747"/>
      <c r="P96" s="1749"/>
      <c r="Q96" s="3121"/>
      <c r="R96" s="1750"/>
      <c r="S96" s="1751"/>
      <c r="T96" s="1815"/>
      <c r="U96" s="2818"/>
      <c r="V96" s="3186"/>
      <c r="W96" s="2889"/>
      <c r="X96" s="1816"/>
      <c r="Y96" s="1817"/>
      <c r="Z96" s="3297"/>
      <c r="AA96" s="2727"/>
      <c r="AB96" s="2720"/>
      <c r="AC96" s="1818"/>
      <c r="AD96" s="1819"/>
      <c r="AE96" s="1820"/>
      <c r="AF96" s="1726"/>
      <c r="AG96" s="1691"/>
      <c r="AH96" s="1869"/>
      <c r="AI96" s="1893"/>
      <c r="AJ96" s="2938"/>
      <c r="AK96" s="1854"/>
      <c r="AL96" s="1894"/>
      <c r="AM96" s="1748"/>
      <c r="AN96" s="3166"/>
      <c r="AO96" s="1749"/>
      <c r="AP96" s="3121"/>
      <c r="AQ96" s="1873"/>
      <c r="AR96" s="1874"/>
      <c r="AS96" s="1873"/>
      <c r="AT96" s="1909"/>
      <c r="AU96" s="2865"/>
      <c r="AV96" s="3113"/>
      <c r="AW96" s="3289"/>
      <c r="AX96" s="3194"/>
      <c r="AY96" s="2881"/>
      <c r="AZ96" s="2873"/>
      <c r="BA96" s="2825"/>
      <c r="BB96" s="2727"/>
      <c r="BC96" s="2720"/>
      <c r="BD96" s="1910"/>
      <c r="BE96" s="1911"/>
      <c r="BF96" s="1864"/>
      <c r="BG96" s="1865"/>
      <c r="BH96" s="1726"/>
      <c r="BI96" s="1873"/>
      <c r="BJ96" s="1940"/>
      <c r="BK96" s="1865"/>
      <c r="BL96" s="3633">
        <f>SUM(E96:AE99)</f>
        <v>0</v>
      </c>
      <c r="BM96" s="3633">
        <f>SUM(E96:BG99)</f>
        <v>0</v>
      </c>
      <c r="BN96" s="1953"/>
      <c r="BO96" s="1945"/>
      <c r="BP96" s="3629" t="s">
        <v>33</v>
      </c>
    </row>
    <row r="97" spans="1:68" ht="15.75" thickBot="1">
      <c r="A97" s="3724"/>
      <c r="B97" s="1694" t="s">
        <v>34</v>
      </c>
      <c r="C97" s="3679"/>
      <c r="D97" s="1705">
        <f t="shared" si="1"/>
        <v>0</v>
      </c>
      <c r="E97" s="1706"/>
      <c r="F97" s="1707"/>
      <c r="G97" s="1708"/>
      <c r="H97" s="1709"/>
      <c r="I97" s="2924"/>
      <c r="J97" s="1766"/>
      <c r="K97" s="1767"/>
      <c r="L97" s="1768"/>
      <c r="M97" s="1769"/>
      <c r="N97" s="3178"/>
      <c r="O97" s="1768"/>
      <c r="P97" s="1770"/>
      <c r="Q97" s="3122"/>
      <c r="R97" s="1771"/>
      <c r="S97" s="1772"/>
      <c r="T97" s="1834"/>
      <c r="U97" s="2819"/>
      <c r="V97" s="3187"/>
      <c r="W97" s="2890"/>
      <c r="X97" s="1835"/>
      <c r="Y97" s="1836"/>
      <c r="Z97" s="3298"/>
      <c r="AA97" s="2728"/>
      <c r="AB97" s="2721"/>
      <c r="AC97" s="1837"/>
      <c r="AD97" s="1838"/>
      <c r="AE97" s="1839"/>
      <c r="AF97" s="1706"/>
      <c r="AG97" s="1707"/>
      <c r="AH97" s="1887"/>
      <c r="AI97" s="1888"/>
      <c r="AJ97" s="2935"/>
      <c r="AK97" s="1889"/>
      <c r="AL97" s="1890"/>
      <c r="AM97" s="1769"/>
      <c r="AN97" s="3167"/>
      <c r="AO97" s="1770"/>
      <c r="AP97" s="3122"/>
      <c r="AQ97" s="1891"/>
      <c r="AR97" s="1892"/>
      <c r="AS97" s="1891"/>
      <c r="AT97" s="1920"/>
      <c r="AU97" s="2866"/>
      <c r="AV97" s="3114"/>
      <c r="AW97" s="3290"/>
      <c r="AX97" s="3195"/>
      <c r="AY97" s="2882"/>
      <c r="AZ97" s="2874"/>
      <c r="BA97" s="2826"/>
      <c r="BB97" s="2728"/>
      <c r="BC97" s="2721"/>
      <c r="BD97" s="1921"/>
      <c r="BE97" s="1922"/>
      <c r="BF97" s="1923"/>
      <c r="BG97" s="1924"/>
      <c r="BH97" s="1947"/>
      <c r="BI97" s="1891"/>
      <c r="BJ97" s="1948"/>
      <c r="BK97" s="1924"/>
      <c r="BL97" s="3634"/>
      <c r="BM97" s="3634"/>
      <c r="BN97" s="1953"/>
      <c r="BO97" s="1945"/>
      <c r="BP97" s="3630"/>
    </row>
    <row r="98" spans="1:68" ht="15.75" thickBot="1">
      <c r="A98" s="3724"/>
      <c r="B98" s="1694" t="s">
        <v>32</v>
      </c>
      <c r="C98" s="3679"/>
      <c r="D98" s="1705">
        <f t="shared" si="1"/>
        <v>0</v>
      </c>
      <c r="E98" s="1706"/>
      <c r="G98" s="1708"/>
      <c r="H98" s="1709"/>
      <c r="I98" s="2924"/>
      <c r="J98" s="1766"/>
      <c r="K98" s="1767"/>
      <c r="L98" s="1768"/>
      <c r="M98" s="1769"/>
      <c r="N98" s="3178"/>
      <c r="O98" s="1768"/>
      <c r="P98" s="1770"/>
      <c r="Q98" s="3122"/>
      <c r="R98" s="1771"/>
      <c r="S98" s="1772"/>
      <c r="T98" s="1834"/>
      <c r="U98" s="2819"/>
      <c r="V98" s="3187"/>
      <c r="W98" s="2890"/>
      <c r="X98" s="1835"/>
      <c r="Y98" s="1836"/>
      <c r="Z98" s="3298"/>
      <c r="AA98" s="2728"/>
      <c r="AB98" s="2721"/>
      <c r="AC98" s="1837"/>
      <c r="AD98" s="1838"/>
      <c r="AE98" s="1839"/>
      <c r="AF98" s="1706"/>
      <c r="AG98" s="1707"/>
      <c r="AH98" s="1887"/>
      <c r="AI98" s="1888"/>
      <c r="AJ98" s="2935"/>
      <c r="AK98" s="1889"/>
      <c r="AL98" s="1890"/>
      <c r="AM98" s="1769"/>
      <c r="AN98" s="3167"/>
      <c r="AO98" s="1770"/>
      <c r="AP98" s="3122"/>
      <c r="AQ98" s="1891"/>
      <c r="AR98" s="1892"/>
      <c r="AS98" s="1891"/>
      <c r="AT98" s="1920"/>
      <c r="AU98" s="2866"/>
      <c r="AV98" s="3114"/>
      <c r="AW98" s="3290"/>
      <c r="AX98" s="3195"/>
      <c r="AY98" s="2882"/>
      <c r="AZ98" s="2874"/>
      <c r="BA98" s="2826"/>
      <c r="BB98" s="2728"/>
      <c r="BC98" s="2721"/>
      <c r="BD98" s="1921"/>
      <c r="BE98" s="1922"/>
      <c r="BF98" s="1923"/>
      <c r="BG98" s="1924"/>
      <c r="BH98" s="1947"/>
      <c r="BI98" s="1891"/>
      <c r="BJ98" s="1948"/>
      <c r="BK98" s="1924"/>
      <c r="BL98" s="3634"/>
      <c r="BM98" s="3634"/>
      <c r="BN98" s="1953"/>
      <c r="BO98" s="1945"/>
      <c r="BP98" s="3630"/>
    </row>
    <row r="99" spans="1:68" ht="15.75" thickBot="1">
      <c r="A99" s="3724"/>
      <c r="B99" s="1694" t="s">
        <v>34</v>
      </c>
      <c r="C99" s="3679"/>
      <c r="D99" s="1705">
        <f t="shared" si="1"/>
        <v>0</v>
      </c>
      <c r="E99" s="1706"/>
      <c r="F99" s="1707"/>
      <c r="G99" s="1708"/>
      <c r="H99" s="1709"/>
      <c r="I99" s="2924"/>
      <c r="J99" s="1766"/>
      <c r="K99" s="1767"/>
      <c r="L99" s="1768"/>
      <c r="M99" s="1769"/>
      <c r="N99" s="3178"/>
      <c r="O99" s="1768"/>
      <c r="P99" s="1770"/>
      <c r="Q99" s="3122"/>
      <c r="R99" s="1771"/>
      <c r="S99" s="1772"/>
      <c r="T99" s="1834"/>
      <c r="U99" s="2819"/>
      <c r="V99" s="3187"/>
      <c r="W99" s="2890"/>
      <c r="X99" s="1835"/>
      <c r="Y99" s="1836"/>
      <c r="Z99" s="3298"/>
      <c r="AA99" s="2728"/>
      <c r="AB99" s="2721"/>
      <c r="AC99" s="1837"/>
      <c r="AD99" s="1838"/>
      <c r="AE99" s="1839"/>
      <c r="AF99" s="1706"/>
      <c r="AG99" s="1707"/>
      <c r="AH99" s="1887"/>
      <c r="AI99" s="1888"/>
      <c r="AJ99" s="2935"/>
      <c r="AK99" s="1889"/>
      <c r="AL99" s="1890"/>
      <c r="AM99" s="1769"/>
      <c r="AN99" s="3167"/>
      <c r="AO99" s="1770"/>
      <c r="AP99" s="3122"/>
      <c r="AQ99" s="1891"/>
      <c r="AR99" s="1892"/>
      <c r="AS99" s="1891"/>
      <c r="AT99" s="1920"/>
      <c r="AU99" s="2866"/>
      <c r="AV99" s="3114"/>
      <c r="AW99" s="3290"/>
      <c r="AX99" s="3195"/>
      <c r="AY99" s="2882"/>
      <c r="AZ99" s="2874"/>
      <c r="BA99" s="2826"/>
      <c r="BB99" s="2728"/>
      <c r="BC99" s="2721"/>
      <c r="BD99" s="1921"/>
      <c r="BE99" s="1922"/>
      <c r="BF99" s="1923"/>
      <c r="BG99" s="1924"/>
      <c r="BH99" s="1947"/>
      <c r="BI99" s="1891"/>
      <c r="BJ99" s="1948"/>
      <c r="BK99" s="1924"/>
      <c r="BL99" s="3634"/>
      <c r="BM99" s="3634"/>
      <c r="BN99" s="1953"/>
      <c r="BO99" s="1945"/>
      <c r="BP99" s="3630"/>
    </row>
    <row r="100" spans="1:68" ht="15.75" thickBot="1">
      <c r="A100" s="3725"/>
      <c r="B100" s="1738" t="s">
        <v>32</v>
      </c>
      <c r="C100" s="3678">
        <f>SUM(D100:D104)</f>
        <v>0</v>
      </c>
      <c r="D100" s="1689">
        <f t="shared" si="1"/>
        <v>0</v>
      </c>
      <c r="E100" s="1690"/>
      <c r="F100" s="1691"/>
      <c r="G100" s="1692"/>
      <c r="H100" s="1693"/>
      <c r="I100" s="2923"/>
      <c r="J100" s="1745"/>
      <c r="K100" s="1746"/>
      <c r="L100" s="1747"/>
      <c r="M100" s="1692"/>
      <c r="N100" s="3177"/>
      <c r="O100" s="1747"/>
      <c r="P100" s="1749"/>
      <c r="Q100" s="3121"/>
      <c r="R100" s="1750"/>
      <c r="S100" s="1751"/>
      <c r="T100" s="1815"/>
      <c r="U100" s="2818"/>
      <c r="V100" s="3186"/>
      <c r="W100" s="2889"/>
      <c r="X100" s="1816"/>
      <c r="Y100" s="1817"/>
      <c r="Z100" s="3297"/>
      <c r="AA100" s="2727"/>
      <c r="AB100" s="2720"/>
      <c r="AC100" s="1818"/>
      <c r="AD100" s="1819"/>
      <c r="AE100" s="1820"/>
      <c r="AF100" s="1726"/>
      <c r="AG100" s="1691"/>
      <c r="AH100" s="1869"/>
      <c r="AI100" s="1893"/>
      <c r="AJ100" s="2938"/>
      <c r="AK100" s="1854"/>
      <c r="AL100" s="1894"/>
      <c r="AM100" s="1748"/>
      <c r="AN100" s="3166"/>
      <c r="AO100" s="1749"/>
      <c r="AP100" s="3121"/>
      <c r="AQ100" s="1873"/>
      <c r="AR100" s="1874"/>
      <c r="AS100" s="1873"/>
      <c r="AT100" s="1909"/>
      <c r="AU100" s="2865"/>
      <c r="AV100" s="3113"/>
      <c r="AW100" s="3289"/>
      <c r="AX100" s="3194"/>
      <c r="AY100" s="2881"/>
      <c r="AZ100" s="2873"/>
      <c r="BA100" s="2825"/>
      <c r="BB100" s="2727"/>
      <c r="BC100" s="2720"/>
      <c r="BD100" s="1910"/>
      <c r="BE100" s="1911"/>
      <c r="BF100" s="1864"/>
      <c r="BG100" s="1865"/>
      <c r="BH100" s="1726"/>
      <c r="BI100" s="1873"/>
      <c r="BJ100" s="1940"/>
      <c r="BK100" s="1865"/>
      <c r="BL100" s="3633">
        <f>SUM(E100:AE104)</f>
        <v>0</v>
      </c>
      <c r="BM100" s="3633">
        <f>SUM(E100:BG104)</f>
        <v>0</v>
      </c>
      <c r="BN100" s="1953"/>
      <c r="BO100" s="1945"/>
      <c r="BP100" s="3629" t="s">
        <v>33</v>
      </c>
    </row>
    <row r="101" spans="1:68" ht="15.75" thickBot="1">
      <c r="A101" s="3726"/>
      <c r="B101" s="1694" t="s">
        <v>34</v>
      </c>
      <c r="C101" s="3679"/>
      <c r="D101" s="1705">
        <f t="shared" si="1"/>
        <v>0</v>
      </c>
      <c r="E101" s="1706"/>
      <c r="F101" s="1707"/>
      <c r="G101" s="1708"/>
      <c r="H101" s="1709"/>
      <c r="I101" s="2924"/>
      <c r="J101" s="1766"/>
      <c r="K101" s="1767"/>
      <c r="L101" s="1768"/>
      <c r="M101" s="1769"/>
      <c r="N101" s="3178"/>
      <c r="O101" s="1768"/>
      <c r="P101" s="1770"/>
      <c r="Q101" s="3122"/>
      <c r="R101" s="1771"/>
      <c r="S101" s="1772"/>
      <c r="T101" s="1834"/>
      <c r="U101" s="2819"/>
      <c r="V101" s="3187"/>
      <c r="W101" s="2890"/>
      <c r="X101" s="1835"/>
      <c r="Y101" s="1836"/>
      <c r="Z101" s="3298"/>
      <c r="AA101" s="2728"/>
      <c r="AB101" s="2721"/>
      <c r="AC101" s="1837"/>
      <c r="AD101" s="1838"/>
      <c r="AE101" s="1839"/>
      <c r="AF101" s="1706"/>
      <c r="AG101" s="1707"/>
      <c r="AH101" s="1887"/>
      <c r="AI101" s="1888"/>
      <c r="AJ101" s="2935"/>
      <c r="AK101" s="1889"/>
      <c r="AL101" s="1890"/>
      <c r="AM101" s="1769"/>
      <c r="AN101" s="3167"/>
      <c r="AO101" s="1770"/>
      <c r="AP101" s="3122"/>
      <c r="AQ101" s="1891"/>
      <c r="AR101" s="1892"/>
      <c r="AS101" s="1891"/>
      <c r="AT101" s="1920"/>
      <c r="AU101" s="2866"/>
      <c r="AV101" s="3114"/>
      <c r="AW101" s="3290"/>
      <c r="AX101" s="3195"/>
      <c r="AY101" s="2882"/>
      <c r="AZ101" s="2874"/>
      <c r="BA101" s="2826"/>
      <c r="BB101" s="2728"/>
      <c r="BC101" s="2721"/>
      <c r="BD101" s="1921"/>
      <c r="BE101" s="1922"/>
      <c r="BF101" s="1923"/>
      <c r="BG101" s="1924"/>
      <c r="BH101" s="1947"/>
      <c r="BI101" s="1891"/>
      <c r="BJ101" s="1948"/>
      <c r="BK101" s="1924"/>
      <c r="BL101" s="3634"/>
      <c r="BM101" s="3634"/>
      <c r="BN101" s="1942"/>
      <c r="BO101" s="1951"/>
      <c r="BP101" s="3630"/>
    </row>
    <row r="102" spans="1:68" ht="15.75" thickBot="1">
      <c r="A102" s="3726"/>
      <c r="B102" s="1694" t="s">
        <v>34</v>
      </c>
      <c r="C102" s="3679"/>
      <c r="D102" s="1705">
        <f t="shared" si="1"/>
        <v>0</v>
      </c>
      <c r="E102" s="1706"/>
      <c r="F102" s="1707"/>
      <c r="G102" s="1708"/>
      <c r="H102" s="1709"/>
      <c r="I102" s="2924"/>
      <c r="J102" s="1766"/>
      <c r="K102" s="1767"/>
      <c r="L102" s="1768"/>
      <c r="M102" s="1769"/>
      <c r="N102" s="3178"/>
      <c r="O102" s="1768"/>
      <c r="P102" s="1770"/>
      <c r="Q102" s="3122"/>
      <c r="R102" s="1771"/>
      <c r="S102" s="1772"/>
      <c r="T102" s="1834"/>
      <c r="U102" s="2819"/>
      <c r="V102" s="3187"/>
      <c r="W102" s="2890"/>
      <c r="X102" s="1835"/>
      <c r="Y102" s="1836"/>
      <c r="Z102" s="3298"/>
      <c r="AA102" s="2728"/>
      <c r="AB102" s="2721"/>
      <c r="AC102" s="1837"/>
      <c r="AD102" s="1838"/>
      <c r="AE102" s="1839"/>
      <c r="AF102" s="1706"/>
      <c r="AG102" s="1707"/>
      <c r="AH102" s="1887"/>
      <c r="AI102" s="1888"/>
      <c r="AJ102" s="2935"/>
      <c r="AK102" s="1889"/>
      <c r="AL102" s="1890"/>
      <c r="AM102" s="1769"/>
      <c r="AN102" s="3167"/>
      <c r="AO102" s="1770"/>
      <c r="AP102" s="3122"/>
      <c r="AQ102" s="1891"/>
      <c r="AR102" s="1892"/>
      <c r="AS102" s="1891"/>
      <c r="AT102" s="1920"/>
      <c r="AU102" s="2866"/>
      <c r="AV102" s="3114"/>
      <c r="AW102" s="3290"/>
      <c r="AX102" s="3195"/>
      <c r="AY102" s="2882"/>
      <c r="AZ102" s="2874"/>
      <c r="BA102" s="2826"/>
      <c r="BB102" s="2728"/>
      <c r="BC102" s="2721"/>
      <c r="BD102" s="1921"/>
      <c r="BE102" s="1922"/>
      <c r="BF102" s="1923"/>
      <c r="BG102" s="1924"/>
      <c r="BH102" s="1947"/>
      <c r="BI102" s="1891"/>
      <c r="BJ102" s="1948"/>
      <c r="BK102" s="1924"/>
      <c r="BL102" s="3634"/>
      <c r="BM102" s="3634"/>
      <c r="BN102" s="1942"/>
      <c r="BO102" s="1951"/>
      <c r="BP102" s="3630"/>
    </row>
    <row r="103" spans="1:68" ht="15.75" thickBot="1">
      <c r="A103" s="3726"/>
      <c r="B103" s="1694" t="s">
        <v>34</v>
      </c>
      <c r="C103" s="3679"/>
      <c r="D103" s="1705">
        <f t="shared" si="1"/>
        <v>0</v>
      </c>
      <c r="E103" s="1706"/>
      <c r="F103" s="1707"/>
      <c r="G103" s="1708"/>
      <c r="H103" s="1709"/>
      <c r="I103" s="2924"/>
      <c r="J103" s="1766"/>
      <c r="K103" s="1767"/>
      <c r="L103" s="1768"/>
      <c r="M103" s="1769"/>
      <c r="N103" s="3178"/>
      <c r="O103" s="1768"/>
      <c r="P103" s="1770"/>
      <c r="Q103" s="3122"/>
      <c r="R103" s="1771"/>
      <c r="S103" s="1772"/>
      <c r="T103" s="1834"/>
      <c r="U103" s="2819"/>
      <c r="V103" s="3187"/>
      <c r="W103" s="2890"/>
      <c r="X103" s="1835"/>
      <c r="Y103" s="1836"/>
      <c r="Z103" s="3298"/>
      <c r="AA103" s="2728"/>
      <c r="AB103" s="2721"/>
      <c r="AC103" s="1837"/>
      <c r="AD103" s="1838"/>
      <c r="AE103" s="1839"/>
      <c r="AF103" s="1706"/>
      <c r="AG103" s="1707"/>
      <c r="AH103" s="1887"/>
      <c r="AI103" s="1888"/>
      <c r="AJ103" s="2935"/>
      <c r="AK103" s="1889"/>
      <c r="AL103" s="1890"/>
      <c r="AM103" s="1769"/>
      <c r="AN103" s="3167"/>
      <c r="AO103" s="1770"/>
      <c r="AP103" s="3122"/>
      <c r="AQ103" s="1891"/>
      <c r="AR103" s="1892"/>
      <c r="AS103" s="1891"/>
      <c r="AT103" s="1920"/>
      <c r="AU103" s="2866"/>
      <c r="AV103" s="3114"/>
      <c r="AW103" s="3290"/>
      <c r="AX103" s="3195"/>
      <c r="AY103" s="2882"/>
      <c r="AZ103" s="2874"/>
      <c r="BA103" s="2826"/>
      <c r="BB103" s="2728"/>
      <c r="BC103" s="2721"/>
      <c r="BD103" s="1921"/>
      <c r="BE103" s="1922"/>
      <c r="BF103" s="1923"/>
      <c r="BG103" s="1924"/>
      <c r="BH103" s="1947"/>
      <c r="BI103" s="1891"/>
      <c r="BJ103" s="1948"/>
      <c r="BK103" s="1924"/>
      <c r="BL103" s="3634"/>
      <c r="BM103" s="3634"/>
      <c r="BN103" s="1942"/>
      <c r="BO103" s="1951"/>
      <c r="BP103" s="3630"/>
    </row>
    <row r="104" spans="1:68" ht="15.75" thickBot="1">
      <c r="A104" s="3727"/>
      <c r="B104" s="1694" t="s">
        <v>34</v>
      </c>
      <c r="C104" s="3681"/>
      <c r="D104" s="1705">
        <f t="shared" si="1"/>
        <v>0</v>
      </c>
      <c r="E104" s="1706"/>
      <c r="F104" s="1707"/>
      <c r="G104" s="1708"/>
      <c r="H104" s="1709"/>
      <c r="I104" s="2924"/>
      <c r="J104" s="1766"/>
      <c r="K104" s="1767"/>
      <c r="L104" s="1768"/>
      <c r="M104" s="1769"/>
      <c r="N104" s="3178"/>
      <c r="O104" s="1768"/>
      <c r="P104" s="1770"/>
      <c r="Q104" s="3122"/>
      <c r="R104" s="1771"/>
      <c r="S104" s="1772"/>
      <c r="T104" s="1834"/>
      <c r="U104" s="2819"/>
      <c r="V104" s="3187"/>
      <c r="W104" s="2890"/>
      <c r="X104" s="1835"/>
      <c r="Y104" s="1836"/>
      <c r="Z104" s="3298"/>
      <c r="AA104" s="2728"/>
      <c r="AB104" s="2721"/>
      <c r="AC104" s="1837"/>
      <c r="AD104" s="1838"/>
      <c r="AE104" s="1839"/>
      <c r="AF104" s="1706"/>
      <c r="AG104" s="1707"/>
      <c r="AH104" s="1887"/>
      <c r="AI104" s="1888"/>
      <c r="AJ104" s="2935"/>
      <c r="AK104" s="1889"/>
      <c r="AL104" s="1890"/>
      <c r="AM104" s="1769"/>
      <c r="AN104" s="3167"/>
      <c r="AO104" s="1770"/>
      <c r="AP104" s="3122"/>
      <c r="AQ104" s="1891"/>
      <c r="AR104" s="1892"/>
      <c r="AS104" s="1891"/>
      <c r="AT104" s="1920"/>
      <c r="AU104" s="2866"/>
      <c r="AV104" s="3114"/>
      <c r="AW104" s="3290"/>
      <c r="AX104" s="3195"/>
      <c r="AY104" s="2882"/>
      <c r="AZ104" s="2874"/>
      <c r="BA104" s="2826"/>
      <c r="BB104" s="2728"/>
      <c r="BC104" s="2721"/>
      <c r="BD104" s="1921"/>
      <c r="BE104" s="1922"/>
      <c r="BF104" s="1923"/>
      <c r="BG104" s="1924"/>
      <c r="BH104" s="1947"/>
      <c r="BI104" s="1891"/>
      <c r="BJ104" s="1948"/>
      <c r="BK104" s="1924"/>
      <c r="BL104" s="3635"/>
      <c r="BM104" s="3635"/>
      <c r="BN104" s="1953"/>
      <c r="BO104" s="1951"/>
      <c r="BP104" s="3631"/>
    </row>
    <row r="105" spans="1:68" ht="15.75" thickBot="1">
      <c r="A105" s="3723"/>
      <c r="B105" s="1738" t="s">
        <v>32</v>
      </c>
      <c r="C105" s="3678">
        <f>SUM(D105:D107)</f>
        <v>0</v>
      </c>
      <c r="D105" s="1689">
        <f t="shared" si="1"/>
        <v>0</v>
      </c>
      <c r="E105" s="1690"/>
      <c r="F105" s="1691"/>
      <c r="G105" s="1692"/>
      <c r="H105" s="1693"/>
      <c r="I105" s="2923"/>
      <c r="J105" s="1745"/>
      <c r="K105" s="1746"/>
      <c r="L105" s="1747"/>
      <c r="M105" s="1748"/>
      <c r="N105" s="3177"/>
      <c r="O105" s="1747"/>
      <c r="P105" s="1749"/>
      <c r="Q105" s="3121"/>
      <c r="R105" s="1750"/>
      <c r="S105" s="1751"/>
      <c r="T105" s="1815"/>
      <c r="U105" s="2818"/>
      <c r="V105" s="3186"/>
      <c r="W105" s="2889"/>
      <c r="X105" s="1816"/>
      <c r="Y105" s="1817"/>
      <c r="Z105" s="3297"/>
      <c r="AA105" s="2727"/>
      <c r="AB105" s="2720"/>
      <c r="AC105" s="1818"/>
      <c r="AD105" s="1819"/>
      <c r="AE105" s="1820"/>
      <c r="AF105" s="1726"/>
      <c r="AG105" s="1691"/>
      <c r="AH105" s="1869"/>
      <c r="AI105" s="1893"/>
      <c r="AJ105" s="2938"/>
      <c r="AK105" s="1854"/>
      <c r="AL105" s="1894"/>
      <c r="AM105" s="1748"/>
      <c r="AN105" s="3166"/>
      <c r="AO105" s="1749"/>
      <c r="AP105" s="3121"/>
      <c r="AQ105" s="1873"/>
      <c r="AR105" s="1874"/>
      <c r="AS105" s="1873"/>
      <c r="AT105" s="1909"/>
      <c r="AU105" s="2865"/>
      <c r="AV105" s="3113"/>
      <c r="AW105" s="3289"/>
      <c r="AX105" s="3194"/>
      <c r="AY105" s="2881"/>
      <c r="AZ105" s="2873"/>
      <c r="BA105" s="2825"/>
      <c r="BB105" s="2727"/>
      <c r="BC105" s="2720"/>
      <c r="BD105" s="1910"/>
      <c r="BE105" s="1911"/>
      <c r="BF105" s="1864"/>
      <c r="BG105" s="1865"/>
      <c r="BH105" s="1726"/>
      <c r="BI105" s="1873"/>
      <c r="BJ105" s="1940"/>
      <c r="BK105" s="1865"/>
      <c r="BL105" s="3633">
        <f>SUM(E105:AE107)</f>
        <v>0</v>
      </c>
      <c r="BM105" s="3633">
        <f>SUM(E105:BG107)</f>
        <v>0</v>
      </c>
      <c r="BN105" s="1953"/>
      <c r="BO105" s="1951"/>
      <c r="BP105" s="3629" t="s">
        <v>33</v>
      </c>
    </row>
    <row r="106" spans="1:68" ht="15.75" thickBot="1">
      <c r="A106" s="3724"/>
      <c r="B106" s="1694" t="s">
        <v>34</v>
      </c>
      <c r="C106" s="3679"/>
      <c r="D106" s="1705">
        <f t="shared" si="1"/>
        <v>0</v>
      </c>
      <c r="E106" s="1706"/>
      <c r="F106" s="1707"/>
      <c r="G106" s="1708"/>
      <c r="H106" s="1709"/>
      <c r="I106" s="2924"/>
      <c r="J106" s="1766"/>
      <c r="K106" s="1767"/>
      <c r="L106" s="1768"/>
      <c r="M106" s="1769"/>
      <c r="N106" s="3178"/>
      <c r="O106" s="1768"/>
      <c r="P106" s="1770"/>
      <c r="Q106" s="3122"/>
      <c r="R106" s="1771"/>
      <c r="S106" s="1772"/>
      <c r="T106" s="1834"/>
      <c r="U106" s="2819"/>
      <c r="V106" s="3187"/>
      <c r="W106" s="2890"/>
      <c r="X106" s="1835"/>
      <c r="Y106" s="1836"/>
      <c r="Z106" s="3298"/>
      <c r="AA106" s="2728"/>
      <c r="AB106" s="2721"/>
      <c r="AC106" s="1837"/>
      <c r="AD106" s="1838"/>
      <c r="AE106" s="1839"/>
      <c r="AF106" s="1706"/>
      <c r="AG106" s="1707"/>
      <c r="AH106" s="1887"/>
      <c r="AI106" s="1888"/>
      <c r="AJ106" s="2935"/>
      <c r="AK106" s="1889"/>
      <c r="AL106" s="1890"/>
      <c r="AM106" s="1769"/>
      <c r="AN106" s="3167"/>
      <c r="AO106" s="1770"/>
      <c r="AP106" s="3122"/>
      <c r="AQ106" s="1891"/>
      <c r="AR106" s="1892"/>
      <c r="AS106" s="1891"/>
      <c r="AT106" s="1920"/>
      <c r="AU106" s="2866"/>
      <c r="AV106" s="3114"/>
      <c r="AW106" s="3290"/>
      <c r="AX106" s="3195"/>
      <c r="AY106" s="2882"/>
      <c r="AZ106" s="2874"/>
      <c r="BA106" s="2826"/>
      <c r="BB106" s="2728"/>
      <c r="BC106" s="2721"/>
      <c r="BD106" s="1921"/>
      <c r="BE106" s="1922"/>
      <c r="BF106" s="1923"/>
      <c r="BG106" s="1924"/>
      <c r="BH106" s="1947"/>
      <c r="BI106" s="1891"/>
      <c r="BJ106" s="1948"/>
      <c r="BK106" s="1924"/>
      <c r="BL106" s="3634"/>
      <c r="BM106" s="3634"/>
      <c r="BN106" s="1953"/>
      <c r="BO106" s="1951"/>
      <c r="BP106" s="3630"/>
    </row>
    <row r="107" spans="1:68" ht="15.75" thickBot="1">
      <c r="A107" s="3724"/>
      <c r="B107" s="1694" t="s">
        <v>34</v>
      </c>
      <c r="C107" s="3679"/>
      <c r="D107" s="1705">
        <f t="shared" si="1"/>
        <v>0</v>
      </c>
      <c r="E107" s="1706"/>
      <c r="F107" s="1707"/>
      <c r="G107" s="1708"/>
      <c r="H107" s="1709"/>
      <c r="I107" s="2924"/>
      <c r="J107" s="1766"/>
      <c r="K107" s="1767"/>
      <c r="L107" s="1768"/>
      <c r="M107" s="1769"/>
      <c r="N107" s="3178"/>
      <c r="O107" s="1768"/>
      <c r="P107" s="1770"/>
      <c r="Q107" s="3122"/>
      <c r="R107" s="1771"/>
      <c r="S107" s="1772"/>
      <c r="T107" s="1834"/>
      <c r="U107" s="2819"/>
      <c r="V107" s="3187"/>
      <c r="W107" s="2890"/>
      <c r="X107" s="1835"/>
      <c r="Y107" s="1836"/>
      <c r="Z107" s="3298"/>
      <c r="AA107" s="2728"/>
      <c r="AB107" s="2721"/>
      <c r="AC107" s="1837"/>
      <c r="AD107" s="1838"/>
      <c r="AE107" s="1839"/>
      <c r="AF107" s="1706"/>
      <c r="AG107" s="1707"/>
      <c r="AH107" s="1887"/>
      <c r="AI107" s="1888"/>
      <c r="AJ107" s="2935"/>
      <c r="AK107" s="1889"/>
      <c r="AL107" s="1890"/>
      <c r="AM107" s="1769"/>
      <c r="AN107" s="3167"/>
      <c r="AO107" s="1770"/>
      <c r="AP107" s="3122"/>
      <c r="AQ107" s="1891"/>
      <c r="AR107" s="1892"/>
      <c r="AS107" s="1891"/>
      <c r="AT107" s="1920"/>
      <c r="AU107" s="2866"/>
      <c r="AV107" s="3114"/>
      <c r="AW107" s="3290"/>
      <c r="AX107" s="3195"/>
      <c r="AY107" s="2882"/>
      <c r="AZ107" s="2874"/>
      <c r="BA107" s="2826"/>
      <c r="BB107" s="2728"/>
      <c r="BC107" s="2721"/>
      <c r="BD107" s="1921"/>
      <c r="BE107" s="1922"/>
      <c r="BF107" s="1923"/>
      <c r="BG107" s="1924"/>
      <c r="BH107" s="1947"/>
      <c r="BI107" s="1891"/>
      <c r="BJ107" s="1948"/>
      <c r="BK107" s="1924"/>
      <c r="BL107" s="3634"/>
      <c r="BM107" s="3634"/>
      <c r="BN107" s="1953"/>
      <c r="BO107" s="1951"/>
      <c r="BP107" s="3630"/>
    </row>
    <row r="108" spans="1:68" ht="15.75" thickBot="1">
      <c r="A108" s="3723"/>
      <c r="B108" s="1738" t="s">
        <v>32</v>
      </c>
      <c r="C108" s="3678">
        <f>SUM(D108:D110)</f>
        <v>0</v>
      </c>
      <c r="D108" s="1689">
        <f t="shared" si="1"/>
        <v>0</v>
      </c>
      <c r="E108" s="1690"/>
      <c r="F108" s="1691"/>
      <c r="G108" s="1692"/>
      <c r="H108" s="1693"/>
      <c r="I108" s="2923"/>
      <c r="J108" s="1745"/>
      <c r="K108" s="1746"/>
      <c r="L108" s="1747"/>
      <c r="M108" s="1748"/>
      <c r="N108" s="3177"/>
      <c r="O108" s="1747"/>
      <c r="P108" s="1749"/>
      <c r="Q108" s="3121"/>
      <c r="R108" s="1750"/>
      <c r="S108" s="1751"/>
      <c r="T108" s="1815"/>
      <c r="U108" s="2818"/>
      <c r="V108" s="3186"/>
      <c r="W108" s="2889"/>
      <c r="X108" s="1816"/>
      <c r="Y108" s="1817"/>
      <c r="Z108" s="3297"/>
      <c r="AA108" s="2727"/>
      <c r="AB108" s="2720"/>
      <c r="AC108" s="1818"/>
      <c r="AD108" s="1819"/>
      <c r="AE108" s="1820"/>
      <c r="AF108" s="1726"/>
      <c r="AG108" s="1691"/>
      <c r="AH108" s="1869"/>
      <c r="AI108" s="1893"/>
      <c r="AJ108" s="2938"/>
      <c r="AK108" s="1854"/>
      <c r="AL108" s="1894"/>
      <c r="AM108" s="1748"/>
      <c r="AN108" s="3166"/>
      <c r="AO108" s="1749"/>
      <c r="AP108" s="3121"/>
      <c r="AQ108" s="1873"/>
      <c r="AR108" s="1874"/>
      <c r="AS108" s="1873"/>
      <c r="AT108" s="1909"/>
      <c r="AU108" s="2865"/>
      <c r="AV108" s="3113"/>
      <c r="AW108" s="3289"/>
      <c r="AX108" s="3194"/>
      <c r="AY108" s="2881"/>
      <c r="AZ108" s="2873"/>
      <c r="BA108" s="2825"/>
      <c r="BB108" s="2727"/>
      <c r="BC108" s="2720"/>
      <c r="BD108" s="1910"/>
      <c r="BE108" s="1911"/>
      <c r="BF108" s="1864"/>
      <c r="BG108" s="1865"/>
      <c r="BH108" s="1726"/>
      <c r="BI108" s="1873"/>
      <c r="BJ108" s="1940"/>
      <c r="BK108" s="1865"/>
      <c r="BL108" s="3633">
        <f>SUM(E108:AE110)</f>
        <v>0</v>
      </c>
      <c r="BM108" s="3633">
        <f>SUM(E108:BG110)</f>
        <v>0</v>
      </c>
      <c r="BN108" s="1942"/>
      <c r="BO108" s="1951"/>
      <c r="BP108" s="3629" t="s">
        <v>33</v>
      </c>
    </row>
    <row r="109" spans="1:68" ht="15.75" thickBot="1">
      <c r="A109" s="3724"/>
      <c r="B109" s="1694" t="s">
        <v>34</v>
      </c>
      <c r="C109" s="3679"/>
      <c r="D109" s="1705">
        <f t="shared" si="1"/>
        <v>0</v>
      </c>
      <c r="E109" s="1706"/>
      <c r="F109" s="1707"/>
      <c r="G109" s="1708"/>
      <c r="H109" s="1709"/>
      <c r="I109" s="2924"/>
      <c r="J109" s="1766"/>
      <c r="K109" s="1767"/>
      <c r="L109" s="1768"/>
      <c r="M109" s="1769"/>
      <c r="N109" s="3178"/>
      <c r="O109" s="1768"/>
      <c r="P109" s="1770"/>
      <c r="Q109" s="3122"/>
      <c r="R109" s="1771"/>
      <c r="S109" s="1772"/>
      <c r="T109" s="1834"/>
      <c r="U109" s="2819"/>
      <c r="V109" s="3187"/>
      <c r="W109" s="2890"/>
      <c r="X109" s="1835"/>
      <c r="Y109" s="1836"/>
      <c r="Z109" s="3298"/>
      <c r="AA109" s="2728"/>
      <c r="AB109" s="2721"/>
      <c r="AC109" s="1837"/>
      <c r="AD109" s="1838"/>
      <c r="AE109" s="1839"/>
      <c r="AF109" s="1706"/>
      <c r="AG109" s="1707"/>
      <c r="AH109" s="1887"/>
      <c r="AI109" s="1888"/>
      <c r="AJ109" s="2935"/>
      <c r="AK109" s="1889"/>
      <c r="AL109" s="1890"/>
      <c r="AM109" s="1769"/>
      <c r="AN109" s="3167"/>
      <c r="AO109" s="1770"/>
      <c r="AP109" s="3122"/>
      <c r="AQ109" s="1891"/>
      <c r="AR109" s="1892"/>
      <c r="AS109" s="1891"/>
      <c r="AT109" s="1920"/>
      <c r="AU109" s="2866"/>
      <c r="AV109" s="3114"/>
      <c r="AW109" s="3290"/>
      <c r="AX109" s="3195"/>
      <c r="AY109" s="2882"/>
      <c r="AZ109" s="2874"/>
      <c r="BA109" s="2826"/>
      <c r="BB109" s="2728"/>
      <c r="BC109" s="2721"/>
      <c r="BD109" s="1921"/>
      <c r="BE109" s="1922"/>
      <c r="BF109" s="1923"/>
      <c r="BG109" s="1924"/>
      <c r="BH109" s="1947"/>
      <c r="BI109" s="1891"/>
      <c r="BJ109" s="1948"/>
      <c r="BK109" s="1924"/>
      <c r="BL109" s="3634"/>
      <c r="BM109" s="3634"/>
      <c r="BN109" s="1942"/>
      <c r="BO109" s="1951"/>
      <c r="BP109" s="3630"/>
    </row>
    <row r="110" spans="1:68" ht="15.75" thickBot="1">
      <c r="A110" s="3724"/>
      <c r="B110" s="1694" t="s">
        <v>34</v>
      </c>
      <c r="C110" s="3679"/>
      <c r="D110" s="1705">
        <f t="shared" si="1"/>
        <v>0</v>
      </c>
      <c r="E110" s="1706"/>
      <c r="F110" s="1707"/>
      <c r="G110" s="1708"/>
      <c r="H110" s="1709"/>
      <c r="I110" s="2924"/>
      <c r="J110" s="1766"/>
      <c r="K110" s="1767"/>
      <c r="L110" s="1768"/>
      <c r="M110" s="1769"/>
      <c r="N110" s="3178"/>
      <c r="O110" s="1768"/>
      <c r="P110" s="1770"/>
      <c r="Q110" s="3122"/>
      <c r="R110" s="1771"/>
      <c r="S110" s="1772"/>
      <c r="T110" s="1834"/>
      <c r="U110" s="2819"/>
      <c r="V110" s="3187"/>
      <c r="W110" s="2890"/>
      <c r="X110" s="1835"/>
      <c r="Y110" s="1836"/>
      <c r="Z110" s="3298"/>
      <c r="AA110" s="2728"/>
      <c r="AB110" s="2721"/>
      <c r="AC110" s="1837"/>
      <c r="AD110" s="1838"/>
      <c r="AE110" s="1839"/>
      <c r="AF110" s="1706"/>
      <c r="AG110" s="1707"/>
      <c r="AH110" s="1887"/>
      <c r="AI110" s="1888"/>
      <c r="AJ110" s="2935"/>
      <c r="AK110" s="1889"/>
      <c r="AL110" s="1890"/>
      <c r="AM110" s="1769"/>
      <c r="AN110" s="3167"/>
      <c r="AO110" s="1770"/>
      <c r="AP110" s="3122"/>
      <c r="AQ110" s="1891"/>
      <c r="AR110" s="1892"/>
      <c r="AS110" s="1891"/>
      <c r="AT110" s="1920"/>
      <c r="AU110" s="2866"/>
      <c r="AV110" s="3114"/>
      <c r="AW110" s="3290"/>
      <c r="AX110" s="3195"/>
      <c r="AY110" s="2882"/>
      <c r="AZ110" s="2874"/>
      <c r="BA110" s="2826"/>
      <c r="BB110" s="2728"/>
      <c r="BC110" s="2721"/>
      <c r="BD110" s="1921"/>
      <c r="BE110" s="1922"/>
      <c r="BF110" s="1923"/>
      <c r="BG110" s="1924"/>
      <c r="BH110" s="1947"/>
      <c r="BI110" s="1891"/>
      <c r="BJ110" s="1948"/>
      <c r="BK110" s="1924"/>
      <c r="BL110" s="3634"/>
      <c r="BM110" s="3634"/>
      <c r="BN110" s="1942"/>
      <c r="BO110" s="1951"/>
      <c r="BP110" s="3630"/>
    </row>
    <row r="111" spans="1:68" ht="15.75" thickBot="1">
      <c r="A111" s="3723"/>
      <c r="B111" s="1738" t="s">
        <v>32</v>
      </c>
      <c r="C111" s="3678">
        <f>SUM(D111:D113)</f>
        <v>0</v>
      </c>
      <c r="D111" s="1689">
        <f t="shared" si="1"/>
        <v>0</v>
      </c>
      <c r="E111" s="1690"/>
      <c r="F111" s="1691"/>
      <c r="G111" s="1692"/>
      <c r="H111" s="1693"/>
      <c r="I111" s="2923"/>
      <c r="J111" s="1745"/>
      <c r="K111" s="1746"/>
      <c r="L111" s="1747"/>
      <c r="M111" s="1748"/>
      <c r="N111" s="3177"/>
      <c r="O111" s="1747"/>
      <c r="P111" s="1749"/>
      <c r="Q111" s="3121"/>
      <c r="R111" s="1750"/>
      <c r="S111" s="1751"/>
      <c r="T111" s="1815"/>
      <c r="U111" s="2818"/>
      <c r="V111" s="3186"/>
      <c r="W111" s="2889"/>
      <c r="X111" s="1816"/>
      <c r="Y111" s="1817"/>
      <c r="Z111" s="3297"/>
      <c r="AA111" s="2727"/>
      <c r="AB111" s="2720"/>
      <c r="AC111" s="1818"/>
      <c r="AD111" s="1819"/>
      <c r="AE111" s="1820"/>
      <c r="AF111" s="1726"/>
      <c r="AG111" s="1691"/>
      <c r="AH111" s="1869"/>
      <c r="AI111" s="1893"/>
      <c r="AJ111" s="2938"/>
      <c r="AK111" s="1854"/>
      <c r="AL111" s="1894"/>
      <c r="AM111" s="1748"/>
      <c r="AN111" s="3166"/>
      <c r="AO111" s="1749"/>
      <c r="AP111" s="3121"/>
      <c r="AQ111" s="1873"/>
      <c r="AR111" s="1874"/>
      <c r="AS111" s="1873"/>
      <c r="AT111" s="1909"/>
      <c r="AU111" s="2865"/>
      <c r="AV111" s="3113"/>
      <c r="AW111" s="3289"/>
      <c r="AX111" s="3194"/>
      <c r="AY111" s="2881"/>
      <c r="AZ111" s="2873"/>
      <c r="BA111" s="2825"/>
      <c r="BB111" s="2727"/>
      <c r="BC111" s="2720"/>
      <c r="BD111" s="1910"/>
      <c r="BE111" s="1911"/>
      <c r="BF111" s="1864"/>
      <c r="BG111" s="1865"/>
      <c r="BH111" s="1726"/>
      <c r="BI111" s="1873"/>
      <c r="BJ111" s="1940"/>
      <c r="BK111" s="1865"/>
      <c r="BL111" s="3633">
        <f>SUM(E111:AE113)</f>
        <v>0</v>
      </c>
      <c r="BM111" s="3633">
        <f>SUM(E111:BG113)</f>
        <v>0</v>
      </c>
      <c r="BN111" s="1942"/>
      <c r="BO111" s="1951"/>
      <c r="BP111" s="3629" t="s">
        <v>33</v>
      </c>
    </row>
    <row r="112" spans="1:68" ht="15.75" thickBot="1">
      <c r="A112" s="3724"/>
      <c r="B112" s="1738" t="s">
        <v>34</v>
      </c>
      <c r="C112" s="3679"/>
      <c r="D112" s="1705">
        <f t="shared" si="1"/>
        <v>0</v>
      </c>
      <c r="E112" s="1706"/>
      <c r="F112" s="1707"/>
      <c r="G112" s="1708"/>
      <c r="H112" s="1709"/>
      <c r="I112" s="2924"/>
      <c r="J112" s="1766"/>
      <c r="K112" s="1767"/>
      <c r="L112" s="1768"/>
      <c r="M112" s="1769"/>
      <c r="N112" s="3178"/>
      <c r="O112" s="1768"/>
      <c r="P112" s="1770"/>
      <c r="Q112" s="3122"/>
      <c r="R112" s="1771"/>
      <c r="S112" s="1772"/>
      <c r="T112" s="1834"/>
      <c r="U112" s="2819"/>
      <c r="V112" s="3187"/>
      <c r="W112" s="2890"/>
      <c r="X112" s="1835"/>
      <c r="Y112" s="1836"/>
      <c r="Z112" s="3298"/>
      <c r="AA112" s="2728"/>
      <c r="AB112" s="2721"/>
      <c r="AC112" s="1837"/>
      <c r="AD112" s="1838"/>
      <c r="AE112" s="1839"/>
      <c r="AF112" s="1706"/>
      <c r="AG112" s="1707"/>
      <c r="AH112" s="1887"/>
      <c r="AI112" s="1888"/>
      <c r="AJ112" s="2935"/>
      <c r="AK112" s="1889"/>
      <c r="AL112" s="1890"/>
      <c r="AM112" s="1769"/>
      <c r="AN112" s="3167"/>
      <c r="AO112" s="1770"/>
      <c r="AP112" s="3122"/>
      <c r="AQ112" s="1891"/>
      <c r="AR112" s="1892"/>
      <c r="AS112" s="1891"/>
      <c r="AT112" s="1920"/>
      <c r="AU112" s="2866"/>
      <c r="AV112" s="3114"/>
      <c r="AW112" s="3290"/>
      <c r="AX112" s="3195"/>
      <c r="AY112" s="2882"/>
      <c r="AZ112" s="2874"/>
      <c r="BA112" s="2826"/>
      <c r="BB112" s="2728"/>
      <c r="BC112" s="2721"/>
      <c r="BD112" s="1921"/>
      <c r="BE112" s="1922"/>
      <c r="BF112" s="1923"/>
      <c r="BG112" s="1924"/>
      <c r="BH112" s="1947"/>
      <c r="BI112" s="1891"/>
      <c r="BJ112" s="1948"/>
      <c r="BK112" s="1924"/>
      <c r="BL112" s="3634"/>
      <c r="BM112" s="3634"/>
      <c r="BN112" s="1942"/>
      <c r="BO112" s="1951"/>
      <c r="BP112" s="3630"/>
    </row>
    <row r="113" spans="1:68" ht="15.75" thickBot="1">
      <c r="A113" s="3724"/>
      <c r="B113" s="1694" t="s">
        <v>34</v>
      </c>
      <c r="C113" s="3679"/>
      <c r="D113" s="1705">
        <f t="shared" si="1"/>
        <v>0</v>
      </c>
      <c r="E113" s="1706"/>
      <c r="F113" s="1707"/>
      <c r="G113" s="1708"/>
      <c r="H113" s="1709"/>
      <c r="I113" s="2924"/>
      <c r="J113" s="1766"/>
      <c r="K113" s="1767"/>
      <c r="L113" s="1768"/>
      <c r="M113" s="1769"/>
      <c r="N113" s="3178"/>
      <c r="O113" s="1768"/>
      <c r="P113" s="1770"/>
      <c r="Q113" s="3122"/>
      <c r="R113" s="1771"/>
      <c r="S113" s="1772"/>
      <c r="T113" s="1834"/>
      <c r="U113" s="2819"/>
      <c r="V113" s="3187"/>
      <c r="W113" s="2890"/>
      <c r="X113" s="1835"/>
      <c r="Y113" s="1836"/>
      <c r="Z113" s="3298"/>
      <c r="AA113" s="2728"/>
      <c r="AB113" s="2721"/>
      <c r="AC113" s="1837"/>
      <c r="AD113" s="1838"/>
      <c r="AE113" s="1839"/>
      <c r="AF113" s="1706"/>
      <c r="AG113" s="1707"/>
      <c r="AH113" s="1887"/>
      <c r="AI113" s="1888"/>
      <c r="AJ113" s="2935"/>
      <c r="AK113" s="1889"/>
      <c r="AL113" s="1890"/>
      <c r="AM113" s="1769"/>
      <c r="AN113" s="3167"/>
      <c r="AO113" s="1770"/>
      <c r="AP113" s="3122"/>
      <c r="AQ113" s="1891"/>
      <c r="AR113" s="1892"/>
      <c r="AS113" s="1891"/>
      <c r="AT113" s="1920"/>
      <c r="AU113" s="2866"/>
      <c r="AV113" s="3114"/>
      <c r="AW113" s="3290"/>
      <c r="AX113" s="3195"/>
      <c r="AY113" s="2882"/>
      <c r="AZ113" s="2874"/>
      <c r="BA113" s="2826"/>
      <c r="BB113" s="2728"/>
      <c r="BC113" s="2721"/>
      <c r="BD113" s="1921"/>
      <c r="BE113" s="1922"/>
      <c r="BF113" s="1923"/>
      <c r="BG113" s="1924"/>
      <c r="BH113" s="1947"/>
      <c r="BI113" s="1891"/>
      <c r="BJ113" s="1948"/>
      <c r="BK113" s="1924"/>
      <c r="BL113" s="3634"/>
      <c r="BM113" s="3634"/>
      <c r="BN113" s="1942"/>
      <c r="BO113" s="1951"/>
      <c r="BP113" s="3630"/>
    </row>
    <row r="114" spans="1:68" ht="15.75" thickBot="1">
      <c r="A114" s="3723"/>
      <c r="B114" s="1738" t="s">
        <v>32</v>
      </c>
      <c r="C114" s="3678">
        <f>SUM(D114:D116)</f>
        <v>0</v>
      </c>
      <c r="D114" s="1689">
        <f t="shared" si="1"/>
        <v>0</v>
      </c>
      <c r="E114" s="1690"/>
      <c r="F114" s="1691"/>
      <c r="G114" s="1692"/>
      <c r="H114" s="1693"/>
      <c r="I114" s="2923"/>
      <c r="J114" s="1745"/>
      <c r="K114" s="1746"/>
      <c r="L114" s="1747"/>
      <c r="M114" s="1748"/>
      <c r="N114" s="3177"/>
      <c r="O114" s="1747"/>
      <c r="P114" s="1749"/>
      <c r="Q114" s="3121"/>
      <c r="R114" s="1750"/>
      <c r="S114" s="1751"/>
      <c r="T114" s="1815"/>
      <c r="U114" s="2818"/>
      <c r="V114" s="3186"/>
      <c r="W114" s="2889"/>
      <c r="X114" s="1816"/>
      <c r="Y114" s="1817"/>
      <c r="Z114" s="3297"/>
      <c r="AA114" s="2727"/>
      <c r="AB114" s="2720"/>
      <c r="AC114" s="1818"/>
      <c r="AD114" s="1819"/>
      <c r="AE114" s="1820"/>
      <c r="AF114" s="1726"/>
      <c r="AG114" s="1691"/>
      <c r="AH114" s="1869"/>
      <c r="AI114" s="1893"/>
      <c r="AJ114" s="2938"/>
      <c r="AK114" s="1854"/>
      <c r="AL114" s="1894"/>
      <c r="AM114" s="1748"/>
      <c r="AN114" s="3166"/>
      <c r="AO114" s="1749"/>
      <c r="AP114" s="3121"/>
      <c r="AQ114" s="1873"/>
      <c r="AR114" s="1874"/>
      <c r="AS114" s="1873"/>
      <c r="AT114" s="1909"/>
      <c r="AU114" s="2865"/>
      <c r="AV114" s="3113"/>
      <c r="AW114" s="3289"/>
      <c r="AX114" s="3194"/>
      <c r="AY114" s="2881"/>
      <c r="AZ114" s="2873"/>
      <c r="BA114" s="2825"/>
      <c r="BB114" s="2727"/>
      <c r="BC114" s="2720"/>
      <c r="BD114" s="1910"/>
      <c r="BE114" s="1911"/>
      <c r="BF114" s="1864"/>
      <c r="BG114" s="1865"/>
      <c r="BH114" s="1726"/>
      <c r="BI114" s="1873"/>
      <c r="BJ114" s="1940"/>
      <c r="BK114" s="1865"/>
      <c r="BL114" s="3633">
        <f>SUM(E114:AE116)</f>
        <v>0</v>
      </c>
      <c r="BM114" s="3633">
        <f>SUM(E114:BG116)</f>
        <v>0</v>
      </c>
      <c r="BN114" s="1942"/>
      <c r="BO114" s="1951"/>
      <c r="BP114" s="3629" t="s">
        <v>33</v>
      </c>
    </row>
    <row r="115" spans="1:68" ht="15.75" thickBot="1">
      <c r="A115" s="3724"/>
      <c r="B115" s="1738" t="s">
        <v>34</v>
      </c>
      <c r="C115" s="3679"/>
      <c r="D115" s="1705">
        <f t="shared" si="1"/>
        <v>0</v>
      </c>
      <c r="E115" s="1706"/>
      <c r="F115" s="1707"/>
      <c r="G115" s="1708"/>
      <c r="H115" s="1709"/>
      <c r="I115" s="2924"/>
      <c r="J115" s="1766"/>
      <c r="K115" s="1767"/>
      <c r="L115" s="1768"/>
      <c r="M115" s="1769"/>
      <c r="N115" s="3178"/>
      <c r="O115" s="1768"/>
      <c r="P115" s="1770"/>
      <c r="Q115" s="3122"/>
      <c r="R115" s="1771"/>
      <c r="S115" s="1772"/>
      <c r="T115" s="1834"/>
      <c r="U115" s="2819"/>
      <c r="V115" s="3187"/>
      <c r="W115" s="2890"/>
      <c r="X115" s="1835"/>
      <c r="Y115" s="1836"/>
      <c r="Z115" s="3298"/>
      <c r="AA115" s="2728"/>
      <c r="AB115" s="2721"/>
      <c r="AC115" s="1837"/>
      <c r="AD115" s="1838"/>
      <c r="AE115" s="1839"/>
      <c r="AF115" s="1706"/>
      <c r="AG115" s="1707"/>
      <c r="AH115" s="1887"/>
      <c r="AI115" s="1888"/>
      <c r="AJ115" s="2935"/>
      <c r="AK115" s="1889"/>
      <c r="AL115" s="1890"/>
      <c r="AM115" s="1769"/>
      <c r="AN115" s="3167"/>
      <c r="AO115" s="1770"/>
      <c r="AP115" s="3122"/>
      <c r="AQ115" s="1891"/>
      <c r="AR115" s="1892"/>
      <c r="AS115" s="1891"/>
      <c r="AT115" s="1920"/>
      <c r="AU115" s="2866"/>
      <c r="AV115" s="3114"/>
      <c r="AW115" s="3290"/>
      <c r="AX115" s="3195"/>
      <c r="AY115" s="2882"/>
      <c r="AZ115" s="2874"/>
      <c r="BA115" s="2826"/>
      <c r="BB115" s="2728"/>
      <c r="BC115" s="2721"/>
      <c r="BD115" s="1921"/>
      <c r="BE115" s="1922"/>
      <c r="BF115" s="1923"/>
      <c r="BG115" s="1924"/>
      <c r="BH115" s="1947"/>
      <c r="BI115" s="1891"/>
      <c r="BJ115" s="1948"/>
      <c r="BK115" s="1924"/>
      <c r="BL115" s="3634"/>
      <c r="BM115" s="3634"/>
      <c r="BN115" s="1942"/>
      <c r="BO115" s="1951"/>
      <c r="BP115" s="3630"/>
    </row>
    <row r="116" spans="1:68" ht="15.75" thickBot="1">
      <c r="A116" s="3724"/>
      <c r="B116" s="1694" t="s">
        <v>34</v>
      </c>
      <c r="C116" s="3679"/>
      <c r="D116" s="1705">
        <f t="shared" si="1"/>
        <v>0</v>
      </c>
      <c r="E116" s="1706"/>
      <c r="F116" s="1707"/>
      <c r="G116" s="1708"/>
      <c r="H116" s="1709"/>
      <c r="I116" s="2924"/>
      <c r="J116" s="1766"/>
      <c r="K116" s="1767"/>
      <c r="L116" s="1768"/>
      <c r="M116" s="1769"/>
      <c r="N116" s="3178"/>
      <c r="O116" s="1768"/>
      <c r="P116" s="1770"/>
      <c r="Q116" s="3122"/>
      <c r="R116" s="1771"/>
      <c r="S116" s="1772"/>
      <c r="T116" s="1834"/>
      <c r="U116" s="2819"/>
      <c r="V116" s="3187"/>
      <c r="W116" s="2890"/>
      <c r="X116" s="1835"/>
      <c r="Y116" s="1836"/>
      <c r="Z116" s="3298"/>
      <c r="AA116" s="2728"/>
      <c r="AB116" s="2721"/>
      <c r="AC116" s="1837"/>
      <c r="AD116" s="1838"/>
      <c r="AE116" s="1839"/>
      <c r="AF116" s="1706"/>
      <c r="AG116" s="1707"/>
      <c r="AH116" s="1887"/>
      <c r="AI116" s="1888"/>
      <c r="AJ116" s="2935"/>
      <c r="AK116" s="1889"/>
      <c r="AL116" s="1890"/>
      <c r="AM116" s="1769"/>
      <c r="AN116" s="3167"/>
      <c r="AO116" s="1770"/>
      <c r="AP116" s="3122"/>
      <c r="AQ116" s="1891"/>
      <c r="AR116" s="1892"/>
      <c r="AS116" s="1891"/>
      <c r="AT116" s="1920"/>
      <c r="AU116" s="2866"/>
      <c r="AV116" s="3114"/>
      <c r="AW116" s="3290"/>
      <c r="AX116" s="3195"/>
      <c r="AY116" s="2882"/>
      <c r="AZ116" s="2874"/>
      <c r="BA116" s="2826"/>
      <c r="BB116" s="2728"/>
      <c r="BC116" s="2721"/>
      <c r="BD116" s="1921"/>
      <c r="BE116" s="1922"/>
      <c r="BF116" s="1923"/>
      <c r="BG116" s="1924"/>
      <c r="BH116" s="1947"/>
      <c r="BI116" s="1891"/>
      <c r="BJ116" s="1948"/>
      <c r="BK116" s="1924"/>
      <c r="BL116" s="3634"/>
      <c r="BM116" s="3634"/>
      <c r="BN116" s="1942"/>
      <c r="BO116" s="1951"/>
      <c r="BP116" s="3630"/>
    </row>
    <row r="117" spans="1:68" ht="15.75" thickBot="1">
      <c r="A117" s="3723"/>
      <c r="B117" s="1738" t="s">
        <v>32</v>
      </c>
      <c r="C117" s="3678">
        <f>SUM(D117:D119)</f>
        <v>0</v>
      </c>
      <c r="D117" s="1689">
        <f t="shared" si="1"/>
        <v>0</v>
      </c>
      <c r="E117" s="1690"/>
      <c r="F117" s="1691"/>
      <c r="G117" s="1692"/>
      <c r="H117" s="1693"/>
      <c r="I117" s="2923"/>
      <c r="J117" s="1745"/>
      <c r="K117" s="1746"/>
      <c r="L117" s="1747"/>
      <c r="M117" s="1748"/>
      <c r="N117" s="3177"/>
      <c r="O117" s="1747"/>
      <c r="P117" s="1749"/>
      <c r="Q117" s="3121"/>
      <c r="R117" s="1750"/>
      <c r="S117" s="1751"/>
      <c r="T117" s="1815"/>
      <c r="U117" s="2818"/>
      <c r="V117" s="3186"/>
      <c r="W117" s="2889"/>
      <c r="X117" s="1816"/>
      <c r="Y117" s="1817"/>
      <c r="Z117" s="3297"/>
      <c r="AA117" s="2727"/>
      <c r="AB117" s="2720"/>
      <c r="AC117" s="1818"/>
      <c r="AD117" s="1819"/>
      <c r="AE117" s="1820"/>
      <c r="AF117" s="1726"/>
      <c r="AG117" s="1691"/>
      <c r="AH117" s="1869"/>
      <c r="AI117" s="1893"/>
      <c r="AJ117" s="2938"/>
      <c r="AK117" s="1854"/>
      <c r="AL117" s="1894"/>
      <c r="AM117" s="1748"/>
      <c r="AN117" s="3166"/>
      <c r="AO117" s="1749"/>
      <c r="AP117" s="3121"/>
      <c r="AQ117" s="1873"/>
      <c r="AR117" s="1874"/>
      <c r="AS117" s="1873"/>
      <c r="AT117" s="1909"/>
      <c r="AU117" s="2865"/>
      <c r="AV117" s="3113"/>
      <c r="AW117" s="3289"/>
      <c r="AX117" s="3194"/>
      <c r="AY117" s="2881"/>
      <c r="AZ117" s="2873"/>
      <c r="BA117" s="2825"/>
      <c r="BB117" s="2727"/>
      <c r="BC117" s="2720"/>
      <c r="BD117" s="1910"/>
      <c r="BE117" s="1911"/>
      <c r="BF117" s="1864"/>
      <c r="BG117" s="1865"/>
      <c r="BH117" s="1726"/>
      <c r="BI117" s="1873"/>
      <c r="BJ117" s="1940"/>
      <c r="BK117" s="1865"/>
      <c r="BL117" s="3633">
        <f>SUM(E117:AE119)</f>
        <v>0</v>
      </c>
      <c r="BM117" s="3633">
        <f>SUM(E117:BG119)</f>
        <v>0</v>
      </c>
      <c r="BN117" s="1942"/>
      <c r="BO117" s="1951"/>
      <c r="BP117" s="3629" t="s">
        <v>33</v>
      </c>
    </row>
    <row r="118" spans="1:68" ht="15.75" thickBot="1">
      <c r="A118" s="3724"/>
      <c r="B118" s="1738" t="s">
        <v>34</v>
      </c>
      <c r="C118" s="3679"/>
      <c r="D118" s="1705">
        <f t="shared" si="1"/>
        <v>0</v>
      </c>
      <c r="E118" s="1706"/>
      <c r="F118" s="1707"/>
      <c r="G118" s="1708"/>
      <c r="H118" s="1709"/>
      <c r="I118" s="2924"/>
      <c r="J118" s="1766"/>
      <c r="K118" s="1767"/>
      <c r="L118" s="1768"/>
      <c r="M118" s="1769"/>
      <c r="N118" s="3178"/>
      <c r="O118" s="1768"/>
      <c r="P118" s="1770"/>
      <c r="Q118" s="3122"/>
      <c r="R118" s="1771"/>
      <c r="S118" s="1772"/>
      <c r="T118" s="1834"/>
      <c r="U118" s="2819"/>
      <c r="V118" s="3187"/>
      <c r="W118" s="2890"/>
      <c r="X118" s="1835"/>
      <c r="Y118" s="1836"/>
      <c r="Z118" s="3298"/>
      <c r="AA118" s="2728"/>
      <c r="AB118" s="2721"/>
      <c r="AC118" s="1837"/>
      <c r="AD118" s="1838"/>
      <c r="AE118" s="1839"/>
      <c r="AF118" s="1706"/>
      <c r="AG118" s="1707"/>
      <c r="AH118" s="1887"/>
      <c r="AI118" s="1888"/>
      <c r="AJ118" s="2935"/>
      <c r="AK118" s="1889"/>
      <c r="AL118" s="1890"/>
      <c r="AM118" s="1769"/>
      <c r="AN118" s="3167"/>
      <c r="AO118" s="1770"/>
      <c r="AP118" s="3122"/>
      <c r="AQ118" s="1891"/>
      <c r="AR118" s="1892"/>
      <c r="AS118" s="1891"/>
      <c r="AT118" s="1920"/>
      <c r="AU118" s="2866"/>
      <c r="AV118" s="3114"/>
      <c r="AW118" s="3290"/>
      <c r="AX118" s="3195"/>
      <c r="AY118" s="2882"/>
      <c r="AZ118" s="2874"/>
      <c r="BA118" s="2826"/>
      <c r="BB118" s="2728"/>
      <c r="BC118" s="2721"/>
      <c r="BD118" s="1921"/>
      <c r="BE118" s="1922"/>
      <c r="BF118" s="1923"/>
      <c r="BG118" s="1924"/>
      <c r="BH118" s="1947"/>
      <c r="BI118" s="1891"/>
      <c r="BJ118" s="1948"/>
      <c r="BK118" s="1924"/>
      <c r="BL118" s="3634"/>
      <c r="BM118" s="3634"/>
      <c r="BN118" s="1942"/>
      <c r="BO118" s="1951"/>
      <c r="BP118" s="3630"/>
    </row>
    <row r="119" spans="1:68" ht="15.75" thickBot="1">
      <c r="A119" s="3724"/>
      <c r="B119" s="1694" t="s">
        <v>34</v>
      </c>
      <c r="C119" s="3679"/>
      <c r="D119" s="1705">
        <f t="shared" si="1"/>
        <v>0</v>
      </c>
      <c r="E119" s="1706"/>
      <c r="F119" s="1707"/>
      <c r="G119" s="1708"/>
      <c r="H119" s="1709"/>
      <c r="I119" s="2924"/>
      <c r="J119" s="1766"/>
      <c r="K119" s="1767"/>
      <c r="L119" s="1768"/>
      <c r="M119" s="1769"/>
      <c r="N119" s="3178"/>
      <c r="O119" s="1768"/>
      <c r="P119" s="1770"/>
      <c r="Q119" s="3122"/>
      <c r="R119" s="1771"/>
      <c r="S119" s="1772"/>
      <c r="T119" s="1834"/>
      <c r="U119" s="2819"/>
      <c r="V119" s="3187"/>
      <c r="W119" s="2890"/>
      <c r="X119" s="1835"/>
      <c r="Y119" s="1836"/>
      <c r="Z119" s="3298"/>
      <c r="AA119" s="2728"/>
      <c r="AB119" s="2721"/>
      <c r="AC119" s="1837"/>
      <c r="AD119" s="1838"/>
      <c r="AE119" s="1839"/>
      <c r="AF119" s="1706"/>
      <c r="AG119" s="1707"/>
      <c r="AH119" s="1887"/>
      <c r="AI119" s="1888"/>
      <c r="AJ119" s="2935"/>
      <c r="AK119" s="1889"/>
      <c r="AL119" s="1890"/>
      <c r="AM119" s="1769"/>
      <c r="AN119" s="3167"/>
      <c r="AO119" s="1770"/>
      <c r="AP119" s="3122"/>
      <c r="AQ119" s="1891"/>
      <c r="AR119" s="1892"/>
      <c r="AS119" s="1891"/>
      <c r="AT119" s="1920"/>
      <c r="AU119" s="2866"/>
      <c r="AV119" s="3114"/>
      <c r="AW119" s="3290"/>
      <c r="AX119" s="3195"/>
      <c r="AY119" s="2882"/>
      <c r="AZ119" s="2874"/>
      <c r="BA119" s="2826"/>
      <c r="BB119" s="2728"/>
      <c r="BC119" s="2721"/>
      <c r="BD119" s="1921"/>
      <c r="BE119" s="1922"/>
      <c r="BF119" s="1923"/>
      <c r="BG119" s="1924"/>
      <c r="BH119" s="1947"/>
      <c r="BI119" s="1891"/>
      <c r="BJ119" s="1948"/>
      <c r="BK119" s="1924"/>
      <c r="BL119" s="3634"/>
      <c r="BM119" s="3634"/>
      <c r="BN119" s="1942"/>
      <c r="BO119" s="1951"/>
      <c r="BP119" s="3630"/>
    </row>
    <row r="120" spans="1:68" ht="15.75" thickBot="1">
      <c r="A120" s="3723"/>
      <c r="B120" s="1738" t="s">
        <v>32</v>
      </c>
      <c r="C120" s="3678">
        <f>SUM(D120:D122)</f>
        <v>0</v>
      </c>
      <c r="D120" s="1689">
        <f t="shared" si="1"/>
        <v>0</v>
      </c>
      <c r="E120" s="1690"/>
      <c r="F120" s="1691"/>
      <c r="G120" s="1692"/>
      <c r="H120" s="1693"/>
      <c r="I120" s="2923"/>
      <c r="J120" s="1745"/>
      <c r="K120" s="1746"/>
      <c r="L120" s="1747"/>
      <c r="M120" s="1748"/>
      <c r="N120" s="3177"/>
      <c r="O120" s="1747"/>
      <c r="P120" s="1749"/>
      <c r="Q120" s="3121"/>
      <c r="R120" s="1750"/>
      <c r="S120" s="1751"/>
      <c r="T120" s="1815"/>
      <c r="U120" s="2818"/>
      <c r="V120" s="3186"/>
      <c r="W120" s="2889"/>
      <c r="X120" s="1816"/>
      <c r="Y120" s="1817"/>
      <c r="Z120" s="3297"/>
      <c r="AA120" s="2727"/>
      <c r="AB120" s="2720"/>
      <c r="AC120" s="1818"/>
      <c r="AD120" s="1819"/>
      <c r="AE120" s="1820"/>
      <c r="AF120" s="1726"/>
      <c r="AG120" s="1691"/>
      <c r="AH120" s="1869"/>
      <c r="AI120" s="1893"/>
      <c r="AJ120" s="2938"/>
      <c r="AK120" s="1854"/>
      <c r="AL120" s="1894"/>
      <c r="AM120" s="1748"/>
      <c r="AN120" s="3166"/>
      <c r="AO120" s="1749"/>
      <c r="AP120" s="3121"/>
      <c r="AQ120" s="1873"/>
      <c r="AR120" s="1874"/>
      <c r="AS120" s="1873"/>
      <c r="AT120" s="1909"/>
      <c r="AU120" s="2865"/>
      <c r="AV120" s="3113"/>
      <c r="AW120" s="3289"/>
      <c r="AX120" s="3194"/>
      <c r="AY120" s="2881"/>
      <c r="AZ120" s="2873"/>
      <c r="BA120" s="2825"/>
      <c r="BB120" s="2727"/>
      <c r="BC120" s="2720"/>
      <c r="BD120" s="1910"/>
      <c r="BE120" s="1911"/>
      <c r="BF120" s="1864"/>
      <c r="BG120" s="1865"/>
      <c r="BH120" s="1726"/>
      <c r="BI120" s="1873"/>
      <c r="BJ120" s="1940"/>
      <c r="BK120" s="1865"/>
      <c r="BL120" s="3633">
        <f>SUM(E120:AE122)</f>
        <v>0</v>
      </c>
      <c r="BM120" s="3633">
        <f>SUM(E120:BG122)</f>
        <v>0</v>
      </c>
      <c r="BN120" s="1942"/>
      <c r="BO120" s="1951"/>
      <c r="BP120" s="3629"/>
    </row>
    <row r="121" spans="1:68" ht="15.75" thickBot="1">
      <c r="A121" s="3724"/>
      <c r="B121" s="1738" t="s">
        <v>32</v>
      </c>
      <c r="C121" s="3679"/>
      <c r="D121" s="1705">
        <f t="shared" si="1"/>
        <v>0</v>
      </c>
      <c r="E121" s="1706"/>
      <c r="F121" s="1707"/>
      <c r="G121" s="1708"/>
      <c r="H121" s="1709"/>
      <c r="I121" s="2924"/>
      <c r="J121" s="1766"/>
      <c r="K121" s="1767"/>
      <c r="L121" s="1768"/>
      <c r="M121" s="1769"/>
      <c r="N121" s="3178"/>
      <c r="O121" s="1768"/>
      <c r="P121" s="1770"/>
      <c r="Q121" s="3122"/>
      <c r="R121" s="1771"/>
      <c r="S121" s="1772"/>
      <c r="T121" s="1834"/>
      <c r="U121" s="2819"/>
      <c r="V121" s="3187"/>
      <c r="W121" s="2890"/>
      <c r="X121" s="1835"/>
      <c r="Y121" s="1836"/>
      <c r="Z121" s="3298"/>
      <c r="AA121" s="2728"/>
      <c r="AB121" s="2721"/>
      <c r="AC121" s="1837"/>
      <c r="AD121" s="1838"/>
      <c r="AE121" s="1839"/>
      <c r="AF121" s="1706"/>
      <c r="AG121" s="1707"/>
      <c r="AH121" s="1887"/>
      <c r="AI121" s="1888"/>
      <c r="AJ121" s="2935"/>
      <c r="AK121" s="1889"/>
      <c r="AL121" s="1890"/>
      <c r="AM121" s="1769"/>
      <c r="AN121" s="3167"/>
      <c r="AO121" s="1770"/>
      <c r="AP121" s="3122"/>
      <c r="AQ121" s="1891"/>
      <c r="AR121" s="1892"/>
      <c r="AS121" s="1891"/>
      <c r="AT121" s="1920"/>
      <c r="AU121" s="2866"/>
      <c r="AV121" s="3114"/>
      <c r="AW121" s="3290"/>
      <c r="AX121" s="3195"/>
      <c r="AY121" s="2882"/>
      <c r="AZ121" s="2874"/>
      <c r="BA121" s="2826"/>
      <c r="BB121" s="2728"/>
      <c r="BC121" s="2721"/>
      <c r="BD121" s="1921"/>
      <c r="BE121" s="1922"/>
      <c r="BF121" s="1923"/>
      <c r="BG121" s="1924"/>
      <c r="BH121" s="1947"/>
      <c r="BI121" s="1891"/>
      <c r="BJ121" s="1948"/>
      <c r="BK121" s="1924"/>
      <c r="BL121" s="3634"/>
      <c r="BM121" s="3634"/>
      <c r="BN121" s="1942"/>
      <c r="BO121" s="1951"/>
      <c r="BP121" s="3630"/>
    </row>
    <row r="122" spans="1:68" ht="15.75" thickBot="1">
      <c r="A122" s="3724"/>
      <c r="B122" s="1694" t="s">
        <v>34</v>
      </c>
      <c r="C122" s="3679"/>
      <c r="D122" s="1705">
        <f t="shared" si="1"/>
        <v>0</v>
      </c>
      <c r="E122" s="1706"/>
      <c r="F122" s="1707"/>
      <c r="G122" s="1708"/>
      <c r="H122" s="1709"/>
      <c r="I122" s="2924"/>
      <c r="J122" s="1766"/>
      <c r="K122" s="1767"/>
      <c r="L122" s="1768"/>
      <c r="M122" s="1769"/>
      <c r="N122" s="3178"/>
      <c r="O122" s="1768"/>
      <c r="P122" s="1770"/>
      <c r="Q122" s="3122"/>
      <c r="R122" s="1771"/>
      <c r="S122" s="1772"/>
      <c r="T122" s="1834"/>
      <c r="U122" s="2819"/>
      <c r="V122" s="3187"/>
      <c r="W122" s="2890"/>
      <c r="X122" s="1835"/>
      <c r="Y122" s="1836"/>
      <c r="Z122" s="3298"/>
      <c r="AA122" s="2728"/>
      <c r="AB122" s="2721"/>
      <c r="AC122" s="1837"/>
      <c r="AD122" s="1838"/>
      <c r="AE122" s="1839"/>
      <c r="AF122" s="1706"/>
      <c r="AG122" s="1707"/>
      <c r="AH122" s="1887"/>
      <c r="AI122" s="1888"/>
      <c r="AJ122" s="2935"/>
      <c r="AK122" s="1889"/>
      <c r="AL122" s="1890"/>
      <c r="AM122" s="1769"/>
      <c r="AN122" s="3167"/>
      <c r="AO122" s="1770"/>
      <c r="AP122" s="3122"/>
      <c r="AQ122" s="1891"/>
      <c r="AR122" s="1892"/>
      <c r="AS122" s="1891"/>
      <c r="AT122" s="1920"/>
      <c r="AU122" s="2866"/>
      <c r="AV122" s="3114"/>
      <c r="AW122" s="3290"/>
      <c r="AX122" s="3195"/>
      <c r="AY122" s="2883"/>
      <c r="AZ122" s="2874"/>
      <c r="BA122" s="2826"/>
      <c r="BB122" s="2728"/>
      <c r="BC122" s="2721"/>
      <c r="BD122" s="1921"/>
      <c r="BE122" s="1922"/>
      <c r="BF122" s="1923"/>
      <c r="BG122" s="1924"/>
      <c r="BH122" s="1947"/>
      <c r="BI122" s="1891"/>
      <c r="BJ122" s="1948"/>
      <c r="BK122" s="1924"/>
      <c r="BL122" s="3634"/>
      <c r="BM122" s="3634"/>
      <c r="BN122" s="1942"/>
      <c r="BO122" s="1951"/>
      <c r="BP122" s="3630"/>
    </row>
    <row r="123" spans="1:68" ht="15.75" thickBot="1">
      <c r="A123" s="1963"/>
      <c r="B123" s="1724"/>
      <c r="C123" s="1964"/>
      <c r="D123" s="1965"/>
      <c r="E123" s="1966">
        <f t="shared" ref="E123:AJ123" si="2">SUM(E5:E122)</f>
        <v>0</v>
      </c>
      <c r="F123" s="1966">
        <f t="shared" si="2"/>
        <v>0</v>
      </c>
      <c r="G123" s="1966">
        <f t="shared" si="2"/>
        <v>0</v>
      </c>
      <c r="H123" s="1966">
        <f t="shared" si="2"/>
        <v>0</v>
      </c>
      <c r="I123" s="2933">
        <f t="shared" si="2"/>
        <v>10440</v>
      </c>
      <c r="J123" s="1966">
        <f t="shared" si="2"/>
        <v>0</v>
      </c>
      <c r="K123" s="1966">
        <f t="shared" si="2"/>
        <v>0</v>
      </c>
      <c r="L123" s="1966">
        <f t="shared" si="2"/>
        <v>0</v>
      </c>
      <c r="M123" s="1966">
        <f t="shared" si="2"/>
        <v>0</v>
      </c>
      <c r="N123" s="1966">
        <f t="shared" si="2"/>
        <v>0</v>
      </c>
      <c r="O123" s="1966">
        <f t="shared" si="2"/>
        <v>0</v>
      </c>
      <c r="P123" s="1966">
        <f t="shared" si="2"/>
        <v>0</v>
      </c>
      <c r="Q123" s="1966">
        <f t="shared" si="2"/>
        <v>0</v>
      </c>
      <c r="R123" s="1966">
        <f t="shared" si="2"/>
        <v>0</v>
      </c>
      <c r="S123" s="1966">
        <f t="shared" si="2"/>
        <v>0</v>
      </c>
      <c r="T123" s="1966">
        <f t="shared" si="2"/>
        <v>0</v>
      </c>
      <c r="U123" s="1966">
        <f t="shared" si="2"/>
        <v>0</v>
      </c>
      <c r="V123" s="1966">
        <f t="shared" si="2"/>
        <v>0</v>
      </c>
      <c r="W123" s="1966">
        <f t="shared" si="2"/>
        <v>0</v>
      </c>
      <c r="X123" s="1966">
        <f t="shared" si="2"/>
        <v>0</v>
      </c>
      <c r="Y123" s="1966">
        <f t="shared" si="2"/>
        <v>0</v>
      </c>
      <c r="Z123" s="1966">
        <f t="shared" si="2"/>
        <v>0</v>
      </c>
      <c r="AA123" s="1966">
        <f t="shared" si="2"/>
        <v>0</v>
      </c>
      <c r="AB123" s="1966">
        <f t="shared" si="2"/>
        <v>0</v>
      </c>
      <c r="AC123" s="1966">
        <f t="shared" si="2"/>
        <v>0</v>
      </c>
      <c r="AD123" s="1966">
        <f t="shared" si="2"/>
        <v>0</v>
      </c>
      <c r="AE123" s="1966">
        <f t="shared" si="2"/>
        <v>0</v>
      </c>
      <c r="AF123" s="1966">
        <f t="shared" si="2"/>
        <v>0</v>
      </c>
      <c r="AG123" s="1966">
        <f t="shared" si="2"/>
        <v>0</v>
      </c>
      <c r="AH123" s="1966">
        <f t="shared" si="2"/>
        <v>0</v>
      </c>
      <c r="AI123" s="1966">
        <f t="shared" si="2"/>
        <v>0</v>
      </c>
      <c r="AJ123" s="2933">
        <f t="shared" si="2"/>
        <v>0</v>
      </c>
      <c r="AK123" s="1966">
        <f t="shared" ref="AK123:BM123" si="3">SUM(AK5:AK122)</f>
        <v>0</v>
      </c>
      <c r="AL123" s="1966">
        <f t="shared" si="3"/>
        <v>0</v>
      </c>
      <c r="AM123" s="1966">
        <f t="shared" si="3"/>
        <v>0</v>
      </c>
      <c r="AN123" s="1966">
        <f t="shared" si="3"/>
        <v>0</v>
      </c>
      <c r="AO123" s="1966">
        <f t="shared" si="3"/>
        <v>0</v>
      </c>
      <c r="AP123" s="1966">
        <f t="shared" si="3"/>
        <v>0</v>
      </c>
      <c r="AQ123" s="1966">
        <f t="shared" si="3"/>
        <v>0</v>
      </c>
      <c r="AR123" s="1966">
        <f t="shared" si="3"/>
        <v>0</v>
      </c>
      <c r="AS123" s="1966">
        <f t="shared" si="3"/>
        <v>0</v>
      </c>
      <c r="AT123" s="1966">
        <f t="shared" si="3"/>
        <v>0</v>
      </c>
      <c r="AU123" s="1966">
        <f t="shared" si="3"/>
        <v>0</v>
      </c>
      <c r="AV123" s="1966">
        <f t="shared" si="3"/>
        <v>0</v>
      </c>
      <c r="AW123" s="1966">
        <f t="shared" si="3"/>
        <v>26</v>
      </c>
      <c r="AX123" s="1966">
        <f t="shared" si="3"/>
        <v>0</v>
      </c>
      <c r="AY123" s="1966">
        <f t="shared" si="3"/>
        <v>0</v>
      </c>
      <c r="AZ123" s="1966">
        <f t="shared" si="3"/>
        <v>0</v>
      </c>
      <c r="BA123" s="1966">
        <f t="shared" si="3"/>
        <v>0</v>
      </c>
      <c r="BB123" s="1966">
        <f t="shared" si="3"/>
        <v>0</v>
      </c>
      <c r="BC123" s="1966">
        <f t="shared" si="3"/>
        <v>0</v>
      </c>
      <c r="BD123" s="1966">
        <f t="shared" si="3"/>
        <v>0</v>
      </c>
      <c r="BE123" s="1966">
        <f t="shared" si="3"/>
        <v>0</v>
      </c>
      <c r="BF123" s="1966">
        <f t="shared" si="3"/>
        <v>0</v>
      </c>
      <c r="BG123" s="1966">
        <f t="shared" si="3"/>
        <v>0</v>
      </c>
      <c r="BH123" s="1966">
        <f t="shared" si="3"/>
        <v>0</v>
      </c>
      <c r="BI123" s="1966">
        <f t="shared" si="3"/>
        <v>53</v>
      </c>
      <c r="BJ123" s="1966">
        <f t="shared" si="3"/>
        <v>0</v>
      </c>
      <c r="BK123" s="1966">
        <f t="shared" si="3"/>
        <v>0</v>
      </c>
      <c r="BL123" s="1966">
        <f t="shared" si="3"/>
        <v>10440</v>
      </c>
      <c r="BM123" s="1966">
        <f t="shared" si="3"/>
        <v>10466</v>
      </c>
      <c r="BN123" s="1939"/>
      <c r="BO123" s="1939"/>
      <c r="BP123" s="1989"/>
    </row>
    <row r="124" spans="1:68" ht="21.75" thickBot="1">
      <c r="A124" s="1967"/>
      <c r="B124" s="1730"/>
      <c r="C124" s="1968">
        <f>SUM(C5:C122)</f>
        <v>10519</v>
      </c>
      <c r="D124" s="1969"/>
      <c r="E124" s="3699">
        <f>SUM(E123:AE123)</f>
        <v>10440</v>
      </c>
      <c r="F124" s="3700"/>
      <c r="G124" s="3700"/>
      <c r="H124" s="3700"/>
      <c r="I124" s="3700"/>
      <c r="J124" s="3700"/>
      <c r="K124" s="3700"/>
      <c r="L124" s="3700"/>
      <c r="M124" s="3700"/>
      <c r="N124" s="3700"/>
      <c r="O124" s="3700"/>
      <c r="P124" s="3700"/>
      <c r="Q124" s="3700"/>
      <c r="R124" s="3700"/>
      <c r="S124" s="3700"/>
      <c r="T124" s="3700"/>
      <c r="U124" s="3700"/>
      <c r="V124" s="3700"/>
      <c r="W124" s="3700"/>
      <c r="X124" s="3700"/>
      <c r="Y124" s="3701"/>
      <c r="Z124" s="3701"/>
      <c r="AA124" s="3701"/>
      <c r="AB124" s="3701"/>
      <c r="AC124" s="3701"/>
      <c r="AD124" s="3701"/>
      <c r="AE124" s="3702"/>
      <c r="AF124" s="3703">
        <f>SUM(AF123:BG123)</f>
        <v>26</v>
      </c>
      <c r="AG124" s="3704"/>
      <c r="AH124" s="3704"/>
      <c r="AI124" s="3704"/>
      <c r="AJ124" s="3704"/>
      <c r="AK124" s="3704"/>
      <c r="AL124" s="3704"/>
      <c r="AM124" s="3704"/>
      <c r="AN124" s="3704"/>
      <c r="AO124" s="3704"/>
      <c r="AP124" s="3704"/>
      <c r="AQ124" s="3704"/>
      <c r="AR124" s="3704"/>
      <c r="AS124" s="3704"/>
      <c r="AT124" s="3704"/>
      <c r="AU124" s="3704"/>
      <c r="AV124" s="3704"/>
      <c r="AW124" s="3704"/>
      <c r="AX124" s="3704"/>
      <c r="AY124" s="3704"/>
      <c r="AZ124" s="3704"/>
      <c r="BA124" s="3704"/>
      <c r="BB124" s="3704"/>
      <c r="BC124" s="3704"/>
      <c r="BD124" s="3705"/>
      <c r="BE124" s="3705"/>
      <c r="BF124" s="3705"/>
      <c r="BG124" s="3706"/>
      <c r="BH124" s="3699">
        <f>SUM(BH123:BK123)</f>
        <v>53</v>
      </c>
      <c r="BI124" s="3701"/>
      <c r="BJ124" s="3701"/>
      <c r="BK124" s="3702"/>
      <c r="BN124" s="1970"/>
      <c r="BO124" s="1970"/>
      <c r="BP124" s="1970"/>
    </row>
  </sheetData>
  <mergeCells count="162">
    <mergeCell ref="BL5:BL8"/>
    <mergeCell ref="BM5:BM8"/>
    <mergeCell ref="BP5:BP8"/>
    <mergeCell ref="A9:A12"/>
    <mergeCell ref="C9:C12"/>
    <mergeCell ref="BL9:BL12"/>
    <mergeCell ref="BM9:BM12"/>
    <mergeCell ref="BP9:BP12"/>
    <mergeCell ref="E3:AE3"/>
    <mergeCell ref="AF3:BG3"/>
    <mergeCell ref="BH3:BK3"/>
    <mergeCell ref="C4:D4"/>
    <mergeCell ref="A5:A8"/>
    <mergeCell ref="C5:C8"/>
    <mergeCell ref="A13:A16"/>
    <mergeCell ref="C13:C16"/>
    <mergeCell ref="BL13:BL16"/>
    <mergeCell ref="BM13:BM16"/>
    <mergeCell ref="BP13:BP16"/>
    <mergeCell ref="A17:A19"/>
    <mergeCell ref="C17:C19"/>
    <mergeCell ref="BL17:BL19"/>
    <mergeCell ref="BM17:BM19"/>
    <mergeCell ref="BP17:BP19"/>
    <mergeCell ref="A20:A23"/>
    <mergeCell ref="C20:C23"/>
    <mergeCell ref="BL20:BL23"/>
    <mergeCell ref="BM20:BM23"/>
    <mergeCell ref="BP20:BP23"/>
    <mergeCell ref="A24:A26"/>
    <mergeCell ref="C24:C26"/>
    <mergeCell ref="BL24:BL26"/>
    <mergeCell ref="BM24:BM26"/>
    <mergeCell ref="BP24:BP26"/>
    <mergeCell ref="A27:A29"/>
    <mergeCell ref="C27:C29"/>
    <mergeCell ref="BL27:BL29"/>
    <mergeCell ref="BM27:BM29"/>
    <mergeCell ref="BP27:BP29"/>
    <mergeCell ref="A30:A34"/>
    <mergeCell ref="C30:C34"/>
    <mergeCell ref="BL30:BL34"/>
    <mergeCell ref="BM30:BM34"/>
    <mergeCell ref="BP30:BP34"/>
    <mergeCell ref="A35:A38"/>
    <mergeCell ref="C35:C38"/>
    <mergeCell ref="BL35:BL38"/>
    <mergeCell ref="BM35:BM38"/>
    <mergeCell ref="BP35:BP38"/>
    <mergeCell ref="A39:A42"/>
    <mergeCell ref="C39:C42"/>
    <mergeCell ref="BL39:BL42"/>
    <mergeCell ref="BM39:BM42"/>
    <mergeCell ref="BP39:BP42"/>
    <mergeCell ref="A43:A46"/>
    <mergeCell ref="C43:C46"/>
    <mergeCell ref="BL43:BL46"/>
    <mergeCell ref="BM43:BM46"/>
    <mergeCell ref="BP43:BP46"/>
    <mergeCell ref="A47:A50"/>
    <mergeCell ref="C47:C50"/>
    <mergeCell ref="BL47:BL50"/>
    <mergeCell ref="BM47:BM50"/>
    <mergeCell ref="BP47:BP50"/>
    <mergeCell ref="A51:A54"/>
    <mergeCell ref="C51:C54"/>
    <mergeCell ref="BL51:BL54"/>
    <mergeCell ref="BM51:BM54"/>
    <mergeCell ref="BP51:BP54"/>
    <mergeCell ref="A55:A58"/>
    <mergeCell ref="C55:C58"/>
    <mergeCell ref="BL55:BL58"/>
    <mergeCell ref="BM55:BM58"/>
    <mergeCell ref="BP55:BP58"/>
    <mergeCell ref="A59:A62"/>
    <mergeCell ref="C59:C62"/>
    <mergeCell ref="BL59:BL62"/>
    <mergeCell ref="BM59:BM62"/>
    <mergeCell ref="BP59:BP62"/>
    <mergeCell ref="A63:A66"/>
    <mergeCell ref="C63:C66"/>
    <mergeCell ref="BL63:BL66"/>
    <mergeCell ref="BM63:BM66"/>
    <mergeCell ref="BP63:BP66"/>
    <mergeCell ref="A67:A70"/>
    <mergeCell ref="C67:C70"/>
    <mergeCell ref="BL67:BL70"/>
    <mergeCell ref="BM67:BM70"/>
    <mergeCell ref="BP67:BP70"/>
    <mergeCell ref="A71:A74"/>
    <mergeCell ref="C71:C74"/>
    <mergeCell ref="BL71:BL74"/>
    <mergeCell ref="BM71:BM74"/>
    <mergeCell ref="BP71:BP74"/>
    <mergeCell ref="A75:A78"/>
    <mergeCell ref="C75:C78"/>
    <mergeCell ref="BL75:BL78"/>
    <mergeCell ref="BM75:BM78"/>
    <mergeCell ref="BP75:BP78"/>
    <mergeCell ref="A79:A83"/>
    <mergeCell ref="C79:C83"/>
    <mergeCell ref="BL79:BL83"/>
    <mergeCell ref="BM79:BM83"/>
    <mergeCell ref="BP79:BP83"/>
    <mergeCell ref="A84:A87"/>
    <mergeCell ref="C84:C87"/>
    <mergeCell ref="BL84:BL87"/>
    <mergeCell ref="BM84:BM87"/>
    <mergeCell ref="BP84:BP87"/>
    <mergeCell ref="A88:A91"/>
    <mergeCell ref="C88:C91"/>
    <mergeCell ref="BL88:BL91"/>
    <mergeCell ref="BM88:BM91"/>
    <mergeCell ref="BP88:BP91"/>
    <mergeCell ref="A92:A95"/>
    <mergeCell ref="C92:C95"/>
    <mergeCell ref="BL92:BL95"/>
    <mergeCell ref="BM92:BM95"/>
    <mergeCell ref="BP92:BP95"/>
    <mergeCell ref="A96:A99"/>
    <mergeCell ref="C96:C99"/>
    <mergeCell ref="BL96:BL99"/>
    <mergeCell ref="BM96:BM99"/>
    <mergeCell ref="BP96:BP99"/>
    <mergeCell ref="A100:A104"/>
    <mergeCell ref="C100:C104"/>
    <mergeCell ref="BL100:BL104"/>
    <mergeCell ref="BM100:BM104"/>
    <mergeCell ref="BP100:BP104"/>
    <mergeCell ref="A105:A107"/>
    <mergeCell ref="C105:C107"/>
    <mergeCell ref="BL105:BL107"/>
    <mergeCell ref="BM105:BM107"/>
    <mergeCell ref="BP105:BP107"/>
    <mergeCell ref="A108:A110"/>
    <mergeCell ref="C108:C110"/>
    <mergeCell ref="BL108:BL110"/>
    <mergeCell ref="BM108:BM110"/>
    <mergeCell ref="BP108:BP110"/>
    <mergeCell ref="A111:A113"/>
    <mergeCell ref="C111:C113"/>
    <mergeCell ref="BL111:BL113"/>
    <mergeCell ref="BM111:BM113"/>
    <mergeCell ref="BP111:BP113"/>
    <mergeCell ref="A120:A122"/>
    <mergeCell ref="C120:C122"/>
    <mergeCell ref="BL120:BL122"/>
    <mergeCell ref="BM120:BM122"/>
    <mergeCell ref="BP120:BP122"/>
    <mergeCell ref="E124:AE124"/>
    <mergeCell ref="AF124:BG124"/>
    <mergeCell ref="BH124:BK124"/>
    <mergeCell ref="A114:A116"/>
    <mergeCell ref="C114:C116"/>
    <mergeCell ref="BL114:BL116"/>
    <mergeCell ref="BM114:BM116"/>
    <mergeCell ref="BP114:BP116"/>
    <mergeCell ref="A117:A119"/>
    <mergeCell ref="C117:C119"/>
    <mergeCell ref="BL117:BL119"/>
    <mergeCell ref="BM117:BM119"/>
    <mergeCell ref="BP117:BP1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M381"/>
  <sheetViews>
    <sheetView zoomScale="103" zoomScaleNormal="103" workbookViewId="0">
      <pane ySplit="4" topLeftCell="A303" activePane="bottomLeft" state="frozen"/>
      <selection activeCell="K215" sqref="K215"/>
      <selection pane="bottomLeft" activeCell="A313" sqref="A313"/>
    </sheetView>
  </sheetViews>
  <sheetFormatPr defaultColWidth="9" defaultRowHeight="15"/>
  <cols>
    <col min="1" max="1" width="58.7109375" customWidth="1"/>
    <col min="2" max="2" width="18.140625" customWidth="1"/>
    <col min="3" max="3" width="15.7109375" customWidth="1"/>
    <col min="4" max="4" width="14.85546875" customWidth="1"/>
    <col min="5" max="5" width="1.42578125" customWidth="1"/>
    <col min="6" max="9" width="13.85546875" customWidth="1"/>
    <col min="10" max="10" width="9.5703125" bestFit="1" customWidth="1"/>
    <col min="11" max="11" width="12.85546875" style="1" customWidth="1"/>
    <col min="12" max="12" width="13.85546875" customWidth="1"/>
    <col min="13" max="13" width="13.7109375" bestFit="1" customWidth="1"/>
    <col min="14" max="14" width="2.7109375" customWidth="1"/>
    <col min="15" max="16" width="17.28515625" customWidth="1"/>
    <col min="17" max="17" width="18.140625" customWidth="1"/>
    <col min="18" max="18" width="12.85546875" customWidth="1"/>
    <col min="19" max="19" width="13.7109375" customWidth="1"/>
    <col min="20" max="20" width="10.5703125" customWidth="1"/>
    <col min="21" max="21" width="17.85546875" customWidth="1"/>
    <col min="22" max="22" width="12.85546875" bestFit="1" customWidth="1"/>
    <col min="23" max="23" width="2.5703125" customWidth="1"/>
    <col min="24" max="24" width="18" customWidth="1"/>
    <col min="25" max="25" width="11.5703125" customWidth="1"/>
    <col min="26" max="26" width="14.5703125" customWidth="1"/>
    <col min="27" max="27" width="15.42578125" customWidth="1"/>
    <col min="28" max="28" width="10.5703125" customWidth="1"/>
    <col min="29" max="29" width="15.42578125" customWidth="1"/>
    <col min="30" max="30" width="13.140625" style="1" customWidth="1"/>
    <col min="31" max="31" width="17.5703125" customWidth="1"/>
    <col min="32" max="32" width="2.5703125" customWidth="1"/>
    <col min="33" max="33" width="15.85546875" customWidth="1"/>
    <col min="34" max="34" width="13.85546875" customWidth="1"/>
    <col min="35" max="35" width="13.42578125" customWidth="1"/>
    <col min="36" max="37" width="13.85546875" customWidth="1"/>
    <col min="38" max="38" width="11.5703125" customWidth="1"/>
    <col min="39" max="39" width="13.7109375" customWidth="1"/>
    <col min="40" max="40" width="14.85546875" customWidth="1"/>
    <col min="41" max="41" width="2.5703125" customWidth="1"/>
    <col min="42" max="42" width="12.5703125" customWidth="1"/>
    <col min="43" max="43" width="14.85546875" customWidth="1"/>
    <col min="44" max="44" width="10.5703125" customWidth="1"/>
    <col min="45" max="45" width="12.7109375" bestFit="1" customWidth="1"/>
    <col min="46" max="46" width="10.85546875" customWidth="1"/>
    <col min="47" max="47" width="12.85546875" customWidth="1"/>
    <col min="48" max="48" width="13.7109375" customWidth="1"/>
    <col min="49" max="49" width="11.5703125" customWidth="1"/>
    <col min="50" max="50" width="2.5703125" customWidth="1"/>
    <col min="51" max="51" width="13.28515625" customWidth="1"/>
    <col min="52" max="52" width="11.5703125" customWidth="1"/>
    <col min="53" max="53" width="18.42578125" customWidth="1"/>
    <col min="54" max="54" width="16.5703125" customWidth="1"/>
    <col min="55" max="55" width="15" customWidth="1"/>
    <col min="56" max="56" width="16.7109375" customWidth="1"/>
    <col min="57" max="57" width="11.5703125" customWidth="1"/>
    <col min="58" max="58" width="16.28515625" customWidth="1"/>
    <col min="59" max="59" width="2.5703125" customWidth="1"/>
    <col min="60" max="60" width="17.85546875" customWidth="1"/>
    <col min="61" max="61" width="14.85546875" customWidth="1"/>
    <col min="62" max="62" width="14.7109375" customWidth="1"/>
    <col min="63" max="63" width="17.42578125" customWidth="1"/>
    <col min="64" max="64" width="15.140625" customWidth="1"/>
    <col min="65" max="65" width="9.5703125" customWidth="1"/>
    <col min="66" max="67" width="11.5703125" customWidth="1"/>
    <col min="68" max="68" width="1.5703125" customWidth="1"/>
    <col min="69" max="69" width="17" customWidth="1"/>
    <col min="70" max="70" width="16.7109375" customWidth="1"/>
    <col min="71" max="71" width="14.7109375" customWidth="1"/>
    <col min="72" max="73" width="13.85546875" customWidth="1"/>
    <col min="74" max="74" width="11.85546875" bestFit="1" customWidth="1"/>
    <col min="75" max="75" width="16.85546875" customWidth="1"/>
    <col min="76" max="76" width="11.5703125" customWidth="1"/>
    <col min="77" max="77" width="2.5703125" customWidth="1"/>
    <col min="78" max="78" width="15.85546875" customWidth="1"/>
    <col min="79" max="79" width="13.5703125" customWidth="1"/>
    <col min="80" max="80" width="14" customWidth="1"/>
    <col min="81" max="81" width="12.5703125" customWidth="1"/>
    <col min="82" max="82" width="13.42578125" customWidth="1"/>
    <col min="83" max="83" width="13.85546875" style="1" customWidth="1"/>
    <col min="84" max="84" width="13.140625" customWidth="1"/>
    <col min="85" max="85" width="12.5703125" customWidth="1"/>
    <col min="86" max="86" width="9.5703125" customWidth="1"/>
    <col min="87" max="87" width="16.140625" customWidth="1"/>
    <col min="88" max="88" width="11.7109375" style="1" customWidth="1"/>
    <col min="89" max="89" width="9.7109375" customWidth="1"/>
    <col min="90" max="90" width="16.140625" customWidth="1"/>
    <col min="91" max="91" width="13.42578125" customWidth="1"/>
    <col min="92" max="92" width="16.140625" customWidth="1"/>
    <col min="93" max="93" width="11" customWidth="1"/>
    <col min="94" max="94" width="9.7109375" customWidth="1"/>
    <col min="95" max="95" width="10.85546875" customWidth="1"/>
    <col min="96" max="255" width="10" customWidth="1"/>
  </cols>
  <sheetData>
    <row r="1" spans="1:96" ht="31.5" customHeight="1" thickBot="1">
      <c r="A1" s="1233" t="s">
        <v>57</v>
      </c>
      <c r="B1" s="1234"/>
      <c r="C1" s="1234"/>
      <c r="D1" s="1234"/>
      <c r="E1" s="1234"/>
      <c r="F1" s="1234"/>
      <c r="G1" s="1234"/>
      <c r="H1" s="1235">
        <v>1</v>
      </c>
      <c r="I1" s="1235">
        <v>4</v>
      </c>
      <c r="J1" s="3745">
        <v>2026</v>
      </c>
      <c r="K1" s="3746"/>
      <c r="L1" s="1234"/>
      <c r="M1" s="1234"/>
      <c r="N1" s="1234"/>
      <c r="O1" s="1234"/>
      <c r="P1" s="1234"/>
      <c r="Q1" s="1234"/>
      <c r="R1" s="1234"/>
      <c r="S1" s="1234"/>
      <c r="T1" s="1234"/>
      <c r="U1" s="1234"/>
      <c r="V1" s="1234"/>
      <c r="W1" s="1234"/>
      <c r="X1" s="1234"/>
      <c r="Y1" s="1234"/>
      <c r="Z1" s="1234"/>
      <c r="AA1" s="1234"/>
      <c r="AB1" s="1234"/>
      <c r="AC1" s="1234"/>
      <c r="AD1" s="1234"/>
      <c r="AE1" s="1234"/>
      <c r="AF1" s="1234"/>
      <c r="AG1" s="1234"/>
      <c r="AH1" s="1234"/>
      <c r="AI1" s="1234"/>
      <c r="AJ1" s="1234"/>
      <c r="AK1" s="1234"/>
      <c r="AL1" s="1234"/>
      <c r="AM1" s="1234"/>
      <c r="AN1" s="1234"/>
      <c r="AO1" s="1234"/>
      <c r="AP1" s="1234"/>
      <c r="AQ1" s="1234"/>
      <c r="AR1" s="1234"/>
      <c r="AS1" s="1234"/>
      <c r="AT1" s="1234"/>
      <c r="AU1" s="1234"/>
      <c r="AV1" s="1234"/>
      <c r="AW1" s="1234"/>
      <c r="AX1" s="1234"/>
      <c r="AY1" s="1234"/>
      <c r="AZ1" s="1234"/>
      <c r="BA1" s="1234"/>
      <c r="BB1" s="1234"/>
      <c r="BC1" s="1234"/>
      <c r="BD1" s="1234"/>
      <c r="BE1" s="1234"/>
      <c r="BF1" s="1234"/>
      <c r="BG1" s="1234"/>
      <c r="BH1" s="1234"/>
      <c r="BI1" s="1234"/>
      <c r="BJ1" s="1234"/>
      <c r="BK1" s="1234"/>
      <c r="BL1" s="1234"/>
      <c r="BM1" s="1234"/>
      <c r="BN1" s="1234"/>
      <c r="BO1" s="1234"/>
      <c r="BP1" s="1234"/>
      <c r="BQ1" s="1234"/>
      <c r="BR1" s="1234"/>
      <c r="BS1" s="1234"/>
      <c r="BT1" s="1234"/>
      <c r="BU1" s="1234"/>
      <c r="BV1" s="1234"/>
      <c r="BW1" s="1234"/>
      <c r="BX1" s="1234"/>
      <c r="BY1" s="1234"/>
      <c r="BZ1" s="1234"/>
      <c r="CA1" s="1234"/>
      <c r="CB1" s="1234"/>
      <c r="CC1" s="1234"/>
      <c r="CD1" s="1234"/>
      <c r="CE1" s="1234"/>
      <c r="CF1" s="1234"/>
      <c r="CG1" s="1234"/>
      <c r="CH1" s="1234"/>
      <c r="CI1" s="1234"/>
      <c r="CJ1" s="1234"/>
      <c r="CK1" s="1234"/>
      <c r="CL1" s="1234"/>
      <c r="CM1" s="1234"/>
      <c r="CN1" s="1234"/>
    </row>
    <row r="2" spans="1:96" s="1222" customFormat="1" ht="16.5" thickBot="1">
      <c r="A2" s="3747"/>
      <c r="B2" s="3748"/>
      <c r="C2" s="3749"/>
      <c r="D2" s="3750"/>
      <c r="E2" s="1236"/>
      <c r="F2" s="3742" t="s">
        <v>58</v>
      </c>
      <c r="G2" s="3733"/>
      <c r="H2" s="3733"/>
      <c r="I2" s="3733"/>
      <c r="J2" s="3733"/>
      <c r="K2" s="3733"/>
      <c r="L2" s="3733"/>
      <c r="M2" s="3733"/>
      <c r="N2" s="1236"/>
      <c r="O2" s="3733" t="s">
        <v>59</v>
      </c>
      <c r="P2" s="3733"/>
      <c r="Q2" s="3733"/>
      <c r="R2" s="3733"/>
      <c r="S2" s="3733"/>
      <c r="T2" s="3733"/>
      <c r="U2" s="3733"/>
      <c r="V2" s="3733"/>
      <c r="W2" s="1236"/>
      <c r="X2" s="3733" t="s">
        <v>60</v>
      </c>
      <c r="Y2" s="3733"/>
      <c r="Z2" s="3733"/>
      <c r="AA2" s="3733"/>
      <c r="AB2" s="3733"/>
      <c r="AC2" s="3733"/>
      <c r="AD2" s="3733"/>
      <c r="AE2" s="3733"/>
      <c r="AF2" s="1236"/>
      <c r="AG2" s="3733" t="s">
        <v>61</v>
      </c>
      <c r="AH2" s="3733"/>
      <c r="AI2" s="3733"/>
      <c r="AJ2" s="3733"/>
      <c r="AK2" s="3733"/>
      <c r="AL2" s="3733"/>
      <c r="AM2" s="3733"/>
      <c r="AN2" s="3733"/>
      <c r="AO2" s="1236"/>
      <c r="AP2" s="3733" t="s">
        <v>62</v>
      </c>
      <c r="AQ2" s="3733"/>
      <c r="AR2" s="3733"/>
      <c r="AS2" s="3733"/>
      <c r="AT2" s="3733"/>
      <c r="AU2" s="3733"/>
      <c r="AV2" s="3733"/>
      <c r="AW2" s="3733"/>
      <c r="AX2" s="1236"/>
      <c r="AY2" s="3733" t="s">
        <v>63</v>
      </c>
      <c r="AZ2" s="3733"/>
      <c r="BA2" s="3733"/>
      <c r="BB2" s="3733"/>
      <c r="BC2" s="3733"/>
      <c r="BD2" s="3733"/>
      <c r="BE2" s="3733"/>
      <c r="BF2" s="3733"/>
      <c r="BG2" s="1236"/>
      <c r="BH2" s="3733" t="s">
        <v>64</v>
      </c>
      <c r="BI2" s="3733"/>
      <c r="BJ2" s="3733"/>
      <c r="BK2" s="3733"/>
      <c r="BL2" s="3733"/>
      <c r="BM2" s="3733"/>
      <c r="BN2" s="3733"/>
      <c r="BO2" s="3733"/>
      <c r="BP2" s="1236"/>
      <c r="BQ2" s="3733">
        <v>2002</v>
      </c>
      <c r="BR2" s="3733"/>
      <c r="BS2" s="3733"/>
      <c r="BT2" s="3733"/>
      <c r="BU2" s="3733"/>
      <c r="BV2" s="3733"/>
      <c r="BW2" s="3733"/>
      <c r="BX2" s="3733"/>
      <c r="BY2" s="1236"/>
      <c r="BZ2" s="3739" t="s">
        <v>66</v>
      </c>
      <c r="CA2" s="3740"/>
      <c r="CB2" s="3740"/>
      <c r="CC2" s="3740"/>
      <c r="CD2" s="3740"/>
      <c r="CE2" s="3740"/>
      <c r="CF2" s="3741"/>
      <c r="CG2" s="3741"/>
      <c r="CH2" s="1236"/>
      <c r="CI2" s="3743"/>
      <c r="CJ2" s="3743"/>
      <c r="CK2" s="3743"/>
      <c r="CL2" s="3743"/>
      <c r="CM2" s="3743"/>
      <c r="CN2" s="3744"/>
    </row>
    <row r="3" spans="1:96" s="1223" customFormat="1" ht="24" thickBot="1">
      <c r="A3" s="286" t="s">
        <v>67</v>
      </c>
      <c r="B3" s="1237" t="s">
        <v>68</v>
      </c>
      <c r="C3" s="1237" t="s">
        <v>69</v>
      </c>
      <c r="D3" s="447" t="s">
        <v>70</v>
      </c>
      <c r="E3" s="1238"/>
      <c r="F3" s="80" t="s">
        <v>71</v>
      </c>
      <c r="G3" s="744" t="s">
        <v>533</v>
      </c>
      <c r="H3" s="49" t="s">
        <v>73</v>
      </c>
      <c r="I3" s="49" t="s">
        <v>94</v>
      </c>
      <c r="J3" s="49" t="s">
        <v>75</v>
      </c>
      <c r="K3" s="782" t="s">
        <v>76</v>
      </c>
      <c r="L3" s="1279" t="s">
        <v>77</v>
      </c>
      <c r="M3" s="1279" t="s">
        <v>53</v>
      </c>
      <c r="N3" s="1280"/>
      <c r="O3" s="80" t="s">
        <v>71</v>
      </c>
      <c r="P3" s="49" t="s">
        <v>72</v>
      </c>
      <c r="Q3" s="49" t="s">
        <v>78</v>
      </c>
      <c r="R3" s="49" t="s">
        <v>74</v>
      </c>
      <c r="S3" s="1318" t="s">
        <v>75</v>
      </c>
      <c r="T3" s="49" t="s">
        <v>79</v>
      </c>
      <c r="U3" s="1318" t="s">
        <v>77</v>
      </c>
      <c r="V3" s="1319" t="s">
        <v>80</v>
      </c>
      <c r="W3" s="1320"/>
      <c r="X3" s="743" t="s">
        <v>94</v>
      </c>
      <c r="Y3" s="744" t="s">
        <v>96</v>
      </c>
      <c r="Z3" s="744" t="s">
        <v>81</v>
      </c>
      <c r="AA3" s="744" t="s">
        <v>82</v>
      </c>
      <c r="AB3" s="880" t="s">
        <v>75</v>
      </c>
      <c r="AC3" s="744" t="s">
        <v>83</v>
      </c>
      <c r="AD3" s="744" t="s">
        <v>87</v>
      </c>
      <c r="AE3" s="936" t="s">
        <v>84</v>
      </c>
      <c r="AF3" s="1320"/>
      <c r="AG3" s="88" t="s">
        <v>85</v>
      </c>
      <c r="AH3" s="30" t="s">
        <v>86</v>
      </c>
      <c r="AI3" s="30" t="s">
        <v>77</v>
      </c>
      <c r="AJ3" s="89" t="s">
        <v>75</v>
      </c>
      <c r="AK3" s="30" t="s">
        <v>78</v>
      </c>
      <c r="AL3" s="89" t="s">
        <v>53</v>
      </c>
      <c r="AM3" s="112" t="s">
        <v>88</v>
      </c>
      <c r="AN3" s="87" t="s">
        <v>94</v>
      </c>
      <c r="AO3" s="1320"/>
      <c r="AP3" s="743" t="s">
        <v>86</v>
      </c>
      <c r="AQ3" s="744" t="s">
        <v>123</v>
      </c>
      <c r="AR3" s="744" t="s">
        <v>90</v>
      </c>
      <c r="AS3" s="744" t="s">
        <v>92</v>
      </c>
      <c r="AT3" s="880" t="s">
        <v>250</v>
      </c>
      <c r="AU3" s="744" t="s">
        <v>85</v>
      </c>
      <c r="AV3" s="880" t="s">
        <v>381</v>
      </c>
      <c r="AW3" s="936" t="s">
        <v>481</v>
      </c>
      <c r="AX3" s="1320"/>
      <c r="AY3" s="743" t="s">
        <v>82</v>
      </c>
      <c r="AZ3" s="744" t="s">
        <v>93</v>
      </c>
      <c r="BA3" s="744" t="s">
        <v>94</v>
      </c>
      <c r="BB3" s="744" t="s">
        <v>95</v>
      </c>
      <c r="BC3" s="880" t="s">
        <v>75</v>
      </c>
      <c r="BD3" s="744" t="s">
        <v>53</v>
      </c>
      <c r="BE3" s="880" t="s">
        <v>96</v>
      </c>
      <c r="BF3" s="936" t="s">
        <v>97</v>
      </c>
      <c r="BG3" s="1320"/>
      <c r="BH3" s="743" t="s">
        <v>71</v>
      </c>
      <c r="BI3" s="744" t="s">
        <v>464</v>
      </c>
      <c r="BJ3" s="744" t="s">
        <v>99</v>
      </c>
      <c r="BK3" s="744" t="s">
        <v>100</v>
      </c>
      <c r="BL3" s="880" t="s">
        <v>75</v>
      </c>
      <c r="BM3" s="51" t="s">
        <v>466</v>
      </c>
      <c r="BN3" s="880" t="s">
        <v>77</v>
      </c>
      <c r="BO3" s="936" t="s">
        <v>170</v>
      </c>
      <c r="BP3" s="1320"/>
      <c r="BQ3" s="743" t="s">
        <v>250</v>
      </c>
      <c r="BR3" s="744" t="s">
        <v>466</v>
      </c>
      <c r="BS3" s="744" t="s">
        <v>92</v>
      </c>
      <c r="BT3" s="744" t="s">
        <v>53</v>
      </c>
      <c r="BU3" s="880" t="s">
        <v>86</v>
      </c>
      <c r="BV3" s="744" t="s">
        <v>518</v>
      </c>
      <c r="BW3" s="880" t="s">
        <v>149</v>
      </c>
      <c r="BX3" s="936" t="s">
        <v>123</v>
      </c>
      <c r="BY3" s="1364"/>
      <c r="BZ3" s="1365" t="s">
        <v>102</v>
      </c>
      <c r="CA3" s="1318" t="s">
        <v>547</v>
      </c>
      <c r="CB3" s="1318" t="s">
        <v>524</v>
      </c>
      <c r="CC3" s="1318" t="s">
        <v>103</v>
      </c>
      <c r="CD3" s="1318" t="s">
        <v>579</v>
      </c>
      <c r="CE3" s="1318" t="s">
        <v>585</v>
      </c>
      <c r="CF3" s="49" t="s">
        <v>77</v>
      </c>
      <c r="CG3" s="1279" t="s">
        <v>93</v>
      </c>
      <c r="CH3" s="1238"/>
      <c r="CI3" s="1370" t="s">
        <v>104</v>
      </c>
      <c r="CJ3" s="1395" t="s">
        <v>105</v>
      </c>
      <c r="CK3" s="1396"/>
      <c r="CL3" s="448" t="s">
        <v>106</v>
      </c>
      <c r="CM3" s="1396" t="s">
        <v>107</v>
      </c>
      <c r="CN3" s="448" t="s">
        <v>108</v>
      </c>
    </row>
    <row r="4" spans="1:96" s="282" customFormat="1" ht="26.25" customHeight="1" thickBot="1">
      <c r="A4" s="2559" t="s">
        <v>109</v>
      </c>
      <c r="B4" s="2560" t="s">
        <v>472</v>
      </c>
      <c r="C4" s="290"/>
      <c r="D4" s="2599"/>
      <c r="E4" s="1239"/>
      <c r="F4" s="340">
        <f>61*16</f>
        <v>976</v>
      </c>
      <c r="G4" s="337"/>
      <c r="H4" s="337">
        <f>79*16</f>
        <v>1264</v>
      </c>
      <c r="I4" s="337"/>
      <c r="J4" s="337">
        <f>48*16</f>
        <v>768</v>
      </c>
      <c r="K4" s="1281"/>
      <c r="L4" s="1282">
        <f>57*16</f>
        <v>912</v>
      </c>
      <c r="M4" s="1282"/>
      <c r="N4" s="1283"/>
      <c r="O4" s="340"/>
      <c r="P4" s="337"/>
      <c r="Q4" s="1281"/>
      <c r="R4" s="1281"/>
      <c r="S4" s="1281"/>
      <c r="T4" s="1281"/>
      <c r="U4" s="1281"/>
      <c r="V4" s="338"/>
      <c r="W4" s="374"/>
      <c r="X4" s="1321"/>
      <c r="Y4" s="1349">
        <f>8*16</f>
        <v>128</v>
      </c>
      <c r="Z4" s="1350"/>
      <c r="AA4" s="1350"/>
      <c r="AB4" s="1350"/>
      <c r="AC4" s="1350"/>
      <c r="AD4" s="1350">
        <f>2*16</f>
        <v>32</v>
      </c>
      <c r="AE4" s="1351">
        <f>17*16</f>
        <v>272</v>
      </c>
      <c r="AF4" s="374"/>
      <c r="AG4" s="1321"/>
      <c r="AH4" s="1349"/>
      <c r="AI4" s="1350">
        <f>44*16</f>
        <v>704</v>
      </c>
      <c r="AJ4" s="1350"/>
      <c r="AK4" s="1350">
        <f>91*16</f>
        <v>1456</v>
      </c>
      <c r="AL4" s="1350"/>
      <c r="AM4" s="1351">
        <f>115*16</f>
        <v>1840</v>
      </c>
      <c r="AN4" s="1351"/>
      <c r="AO4" s="374"/>
      <c r="AP4" s="1321">
        <f>2*16</f>
        <v>32</v>
      </c>
      <c r="AQ4" s="1349">
        <f>23*16</f>
        <v>368</v>
      </c>
      <c r="AR4" s="1350">
        <f>3*16</f>
        <v>48</v>
      </c>
      <c r="AS4" s="1350"/>
      <c r="AT4" s="1350"/>
      <c r="AU4" s="1350"/>
      <c r="AV4" s="1350"/>
      <c r="AW4" s="1351"/>
      <c r="AX4" s="374"/>
      <c r="AY4" s="1321"/>
      <c r="AZ4" s="1349"/>
      <c r="BA4" s="1350">
        <f>110*16</f>
        <v>1760</v>
      </c>
      <c r="BB4" s="1350"/>
      <c r="BC4" s="1350">
        <f>39*16</f>
        <v>624</v>
      </c>
      <c r="BD4" s="1350">
        <f>191*16</f>
        <v>3056</v>
      </c>
      <c r="BE4" s="1350"/>
      <c r="BF4" s="1351"/>
      <c r="BG4" s="374"/>
      <c r="BH4" s="1321"/>
      <c r="BI4" s="1349">
        <f>61*16</f>
        <v>976</v>
      </c>
      <c r="BJ4" s="1350">
        <f>83*16</f>
        <v>1328</v>
      </c>
      <c r="BK4" s="1350">
        <f>29*16</f>
        <v>464</v>
      </c>
      <c r="BL4" s="1350"/>
      <c r="BM4" s="1350"/>
      <c r="BN4" s="1350">
        <f>10*16</f>
        <v>160</v>
      </c>
      <c r="BO4" s="1351"/>
      <c r="BP4" s="374"/>
      <c r="BQ4" s="1321">
        <f>1*16</f>
        <v>16</v>
      </c>
      <c r="BR4" s="1349"/>
      <c r="BS4" s="1350"/>
      <c r="BT4" s="1350"/>
      <c r="BU4" s="1350"/>
      <c r="BV4" s="1350">
        <f>35*16</f>
        <v>560</v>
      </c>
      <c r="BW4" s="1350"/>
      <c r="BX4" s="1351">
        <f>29*16</f>
        <v>464</v>
      </c>
      <c r="BY4" s="1366"/>
      <c r="BZ4" s="1367">
        <f>73*16</f>
        <v>1168</v>
      </c>
      <c r="CA4" s="337"/>
      <c r="CB4" s="1281"/>
      <c r="CC4" s="1281"/>
      <c r="CD4" s="1281">
        <f>25*16</f>
        <v>400</v>
      </c>
      <c r="CE4" s="1371"/>
      <c r="CF4" s="1372"/>
      <c r="CG4" s="1373"/>
      <c r="CH4" s="1374"/>
      <c r="CI4" s="1366">
        <f t="shared" ref="CI4:CI34" si="0">SUM(F4:CG4)</f>
        <v>19776</v>
      </c>
      <c r="CJ4" s="1397"/>
      <c r="CK4" s="373"/>
      <c r="CL4" s="1366">
        <f>CI4+CJ4</f>
        <v>19776</v>
      </c>
      <c r="CM4" s="373"/>
      <c r="CN4" s="1398">
        <f>CL4+CM4</f>
        <v>19776</v>
      </c>
      <c r="CR4" s="1440"/>
    </row>
    <row r="5" spans="1:96" s="1224" customFormat="1" ht="21" thickBot="1">
      <c r="A5" s="294" t="s">
        <v>110</v>
      </c>
      <c r="B5" s="2593"/>
      <c r="C5" s="2594"/>
      <c r="D5" s="2605"/>
      <c r="E5" s="1240"/>
      <c r="F5" s="1241"/>
      <c r="G5" s="1242"/>
      <c r="H5" s="1242"/>
      <c r="I5" s="1242"/>
      <c r="J5" s="1244"/>
      <c r="K5" s="1242"/>
      <c r="L5" s="1284"/>
      <c r="M5" s="1284"/>
      <c r="N5" s="1285"/>
      <c r="O5" s="1286"/>
      <c r="P5" s="1242"/>
      <c r="Q5" s="1242"/>
      <c r="R5" s="1242"/>
      <c r="S5" s="1322"/>
      <c r="T5" s="1322"/>
      <c r="U5" s="1322"/>
      <c r="V5" s="1322"/>
      <c r="W5" s="1323"/>
      <c r="X5" s="1286"/>
      <c r="Y5" s="1242"/>
      <c r="Z5" s="1242"/>
      <c r="AA5" s="1242"/>
      <c r="AB5" s="1322"/>
      <c r="AC5" s="1322"/>
      <c r="AD5" s="1322"/>
      <c r="AE5" s="1322"/>
      <c r="AF5" s="1323"/>
      <c r="AG5" s="1286"/>
      <c r="AH5" s="1242"/>
      <c r="AI5" s="1242"/>
      <c r="AJ5" s="1322"/>
      <c r="AK5" s="1322"/>
      <c r="AL5" s="1322"/>
      <c r="AM5" s="1322"/>
      <c r="AN5" s="1322"/>
      <c r="AO5" s="1323"/>
      <c r="AP5" s="1286"/>
      <c r="AQ5" s="1242"/>
      <c r="AR5" s="1242"/>
      <c r="AS5" s="1242"/>
      <c r="AT5" s="1322"/>
      <c r="AU5" s="1322"/>
      <c r="AV5" s="1322"/>
      <c r="AW5" s="1322"/>
      <c r="AX5" s="1323"/>
      <c r="AY5" s="1286"/>
      <c r="AZ5" s="1242"/>
      <c r="BA5" s="1242"/>
      <c r="BB5" s="1242"/>
      <c r="BC5" s="1322"/>
      <c r="BD5" s="1322"/>
      <c r="BE5" s="1322"/>
      <c r="BF5" s="1322"/>
      <c r="BG5" s="1323"/>
      <c r="BH5" s="1286"/>
      <c r="BI5" s="1242"/>
      <c r="BJ5" s="1242"/>
      <c r="BK5" s="1242"/>
      <c r="BL5" s="1322"/>
      <c r="BM5" s="1322"/>
      <c r="BN5" s="1322"/>
      <c r="BO5" s="1322"/>
      <c r="BP5" s="1323"/>
      <c r="BQ5" s="1286"/>
      <c r="BR5" s="1242"/>
      <c r="BS5" s="1242"/>
      <c r="BT5" s="1242"/>
      <c r="BU5" s="1322"/>
      <c r="BV5" s="1322"/>
      <c r="BW5" s="1322"/>
      <c r="BX5" s="1322"/>
      <c r="BY5" s="1323"/>
      <c r="BZ5" s="1286"/>
      <c r="CA5" s="1242"/>
      <c r="CB5" s="1242"/>
      <c r="CC5" s="1242"/>
      <c r="CD5" s="1242"/>
      <c r="CE5" s="1242"/>
      <c r="CF5" s="1322"/>
      <c r="CG5" s="1324"/>
      <c r="CH5" s="1326"/>
      <c r="CI5" s="1375">
        <f t="shared" si="0"/>
        <v>0</v>
      </c>
      <c r="CJ5" s="1399"/>
      <c r="CK5" s="1400"/>
      <c r="CL5" s="1401">
        <f>CI5+CJ5</f>
        <v>0</v>
      </c>
      <c r="CM5" s="1402"/>
      <c r="CN5" s="1403">
        <f>CL5+CM5</f>
        <v>0</v>
      </c>
    </row>
    <row r="6" spans="1:96" s="1224" customFormat="1" ht="21" thickBot="1">
      <c r="A6" s="294" t="s">
        <v>110</v>
      </c>
      <c r="B6" s="2594"/>
      <c r="C6" s="2594"/>
      <c r="D6" s="2605"/>
      <c r="E6" s="1240"/>
      <c r="F6" s="1245"/>
      <c r="G6" s="1246"/>
      <c r="H6" s="1246"/>
      <c r="I6" s="1246"/>
      <c r="J6" s="1315"/>
      <c r="K6" s="1246"/>
      <c r="L6" s="1291"/>
      <c r="M6" s="1291"/>
      <c r="N6" s="1316"/>
      <c r="O6" s="1317"/>
      <c r="P6" s="1246"/>
      <c r="Q6" s="1246"/>
      <c r="R6" s="1246"/>
      <c r="S6" s="1345"/>
      <c r="T6" s="1345"/>
      <c r="U6" s="1345"/>
      <c r="V6" s="1345"/>
      <c r="W6" s="1346"/>
      <c r="X6" s="1317"/>
      <c r="Y6" s="1246"/>
      <c r="Z6" s="1246"/>
      <c r="AA6" s="1246"/>
      <c r="AB6" s="1345"/>
      <c r="AC6" s="1345"/>
      <c r="AD6" s="1345"/>
      <c r="AE6" s="1345"/>
      <c r="AF6" s="1346"/>
      <c r="AG6" s="1317"/>
      <c r="AH6" s="1246"/>
      <c r="AI6" s="1246"/>
      <c r="AJ6" s="1345"/>
      <c r="AK6" s="1345"/>
      <c r="AL6" s="1345"/>
      <c r="AM6" s="1345"/>
      <c r="AN6" s="1345"/>
      <c r="AO6" s="1346"/>
      <c r="AP6" s="1317"/>
      <c r="AQ6" s="1246"/>
      <c r="AR6" s="1246"/>
      <c r="AS6" s="1246"/>
      <c r="AT6" s="1345"/>
      <c r="AU6" s="1345"/>
      <c r="AV6" s="1345"/>
      <c r="AW6" s="1345"/>
      <c r="AX6" s="1346"/>
      <c r="AY6" s="1317"/>
      <c r="AZ6" s="1246"/>
      <c r="BA6" s="1246"/>
      <c r="BB6" s="1246"/>
      <c r="BC6" s="1345"/>
      <c r="BD6" s="1345"/>
      <c r="BE6" s="1345"/>
      <c r="BF6" s="1345"/>
      <c r="BG6" s="1346"/>
      <c r="BH6" s="1317"/>
      <c r="BI6" s="1246"/>
      <c r="BJ6" s="1244"/>
      <c r="BK6" s="1244"/>
      <c r="BL6" s="1324"/>
      <c r="BM6" s="1324"/>
      <c r="BN6" s="1324"/>
      <c r="BO6" s="1324"/>
      <c r="BP6" s="1326"/>
      <c r="BQ6" s="1289"/>
      <c r="BR6" s="1244"/>
      <c r="BS6" s="1244"/>
      <c r="BT6" s="1244"/>
      <c r="BU6" s="1324"/>
      <c r="BV6" s="1324"/>
      <c r="BW6" s="1324"/>
      <c r="BX6" s="1324"/>
      <c r="BY6" s="1325"/>
      <c r="BZ6" s="1289"/>
      <c r="CA6" s="1244"/>
      <c r="CB6" s="1244"/>
      <c r="CC6" s="1244"/>
      <c r="CD6" s="1244"/>
      <c r="CE6" s="1242"/>
      <c r="CF6" s="1324"/>
      <c r="CG6" s="1324"/>
      <c r="CH6" s="1326"/>
      <c r="CI6" s="1375">
        <f t="shared" si="0"/>
        <v>0</v>
      </c>
      <c r="CJ6" s="1404"/>
      <c r="CK6" s="1402"/>
      <c r="CL6" s="1405">
        <f>CI6+CJ6</f>
        <v>0</v>
      </c>
      <c r="CM6" s="1402"/>
      <c r="CN6" s="1406">
        <f>CL6+CM6</f>
        <v>0</v>
      </c>
      <c r="CP6" s="1407"/>
    </row>
    <row r="7" spans="1:96" s="1224" customFormat="1" ht="21" thickBot="1">
      <c r="A7" s="294" t="s">
        <v>110</v>
      </c>
      <c r="B7" s="2594"/>
      <c r="C7" s="2594"/>
      <c r="D7" s="2605"/>
      <c r="E7" s="1240"/>
      <c r="F7" s="1241"/>
      <c r="G7" s="1242"/>
      <c r="H7" s="1242"/>
      <c r="I7" s="1242"/>
      <c r="J7" s="1244"/>
      <c r="K7" s="1242"/>
      <c r="L7" s="1284"/>
      <c r="M7" s="1284"/>
      <c r="N7" s="1285"/>
      <c r="O7" s="1286"/>
      <c r="P7" s="1242"/>
      <c r="Q7" s="1242"/>
      <c r="R7" s="1242"/>
      <c r="S7" s="1322"/>
      <c r="T7" s="1322"/>
      <c r="U7" s="1322"/>
      <c r="V7" s="1322"/>
      <c r="W7" s="1323"/>
      <c r="X7" s="1286"/>
      <c r="Y7" s="1242"/>
      <c r="Z7" s="1242"/>
      <c r="AA7" s="1242"/>
      <c r="AB7" s="1322"/>
      <c r="AC7" s="1322"/>
      <c r="AD7" s="1322"/>
      <c r="AE7" s="1322"/>
      <c r="AF7" s="1323"/>
      <c r="AG7" s="1286"/>
      <c r="AH7" s="1242"/>
      <c r="AI7" s="1242"/>
      <c r="AJ7" s="1322"/>
      <c r="AK7" s="1322"/>
      <c r="AL7" s="1322"/>
      <c r="AM7" s="1322"/>
      <c r="AN7" s="1322"/>
      <c r="AO7" s="1323"/>
      <c r="AP7" s="1286"/>
      <c r="AQ7" s="1242"/>
      <c r="AR7" s="1242"/>
      <c r="AS7" s="1242"/>
      <c r="AT7" s="1322"/>
      <c r="AU7" s="1322"/>
      <c r="AV7" s="1322"/>
      <c r="AW7" s="1322"/>
      <c r="AX7" s="1323"/>
      <c r="AY7" s="1286"/>
      <c r="AZ7" s="1242"/>
      <c r="BA7" s="1242"/>
      <c r="BB7" s="1242"/>
      <c r="BC7" s="1322"/>
      <c r="BD7" s="1322"/>
      <c r="BE7" s="1322"/>
      <c r="BF7" s="1322"/>
      <c r="BG7" s="1323"/>
      <c r="BH7" s="1286"/>
      <c r="BI7" s="1242"/>
      <c r="BJ7" s="1242"/>
      <c r="BK7" s="1242"/>
      <c r="BL7" s="1322"/>
      <c r="BM7" s="1322"/>
      <c r="BN7" s="1322"/>
      <c r="BO7" s="1322"/>
      <c r="BP7" s="1323"/>
      <c r="BQ7" s="1286"/>
      <c r="BR7" s="1242"/>
      <c r="BS7" s="1242"/>
      <c r="BT7" s="1242"/>
      <c r="BU7" s="1322"/>
      <c r="BV7" s="1322"/>
      <c r="BW7" s="1322"/>
      <c r="BX7" s="1322"/>
      <c r="BY7" s="1323"/>
      <c r="BZ7" s="1286"/>
      <c r="CA7" s="1242"/>
      <c r="CB7" s="1242"/>
      <c r="CC7" s="1242"/>
      <c r="CD7" s="1242"/>
      <c r="CE7" s="1242"/>
      <c r="CF7" s="1322"/>
      <c r="CG7" s="1324"/>
      <c r="CH7" s="1326"/>
      <c r="CI7" s="1375">
        <f t="shared" si="0"/>
        <v>0</v>
      </c>
      <c r="CJ7" s="1399"/>
      <c r="CK7" s="1400"/>
      <c r="CL7" s="1401">
        <f t="shared" ref="CL7:CL35" si="1">CI7+CJ7</f>
        <v>0</v>
      </c>
      <c r="CM7" s="1402"/>
      <c r="CN7" s="1403">
        <f t="shared" ref="CN7:CN35" si="2">CL7+CM7</f>
        <v>0</v>
      </c>
    </row>
    <row r="8" spans="1:96" s="1224" customFormat="1" ht="21" thickBot="1">
      <c r="A8" s="294" t="s">
        <v>110</v>
      </c>
      <c r="B8" s="2594"/>
      <c r="C8" s="2594"/>
      <c r="D8" s="2605"/>
      <c r="E8" s="1240"/>
      <c r="F8" s="1243"/>
      <c r="G8" s="1244"/>
      <c r="H8" s="1244"/>
      <c r="I8" s="1244"/>
      <c r="J8" s="1244"/>
      <c r="K8" s="1242"/>
      <c r="L8" s="1287"/>
      <c r="M8" s="1287"/>
      <c r="N8" s="1290"/>
      <c r="O8" s="1289"/>
      <c r="P8" s="1244"/>
      <c r="Q8" s="1244"/>
      <c r="R8" s="1244"/>
      <c r="S8" s="1324"/>
      <c r="T8" s="1324"/>
      <c r="U8" s="1324"/>
      <c r="V8" s="1324"/>
      <c r="W8" s="1326"/>
      <c r="X8" s="1289"/>
      <c r="Y8" s="1244"/>
      <c r="Z8" s="1244"/>
      <c r="AA8" s="1244"/>
      <c r="AB8" s="1324"/>
      <c r="AC8" s="1324"/>
      <c r="AD8" s="1322"/>
      <c r="AE8" s="1324"/>
      <c r="AF8" s="1326"/>
      <c r="AG8" s="1289"/>
      <c r="AH8" s="1244"/>
      <c r="AI8" s="1244"/>
      <c r="AJ8" s="1324"/>
      <c r="AK8" s="1324"/>
      <c r="AL8" s="1324"/>
      <c r="AM8" s="1324"/>
      <c r="AN8" s="1324"/>
      <c r="AO8" s="1326"/>
      <c r="AP8" s="1289"/>
      <c r="AQ8" s="1244"/>
      <c r="AR8" s="1244"/>
      <c r="AS8" s="1244"/>
      <c r="AT8" s="1324"/>
      <c r="AU8" s="1324"/>
      <c r="AV8" s="1324"/>
      <c r="AW8" s="1324"/>
      <c r="AX8" s="1326"/>
      <c r="AY8" s="1289"/>
      <c r="AZ8" s="1244"/>
      <c r="BA8" s="1244"/>
      <c r="BB8" s="1244"/>
      <c r="BC8" s="1324"/>
      <c r="BD8" s="1324"/>
      <c r="BE8" s="1324"/>
      <c r="BF8" s="1324"/>
      <c r="BG8" s="1326"/>
      <c r="BH8" s="1289"/>
      <c r="BI8" s="1244"/>
      <c r="BJ8" s="1244"/>
      <c r="BK8" s="1244"/>
      <c r="BL8" s="1324"/>
      <c r="BM8" s="1324"/>
      <c r="BN8" s="1324"/>
      <c r="BO8" s="1324"/>
      <c r="BP8" s="1326"/>
      <c r="BQ8" s="1289"/>
      <c r="BR8" s="1244"/>
      <c r="BS8" s="1244"/>
      <c r="BT8" s="1244"/>
      <c r="BU8" s="1324"/>
      <c r="BV8" s="1324"/>
      <c r="BW8" s="1324"/>
      <c r="BX8" s="1324"/>
      <c r="BY8" s="1326"/>
      <c r="BZ8" s="1368"/>
      <c r="CA8" s="1244"/>
      <c r="CB8" s="1244"/>
      <c r="CC8" s="1244"/>
      <c r="CD8" s="1244"/>
      <c r="CE8" s="1242"/>
      <c r="CF8" s="1324"/>
      <c r="CG8" s="1324"/>
      <c r="CH8" s="1326"/>
      <c r="CI8" s="1375">
        <f t="shared" si="0"/>
        <v>0</v>
      </c>
      <c r="CJ8" s="1404"/>
      <c r="CK8" s="1402"/>
      <c r="CL8" s="1401">
        <f t="shared" si="1"/>
        <v>0</v>
      </c>
      <c r="CM8" s="1402"/>
      <c r="CN8" s="1403">
        <f t="shared" si="2"/>
        <v>0</v>
      </c>
      <c r="CP8" s="1407"/>
    </row>
    <row r="9" spans="1:96" s="1224" customFormat="1" ht="21" thickBot="1">
      <c r="A9" s="294" t="s">
        <v>110</v>
      </c>
      <c r="B9" s="2594"/>
      <c r="C9" s="2594"/>
      <c r="D9" s="2605"/>
      <c r="E9" s="1240"/>
      <c r="F9" s="1243"/>
      <c r="G9" s="1244"/>
      <c r="H9" s="1244"/>
      <c r="I9" s="1244"/>
      <c r="J9" s="1244"/>
      <c r="K9" s="1242"/>
      <c r="L9" s="1287"/>
      <c r="M9" s="1287"/>
      <c r="N9" s="1290"/>
      <c r="O9" s="1289"/>
      <c r="P9" s="1244"/>
      <c r="Q9" s="1244"/>
      <c r="R9" s="1244"/>
      <c r="S9" s="1324"/>
      <c r="T9" s="1324"/>
      <c r="U9" s="1324"/>
      <c r="V9" s="1324"/>
      <c r="W9" s="1326"/>
      <c r="X9" s="1289"/>
      <c r="Y9" s="1244"/>
      <c r="Z9" s="1244"/>
      <c r="AA9" s="1244"/>
      <c r="AB9" s="1324"/>
      <c r="AC9" s="1324"/>
      <c r="AD9" s="1322"/>
      <c r="AE9" s="1324"/>
      <c r="AF9" s="1326"/>
      <c r="AG9" s="1289"/>
      <c r="AH9" s="1244"/>
      <c r="AI9" s="1244"/>
      <c r="AJ9" s="1324"/>
      <c r="AK9" s="1324"/>
      <c r="AL9" s="1324"/>
      <c r="AM9" s="1324"/>
      <c r="AN9" s="1324"/>
      <c r="AO9" s="1326"/>
      <c r="AP9" s="1289"/>
      <c r="AQ9" s="1244"/>
      <c r="AR9" s="1244"/>
      <c r="AS9" s="1244"/>
      <c r="AT9" s="1324"/>
      <c r="AU9" s="1324"/>
      <c r="AV9" s="1324"/>
      <c r="AW9" s="1324"/>
      <c r="AX9" s="1326"/>
      <c r="AY9" s="1289"/>
      <c r="AZ9" s="1244"/>
      <c r="BA9" s="1244"/>
      <c r="BB9" s="1244"/>
      <c r="BC9" s="1324"/>
      <c r="BD9" s="1324"/>
      <c r="BE9" s="1324"/>
      <c r="BF9" s="1324"/>
      <c r="BG9" s="1326"/>
      <c r="BH9" s="1289"/>
      <c r="BI9" s="1244"/>
      <c r="BJ9" s="1244"/>
      <c r="BK9" s="1244"/>
      <c r="BL9" s="1324"/>
      <c r="BM9" s="1324"/>
      <c r="BN9" s="1324"/>
      <c r="BO9" s="1324"/>
      <c r="BP9" s="1326"/>
      <c r="BQ9" s="1289"/>
      <c r="BR9" s="1244"/>
      <c r="BS9" s="1244"/>
      <c r="BT9" s="1244"/>
      <c r="BU9" s="1324"/>
      <c r="BV9" s="1324"/>
      <c r="BW9" s="1324"/>
      <c r="BX9" s="1324"/>
      <c r="BY9" s="1326"/>
      <c r="BZ9" s="1289"/>
      <c r="CA9" s="1244"/>
      <c r="CB9" s="1244"/>
      <c r="CC9" s="1244"/>
      <c r="CD9" s="1244"/>
      <c r="CE9" s="1242"/>
      <c r="CF9" s="1324"/>
      <c r="CG9" s="1324"/>
      <c r="CH9" s="1326"/>
      <c r="CI9" s="1375">
        <f t="shared" si="0"/>
        <v>0</v>
      </c>
      <c r="CJ9" s="1404"/>
      <c r="CK9" s="1402"/>
      <c r="CL9" s="1401">
        <f t="shared" si="1"/>
        <v>0</v>
      </c>
      <c r="CM9" s="1402"/>
      <c r="CN9" s="1403">
        <f t="shared" si="2"/>
        <v>0</v>
      </c>
      <c r="CP9" s="1407"/>
    </row>
    <row r="10" spans="1:96" s="1224" customFormat="1" ht="21" thickBot="1">
      <c r="A10" s="294" t="s">
        <v>110</v>
      </c>
      <c r="B10" s="2594"/>
      <c r="C10" s="2594"/>
      <c r="D10" s="2605"/>
      <c r="E10" s="1240"/>
      <c r="F10" s="1243"/>
      <c r="G10" s="1244"/>
      <c r="H10" s="1244"/>
      <c r="I10" s="1244"/>
      <c r="J10" s="1244"/>
      <c r="K10" s="1242"/>
      <c r="L10" s="1287"/>
      <c r="M10" s="1287"/>
      <c r="N10" s="1290"/>
      <c r="O10" s="1289"/>
      <c r="P10" s="1244"/>
      <c r="Q10" s="1244"/>
      <c r="R10" s="1244"/>
      <c r="S10" s="1324"/>
      <c r="T10" s="1324"/>
      <c r="U10" s="1324"/>
      <c r="V10" s="1324"/>
      <c r="W10" s="1326"/>
      <c r="X10" s="1289"/>
      <c r="Y10" s="1244"/>
      <c r="Z10" s="1244"/>
      <c r="AA10" s="1244"/>
      <c r="AB10" s="1324"/>
      <c r="AC10" s="1324"/>
      <c r="AD10" s="1322"/>
      <c r="AE10" s="1324"/>
      <c r="AF10" s="1326"/>
      <c r="AG10" s="1289"/>
      <c r="AH10" s="1244"/>
      <c r="AI10" s="1244"/>
      <c r="AJ10" s="1324"/>
      <c r="AK10" s="1324"/>
      <c r="AL10" s="1324"/>
      <c r="AM10" s="1324"/>
      <c r="AN10" s="1324"/>
      <c r="AO10" s="1326"/>
      <c r="AP10" s="1289"/>
      <c r="AQ10" s="1244"/>
      <c r="AR10" s="1244"/>
      <c r="AS10" s="1244"/>
      <c r="AT10" s="1324"/>
      <c r="AU10" s="1324"/>
      <c r="AV10" s="1324"/>
      <c r="AW10" s="1324"/>
      <c r="AX10" s="1326"/>
      <c r="AY10" s="1289"/>
      <c r="AZ10" s="1244"/>
      <c r="BA10" s="1244"/>
      <c r="BB10" s="1244"/>
      <c r="BC10" s="1324"/>
      <c r="BD10" s="1347"/>
      <c r="BE10" s="1324"/>
      <c r="BF10" s="1324"/>
      <c r="BG10" s="1326"/>
      <c r="BH10" s="1289"/>
      <c r="BI10" s="1244"/>
      <c r="BJ10" s="1244"/>
      <c r="BK10" s="1244"/>
      <c r="BL10" s="1324"/>
      <c r="BM10" s="1324"/>
      <c r="BN10" s="1324"/>
      <c r="BO10" s="1324"/>
      <c r="BP10" s="1326"/>
      <c r="BQ10" s="1289"/>
      <c r="BR10" s="1244"/>
      <c r="BS10" s="1244"/>
      <c r="BT10" s="1244"/>
      <c r="BU10" s="1324"/>
      <c r="BV10" s="1324"/>
      <c r="BW10" s="1324"/>
      <c r="BX10" s="1324"/>
      <c r="BY10" s="1326"/>
      <c r="BZ10" s="1289"/>
      <c r="CA10" s="1244"/>
      <c r="CB10" s="1244"/>
      <c r="CC10" s="1244"/>
      <c r="CD10" s="1244"/>
      <c r="CE10" s="1242"/>
      <c r="CF10" s="1324"/>
      <c r="CG10" s="1324"/>
      <c r="CH10" s="1326"/>
      <c r="CI10" s="1375">
        <f t="shared" si="0"/>
        <v>0</v>
      </c>
      <c r="CJ10" s="1404"/>
      <c r="CK10" s="1402"/>
      <c r="CL10" s="1401">
        <f t="shared" si="1"/>
        <v>0</v>
      </c>
      <c r="CM10" s="1402"/>
      <c r="CN10" s="1403">
        <f t="shared" si="2"/>
        <v>0</v>
      </c>
      <c r="CP10" s="1407"/>
    </row>
    <row r="11" spans="1:96" s="1224" customFormat="1" ht="21" thickBot="1">
      <c r="A11" s="294" t="s">
        <v>110</v>
      </c>
      <c r="B11" s="2594"/>
      <c r="C11" s="2594"/>
      <c r="D11" s="2605"/>
      <c r="E11" s="1240"/>
      <c r="F11" s="1243"/>
      <c r="G11" s="1244"/>
      <c r="H11" s="1244"/>
      <c r="I11" s="1244"/>
      <c r="J11" s="1244"/>
      <c r="K11" s="1242"/>
      <c r="L11" s="1287"/>
      <c r="M11" s="1287"/>
      <c r="N11" s="1290"/>
      <c r="O11" s="1289"/>
      <c r="P11" s="1244"/>
      <c r="Q11" s="1244"/>
      <c r="R11" s="1244"/>
      <c r="S11" s="1324"/>
      <c r="T11" s="1324"/>
      <c r="U11" s="1324"/>
      <c r="V11" s="1324"/>
      <c r="W11" s="1326"/>
      <c r="X11" s="1289"/>
      <c r="Y11" s="1244"/>
      <c r="Z11" s="1244"/>
      <c r="AA11" s="1244"/>
      <c r="AB11" s="1324"/>
      <c r="AC11" s="1324"/>
      <c r="AD11" s="1322"/>
      <c r="AE11" s="1324"/>
      <c r="AF11" s="1326"/>
      <c r="AG11" s="1289"/>
      <c r="AH11" s="1244"/>
      <c r="AI11" s="1244"/>
      <c r="AJ11" s="1324"/>
      <c r="AK11" s="1324"/>
      <c r="AL11" s="1324"/>
      <c r="AM11" s="1324"/>
      <c r="AN11" s="1324"/>
      <c r="AO11" s="1326"/>
      <c r="AP11" s="1289"/>
      <c r="AQ11" s="1244"/>
      <c r="AR11" s="1244"/>
      <c r="AS11" s="1244"/>
      <c r="AT11" s="1324"/>
      <c r="AU11" s="1324"/>
      <c r="AV11" s="1324"/>
      <c r="AW11" s="1324"/>
      <c r="AX11" s="1326"/>
      <c r="AY11" s="1289"/>
      <c r="AZ11" s="1244"/>
      <c r="BA11" s="1244"/>
      <c r="BB11" s="1244"/>
      <c r="BC11" s="1324"/>
      <c r="BD11" s="1324"/>
      <c r="BE11" s="1324"/>
      <c r="BF11" s="1324"/>
      <c r="BG11" s="1326"/>
      <c r="BH11" s="1289"/>
      <c r="BI11" s="1244"/>
      <c r="BJ11" s="1244"/>
      <c r="BK11" s="1244"/>
      <c r="BL11" s="1324"/>
      <c r="BM11" s="1324"/>
      <c r="BN11" s="1324"/>
      <c r="BO11" s="1324"/>
      <c r="BP11" s="1326"/>
      <c r="BQ11" s="1289"/>
      <c r="BR11" s="1244"/>
      <c r="BS11" s="1244"/>
      <c r="BT11" s="1244"/>
      <c r="BU11" s="1324"/>
      <c r="BV11" s="1324"/>
      <c r="BW11" s="1324"/>
      <c r="BX11" s="1324"/>
      <c r="BY11" s="1326"/>
      <c r="BZ11" s="1289"/>
      <c r="CA11" s="1244"/>
      <c r="CB11" s="1244"/>
      <c r="CC11" s="1244"/>
      <c r="CD11" s="1244"/>
      <c r="CE11" s="1242"/>
      <c r="CF11" s="1324"/>
      <c r="CG11" s="1324"/>
      <c r="CH11" s="1326"/>
      <c r="CI11" s="1375">
        <f t="shared" si="0"/>
        <v>0</v>
      </c>
      <c r="CJ11" s="1404"/>
      <c r="CK11" s="1402"/>
      <c r="CL11" s="1401">
        <f t="shared" si="1"/>
        <v>0</v>
      </c>
      <c r="CM11" s="1402"/>
      <c r="CN11" s="1403">
        <f t="shared" si="2"/>
        <v>0</v>
      </c>
      <c r="CP11" s="1407"/>
    </row>
    <row r="12" spans="1:96" s="1224" customFormat="1" ht="21" thickBot="1">
      <c r="A12" s="294" t="s">
        <v>110</v>
      </c>
      <c r="B12" s="2594"/>
      <c r="C12" s="2594"/>
      <c r="D12" s="2605"/>
      <c r="E12" s="1240"/>
      <c r="F12" s="1243"/>
      <c r="G12" s="1244"/>
      <c r="H12" s="1244"/>
      <c r="I12" s="1244"/>
      <c r="J12" s="1244"/>
      <c r="K12" s="1242"/>
      <c r="L12" s="1287"/>
      <c r="M12" s="1287"/>
      <c r="N12" s="1290"/>
      <c r="O12" s="1289"/>
      <c r="P12" s="1244"/>
      <c r="Q12" s="1244"/>
      <c r="R12" s="1244"/>
      <c r="S12" s="1324"/>
      <c r="T12" s="1324"/>
      <c r="U12" s="1324"/>
      <c r="V12" s="1324"/>
      <c r="W12" s="1326"/>
      <c r="X12" s="1289"/>
      <c r="Y12" s="1244"/>
      <c r="Z12" s="1244"/>
      <c r="AA12" s="1244"/>
      <c r="AB12" s="1324"/>
      <c r="AC12" s="1324"/>
      <c r="AD12" s="1322"/>
      <c r="AE12" s="1324"/>
      <c r="AF12" s="1326"/>
      <c r="AG12" s="1289"/>
      <c r="AH12" s="1244"/>
      <c r="AI12" s="1244"/>
      <c r="AJ12" s="1324"/>
      <c r="AK12" s="1324"/>
      <c r="AL12" s="1324"/>
      <c r="AM12" s="1324"/>
      <c r="AN12" s="1324"/>
      <c r="AO12" s="1326"/>
      <c r="AP12" s="1289"/>
      <c r="AQ12" s="1244"/>
      <c r="AR12" s="1244"/>
      <c r="AS12" s="1244"/>
      <c r="AT12" s="1324"/>
      <c r="AU12" s="1324"/>
      <c r="AV12" s="1324"/>
      <c r="AW12" s="1324"/>
      <c r="AX12" s="1326"/>
      <c r="AY12" s="1289"/>
      <c r="AZ12" s="1244"/>
      <c r="BA12" s="1244"/>
      <c r="BB12" s="1244"/>
      <c r="BC12" s="1324"/>
      <c r="BD12" s="1324"/>
      <c r="BE12" s="1324"/>
      <c r="BF12" s="1324"/>
      <c r="BG12" s="1326"/>
      <c r="BH12" s="1289"/>
      <c r="BI12" s="1244"/>
      <c r="BJ12" s="1244"/>
      <c r="BK12" s="1244"/>
      <c r="BL12" s="1324"/>
      <c r="BM12" s="1324"/>
      <c r="BN12" s="1324"/>
      <c r="BO12" s="1324"/>
      <c r="BP12" s="1326"/>
      <c r="BQ12" s="1289"/>
      <c r="BR12" s="1244"/>
      <c r="BS12" s="1244"/>
      <c r="BT12" s="1244"/>
      <c r="BU12" s="1324"/>
      <c r="BV12" s="1324"/>
      <c r="BW12" s="1324"/>
      <c r="BX12" s="1324"/>
      <c r="BY12" s="1326"/>
      <c r="BZ12" s="1289"/>
      <c r="CA12" s="1244"/>
      <c r="CB12" s="1244"/>
      <c r="CC12" s="1244"/>
      <c r="CD12" s="1244"/>
      <c r="CE12" s="1242"/>
      <c r="CF12" s="1324"/>
      <c r="CG12" s="1324"/>
      <c r="CH12" s="1326"/>
      <c r="CI12" s="1375">
        <f t="shared" si="0"/>
        <v>0</v>
      </c>
      <c r="CJ12" s="1404"/>
      <c r="CK12" s="1402"/>
      <c r="CL12" s="1401">
        <f t="shared" si="1"/>
        <v>0</v>
      </c>
      <c r="CM12" s="1402"/>
      <c r="CN12" s="1403">
        <f t="shared" si="2"/>
        <v>0</v>
      </c>
      <c r="CP12" s="1407"/>
    </row>
    <row r="13" spans="1:96" s="1224" customFormat="1" ht="21" thickBot="1">
      <c r="A13" s="294" t="s">
        <v>110</v>
      </c>
      <c r="B13" s="2594"/>
      <c r="C13" s="2594"/>
      <c r="D13" s="2605"/>
      <c r="E13" s="1240"/>
      <c r="F13" s="1241"/>
      <c r="G13" s="1242"/>
      <c r="H13" s="1242"/>
      <c r="I13" s="1242"/>
      <c r="J13" s="1244"/>
      <c r="K13" s="1242"/>
      <c r="L13" s="1284"/>
      <c r="M13" s="1284"/>
      <c r="N13" s="1285"/>
      <c r="O13" s="1286"/>
      <c r="P13" s="1242"/>
      <c r="Q13" s="1242"/>
      <c r="R13" s="1242"/>
      <c r="S13" s="1322"/>
      <c r="T13" s="1322"/>
      <c r="U13" s="1322"/>
      <c r="V13" s="1322"/>
      <c r="W13" s="1323"/>
      <c r="X13" s="1286"/>
      <c r="Y13" s="1242"/>
      <c r="Z13" s="1242"/>
      <c r="AA13" s="1242"/>
      <c r="AB13" s="1322"/>
      <c r="AC13" s="1322"/>
      <c r="AD13" s="1322"/>
      <c r="AE13" s="1322"/>
      <c r="AF13" s="1323"/>
      <c r="AG13" s="1286"/>
      <c r="AH13" s="1242"/>
      <c r="AI13" s="1242"/>
      <c r="AJ13" s="1322"/>
      <c r="AK13" s="1322"/>
      <c r="AL13" s="1322"/>
      <c r="AM13" s="1322"/>
      <c r="AN13" s="1322"/>
      <c r="AO13" s="1323"/>
      <c r="AP13" s="1286"/>
      <c r="AQ13" s="1242"/>
      <c r="AR13" s="1242"/>
      <c r="AS13" s="1242"/>
      <c r="AT13" s="1322"/>
      <c r="AU13" s="1322"/>
      <c r="AV13" s="1322"/>
      <c r="AW13" s="1322"/>
      <c r="AX13" s="1323"/>
      <c r="AY13" s="1286"/>
      <c r="AZ13" s="1242"/>
      <c r="BA13" s="1242"/>
      <c r="BB13" s="1242"/>
      <c r="BC13" s="1322"/>
      <c r="BD13" s="1322"/>
      <c r="BE13" s="1322"/>
      <c r="BF13" s="1322"/>
      <c r="BG13" s="1323"/>
      <c r="BH13" s="1286"/>
      <c r="BI13" s="1242"/>
      <c r="BJ13" s="1242"/>
      <c r="BK13" s="1242"/>
      <c r="BL13" s="1322"/>
      <c r="BM13" s="1322"/>
      <c r="BN13" s="1322"/>
      <c r="BO13" s="1322"/>
      <c r="BP13" s="1323"/>
      <c r="BQ13" s="1286"/>
      <c r="BR13" s="1242"/>
      <c r="BS13" s="1242"/>
      <c r="BT13" s="1242"/>
      <c r="BU13" s="1322"/>
      <c r="BV13" s="1322"/>
      <c r="BW13" s="1322"/>
      <c r="BX13" s="1322"/>
      <c r="BY13" s="1323"/>
      <c r="BZ13" s="1286"/>
      <c r="CA13" s="1242"/>
      <c r="CB13" s="1242"/>
      <c r="CC13" s="1242"/>
      <c r="CD13" s="1242"/>
      <c r="CE13" s="1242"/>
      <c r="CF13" s="1322"/>
      <c r="CG13" s="1324"/>
      <c r="CH13" s="1326"/>
      <c r="CI13" s="1375">
        <f t="shared" si="0"/>
        <v>0</v>
      </c>
      <c r="CJ13" s="1399"/>
      <c r="CK13" s="1400"/>
      <c r="CL13" s="1401">
        <f t="shared" si="1"/>
        <v>0</v>
      </c>
      <c r="CM13" s="1402"/>
      <c r="CN13" s="1403">
        <f t="shared" si="2"/>
        <v>0</v>
      </c>
    </row>
    <row r="14" spans="1:96" s="1224" customFormat="1" ht="21" thickBot="1">
      <c r="A14" s="294" t="s">
        <v>110</v>
      </c>
      <c r="B14" s="2594"/>
      <c r="C14" s="2594"/>
      <c r="D14" s="2605"/>
      <c r="E14" s="1240"/>
      <c r="F14" s="1243"/>
      <c r="G14" s="1244"/>
      <c r="H14" s="1244"/>
      <c r="I14" s="1244"/>
      <c r="J14" s="1244"/>
      <c r="K14" s="1242"/>
      <c r="L14" s="1287"/>
      <c r="M14" s="1287"/>
      <c r="N14" s="1290"/>
      <c r="O14" s="1289"/>
      <c r="P14" s="1244"/>
      <c r="Q14" s="1244"/>
      <c r="R14" s="1244"/>
      <c r="S14" s="1324"/>
      <c r="T14" s="1324"/>
      <c r="U14" s="1324"/>
      <c r="V14" s="1324"/>
      <c r="W14" s="1326"/>
      <c r="X14" s="1289"/>
      <c r="Y14" s="1244"/>
      <c r="Z14" s="1244"/>
      <c r="AA14" s="1244"/>
      <c r="AB14" s="1324"/>
      <c r="AC14" s="1324"/>
      <c r="AD14" s="1322"/>
      <c r="AE14" s="1324"/>
      <c r="AF14" s="1326"/>
      <c r="AG14" s="1289"/>
      <c r="AH14" s="1244"/>
      <c r="AI14" s="1244"/>
      <c r="AJ14" s="1324"/>
      <c r="AK14" s="1324"/>
      <c r="AL14" s="1324"/>
      <c r="AM14" s="1324"/>
      <c r="AN14" s="1324"/>
      <c r="AO14" s="1326"/>
      <c r="AP14" s="1289"/>
      <c r="AQ14" s="1244"/>
      <c r="AR14" s="1244"/>
      <c r="AS14" s="1244"/>
      <c r="AT14" s="1324"/>
      <c r="AU14" s="1324"/>
      <c r="AV14" s="1324"/>
      <c r="AW14" s="1324"/>
      <c r="AX14" s="1326"/>
      <c r="AY14" s="1289"/>
      <c r="AZ14" s="1244"/>
      <c r="BA14" s="1244"/>
      <c r="BB14" s="1244"/>
      <c r="BC14" s="1324"/>
      <c r="BD14" s="1324"/>
      <c r="BE14" s="1324"/>
      <c r="BF14" s="1324"/>
      <c r="BG14" s="1326"/>
      <c r="BH14" s="1289"/>
      <c r="BI14" s="1244"/>
      <c r="BJ14" s="1244"/>
      <c r="BK14" s="1244"/>
      <c r="BL14" s="1324"/>
      <c r="BM14" s="1324"/>
      <c r="BN14" s="1324"/>
      <c r="BO14" s="1324"/>
      <c r="BP14" s="1325"/>
      <c r="BQ14" s="1289"/>
      <c r="BR14" s="1244"/>
      <c r="BS14" s="1244"/>
      <c r="BT14" s="1244"/>
      <c r="BU14" s="1324"/>
      <c r="BV14" s="1324"/>
      <c r="BW14" s="1324"/>
      <c r="BX14" s="1324"/>
      <c r="BY14" s="1326"/>
      <c r="BZ14" s="1289"/>
      <c r="CA14" s="1244"/>
      <c r="CB14" s="1244"/>
      <c r="CC14" s="1244"/>
      <c r="CD14" s="1244"/>
      <c r="CE14" s="1242"/>
      <c r="CF14" s="1324"/>
      <c r="CG14" s="1324"/>
      <c r="CH14" s="1326"/>
      <c r="CI14" s="1375">
        <f t="shared" si="0"/>
        <v>0</v>
      </c>
      <c r="CJ14" s="1404"/>
      <c r="CK14" s="1402"/>
      <c r="CL14" s="1401">
        <f t="shared" si="1"/>
        <v>0</v>
      </c>
      <c r="CM14" s="1402"/>
      <c r="CN14" s="1403">
        <f t="shared" si="2"/>
        <v>0</v>
      </c>
      <c r="CP14" s="1407"/>
    </row>
    <row r="15" spans="1:96" s="1224" customFormat="1" ht="21" thickBot="1">
      <c r="A15" s="294" t="s">
        <v>110</v>
      </c>
      <c r="B15" s="2594"/>
      <c r="C15" s="2594"/>
      <c r="D15" s="2605"/>
      <c r="E15" s="1240"/>
      <c r="F15" s="1241"/>
      <c r="G15" s="1242"/>
      <c r="H15" s="1242"/>
      <c r="I15" s="1242"/>
      <c r="J15" s="1244"/>
      <c r="K15" s="1242"/>
      <c r="L15" s="1284"/>
      <c r="M15" s="1284"/>
      <c r="N15" s="1285"/>
      <c r="O15" s="1286"/>
      <c r="P15" s="1242"/>
      <c r="Q15" s="1242"/>
      <c r="R15" s="1242"/>
      <c r="S15" s="1322"/>
      <c r="T15" s="1322"/>
      <c r="U15" s="1322"/>
      <c r="V15" s="1322"/>
      <c r="W15" s="1323"/>
      <c r="X15" s="1286"/>
      <c r="Y15" s="1242"/>
      <c r="Z15" s="1242"/>
      <c r="AA15" s="1242"/>
      <c r="AB15" s="1322"/>
      <c r="AC15" s="1322"/>
      <c r="AD15" s="1322"/>
      <c r="AE15" s="1322"/>
      <c r="AF15" s="1323"/>
      <c r="AG15" s="1286"/>
      <c r="AH15" s="1242"/>
      <c r="AI15" s="1242"/>
      <c r="AJ15" s="1322"/>
      <c r="AK15" s="1322"/>
      <c r="AL15" s="1322"/>
      <c r="AM15" s="1322"/>
      <c r="AN15" s="1322"/>
      <c r="AO15" s="1323"/>
      <c r="AP15" s="1286"/>
      <c r="AQ15" s="1242"/>
      <c r="AR15" s="1242"/>
      <c r="AS15" s="1242"/>
      <c r="AT15" s="1322"/>
      <c r="AU15" s="1322"/>
      <c r="AV15" s="1322"/>
      <c r="AW15" s="1322"/>
      <c r="AX15" s="1323"/>
      <c r="AY15" s="1286"/>
      <c r="AZ15" s="1242"/>
      <c r="BA15" s="1242"/>
      <c r="BB15" s="1242"/>
      <c r="BC15" s="1322"/>
      <c r="BD15" s="1322"/>
      <c r="BE15" s="1322"/>
      <c r="BF15" s="1322"/>
      <c r="BG15" s="1323"/>
      <c r="BH15" s="1286"/>
      <c r="BI15" s="1242"/>
      <c r="BJ15" s="1242"/>
      <c r="BK15" s="1242"/>
      <c r="BL15" s="1322"/>
      <c r="BM15" s="1322"/>
      <c r="BN15" s="1322"/>
      <c r="BO15" s="1322"/>
      <c r="BP15" s="1323"/>
      <c r="BQ15" s="1286"/>
      <c r="BR15" s="1242"/>
      <c r="BS15" s="1242"/>
      <c r="BT15" s="1242"/>
      <c r="BU15" s="1322"/>
      <c r="BV15" s="1322"/>
      <c r="BW15" s="1322"/>
      <c r="BX15" s="1322"/>
      <c r="BY15" s="1323"/>
      <c r="BZ15" s="1286"/>
      <c r="CA15" s="1242"/>
      <c r="CB15" s="1242"/>
      <c r="CC15" s="1242"/>
      <c r="CD15" s="1242"/>
      <c r="CE15" s="1242"/>
      <c r="CF15" s="1322"/>
      <c r="CG15" s="1324"/>
      <c r="CH15" s="1326"/>
      <c r="CI15" s="1375">
        <f t="shared" si="0"/>
        <v>0</v>
      </c>
      <c r="CJ15" s="1399"/>
      <c r="CK15" s="1400"/>
      <c r="CL15" s="1401">
        <f t="shared" si="1"/>
        <v>0</v>
      </c>
      <c r="CM15" s="1402"/>
      <c r="CN15" s="1403">
        <f t="shared" si="2"/>
        <v>0</v>
      </c>
    </row>
    <row r="16" spans="1:96" s="1224" customFormat="1" ht="21" thickBot="1">
      <c r="A16" s="294" t="s">
        <v>110</v>
      </c>
      <c r="B16" s="2594"/>
      <c r="C16" s="2594"/>
      <c r="D16" s="2605"/>
      <c r="E16" s="1240"/>
      <c r="F16" s="1241"/>
      <c r="G16" s="1242"/>
      <c r="H16" s="1242"/>
      <c r="I16" s="1242"/>
      <c r="J16" s="1244"/>
      <c r="K16" s="1242"/>
      <c r="L16" s="1284"/>
      <c r="M16" s="1284"/>
      <c r="N16" s="1285"/>
      <c r="O16" s="1286"/>
      <c r="P16" s="1242"/>
      <c r="Q16" s="1242"/>
      <c r="R16" s="1242"/>
      <c r="S16" s="1322"/>
      <c r="T16" s="1322"/>
      <c r="U16" s="1322"/>
      <c r="V16" s="1322"/>
      <c r="W16" s="1323"/>
      <c r="X16" s="1286"/>
      <c r="Y16" s="1242"/>
      <c r="Z16" s="1242"/>
      <c r="AA16" s="1242"/>
      <c r="AB16" s="1322"/>
      <c r="AC16" s="1322"/>
      <c r="AD16" s="1322"/>
      <c r="AE16" s="1322"/>
      <c r="AF16" s="1323"/>
      <c r="AG16" s="1286"/>
      <c r="AH16" s="1242"/>
      <c r="AI16" s="1242"/>
      <c r="AJ16" s="1322"/>
      <c r="AK16" s="1322"/>
      <c r="AL16" s="1322"/>
      <c r="AM16" s="1322"/>
      <c r="AN16" s="1322"/>
      <c r="AO16" s="1323"/>
      <c r="AP16" s="1286"/>
      <c r="AQ16" s="1242"/>
      <c r="AR16" s="1242"/>
      <c r="AS16" s="1242"/>
      <c r="AT16" s="1322"/>
      <c r="AU16" s="1322"/>
      <c r="AV16" s="1322"/>
      <c r="AW16" s="1322"/>
      <c r="AX16" s="1323"/>
      <c r="AY16" s="1286"/>
      <c r="AZ16" s="1242"/>
      <c r="BA16" s="1242"/>
      <c r="BB16" s="1242"/>
      <c r="BC16" s="1322"/>
      <c r="BD16" s="1322"/>
      <c r="BE16" s="1322"/>
      <c r="BF16" s="1322"/>
      <c r="BG16" s="1323"/>
      <c r="BH16" s="1286"/>
      <c r="BI16" s="1242"/>
      <c r="BJ16" s="1242"/>
      <c r="BK16" s="1242"/>
      <c r="BL16" s="1322"/>
      <c r="BM16" s="1322"/>
      <c r="BN16" s="1322"/>
      <c r="BO16" s="1322"/>
      <c r="BP16" s="1323"/>
      <c r="BQ16" s="1286"/>
      <c r="BR16" s="1242"/>
      <c r="BS16" s="1242"/>
      <c r="BT16" s="1242"/>
      <c r="BU16" s="1322"/>
      <c r="BV16" s="1322"/>
      <c r="BW16" s="1322"/>
      <c r="BX16" s="1322"/>
      <c r="BY16" s="1323"/>
      <c r="BZ16" s="1286"/>
      <c r="CA16" s="1242"/>
      <c r="CB16" s="1242"/>
      <c r="CC16" s="1242"/>
      <c r="CD16" s="1242"/>
      <c r="CE16" s="1242"/>
      <c r="CF16" s="1322"/>
      <c r="CG16" s="1324"/>
      <c r="CH16" s="1326"/>
      <c r="CI16" s="1375">
        <f t="shared" si="0"/>
        <v>0</v>
      </c>
      <c r="CJ16" s="1399"/>
      <c r="CK16" s="1400"/>
      <c r="CL16" s="1401">
        <f t="shared" si="1"/>
        <v>0</v>
      </c>
      <c r="CM16" s="1402"/>
      <c r="CN16" s="1403">
        <f t="shared" si="2"/>
        <v>0</v>
      </c>
    </row>
    <row r="17" spans="1:143" s="1224" customFormat="1" ht="21" thickBot="1">
      <c r="A17" s="294" t="s">
        <v>110</v>
      </c>
      <c r="B17" s="2594"/>
      <c r="C17" s="2594"/>
      <c r="D17" s="2605"/>
      <c r="E17" s="1240"/>
      <c r="F17" s="1243"/>
      <c r="G17" s="1244"/>
      <c r="H17" s="1244"/>
      <c r="I17" s="1244"/>
      <c r="J17" s="1244"/>
      <c r="K17" s="1242"/>
      <c r="L17" s="1287"/>
      <c r="M17" s="1287"/>
      <c r="N17" s="1290"/>
      <c r="O17" s="1289"/>
      <c r="P17" s="1244"/>
      <c r="Q17" s="1244"/>
      <c r="R17" s="1244"/>
      <c r="S17" s="1324"/>
      <c r="T17" s="1324"/>
      <c r="U17" s="1324"/>
      <c r="V17" s="1324"/>
      <c r="W17" s="1326"/>
      <c r="X17" s="1289"/>
      <c r="Y17" s="1244"/>
      <c r="Z17" s="1244"/>
      <c r="AA17" s="1244"/>
      <c r="AB17" s="1324"/>
      <c r="AC17" s="1324"/>
      <c r="AD17" s="1322"/>
      <c r="AE17" s="1324"/>
      <c r="AF17" s="1326"/>
      <c r="AG17" s="1289"/>
      <c r="AH17" s="1244"/>
      <c r="AI17" s="1244"/>
      <c r="AJ17" s="1324"/>
      <c r="AK17" s="1324"/>
      <c r="AL17" s="1324"/>
      <c r="AM17" s="1324"/>
      <c r="AN17" s="1324"/>
      <c r="AO17" s="1326"/>
      <c r="AP17" s="1289"/>
      <c r="AQ17" s="1244"/>
      <c r="AR17" s="1244"/>
      <c r="AS17" s="1244"/>
      <c r="AT17" s="1324"/>
      <c r="AU17" s="1324"/>
      <c r="AV17" s="1324"/>
      <c r="AW17" s="1324"/>
      <c r="AX17" s="1326"/>
      <c r="AY17" s="1289"/>
      <c r="AZ17" s="1244"/>
      <c r="BA17" s="1244"/>
      <c r="BB17" s="1244"/>
      <c r="BC17" s="1324"/>
      <c r="BD17" s="1324"/>
      <c r="BE17" s="1324"/>
      <c r="BF17" s="1324"/>
      <c r="BG17" s="1326"/>
      <c r="BH17" s="1289"/>
      <c r="BI17" s="1244"/>
      <c r="BJ17" s="1244"/>
      <c r="BK17" s="1244"/>
      <c r="BL17" s="1324"/>
      <c r="BM17" s="1324"/>
      <c r="BN17" s="1324"/>
      <c r="BO17" s="1324"/>
      <c r="BP17" s="1326"/>
      <c r="BQ17" s="1289"/>
      <c r="BR17" s="1244"/>
      <c r="BS17" s="1244"/>
      <c r="BT17" s="1244"/>
      <c r="BU17" s="1324"/>
      <c r="BV17" s="1324"/>
      <c r="BW17" s="1324"/>
      <c r="BX17" s="1324"/>
      <c r="BY17" s="1326"/>
      <c r="BZ17" s="1289"/>
      <c r="CA17" s="1244"/>
      <c r="CB17" s="1244"/>
      <c r="CC17" s="1244"/>
      <c r="CD17" s="1244"/>
      <c r="CE17" s="1242"/>
      <c r="CF17" s="1324"/>
      <c r="CG17" s="1324"/>
      <c r="CH17" s="1326"/>
      <c r="CI17" s="1375">
        <f t="shared" si="0"/>
        <v>0</v>
      </c>
      <c r="CJ17" s="1404"/>
      <c r="CK17" s="1402"/>
      <c r="CL17" s="1401">
        <f t="shared" si="1"/>
        <v>0</v>
      </c>
      <c r="CM17" s="1402"/>
      <c r="CN17" s="1403">
        <f t="shared" si="2"/>
        <v>0</v>
      </c>
      <c r="CP17" s="1407"/>
    </row>
    <row r="18" spans="1:143" s="1224" customFormat="1" ht="21" thickBot="1">
      <c r="A18" s="294" t="s">
        <v>110</v>
      </c>
      <c r="B18" s="2594"/>
      <c r="C18" s="2594"/>
      <c r="D18" s="2605"/>
      <c r="E18" s="1240"/>
      <c r="F18" s="1241"/>
      <c r="G18" s="1242"/>
      <c r="H18" s="1242"/>
      <c r="I18" s="1242"/>
      <c r="J18" s="1244"/>
      <c r="K18" s="1242"/>
      <c r="L18" s="1284"/>
      <c r="M18" s="1284"/>
      <c r="N18" s="1285"/>
      <c r="O18" s="1286"/>
      <c r="P18" s="1242"/>
      <c r="Q18" s="1242"/>
      <c r="R18" s="1242"/>
      <c r="S18" s="1322"/>
      <c r="T18" s="1322"/>
      <c r="U18" s="1322"/>
      <c r="V18" s="1322"/>
      <c r="W18" s="1323"/>
      <c r="X18" s="1286"/>
      <c r="Y18" s="1242"/>
      <c r="Z18" s="1242"/>
      <c r="AA18" s="1242"/>
      <c r="AB18" s="1322"/>
      <c r="AC18" s="1322"/>
      <c r="AD18" s="1322"/>
      <c r="AE18" s="1322"/>
      <c r="AF18" s="1323"/>
      <c r="AG18" s="1286"/>
      <c r="AH18" s="1242"/>
      <c r="AI18" s="1242"/>
      <c r="AJ18" s="1322"/>
      <c r="AK18" s="1322"/>
      <c r="AL18" s="1322"/>
      <c r="AM18" s="1322"/>
      <c r="AN18" s="1322"/>
      <c r="AO18" s="1323"/>
      <c r="AP18" s="1286"/>
      <c r="AQ18" s="1242"/>
      <c r="AR18" s="1242"/>
      <c r="AS18" s="1242"/>
      <c r="AT18" s="1322"/>
      <c r="AU18" s="1322"/>
      <c r="AV18" s="1322"/>
      <c r="AW18" s="1322"/>
      <c r="AX18" s="1323"/>
      <c r="AY18" s="1286"/>
      <c r="AZ18" s="1242"/>
      <c r="BA18" s="1242"/>
      <c r="BB18" s="1242"/>
      <c r="BC18" s="1322"/>
      <c r="BD18" s="1322"/>
      <c r="BE18" s="1322"/>
      <c r="BF18" s="1322"/>
      <c r="BG18" s="1323"/>
      <c r="BH18" s="1286"/>
      <c r="BI18" s="1242"/>
      <c r="BJ18" s="1242"/>
      <c r="BK18" s="1242"/>
      <c r="BL18" s="1322"/>
      <c r="BM18" s="1322"/>
      <c r="BN18" s="1322"/>
      <c r="BO18" s="1322"/>
      <c r="BP18" s="1323"/>
      <c r="BQ18" s="1286"/>
      <c r="BR18" s="1242"/>
      <c r="BS18" s="1242"/>
      <c r="BT18" s="1242"/>
      <c r="BU18" s="1322"/>
      <c r="BV18" s="1322"/>
      <c r="BW18" s="1322"/>
      <c r="BX18" s="1322"/>
      <c r="BY18" s="1323"/>
      <c r="BZ18" s="1286"/>
      <c r="CA18" s="1242"/>
      <c r="CB18" s="1242"/>
      <c r="CC18" s="1242"/>
      <c r="CD18" s="1242"/>
      <c r="CE18" s="1242"/>
      <c r="CF18" s="1322"/>
      <c r="CG18" s="1324"/>
      <c r="CH18" s="1326"/>
      <c r="CI18" s="1375">
        <f t="shared" si="0"/>
        <v>0</v>
      </c>
      <c r="CJ18" s="1399"/>
      <c r="CK18" s="1400"/>
      <c r="CL18" s="1401">
        <f t="shared" si="1"/>
        <v>0</v>
      </c>
      <c r="CM18" s="1402"/>
      <c r="CN18" s="1403">
        <f t="shared" si="2"/>
        <v>0</v>
      </c>
    </row>
    <row r="19" spans="1:143" s="1224" customFormat="1" ht="21" thickBot="1">
      <c r="A19" s="294" t="s">
        <v>110</v>
      </c>
      <c r="B19" s="2594"/>
      <c r="C19" s="2594"/>
      <c r="D19" s="2605"/>
      <c r="E19" s="1240"/>
      <c r="F19" s="1243"/>
      <c r="G19" s="1244"/>
      <c r="H19" s="1244"/>
      <c r="I19" s="1244"/>
      <c r="J19" s="1244"/>
      <c r="K19" s="1242"/>
      <c r="L19" s="1287"/>
      <c r="M19" s="1287"/>
      <c r="N19" s="1290"/>
      <c r="O19" s="1289"/>
      <c r="P19" s="1244"/>
      <c r="Q19" s="1244"/>
      <c r="R19" s="1244"/>
      <c r="S19" s="1324"/>
      <c r="T19" s="1324"/>
      <c r="U19" s="1324"/>
      <c r="V19" s="1324"/>
      <c r="W19" s="1326"/>
      <c r="X19" s="1289"/>
      <c r="Y19" s="1244"/>
      <c r="Z19" s="1244"/>
      <c r="AA19" s="1244"/>
      <c r="AB19" s="1324"/>
      <c r="AC19" s="1324"/>
      <c r="AD19" s="1322"/>
      <c r="AE19" s="1324"/>
      <c r="AF19" s="1326"/>
      <c r="AG19" s="1289"/>
      <c r="AH19" s="1244"/>
      <c r="AI19" s="1244"/>
      <c r="AJ19" s="1324"/>
      <c r="AK19" s="1324"/>
      <c r="AL19" s="1324"/>
      <c r="AM19" s="1324"/>
      <c r="AN19" s="1324"/>
      <c r="AO19" s="1326"/>
      <c r="AP19" s="1289"/>
      <c r="AQ19" s="1244"/>
      <c r="AR19" s="1244"/>
      <c r="AS19" s="1244"/>
      <c r="AT19" s="1324"/>
      <c r="AU19" s="1324"/>
      <c r="AV19" s="1324"/>
      <c r="AW19" s="1324"/>
      <c r="AX19" s="1326"/>
      <c r="AY19" s="1289"/>
      <c r="AZ19" s="1244"/>
      <c r="BA19" s="1244"/>
      <c r="BB19" s="1244"/>
      <c r="BC19" s="1324"/>
      <c r="BD19" s="1324"/>
      <c r="BE19" s="1324"/>
      <c r="BF19" s="1324"/>
      <c r="BG19" s="1326"/>
      <c r="BH19" s="1289"/>
      <c r="BI19" s="1244"/>
      <c r="BJ19" s="1244"/>
      <c r="BK19" s="1244"/>
      <c r="BL19" s="1324"/>
      <c r="BM19" s="1324"/>
      <c r="BN19" s="1324"/>
      <c r="BO19" s="1324"/>
      <c r="BP19" s="1326"/>
      <c r="BQ19" s="1289"/>
      <c r="BR19" s="1244"/>
      <c r="BS19" s="1244"/>
      <c r="BT19" s="1244"/>
      <c r="BU19" s="1324"/>
      <c r="BV19" s="1324"/>
      <c r="BW19" s="1324"/>
      <c r="BX19" s="1324"/>
      <c r="BY19" s="1326"/>
      <c r="BZ19" s="1289"/>
      <c r="CA19" s="1244"/>
      <c r="CB19" s="1244"/>
      <c r="CC19" s="1244"/>
      <c r="CD19" s="1244"/>
      <c r="CE19" s="1242"/>
      <c r="CF19" s="1324"/>
      <c r="CG19" s="1324"/>
      <c r="CH19" s="1326"/>
      <c r="CI19" s="1375">
        <f t="shared" si="0"/>
        <v>0</v>
      </c>
      <c r="CJ19" s="1404"/>
      <c r="CK19" s="1402"/>
      <c r="CL19" s="1401">
        <f t="shared" si="1"/>
        <v>0</v>
      </c>
      <c r="CM19" s="1402"/>
      <c r="CN19" s="1403">
        <f t="shared" si="2"/>
        <v>0</v>
      </c>
      <c r="CP19" s="1407"/>
    </row>
    <row r="20" spans="1:143" s="1224" customFormat="1" ht="21" thickBot="1">
      <c r="A20" s="294" t="s">
        <v>110</v>
      </c>
      <c r="B20" s="2594"/>
      <c r="C20" s="2594"/>
      <c r="D20" s="2605"/>
      <c r="E20" s="1240"/>
      <c r="F20" s="1245"/>
      <c r="G20" s="1246"/>
      <c r="H20" s="1244"/>
      <c r="I20" s="1244"/>
      <c r="J20" s="1244"/>
      <c r="K20" s="1242"/>
      <c r="L20" s="1291"/>
      <c r="M20" s="1287"/>
      <c r="N20" s="1290"/>
      <c r="O20" s="1289"/>
      <c r="P20" s="1244"/>
      <c r="Q20" s="1244"/>
      <c r="R20" s="1244"/>
      <c r="S20" s="1324"/>
      <c r="T20" s="1324"/>
      <c r="U20" s="1324"/>
      <c r="V20" s="1324"/>
      <c r="W20" s="1326"/>
      <c r="X20" s="1289"/>
      <c r="Y20" s="1244"/>
      <c r="Z20" s="1244"/>
      <c r="AA20" s="1244"/>
      <c r="AB20" s="1324"/>
      <c r="AC20" s="1324"/>
      <c r="AD20" s="1322"/>
      <c r="AE20" s="1324"/>
      <c r="AF20" s="1326"/>
      <c r="AG20" s="1289"/>
      <c r="AH20" s="1244"/>
      <c r="AI20" s="1244"/>
      <c r="AJ20" s="1324"/>
      <c r="AK20" s="1324"/>
      <c r="AL20" s="1324"/>
      <c r="AM20" s="1324"/>
      <c r="AN20" s="1324"/>
      <c r="AO20" s="1326"/>
      <c r="AP20" s="1289"/>
      <c r="AQ20" s="1244"/>
      <c r="AR20" s="1244"/>
      <c r="AS20" s="1244"/>
      <c r="AT20" s="1324"/>
      <c r="AU20" s="1324"/>
      <c r="AV20" s="1324"/>
      <c r="AW20" s="1324"/>
      <c r="AX20" s="1326"/>
      <c r="AY20" s="1289"/>
      <c r="AZ20" s="1244"/>
      <c r="BA20" s="1244"/>
      <c r="BB20" s="1244"/>
      <c r="BC20" s="1324"/>
      <c r="BD20" s="1324"/>
      <c r="BE20" s="1324"/>
      <c r="BF20" s="1324"/>
      <c r="BG20" s="1326"/>
      <c r="BH20" s="1289"/>
      <c r="BI20" s="1244"/>
      <c r="BJ20" s="1244"/>
      <c r="BK20" s="1244"/>
      <c r="BL20" s="1324"/>
      <c r="BM20" s="1324"/>
      <c r="BN20" s="1324"/>
      <c r="BO20" s="1324"/>
      <c r="BP20" s="1326"/>
      <c r="BQ20" s="1289"/>
      <c r="BR20" s="1244"/>
      <c r="BS20" s="1244"/>
      <c r="BT20" s="1244"/>
      <c r="BU20" s="1324"/>
      <c r="BV20" s="1324"/>
      <c r="BW20" s="1324"/>
      <c r="BX20" s="1324"/>
      <c r="BY20" s="1326"/>
      <c r="BZ20" s="1289"/>
      <c r="CA20" s="1244"/>
      <c r="CB20" s="1244"/>
      <c r="CC20" s="1244"/>
      <c r="CD20" s="1244"/>
      <c r="CE20" s="1242"/>
      <c r="CF20" s="1324"/>
      <c r="CG20" s="1324"/>
      <c r="CH20" s="1326"/>
      <c r="CI20" s="1375">
        <f t="shared" si="0"/>
        <v>0</v>
      </c>
      <c r="CJ20" s="1404"/>
      <c r="CK20" s="1402"/>
      <c r="CL20" s="1401">
        <f t="shared" si="1"/>
        <v>0</v>
      </c>
      <c r="CM20" s="1402"/>
      <c r="CN20" s="1403">
        <f t="shared" si="2"/>
        <v>0</v>
      </c>
      <c r="CP20" s="1407"/>
    </row>
    <row r="21" spans="1:143" s="1224" customFormat="1" ht="21" thickBot="1">
      <c r="A21" s="294" t="s">
        <v>110</v>
      </c>
      <c r="B21" s="2594"/>
      <c r="C21" s="2594"/>
      <c r="D21" s="2605"/>
      <c r="E21" s="1240"/>
      <c r="F21" s="1241"/>
      <c r="G21" s="1242"/>
      <c r="H21" s="1242"/>
      <c r="I21" s="1242"/>
      <c r="J21" s="1244"/>
      <c r="K21" s="1242"/>
      <c r="L21" s="1284"/>
      <c r="M21" s="1284"/>
      <c r="N21" s="1285"/>
      <c r="O21" s="1286"/>
      <c r="P21" s="1242"/>
      <c r="Q21" s="1242"/>
      <c r="R21" s="1242"/>
      <c r="S21" s="1322"/>
      <c r="T21" s="1322"/>
      <c r="U21" s="1322"/>
      <c r="V21" s="1322"/>
      <c r="W21" s="1323"/>
      <c r="X21" s="1286"/>
      <c r="Y21" s="1242"/>
      <c r="Z21" s="1242"/>
      <c r="AA21" s="1242"/>
      <c r="AB21" s="1322"/>
      <c r="AC21" s="1322"/>
      <c r="AD21" s="1322"/>
      <c r="AE21" s="1322"/>
      <c r="AF21" s="1323"/>
      <c r="AG21" s="1286"/>
      <c r="AH21" s="1242"/>
      <c r="AI21" s="1242"/>
      <c r="AJ21" s="1322"/>
      <c r="AK21" s="1322"/>
      <c r="AL21" s="1322"/>
      <c r="AM21" s="1322"/>
      <c r="AN21" s="1322"/>
      <c r="AO21" s="1323"/>
      <c r="AP21" s="1286"/>
      <c r="AQ21" s="1242"/>
      <c r="AR21" s="1242"/>
      <c r="AS21" s="1242"/>
      <c r="AT21" s="1322"/>
      <c r="AU21" s="1322"/>
      <c r="AV21" s="1322"/>
      <c r="AW21" s="1322"/>
      <c r="AX21" s="1323"/>
      <c r="AY21" s="1286"/>
      <c r="AZ21" s="1242"/>
      <c r="BA21" s="1242"/>
      <c r="BB21" s="1242"/>
      <c r="BC21" s="1322"/>
      <c r="BD21" s="1322"/>
      <c r="BE21" s="1322"/>
      <c r="BF21" s="1322"/>
      <c r="BG21" s="1323"/>
      <c r="BH21" s="1286"/>
      <c r="BI21" s="1242"/>
      <c r="BJ21" s="1242"/>
      <c r="BK21" s="1242"/>
      <c r="BL21" s="1322"/>
      <c r="BM21" s="1322"/>
      <c r="BN21" s="1322"/>
      <c r="BO21" s="1322"/>
      <c r="BP21" s="1323"/>
      <c r="BQ21" s="1363"/>
      <c r="BR21" s="1242"/>
      <c r="BS21" s="1242"/>
      <c r="BT21" s="1242"/>
      <c r="BU21" s="1322"/>
      <c r="BV21" s="1322"/>
      <c r="BW21" s="1322"/>
      <c r="BX21" s="1322"/>
      <c r="BY21" s="1323"/>
      <c r="BZ21" s="1286"/>
      <c r="CA21" s="1242"/>
      <c r="CB21" s="1242"/>
      <c r="CC21" s="1242"/>
      <c r="CD21" s="1242"/>
      <c r="CE21" s="1242"/>
      <c r="CF21" s="1322"/>
      <c r="CG21" s="1324"/>
      <c r="CH21" s="1326"/>
      <c r="CI21" s="1375">
        <f t="shared" si="0"/>
        <v>0</v>
      </c>
      <c r="CJ21" s="1399"/>
      <c r="CK21" s="1400"/>
      <c r="CL21" s="1401">
        <f t="shared" si="1"/>
        <v>0</v>
      </c>
      <c r="CM21" s="1402"/>
      <c r="CN21" s="1403">
        <f t="shared" si="2"/>
        <v>0</v>
      </c>
    </row>
    <row r="22" spans="1:143" s="283" customFormat="1" ht="21" thickBot="1">
      <c r="A22" s="294" t="s">
        <v>110</v>
      </c>
      <c r="B22" s="2594"/>
      <c r="C22" s="731"/>
      <c r="D22" s="2605"/>
      <c r="E22" s="1262"/>
      <c r="F22" s="1249"/>
      <c r="G22" s="1250"/>
      <c r="H22" s="1250"/>
      <c r="I22" s="1250"/>
      <c r="J22" s="1250"/>
      <c r="K22" s="1250"/>
      <c r="L22" s="1292"/>
      <c r="M22" s="1292"/>
      <c r="N22" s="1293"/>
      <c r="O22" s="1294"/>
      <c r="P22" s="1295"/>
      <c r="Q22" s="1327"/>
      <c r="R22" s="1327"/>
      <c r="S22" s="1328"/>
      <c r="T22" s="1328"/>
      <c r="U22" s="1328"/>
      <c r="V22" s="1328"/>
      <c r="W22" s="1329"/>
      <c r="X22" s="1330"/>
      <c r="Y22" s="1327"/>
      <c r="Z22" s="1327"/>
      <c r="AA22" s="1327"/>
      <c r="AB22" s="1328"/>
      <c r="AC22" s="1328"/>
      <c r="AD22" s="1352"/>
      <c r="AE22" s="1328"/>
      <c r="AF22" s="1329"/>
      <c r="AG22" s="1330"/>
      <c r="AH22" s="1327"/>
      <c r="AI22" s="1327"/>
      <c r="AJ22" s="1328"/>
      <c r="AK22" s="1328"/>
      <c r="AL22" s="1328"/>
      <c r="AM22" s="1328"/>
      <c r="AN22" s="1328"/>
      <c r="AO22" s="1329"/>
      <c r="AP22" s="1330"/>
      <c r="AQ22" s="1327"/>
      <c r="AR22" s="1327"/>
      <c r="AS22" s="1327"/>
      <c r="AT22" s="1328"/>
      <c r="AU22" s="1328"/>
      <c r="AV22" s="1328"/>
      <c r="AW22" s="1328"/>
      <c r="AX22" s="1329"/>
      <c r="AY22" s="1330"/>
      <c r="AZ22" s="1327"/>
      <c r="BA22" s="1327"/>
      <c r="BB22" s="1295"/>
      <c r="BC22" s="1328"/>
      <c r="BD22" s="1362"/>
      <c r="BE22" s="1328"/>
      <c r="BF22" s="1328"/>
      <c r="BG22" s="1329"/>
      <c r="BH22" s="1330"/>
      <c r="BI22" s="1327"/>
      <c r="BJ22" s="1327"/>
      <c r="BK22" s="1327"/>
      <c r="BL22" s="1328"/>
      <c r="BM22" s="1328"/>
      <c r="BN22" s="1328"/>
      <c r="BO22" s="1328"/>
      <c r="BP22" s="1329"/>
      <c r="BQ22" s="1294"/>
      <c r="BR22" s="1327"/>
      <c r="BS22" s="1295"/>
      <c r="BT22" s="1327"/>
      <c r="BU22" s="1328"/>
      <c r="BV22" s="1328"/>
      <c r="BW22" s="1328"/>
      <c r="BX22" s="1328"/>
      <c r="BY22" s="1329"/>
      <c r="BZ22" s="1369"/>
      <c r="CA22" s="1250"/>
      <c r="CB22" s="1327"/>
      <c r="CC22" s="1250"/>
      <c r="CD22" s="1250"/>
      <c r="CE22" s="1250"/>
      <c r="CF22" s="1352"/>
      <c r="CG22" s="1352"/>
      <c r="CH22" s="1376"/>
      <c r="CI22" s="1375">
        <f t="shared" si="0"/>
        <v>0</v>
      </c>
      <c r="CJ22" s="1408"/>
      <c r="CK22" s="1409"/>
      <c r="CL22" s="1401">
        <f t="shared" si="1"/>
        <v>0</v>
      </c>
      <c r="CM22" s="1410"/>
      <c r="CN22" s="1403">
        <f t="shared" si="2"/>
        <v>0</v>
      </c>
      <c r="CO22" s="1411" t="s">
        <v>111</v>
      </c>
      <c r="CP22" s="1412" t="s">
        <v>23</v>
      </c>
      <c r="CQ22" s="1413" t="s">
        <v>112</v>
      </c>
    </row>
    <row r="23" spans="1:143" s="1225" customFormat="1" ht="21" thickBot="1">
      <c r="A23" s="294" t="s">
        <v>110</v>
      </c>
      <c r="B23" s="2595"/>
      <c r="C23" s="2598"/>
      <c r="D23" s="2605"/>
      <c r="E23" s="2603"/>
      <c r="F23" s="1253"/>
      <c r="G23" s="1254"/>
      <c r="H23" s="1254"/>
      <c r="I23" s="1254"/>
      <c r="J23" s="1254"/>
      <c r="K23" s="1254"/>
      <c r="L23" s="1296"/>
      <c r="M23" s="1296"/>
      <c r="N23" s="1297"/>
      <c r="O23" s="1298"/>
      <c r="P23" s="1299"/>
      <c r="Q23" s="1299"/>
      <c r="R23" s="1299"/>
      <c r="S23" s="1331"/>
      <c r="T23" s="1331"/>
      <c r="U23" s="1331"/>
      <c r="V23" s="1331"/>
      <c r="W23" s="1332"/>
      <c r="X23" s="1305"/>
      <c r="Y23" s="1299"/>
      <c r="Z23" s="1299"/>
      <c r="AA23" s="1299"/>
      <c r="AB23" s="1331"/>
      <c r="AC23" s="1331"/>
      <c r="AD23" s="1353"/>
      <c r="AE23" s="1331"/>
      <c r="AF23" s="1332"/>
      <c r="AG23" s="1305"/>
      <c r="AH23" s="1299"/>
      <c r="AI23" s="1299"/>
      <c r="AJ23" s="1331"/>
      <c r="AK23" s="1331"/>
      <c r="AL23" s="1331"/>
      <c r="AM23" s="1331"/>
      <c r="AN23" s="1331"/>
      <c r="AO23" s="1332"/>
      <c r="AP23" s="1305"/>
      <c r="AQ23" s="1299"/>
      <c r="AR23" s="1299"/>
      <c r="AS23" s="1299"/>
      <c r="AT23" s="1331"/>
      <c r="AU23" s="1331"/>
      <c r="AV23" s="1331"/>
      <c r="AW23" s="1331"/>
      <c r="AX23" s="1332"/>
      <c r="AY23" s="1305"/>
      <c r="AZ23" s="1299"/>
      <c r="BA23" s="1299"/>
      <c r="BB23" s="1299"/>
      <c r="BC23" s="1331"/>
      <c r="BD23" s="1333"/>
      <c r="BE23" s="1331"/>
      <c r="BF23" s="1331"/>
      <c r="BG23" s="1332"/>
      <c r="BH23" s="1305"/>
      <c r="BI23" s="1299"/>
      <c r="BJ23" s="1299"/>
      <c r="BK23" s="1299"/>
      <c r="BL23" s="1299"/>
      <c r="BM23" s="1299"/>
      <c r="BN23" s="1299"/>
      <c r="BO23" s="1331"/>
      <c r="BP23" s="1332"/>
      <c r="BQ23" s="1298"/>
      <c r="BR23" s="1299"/>
      <c r="BS23" s="1357"/>
      <c r="BT23" s="1299"/>
      <c r="BU23" s="1331"/>
      <c r="BV23" s="1331"/>
      <c r="BW23" s="1333"/>
      <c r="BX23" s="1331"/>
      <c r="BY23" s="1332"/>
      <c r="BZ23" s="1257"/>
      <c r="CA23" s="1254"/>
      <c r="CB23" s="1299"/>
      <c r="CC23" s="1254"/>
      <c r="CD23" s="1254"/>
      <c r="CE23" s="1254"/>
      <c r="CF23" s="1353"/>
      <c r="CG23" s="1353"/>
      <c r="CH23" s="1377"/>
      <c r="CI23" s="1375">
        <f t="shared" si="0"/>
        <v>0</v>
      </c>
      <c r="CJ23" s="1383"/>
      <c r="CK23" s="1414"/>
      <c r="CL23" s="1401">
        <f t="shared" si="1"/>
        <v>0</v>
      </c>
      <c r="CM23" s="1377"/>
      <c r="CN23" s="1403">
        <f t="shared" si="2"/>
        <v>0</v>
      </c>
      <c r="CO23" s="1415"/>
      <c r="CP23" s="1416"/>
      <c r="CQ23" s="1417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</row>
    <row r="24" spans="1:143" s="1225" customFormat="1" ht="21" thickBot="1">
      <c r="A24" s="294" t="s">
        <v>110</v>
      </c>
      <c r="B24" s="2596"/>
      <c r="C24" s="2598"/>
      <c r="D24" s="2605"/>
      <c r="E24" s="2603"/>
      <c r="F24" s="1253"/>
      <c r="G24" s="1254"/>
      <c r="H24" s="1254"/>
      <c r="I24" s="1254"/>
      <c r="J24" s="1254"/>
      <c r="K24" s="1254"/>
      <c r="L24" s="1296"/>
      <c r="M24" s="1296"/>
      <c r="N24" s="1297"/>
      <c r="O24" s="1298"/>
      <c r="P24" s="1299"/>
      <c r="Q24" s="1299"/>
      <c r="R24" s="1299"/>
      <c r="S24" s="1331"/>
      <c r="T24" s="1331"/>
      <c r="U24" s="1331"/>
      <c r="V24" s="1331"/>
      <c r="W24" s="1332"/>
      <c r="X24" s="1305"/>
      <c r="Y24" s="1299"/>
      <c r="Z24" s="1299"/>
      <c r="AA24" s="1299"/>
      <c r="AB24" s="1331"/>
      <c r="AC24" s="1331"/>
      <c r="AD24" s="1353"/>
      <c r="AE24" s="1331"/>
      <c r="AF24" s="1332"/>
      <c r="AG24" s="1305"/>
      <c r="AH24" s="1299"/>
      <c r="AI24" s="1299"/>
      <c r="AJ24" s="1331"/>
      <c r="AK24" s="1331"/>
      <c r="AL24" s="1331"/>
      <c r="AM24" s="1331"/>
      <c r="AN24" s="1331"/>
      <c r="AO24" s="1332"/>
      <c r="AP24" s="1305"/>
      <c r="AQ24" s="1299"/>
      <c r="AR24" s="1299"/>
      <c r="AS24" s="1299"/>
      <c r="AT24" s="1331"/>
      <c r="AU24" s="1331"/>
      <c r="AV24" s="1331"/>
      <c r="AW24" s="1331"/>
      <c r="AX24" s="1332"/>
      <c r="AY24" s="1305"/>
      <c r="AZ24" s="1299"/>
      <c r="BA24" s="1299"/>
      <c r="BB24" s="1299"/>
      <c r="BC24" s="1331"/>
      <c r="BD24" s="1331"/>
      <c r="BE24" s="1331"/>
      <c r="BF24" s="1331"/>
      <c r="BG24" s="1332"/>
      <c r="BH24" s="1305"/>
      <c r="BI24" s="1299"/>
      <c r="BJ24" s="1357"/>
      <c r="BK24" s="1299"/>
      <c r="BL24" s="1299"/>
      <c r="BM24" s="1299"/>
      <c r="BN24" s="1299"/>
      <c r="BO24" s="1331"/>
      <c r="BP24" s="1332"/>
      <c r="BQ24" s="1305"/>
      <c r="BR24" s="1357"/>
      <c r="BS24" s="1357"/>
      <c r="BT24" s="1299"/>
      <c r="BU24" s="1331"/>
      <c r="BV24" s="1331"/>
      <c r="BW24" s="1333"/>
      <c r="BX24" s="1331"/>
      <c r="BY24" s="1332"/>
      <c r="BZ24" s="1257"/>
      <c r="CA24" s="1254"/>
      <c r="CB24" s="1299"/>
      <c r="CC24" s="1254"/>
      <c r="CD24" s="1254"/>
      <c r="CE24" s="1254"/>
      <c r="CF24" s="1353"/>
      <c r="CG24" s="1353"/>
      <c r="CH24" s="1377"/>
      <c r="CI24" s="1375">
        <f t="shared" si="0"/>
        <v>0</v>
      </c>
      <c r="CJ24" s="1383"/>
      <c r="CK24" s="1414"/>
      <c r="CL24" s="1401">
        <f t="shared" si="1"/>
        <v>0</v>
      </c>
      <c r="CM24" s="1377"/>
      <c r="CN24" s="1403">
        <f t="shared" si="2"/>
        <v>0</v>
      </c>
      <c r="CO24" s="1415"/>
      <c r="CP24" s="1416"/>
      <c r="CQ24" s="1417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  <c r="DM24" s="283"/>
      <c r="DN24" s="283"/>
      <c r="DO24" s="283"/>
      <c r="DP24" s="283"/>
      <c r="DQ24" s="283"/>
      <c r="DR24" s="283"/>
      <c r="DS24" s="283"/>
      <c r="DT24" s="283"/>
      <c r="DU24" s="283"/>
      <c r="DV24" s="283"/>
      <c r="DW24" s="283"/>
      <c r="DX24" s="283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</row>
    <row r="25" spans="1:143" s="1225" customFormat="1" ht="21" thickBot="1">
      <c r="A25" s="294" t="s">
        <v>110</v>
      </c>
      <c r="B25" s="2595"/>
      <c r="C25" s="2598"/>
      <c r="D25" s="2605"/>
      <c r="E25" s="2603"/>
      <c r="F25" s="1253"/>
      <c r="G25" s="1254"/>
      <c r="H25" s="1254"/>
      <c r="I25" s="1254"/>
      <c r="J25" s="1254"/>
      <c r="K25" s="1254"/>
      <c r="L25" s="1296"/>
      <c r="M25" s="1296"/>
      <c r="N25" s="1297"/>
      <c r="O25" s="1298"/>
      <c r="P25" s="1299"/>
      <c r="Q25" s="1299"/>
      <c r="R25" s="1299"/>
      <c r="S25" s="1331"/>
      <c r="T25" s="1331"/>
      <c r="U25" s="1331"/>
      <c r="V25" s="1333"/>
      <c r="W25" s="1332"/>
      <c r="X25" s="1298"/>
      <c r="Y25" s="1299"/>
      <c r="Z25" s="1299"/>
      <c r="AA25" s="1299"/>
      <c r="AB25" s="1331"/>
      <c r="AC25" s="1331"/>
      <c r="AD25" s="1353"/>
      <c r="AE25" s="1331"/>
      <c r="AF25" s="1332"/>
      <c r="AG25" s="1305"/>
      <c r="AH25" s="1299"/>
      <c r="AI25" s="1299"/>
      <c r="AJ25" s="1331"/>
      <c r="AK25" s="1331"/>
      <c r="AL25" s="1331"/>
      <c r="AM25" s="1331"/>
      <c r="AN25" s="1331"/>
      <c r="AO25" s="1332"/>
      <c r="AP25" s="1305"/>
      <c r="AQ25" s="1299"/>
      <c r="AR25" s="1299"/>
      <c r="AS25" s="1299"/>
      <c r="AT25" s="1331"/>
      <c r="AU25" s="1331"/>
      <c r="AV25" s="1331"/>
      <c r="AW25" s="1331"/>
      <c r="AX25" s="1332"/>
      <c r="AY25" s="1305"/>
      <c r="AZ25" s="1299"/>
      <c r="BA25" s="1299"/>
      <c r="BB25" s="1299"/>
      <c r="BC25" s="1331"/>
      <c r="BD25" s="1331"/>
      <c r="BE25" s="1331"/>
      <c r="BF25" s="1331"/>
      <c r="BG25" s="1332"/>
      <c r="BH25" s="1305"/>
      <c r="BI25" s="1299"/>
      <c r="BJ25" s="1357"/>
      <c r="BK25" s="1299"/>
      <c r="BL25" s="1357"/>
      <c r="BM25" s="1299"/>
      <c r="BN25" s="1299"/>
      <c r="BO25" s="1331"/>
      <c r="BP25" s="1332"/>
      <c r="BQ25" s="1305"/>
      <c r="BR25" s="1299"/>
      <c r="BS25" s="1299"/>
      <c r="BT25" s="1299"/>
      <c r="BU25" s="1331"/>
      <c r="BV25" s="1331"/>
      <c r="BW25" s="1333"/>
      <c r="BX25" s="1331"/>
      <c r="BY25" s="1332"/>
      <c r="BZ25" s="1257"/>
      <c r="CA25" s="1254"/>
      <c r="CB25" s="1299"/>
      <c r="CC25" s="1254"/>
      <c r="CD25" s="1254"/>
      <c r="CE25" s="1254"/>
      <c r="CF25" s="1353"/>
      <c r="CG25" s="1353"/>
      <c r="CH25" s="1377"/>
      <c r="CI25" s="1378">
        <f t="shared" si="0"/>
        <v>0</v>
      </c>
      <c r="CJ25" s="1383"/>
      <c r="CK25" s="1414"/>
      <c r="CL25" s="1401">
        <f t="shared" si="1"/>
        <v>0</v>
      </c>
      <c r="CM25" s="1377"/>
      <c r="CN25" s="1403">
        <f t="shared" si="2"/>
        <v>0</v>
      </c>
      <c r="CO25" s="1415"/>
      <c r="CP25" s="1416"/>
      <c r="CQ25" s="1417"/>
      <c r="CR25" s="283"/>
      <c r="CS25" s="283"/>
      <c r="CT25" s="283"/>
      <c r="CU25" s="283"/>
      <c r="CV25" s="283"/>
      <c r="CW25" s="283"/>
      <c r="CX25" s="283"/>
      <c r="CY25" s="283"/>
      <c r="CZ25" s="283"/>
      <c r="DA25" s="283"/>
      <c r="DB25" s="283"/>
      <c r="DC25" s="283"/>
      <c r="DD25" s="283"/>
      <c r="DE25" s="283"/>
      <c r="DF25" s="283"/>
      <c r="DG25" s="283"/>
      <c r="DH25" s="283"/>
      <c r="DI25" s="283"/>
      <c r="DJ25" s="283"/>
      <c r="DK25" s="283"/>
      <c r="DL25" s="283"/>
      <c r="DM25" s="283"/>
      <c r="DN25" s="283"/>
      <c r="DO25" s="283"/>
      <c r="DP25" s="283"/>
      <c r="DQ25" s="283"/>
      <c r="DR25" s="283"/>
      <c r="DS25" s="283"/>
      <c r="DT25" s="283"/>
      <c r="DU25" s="283"/>
      <c r="DV25" s="283"/>
      <c r="DW25" s="283"/>
      <c r="DX25" s="283"/>
      <c r="DY25" s="283"/>
      <c r="DZ25" s="283"/>
      <c r="EA25" s="283"/>
      <c r="EB25" s="283"/>
      <c r="EC25" s="283"/>
      <c r="ED25" s="283"/>
      <c r="EE25" s="283"/>
      <c r="EF25" s="283"/>
      <c r="EG25" s="283"/>
      <c r="EH25" s="283"/>
      <c r="EI25" s="283"/>
      <c r="EJ25" s="283"/>
      <c r="EK25" s="283"/>
      <c r="EL25" s="283"/>
      <c r="EM25" s="283"/>
    </row>
    <row r="26" spans="1:143" s="283" customFormat="1" ht="21" thickBot="1">
      <c r="A26" s="294" t="s">
        <v>110</v>
      </c>
      <c r="B26" s="2595"/>
      <c r="C26" s="2566"/>
      <c r="D26" s="2605"/>
      <c r="E26" s="1262"/>
      <c r="F26" s="1255"/>
      <c r="G26" s="1256"/>
      <c r="H26" s="1256"/>
      <c r="I26" s="1256"/>
      <c r="J26" s="1256"/>
      <c r="K26" s="1256"/>
      <c r="L26" s="1300"/>
      <c r="M26" s="1300"/>
      <c r="N26" s="1293"/>
      <c r="O26" s="1301"/>
      <c r="P26" s="1302"/>
      <c r="Q26" s="1302"/>
      <c r="R26" s="1302"/>
      <c r="S26" s="1334"/>
      <c r="T26" s="1334"/>
      <c r="U26" s="1334"/>
      <c r="V26" s="1334"/>
      <c r="W26" s="1329"/>
      <c r="X26" s="1335"/>
      <c r="Y26" s="1302"/>
      <c r="Z26" s="1354"/>
      <c r="AA26" s="1302"/>
      <c r="AB26" s="1331"/>
      <c r="AC26" s="1334"/>
      <c r="AD26" s="1355"/>
      <c r="AE26" s="1334"/>
      <c r="AF26" s="1356"/>
      <c r="AG26" s="1299"/>
      <c r="AH26" s="1302"/>
      <c r="AI26" s="1302"/>
      <c r="AJ26" s="1334"/>
      <c r="AK26" s="1334"/>
      <c r="AL26" s="1327"/>
      <c r="AM26" s="1341"/>
      <c r="AN26" s="1341"/>
      <c r="AO26" s="1329"/>
      <c r="AP26" s="1301"/>
      <c r="AQ26" s="1302"/>
      <c r="AR26" s="1302"/>
      <c r="AS26" s="1302"/>
      <c r="AT26" s="1334"/>
      <c r="AU26" s="1334"/>
      <c r="AV26" s="1327"/>
      <c r="AW26" s="1341"/>
      <c r="AX26" s="1329"/>
      <c r="AY26" s="1301"/>
      <c r="AZ26" s="1302"/>
      <c r="BA26" s="1302"/>
      <c r="BC26" s="1305"/>
      <c r="BD26" s="1334"/>
      <c r="BE26" s="1334"/>
      <c r="BF26" s="1334"/>
      <c r="BG26" s="1329"/>
      <c r="BH26" s="1301"/>
      <c r="BI26" s="1354"/>
      <c r="BJ26" s="1302"/>
      <c r="BK26" s="1302"/>
      <c r="BL26" s="1357"/>
      <c r="BM26" s="1299"/>
      <c r="BN26" s="1299"/>
      <c r="BO26" s="1331"/>
      <c r="BP26" s="1329"/>
      <c r="BQ26" s="1301"/>
      <c r="BR26" s="1354"/>
      <c r="BS26" s="1302"/>
      <c r="BT26" s="1302"/>
      <c r="BU26" s="1334"/>
      <c r="BV26" s="1334"/>
      <c r="BW26" s="1334"/>
      <c r="BX26" s="1334"/>
      <c r="BY26" s="1329"/>
      <c r="BZ26" s="1260"/>
      <c r="CA26" s="1256"/>
      <c r="CB26" s="1302"/>
      <c r="CC26" s="1256"/>
      <c r="CD26" s="1256"/>
      <c r="CE26" s="1256"/>
      <c r="CF26" s="1250"/>
      <c r="CG26" s="1379"/>
      <c r="CH26" s="1376"/>
      <c r="CI26" s="1378">
        <f t="shared" si="0"/>
        <v>0</v>
      </c>
      <c r="CJ26" s="1384"/>
      <c r="CK26" s="1418"/>
      <c r="CL26" s="1401">
        <f t="shared" si="1"/>
        <v>0</v>
      </c>
      <c r="CM26" s="1376"/>
      <c r="CN26" s="1403">
        <f t="shared" si="2"/>
        <v>0</v>
      </c>
      <c r="CO26" s="1419"/>
      <c r="CP26" s="1420"/>
      <c r="CQ26" s="1421"/>
    </row>
    <row r="27" spans="1:143" s="1225" customFormat="1" ht="21" thickBot="1">
      <c r="A27" s="294" t="s">
        <v>110</v>
      </c>
      <c r="B27" s="2595"/>
      <c r="C27" s="2598"/>
      <c r="D27" s="2605"/>
      <c r="E27" s="2603"/>
      <c r="F27" s="1253"/>
      <c r="G27" s="1257"/>
      <c r="H27" s="1257"/>
      <c r="I27" s="1257"/>
      <c r="J27" s="1257"/>
      <c r="K27" s="1257"/>
      <c r="L27" s="1303"/>
      <c r="M27" s="1304"/>
      <c r="N27" s="1293"/>
      <c r="O27" s="1305"/>
      <c r="P27" s="1305"/>
      <c r="Q27" s="1305"/>
      <c r="R27" s="1305"/>
      <c r="S27" s="1299"/>
      <c r="T27" s="1299"/>
      <c r="U27" s="1299"/>
      <c r="V27" s="1336"/>
      <c r="W27" s="1332"/>
      <c r="X27" s="1298"/>
      <c r="Y27" s="1305"/>
      <c r="Z27" s="1305"/>
      <c r="AA27" s="1305"/>
      <c r="AB27" s="1299"/>
      <c r="AC27" s="1357"/>
      <c r="AD27" s="1254"/>
      <c r="AE27" s="1336"/>
      <c r="AF27" s="1358"/>
      <c r="AG27" s="1299"/>
      <c r="AH27" s="1305"/>
      <c r="AI27" s="1305"/>
      <c r="AJ27" s="1299"/>
      <c r="AK27" s="1299"/>
      <c r="AL27" s="1299"/>
      <c r="AM27" s="1336"/>
      <c r="AN27" s="1336"/>
      <c r="AO27" s="1332"/>
      <c r="AP27" s="1305"/>
      <c r="AQ27" s="1305"/>
      <c r="AR27" s="1305"/>
      <c r="AS27" s="1305"/>
      <c r="AT27" s="1299"/>
      <c r="AU27" s="1299"/>
      <c r="AV27" s="1299"/>
      <c r="AW27" s="1336"/>
      <c r="AX27" s="1332"/>
      <c r="AY27" s="1305"/>
      <c r="AZ27" s="1305"/>
      <c r="BA27" s="1305"/>
      <c r="BC27" s="1299"/>
      <c r="BD27" s="1299"/>
      <c r="BE27" s="1299"/>
      <c r="BF27" s="1336"/>
      <c r="BG27" s="1332"/>
      <c r="BH27" s="1305"/>
      <c r="BI27" s="1305"/>
      <c r="BJ27" s="1305"/>
      <c r="BK27" s="1298"/>
      <c r="BL27" s="1299"/>
      <c r="BM27" s="1299"/>
      <c r="BN27" s="1299"/>
      <c r="BO27" s="1331"/>
      <c r="BP27" s="1332"/>
      <c r="BQ27" s="1305"/>
      <c r="BR27" s="1298"/>
      <c r="BS27" s="1305"/>
      <c r="BT27" s="1305"/>
      <c r="BU27" s="1299"/>
      <c r="BV27" s="1299"/>
      <c r="BW27" s="1357"/>
      <c r="BX27" s="1336"/>
      <c r="BY27" s="1332"/>
      <c r="BZ27" s="1257"/>
      <c r="CA27" s="1257"/>
      <c r="CB27" s="1305"/>
      <c r="CC27" s="1257"/>
      <c r="CD27" s="1257"/>
      <c r="CE27" s="1257"/>
      <c r="CF27" s="1254"/>
      <c r="CG27" s="1380"/>
      <c r="CH27" s="1377"/>
      <c r="CI27" s="1378">
        <f t="shared" si="0"/>
        <v>0</v>
      </c>
      <c r="CJ27" s="1383"/>
      <c r="CK27" s="1414"/>
      <c r="CL27" s="1401">
        <f t="shared" si="1"/>
        <v>0</v>
      </c>
      <c r="CM27" s="1377"/>
      <c r="CN27" s="1403">
        <f t="shared" si="2"/>
        <v>0</v>
      </c>
      <c r="CO27" s="1415"/>
      <c r="CP27" s="1416"/>
      <c r="CQ27" s="1417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</row>
    <row r="28" spans="1:143" s="283" customFormat="1" ht="21" thickBot="1">
      <c r="A28" s="294" t="s">
        <v>110</v>
      </c>
      <c r="B28" s="2595"/>
      <c r="C28" s="2600"/>
      <c r="D28" s="2605"/>
      <c r="E28" s="2604"/>
      <c r="F28" s="1258"/>
      <c r="G28" s="1259"/>
      <c r="H28" s="1259"/>
      <c r="I28" s="1259"/>
      <c r="J28" s="1259"/>
      <c r="K28" s="1259"/>
      <c r="L28" s="1306"/>
      <c r="M28" s="1307"/>
      <c r="N28" s="1308"/>
      <c r="O28" s="1309"/>
      <c r="P28" s="1309"/>
      <c r="Q28" s="1337"/>
      <c r="R28" s="1337"/>
      <c r="S28" s="1338"/>
      <c r="T28" s="1338"/>
      <c r="U28" s="1338"/>
      <c r="V28" s="1339"/>
      <c r="W28" s="1340"/>
      <c r="X28" s="1337"/>
      <c r="Y28" s="1337"/>
      <c r="Z28" s="1309"/>
      <c r="AA28" s="1337"/>
      <c r="AB28" s="1338"/>
      <c r="AC28" s="1359"/>
      <c r="AD28" s="1360"/>
      <c r="AE28" s="1339"/>
      <c r="AF28" s="1361"/>
      <c r="AG28" s="1299"/>
      <c r="AH28" s="1337"/>
      <c r="AI28" s="1337"/>
      <c r="AJ28" s="1338"/>
      <c r="AK28" s="1338"/>
      <c r="AL28" s="1338"/>
      <c r="AM28" s="1339"/>
      <c r="AN28" s="1339"/>
      <c r="AO28" s="1340"/>
      <c r="AP28" s="1337"/>
      <c r="AQ28" s="1337"/>
      <c r="AR28" s="1337"/>
      <c r="AS28" s="1337"/>
      <c r="AT28" s="1338"/>
      <c r="AU28" s="1338"/>
      <c r="AV28" s="1338"/>
      <c r="AW28" s="1339"/>
      <c r="AX28" s="1340"/>
      <c r="AY28" s="1337"/>
      <c r="AZ28" s="1337"/>
      <c r="BA28" s="1309"/>
      <c r="BB28" s="1309"/>
      <c r="BC28" s="1338"/>
      <c r="BD28" s="1338"/>
      <c r="BE28" s="1338"/>
      <c r="BF28" s="1339"/>
      <c r="BG28" s="1340"/>
      <c r="BH28" s="1337"/>
      <c r="BI28" s="1337"/>
      <c r="BJ28" s="1337"/>
      <c r="BK28" s="1309"/>
      <c r="BL28" s="1299"/>
      <c r="BM28" s="1299"/>
      <c r="BN28" s="1299"/>
      <c r="BO28" s="1331"/>
      <c r="BP28" s="1340"/>
      <c r="BQ28" s="1337"/>
      <c r="BR28" s="1337"/>
      <c r="BS28" s="1337"/>
      <c r="BT28" s="1337"/>
      <c r="BU28" s="1338"/>
      <c r="BV28" s="1338"/>
      <c r="BW28" s="1338"/>
      <c r="BX28" s="1339"/>
      <c r="BY28" s="1340"/>
      <c r="BZ28" s="1259"/>
      <c r="CA28" s="1259"/>
      <c r="CB28" s="1337"/>
      <c r="CC28" s="1259"/>
      <c r="CD28" s="1259"/>
      <c r="CE28" s="1259"/>
      <c r="CF28" s="1360"/>
      <c r="CG28" s="1381"/>
      <c r="CH28" s="1382"/>
      <c r="CI28" s="1378">
        <f t="shared" si="0"/>
        <v>0</v>
      </c>
      <c r="CJ28" s="1382"/>
      <c r="CK28" s="1422"/>
      <c r="CL28" s="1401">
        <f t="shared" si="1"/>
        <v>0</v>
      </c>
      <c r="CM28" s="1423"/>
      <c r="CN28" s="1403">
        <f t="shared" si="2"/>
        <v>0</v>
      </c>
      <c r="CO28" s="1419"/>
      <c r="CP28" s="1420"/>
      <c r="CQ28" s="1421"/>
    </row>
    <row r="29" spans="1:143" s="283" customFormat="1" ht="21" thickBot="1">
      <c r="A29" s="294" t="s">
        <v>110</v>
      </c>
      <c r="B29" s="2595"/>
      <c r="C29" s="2598"/>
      <c r="D29" s="2605"/>
      <c r="E29" s="2603"/>
      <c r="F29" s="1253"/>
      <c r="G29" s="1257"/>
      <c r="H29" s="1257"/>
      <c r="I29" s="1257"/>
      <c r="J29" s="1257"/>
      <c r="K29" s="1257"/>
      <c r="L29" s="1303"/>
      <c r="M29" s="1304"/>
      <c r="N29" s="1297"/>
      <c r="O29" s="1305"/>
      <c r="P29" s="1305"/>
      <c r="Q29" s="1305"/>
      <c r="R29" s="1305"/>
      <c r="S29" s="1299"/>
      <c r="T29" s="1299"/>
      <c r="U29" s="1299"/>
      <c r="V29" s="1336"/>
      <c r="W29" s="1332"/>
      <c r="X29" s="1305"/>
      <c r="Y29" s="1305"/>
      <c r="Z29" s="1298"/>
      <c r="AA29" s="1305"/>
      <c r="AB29" s="1299"/>
      <c r="AC29" s="1299"/>
      <c r="AD29" s="1254"/>
      <c r="AE29" s="1336"/>
      <c r="AF29" s="1358"/>
      <c r="AG29" s="1299"/>
      <c r="AH29" s="1305"/>
      <c r="AI29" s="1305"/>
      <c r="AJ29" s="1299"/>
      <c r="AK29" s="1299"/>
      <c r="AL29" s="1299"/>
      <c r="AM29" s="1336"/>
      <c r="AN29" s="1336"/>
      <c r="AO29" s="1332"/>
      <c r="AP29" s="1305"/>
      <c r="AQ29" s="1305"/>
      <c r="AR29" s="1305"/>
      <c r="AS29" s="1305"/>
      <c r="AT29" s="1299"/>
      <c r="AU29" s="1299"/>
      <c r="AV29" s="1299"/>
      <c r="AW29" s="1336"/>
      <c r="AX29" s="1332"/>
      <c r="AY29" s="1305"/>
      <c r="AZ29" s="1305"/>
      <c r="BA29" s="1298"/>
      <c r="BB29" s="1298"/>
      <c r="BC29" s="1357"/>
      <c r="BD29" s="1357"/>
      <c r="BE29" s="1299"/>
      <c r="BF29" s="1336"/>
      <c r="BG29" s="1332"/>
      <c r="BH29" s="1305"/>
      <c r="BI29" s="1305"/>
      <c r="BJ29" s="1305"/>
      <c r="BK29" s="1305"/>
      <c r="BL29" s="1299"/>
      <c r="BM29" s="1299"/>
      <c r="BN29" s="1299"/>
      <c r="BO29" s="1331"/>
      <c r="BP29" s="1332"/>
      <c r="BQ29" s="1305"/>
      <c r="BR29" s="1305"/>
      <c r="BS29" s="1305"/>
      <c r="BT29" s="1305"/>
      <c r="BU29" s="1299"/>
      <c r="BV29" s="1299"/>
      <c r="BW29" s="1299"/>
      <c r="BX29" s="1336"/>
      <c r="BY29" s="1332"/>
      <c r="BZ29" s="1257"/>
      <c r="CA29" s="1257"/>
      <c r="CB29" s="1305"/>
      <c r="CC29" s="1257"/>
      <c r="CD29" s="1257"/>
      <c r="CE29" s="1257"/>
      <c r="CF29" s="1254"/>
      <c r="CG29" s="1380"/>
      <c r="CH29" s="1383"/>
      <c r="CI29" s="1378">
        <f t="shared" si="0"/>
        <v>0</v>
      </c>
      <c r="CJ29" s="1383"/>
      <c r="CK29" s="1414"/>
      <c r="CL29" s="1401">
        <f t="shared" si="1"/>
        <v>0</v>
      </c>
      <c r="CM29" s="1377"/>
      <c r="CN29" s="1403">
        <f t="shared" si="2"/>
        <v>0</v>
      </c>
      <c r="CO29" s="1419"/>
      <c r="CP29" s="1420"/>
      <c r="CQ29" s="1421"/>
    </row>
    <row r="30" spans="1:143" s="1226" customFormat="1" ht="21" thickBot="1">
      <c r="A30" s="294" t="s">
        <v>110</v>
      </c>
      <c r="B30" s="2596"/>
      <c r="C30" s="2598"/>
      <c r="D30" s="2606"/>
      <c r="E30" s="2603"/>
      <c r="F30" s="1253"/>
      <c r="G30" s="1257"/>
      <c r="H30" s="1257"/>
      <c r="I30" s="1257"/>
      <c r="J30" s="1257"/>
      <c r="K30" s="1257"/>
      <c r="L30" s="1303"/>
      <c r="M30" s="1304"/>
      <c r="N30" s="1297"/>
      <c r="O30" s="1305"/>
      <c r="P30" s="1305"/>
      <c r="Q30" s="1305"/>
      <c r="R30" s="1305"/>
      <c r="S30" s="1299"/>
      <c r="T30" s="1299"/>
      <c r="U30" s="1299"/>
      <c r="V30" s="1336"/>
      <c r="W30" s="1332"/>
      <c r="X30" s="1298"/>
      <c r="Y30" s="1305"/>
      <c r="Z30" s="1298"/>
      <c r="AA30" s="1305"/>
      <c r="AB30" s="1299"/>
      <c r="AC30" s="1299"/>
      <c r="AD30" s="1254"/>
      <c r="AE30" s="1336"/>
      <c r="AF30" s="1358"/>
      <c r="AG30" s="1299"/>
      <c r="AH30" s="1305"/>
      <c r="AI30" s="1305"/>
      <c r="AJ30" s="1299"/>
      <c r="AK30" s="1299"/>
      <c r="AL30" s="1299"/>
      <c r="AM30" s="1336"/>
      <c r="AN30" s="1336"/>
      <c r="AO30" s="1332"/>
      <c r="AP30" s="1305"/>
      <c r="AQ30" s="1305"/>
      <c r="AR30" s="1305"/>
      <c r="AS30" s="1305"/>
      <c r="AT30" s="1299"/>
      <c r="AU30" s="1299"/>
      <c r="AV30" s="1299"/>
      <c r="AW30" s="1336"/>
      <c r="AX30" s="1332"/>
      <c r="AY30" s="1305"/>
      <c r="AZ30" s="1305"/>
      <c r="BA30" s="1298"/>
      <c r="BB30" s="1298"/>
      <c r="BC30" s="1299"/>
      <c r="BD30" s="1299"/>
      <c r="BE30" s="1299"/>
      <c r="BF30" s="1336"/>
      <c r="BG30" s="1332"/>
      <c r="BH30" s="1298"/>
      <c r="BI30" s="1305"/>
      <c r="BJ30" s="1305"/>
      <c r="BK30" s="1298"/>
      <c r="BL30" s="1299"/>
      <c r="BM30" s="1299"/>
      <c r="BN30" s="1299"/>
      <c r="BO30" s="1331"/>
      <c r="BP30" s="1332"/>
      <c r="BQ30" s="1305"/>
      <c r="BR30" s="1305"/>
      <c r="BS30" s="1305"/>
      <c r="BT30" s="1305"/>
      <c r="BU30" s="1299"/>
      <c r="BV30" s="1299"/>
      <c r="BW30" s="1299"/>
      <c r="BX30" s="1336"/>
      <c r="BY30" s="1332"/>
      <c r="BZ30" s="1257"/>
      <c r="CA30" s="1257"/>
      <c r="CB30" s="1305"/>
      <c r="CC30" s="1257"/>
      <c r="CD30" s="1257"/>
      <c r="CE30" s="1257"/>
      <c r="CF30" s="1254"/>
      <c r="CG30" s="1380"/>
      <c r="CH30" s="1383"/>
      <c r="CI30" s="1378">
        <f t="shared" si="0"/>
        <v>0</v>
      </c>
      <c r="CJ30" s="1383"/>
      <c r="CK30" s="1414"/>
      <c r="CL30" s="1401">
        <f t="shared" si="1"/>
        <v>0</v>
      </c>
      <c r="CM30" s="1377"/>
      <c r="CN30" s="1403">
        <f t="shared" si="2"/>
        <v>0</v>
      </c>
      <c r="CO30" s="1424">
        <f>'Jordan Chair'!AH38</f>
        <v>627</v>
      </c>
      <c r="CP30" s="1425">
        <f>'Tea Table'!X29</f>
        <v>0</v>
      </c>
      <c r="CQ30" s="1426">
        <f>CL36+CO30+CP30</f>
        <v>627</v>
      </c>
      <c r="CR30" s="1441"/>
      <c r="CS30" s="1441"/>
      <c r="CT30" s="1441"/>
      <c r="CU30" s="1441"/>
      <c r="CV30" s="1441"/>
      <c r="CW30" s="1441"/>
      <c r="CX30" s="1441"/>
      <c r="CY30" s="1441"/>
      <c r="CZ30" s="1441"/>
      <c r="DA30" s="1441"/>
      <c r="DB30" s="1441"/>
      <c r="DC30" s="1441"/>
      <c r="DD30" s="1441"/>
      <c r="DE30" s="1441"/>
      <c r="DF30" s="1441"/>
      <c r="DG30" s="1441"/>
      <c r="DH30" s="1441"/>
      <c r="DI30" s="1441"/>
      <c r="DJ30" s="1441"/>
      <c r="DK30" s="1441"/>
      <c r="DL30" s="1441"/>
      <c r="DM30" s="1441"/>
      <c r="DN30" s="1441"/>
      <c r="DO30" s="1441"/>
      <c r="DP30" s="1441"/>
      <c r="DQ30" s="1441"/>
    </row>
    <row r="31" spans="1:143" s="1227" customFormat="1" ht="21" thickBot="1">
      <c r="A31" s="2590" t="s">
        <v>110</v>
      </c>
      <c r="B31" s="2597"/>
      <c r="C31" s="2566"/>
      <c r="D31" s="2607"/>
      <c r="E31" s="2603"/>
      <c r="F31" s="1255"/>
      <c r="G31" s="1260"/>
      <c r="H31" s="1260"/>
      <c r="I31" s="1260"/>
      <c r="J31" s="1260"/>
      <c r="K31" s="1260"/>
      <c r="L31" s="1310"/>
      <c r="M31" s="1311"/>
      <c r="N31" s="1293"/>
      <c r="O31" s="1301"/>
      <c r="P31" s="1301"/>
      <c r="Q31" s="1301"/>
      <c r="R31" s="1301"/>
      <c r="S31" s="1302"/>
      <c r="T31" s="1302"/>
      <c r="U31" s="1302"/>
      <c r="V31" s="1341"/>
      <c r="W31" s="1329"/>
      <c r="X31" s="1335"/>
      <c r="Y31" s="1301"/>
      <c r="Z31" s="1301"/>
      <c r="AA31" s="1301"/>
      <c r="AB31" s="1302"/>
      <c r="AC31" s="1302"/>
      <c r="AD31" s="1256"/>
      <c r="AE31" s="1341"/>
      <c r="AF31" s="1356"/>
      <c r="AG31" s="1299"/>
      <c r="AH31" s="1301"/>
      <c r="AI31" s="1301"/>
      <c r="AJ31" s="1302"/>
      <c r="AK31" s="1302"/>
      <c r="AL31" s="1302"/>
      <c r="AM31" s="1341"/>
      <c r="AN31" s="1341"/>
      <c r="AO31" s="1329"/>
      <c r="AP31" s="1301"/>
      <c r="AQ31" s="1301"/>
      <c r="AR31" s="1301"/>
      <c r="AS31" s="1301"/>
      <c r="AT31" s="1302"/>
      <c r="AU31" s="1302"/>
      <c r="AV31" s="1302"/>
      <c r="AW31" s="1341"/>
      <c r="AX31" s="1329"/>
      <c r="AY31" s="1301"/>
      <c r="AZ31" s="1301"/>
      <c r="BA31" s="1301"/>
      <c r="BB31" s="1335"/>
      <c r="BC31" s="1302"/>
      <c r="BD31" s="1302"/>
      <c r="BE31" s="1302"/>
      <c r="BF31" s="1341"/>
      <c r="BG31" s="1329"/>
      <c r="BH31" s="1335"/>
      <c r="BI31" s="1335"/>
      <c r="BJ31" s="1335"/>
      <c r="BK31" s="1301"/>
      <c r="BL31" s="1302"/>
      <c r="BM31" s="1302"/>
      <c r="BN31" s="1302"/>
      <c r="BO31" s="1334"/>
      <c r="BP31" s="1329"/>
      <c r="BQ31" s="1301"/>
      <c r="BR31" s="1301"/>
      <c r="BS31" s="1301"/>
      <c r="BT31" s="1301"/>
      <c r="BU31" s="1302"/>
      <c r="BV31" s="1302"/>
      <c r="BW31" s="1302"/>
      <c r="BX31" s="1341"/>
      <c r="BY31" s="1329"/>
      <c r="BZ31" s="1260"/>
      <c r="CA31" s="1260"/>
      <c r="CB31" s="1301"/>
      <c r="CC31" s="1260"/>
      <c r="CD31" s="1260"/>
      <c r="CE31" s="1260"/>
      <c r="CF31" s="1256"/>
      <c r="CG31" s="1379"/>
      <c r="CH31" s="1384"/>
      <c r="CI31" s="1385">
        <f t="shared" si="0"/>
        <v>0</v>
      </c>
      <c r="CJ31" s="1384"/>
      <c r="CK31" s="1418"/>
      <c r="CL31" s="1401">
        <f t="shared" si="1"/>
        <v>0</v>
      </c>
      <c r="CM31" s="1376"/>
      <c r="CN31" s="1403">
        <f t="shared" si="2"/>
        <v>0</v>
      </c>
      <c r="CO31" s="403"/>
      <c r="CP31" s="403"/>
      <c r="CQ31" s="1427"/>
    </row>
    <row r="32" spans="1:143" s="1227" customFormat="1" ht="21" thickBot="1">
      <c r="A32" s="2591" t="s">
        <v>110</v>
      </c>
      <c r="B32" s="2596"/>
      <c r="C32" s="2598"/>
      <c r="D32" s="2606"/>
      <c r="E32" s="2603"/>
      <c r="F32" s="1257"/>
      <c r="G32" s="1254"/>
      <c r="H32" s="1254"/>
      <c r="I32" s="1254"/>
      <c r="J32" s="1254"/>
      <c r="K32" s="1254"/>
      <c r="L32" s="1303"/>
      <c r="M32" s="1296"/>
      <c r="N32" s="1297"/>
      <c r="O32" s="1305"/>
      <c r="P32" s="1299"/>
      <c r="Q32" s="1299"/>
      <c r="R32" s="1299"/>
      <c r="S32" s="1299"/>
      <c r="T32" s="1299"/>
      <c r="U32" s="1299"/>
      <c r="V32" s="1331"/>
      <c r="W32" s="1332"/>
      <c r="X32" s="1298"/>
      <c r="Y32" s="1299"/>
      <c r="Z32" s="1357"/>
      <c r="AA32" s="1299"/>
      <c r="AB32" s="1299"/>
      <c r="AC32" s="1299"/>
      <c r="AD32" s="1254"/>
      <c r="AE32" s="1299"/>
      <c r="AF32" s="1331"/>
      <c r="AG32" s="1299"/>
      <c r="AH32" s="1299"/>
      <c r="AI32" s="1299"/>
      <c r="AJ32" s="1299"/>
      <c r="AK32" s="1299"/>
      <c r="AL32" s="1299"/>
      <c r="AM32" s="1299"/>
      <c r="AN32" s="1299"/>
      <c r="AO32" s="1299"/>
      <c r="AP32" s="1299"/>
      <c r="AQ32" s="1299"/>
      <c r="AR32" s="1299"/>
      <c r="AS32" s="1299"/>
      <c r="AT32" s="1299"/>
      <c r="AU32" s="1299"/>
      <c r="AV32" s="1299"/>
      <c r="AW32" s="1299"/>
      <c r="AX32" s="1299"/>
      <c r="AY32" s="1299"/>
      <c r="AZ32" s="1299"/>
      <c r="BA32" s="1299"/>
      <c r="BB32" s="1357"/>
      <c r="BC32" s="1299"/>
      <c r="BD32" s="1299"/>
      <c r="BE32" s="1299"/>
      <c r="BF32" s="1331"/>
      <c r="BG32" s="1332"/>
      <c r="BH32" s="1298"/>
      <c r="BI32" s="1357"/>
      <c r="BJ32" s="1357"/>
      <c r="BK32" s="1357"/>
      <c r="BL32" s="1299"/>
      <c r="BM32" s="1299"/>
      <c r="BN32" s="1299"/>
      <c r="BO32" s="1299"/>
      <c r="BP32" s="1299"/>
      <c r="BQ32" s="1299"/>
      <c r="BR32" s="1299"/>
      <c r="BS32" s="1299"/>
      <c r="BT32" s="1299"/>
      <c r="BU32" s="1299"/>
      <c r="BV32" s="1299"/>
      <c r="BW32" s="1299"/>
      <c r="BX32" s="1299"/>
      <c r="BY32" s="1299"/>
      <c r="BZ32" s="1254"/>
      <c r="CA32" s="1254"/>
      <c r="CB32" s="1299"/>
      <c r="CC32" s="1254"/>
      <c r="CD32" s="1254"/>
      <c r="CE32" s="1254"/>
      <c r="CF32" s="1254"/>
      <c r="CG32" s="1254"/>
      <c r="CH32" s="1254"/>
      <c r="CI32" s="1386">
        <f t="shared" si="0"/>
        <v>0</v>
      </c>
      <c r="CJ32" s="1254"/>
      <c r="CK32" s="1428"/>
      <c r="CL32" s="1401">
        <f t="shared" si="1"/>
        <v>0</v>
      </c>
      <c r="CM32" s="1254"/>
      <c r="CN32" s="1403">
        <f t="shared" si="2"/>
        <v>0</v>
      </c>
      <c r="CO32" s="403"/>
      <c r="CP32" s="403"/>
      <c r="CQ32" s="1427"/>
    </row>
    <row r="33" spans="1:95" s="1227" customFormat="1" ht="20.25">
      <c r="A33" s="2591" t="s">
        <v>110</v>
      </c>
      <c r="B33" s="2598"/>
      <c r="C33" s="2598"/>
      <c r="D33" s="2606"/>
      <c r="E33" s="1262"/>
      <c r="F33" s="1255"/>
      <c r="G33" s="1260"/>
      <c r="H33" s="1260"/>
      <c r="I33" s="1260"/>
      <c r="J33" s="1260"/>
      <c r="K33" s="1260"/>
      <c r="L33" s="1312"/>
      <c r="M33" s="1311"/>
      <c r="N33" s="1293"/>
      <c r="O33" s="1301"/>
      <c r="P33" s="1301"/>
      <c r="Q33" s="1301"/>
      <c r="R33" s="1301"/>
      <c r="S33" s="1301"/>
      <c r="T33" s="1301"/>
      <c r="U33" s="1301"/>
      <c r="V33" s="1341"/>
      <c r="W33" s="1329"/>
      <c r="X33" s="1301"/>
      <c r="Y33" s="1301"/>
      <c r="Z33" s="1301"/>
      <c r="AA33" s="1301"/>
      <c r="AB33" s="1301"/>
      <c r="AC33" s="1301"/>
      <c r="AD33" s="1260"/>
      <c r="AE33" s="1341"/>
      <c r="AF33" s="1356"/>
      <c r="AG33" s="1327"/>
      <c r="AH33" s="1301"/>
      <c r="AI33" s="1301"/>
      <c r="AJ33" s="1301"/>
      <c r="AK33" s="1301"/>
      <c r="AL33" s="1301"/>
      <c r="AM33" s="1341"/>
      <c r="AN33" s="1341"/>
      <c r="AO33" s="1356"/>
      <c r="AP33" s="1301"/>
      <c r="AQ33" s="1301"/>
      <c r="AR33" s="1301"/>
      <c r="AS33" s="1301"/>
      <c r="AT33" s="1301"/>
      <c r="AU33" s="1301"/>
      <c r="AV33" s="1301"/>
      <c r="AW33" s="1341"/>
      <c r="AX33" s="1356"/>
      <c r="AY33" s="1301"/>
      <c r="AZ33" s="1301"/>
      <c r="BA33" s="1301"/>
      <c r="BB33" s="1335"/>
      <c r="BC33" s="1301"/>
      <c r="BD33" s="1301"/>
      <c r="BE33" s="1301"/>
      <c r="BF33" s="1341"/>
      <c r="BG33" s="1329"/>
      <c r="BH33" s="1335"/>
      <c r="BI33" s="1301"/>
      <c r="BJ33" s="1301"/>
      <c r="BK33" s="1335"/>
      <c r="BL33" s="1301"/>
      <c r="BM33" s="1301"/>
      <c r="BN33" s="1301"/>
      <c r="BO33" s="1341"/>
      <c r="BP33" s="1356"/>
      <c r="BQ33" s="1301"/>
      <c r="BR33" s="1301"/>
      <c r="BS33" s="1301"/>
      <c r="BT33" s="1301"/>
      <c r="BU33" s="1301"/>
      <c r="BV33" s="1301"/>
      <c r="BW33" s="1301"/>
      <c r="BX33" s="1341"/>
      <c r="BY33" s="1356"/>
      <c r="BZ33" s="1260"/>
      <c r="CA33" s="1260"/>
      <c r="CB33" s="1301"/>
      <c r="CC33" s="1260"/>
      <c r="CD33" s="1260"/>
      <c r="CE33" s="1260"/>
      <c r="CF33" s="1260"/>
      <c r="CG33" s="1379"/>
      <c r="CH33" s="1384"/>
      <c r="CI33" s="1387">
        <f t="shared" si="0"/>
        <v>0</v>
      </c>
      <c r="CJ33" s="1384"/>
      <c r="CK33" s="1418"/>
      <c r="CL33" s="1429">
        <f t="shared" si="1"/>
        <v>0</v>
      </c>
      <c r="CM33" s="1376"/>
      <c r="CN33" s="1288">
        <f t="shared" si="2"/>
        <v>0</v>
      </c>
      <c r="CO33" s="403"/>
      <c r="CP33" s="403"/>
      <c r="CQ33" s="1427"/>
    </row>
    <row r="34" spans="1:95" s="1227" customFormat="1" ht="20.25">
      <c r="A34" s="2591" t="s">
        <v>110</v>
      </c>
      <c r="B34" s="2598"/>
      <c r="C34" s="2598"/>
      <c r="D34" s="2606"/>
      <c r="E34" s="1263"/>
      <c r="F34" s="1254"/>
      <c r="G34" s="1254"/>
      <c r="H34" s="1254"/>
      <c r="I34" s="1254"/>
      <c r="J34" s="1254"/>
      <c r="K34" s="1254"/>
      <c r="L34" s="1303"/>
      <c r="M34" s="1303"/>
      <c r="N34" s="1303"/>
      <c r="O34" s="1299"/>
      <c r="P34" s="1299"/>
      <c r="Q34" s="1299"/>
      <c r="R34" s="1299"/>
      <c r="S34" s="1299"/>
      <c r="T34" s="1299"/>
      <c r="U34" s="1299"/>
      <c r="V34" s="1299"/>
      <c r="W34" s="1299"/>
      <c r="X34" s="1299"/>
      <c r="Y34" s="1299"/>
      <c r="Z34" s="1299"/>
      <c r="AA34" s="1299"/>
      <c r="AB34" s="1299"/>
      <c r="AC34" s="1299"/>
      <c r="AD34" s="1254"/>
      <c r="AE34" s="1299"/>
      <c r="AF34" s="1299"/>
      <c r="AG34" s="1299"/>
      <c r="AH34" s="1299"/>
      <c r="AI34" s="1299"/>
      <c r="AJ34" s="1299"/>
      <c r="AK34" s="1299"/>
      <c r="AL34" s="1299"/>
      <c r="AM34" s="1299"/>
      <c r="AN34" s="1299"/>
      <c r="AO34" s="1299"/>
      <c r="AP34" s="1299"/>
      <c r="AQ34" s="1299"/>
      <c r="AR34" s="1299"/>
      <c r="AS34" s="1299"/>
      <c r="AT34" s="1299"/>
      <c r="AU34" s="1299"/>
      <c r="AV34" s="1299"/>
      <c r="AW34" s="1299"/>
      <c r="AX34" s="1299"/>
      <c r="AY34" s="1299"/>
      <c r="AZ34" s="1299"/>
      <c r="BA34" s="1299"/>
      <c r="BB34" s="1357"/>
      <c r="BC34" s="1299"/>
      <c r="BD34" s="1299"/>
      <c r="BE34" s="1299"/>
      <c r="BF34" s="1299"/>
      <c r="BG34" s="1299"/>
      <c r="BH34" s="1357"/>
      <c r="BI34" s="1299"/>
      <c r="BJ34" s="1299"/>
      <c r="BK34" s="1357"/>
      <c r="BL34" s="1299"/>
      <c r="BM34" s="1299"/>
      <c r="BN34" s="1299"/>
      <c r="BO34" s="1299"/>
      <c r="BP34" s="1299"/>
      <c r="BQ34" s="1299"/>
      <c r="BR34" s="1299"/>
      <c r="BS34" s="1299"/>
      <c r="BT34" s="1299"/>
      <c r="BU34" s="1299"/>
      <c r="BV34" s="1299"/>
      <c r="BW34" s="1299"/>
      <c r="BX34" s="1299"/>
      <c r="BY34" s="1299"/>
      <c r="BZ34" s="1254"/>
      <c r="CA34" s="1254"/>
      <c r="CB34" s="1299"/>
      <c r="CC34" s="1254"/>
      <c r="CD34" s="1254"/>
      <c r="CE34" s="1254"/>
      <c r="CF34" s="1254"/>
      <c r="CG34" s="1254"/>
      <c r="CH34" s="1254"/>
      <c r="CI34" s="1386">
        <f t="shared" si="0"/>
        <v>0</v>
      </c>
      <c r="CJ34" s="1254"/>
      <c r="CK34" s="1428"/>
      <c r="CL34" s="1386">
        <f t="shared" si="1"/>
        <v>0</v>
      </c>
      <c r="CM34" s="1254"/>
      <c r="CN34" s="1430">
        <f t="shared" si="2"/>
        <v>0</v>
      </c>
      <c r="CO34" s="403"/>
      <c r="CP34" s="403"/>
      <c r="CQ34" s="1427"/>
    </row>
    <row r="35" spans="1:95" s="1228" customFormat="1" ht="21" thickBot="1">
      <c r="A35" s="2592"/>
      <c r="B35" s="2564"/>
      <c r="C35" s="2564"/>
      <c r="D35" s="301"/>
      <c r="E35" s="2603"/>
      <c r="F35" s="1255"/>
      <c r="G35" s="1260"/>
      <c r="H35" s="1260"/>
      <c r="I35" s="1260"/>
      <c r="J35" s="1260"/>
      <c r="K35" s="1260"/>
      <c r="L35" s="1312"/>
      <c r="M35" s="1311"/>
      <c r="N35" s="1313"/>
      <c r="O35" s="1301"/>
      <c r="P35" s="1301"/>
      <c r="Q35" s="1301"/>
      <c r="R35" s="1301"/>
      <c r="S35" s="1301"/>
      <c r="T35" s="1301"/>
      <c r="U35" s="1301"/>
      <c r="V35" s="1341"/>
      <c r="W35" s="1342"/>
      <c r="X35" s="1301"/>
      <c r="Y35" s="1301"/>
      <c r="Z35" s="1301"/>
      <c r="AA35" s="1301"/>
      <c r="AB35" s="1301"/>
      <c r="AC35" s="1301"/>
      <c r="AD35" s="1260"/>
      <c r="AE35" s="1341"/>
      <c r="AF35" s="1356"/>
      <c r="AG35" s="1302"/>
      <c r="AH35" s="1301"/>
      <c r="AI35" s="1301"/>
      <c r="AJ35" s="1301"/>
      <c r="AK35" s="1301"/>
      <c r="AL35" s="1301"/>
      <c r="AM35" s="1341"/>
      <c r="AN35" s="1341"/>
      <c r="AO35" s="1356"/>
      <c r="AP35" s="1301"/>
      <c r="AQ35" s="1301"/>
      <c r="AR35" s="1301"/>
      <c r="AS35" s="1301"/>
      <c r="AT35" s="1301"/>
      <c r="AU35" s="1301"/>
      <c r="AV35" s="1301"/>
      <c r="AW35" s="1341"/>
      <c r="AX35" s="1356"/>
      <c r="AY35" s="1301"/>
      <c r="AZ35" s="1301"/>
      <c r="BA35" s="1301"/>
      <c r="BB35" s="1335"/>
      <c r="BC35" s="1301"/>
      <c r="BD35" s="1301"/>
      <c r="BE35" s="1301"/>
      <c r="BF35" s="1341"/>
      <c r="BG35" s="1342"/>
      <c r="BH35" s="1301"/>
      <c r="BI35" s="1301"/>
      <c r="BJ35" s="1301"/>
      <c r="BK35" s="1335"/>
      <c r="BL35" s="1301"/>
      <c r="BM35" s="1301"/>
      <c r="BN35" s="1301"/>
      <c r="BO35" s="1341"/>
      <c r="BP35" s="1356"/>
      <c r="BQ35" s="1301"/>
      <c r="BR35" s="1301"/>
      <c r="BS35" s="1301"/>
      <c r="BT35" s="1301"/>
      <c r="BU35" s="1301"/>
      <c r="BV35" s="1301"/>
      <c r="BW35" s="1301"/>
      <c r="BX35" s="1341"/>
      <c r="BY35" s="1356"/>
      <c r="BZ35" s="1260"/>
      <c r="CA35" s="1260"/>
      <c r="CB35" s="1301"/>
      <c r="CC35" s="1260"/>
      <c r="CD35" s="1260"/>
      <c r="CE35" s="1260"/>
      <c r="CF35" s="1260"/>
      <c r="CG35" s="1379"/>
      <c r="CH35" s="1384"/>
      <c r="CI35" s="1388">
        <f>BB35+BC35+BD35</f>
        <v>0</v>
      </c>
      <c r="CJ35" s="1384"/>
      <c r="CK35" s="1431"/>
      <c r="CL35" s="1405">
        <f t="shared" si="1"/>
        <v>0</v>
      </c>
      <c r="CM35" s="1384"/>
      <c r="CN35" s="1406">
        <f t="shared" si="2"/>
        <v>0</v>
      </c>
      <c r="CO35" s="1432"/>
      <c r="CP35" s="1432"/>
      <c r="CQ35" s="1433"/>
    </row>
    <row r="36" spans="1:95" s="1222" customFormat="1" ht="21" thickBot="1">
      <c r="A36" s="326" t="s">
        <v>113</v>
      </c>
      <c r="B36" s="1264"/>
      <c r="C36" s="2602"/>
      <c r="D36" s="2601"/>
      <c r="E36" s="1266"/>
      <c r="F36" s="1267">
        <f>SUM(F5:F35)</f>
        <v>0</v>
      </c>
      <c r="G36" s="1267">
        <f t="shared" ref="G36:M36" si="3">SUM(G5:G35)</f>
        <v>0</v>
      </c>
      <c r="H36" s="1267">
        <f t="shared" si="3"/>
        <v>0</v>
      </c>
      <c r="I36" s="1267">
        <f t="shared" si="3"/>
        <v>0</v>
      </c>
      <c r="J36" s="1267">
        <f t="shared" si="3"/>
        <v>0</v>
      </c>
      <c r="K36" s="1267">
        <f t="shared" si="3"/>
        <v>0</v>
      </c>
      <c r="L36" s="1267">
        <f t="shared" si="3"/>
        <v>0</v>
      </c>
      <c r="M36" s="1267">
        <f t="shared" si="3"/>
        <v>0</v>
      </c>
      <c r="N36" s="1267">
        <f t="shared" ref="N36:BG36" si="4">SUM(N5:N35)</f>
        <v>0</v>
      </c>
      <c r="O36" s="1267">
        <f>SUM(O5:O35)</f>
        <v>0</v>
      </c>
      <c r="P36" s="1267">
        <f t="shared" ref="P36:V36" si="5">SUM(P5:P35)</f>
        <v>0</v>
      </c>
      <c r="Q36" s="1267">
        <f t="shared" si="5"/>
        <v>0</v>
      </c>
      <c r="R36" s="1267">
        <f t="shared" si="5"/>
        <v>0</v>
      </c>
      <c r="S36" s="1267">
        <f t="shared" si="5"/>
        <v>0</v>
      </c>
      <c r="T36" s="1267">
        <f t="shared" si="5"/>
        <v>0</v>
      </c>
      <c r="U36" s="1267">
        <f t="shared" si="5"/>
        <v>0</v>
      </c>
      <c r="V36" s="1267">
        <f t="shared" si="5"/>
        <v>0</v>
      </c>
      <c r="W36" s="1267">
        <f t="shared" si="4"/>
        <v>0</v>
      </c>
      <c r="X36" s="1267">
        <f>SUM(X5:X35)</f>
        <v>0</v>
      </c>
      <c r="Y36" s="1267">
        <f t="shared" ref="Y36:AE36" si="6">SUM(Y5:Y35)</f>
        <v>0</v>
      </c>
      <c r="Z36" s="1267">
        <f t="shared" si="6"/>
        <v>0</v>
      </c>
      <c r="AA36" s="1267">
        <f t="shared" si="6"/>
        <v>0</v>
      </c>
      <c r="AB36" s="1267">
        <f t="shared" si="6"/>
        <v>0</v>
      </c>
      <c r="AC36" s="1267">
        <f t="shared" si="6"/>
        <v>0</v>
      </c>
      <c r="AD36" s="1267">
        <f t="shared" si="6"/>
        <v>0</v>
      </c>
      <c r="AE36" s="1267">
        <f t="shared" si="6"/>
        <v>0</v>
      </c>
      <c r="AF36" s="1267">
        <f t="shared" si="4"/>
        <v>0</v>
      </c>
      <c r="AG36" s="1267">
        <f>SUM(AG5:AG35)</f>
        <v>0</v>
      </c>
      <c r="AH36" s="1267">
        <f t="shared" ref="AH36:AN36" si="7">SUM(AH5:AH35)</f>
        <v>0</v>
      </c>
      <c r="AI36" s="1267">
        <f t="shared" si="7"/>
        <v>0</v>
      </c>
      <c r="AJ36" s="1267">
        <f t="shared" si="7"/>
        <v>0</v>
      </c>
      <c r="AK36" s="1267">
        <f t="shared" si="7"/>
        <v>0</v>
      </c>
      <c r="AL36" s="1267">
        <f t="shared" si="7"/>
        <v>0</v>
      </c>
      <c r="AM36" s="1267">
        <f t="shared" si="7"/>
        <v>0</v>
      </c>
      <c r="AN36" s="1267">
        <f t="shared" si="7"/>
        <v>0</v>
      </c>
      <c r="AO36" s="1267">
        <f t="shared" si="4"/>
        <v>0</v>
      </c>
      <c r="AP36" s="1267">
        <f>SUM(AP5:AP35)</f>
        <v>0</v>
      </c>
      <c r="AQ36" s="1267">
        <f t="shared" ref="AQ36:AW36" si="8">SUM(AQ5:AQ35)</f>
        <v>0</v>
      </c>
      <c r="AR36" s="1267">
        <f t="shared" si="8"/>
        <v>0</v>
      </c>
      <c r="AS36" s="1267">
        <f t="shared" si="8"/>
        <v>0</v>
      </c>
      <c r="AT36" s="1267">
        <f t="shared" si="8"/>
        <v>0</v>
      </c>
      <c r="AU36" s="1267">
        <f t="shared" si="8"/>
        <v>0</v>
      </c>
      <c r="AV36" s="1267">
        <f t="shared" si="8"/>
        <v>0</v>
      </c>
      <c r="AW36" s="1267">
        <f t="shared" si="8"/>
        <v>0</v>
      </c>
      <c r="AX36" s="1267">
        <f t="shared" si="4"/>
        <v>0</v>
      </c>
      <c r="AY36" s="1267">
        <f t="shared" si="4"/>
        <v>0</v>
      </c>
      <c r="AZ36" s="1267">
        <f t="shared" si="4"/>
        <v>0</v>
      </c>
      <c r="BA36" s="1267">
        <f t="shared" si="4"/>
        <v>0</v>
      </c>
      <c r="BB36" s="1267">
        <f t="shared" si="4"/>
        <v>0</v>
      </c>
      <c r="BC36" s="1267">
        <f t="shared" si="4"/>
        <v>0</v>
      </c>
      <c r="BD36" s="1267">
        <f t="shared" si="4"/>
        <v>0</v>
      </c>
      <c r="BE36" s="1267">
        <f t="shared" si="4"/>
        <v>0</v>
      </c>
      <c r="BF36" s="1267">
        <f t="shared" si="4"/>
        <v>0</v>
      </c>
      <c r="BG36" s="1267">
        <f t="shared" si="4"/>
        <v>0</v>
      </c>
      <c r="BH36" s="1267">
        <f>SUM(BH5:BH35)</f>
        <v>0</v>
      </c>
      <c r="BI36" s="1267">
        <f t="shared" ref="BI36:CN36" si="9">SUM(BI5:BI35)</f>
        <v>0</v>
      </c>
      <c r="BJ36" s="1267">
        <f t="shared" si="9"/>
        <v>0</v>
      </c>
      <c r="BK36" s="1267">
        <f t="shared" si="9"/>
        <v>0</v>
      </c>
      <c r="BL36" s="1267">
        <f t="shared" si="9"/>
        <v>0</v>
      </c>
      <c r="BM36" s="1267">
        <f t="shared" si="9"/>
        <v>0</v>
      </c>
      <c r="BN36" s="1267">
        <f t="shared" si="9"/>
        <v>0</v>
      </c>
      <c r="BO36" s="1267">
        <f t="shared" si="9"/>
        <v>0</v>
      </c>
      <c r="BP36" s="1267">
        <f t="shared" si="9"/>
        <v>0</v>
      </c>
      <c r="BQ36" s="1267">
        <f t="shared" si="9"/>
        <v>0</v>
      </c>
      <c r="BR36" s="1267">
        <f t="shared" si="9"/>
        <v>0</v>
      </c>
      <c r="BS36" s="1267">
        <f t="shared" si="9"/>
        <v>0</v>
      </c>
      <c r="BT36" s="1267">
        <f t="shared" si="9"/>
        <v>0</v>
      </c>
      <c r="BU36" s="1267">
        <f t="shared" si="9"/>
        <v>0</v>
      </c>
      <c r="BV36" s="1267">
        <f t="shared" si="9"/>
        <v>0</v>
      </c>
      <c r="BW36" s="1267">
        <f t="shared" si="9"/>
        <v>0</v>
      </c>
      <c r="BX36" s="1267">
        <f t="shared" si="9"/>
        <v>0</v>
      </c>
      <c r="BY36" s="1267">
        <f t="shared" si="9"/>
        <v>0</v>
      </c>
      <c r="BZ36" s="1267">
        <f t="shared" si="9"/>
        <v>0</v>
      </c>
      <c r="CA36" s="1267">
        <f t="shared" si="9"/>
        <v>0</v>
      </c>
      <c r="CB36" s="1267">
        <f t="shared" si="9"/>
        <v>0</v>
      </c>
      <c r="CC36" s="1267">
        <f t="shared" si="9"/>
        <v>0</v>
      </c>
      <c r="CD36" s="1267">
        <f t="shared" si="9"/>
        <v>0</v>
      </c>
      <c r="CE36" s="1267">
        <f t="shared" si="9"/>
        <v>0</v>
      </c>
      <c r="CF36" s="1267">
        <f t="shared" si="9"/>
        <v>0</v>
      </c>
      <c r="CG36" s="1267">
        <f t="shared" si="9"/>
        <v>0</v>
      </c>
      <c r="CH36" s="1267">
        <f t="shared" si="9"/>
        <v>0</v>
      </c>
      <c r="CI36" s="1267">
        <f t="shared" si="9"/>
        <v>0</v>
      </c>
      <c r="CJ36" s="1267">
        <f t="shared" si="9"/>
        <v>0</v>
      </c>
      <c r="CK36" s="1267">
        <f t="shared" si="9"/>
        <v>0</v>
      </c>
      <c r="CL36" s="1267">
        <f t="shared" si="9"/>
        <v>0</v>
      </c>
      <c r="CM36" s="1267">
        <f t="shared" si="9"/>
        <v>0</v>
      </c>
      <c r="CN36" s="1267">
        <f t="shared" si="9"/>
        <v>0</v>
      </c>
    </row>
    <row r="37" spans="1:95" s="1227" customFormat="1" ht="21" thickBot="1">
      <c r="A37" s="306"/>
      <c r="B37" s="1268"/>
      <c r="C37" s="1268"/>
      <c r="D37" s="1269"/>
      <c r="E37" s="1270"/>
      <c r="F37" s="1271"/>
      <c r="G37" s="1271"/>
      <c r="H37" s="1271"/>
      <c r="I37" s="1271"/>
      <c r="J37" s="1271"/>
      <c r="K37" s="1271"/>
      <c r="L37" s="1271"/>
      <c r="M37" s="1271"/>
      <c r="N37" s="1271"/>
      <c r="O37" s="1271"/>
      <c r="P37" s="1271"/>
      <c r="Q37" s="1271"/>
      <c r="R37" s="1271"/>
      <c r="S37" s="1271"/>
      <c r="T37" s="1271"/>
      <c r="U37" s="1271"/>
      <c r="V37" s="1271"/>
      <c r="W37" s="1343"/>
      <c r="X37" s="1271"/>
      <c r="Y37" s="1271"/>
      <c r="Z37" s="1271"/>
      <c r="AA37" s="1271"/>
      <c r="AB37" s="1271"/>
      <c r="AC37" s="1271"/>
      <c r="AD37" s="1271"/>
      <c r="AE37" s="1271"/>
      <c r="AF37" s="1343"/>
      <c r="AG37" s="1271"/>
      <c r="AH37" s="1271"/>
      <c r="AI37" s="1271"/>
      <c r="AJ37" s="1271"/>
      <c r="AK37" s="1271"/>
      <c r="AL37" s="1271"/>
      <c r="AM37" s="1271"/>
      <c r="AN37" s="1271"/>
      <c r="AO37" s="1343"/>
      <c r="AP37" s="1271"/>
      <c r="AQ37" s="1271"/>
      <c r="AR37" s="1271"/>
      <c r="AS37" s="1271"/>
      <c r="AT37" s="1271"/>
      <c r="AU37" s="1271"/>
      <c r="AV37" s="1271"/>
      <c r="AW37" s="1271"/>
      <c r="AX37" s="1343"/>
      <c r="AY37" s="1271"/>
      <c r="AZ37" s="1271"/>
      <c r="BA37" s="1271"/>
      <c r="BB37" s="1271"/>
      <c r="BC37" s="1271"/>
      <c r="BD37" s="1271"/>
      <c r="BE37" s="1271"/>
      <c r="BF37" s="1271"/>
      <c r="BG37" s="1343"/>
      <c r="BH37" s="1271"/>
      <c r="BI37" s="1271"/>
      <c r="BJ37" s="1271"/>
      <c r="BK37" s="1271"/>
      <c r="BL37" s="1271"/>
      <c r="BM37" s="1271"/>
      <c r="BN37" s="1271"/>
      <c r="BO37" s="1271"/>
      <c r="BP37" s="1343"/>
      <c r="BQ37" s="1271"/>
      <c r="BR37" s="1271"/>
      <c r="BS37" s="1271"/>
      <c r="BT37" s="1271"/>
      <c r="BU37" s="1271"/>
      <c r="BV37" s="1271"/>
      <c r="BW37" s="1271"/>
      <c r="BX37" s="1271"/>
      <c r="BY37" s="1343"/>
      <c r="BZ37" s="1271"/>
      <c r="CA37" s="1271"/>
      <c r="CB37" s="1271"/>
      <c r="CC37" s="1271"/>
      <c r="CD37" s="1271"/>
      <c r="CE37" s="1271"/>
      <c r="CF37" s="1271"/>
      <c r="CG37" s="1271"/>
      <c r="CH37" s="1389"/>
      <c r="CI37" s="1390"/>
      <c r="CJ37" s="1434"/>
      <c r="CK37" s="1390"/>
      <c r="CL37" s="1390"/>
      <c r="CM37" s="1390"/>
      <c r="CN37" s="1390"/>
      <c r="CO37" s="403"/>
      <c r="CP37" s="403"/>
      <c r="CQ37" s="403"/>
    </row>
    <row r="38" spans="1:95" s="1229" customFormat="1" ht="16.5" thickBot="1">
      <c r="A38" s="3738"/>
      <c r="B38" s="3739"/>
      <c r="C38" s="3740"/>
      <c r="D38" s="3741"/>
      <c r="E38" s="1236"/>
      <c r="F38" s="3742" t="s">
        <v>114</v>
      </c>
      <c r="G38" s="3733"/>
      <c r="H38" s="3733"/>
      <c r="I38" s="3733"/>
      <c r="J38" s="3733"/>
      <c r="K38" s="3733"/>
      <c r="L38" s="3733"/>
      <c r="M38" s="3733"/>
      <c r="N38" s="1236"/>
      <c r="O38" s="3733" t="s">
        <v>59</v>
      </c>
      <c r="P38" s="3733"/>
      <c r="Q38" s="3733"/>
      <c r="R38" s="3733"/>
      <c r="S38" s="3733"/>
      <c r="T38" s="3733"/>
      <c r="U38" s="3733"/>
      <c r="V38" s="3733"/>
      <c r="W38" s="1236"/>
      <c r="X38" s="3733" t="s">
        <v>115</v>
      </c>
      <c r="Y38" s="3733"/>
      <c r="Z38" s="3733"/>
      <c r="AA38" s="3733"/>
      <c r="AB38" s="3733"/>
      <c r="AC38" s="3733"/>
      <c r="AD38" s="3733"/>
      <c r="AE38" s="3733"/>
      <c r="AF38" s="1236"/>
      <c r="AG38" s="3733" t="str">
        <f>AG2</f>
        <v>5003 (Flower)</v>
      </c>
      <c r="AH38" s="3733"/>
      <c r="AI38" s="3733"/>
      <c r="AJ38" s="3733"/>
      <c r="AK38" s="3733"/>
      <c r="AL38" s="3733"/>
      <c r="AM38" s="3733"/>
      <c r="AN38" s="3733"/>
      <c r="AO38" s="1236"/>
      <c r="AP38" s="3733" t="str">
        <f>AP2</f>
        <v>6001 (Goli)</v>
      </c>
      <c r="AQ38" s="3733"/>
      <c r="AR38" s="3733"/>
      <c r="AS38" s="3733"/>
      <c r="AT38" s="3733"/>
      <c r="AU38" s="3733"/>
      <c r="AV38" s="3733"/>
      <c r="AW38" s="3733"/>
      <c r="AX38" s="1236"/>
      <c r="AY38" s="3733" t="str">
        <f>AY2</f>
        <v>6002 (Chattai)</v>
      </c>
      <c r="AZ38" s="3733"/>
      <c r="BA38" s="3733"/>
      <c r="BB38" s="3733"/>
      <c r="BC38" s="3733"/>
      <c r="BD38" s="3733"/>
      <c r="BE38" s="3733"/>
      <c r="BF38" s="3733"/>
      <c r="BG38" s="1236"/>
      <c r="BH38" s="3733" t="str">
        <f>BH2</f>
        <v>6003 (Patti)</v>
      </c>
      <c r="BI38" s="3733"/>
      <c r="BJ38" s="3733"/>
      <c r="BK38" s="3733"/>
      <c r="BL38" s="3733"/>
      <c r="BM38" s="3733"/>
      <c r="BN38" s="3733"/>
      <c r="BO38" s="3733"/>
      <c r="BP38" s="1236"/>
      <c r="BQ38" s="3733">
        <f>BQ2</f>
        <v>2002</v>
      </c>
      <c r="BR38" s="3733"/>
      <c r="BS38" s="3733"/>
      <c r="BT38" s="3733"/>
      <c r="BU38" s="3733"/>
      <c r="BV38" s="3733"/>
      <c r="BW38" s="3733"/>
      <c r="BX38" s="3733"/>
      <c r="BY38" s="1236"/>
      <c r="BZ38" s="3735" t="s">
        <v>116</v>
      </c>
      <c r="CA38" s="3736"/>
      <c r="CB38" s="3736"/>
      <c r="CC38" s="3736"/>
      <c r="CD38" s="3736"/>
      <c r="CE38" s="3736"/>
      <c r="CF38" s="3737"/>
      <c r="CG38" s="3737"/>
      <c r="CH38" s="1236"/>
      <c r="CI38" s="3733"/>
      <c r="CJ38" s="3733"/>
      <c r="CK38" s="3733"/>
      <c r="CL38" s="3733"/>
      <c r="CM38" s="3733"/>
      <c r="CN38" s="3734"/>
    </row>
    <row r="39" spans="1:95" s="1229" customFormat="1" ht="24" thickBot="1">
      <c r="A39" s="2608" t="s">
        <v>117</v>
      </c>
      <c r="B39" s="288" t="s">
        <v>68</v>
      </c>
      <c r="C39" s="2609" t="s">
        <v>69</v>
      </c>
      <c r="D39" s="1273" t="s">
        <v>70</v>
      </c>
      <c r="E39" s="1274"/>
      <c r="F39" s="743" t="s">
        <v>71</v>
      </c>
      <c r="G39" s="744" t="s">
        <v>533</v>
      </c>
      <c r="H39" s="782" t="s">
        <v>73</v>
      </c>
      <c r="I39" s="49" t="s">
        <v>94</v>
      </c>
      <c r="J39" s="744" t="s">
        <v>75</v>
      </c>
      <c r="K39" s="782" t="s">
        <v>76</v>
      </c>
      <c r="L39" s="914" t="s">
        <v>77</v>
      </c>
      <c r="M39" s="1279" t="s">
        <v>53</v>
      </c>
      <c r="N39" s="1314"/>
      <c r="O39" s="755" t="s">
        <v>71</v>
      </c>
      <c r="P39" s="744" t="s">
        <v>72</v>
      </c>
      <c r="Q39" s="744" t="s">
        <v>118</v>
      </c>
      <c r="R39" s="50" t="s">
        <v>74</v>
      </c>
      <c r="S39" s="1013" t="s">
        <v>75</v>
      </c>
      <c r="T39" s="51" t="s">
        <v>79</v>
      </c>
      <c r="U39" s="1344" t="s">
        <v>77</v>
      </c>
      <c r="V39" s="1344" t="s">
        <v>101</v>
      </c>
      <c r="W39" s="1073"/>
      <c r="X39" s="743" t="s">
        <v>94</v>
      </c>
      <c r="Y39" s="744" t="s">
        <v>72</v>
      </c>
      <c r="Z39" s="744" t="s">
        <v>81</v>
      </c>
      <c r="AA39" s="744" t="s">
        <v>82</v>
      </c>
      <c r="AB39" s="880" t="s">
        <v>75</v>
      </c>
      <c r="AC39" s="744" t="s">
        <v>83</v>
      </c>
      <c r="AD39" s="880" t="s">
        <v>77</v>
      </c>
      <c r="AE39" s="936" t="s">
        <v>84</v>
      </c>
      <c r="AF39" s="722"/>
      <c r="AG39" s="88" t="s">
        <v>85</v>
      </c>
      <c r="AH39" s="30" t="s">
        <v>86</v>
      </c>
      <c r="AI39" s="30" t="s">
        <v>77</v>
      </c>
      <c r="AJ39" s="89" t="s">
        <v>75</v>
      </c>
      <c r="AK39" s="30" t="s">
        <v>78</v>
      </c>
      <c r="AL39" s="89" t="s">
        <v>53</v>
      </c>
      <c r="AM39" s="112" t="s">
        <v>88</v>
      </c>
      <c r="AN39" s="936"/>
      <c r="AO39" s="722"/>
      <c r="AP39" s="743" t="s">
        <v>86</v>
      </c>
      <c r="AQ39" s="744" t="s">
        <v>89</v>
      </c>
      <c r="AR39" s="744" t="s">
        <v>90</v>
      </c>
      <c r="AS39" s="744" t="s">
        <v>213</v>
      </c>
      <c r="AT39" s="880" t="s">
        <v>250</v>
      </c>
      <c r="AU39" s="744" t="s">
        <v>85</v>
      </c>
      <c r="AV39" s="880" t="s">
        <v>381</v>
      </c>
      <c r="AW39" s="936" t="s">
        <v>481</v>
      </c>
      <c r="AX39" s="722"/>
      <c r="AY39" s="743" t="s">
        <v>82</v>
      </c>
      <c r="AZ39" s="744" t="s">
        <v>93</v>
      </c>
      <c r="BA39" s="744" t="s">
        <v>94</v>
      </c>
      <c r="BB39" s="744" t="s">
        <v>95</v>
      </c>
      <c r="BC39" s="880" t="s">
        <v>75</v>
      </c>
      <c r="BD39" s="744" t="s">
        <v>53</v>
      </c>
      <c r="BE39" s="936" t="s">
        <v>96</v>
      </c>
      <c r="BF39" s="936" t="s">
        <v>80</v>
      </c>
      <c r="BG39" s="722"/>
      <c r="BH39" s="743" t="s">
        <v>71</v>
      </c>
      <c r="BI39" s="744" t="s">
        <v>98</v>
      </c>
      <c r="BJ39" s="744" t="s">
        <v>99</v>
      </c>
      <c r="BK39" s="744" t="s">
        <v>100</v>
      </c>
      <c r="BL39" s="880" t="s">
        <v>75</v>
      </c>
      <c r="BM39" s="51" t="s">
        <v>41</v>
      </c>
      <c r="BN39" s="936" t="s">
        <v>77</v>
      </c>
      <c r="BO39" s="936" t="s">
        <v>170</v>
      </c>
      <c r="BP39" s="722"/>
      <c r="BQ39" s="743" t="s">
        <v>71</v>
      </c>
      <c r="BR39" s="744" t="s">
        <v>466</v>
      </c>
      <c r="BS39" s="744" t="s">
        <v>73</v>
      </c>
      <c r="BT39" s="744" t="s">
        <v>53</v>
      </c>
      <c r="BU39" s="880" t="s">
        <v>75</v>
      </c>
      <c r="BV39" s="744" t="s">
        <v>549</v>
      </c>
      <c r="BW39" s="936" t="s">
        <v>77</v>
      </c>
      <c r="BX39" s="936" t="s">
        <v>101</v>
      </c>
      <c r="BY39" s="2897"/>
      <c r="BZ39" s="1013" t="s">
        <v>80</v>
      </c>
      <c r="CA39" s="879" t="s">
        <v>72</v>
      </c>
      <c r="CB39" s="880" t="s">
        <v>485</v>
      </c>
      <c r="CC39" s="1318" t="s">
        <v>103</v>
      </c>
      <c r="CD39" s="880" t="s">
        <v>75</v>
      </c>
      <c r="CE39" s="880" t="s">
        <v>53</v>
      </c>
      <c r="CF39" s="744" t="s">
        <v>77</v>
      </c>
      <c r="CG39" s="936" t="s">
        <v>93</v>
      </c>
      <c r="CH39" s="288"/>
      <c r="CI39" s="1391" t="s">
        <v>104</v>
      </c>
      <c r="CJ39" s="1344" t="s">
        <v>105</v>
      </c>
      <c r="CK39" s="1013"/>
      <c r="CL39" s="288" t="s">
        <v>106</v>
      </c>
      <c r="CM39" s="1013" t="s">
        <v>107</v>
      </c>
      <c r="CN39" s="288" t="s">
        <v>108</v>
      </c>
    </row>
    <row r="40" spans="1:95" s="1229" customFormat="1" ht="21" thickBot="1">
      <c r="A40" s="723" t="s">
        <v>120</v>
      </c>
      <c r="B40" s="2610" t="s">
        <v>472</v>
      </c>
      <c r="C40" s="2613"/>
      <c r="D40" s="540">
        <v>46126</v>
      </c>
      <c r="E40" s="1277"/>
      <c r="F40" s="1245"/>
      <c r="G40" s="1246"/>
      <c r="H40" s="1246"/>
      <c r="I40" s="1246"/>
      <c r="J40" s="1315"/>
      <c r="K40" s="1246"/>
      <c r="L40" s="1291"/>
      <c r="M40" s="1291"/>
      <c r="N40" s="1316"/>
      <c r="O40" s="1289"/>
      <c r="P40" s="1244"/>
      <c r="Q40" s="1244"/>
      <c r="R40" s="1244"/>
      <c r="S40" s="1324"/>
      <c r="T40" s="1324"/>
      <c r="U40" s="1324"/>
      <c r="V40" s="1345"/>
      <c r="W40" s="1346"/>
      <c r="X40" s="1317"/>
      <c r="Y40" s="1246"/>
      <c r="Z40" s="1246"/>
      <c r="AA40" s="1246"/>
      <c r="AB40" s="1345"/>
      <c r="AC40" s="1345"/>
      <c r="AD40" s="1345"/>
      <c r="AE40" s="1345"/>
      <c r="AF40" s="1346"/>
      <c r="AG40" s="1317"/>
      <c r="AH40" s="1246"/>
      <c r="AI40" s="1246"/>
      <c r="AJ40" s="1345"/>
      <c r="AK40" s="1345"/>
      <c r="AL40" s="1345"/>
      <c r="AM40" s="1345"/>
      <c r="AN40" s="1345"/>
      <c r="AO40" s="1346"/>
      <c r="AP40" s="1317"/>
      <c r="AQ40" s="1246"/>
      <c r="AR40" s="1246"/>
      <c r="AS40" s="1246"/>
      <c r="AT40" s="1345"/>
      <c r="AU40" s="1345"/>
      <c r="AV40" s="1345"/>
      <c r="AW40" s="1345"/>
      <c r="AX40" s="1346"/>
      <c r="AY40" s="1317"/>
      <c r="AZ40" s="1246"/>
      <c r="BA40" s="1246"/>
      <c r="BB40" s="1246"/>
      <c r="BC40" s="1345"/>
      <c r="BD40" s="1345"/>
      <c r="BE40" s="1345"/>
      <c r="BF40" s="1345"/>
      <c r="BG40" s="1346"/>
      <c r="BH40" s="1317"/>
      <c r="BI40" s="1246"/>
      <c r="BJ40" s="1246"/>
      <c r="BK40" s="1246"/>
      <c r="BL40" s="1345"/>
      <c r="BM40" s="1345"/>
      <c r="BN40" s="1345"/>
      <c r="BO40" s="1345"/>
      <c r="BP40" s="1346"/>
      <c r="BQ40" s="1317"/>
      <c r="BR40" s="1246"/>
      <c r="BS40" s="1246"/>
      <c r="BT40" s="1246"/>
      <c r="BU40" s="1345"/>
      <c r="BV40" s="1345"/>
      <c r="BW40" s="1345"/>
      <c r="BX40" s="1345"/>
      <c r="BY40" s="1346"/>
      <c r="BZ40" s="1317">
        <f>26*16</f>
        <v>416</v>
      </c>
      <c r="CA40" s="1246"/>
      <c r="CB40" s="1246"/>
      <c r="CC40" s="1246"/>
      <c r="CD40" s="1246"/>
      <c r="CE40" s="1246"/>
      <c r="CF40" s="1345"/>
      <c r="CG40" s="1392"/>
      <c r="CH40" s="1393"/>
      <c r="CI40" s="1394">
        <f t="shared" ref="CI40:CI76" si="10">SUM(F40:CG40)</f>
        <v>416</v>
      </c>
      <c r="CJ40" s="1435"/>
      <c r="CK40" s="1436"/>
      <c r="CL40" s="1437">
        <f t="shared" ref="CL40:CL76" si="11">CI40+CJ40</f>
        <v>416</v>
      </c>
      <c r="CM40" s="1438">
        <v>17</v>
      </c>
      <c r="CN40" s="1439">
        <f t="shared" ref="CN40:CN76" si="12">CL40+CM40</f>
        <v>433</v>
      </c>
    </row>
    <row r="41" spans="1:95" s="1229" customFormat="1" ht="21" thickBot="1">
      <c r="A41" s="726" t="s">
        <v>120</v>
      </c>
      <c r="B41" s="2560" t="s">
        <v>472</v>
      </c>
      <c r="C41" s="2613"/>
      <c r="D41" s="540">
        <v>46127</v>
      </c>
      <c r="E41" s="1277"/>
      <c r="F41" s="1245"/>
      <c r="G41" s="1246"/>
      <c r="H41" s="1246"/>
      <c r="I41" s="1246"/>
      <c r="J41" s="1315"/>
      <c r="K41" s="1246"/>
      <c r="L41" s="1291"/>
      <c r="M41" s="1291"/>
      <c r="N41" s="1316"/>
      <c r="O41" s="1289"/>
      <c r="P41" s="1244"/>
      <c r="Q41" s="1244"/>
      <c r="R41" s="1244"/>
      <c r="S41" s="1324"/>
      <c r="T41" s="1324"/>
      <c r="U41" s="1347"/>
      <c r="V41" s="1345"/>
      <c r="W41" s="1346"/>
      <c r="X41" s="1317"/>
      <c r="Y41" s="1246"/>
      <c r="Z41" s="1246"/>
      <c r="AA41" s="1246"/>
      <c r="AB41" s="1345"/>
      <c r="AC41" s="1345"/>
      <c r="AD41" s="1345"/>
      <c r="AE41" s="1345"/>
      <c r="AF41" s="1346"/>
      <c r="AG41" s="1317"/>
      <c r="AH41" s="1246"/>
      <c r="AI41" s="1246"/>
      <c r="AJ41" s="1345"/>
      <c r="AK41" s="1345"/>
      <c r="AL41" s="1345"/>
      <c r="AM41" s="1345"/>
      <c r="AN41" s="1345"/>
      <c r="AO41" s="1346"/>
      <c r="AP41" s="1317"/>
      <c r="AQ41" s="1246"/>
      <c r="AR41" s="1246"/>
      <c r="AS41" s="1246"/>
      <c r="AT41" s="1345"/>
      <c r="AU41" s="1345"/>
      <c r="AV41" s="1345"/>
      <c r="AW41" s="1345"/>
      <c r="AX41" s="1346"/>
      <c r="AY41" s="1317"/>
      <c r="AZ41" s="1246"/>
      <c r="BA41" s="1246"/>
      <c r="BB41" s="1246"/>
      <c r="BC41" s="1345"/>
      <c r="BD41" s="1345"/>
      <c r="BE41" s="1345"/>
      <c r="BF41" s="1345"/>
      <c r="BG41" s="1346"/>
      <c r="BH41" s="1317"/>
      <c r="BI41" s="1246"/>
      <c r="BJ41" s="1246"/>
      <c r="BK41" s="1246"/>
      <c r="BL41" s="1345"/>
      <c r="BM41" s="1345"/>
      <c r="BN41" s="1345"/>
      <c r="BO41" s="1345"/>
      <c r="BP41" s="1346"/>
      <c r="BQ41" s="1317"/>
      <c r="BR41" s="1246"/>
      <c r="BS41" s="1246"/>
      <c r="BT41" s="1246"/>
      <c r="BU41" s="1345"/>
      <c r="BV41" s="1345"/>
      <c r="BW41" s="1345"/>
      <c r="BX41" s="1345"/>
      <c r="BY41" s="1346"/>
      <c r="BZ41" s="1317">
        <f>20*16+28*16</f>
        <v>768</v>
      </c>
      <c r="CA41" s="1246"/>
      <c r="CB41" s="1246"/>
      <c r="CC41" s="1246"/>
      <c r="CD41" s="1246"/>
      <c r="CE41" s="1246"/>
      <c r="CF41" s="1345"/>
      <c r="CG41" s="1392"/>
      <c r="CH41" s="1393"/>
      <c r="CI41" s="1394">
        <f t="shared" si="10"/>
        <v>768</v>
      </c>
      <c r="CJ41" s="1435"/>
      <c r="CK41" s="1436"/>
      <c r="CL41" s="1437">
        <f t="shared" si="11"/>
        <v>768</v>
      </c>
      <c r="CM41" s="1438">
        <f>16+25</f>
        <v>41</v>
      </c>
      <c r="CN41" s="1439">
        <f t="shared" si="12"/>
        <v>809</v>
      </c>
    </row>
    <row r="42" spans="1:95" s="1229" customFormat="1" ht="21" thickBot="1">
      <c r="A42" s="726" t="s">
        <v>120</v>
      </c>
      <c r="B42" s="2560" t="s">
        <v>472</v>
      </c>
      <c r="C42" s="2613"/>
      <c r="D42" s="540">
        <v>46128</v>
      </c>
      <c r="E42" s="1277"/>
      <c r="F42" s="1245"/>
      <c r="G42" s="1246"/>
      <c r="H42" s="1246"/>
      <c r="I42" s="1246"/>
      <c r="J42" s="1315"/>
      <c r="K42" s="1246"/>
      <c r="L42" s="1291"/>
      <c r="M42" s="1291"/>
      <c r="N42" s="1316"/>
      <c r="O42" s="1317"/>
      <c r="P42" s="1246"/>
      <c r="Q42" s="1348"/>
      <c r="R42" s="1246"/>
      <c r="S42" s="1345"/>
      <c r="T42" s="1345"/>
      <c r="U42" s="1345"/>
      <c r="V42" s="1345"/>
      <c r="W42" s="1346"/>
      <c r="X42" s="1317"/>
      <c r="Y42" s="1246"/>
      <c r="Z42" s="1246"/>
      <c r="AA42" s="1246"/>
      <c r="AB42" s="1345"/>
      <c r="AC42" s="1345"/>
      <c r="AD42" s="1345"/>
      <c r="AE42" s="1345"/>
      <c r="AF42" s="1346"/>
      <c r="AG42" s="1317"/>
      <c r="AH42" s="1246"/>
      <c r="AI42" s="1246"/>
      <c r="AJ42" s="1345"/>
      <c r="AK42" s="1345"/>
      <c r="AL42" s="1345"/>
      <c r="AM42" s="1345"/>
      <c r="AN42" s="1345"/>
      <c r="AO42" s="1346"/>
      <c r="AP42" s="1317"/>
      <c r="AQ42" s="1246"/>
      <c r="AR42" s="1246"/>
      <c r="AS42" s="1246"/>
      <c r="AT42" s="1345"/>
      <c r="AU42" s="1345"/>
      <c r="AV42" s="1345"/>
      <c r="AW42" s="1345"/>
      <c r="AX42" s="1346"/>
      <c r="AY42" s="1317"/>
      <c r="AZ42" s="1246"/>
      <c r="BA42" s="1246"/>
      <c r="BB42" s="1246"/>
      <c r="BC42" s="1345"/>
      <c r="BD42" s="1345"/>
      <c r="BE42" s="1345"/>
      <c r="BF42" s="1345"/>
      <c r="BG42" s="1346"/>
      <c r="BH42" s="1317"/>
      <c r="BI42" s="1246"/>
      <c r="BJ42" s="1246"/>
      <c r="BK42" s="1246"/>
      <c r="BL42" s="1345"/>
      <c r="BM42" s="1345"/>
      <c r="BN42" s="1345"/>
      <c r="BO42" s="1345"/>
      <c r="BP42" s="1346"/>
      <c r="BQ42" s="1317"/>
      <c r="BR42" s="1246"/>
      <c r="BS42" s="1246"/>
      <c r="BT42" s="1246"/>
      <c r="BU42" s="1345"/>
      <c r="BV42" s="1345"/>
      <c r="BW42" s="1345"/>
      <c r="BX42" s="1345"/>
      <c r="BY42" s="1346"/>
      <c r="BZ42" s="1317">
        <f>33*16+22*16</f>
        <v>880</v>
      </c>
      <c r="CA42" s="1246"/>
      <c r="CB42" s="1246"/>
      <c r="CC42" s="1246"/>
      <c r="CD42" s="1246"/>
      <c r="CE42" s="1246"/>
      <c r="CF42" s="1345"/>
      <c r="CG42" s="1392"/>
      <c r="CH42" s="1393"/>
      <c r="CI42" s="1394">
        <f t="shared" si="10"/>
        <v>880</v>
      </c>
      <c r="CJ42" s="1435"/>
      <c r="CK42" s="1436"/>
      <c r="CL42" s="1437">
        <f t="shared" si="11"/>
        <v>880</v>
      </c>
      <c r="CM42" s="1438">
        <f>11+30</f>
        <v>41</v>
      </c>
      <c r="CN42" s="1439">
        <f t="shared" si="12"/>
        <v>921</v>
      </c>
      <c r="CO42" s="1229" t="s">
        <v>111</v>
      </c>
    </row>
    <row r="43" spans="1:95" s="1229" customFormat="1" ht="21" thickBot="1">
      <c r="A43" s="726" t="s">
        <v>120</v>
      </c>
      <c r="B43" s="2560" t="s">
        <v>472</v>
      </c>
      <c r="C43" s="2613"/>
      <c r="D43" s="540">
        <v>46129</v>
      </c>
      <c r="E43" s="1277"/>
      <c r="F43" s="1245"/>
      <c r="G43" s="1246"/>
      <c r="H43" s="1246"/>
      <c r="I43" s="1246"/>
      <c r="J43" s="1315"/>
      <c r="K43" s="1246"/>
      <c r="L43" s="1291"/>
      <c r="M43" s="1291"/>
      <c r="N43" s="1316"/>
      <c r="O43" s="1317"/>
      <c r="P43" s="1246"/>
      <c r="Q43" s="1246"/>
      <c r="R43" s="1246"/>
      <c r="S43" s="1345"/>
      <c r="T43" s="1345"/>
      <c r="U43" s="1345"/>
      <c r="V43" s="1345"/>
      <c r="W43" s="1346"/>
      <c r="X43" s="1317"/>
      <c r="Y43" s="1246"/>
      <c r="Z43" s="1246"/>
      <c r="AA43" s="1246"/>
      <c r="AB43" s="1345"/>
      <c r="AC43" s="1345"/>
      <c r="AD43" s="1345"/>
      <c r="AE43" s="1345"/>
      <c r="AF43" s="1346"/>
      <c r="AG43" s="1317"/>
      <c r="AH43" s="1246"/>
      <c r="AI43" s="1246"/>
      <c r="AJ43" s="1345"/>
      <c r="AK43" s="1345"/>
      <c r="AL43" s="1345"/>
      <c r="AM43" s="1345"/>
      <c r="AN43" s="1345"/>
      <c r="AO43" s="1346"/>
      <c r="AP43" s="1317"/>
      <c r="AQ43" s="1246"/>
      <c r="AR43" s="1246"/>
      <c r="AS43" s="1246"/>
      <c r="AT43" s="1345"/>
      <c r="AU43" s="1345"/>
      <c r="AV43" s="1345"/>
      <c r="AW43" s="1345"/>
      <c r="AX43" s="1346"/>
      <c r="AY43" s="1317"/>
      <c r="AZ43" s="1246"/>
      <c r="BA43" s="1246"/>
      <c r="BB43" s="1246"/>
      <c r="BC43" s="1345"/>
      <c r="BD43" s="1345"/>
      <c r="BE43" s="1345"/>
      <c r="BF43" s="1345"/>
      <c r="BG43" s="1346"/>
      <c r="BH43" s="1317"/>
      <c r="BI43" s="1246"/>
      <c r="BJ43" s="1246"/>
      <c r="BK43" s="1246"/>
      <c r="BL43" s="1345"/>
      <c r="BM43" s="1345"/>
      <c r="BN43" s="1345"/>
      <c r="BO43" s="1345"/>
      <c r="BP43" s="1346"/>
      <c r="BQ43" s="1317"/>
      <c r="BR43" s="1246"/>
      <c r="BS43" s="1246"/>
      <c r="BT43" s="1246"/>
      <c r="BU43" s="1345"/>
      <c r="BV43" s="1345"/>
      <c r="BW43" s="1345"/>
      <c r="BX43" s="1345"/>
      <c r="BY43" s="1346"/>
      <c r="BZ43" s="1317">
        <f>35*16+23*16</f>
        <v>928</v>
      </c>
      <c r="CA43" s="1246"/>
      <c r="CB43" s="1246"/>
      <c r="CC43" s="1246"/>
      <c r="CD43" s="1246"/>
      <c r="CE43" s="1246"/>
      <c r="CF43" s="1345"/>
      <c r="CG43" s="1392"/>
      <c r="CH43" s="1393"/>
      <c r="CI43" s="1394">
        <f t="shared" si="10"/>
        <v>928</v>
      </c>
      <c r="CJ43" s="1435"/>
      <c r="CK43" s="1436"/>
      <c r="CL43" s="1437">
        <f t="shared" si="11"/>
        <v>928</v>
      </c>
      <c r="CM43" s="1438">
        <f>3+12</f>
        <v>15</v>
      </c>
      <c r="CN43" s="1439">
        <f t="shared" si="12"/>
        <v>943</v>
      </c>
    </row>
    <row r="44" spans="1:95" s="1229" customFormat="1" ht="21" thickBot="1">
      <c r="A44" s="726" t="s">
        <v>120</v>
      </c>
      <c r="B44" s="2560" t="s">
        <v>472</v>
      </c>
      <c r="C44" s="2613"/>
      <c r="D44" s="540">
        <v>46130</v>
      </c>
      <c r="E44" s="1277"/>
      <c r="F44" s="1245"/>
      <c r="G44" s="1246"/>
      <c r="H44" s="1246"/>
      <c r="I44" s="1246"/>
      <c r="J44" s="1315"/>
      <c r="K44" s="1246"/>
      <c r="L44" s="1291"/>
      <c r="M44" s="1291"/>
      <c r="N44" s="1316"/>
      <c r="O44" s="1317"/>
      <c r="P44" s="1246"/>
      <c r="Q44" s="1246"/>
      <c r="R44" s="1246"/>
      <c r="S44" s="1345"/>
      <c r="T44" s="1345"/>
      <c r="U44" s="1345"/>
      <c r="V44" s="1345"/>
      <c r="W44" s="1346"/>
      <c r="X44" s="1317"/>
      <c r="Y44" s="1246"/>
      <c r="Z44" s="1246"/>
      <c r="AA44" s="1246"/>
      <c r="AB44" s="1345"/>
      <c r="AC44" s="1345"/>
      <c r="AD44" s="1345"/>
      <c r="AE44" s="1345"/>
      <c r="AF44" s="1346"/>
      <c r="AG44" s="1317"/>
      <c r="AH44" s="1246"/>
      <c r="AI44" s="1246"/>
      <c r="AJ44" s="1345"/>
      <c r="AK44" s="1345"/>
      <c r="AL44" s="1345"/>
      <c r="AM44" s="1345"/>
      <c r="AN44" s="1345"/>
      <c r="AO44" s="1346"/>
      <c r="AP44" s="1317"/>
      <c r="AQ44" s="1246"/>
      <c r="AR44" s="1246"/>
      <c r="AS44" s="1246"/>
      <c r="AT44" s="1345"/>
      <c r="AU44" s="1345"/>
      <c r="AV44" s="1345"/>
      <c r="AW44" s="1345"/>
      <c r="AX44" s="1346"/>
      <c r="AY44" s="1317"/>
      <c r="AZ44" s="1246"/>
      <c r="BA44" s="1246"/>
      <c r="BB44" s="1246"/>
      <c r="BC44" s="1345"/>
      <c r="BD44" s="1345"/>
      <c r="BE44" s="1345"/>
      <c r="BF44" s="1345"/>
      <c r="BG44" s="1346"/>
      <c r="BH44" s="1317"/>
      <c r="BI44" s="1246"/>
      <c r="BJ44" s="1246"/>
      <c r="BK44" s="1246"/>
      <c r="BL44" s="1345"/>
      <c r="BM44" s="1345"/>
      <c r="BN44" s="1345"/>
      <c r="BO44" s="1345"/>
      <c r="BP44" s="1346"/>
      <c r="BQ44" s="1317"/>
      <c r="BR44" s="1246"/>
      <c r="BS44" s="1246"/>
      <c r="BT44" s="1246"/>
      <c r="BU44" s="1345"/>
      <c r="BV44" s="1345"/>
      <c r="BW44" s="1345"/>
      <c r="BX44" s="1345"/>
      <c r="BY44" s="1346"/>
      <c r="BZ44" s="1317">
        <f>34*16+35*16</f>
        <v>1104</v>
      </c>
      <c r="CA44" s="1246"/>
      <c r="CB44" s="1246"/>
      <c r="CC44" s="1246"/>
      <c r="CD44" s="1246"/>
      <c r="CE44" s="1246"/>
      <c r="CF44" s="1345"/>
      <c r="CG44" s="1392"/>
      <c r="CH44" s="1393"/>
      <c r="CI44" s="1394">
        <f t="shared" si="10"/>
        <v>1104</v>
      </c>
      <c r="CJ44" s="1435"/>
      <c r="CK44" s="1436"/>
      <c r="CL44" s="1437">
        <f t="shared" si="11"/>
        <v>1104</v>
      </c>
      <c r="CM44" s="1438">
        <v>1</v>
      </c>
      <c r="CN44" s="1439">
        <f t="shared" si="12"/>
        <v>1105</v>
      </c>
    </row>
    <row r="45" spans="1:95" s="1229" customFormat="1" ht="21" thickBot="1">
      <c r="A45" s="726" t="s">
        <v>120</v>
      </c>
      <c r="B45" s="2560" t="s">
        <v>472</v>
      </c>
      <c r="C45" s="2613"/>
      <c r="D45" s="540">
        <v>46131</v>
      </c>
      <c r="E45" s="1277"/>
      <c r="F45" s="1245"/>
      <c r="G45" s="1246"/>
      <c r="H45" s="1246"/>
      <c r="I45" s="1246"/>
      <c r="J45" s="1315"/>
      <c r="K45" s="1246"/>
      <c r="L45" s="1291"/>
      <c r="M45" s="1291"/>
      <c r="N45" s="1316"/>
      <c r="O45" s="1317"/>
      <c r="P45" s="1246"/>
      <c r="Q45" s="1246"/>
      <c r="R45" s="1246"/>
      <c r="S45" s="1345"/>
      <c r="T45" s="1345"/>
      <c r="U45" s="1345"/>
      <c r="V45" s="1345"/>
      <c r="W45" s="1346"/>
      <c r="X45" s="1317"/>
      <c r="Y45" s="1246"/>
      <c r="Z45" s="1246"/>
      <c r="AA45" s="1246"/>
      <c r="AB45" s="1345"/>
      <c r="AC45" s="1345"/>
      <c r="AD45" s="1345"/>
      <c r="AE45" s="1345"/>
      <c r="AF45" s="1346"/>
      <c r="AG45" s="1317"/>
      <c r="AH45" s="1246"/>
      <c r="AI45" s="1246"/>
      <c r="AJ45" s="1345"/>
      <c r="AK45" s="1345"/>
      <c r="AL45" s="1345"/>
      <c r="AM45" s="1345"/>
      <c r="AN45" s="1345"/>
      <c r="AO45" s="1346"/>
      <c r="AP45" s="1317"/>
      <c r="AQ45" s="1246"/>
      <c r="AR45" s="1246"/>
      <c r="AS45" s="1246"/>
      <c r="AT45" s="1345"/>
      <c r="AU45" s="1345"/>
      <c r="AV45" s="1345"/>
      <c r="AW45" s="1345"/>
      <c r="AX45" s="1346"/>
      <c r="AY45" s="1317"/>
      <c r="AZ45" s="1246"/>
      <c r="BA45" s="1246"/>
      <c r="BB45" s="1246"/>
      <c r="BC45" s="1345"/>
      <c r="BD45" s="1345"/>
      <c r="BE45" s="1345"/>
      <c r="BF45" s="1345"/>
      <c r="BG45" s="1346"/>
      <c r="BH45" s="1317"/>
      <c r="BI45" s="1246"/>
      <c r="BJ45" s="1246"/>
      <c r="BK45" s="1246"/>
      <c r="BL45" s="1345"/>
      <c r="BM45" s="1345"/>
      <c r="BN45" s="1345"/>
      <c r="BO45" s="1345"/>
      <c r="BP45" s="1346"/>
      <c r="BQ45" s="1317"/>
      <c r="BR45" s="1246"/>
      <c r="BS45" s="1246"/>
      <c r="BT45" s="1246"/>
      <c r="BU45" s="1345"/>
      <c r="BV45" s="1345"/>
      <c r="BW45" s="1345"/>
      <c r="BX45" s="1345"/>
      <c r="BY45" s="1346"/>
      <c r="BZ45" s="1317">
        <f>32*16+29*16</f>
        <v>976</v>
      </c>
      <c r="CA45" s="1246"/>
      <c r="CB45" s="1246"/>
      <c r="CC45" s="1246"/>
      <c r="CD45" s="1246"/>
      <c r="CE45" s="1246"/>
      <c r="CF45" s="1345"/>
      <c r="CG45" s="1392"/>
      <c r="CH45" s="1393"/>
      <c r="CI45" s="1394">
        <f t="shared" si="10"/>
        <v>976</v>
      </c>
      <c r="CJ45" s="1435"/>
      <c r="CK45" s="1436"/>
      <c r="CL45" s="1437">
        <f t="shared" si="11"/>
        <v>976</v>
      </c>
      <c r="CM45" s="1438">
        <f>20+6</f>
        <v>26</v>
      </c>
      <c r="CN45" s="1439">
        <f t="shared" si="12"/>
        <v>1002</v>
      </c>
    </row>
    <row r="46" spans="1:95" s="1229" customFormat="1" ht="21" thickBot="1">
      <c r="A46" s="726" t="s">
        <v>120</v>
      </c>
      <c r="B46" s="2560" t="s">
        <v>472</v>
      </c>
      <c r="C46" s="2613"/>
      <c r="D46" s="540">
        <v>46132</v>
      </c>
      <c r="E46" s="1277"/>
      <c r="F46" s="1245"/>
      <c r="G46" s="1246"/>
      <c r="H46" s="1246"/>
      <c r="I46" s="1246"/>
      <c r="J46" s="1315"/>
      <c r="K46" s="1246"/>
      <c r="L46" s="1291"/>
      <c r="M46" s="1291"/>
      <c r="N46" s="1316"/>
      <c r="O46" s="1317"/>
      <c r="P46" s="1246"/>
      <c r="Q46" s="1246"/>
      <c r="R46" s="1246"/>
      <c r="S46" s="1345"/>
      <c r="T46" s="1345"/>
      <c r="U46" s="1345"/>
      <c r="V46" s="1345"/>
      <c r="W46" s="1346"/>
      <c r="X46" s="1317"/>
      <c r="Y46" s="1246"/>
      <c r="Z46" s="1246"/>
      <c r="AA46" s="1246"/>
      <c r="AB46" s="1345"/>
      <c r="AC46" s="1345"/>
      <c r="AD46" s="1345"/>
      <c r="AE46" s="1345"/>
      <c r="AF46" s="1346"/>
      <c r="AG46" s="1317"/>
      <c r="AH46" s="1246"/>
      <c r="AI46" s="1246"/>
      <c r="AJ46" s="1345"/>
      <c r="AK46" s="1345"/>
      <c r="AL46" s="1345"/>
      <c r="AM46" s="1345"/>
      <c r="AN46" s="1345"/>
      <c r="AO46" s="1346"/>
      <c r="AP46" s="1317"/>
      <c r="AQ46" s="1246"/>
      <c r="AR46" s="1246"/>
      <c r="AS46" s="1246"/>
      <c r="AT46" s="1345"/>
      <c r="AU46" s="1345"/>
      <c r="AV46" s="1345"/>
      <c r="AW46" s="1345"/>
      <c r="AX46" s="1346"/>
      <c r="AY46" s="1317"/>
      <c r="AZ46" s="1246"/>
      <c r="BA46" s="1246"/>
      <c r="BB46" s="1246"/>
      <c r="BC46" s="1345"/>
      <c r="BD46" s="1345"/>
      <c r="BE46" s="1345"/>
      <c r="BF46" s="1345"/>
      <c r="BG46" s="1346"/>
      <c r="BH46" s="1317"/>
      <c r="BI46" s="1246"/>
      <c r="BJ46" s="1246"/>
      <c r="BK46" s="1246"/>
      <c r="BL46" s="1345"/>
      <c r="BM46" s="1345"/>
      <c r="BN46" s="1345"/>
      <c r="BO46" s="1345"/>
      <c r="BP46" s="1346"/>
      <c r="BQ46" s="1317"/>
      <c r="BR46" s="1246"/>
      <c r="BS46" s="1246"/>
      <c r="BT46" s="1246"/>
      <c r="BU46" s="1345"/>
      <c r="BV46" s="1345"/>
      <c r="BW46" s="1345"/>
      <c r="BX46" s="1345"/>
      <c r="BY46" s="1346"/>
      <c r="BZ46" s="1317">
        <f>33*16+32*16</f>
        <v>1040</v>
      </c>
      <c r="CA46" s="1246"/>
      <c r="CB46" s="1246"/>
      <c r="CC46" s="1246"/>
      <c r="CD46" s="1246"/>
      <c r="CE46" s="1246"/>
      <c r="CF46" s="1345"/>
      <c r="CG46" s="1392"/>
      <c r="CH46" s="1393"/>
      <c r="CI46" s="1394">
        <f t="shared" si="10"/>
        <v>1040</v>
      </c>
      <c r="CJ46" s="1435"/>
      <c r="CK46" s="1436"/>
      <c r="CL46" s="1437">
        <f t="shared" si="11"/>
        <v>1040</v>
      </c>
      <c r="CM46" s="1438">
        <f>2+9</f>
        <v>11</v>
      </c>
      <c r="CN46" s="1439">
        <f t="shared" si="12"/>
        <v>1051</v>
      </c>
    </row>
    <row r="47" spans="1:95" s="1229" customFormat="1" ht="21" thickBot="1">
      <c r="A47" s="726" t="s">
        <v>120</v>
      </c>
      <c r="B47" s="2560" t="s">
        <v>472</v>
      </c>
      <c r="C47" s="2613"/>
      <c r="D47" s="540">
        <v>46133</v>
      </c>
      <c r="E47" s="1277"/>
      <c r="F47" s="1245"/>
      <c r="G47" s="1246"/>
      <c r="H47" s="1246"/>
      <c r="I47" s="1246"/>
      <c r="J47" s="1315"/>
      <c r="K47" s="1246"/>
      <c r="L47" s="1291"/>
      <c r="M47" s="1291"/>
      <c r="N47" s="1316"/>
      <c r="O47" s="1317"/>
      <c r="P47" s="1246"/>
      <c r="Q47" s="1246"/>
      <c r="R47" s="1246"/>
      <c r="S47" s="1345"/>
      <c r="T47" s="1345"/>
      <c r="U47" s="1345"/>
      <c r="V47" s="1345"/>
      <c r="W47" s="1346"/>
      <c r="X47" s="1317"/>
      <c r="Y47" s="1246"/>
      <c r="Z47" s="1246"/>
      <c r="AA47" s="1246"/>
      <c r="AB47" s="1345"/>
      <c r="AC47" s="1345"/>
      <c r="AD47" s="1345"/>
      <c r="AE47" s="1345"/>
      <c r="AF47" s="1346"/>
      <c r="AG47" s="1317"/>
      <c r="AH47" s="1246"/>
      <c r="AI47" s="1246"/>
      <c r="AJ47" s="1345"/>
      <c r="AK47" s="1345"/>
      <c r="AL47" s="1345"/>
      <c r="AM47" s="1345"/>
      <c r="AN47" s="1345"/>
      <c r="AO47" s="1346"/>
      <c r="AP47" s="1317"/>
      <c r="AQ47" s="1246"/>
      <c r="AR47" s="1246"/>
      <c r="AS47" s="1246"/>
      <c r="AT47" s="1345"/>
      <c r="AU47" s="1345"/>
      <c r="AV47" s="1345"/>
      <c r="AW47" s="1345"/>
      <c r="AX47" s="1346"/>
      <c r="AY47" s="1317"/>
      <c r="AZ47" s="1246"/>
      <c r="BA47" s="1246"/>
      <c r="BB47" s="1246"/>
      <c r="BC47" s="1345"/>
      <c r="BD47" s="1345"/>
      <c r="BE47" s="1345"/>
      <c r="BF47" s="1345"/>
      <c r="BG47" s="1346"/>
      <c r="BH47" s="1317"/>
      <c r="BI47" s="1246"/>
      <c r="BJ47" s="1246"/>
      <c r="BK47" s="1246"/>
      <c r="BL47" s="1345"/>
      <c r="BM47" s="1345"/>
      <c r="BN47" s="1345"/>
      <c r="BO47" s="1345"/>
      <c r="BP47" s="1346"/>
      <c r="BQ47" s="1317"/>
      <c r="BR47" s="1246"/>
      <c r="BS47" s="1246"/>
      <c r="BT47" s="1246"/>
      <c r="BU47" s="1345"/>
      <c r="BV47" s="1345"/>
      <c r="BW47" s="1345"/>
      <c r="BX47" s="1345"/>
      <c r="BY47" s="1346"/>
      <c r="BZ47" s="1317">
        <f>29*16+27*16</f>
        <v>896</v>
      </c>
      <c r="CA47" s="1246"/>
      <c r="CB47" s="1246"/>
      <c r="CC47" s="1246"/>
      <c r="CD47" s="1246"/>
      <c r="CE47" s="1246"/>
      <c r="CF47" s="1345"/>
      <c r="CG47" s="1392"/>
      <c r="CH47" s="1393"/>
      <c r="CI47" s="1394">
        <f t="shared" si="10"/>
        <v>896</v>
      </c>
      <c r="CJ47" s="1435"/>
      <c r="CK47" s="1436"/>
      <c r="CL47" s="1437">
        <f t="shared" si="11"/>
        <v>896</v>
      </c>
      <c r="CM47" s="1438">
        <v>25</v>
      </c>
      <c r="CN47" s="1439">
        <f>SUM(CL47:CM47)</f>
        <v>921</v>
      </c>
    </row>
    <row r="48" spans="1:95" s="1229" customFormat="1" ht="21" thickBot="1">
      <c r="A48" s="726" t="s">
        <v>120</v>
      </c>
      <c r="B48" s="2560" t="s">
        <v>472</v>
      </c>
      <c r="C48" s="2613"/>
      <c r="D48" s="540">
        <v>46134</v>
      </c>
      <c r="E48" s="1277"/>
      <c r="F48" s="1245"/>
      <c r="G48" s="1246"/>
      <c r="H48" s="1246"/>
      <c r="I48" s="1246"/>
      <c r="J48" s="1315"/>
      <c r="K48" s="1246"/>
      <c r="L48" s="1291"/>
      <c r="M48" s="1291"/>
      <c r="N48" s="1316"/>
      <c r="O48" s="1317"/>
      <c r="P48" s="1246"/>
      <c r="Q48" s="1246"/>
      <c r="R48" s="1246"/>
      <c r="S48" s="1345"/>
      <c r="T48" s="1345"/>
      <c r="U48" s="1345"/>
      <c r="V48" s="1345"/>
      <c r="W48" s="1346"/>
      <c r="X48" s="1317"/>
      <c r="Y48" s="1246"/>
      <c r="Z48" s="1246"/>
      <c r="AA48" s="1246"/>
      <c r="AB48" s="1345"/>
      <c r="AC48" s="1345"/>
      <c r="AD48" s="1345"/>
      <c r="AE48" s="1345"/>
      <c r="AF48" s="1346"/>
      <c r="AG48" s="1317"/>
      <c r="AH48" s="1246"/>
      <c r="AI48" s="1246"/>
      <c r="AJ48" s="1345"/>
      <c r="AK48" s="1345"/>
      <c r="AL48" s="1345"/>
      <c r="AM48" s="1345"/>
      <c r="AN48" s="1345"/>
      <c r="AO48" s="1346"/>
      <c r="AP48" s="1317"/>
      <c r="AQ48" s="1246"/>
      <c r="AR48" s="1246"/>
      <c r="AS48" s="1246"/>
      <c r="AT48" s="1345"/>
      <c r="AU48" s="1345"/>
      <c r="AV48" s="1345"/>
      <c r="AW48" s="1345"/>
      <c r="AX48" s="1346"/>
      <c r="AY48" s="1317"/>
      <c r="AZ48" s="1246"/>
      <c r="BA48" s="1246"/>
      <c r="BB48" s="1246"/>
      <c r="BC48" s="1345"/>
      <c r="BD48" s="1345"/>
      <c r="BE48" s="1345"/>
      <c r="BF48" s="1345"/>
      <c r="BG48" s="1346"/>
      <c r="BH48" s="1317"/>
      <c r="BI48" s="1246"/>
      <c r="BJ48" s="1246"/>
      <c r="BK48" s="1246"/>
      <c r="BL48" s="1345"/>
      <c r="BM48" s="1345"/>
      <c r="BN48" s="1345"/>
      <c r="BO48" s="1345"/>
      <c r="BP48" s="1346"/>
      <c r="BQ48" s="1317"/>
      <c r="BR48" s="1246"/>
      <c r="BS48" s="1246"/>
      <c r="BT48" s="1246"/>
      <c r="BU48" s="1345"/>
      <c r="BV48" s="1345"/>
      <c r="BW48" s="1345"/>
      <c r="BX48" s="1345"/>
      <c r="BY48" s="1346"/>
      <c r="BZ48" s="1317">
        <f>32*16+28*16</f>
        <v>960</v>
      </c>
      <c r="CA48" s="1246"/>
      <c r="CB48" s="1246"/>
      <c r="CC48" s="1246"/>
      <c r="CD48" s="1246"/>
      <c r="CE48" s="1246"/>
      <c r="CF48" s="1345"/>
      <c r="CG48" s="1392"/>
      <c r="CH48" s="1393"/>
      <c r="CI48" s="1394">
        <f t="shared" si="10"/>
        <v>960</v>
      </c>
      <c r="CJ48" s="1435"/>
      <c r="CK48" s="1436"/>
      <c r="CL48" s="1437">
        <f t="shared" si="11"/>
        <v>960</v>
      </c>
      <c r="CM48" s="1438">
        <f>13+10</f>
        <v>23</v>
      </c>
      <c r="CN48" s="1439">
        <f t="shared" si="12"/>
        <v>983</v>
      </c>
    </row>
    <row r="49" spans="1:92" s="1229" customFormat="1" ht="21" thickBot="1">
      <c r="A49" s="726" t="s">
        <v>120</v>
      </c>
      <c r="B49" s="2560" t="s">
        <v>472</v>
      </c>
      <c r="C49" s="2613"/>
      <c r="D49" s="540">
        <v>46135</v>
      </c>
      <c r="E49" s="1277"/>
      <c r="F49" s="1245"/>
      <c r="G49" s="1246"/>
      <c r="H49" s="1246"/>
      <c r="I49" s="1246"/>
      <c r="J49" s="1315"/>
      <c r="K49" s="1246"/>
      <c r="L49" s="1291"/>
      <c r="M49" s="1291"/>
      <c r="N49" s="1316"/>
      <c r="O49" s="1317"/>
      <c r="P49" s="1246"/>
      <c r="Q49" s="1246"/>
      <c r="R49" s="1246"/>
      <c r="S49" s="1345"/>
      <c r="T49" s="1345"/>
      <c r="U49" s="1345"/>
      <c r="V49" s="1345"/>
      <c r="W49" s="1346"/>
      <c r="X49" s="1317"/>
      <c r="Y49" s="1246"/>
      <c r="Z49" s="1246"/>
      <c r="AA49" s="1246"/>
      <c r="AB49" s="1345"/>
      <c r="AC49" s="1345"/>
      <c r="AD49" s="1345"/>
      <c r="AE49" s="1345"/>
      <c r="AF49" s="1346"/>
      <c r="AG49" s="1317"/>
      <c r="AH49" s="1246"/>
      <c r="AI49" s="1246"/>
      <c r="AJ49" s="1345"/>
      <c r="AK49" s="1345"/>
      <c r="AL49" s="1345"/>
      <c r="AM49" s="1345"/>
      <c r="AN49" s="1345"/>
      <c r="AO49" s="1346"/>
      <c r="AP49" s="1317"/>
      <c r="AQ49" s="1246"/>
      <c r="AR49" s="1246"/>
      <c r="AS49" s="1246"/>
      <c r="AT49" s="1345"/>
      <c r="AU49" s="1345"/>
      <c r="AV49" s="1345"/>
      <c r="AW49" s="1345"/>
      <c r="AX49" s="1346"/>
      <c r="AY49" s="1317"/>
      <c r="AZ49" s="1246"/>
      <c r="BA49" s="1246"/>
      <c r="BB49" s="1246"/>
      <c r="BC49" s="1345"/>
      <c r="BD49" s="1345"/>
      <c r="BE49" s="1345"/>
      <c r="BF49" s="1345"/>
      <c r="BG49" s="1346"/>
      <c r="BH49" s="1317"/>
      <c r="BI49" s="1246"/>
      <c r="BJ49" s="1246"/>
      <c r="BK49" s="1246"/>
      <c r="BL49" s="1345"/>
      <c r="BM49" s="1345"/>
      <c r="BN49" s="1345"/>
      <c r="BO49" s="1345"/>
      <c r="BP49" s="1346"/>
      <c r="BQ49" s="1317"/>
      <c r="BR49" s="1246"/>
      <c r="BS49" s="1246"/>
      <c r="BT49" s="1246"/>
      <c r="BU49" s="1345"/>
      <c r="BV49" s="1345"/>
      <c r="BW49" s="1345"/>
      <c r="BX49" s="1345"/>
      <c r="BY49" s="1346"/>
      <c r="BZ49" s="1317">
        <f>17*16+34*16</f>
        <v>816</v>
      </c>
      <c r="CA49" s="1246"/>
      <c r="CB49" s="1246"/>
      <c r="CC49" s="1246"/>
      <c r="CD49" s="1246"/>
      <c r="CE49" s="1246"/>
      <c r="CF49" s="1345"/>
      <c r="CG49" s="1392"/>
      <c r="CH49" s="1393"/>
      <c r="CI49" s="1394">
        <f t="shared" si="10"/>
        <v>816</v>
      </c>
      <c r="CJ49" s="1435"/>
      <c r="CK49" s="1436"/>
      <c r="CL49" s="1437">
        <f t="shared" si="11"/>
        <v>816</v>
      </c>
      <c r="CM49" s="1438">
        <f>4+4</f>
        <v>8</v>
      </c>
      <c r="CN49" s="1439">
        <f t="shared" si="12"/>
        <v>824</v>
      </c>
    </row>
    <row r="50" spans="1:92" s="1229" customFormat="1" ht="21" thickBot="1">
      <c r="A50" s="726" t="s">
        <v>120</v>
      </c>
      <c r="B50" s="2560" t="s">
        <v>472</v>
      </c>
      <c r="C50" s="2613"/>
      <c r="D50" s="540">
        <v>46136</v>
      </c>
      <c r="E50" s="1277"/>
      <c r="F50" s="1245"/>
      <c r="G50" s="1246"/>
      <c r="H50" s="1246"/>
      <c r="I50" s="1246"/>
      <c r="J50" s="1315"/>
      <c r="K50" s="1246"/>
      <c r="L50" s="1291"/>
      <c r="M50" s="1291"/>
      <c r="N50" s="1316"/>
      <c r="O50" s="1317"/>
      <c r="P50" s="1246"/>
      <c r="Q50" s="1246"/>
      <c r="R50" s="1246"/>
      <c r="S50" s="1345"/>
      <c r="T50" s="1345"/>
      <c r="U50" s="1345"/>
      <c r="V50" s="1345"/>
      <c r="W50" s="1346"/>
      <c r="X50" s="1317"/>
      <c r="Y50" s="1246"/>
      <c r="Z50" s="1246"/>
      <c r="AA50" s="1246"/>
      <c r="AB50" s="1345"/>
      <c r="AC50" s="1345"/>
      <c r="AD50" s="1345"/>
      <c r="AE50" s="1345"/>
      <c r="AF50" s="1346"/>
      <c r="AG50" s="1317"/>
      <c r="AH50" s="1246"/>
      <c r="AI50" s="1246"/>
      <c r="AJ50" s="1345"/>
      <c r="AK50" s="1345"/>
      <c r="AL50" s="1345"/>
      <c r="AM50" s="1345"/>
      <c r="AN50" s="1345"/>
      <c r="AO50" s="1346"/>
      <c r="AP50" s="1317"/>
      <c r="AQ50" s="1246"/>
      <c r="AR50" s="1246"/>
      <c r="AS50" s="1246"/>
      <c r="AT50" s="1345"/>
      <c r="AU50" s="1345"/>
      <c r="AV50" s="1345"/>
      <c r="AW50" s="1345"/>
      <c r="AX50" s="1346"/>
      <c r="AY50" s="1317"/>
      <c r="AZ50" s="1246"/>
      <c r="BA50" s="1246"/>
      <c r="BB50" s="1246"/>
      <c r="BC50" s="1345"/>
      <c r="BD50" s="1345"/>
      <c r="BE50" s="1345"/>
      <c r="BF50" s="1345"/>
      <c r="BG50" s="1346"/>
      <c r="BH50" s="1317"/>
      <c r="BI50" s="1246"/>
      <c r="BJ50" s="1246"/>
      <c r="BK50" s="1246"/>
      <c r="BL50" s="1345"/>
      <c r="BM50" s="1345"/>
      <c r="BN50" s="1345"/>
      <c r="BO50" s="1345"/>
      <c r="BP50" s="1346"/>
      <c r="BQ50" s="1317"/>
      <c r="BR50" s="1246"/>
      <c r="BS50" s="1246"/>
      <c r="BT50" s="1246"/>
      <c r="BU50" s="1345"/>
      <c r="BV50" s="1345"/>
      <c r="BW50" s="1345"/>
      <c r="BX50" s="1345"/>
      <c r="BY50" s="1346"/>
      <c r="BZ50" s="1317">
        <f>32*16+30*16</f>
        <v>992</v>
      </c>
      <c r="CA50" s="1246"/>
      <c r="CB50" s="1246"/>
      <c r="CC50" s="1246"/>
      <c r="CD50" s="1246"/>
      <c r="CE50" s="1246"/>
      <c r="CF50" s="1345"/>
      <c r="CG50" s="1392"/>
      <c r="CH50" s="1393"/>
      <c r="CI50" s="1394">
        <f t="shared" si="10"/>
        <v>992</v>
      </c>
      <c r="CJ50" s="1435"/>
      <c r="CK50" s="1436"/>
      <c r="CL50" s="1437">
        <f t="shared" si="11"/>
        <v>992</v>
      </c>
      <c r="CM50" s="1438">
        <f>15+16</f>
        <v>31</v>
      </c>
      <c r="CN50" s="1439">
        <f t="shared" si="12"/>
        <v>1023</v>
      </c>
    </row>
    <row r="51" spans="1:92" s="1229" customFormat="1" ht="21" thickBot="1">
      <c r="A51" s="726" t="s">
        <v>120</v>
      </c>
      <c r="B51" s="2560" t="s">
        <v>472</v>
      </c>
      <c r="C51" s="2613"/>
      <c r="D51" s="540">
        <v>46137</v>
      </c>
      <c r="E51" s="1277"/>
      <c r="F51" s="1245"/>
      <c r="G51" s="1246"/>
      <c r="H51" s="1246"/>
      <c r="I51" s="1246"/>
      <c r="J51" s="1315"/>
      <c r="K51" s="1246"/>
      <c r="L51" s="1291"/>
      <c r="M51" s="1291"/>
      <c r="N51" s="1316"/>
      <c r="O51" s="1317"/>
      <c r="P51" s="1246"/>
      <c r="Q51" s="1246"/>
      <c r="R51" s="1246"/>
      <c r="S51" s="1345"/>
      <c r="T51" s="1345"/>
      <c r="U51" s="1345"/>
      <c r="V51" s="1345"/>
      <c r="W51" s="1346"/>
      <c r="X51" s="1317"/>
      <c r="Y51" s="1246"/>
      <c r="Z51" s="1246"/>
      <c r="AA51" s="1246"/>
      <c r="AB51" s="1345"/>
      <c r="AC51" s="1345"/>
      <c r="AD51" s="1345"/>
      <c r="AE51" s="1345"/>
      <c r="AF51" s="1346"/>
      <c r="AG51" s="1317"/>
      <c r="AH51" s="1246"/>
      <c r="AI51" s="1246"/>
      <c r="AJ51" s="1345"/>
      <c r="AK51" s="1345"/>
      <c r="AL51" s="1345"/>
      <c r="AM51" s="1345"/>
      <c r="AN51" s="1345"/>
      <c r="AO51" s="1346"/>
      <c r="AP51" s="1317"/>
      <c r="AQ51" s="1246"/>
      <c r="AR51" s="1246"/>
      <c r="AS51" s="1246"/>
      <c r="AT51" s="1345"/>
      <c r="AU51" s="1345"/>
      <c r="AV51" s="1345"/>
      <c r="AW51" s="1345"/>
      <c r="AX51" s="1346"/>
      <c r="AY51" s="1317"/>
      <c r="AZ51" s="1246"/>
      <c r="BA51" s="1246"/>
      <c r="BB51" s="1246"/>
      <c r="BC51" s="1345"/>
      <c r="BD51" s="1345"/>
      <c r="BE51" s="1345"/>
      <c r="BF51" s="1345"/>
      <c r="BG51" s="1346"/>
      <c r="BH51" s="1317"/>
      <c r="BI51" s="1246"/>
      <c r="BJ51" s="1246"/>
      <c r="BK51" s="1246"/>
      <c r="BL51" s="1345"/>
      <c r="BM51" s="1345"/>
      <c r="BN51" s="1345"/>
      <c r="BO51" s="1345"/>
      <c r="BP51" s="1346"/>
      <c r="BQ51" s="1317"/>
      <c r="BR51" s="1246"/>
      <c r="BS51" s="1246"/>
      <c r="BT51" s="1246"/>
      <c r="BU51" s="1345"/>
      <c r="BV51" s="1345"/>
      <c r="BW51" s="1345"/>
      <c r="BX51" s="1345"/>
      <c r="BY51" s="1346"/>
      <c r="BZ51" s="1317">
        <f>32*16+31*16</f>
        <v>1008</v>
      </c>
      <c r="CA51" s="1246"/>
      <c r="CB51" s="1246"/>
      <c r="CC51" s="1246"/>
      <c r="CD51" s="1246"/>
      <c r="CE51" s="1246"/>
      <c r="CF51" s="1345"/>
      <c r="CG51" s="1392"/>
      <c r="CH51" s="1393"/>
      <c r="CI51" s="1394">
        <f t="shared" si="10"/>
        <v>1008</v>
      </c>
      <c r="CJ51" s="1435"/>
      <c r="CK51" s="1436"/>
      <c r="CL51" s="1437">
        <f t="shared" si="11"/>
        <v>1008</v>
      </c>
      <c r="CM51" s="1438">
        <f>2+13</f>
        <v>15</v>
      </c>
      <c r="CN51" s="1439">
        <f t="shared" si="12"/>
        <v>1023</v>
      </c>
    </row>
    <row r="52" spans="1:92" s="1229" customFormat="1" ht="21" thickBot="1">
      <c r="A52" s="726" t="s">
        <v>120</v>
      </c>
      <c r="B52" s="2560" t="s">
        <v>472</v>
      </c>
      <c r="C52" s="2613"/>
      <c r="D52" s="540">
        <v>46138</v>
      </c>
      <c r="E52" s="1277"/>
      <c r="F52" s="1245"/>
      <c r="G52" s="1246"/>
      <c r="H52" s="1246"/>
      <c r="I52" s="1246"/>
      <c r="J52" s="1315"/>
      <c r="K52" s="1246"/>
      <c r="L52" s="1291"/>
      <c r="M52" s="1291"/>
      <c r="N52" s="1316"/>
      <c r="O52" s="1317"/>
      <c r="P52" s="1246"/>
      <c r="Q52" s="1246"/>
      <c r="R52" s="1246"/>
      <c r="S52" s="1345"/>
      <c r="T52" s="1345"/>
      <c r="U52" s="1345"/>
      <c r="V52" s="1345"/>
      <c r="W52" s="1346"/>
      <c r="X52" s="1317"/>
      <c r="Y52" s="1246"/>
      <c r="Z52" s="1246"/>
      <c r="AA52" s="1246"/>
      <c r="AB52" s="1345"/>
      <c r="AC52" s="1345"/>
      <c r="AD52" s="1345"/>
      <c r="AE52" s="1345"/>
      <c r="AF52" s="1346"/>
      <c r="AG52" s="1317"/>
      <c r="AH52" s="1246"/>
      <c r="AI52" s="1246"/>
      <c r="AJ52" s="1345"/>
      <c r="AK52" s="1345"/>
      <c r="AL52" s="1345"/>
      <c r="AM52" s="1345"/>
      <c r="AN52" s="1345"/>
      <c r="AO52" s="1346"/>
      <c r="AP52" s="1317"/>
      <c r="AQ52" s="1246"/>
      <c r="AR52" s="1246"/>
      <c r="AS52" s="1246"/>
      <c r="AT52" s="1345"/>
      <c r="AU52" s="1345"/>
      <c r="AV52" s="1345"/>
      <c r="AW52" s="1345"/>
      <c r="AX52" s="1346"/>
      <c r="AY52" s="1317"/>
      <c r="AZ52" s="1246"/>
      <c r="BA52" s="1246"/>
      <c r="BB52" s="1246"/>
      <c r="BC52" s="1345"/>
      <c r="BD52" s="1345"/>
      <c r="BE52" s="1345"/>
      <c r="BF52" s="1345"/>
      <c r="BG52" s="1346"/>
      <c r="BH52" s="1317"/>
      <c r="BI52" s="1246"/>
      <c r="BJ52" s="1246"/>
      <c r="BK52" s="1246"/>
      <c r="BL52" s="1345"/>
      <c r="BM52" s="1345"/>
      <c r="BN52" s="1345"/>
      <c r="BO52" s="1345"/>
      <c r="BP52" s="1346"/>
      <c r="BQ52" s="1317"/>
      <c r="BR52" s="1246"/>
      <c r="BS52" s="1246"/>
      <c r="BT52" s="1246"/>
      <c r="BU52" s="1345"/>
      <c r="BV52" s="1345"/>
      <c r="BW52" s="1345"/>
      <c r="BX52" s="1345"/>
      <c r="BY52" s="1346"/>
      <c r="BZ52" s="1317">
        <f>31*16+31*16</f>
        <v>992</v>
      </c>
      <c r="CA52" s="1246"/>
      <c r="CB52" s="1246"/>
      <c r="CC52" s="1246"/>
      <c r="CD52" s="1246"/>
      <c r="CE52" s="1246"/>
      <c r="CF52" s="1345"/>
      <c r="CG52" s="1392"/>
      <c r="CH52" s="1393"/>
      <c r="CI52" s="1394">
        <f t="shared" si="10"/>
        <v>992</v>
      </c>
      <c r="CJ52" s="1435"/>
      <c r="CK52" s="1436"/>
      <c r="CL52" s="1437">
        <f t="shared" si="11"/>
        <v>992</v>
      </c>
      <c r="CM52" s="1438">
        <f>26+9</f>
        <v>35</v>
      </c>
      <c r="CN52" s="1439">
        <f t="shared" si="12"/>
        <v>1027</v>
      </c>
    </row>
    <row r="53" spans="1:92" s="1229" customFormat="1" ht="21" thickBot="1">
      <c r="A53" s="726" t="s">
        <v>120</v>
      </c>
      <c r="B53" s="2560" t="s">
        <v>472</v>
      </c>
      <c r="C53" s="2613"/>
      <c r="D53" s="540">
        <v>46139</v>
      </c>
      <c r="E53" s="1277"/>
      <c r="F53" s="1245"/>
      <c r="G53" s="1246"/>
      <c r="H53" s="1246"/>
      <c r="I53" s="3590"/>
      <c r="J53" s="1315"/>
      <c r="K53" s="1246"/>
      <c r="L53" s="1291"/>
      <c r="M53" s="1291"/>
      <c r="N53" s="1316"/>
      <c r="O53" s="1317"/>
      <c r="P53" s="1246"/>
      <c r="Q53" s="1246"/>
      <c r="R53" s="1246"/>
      <c r="S53" s="1345"/>
      <c r="T53" s="1345"/>
      <c r="U53" s="1345"/>
      <c r="V53" s="1345"/>
      <c r="W53" s="1346"/>
      <c r="X53" s="1317"/>
      <c r="Y53" s="1246"/>
      <c r="Z53" s="1246"/>
      <c r="AA53" s="1246"/>
      <c r="AB53" s="1345"/>
      <c r="AC53" s="1345"/>
      <c r="AD53" s="1345"/>
      <c r="AE53" s="1345"/>
      <c r="AF53" s="1346"/>
      <c r="AG53" s="1317"/>
      <c r="AH53" s="1246"/>
      <c r="AI53" s="1246"/>
      <c r="AJ53" s="1345"/>
      <c r="AK53" s="1345"/>
      <c r="AL53" s="1345"/>
      <c r="AM53" s="1345"/>
      <c r="AN53" s="1345"/>
      <c r="AO53" s="1346"/>
      <c r="AP53" s="1317"/>
      <c r="AQ53" s="1246"/>
      <c r="AR53" s="1246"/>
      <c r="AS53" s="1246"/>
      <c r="AT53" s="1345"/>
      <c r="AU53" s="1345"/>
      <c r="AV53" s="1345"/>
      <c r="AW53" s="1345"/>
      <c r="AX53" s="1346"/>
      <c r="AY53" s="1317"/>
      <c r="AZ53" s="1246"/>
      <c r="BA53" s="1246"/>
      <c r="BB53" s="1246"/>
      <c r="BC53" s="1345"/>
      <c r="BD53" s="1345"/>
      <c r="BE53" s="1345"/>
      <c r="BF53" s="1345"/>
      <c r="BG53" s="1346"/>
      <c r="BH53" s="1317"/>
      <c r="BI53" s="1246"/>
      <c r="BJ53" s="1246"/>
      <c r="BK53" s="1246"/>
      <c r="BL53" s="1345"/>
      <c r="BM53" s="1345"/>
      <c r="BN53" s="1345"/>
      <c r="BO53" s="1345"/>
      <c r="BP53" s="1346"/>
      <c r="BQ53" s="1317"/>
      <c r="BR53" s="1246"/>
      <c r="BS53" s="1246"/>
      <c r="BT53" s="1246"/>
      <c r="BU53" s="1345"/>
      <c r="BV53" s="1345"/>
      <c r="BW53" s="1345"/>
      <c r="BX53" s="1345"/>
      <c r="BY53" s="1346"/>
      <c r="BZ53" s="1317">
        <f>33*16+29*16</f>
        <v>992</v>
      </c>
      <c r="CA53" s="1246"/>
      <c r="CB53" s="1246"/>
      <c r="CC53" s="1246"/>
      <c r="CD53" s="1246"/>
      <c r="CE53" s="1246"/>
      <c r="CF53" s="1345"/>
      <c r="CG53" s="1392"/>
      <c r="CH53" s="1393"/>
      <c r="CI53" s="1394">
        <f t="shared" si="10"/>
        <v>992</v>
      </c>
      <c r="CJ53" s="1435"/>
      <c r="CK53" s="1436"/>
      <c r="CL53" s="1437">
        <f t="shared" si="11"/>
        <v>992</v>
      </c>
      <c r="CM53" s="1438">
        <f>5+24</f>
        <v>29</v>
      </c>
      <c r="CN53" s="1439">
        <f t="shared" si="12"/>
        <v>1021</v>
      </c>
    </row>
    <row r="54" spans="1:92" s="1229" customFormat="1" ht="21" thickBot="1">
      <c r="A54" s="726" t="s">
        <v>120</v>
      </c>
      <c r="B54" s="2560" t="s">
        <v>472</v>
      </c>
      <c r="C54" s="2613"/>
      <c r="D54" s="540">
        <v>46140</v>
      </c>
      <c r="E54" s="1277"/>
      <c r="F54" s="1245"/>
      <c r="G54" s="1246"/>
      <c r="H54" s="1246"/>
      <c r="I54" s="1246"/>
      <c r="J54" s="1315"/>
      <c r="K54" s="1246"/>
      <c r="L54" s="1291"/>
      <c r="M54" s="1291"/>
      <c r="N54" s="1316"/>
      <c r="O54" s="1317"/>
      <c r="P54" s="1246"/>
      <c r="Q54" s="1246"/>
      <c r="R54" s="1246"/>
      <c r="S54" s="1345"/>
      <c r="T54" s="1345"/>
      <c r="U54" s="1345"/>
      <c r="V54" s="1345"/>
      <c r="W54" s="1346"/>
      <c r="X54" s="1317"/>
      <c r="Y54" s="1246"/>
      <c r="Z54" s="1246"/>
      <c r="AA54" s="1246"/>
      <c r="AB54" s="1345"/>
      <c r="AC54" s="1345"/>
      <c r="AD54" s="1345"/>
      <c r="AE54" s="1345"/>
      <c r="AF54" s="1346"/>
      <c r="AG54" s="1317"/>
      <c r="AH54" s="1246"/>
      <c r="AI54" s="1246"/>
      <c r="AJ54" s="1345"/>
      <c r="AK54" s="1345"/>
      <c r="AL54" s="1345"/>
      <c r="AM54" s="1345"/>
      <c r="AN54" s="1345"/>
      <c r="AO54" s="1346"/>
      <c r="AP54" s="1317"/>
      <c r="AQ54" s="1246"/>
      <c r="AR54" s="1246"/>
      <c r="AS54" s="1246"/>
      <c r="AT54" s="1345"/>
      <c r="AU54" s="1345"/>
      <c r="AV54" s="1345"/>
      <c r="AW54" s="1345"/>
      <c r="AX54" s="1346"/>
      <c r="AY54" s="1317"/>
      <c r="AZ54" s="1246"/>
      <c r="BA54" s="1246"/>
      <c r="BB54" s="1246"/>
      <c r="BC54" s="1345"/>
      <c r="BD54" s="1345"/>
      <c r="BE54" s="1345"/>
      <c r="BF54" s="1345"/>
      <c r="BG54" s="1346"/>
      <c r="BH54" s="1317"/>
      <c r="BI54" s="1246"/>
      <c r="BJ54" s="1246"/>
      <c r="BK54" s="1246"/>
      <c r="BL54" s="1345"/>
      <c r="BM54" s="1345"/>
      <c r="BN54" s="1345"/>
      <c r="BO54" s="1345"/>
      <c r="BP54" s="1346"/>
      <c r="BQ54" s="1317"/>
      <c r="BR54" s="1246"/>
      <c r="BS54" s="1246"/>
      <c r="BT54" s="1246"/>
      <c r="BU54" s="1345"/>
      <c r="BV54" s="1345"/>
      <c r="BW54" s="1345"/>
      <c r="BX54" s="1345"/>
      <c r="BY54" s="1346"/>
      <c r="BZ54" s="1317">
        <f>31*16+28*16</f>
        <v>944</v>
      </c>
      <c r="CA54" s="1246"/>
      <c r="CB54" s="1246"/>
      <c r="CC54" s="1246"/>
      <c r="CD54" s="1246"/>
      <c r="CE54" s="1246"/>
      <c r="CF54" s="1345"/>
      <c r="CG54" s="1392"/>
      <c r="CH54" s="1393"/>
      <c r="CI54" s="1394">
        <f t="shared" si="10"/>
        <v>944</v>
      </c>
      <c r="CJ54" s="1435"/>
      <c r="CK54" s="1436"/>
      <c r="CL54" s="1437">
        <f t="shared" si="11"/>
        <v>944</v>
      </c>
      <c r="CM54" s="1438">
        <f>9+28</f>
        <v>37</v>
      </c>
      <c r="CN54" s="1439">
        <f t="shared" si="12"/>
        <v>981</v>
      </c>
    </row>
    <row r="55" spans="1:92" s="1229" customFormat="1" ht="21" thickBot="1">
      <c r="A55" s="726" t="s">
        <v>120</v>
      </c>
      <c r="B55" s="2560" t="s">
        <v>472</v>
      </c>
      <c r="C55" s="2613"/>
      <c r="D55" s="540">
        <v>46141</v>
      </c>
      <c r="E55" s="1277"/>
      <c r="F55" s="1245"/>
      <c r="G55" s="1246"/>
      <c r="H55" s="1246"/>
      <c r="I55" s="1246"/>
      <c r="J55" s="1315"/>
      <c r="K55" s="1246"/>
      <c r="L55" s="1291"/>
      <c r="M55" s="1291"/>
      <c r="N55" s="1316"/>
      <c r="O55" s="1317"/>
      <c r="P55" s="1246"/>
      <c r="Q55" s="1246"/>
      <c r="R55" s="1246"/>
      <c r="S55" s="1345"/>
      <c r="T55" s="1345"/>
      <c r="U55" s="1345"/>
      <c r="V55" s="1345"/>
      <c r="W55" s="1346"/>
      <c r="X55" s="1317"/>
      <c r="Y55" s="1246"/>
      <c r="Z55" s="1246"/>
      <c r="AA55" s="1246"/>
      <c r="AB55" s="1345"/>
      <c r="AC55" s="1345"/>
      <c r="AD55" s="1345"/>
      <c r="AE55" s="1345"/>
      <c r="AF55" s="1346"/>
      <c r="AG55" s="1317"/>
      <c r="AH55" s="1246"/>
      <c r="AI55" s="1246"/>
      <c r="AJ55" s="1345"/>
      <c r="AK55" s="1345"/>
      <c r="AL55" s="1345"/>
      <c r="AM55" s="1345"/>
      <c r="AN55" s="1345"/>
      <c r="AO55" s="1346"/>
      <c r="AP55" s="1317"/>
      <c r="AQ55" s="1246"/>
      <c r="AR55" s="1246"/>
      <c r="AS55" s="1246"/>
      <c r="AT55" s="1345"/>
      <c r="AU55" s="1345"/>
      <c r="AV55" s="1345"/>
      <c r="AW55" s="1345"/>
      <c r="AX55" s="1346"/>
      <c r="AY55" s="1317"/>
      <c r="AZ55" s="1246"/>
      <c r="BA55" s="1246"/>
      <c r="BB55" s="1246"/>
      <c r="BC55" s="1345"/>
      <c r="BD55" s="1345"/>
      <c r="BE55" s="1345"/>
      <c r="BF55" s="1345"/>
      <c r="BG55" s="1346"/>
      <c r="BH55" s="1317"/>
      <c r="BI55" s="1246"/>
      <c r="BJ55" s="1246"/>
      <c r="BK55" s="1246"/>
      <c r="BL55" s="1345"/>
      <c r="BM55" s="1345"/>
      <c r="BN55" s="1345"/>
      <c r="BO55" s="1345"/>
      <c r="BP55" s="1346"/>
      <c r="BQ55" s="1317"/>
      <c r="BR55" s="1246"/>
      <c r="BS55" s="1246"/>
      <c r="BT55" s="1246"/>
      <c r="BU55" s="1345"/>
      <c r="BV55" s="1345"/>
      <c r="BW55" s="1345"/>
      <c r="BX55" s="1345"/>
      <c r="BY55" s="1346"/>
      <c r="BZ55" s="1317">
        <f>31*16+22*16</f>
        <v>848</v>
      </c>
      <c r="CA55" s="1246"/>
      <c r="CB55" s="1246"/>
      <c r="CC55" s="1246"/>
      <c r="CD55" s="1246"/>
      <c r="CE55" s="1246"/>
      <c r="CF55" s="1345"/>
      <c r="CG55" s="1392"/>
      <c r="CH55" s="1393"/>
      <c r="CI55" s="1394">
        <f t="shared" si="10"/>
        <v>848</v>
      </c>
      <c r="CJ55" s="1435"/>
      <c r="CK55" s="1436"/>
      <c r="CL55" s="1437">
        <f t="shared" si="11"/>
        <v>848</v>
      </c>
      <c r="CM55" s="1438">
        <f>5+30</f>
        <v>35</v>
      </c>
      <c r="CN55" s="1439">
        <f t="shared" si="12"/>
        <v>883</v>
      </c>
    </row>
    <row r="56" spans="1:92" s="1229" customFormat="1" ht="21" thickBot="1">
      <c r="A56" s="726" t="s">
        <v>120</v>
      </c>
      <c r="B56" s="2560" t="s">
        <v>472</v>
      </c>
      <c r="C56" s="2613"/>
      <c r="D56" s="2616"/>
      <c r="E56" s="1277"/>
      <c r="F56" s="1245"/>
      <c r="G56" s="1246"/>
      <c r="H56" s="1246"/>
      <c r="I56" s="1246"/>
      <c r="J56" s="1315"/>
      <c r="K56" s="1246"/>
      <c r="L56" s="1291"/>
      <c r="M56" s="1291"/>
      <c r="N56" s="1316"/>
      <c r="O56" s="1317"/>
      <c r="P56" s="1246"/>
      <c r="Q56" s="1246"/>
      <c r="R56" s="1246"/>
      <c r="S56" s="1345"/>
      <c r="T56" s="1345"/>
      <c r="U56" s="1345"/>
      <c r="V56" s="1345"/>
      <c r="W56" s="1346"/>
      <c r="X56" s="1317"/>
      <c r="Y56" s="1246"/>
      <c r="Z56" s="1246"/>
      <c r="AA56" s="1246"/>
      <c r="AB56" s="1345"/>
      <c r="AC56" s="1345"/>
      <c r="AD56" s="1345"/>
      <c r="AE56" s="1345"/>
      <c r="AF56" s="1346"/>
      <c r="AG56" s="1317"/>
      <c r="AH56" s="1246"/>
      <c r="AI56" s="1246"/>
      <c r="AJ56" s="1345"/>
      <c r="AK56" s="1345"/>
      <c r="AL56" s="1345"/>
      <c r="AM56" s="1345"/>
      <c r="AN56" s="1345"/>
      <c r="AO56" s="1346"/>
      <c r="AP56" s="1317"/>
      <c r="AQ56" s="1246"/>
      <c r="AR56" s="1246"/>
      <c r="AS56" s="1246"/>
      <c r="AT56" s="1345"/>
      <c r="AU56" s="1345"/>
      <c r="AV56" s="1345"/>
      <c r="AW56" s="1345"/>
      <c r="AX56" s="1346"/>
      <c r="AY56" s="1317"/>
      <c r="AZ56" s="1246"/>
      <c r="BA56" s="1246"/>
      <c r="BB56" s="1246"/>
      <c r="BC56" s="1345"/>
      <c r="BD56" s="1345"/>
      <c r="BE56" s="1345"/>
      <c r="BF56" s="1345"/>
      <c r="BG56" s="1346"/>
      <c r="BH56" s="1317"/>
      <c r="BI56" s="1246"/>
      <c r="BJ56" s="1246"/>
      <c r="BK56" s="1246"/>
      <c r="BL56" s="1345"/>
      <c r="BM56" s="1345"/>
      <c r="BN56" s="1345"/>
      <c r="BO56" s="1345"/>
      <c r="BP56" s="1346"/>
      <c r="BQ56" s="1317"/>
      <c r="BR56" s="1246"/>
      <c r="BS56" s="1246"/>
      <c r="BT56" s="1246"/>
      <c r="BU56" s="1345"/>
      <c r="BV56" s="1345"/>
      <c r="BW56" s="1345"/>
      <c r="BX56" s="1345"/>
      <c r="BY56" s="1346"/>
      <c r="BZ56" s="1317"/>
      <c r="CA56" s="1246"/>
      <c r="CB56" s="1246"/>
      <c r="CC56" s="1246"/>
      <c r="CD56" s="1246"/>
      <c r="CE56" s="1246"/>
      <c r="CF56" s="1345"/>
      <c r="CG56" s="1392"/>
      <c r="CH56" s="1393"/>
      <c r="CI56" s="1394">
        <f t="shared" si="10"/>
        <v>0</v>
      </c>
      <c r="CJ56" s="1435"/>
      <c r="CK56" s="1436"/>
      <c r="CL56" s="1437">
        <f t="shared" si="11"/>
        <v>0</v>
      </c>
      <c r="CM56" s="1438"/>
      <c r="CN56" s="1439">
        <f t="shared" si="12"/>
        <v>0</v>
      </c>
    </row>
    <row r="57" spans="1:92" s="1229" customFormat="1" ht="21" thickBot="1">
      <c r="A57" s="726" t="s">
        <v>120</v>
      </c>
      <c r="B57" s="2560" t="s">
        <v>472</v>
      </c>
      <c r="C57" s="2613"/>
      <c r="D57" s="540"/>
      <c r="E57" s="1277"/>
      <c r="F57" s="1245"/>
      <c r="G57" s="1246"/>
      <c r="H57" s="1246"/>
      <c r="I57" s="1246"/>
      <c r="J57" s="1315"/>
      <c r="K57" s="1246"/>
      <c r="L57" s="1291"/>
      <c r="M57" s="1291"/>
      <c r="N57" s="1316"/>
      <c r="O57" s="1317"/>
      <c r="P57" s="1246"/>
      <c r="Q57" s="1246"/>
      <c r="R57" s="1246"/>
      <c r="S57" s="1345"/>
      <c r="T57" s="1345"/>
      <c r="U57" s="1345"/>
      <c r="V57" s="1345"/>
      <c r="W57" s="1346"/>
      <c r="X57" s="1317"/>
      <c r="Y57" s="1246"/>
      <c r="Z57" s="1246"/>
      <c r="AA57" s="1246"/>
      <c r="AB57" s="1345"/>
      <c r="AC57" s="1345"/>
      <c r="AD57" s="1345"/>
      <c r="AE57" s="1345"/>
      <c r="AF57" s="1346"/>
      <c r="AG57" s="1317"/>
      <c r="AH57" s="1246"/>
      <c r="AI57" s="1246"/>
      <c r="AJ57" s="1345"/>
      <c r="AK57" s="1345"/>
      <c r="AL57" s="1345"/>
      <c r="AM57" s="1345"/>
      <c r="AN57" s="1345"/>
      <c r="AO57" s="1346"/>
      <c r="AP57" s="1317"/>
      <c r="AQ57" s="1246"/>
      <c r="AR57" s="1246"/>
      <c r="AS57" s="1246"/>
      <c r="AT57" s="1345"/>
      <c r="AU57" s="1345"/>
      <c r="AV57" s="1345"/>
      <c r="AW57" s="1345"/>
      <c r="AX57" s="1346"/>
      <c r="AY57" s="1317"/>
      <c r="AZ57" s="1246"/>
      <c r="BA57" s="1246"/>
      <c r="BB57" s="1246"/>
      <c r="BC57" s="1345"/>
      <c r="BD57" s="1345"/>
      <c r="BE57" s="1345"/>
      <c r="BF57" s="1345"/>
      <c r="BG57" s="1346"/>
      <c r="BH57" s="1317"/>
      <c r="BI57" s="1246"/>
      <c r="BJ57" s="1246"/>
      <c r="BK57" s="1246"/>
      <c r="BL57" s="1345"/>
      <c r="BM57" s="1345"/>
      <c r="BN57" s="1345"/>
      <c r="BO57" s="1345"/>
      <c r="BP57" s="1346"/>
      <c r="BQ57" s="1317"/>
      <c r="BR57" s="1246"/>
      <c r="BS57" s="1246"/>
      <c r="BT57" s="1246"/>
      <c r="BU57" s="1345"/>
      <c r="BV57" s="1345"/>
      <c r="BW57" s="1345"/>
      <c r="BX57" s="1345"/>
      <c r="BY57" s="1346"/>
      <c r="BZ57" s="1317"/>
      <c r="CA57" s="1246"/>
      <c r="CB57" s="1246"/>
      <c r="CC57" s="1246"/>
      <c r="CD57" s="1246"/>
      <c r="CE57" s="1246"/>
      <c r="CF57" s="1345"/>
      <c r="CG57" s="1392"/>
      <c r="CH57" s="1393"/>
      <c r="CI57" s="1394">
        <f t="shared" si="10"/>
        <v>0</v>
      </c>
      <c r="CJ57" s="1435"/>
      <c r="CK57" s="1436"/>
      <c r="CL57" s="1437">
        <f t="shared" si="11"/>
        <v>0</v>
      </c>
      <c r="CM57" s="1438"/>
      <c r="CN57" s="1439">
        <f t="shared" si="12"/>
        <v>0</v>
      </c>
    </row>
    <row r="58" spans="1:92" s="1229" customFormat="1" ht="21" thickBot="1">
      <c r="A58" s="726" t="s">
        <v>120</v>
      </c>
      <c r="B58" s="2560" t="s">
        <v>472</v>
      </c>
      <c r="C58" s="2613"/>
      <c r="D58" s="540"/>
      <c r="E58" s="1277"/>
      <c r="F58" s="1245"/>
      <c r="G58" s="1246"/>
      <c r="H58" s="1246"/>
      <c r="I58" s="1246"/>
      <c r="J58" s="1315"/>
      <c r="K58" s="1246"/>
      <c r="L58" s="1291"/>
      <c r="M58" s="1291"/>
      <c r="N58" s="1316"/>
      <c r="O58" s="1317"/>
      <c r="P58" s="1246"/>
      <c r="Q58" s="1246"/>
      <c r="R58" s="1246"/>
      <c r="S58" s="1345"/>
      <c r="T58" s="1345"/>
      <c r="U58" s="1345"/>
      <c r="V58" s="1345"/>
      <c r="W58" s="1346"/>
      <c r="X58" s="1317"/>
      <c r="Y58" s="1246"/>
      <c r="Z58" s="1246"/>
      <c r="AA58" s="1246"/>
      <c r="AB58" s="1345"/>
      <c r="AC58" s="1345"/>
      <c r="AD58" s="1345"/>
      <c r="AE58" s="1345"/>
      <c r="AF58" s="1346"/>
      <c r="AG58" s="1317"/>
      <c r="AH58" s="1246"/>
      <c r="AI58" s="1246"/>
      <c r="AJ58" s="1345"/>
      <c r="AK58" s="1345"/>
      <c r="AL58" s="1345"/>
      <c r="AM58" s="1345"/>
      <c r="AN58" s="1345"/>
      <c r="AO58" s="1346"/>
      <c r="AP58" s="1317"/>
      <c r="AQ58" s="1246"/>
      <c r="AR58" s="1246"/>
      <c r="AS58" s="1246"/>
      <c r="AT58" s="1345"/>
      <c r="AU58" s="1345"/>
      <c r="AV58" s="1345"/>
      <c r="AW58" s="1345"/>
      <c r="AX58" s="1346"/>
      <c r="AY58" s="1317"/>
      <c r="AZ58" s="1246"/>
      <c r="BA58" s="1246"/>
      <c r="BB58" s="1246"/>
      <c r="BC58" s="1345"/>
      <c r="BD58" s="1345"/>
      <c r="BE58" s="1345"/>
      <c r="BF58" s="1345"/>
      <c r="BG58" s="1346"/>
      <c r="BH58" s="1317"/>
      <c r="BI58" s="1246"/>
      <c r="BJ58" s="1246"/>
      <c r="BK58" s="1246"/>
      <c r="BL58" s="1345"/>
      <c r="BM58" s="1345"/>
      <c r="BN58" s="1345"/>
      <c r="BO58" s="1345"/>
      <c r="BP58" s="1346"/>
      <c r="BQ58" s="1317"/>
      <c r="BR58" s="1246"/>
      <c r="BS58" s="1246"/>
      <c r="BT58" s="1246"/>
      <c r="BU58" s="1345"/>
      <c r="BV58" s="1345"/>
      <c r="BW58" s="1345"/>
      <c r="BX58" s="1345"/>
      <c r="BY58" s="1346"/>
      <c r="BZ58" s="1317"/>
      <c r="CA58" s="1246"/>
      <c r="CB58" s="1246"/>
      <c r="CC58" s="1246"/>
      <c r="CD58" s="1246"/>
      <c r="CE58" s="1246"/>
      <c r="CF58" s="1345"/>
      <c r="CG58" s="1392"/>
      <c r="CH58" s="1393"/>
      <c r="CI58" s="1394">
        <f t="shared" si="10"/>
        <v>0</v>
      </c>
      <c r="CJ58" s="1435"/>
      <c r="CK58" s="1436"/>
      <c r="CL58" s="1437">
        <f t="shared" si="11"/>
        <v>0</v>
      </c>
      <c r="CM58" s="1438"/>
      <c r="CN58" s="1439">
        <f t="shared" si="12"/>
        <v>0</v>
      </c>
    </row>
    <row r="59" spans="1:92" s="1229" customFormat="1" ht="21" thickBot="1">
      <c r="A59" s="726" t="s">
        <v>120</v>
      </c>
      <c r="B59" s="2560" t="s">
        <v>472</v>
      </c>
      <c r="C59" s="2613"/>
      <c r="D59" s="540"/>
      <c r="E59" s="1277"/>
      <c r="F59" s="1245"/>
      <c r="G59" s="1246"/>
      <c r="H59" s="1246"/>
      <c r="I59" s="1246"/>
      <c r="J59" s="1315"/>
      <c r="K59" s="1246"/>
      <c r="L59" s="1291"/>
      <c r="M59" s="1291"/>
      <c r="N59" s="1316"/>
      <c r="O59" s="1317"/>
      <c r="P59" s="1246"/>
      <c r="Q59" s="1246"/>
      <c r="R59" s="1246"/>
      <c r="S59" s="1345"/>
      <c r="T59" s="1345"/>
      <c r="U59" s="1345"/>
      <c r="V59" s="1345"/>
      <c r="W59" s="1346"/>
      <c r="X59" s="1317"/>
      <c r="Y59" s="1246"/>
      <c r="Z59" s="1246"/>
      <c r="AA59" s="1246"/>
      <c r="AB59" s="1345"/>
      <c r="AC59" s="1345"/>
      <c r="AD59" s="1345"/>
      <c r="AE59" s="1345"/>
      <c r="AF59" s="1346"/>
      <c r="AG59" s="1317"/>
      <c r="AH59" s="1246"/>
      <c r="AI59" s="1246"/>
      <c r="AJ59" s="1345"/>
      <c r="AK59" s="1345"/>
      <c r="AL59" s="1345"/>
      <c r="AM59" s="1345"/>
      <c r="AN59" s="1345"/>
      <c r="AO59" s="1346"/>
      <c r="AP59" s="1317"/>
      <c r="AQ59" s="1246"/>
      <c r="AR59" s="1246"/>
      <c r="AS59" s="1246"/>
      <c r="AT59" s="1345"/>
      <c r="AU59" s="1345"/>
      <c r="AV59" s="1345"/>
      <c r="AW59" s="1345"/>
      <c r="AX59" s="1346"/>
      <c r="AY59" s="1317"/>
      <c r="AZ59" s="1246"/>
      <c r="BA59" s="1246"/>
      <c r="BB59" s="1246"/>
      <c r="BC59" s="1345"/>
      <c r="BD59" s="1345"/>
      <c r="BE59" s="1345"/>
      <c r="BF59" s="1345"/>
      <c r="BG59" s="1346"/>
      <c r="BH59" s="1317"/>
      <c r="BI59" s="1246"/>
      <c r="BJ59" s="1246"/>
      <c r="BK59" s="1246"/>
      <c r="BL59" s="1345"/>
      <c r="BM59" s="1345"/>
      <c r="BN59" s="1345"/>
      <c r="BO59" s="1345"/>
      <c r="BP59" s="1346"/>
      <c r="BQ59" s="1317"/>
      <c r="BR59" s="1246"/>
      <c r="BS59" s="1246"/>
      <c r="BT59" s="1246"/>
      <c r="BU59" s="1345"/>
      <c r="BV59" s="1345"/>
      <c r="BW59" s="1345"/>
      <c r="BX59" s="1345"/>
      <c r="BY59" s="1346"/>
      <c r="BZ59" s="1317"/>
      <c r="CA59" s="1246"/>
      <c r="CB59" s="1246"/>
      <c r="CC59" s="1246"/>
      <c r="CD59" s="1246"/>
      <c r="CE59" s="1246"/>
      <c r="CF59" s="1345"/>
      <c r="CG59" s="1392"/>
      <c r="CH59" s="1393"/>
      <c r="CI59" s="1394">
        <f t="shared" si="10"/>
        <v>0</v>
      </c>
      <c r="CJ59" s="1435"/>
      <c r="CK59" s="1436"/>
      <c r="CL59" s="1437">
        <f t="shared" si="11"/>
        <v>0</v>
      </c>
      <c r="CM59" s="1438"/>
      <c r="CN59" s="1439">
        <f t="shared" si="12"/>
        <v>0</v>
      </c>
    </row>
    <row r="60" spans="1:92" s="1229" customFormat="1" ht="21" thickBot="1">
      <c r="A60" s="726" t="s">
        <v>120</v>
      </c>
      <c r="B60" s="2560" t="s">
        <v>472</v>
      </c>
      <c r="C60" s="2613"/>
      <c r="D60" s="540"/>
      <c r="E60" s="1277"/>
      <c r="F60" s="1245"/>
      <c r="G60" s="1246"/>
      <c r="H60" s="1246"/>
      <c r="I60" s="1246"/>
      <c r="J60" s="1315"/>
      <c r="K60" s="1246"/>
      <c r="L60" s="1291"/>
      <c r="M60" s="1291"/>
      <c r="N60" s="1316"/>
      <c r="O60" s="1317"/>
      <c r="P60" s="1246"/>
      <c r="Q60" s="1246"/>
      <c r="R60" s="1246"/>
      <c r="S60" s="1345"/>
      <c r="T60" s="1345"/>
      <c r="U60" s="1345"/>
      <c r="V60" s="1345"/>
      <c r="W60" s="1346"/>
      <c r="X60" s="1317"/>
      <c r="Y60" s="1246"/>
      <c r="Z60" s="1246"/>
      <c r="AA60" s="1246"/>
      <c r="AB60" s="1345"/>
      <c r="AC60" s="1345"/>
      <c r="AD60" s="1345"/>
      <c r="AE60" s="1345"/>
      <c r="AF60" s="1346"/>
      <c r="AG60" s="1317"/>
      <c r="AH60" s="1246"/>
      <c r="AI60" s="1246"/>
      <c r="AJ60" s="1345"/>
      <c r="AK60" s="1345"/>
      <c r="AL60" s="1345"/>
      <c r="AM60" s="1345"/>
      <c r="AN60" s="1345"/>
      <c r="AO60" s="1346"/>
      <c r="AP60" s="1317"/>
      <c r="AQ60" s="1246"/>
      <c r="AR60" s="1246"/>
      <c r="AS60" s="1246"/>
      <c r="AT60" s="1345"/>
      <c r="AU60" s="1345"/>
      <c r="AV60" s="1345"/>
      <c r="AW60" s="1345"/>
      <c r="AX60" s="1346"/>
      <c r="AY60" s="1317"/>
      <c r="AZ60" s="1246"/>
      <c r="BA60" s="1246"/>
      <c r="BB60" s="1246"/>
      <c r="BC60" s="1345"/>
      <c r="BD60" s="1345"/>
      <c r="BE60" s="1345"/>
      <c r="BF60" s="1345"/>
      <c r="BG60" s="1346"/>
      <c r="BH60" s="1317"/>
      <c r="BI60" s="1246"/>
      <c r="BJ60" s="1246"/>
      <c r="BK60" s="1246"/>
      <c r="BL60" s="1345"/>
      <c r="BM60" s="1345"/>
      <c r="BN60" s="1345"/>
      <c r="BO60" s="1345"/>
      <c r="BP60" s="1346"/>
      <c r="BQ60" s="1317"/>
      <c r="BR60" s="1246"/>
      <c r="BS60" s="1246"/>
      <c r="BT60" s="1246"/>
      <c r="BU60" s="1345"/>
      <c r="BV60" s="1345"/>
      <c r="BW60" s="1345"/>
      <c r="BX60" s="1345"/>
      <c r="BY60" s="1346"/>
      <c r="BZ60" s="1317"/>
      <c r="CA60" s="1246"/>
      <c r="CB60" s="1246"/>
      <c r="CC60" s="1246"/>
      <c r="CD60" s="1246"/>
      <c r="CE60" s="1246"/>
      <c r="CF60" s="1345"/>
      <c r="CG60" s="1392"/>
      <c r="CH60" s="1393"/>
      <c r="CI60" s="1394">
        <f t="shared" si="10"/>
        <v>0</v>
      </c>
      <c r="CJ60" s="1435"/>
      <c r="CK60" s="1436"/>
      <c r="CL60" s="1437">
        <f t="shared" si="11"/>
        <v>0</v>
      </c>
      <c r="CM60" s="1438"/>
      <c r="CN60" s="1439">
        <f t="shared" si="12"/>
        <v>0</v>
      </c>
    </row>
    <row r="61" spans="1:92" s="1229" customFormat="1" ht="21" thickBot="1">
      <c r="A61" s="726" t="s">
        <v>120</v>
      </c>
      <c r="B61" s="2560"/>
      <c r="C61" s="2613"/>
      <c r="D61" s="540"/>
      <c r="E61" s="1277"/>
      <c r="F61" s="1245"/>
      <c r="G61" s="1246"/>
      <c r="H61" s="1246"/>
      <c r="I61" s="1246"/>
      <c r="J61" s="1315"/>
      <c r="K61" s="1246"/>
      <c r="L61" s="1291"/>
      <c r="M61" s="1291"/>
      <c r="N61" s="1316"/>
      <c r="O61" s="1317"/>
      <c r="P61" s="1246"/>
      <c r="Q61" s="1246"/>
      <c r="R61" s="1246"/>
      <c r="S61" s="1345"/>
      <c r="T61" s="1345"/>
      <c r="U61" s="1345"/>
      <c r="V61" s="1345"/>
      <c r="W61" s="1346"/>
      <c r="X61" s="1317"/>
      <c r="Y61" s="1246"/>
      <c r="Z61" s="1246"/>
      <c r="AA61" s="1246"/>
      <c r="AB61" s="1345"/>
      <c r="AC61" s="1345"/>
      <c r="AD61" s="1345"/>
      <c r="AE61" s="1345"/>
      <c r="AF61" s="1346"/>
      <c r="AG61" s="1317"/>
      <c r="AH61" s="1246"/>
      <c r="AI61" s="1246"/>
      <c r="AJ61" s="1345"/>
      <c r="AK61" s="1345"/>
      <c r="AL61" s="1345"/>
      <c r="AM61" s="1345"/>
      <c r="AN61" s="1345"/>
      <c r="AO61" s="1346"/>
      <c r="AP61" s="1317"/>
      <c r="AQ61" s="1246"/>
      <c r="AR61" s="1246"/>
      <c r="AS61" s="1246"/>
      <c r="AT61" s="1345"/>
      <c r="AU61" s="1345"/>
      <c r="AV61" s="1345"/>
      <c r="AW61" s="1345"/>
      <c r="AX61" s="1346"/>
      <c r="AY61" s="1317"/>
      <c r="AZ61" s="1246"/>
      <c r="BA61" s="1246"/>
      <c r="BB61" s="1246"/>
      <c r="BC61" s="1345"/>
      <c r="BD61" s="1345"/>
      <c r="BE61" s="1345"/>
      <c r="BF61" s="1345"/>
      <c r="BG61" s="1346"/>
      <c r="BH61" s="1317"/>
      <c r="BI61" s="1246"/>
      <c r="BJ61" s="1246"/>
      <c r="BK61" s="1246"/>
      <c r="BL61" s="1345"/>
      <c r="BM61" s="1345"/>
      <c r="BN61" s="1345"/>
      <c r="BO61" s="1345"/>
      <c r="BP61" s="1346"/>
      <c r="BQ61" s="1317"/>
      <c r="BR61" s="1246"/>
      <c r="BS61" s="1246"/>
      <c r="BT61" s="1246"/>
      <c r="BU61" s="1345"/>
      <c r="BV61" s="1345"/>
      <c r="BW61" s="1345"/>
      <c r="BX61" s="1345"/>
      <c r="BY61" s="1346"/>
      <c r="BZ61" s="1317"/>
      <c r="CA61" s="1246"/>
      <c r="CB61" s="1246"/>
      <c r="CC61" s="1246"/>
      <c r="CD61" s="1246"/>
      <c r="CE61" s="1246"/>
      <c r="CF61" s="1345"/>
      <c r="CG61" s="1392"/>
      <c r="CH61" s="1393"/>
      <c r="CI61" s="1394">
        <f t="shared" si="10"/>
        <v>0</v>
      </c>
      <c r="CJ61" s="1435"/>
      <c r="CK61" s="1436"/>
      <c r="CL61" s="1437">
        <f t="shared" si="11"/>
        <v>0</v>
      </c>
      <c r="CM61" s="1438"/>
      <c r="CN61" s="1439">
        <f t="shared" si="12"/>
        <v>0</v>
      </c>
    </row>
    <row r="62" spans="1:92" s="1229" customFormat="1" ht="21" thickBot="1">
      <c r="A62" s="726" t="s">
        <v>120</v>
      </c>
      <c r="B62" s="2560"/>
      <c r="C62" s="2613"/>
      <c r="D62" s="540"/>
      <c r="E62" s="1277"/>
      <c r="F62" s="1245"/>
      <c r="G62" s="1246"/>
      <c r="H62" s="1246"/>
      <c r="I62" s="1246"/>
      <c r="J62" s="1315"/>
      <c r="K62" s="1246"/>
      <c r="L62" s="1291"/>
      <c r="M62" s="1291"/>
      <c r="N62" s="1316"/>
      <c r="O62" s="1317"/>
      <c r="P62" s="1246"/>
      <c r="Q62" s="1246"/>
      <c r="R62" s="1246"/>
      <c r="S62" s="1345"/>
      <c r="T62" s="1345"/>
      <c r="U62" s="1345"/>
      <c r="V62" s="1345"/>
      <c r="W62" s="1346"/>
      <c r="X62" s="1317"/>
      <c r="Y62" s="1246"/>
      <c r="Z62" s="1246"/>
      <c r="AA62" s="1246"/>
      <c r="AB62" s="1345"/>
      <c r="AC62" s="1345"/>
      <c r="AD62" s="1345"/>
      <c r="AE62" s="1345"/>
      <c r="AF62" s="1346"/>
      <c r="AG62" s="1317"/>
      <c r="AH62" s="1246"/>
      <c r="AI62" s="1246"/>
      <c r="AJ62" s="1345"/>
      <c r="AK62" s="1345"/>
      <c r="AL62" s="1345"/>
      <c r="AM62" s="1345"/>
      <c r="AN62" s="1345"/>
      <c r="AO62" s="1346"/>
      <c r="AP62" s="1317"/>
      <c r="AQ62" s="1246"/>
      <c r="AR62" s="1246"/>
      <c r="AS62" s="1246"/>
      <c r="AT62" s="1345"/>
      <c r="AU62" s="1345"/>
      <c r="AV62" s="1345"/>
      <c r="AW62" s="1345"/>
      <c r="AX62" s="1346"/>
      <c r="AY62" s="1317"/>
      <c r="AZ62" s="1246"/>
      <c r="BA62" s="1246"/>
      <c r="BB62" s="1246"/>
      <c r="BC62" s="1345"/>
      <c r="BD62" s="1345"/>
      <c r="BE62" s="1345"/>
      <c r="BF62" s="1345"/>
      <c r="BG62" s="1346"/>
      <c r="BH62" s="1317"/>
      <c r="BI62" s="1246"/>
      <c r="BJ62" s="1246"/>
      <c r="BK62" s="1246"/>
      <c r="BL62" s="1345"/>
      <c r="BM62" s="1345"/>
      <c r="BN62" s="1345"/>
      <c r="BO62" s="1345"/>
      <c r="BP62" s="1346"/>
      <c r="BQ62" s="1317"/>
      <c r="BR62" s="1246"/>
      <c r="BS62" s="1246"/>
      <c r="BT62" s="1246"/>
      <c r="BU62" s="1345"/>
      <c r="BV62" s="1345"/>
      <c r="BW62" s="1345"/>
      <c r="BX62" s="1345"/>
      <c r="BY62" s="1346"/>
      <c r="BZ62" s="1317"/>
      <c r="CA62" s="1246"/>
      <c r="CB62" s="1246"/>
      <c r="CC62" s="1246"/>
      <c r="CD62" s="1246"/>
      <c r="CE62" s="1246"/>
      <c r="CF62" s="1345"/>
      <c r="CG62" s="1392"/>
      <c r="CH62" s="1393"/>
      <c r="CI62" s="1394">
        <f t="shared" si="10"/>
        <v>0</v>
      </c>
      <c r="CJ62" s="1435"/>
      <c r="CK62" s="1436"/>
      <c r="CL62" s="1437">
        <f t="shared" si="11"/>
        <v>0</v>
      </c>
      <c r="CM62" s="1438"/>
      <c r="CN62" s="1439">
        <f t="shared" si="12"/>
        <v>0</v>
      </c>
    </row>
    <row r="63" spans="1:92" s="1229" customFormat="1" ht="21" thickBot="1">
      <c r="A63" s="726" t="s">
        <v>120</v>
      </c>
      <c r="B63" s="2560"/>
      <c r="C63" s="2613"/>
      <c r="D63" s="540"/>
      <c r="E63" s="1277"/>
      <c r="F63" s="1245"/>
      <c r="G63" s="1246"/>
      <c r="H63" s="1246"/>
      <c r="I63" s="1246"/>
      <c r="J63" s="1315"/>
      <c r="K63" s="1246"/>
      <c r="L63" s="1291"/>
      <c r="M63" s="1291"/>
      <c r="N63" s="1316"/>
      <c r="O63" s="1317"/>
      <c r="P63" s="1246"/>
      <c r="Q63" s="1246"/>
      <c r="R63" s="1246"/>
      <c r="S63" s="1345"/>
      <c r="T63" s="1345"/>
      <c r="U63" s="1345"/>
      <c r="V63" s="1345"/>
      <c r="W63" s="1346"/>
      <c r="X63" s="1317"/>
      <c r="Y63" s="1246"/>
      <c r="Z63" s="1246"/>
      <c r="AA63" s="1246"/>
      <c r="AB63" s="1345"/>
      <c r="AC63" s="1345"/>
      <c r="AD63" s="1345"/>
      <c r="AE63" s="1345"/>
      <c r="AF63" s="1346"/>
      <c r="AG63" s="1317"/>
      <c r="AH63" s="1246"/>
      <c r="AI63" s="1246"/>
      <c r="AJ63" s="1345"/>
      <c r="AK63" s="1345"/>
      <c r="AL63" s="1345"/>
      <c r="AM63" s="1345"/>
      <c r="AN63" s="1345"/>
      <c r="AO63" s="1346"/>
      <c r="AP63" s="1317"/>
      <c r="AQ63" s="1246"/>
      <c r="AR63" s="1246"/>
      <c r="AS63" s="1246"/>
      <c r="AT63" s="1345"/>
      <c r="AU63" s="1345"/>
      <c r="AV63" s="1345"/>
      <c r="AW63" s="1345"/>
      <c r="AX63" s="1346"/>
      <c r="AY63" s="1317"/>
      <c r="AZ63" s="1246"/>
      <c r="BA63" s="1246"/>
      <c r="BB63" s="1246"/>
      <c r="BC63" s="1345"/>
      <c r="BD63" s="1345"/>
      <c r="BE63" s="1345"/>
      <c r="BF63" s="1345"/>
      <c r="BG63" s="1346"/>
      <c r="BH63" s="1317"/>
      <c r="BI63" s="1246"/>
      <c r="BJ63" s="1246"/>
      <c r="BK63" s="1246"/>
      <c r="BL63" s="1345"/>
      <c r="BM63" s="1345"/>
      <c r="BN63" s="1345"/>
      <c r="BO63" s="1345"/>
      <c r="BP63" s="1346"/>
      <c r="BQ63" s="1317"/>
      <c r="BR63" s="1246"/>
      <c r="BS63" s="1246"/>
      <c r="BT63" s="1246"/>
      <c r="BU63" s="1345"/>
      <c r="BV63" s="1345"/>
      <c r="BW63" s="1345"/>
      <c r="BX63" s="1345"/>
      <c r="BY63" s="1346"/>
      <c r="BZ63" s="1317"/>
      <c r="CA63" s="1246"/>
      <c r="CB63" s="1246"/>
      <c r="CC63" s="1246"/>
      <c r="CD63" s="1246"/>
      <c r="CE63" s="1246"/>
      <c r="CF63" s="1345"/>
      <c r="CG63" s="1392"/>
      <c r="CH63" s="1393"/>
      <c r="CI63" s="1394">
        <f t="shared" si="10"/>
        <v>0</v>
      </c>
      <c r="CJ63" s="1435"/>
      <c r="CK63" s="1436"/>
      <c r="CL63" s="1437">
        <f t="shared" si="11"/>
        <v>0</v>
      </c>
      <c r="CM63" s="1438"/>
      <c r="CN63" s="1439">
        <f t="shared" si="12"/>
        <v>0</v>
      </c>
    </row>
    <row r="64" spans="1:92" s="1229" customFormat="1" ht="21" thickBot="1">
      <c r="A64" s="726" t="s">
        <v>120</v>
      </c>
      <c r="B64" s="2560"/>
      <c r="C64" s="2613"/>
      <c r="D64" s="540"/>
      <c r="E64" s="1277"/>
      <c r="F64" s="1245"/>
      <c r="G64" s="1246"/>
      <c r="H64" s="1246"/>
      <c r="I64" s="1246"/>
      <c r="J64" s="1315"/>
      <c r="K64" s="1246"/>
      <c r="L64" s="1291"/>
      <c r="M64" s="1291"/>
      <c r="N64" s="1316"/>
      <c r="O64" s="1317"/>
      <c r="P64" s="1246"/>
      <c r="Q64" s="1246"/>
      <c r="R64" s="1246"/>
      <c r="S64" s="1345"/>
      <c r="T64" s="1345"/>
      <c r="U64" s="1345"/>
      <c r="V64" s="1345"/>
      <c r="W64" s="1346"/>
      <c r="X64" s="1317"/>
      <c r="Y64" s="1246"/>
      <c r="Z64" s="1246"/>
      <c r="AA64" s="1246"/>
      <c r="AB64" s="1345"/>
      <c r="AC64" s="1345"/>
      <c r="AD64" s="1345"/>
      <c r="AE64" s="1345"/>
      <c r="AF64" s="1346"/>
      <c r="AG64" s="1317"/>
      <c r="AH64" s="1246"/>
      <c r="AI64" s="1246"/>
      <c r="AJ64" s="1345"/>
      <c r="AK64" s="1345"/>
      <c r="AL64" s="1345"/>
      <c r="AM64" s="1345"/>
      <c r="AN64" s="1345"/>
      <c r="AO64" s="1346"/>
      <c r="AP64" s="1317"/>
      <c r="AQ64" s="1246"/>
      <c r="AR64" s="1246"/>
      <c r="AS64" s="1246"/>
      <c r="AT64" s="1345"/>
      <c r="AU64" s="1345"/>
      <c r="AV64" s="1345"/>
      <c r="AW64" s="1345"/>
      <c r="AX64" s="1346"/>
      <c r="AY64" s="1317"/>
      <c r="AZ64" s="1246"/>
      <c r="BA64" s="1246"/>
      <c r="BB64" s="1246"/>
      <c r="BC64" s="1345"/>
      <c r="BD64" s="1345"/>
      <c r="BE64" s="1345"/>
      <c r="BF64" s="1345"/>
      <c r="BG64" s="1346"/>
      <c r="BH64" s="1317"/>
      <c r="BI64" s="1246"/>
      <c r="BJ64" s="1246"/>
      <c r="BK64" s="1246"/>
      <c r="BL64" s="1345"/>
      <c r="BM64" s="1345"/>
      <c r="BN64" s="1345"/>
      <c r="BO64" s="1345"/>
      <c r="BP64" s="1346"/>
      <c r="BQ64" s="1317"/>
      <c r="BR64" s="1246"/>
      <c r="BS64" s="1246"/>
      <c r="BT64" s="1246"/>
      <c r="BU64" s="1345"/>
      <c r="BV64" s="1345"/>
      <c r="BW64" s="1345"/>
      <c r="BX64" s="1345"/>
      <c r="BY64" s="1346"/>
      <c r="BZ64" s="1317"/>
      <c r="CA64" s="1246"/>
      <c r="CB64" s="1246"/>
      <c r="CC64" s="1246"/>
      <c r="CD64" s="1246"/>
      <c r="CE64" s="1246"/>
      <c r="CF64" s="1345"/>
      <c r="CG64" s="1392"/>
      <c r="CH64" s="1393"/>
      <c r="CI64" s="1394">
        <f t="shared" si="10"/>
        <v>0</v>
      </c>
      <c r="CJ64" s="1435"/>
      <c r="CK64" s="1436"/>
      <c r="CL64" s="1437">
        <f t="shared" si="11"/>
        <v>0</v>
      </c>
      <c r="CM64" s="1438"/>
      <c r="CN64" s="1439">
        <f t="shared" si="12"/>
        <v>0</v>
      </c>
    </row>
    <row r="65" spans="1:95" s="1229" customFormat="1" ht="21" thickBot="1">
      <c r="A65" s="726" t="s">
        <v>120</v>
      </c>
      <c r="B65" s="2610"/>
      <c r="C65" s="2613"/>
      <c r="D65" s="540"/>
      <c r="E65" s="1277"/>
      <c r="F65" s="1245"/>
      <c r="G65" s="1246"/>
      <c r="H65" s="1246"/>
      <c r="I65" s="1246"/>
      <c r="J65" s="1315"/>
      <c r="K65" s="1246"/>
      <c r="L65" s="1291"/>
      <c r="M65" s="1291"/>
      <c r="N65" s="1316"/>
      <c r="O65" s="1317"/>
      <c r="P65" s="1246"/>
      <c r="Q65" s="1246"/>
      <c r="R65" s="1246"/>
      <c r="S65" s="1345"/>
      <c r="T65" s="1345"/>
      <c r="U65" s="1345"/>
      <c r="V65" s="1345"/>
      <c r="W65" s="1346"/>
      <c r="X65" s="1317"/>
      <c r="Y65" s="1246"/>
      <c r="Z65" s="1246"/>
      <c r="AA65" s="1246"/>
      <c r="AB65" s="1345"/>
      <c r="AC65" s="1345"/>
      <c r="AD65" s="1345"/>
      <c r="AE65" s="1345"/>
      <c r="AF65" s="1346"/>
      <c r="AG65" s="1317"/>
      <c r="AH65" s="1246"/>
      <c r="AI65" s="1246"/>
      <c r="AJ65" s="1345"/>
      <c r="AK65" s="1345"/>
      <c r="AL65" s="1345"/>
      <c r="AM65" s="1345"/>
      <c r="AN65" s="1345"/>
      <c r="AO65" s="1346"/>
      <c r="AP65" s="1317"/>
      <c r="AQ65" s="1246"/>
      <c r="AR65" s="1246"/>
      <c r="AS65" s="1246"/>
      <c r="AT65" s="1345"/>
      <c r="AU65" s="1345"/>
      <c r="AV65" s="1345"/>
      <c r="AW65" s="1345"/>
      <c r="AX65" s="1346"/>
      <c r="AY65" s="1317"/>
      <c r="AZ65" s="1246"/>
      <c r="BA65" s="1246"/>
      <c r="BB65" s="1246"/>
      <c r="BC65" s="1345"/>
      <c r="BD65" s="1345"/>
      <c r="BE65" s="1345"/>
      <c r="BF65" s="1345"/>
      <c r="BG65" s="1346"/>
      <c r="BH65" s="1317"/>
      <c r="BI65" s="1246"/>
      <c r="BJ65" s="1246"/>
      <c r="BK65" s="1246"/>
      <c r="BL65" s="1345"/>
      <c r="BM65" s="1345"/>
      <c r="BN65" s="1345"/>
      <c r="BO65" s="1345"/>
      <c r="BP65" s="1346"/>
      <c r="BQ65" s="1317"/>
      <c r="BR65" s="1246"/>
      <c r="BS65" s="1246"/>
      <c r="BT65" s="1246"/>
      <c r="BU65" s="1345"/>
      <c r="BV65" s="1345"/>
      <c r="BW65" s="1345"/>
      <c r="BX65" s="1345"/>
      <c r="BY65" s="1346"/>
      <c r="BZ65" s="1317"/>
      <c r="CA65" s="1246"/>
      <c r="CB65" s="1246"/>
      <c r="CC65" s="1246"/>
      <c r="CD65" s="1246"/>
      <c r="CE65" s="1246"/>
      <c r="CF65" s="1345"/>
      <c r="CG65" s="1392"/>
      <c r="CH65" s="1393"/>
      <c r="CI65" s="1394">
        <f t="shared" si="10"/>
        <v>0</v>
      </c>
      <c r="CJ65" s="1435"/>
      <c r="CK65" s="1436"/>
      <c r="CL65" s="1437">
        <f t="shared" si="11"/>
        <v>0</v>
      </c>
      <c r="CM65" s="1438"/>
      <c r="CN65" s="1439">
        <f t="shared" si="12"/>
        <v>0</v>
      </c>
    </row>
    <row r="66" spans="1:95" s="1229" customFormat="1" ht="21" thickBot="1">
      <c r="A66" s="726" t="s">
        <v>120</v>
      </c>
      <c r="B66" s="2610"/>
      <c r="C66" s="2613"/>
      <c r="D66" s="540"/>
      <c r="E66" s="1277"/>
      <c r="F66" s="1245"/>
      <c r="G66" s="1246"/>
      <c r="H66" s="1246"/>
      <c r="I66" s="1246"/>
      <c r="J66" s="1315"/>
      <c r="K66" s="1246"/>
      <c r="L66" s="1291"/>
      <c r="M66" s="1291"/>
      <c r="N66" s="1316"/>
      <c r="O66" s="1317"/>
      <c r="P66" s="1246"/>
      <c r="Q66" s="1246"/>
      <c r="R66" s="1246"/>
      <c r="S66" s="1345"/>
      <c r="T66" s="1345"/>
      <c r="U66" s="1345"/>
      <c r="V66" s="1345"/>
      <c r="W66" s="1346"/>
      <c r="X66" s="1317"/>
      <c r="Y66" s="1246"/>
      <c r="Z66" s="1246"/>
      <c r="AA66" s="1246"/>
      <c r="AB66" s="1345"/>
      <c r="AC66" s="1345"/>
      <c r="AD66" s="1345"/>
      <c r="AE66" s="1345"/>
      <c r="AF66" s="1346"/>
      <c r="AG66" s="1317"/>
      <c r="AH66" s="1246"/>
      <c r="AI66" s="1246"/>
      <c r="AJ66" s="1345"/>
      <c r="AK66" s="1345"/>
      <c r="AL66" s="1345"/>
      <c r="AM66" s="1345"/>
      <c r="AN66" s="1345"/>
      <c r="AO66" s="1346"/>
      <c r="AP66" s="1317"/>
      <c r="AQ66" s="1246"/>
      <c r="AR66" s="1246"/>
      <c r="AS66" s="1246"/>
      <c r="AT66" s="1345"/>
      <c r="AU66" s="1345"/>
      <c r="AV66" s="1345"/>
      <c r="AW66" s="1345"/>
      <c r="AX66" s="1346"/>
      <c r="AY66" s="1317"/>
      <c r="AZ66" s="1246"/>
      <c r="BA66" s="1246"/>
      <c r="BB66" s="1246"/>
      <c r="BC66" s="1345"/>
      <c r="BD66" s="1345"/>
      <c r="BE66" s="1345"/>
      <c r="BF66" s="1345"/>
      <c r="BG66" s="1346"/>
      <c r="BH66" s="1317"/>
      <c r="BI66" s="1246"/>
      <c r="BJ66" s="1246"/>
      <c r="BK66" s="1246"/>
      <c r="BL66" s="1345"/>
      <c r="BM66" s="1345"/>
      <c r="BN66" s="1345"/>
      <c r="BO66" s="1345"/>
      <c r="BP66" s="1346"/>
      <c r="BQ66" s="1317"/>
      <c r="BR66" s="1246"/>
      <c r="BS66" s="1246"/>
      <c r="BT66" s="1246"/>
      <c r="BU66" s="1345"/>
      <c r="BV66" s="1345"/>
      <c r="BW66" s="1345"/>
      <c r="BX66" s="1345"/>
      <c r="BY66" s="1346"/>
      <c r="BZ66" s="1317"/>
      <c r="CA66" s="1246"/>
      <c r="CB66" s="1246"/>
      <c r="CC66" s="1246"/>
      <c r="CD66" s="1246"/>
      <c r="CE66" s="1246"/>
      <c r="CF66" s="1345"/>
      <c r="CG66" s="1392"/>
      <c r="CH66" s="1393"/>
      <c r="CI66" s="1394">
        <f t="shared" si="10"/>
        <v>0</v>
      </c>
      <c r="CJ66" s="1435"/>
      <c r="CK66" s="1436"/>
      <c r="CL66" s="1437">
        <f t="shared" si="11"/>
        <v>0</v>
      </c>
      <c r="CM66" s="1438"/>
      <c r="CN66" s="1439">
        <f t="shared" si="12"/>
        <v>0</v>
      </c>
    </row>
    <row r="67" spans="1:95" s="1229" customFormat="1" ht="21" thickBot="1">
      <c r="A67" s="726" t="s">
        <v>120</v>
      </c>
      <c r="B67" s="2610"/>
      <c r="C67" s="2613"/>
      <c r="D67" s="540"/>
      <c r="E67" s="1277"/>
      <c r="F67" s="1245"/>
      <c r="G67" s="1246"/>
      <c r="H67" s="1246"/>
      <c r="I67" s="1246"/>
      <c r="J67" s="1315"/>
      <c r="K67" s="1246"/>
      <c r="L67" s="1291"/>
      <c r="M67" s="1291"/>
      <c r="N67" s="1316"/>
      <c r="O67" s="1317"/>
      <c r="P67" s="1246"/>
      <c r="Q67" s="1246"/>
      <c r="R67" s="1246"/>
      <c r="S67" s="1345"/>
      <c r="T67" s="1345"/>
      <c r="U67" s="1345"/>
      <c r="V67" s="1345"/>
      <c r="W67" s="1346"/>
      <c r="X67" s="1317"/>
      <c r="Y67" s="1246"/>
      <c r="Z67" s="1246"/>
      <c r="AA67" s="1246"/>
      <c r="AB67" s="1345"/>
      <c r="AC67" s="1345"/>
      <c r="AD67" s="1345"/>
      <c r="AE67" s="1345"/>
      <c r="AF67" s="1346"/>
      <c r="AG67" s="1317"/>
      <c r="AH67" s="1246"/>
      <c r="AI67" s="1246"/>
      <c r="AJ67" s="1345"/>
      <c r="AK67" s="1345"/>
      <c r="AL67" s="1345"/>
      <c r="AM67" s="1345"/>
      <c r="AN67" s="1345"/>
      <c r="AO67" s="1346"/>
      <c r="AP67" s="1317"/>
      <c r="AQ67" s="1246"/>
      <c r="AR67" s="1246"/>
      <c r="AS67" s="1246"/>
      <c r="AT67" s="1345"/>
      <c r="AU67" s="1345"/>
      <c r="AV67" s="1345"/>
      <c r="AW67" s="1345"/>
      <c r="AX67" s="1346"/>
      <c r="AY67" s="1317"/>
      <c r="AZ67" s="1246"/>
      <c r="BA67" s="1246"/>
      <c r="BB67" s="1246"/>
      <c r="BC67" s="1345"/>
      <c r="BD67" s="1345"/>
      <c r="BE67" s="1345"/>
      <c r="BF67" s="1345"/>
      <c r="BG67" s="1346"/>
      <c r="BH67" s="1317"/>
      <c r="BI67" s="1246"/>
      <c r="BJ67" s="1246"/>
      <c r="BK67" s="1246"/>
      <c r="BL67" s="1345"/>
      <c r="BM67" s="1345"/>
      <c r="BN67" s="1345"/>
      <c r="BO67" s="1345"/>
      <c r="BP67" s="1346"/>
      <c r="BQ67" s="1317"/>
      <c r="BR67" s="1246"/>
      <c r="BS67" s="1246"/>
      <c r="BT67" s="1246"/>
      <c r="BU67" s="1345"/>
      <c r="BV67" s="1345"/>
      <c r="BW67" s="1345"/>
      <c r="BX67" s="1345"/>
      <c r="BY67" s="1346"/>
      <c r="BZ67" s="1317"/>
      <c r="CA67" s="1246"/>
      <c r="CB67" s="1246"/>
      <c r="CC67" s="1246"/>
      <c r="CD67" s="1246"/>
      <c r="CE67" s="1246"/>
      <c r="CF67" s="1345"/>
      <c r="CG67" s="1392"/>
      <c r="CH67" s="1393"/>
      <c r="CI67" s="1394">
        <f t="shared" si="10"/>
        <v>0</v>
      </c>
      <c r="CJ67" s="1435"/>
      <c r="CK67" s="1436"/>
      <c r="CL67" s="1437">
        <f t="shared" si="11"/>
        <v>0</v>
      </c>
      <c r="CM67" s="1438"/>
      <c r="CN67" s="1439">
        <f t="shared" si="12"/>
        <v>0</v>
      </c>
    </row>
    <row r="68" spans="1:95" s="283" customFormat="1" ht="21" thickBot="1">
      <c r="A68" s="726" t="s">
        <v>120</v>
      </c>
      <c r="B68" s="2610"/>
      <c r="C68" s="2613"/>
      <c r="D68" s="540"/>
      <c r="E68" s="1277"/>
      <c r="F68" s="1245"/>
      <c r="G68" s="1246"/>
      <c r="H68" s="1246"/>
      <c r="I68" s="1246"/>
      <c r="J68" s="1315"/>
      <c r="K68" s="1246"/>
      <c r="L68" s="1291"/>
      <c r="M68" s="1291"/>
      <c r="N68" s="1316"/>
      <c r="O68" s="1317"/>
      <c r="P68" s="1246"/>
      <c r="Q68" s="1246"/>
      <c r="R68" s="1246"/>
      <c r="S68" s="1345"/>
      <c r="T68" s="1345"/>
      <c r="U68" s="1345"/>
      <c r="V68" s="1345"/>
      <c r="W68" s="1346"/>
      <c r="X68" s="1317"/>
      <c r="Y68" s="1246"/>
      <c r="Z68" s="1246"/>
      <c r="AA68" s="1246"/>
      <c r="AB68" s="1345"/>
      <c r="AC68" s="1345"/>
      <c r="AD68" s="1345"/>
      <c r="AE68" s="1345"/>
      <c r="AF68" s="1346"/>
      <c r="AG68" s="1317"/>
      <c r="AH68" s="1246"/>
      <c r="AI68" s="1246"/>
      <c r="AJ68" s="1345"/>
      <c r="AK68" s="1345"/>
      <c r="AL68" s="1345"/>
      <c r="AM68" s="1345"/>
      <c r="AN68" s="1345"/>
      <c r="AO68" s="1346"/>
      <c r="AP68" s="1317"/>
      <c r="AQ68" s="1246"/>
      <c r="AR68" s="1246"/>
      <c r="AS68" s="1246"/>
      <c r="AT68" s="1345"/>
      <c r="AU68" s="1345"/>
      <c r="AV68" s="1345"/>
      <c r="AW68" s="1345"/>
      <c r="AX68" s="1346"/>
      <c r="AY68" s="1317"/>
      <c r="AZ68" s="1246"/>
      <c r="BA68" s="1246"/>
      <c r="BB68" s="1246"/>
      <c r="BC68" s="1345"/>
      <c r="BD68" s="1345"/>
      <c r="BE68" s="1345"/>
      <c r="BF68" s="1345"/>
      <c r="BG68" s="1346"/>
      <c r="BH68" s="1317"/>
      <c r="BI68" s="1246"/>
      <c r="BJ68" s="1246"/>
      <c r="BK68" s="1246"/>
      <c r="BL68" s="1345"/>
      <c r="BM68" s="1345"/>
      <c r="BN68" s="1345"/>
      <c r="BO68" s="1345"/>
      <c r="BP68" s="1346"/>
      <c r="BQ68" s="1317"/>
      <c r="BR68" s="1246"/>
      <c r="BS68" s="1246"/>
      <c r="BT68" s="1246"/>
      <c r="BU68" s="1345"/>
      <c r="BV68" s="1345"/>
      <c r="BW68" s="1345"/>
      <c r="BX68" s="1345"/>
      <c r="BY68" s="1346"/>
      <c r="BZ68" s="1317"/>
      <c r="CA68" s="1246"/>
      <c r="CB68" s="1246"/>
      <c r="CC68" s="1246"/>
      <c r="CD68" s="1246"/>
      <c r="CE68" s="1246"/>
      <c r="CF68" s="1345"/>
      <c r="CG68" s="1392"/>
      <c r="CH68" s="1393"/>
      <c r="CI68" s="1394">
        <f t="shared" si="10"/>
        <v>0</v>
      </c>
      <c r="CJ68" s="1435"/>
      <c r="CK68" s="1436"/>
      <c r="CL68" s="1437">
        <f t="shared" si="11"/>
        <v>0</v>
      </c>
      <c r="CM68" s="1438"/>
      <c r="CN68" s="1439">
        <f t="shared" si="12"/>
        <v>0</v>
      </c>
      <c r="CO68" s="396" t="s">
        <v>111</v>
      </c>
      <c r="CP68" s="397" t="s">
        <v>23</v>
      </c>
      <c r="CQ68" s="398" t="s">
        <v>112</v>
      </c>
    </row>
    <row r="69" spans="1:95" s="1227" customFormat="1" ht="21" thickBot="1">
      <c r="A69" s="726" t="s">
        <v>120</v>
      </c>
      <c r="B69" s="2610"/>
      <c r="C69" s="2613"/>
      <c r="D69" s="540"/>
      <c r="E69" s="1277"/>
      <c r="F69" s="1245"/>
      <c r="G69" s="1246"/>
      <c r="H69" s="1246"/>
      <c r="I69" s="1246"/>
      <c r="J69" s="1315"/>
      <c r="K69" s="1246"/>
      <c r="L69" s="1291"/>
      <c r="M69" s="1291"/>
      <c r="N69" s="1316"/>
      <c r="O69" s="1317"/>
      <c r="P69" s="1246"/>
      <c r="Q69" s="1246"/>
      <c r="R69" s="1246"/>
      <c r="S69" s="1345"/>
      <c r="T69" s="1345"/>
      <c r="U69" s="1345"/>
      <c r="V69" s="1345"/>
      <c r="W69" s="1346"/>
      <c r="X69" s="1317"/>
      <c r="Y69" s="1246"/>
      <c r="Z69" s="1246"/>
      <c r="AA69" s="1246"/>
      <c r="AB69" s="1345"/>
      <c r="AC69" s="1345"/>
      <c r="AD69" s="1345"/>
      <c r="AE69" s="1345"/>
      <c r="AF69" s="1346"/>
      <c r="AG69" s="1317"/>
      <c r="AH69" s="1246"/>
      <c r="AI69" s="1246"/>
      <c r="AJ69" s="1345"/>
      <c r="AK69" s="1345"/>
      <c r="AL69" s="1345"/>
      <c r="AM69" s="1345"/>
      <c r="AN69" s="1345"/>
      <c r="AO69" s="1346"/>
      <c r="AP69" s="1317"/>
      <c r="AQ69" s="1246"/>
      <c r="AR69" s="1246"/>
      <c r="AS69" s="1246"/>
      <c r="AT69" s="1345"/>
      <c r="AU69" s="1345"/>
      <c r="AV69" s="1345"/>
      <c r="AW69" s="1345"/>
      <c r="AX69" s="1346"/>
      <c r="AY69" s="1317"/>
      <c r="AZ69" s="1246"/>
      <c r="BA69" s="1246"/>
      <c r="BB69" s="1246"/>
      <c r="BC69" s="1345"/>
      <c r="BD69" s="1345"/>
      <c r="BE69" s="1345"/>
      <c r="BF69" s="1345"/>
      <c r="BG69" s="1346"/>
      <c r="BH69" s="1317"/>
      <c r="BI69" s="1246"/>
      <c r="BJ69" s="1246"/>
      <c r="BK69" s="1246"/>
      <c r="BL69" s="1345"/>
      <c r="BM69" s="1345"/>
      <c r="BN69" s="1345"/>
      <c r="BO69" s="1345"/>
      <c r="BP69" s="1346"/>
      <c r="BQ69" s="1317"/>
      <c r="BR69" s="1246"/>
      <c r="BS69" s="1246"/>
      <c r="BT69" s="1246"/>
      <c r="BU69" s="1345"/>
      <c r="BV69" s="1345"/>
      <c r="BW69" s="1345"/>
      <c r="BX69" s="1345"/>
      <c r="BY69" s="1346"/>
      <c r="BZ69" s="1317"/>
      <c r="CA69" s="1246"/>
      <c r="CB69" s="1246"/>
      <c r="CC69" s="1246"/>
      <c r="CD69" s="1246"/>
      <c r="CE69" s="1246"/>
      <c r="CF69" s="1345"/>
      <c r="CG69" s="1392"/>
      <c r="CH69" s="1393"/>
      <c r="CI69" s="1394">
        <f t="shared" si="10"/>
        <v>0</v>
      </c>
      <c r="CJ69" s="1435"/>
      <c r="CK69" s="1436"/>
      <c r="CL69" s="1437">
        <f t="shared" si="11"/>
        <v>0</v>
      </c>
      <c r="CM69" s="1438"/>
      <c r="CN69" s="1439">
        <f t="shared" si="12"/>
        <v>0</v>
      </c>
      <c r="CO69" s="1470">
        <f>'Jordan Chair'!AH53</f>
        <v>0</v>
      </c>
      <c r="CP69" s="400">
        <f>'Tea Table'!X85</f>
        <v>0</v>
      </c>
      <c r="CQ69" s="718">
        <f>CL77+CO69+CP69</f>
        <v>14560</v>
      </c>
    </row>
    <row r="70" spans="1:95" s="1227" customFormat="1" ht="19.5" customHeight="1" thickBot="1">
      <c r="A70" s="726" t="s">
        <v>120</v>
      </c>
      <c r="B70" s="2598"/>
      <c r="C70" s="2614"/>
      <c r="D70" s="540"/>
      <c r="E70" s="1262"/>
      <c r="F70" s="1249"/>
      <c r="G70" s="1250"/>
      <c r="H70" s="1250"/>
      <c r="I70" s="1250"/>
      <c r="J70" s="1250"/>
      <c r="K70" s="1250"/>
      <c r="L70" s="1292"/>
      <c r="M70" s="1292"/>
      <c r="N70" s="1293"/>
      <c r="O70" s="1330"/>
      <c r="P70" s="1327"/>
      <c r="Q70" s="1327"/>
      <c r="R70" s="1327"/>
      <c r="S70" s="1328"/>
      <c r="T70" s="1328"/>
      <c r="U70" s="1328"/>
      <c r="V70" s="1328"/>
      <c r="W70" s="1329"/>
      <c r="X70" s="1330"/>
      <c r="Y70" s="1327"/>
      <c r="Z70" s="1327"/>
      <c r="AA70" s="1327"/>
      <c r="AB70" s="1328"/>
      <c r="AC70" s="1328"/>
      <c r="AD70" s="1352"/>
      <c r="AE70" s="1328"/>
      <c r="AF70" s="1329"/>
      <c r="AG70" s="1330"/>
      <c r="AH70" s="1327"/>
      <c r="AI70" s="1327"/>
      <c r="AJ70" s="1328"/>
      <c r="AK70" s="1328"/>
      <c r="AL70" s="1328"/>
      <c r="AM70" s="1328"/>
      <c r="AN70" s="1328"/>
      <c r="AO70" s="1329"/>
      <c r="AP70" s="1330"/>
      <c r="AQ70" s="1327"/>
      <c r="AR70" s="1327"/>
      <c r="AS70" s="1327"/>
      <c r="AT70" s="1328"/>
      <c r="AU70" s="1328"/>
      <c r="AV70" s="1328"/>
      <c r="AW70" s="1328"/>
      <c r="AX70" s="1329"/>
      <c r="AY70" s="1465"/>
      <c r="AZ70" s="1327"/>
      <c r="BA70" s="1295"/>
      <c r="BB70" s="1295"/>
      <c r="BC70" s="1362"/>
      <c r="BD70" s="1466"/>
      <c r="BE70" s="1328"/>
      <c r="BF70" s="1328"/>
      <c r="BG70" s="1329"/>
      <c r="BH70" s="1330"/>
      <c r="BI70" s="1327"/>
      <c r="BJ70" s="1327"/>
      <c r="BK70" s="1327"/>
      <c r="BL70" s="1328"/>
      <c r="BM70" s="1328"/>
      <c r="BN70" s="1328"/>
      <c r="BO70" s="1328"/>
      <c r="BP70" s="1329"/>
      <c r="BQ70" s="1330"/>
      <c r="BR70" s="1327"/>
      <c r="BS70" s="1327"/>
      <c r="BT70" s="1327"/>
      <c r="BU70" s="1328"/>
      <c r="BV70" s="1328"/>
      <c r="BW70" s="1328"/>
      <c r="BX70" s="1328"/>
      <c r="BY70" s="1329"/>
      <c r="BZ70" s="1369"/>
      <c r="CA70" s="1250"/>
      <c r="CB70" s="1327"/>
      <c r="CC70" s="1250"/>
      <c r="CD70" s="1250"/>
      <c r="CE70" s="1250"/>
      <c r="CF70" s="1352"/>
      <c r="CG70" s="1352"/>
      <c r="CH70" s="1376"/>
      <c r="CI70" s="1467">
        <f t="shared" si="10"/>
        <v>0</v>
      </c>
      <c r="CJ70" s="1471"/>
      <c r="CK70" s="1409"/>
      <c r="CL70" s="1437">
        <f t="shared" si="11"/>
        <v>0</v>
      </c>
      <c r="CM70" s="1408"/>
      <c r="CN70" s="1439">
        <f t="shared" si="12"/>
        <v>0</v>
      </c>
      <c r="CO70" s="403"/>
      <c r="CP70" s="403"/>
      <c r="CQ70" s="403"/>
    </row>
    <row r="71" spans="1:95" s="1227" customFormat="1" ht="19.5" customHeight="1">
      <c r="A71" s="726" t="s">
        <v>120</v>
      </c>
      <c r="B71" s="2598"/>
      <c r="C71" s="2614"/>
      <c r="D71" s="2617"/>
      <c r="E71" s="1262"/>
      <c r="F71" s="1249"/>
      <c r="G71" s="1250"/>
      <c r="H71" s="1250"/>
      <c r="I71" s="1250"/>
      <c r="J71" s="1250"/>
      <c r="K71" s="1250"/>
      <c r="L71" s="1292"/>
      <c r="M71" s="1292"/>
      <c r="N71" s="1293"/>
      <c r="O71" s="1330"/>
      <c r="P71" s="1327"/>
      <c r="Q71" s="1327"/>
      <c r="R71" s="1327"/>
      <c r="S71" s="1328"/>
      <c r="T71" s="1328"/>
      <c r="U71" s="1328"/>
      <c r="V71" s="1328"/>
      <c r="W71" s="1329"/>
      <c r="X71" s="1330"/>
      <c r="Y71" s="1327"/>
      <c r="Z71" s="1327"/>
      <c r="AA71" s="1327"/>
      <c r="AB71" s="1328"/>
      <c r="AC71" s="1328"/>
      <c r="AD71" s="1352"/>
      <c r="AE71" s="1328"/>
      <c r="AF71" s="1329"/>
      <c r="AG71" s="1330"/>
      <c r="AH71" s="1327"/>
      <c r="AI71" s="1327"/>
      <c r="AJ71" s="1328"/>
      <c r="AK71" s="1328"/>
      <c r="AL71" s="1328"/>
      <c r="AM71" s="1328"/>
      <c r="AN71" s="1328"/>
      <c r="AO71" s="1329"/>
      <c r="AP71" s="1330"/>
      <c r="AQ71" s="1327"/>
      <c r="AR71" s="1327"/>
      <c r="AS71" s="1327"/>
      <c r="AT71" s="1328"/>
      <c r="AU71" s="1328"/>
      <c r="AV71" s="1328"/>
      <c r="AW71" s="1328"/>
      <c r="AX71" s="1329"/>
      <c r="AY71" s="1465"/>
      <c r="AZ71" s="1327"/>
      <c r="BA71" s="1295"/>
      <c r="BB71" s="1295"/>
      <c r="BC71" s="1362"/>
      <c r="BD71" s="1466"/>
      <c r="BE71" s="1328"/>
      <c r="BF71" s="1328"/>
      <c r="BG71" s="1329"/>
      <c r="BH71" s="1330"/>
      <c r="BI71" s="1327"/>
      <c r="BJ71" s="1327"/>
      <c r="BK71" s="1327"/>
      <c r="BL71" s="1328"/>
      <c r="BM71" s="1328"/>
      <c r="BN71" s="1328"/>
      <c r="BO71" s="1328"/>
      <c r="BP71" s="1329"/>
      <c r="BQ71" s="1330"/>
      <c r="BR71" s="1327"/>
      <c r="BS71" s="1327"/>
      <c r="BT71" s="1327"/>
      <c r="BU71" s="1328"/>
      <c r="BV71" s="1328"/>
      <c r="BW71" s="1328"/>
      <c r="BX71" s="1328"/>
      <c r="BY71" s="1329"/>
      <c r="BZ71" s="1369"/>
      <c r="CA71" s="1250"/>
      <c r="CB71" s="1327"/>
      <c r="CC71" s="1250"/>
      <c r="CD71" s="1250"/>
      <c r="CE71" s="1250"/>
      <c r="CF71" s="1352"/>
      <c r="CG71" s="1352"/>
      <c r="CH71" s="1376"/>
      <c r="CI71" s="1467">
        <f t="shared" si="10"/>
        <v>0</v>
      </c>
      <c r="CJ71" s="1471"/>
      <c r="CK71" s="1409"/>
      <c r="CL71" s="1437">
        <f t="shared" si="11"/>
        <v>0</v>
      </c>
      <c r="CM71" s="1408"/>
      <c r="CN71" s="1439">
        <f t="shared" si="12"/>
        <v>0</v>
      </c>
      <c r="CO71" s="403"/>
      <c r="CP71" s="403"/>
      <c r="CQ71" s="403"/>
    </row>
    <row r="72" spans="1:95" s="1227" customFormat="1" ht="19.5" customHeight="1">
      <c r="A72" s="726" t="s">
        <v>120</v>
      </c>
      <c r="B72" s="2598"/>
      <c r="C72" s="2614"/>
      <c r="D72" s="2617"/>
      <c r="E72" s="1262"/>
      <c r="F72" s="1249"/>
      <c r="G72" s="1250"/>
      <c r="H72" s="1250"/>
      <c r="I72" s="1250"/>
      <c r="J72" s="1250"/>
      <c r="K72" s="1250"/>
      <c r="L72" s="1292"/>
      <c r="M72" s="1292"/>
      <c r="N72" s="1293"/>
      <c r="O72" s="1330"/>
      <c r="P72" s="1327"/>
      <c r="Q72" s="1327"/>
      <c r="R72" s="1327"/>
      <c r="S72" s="1328"/>
      <c r="T72" s="1328"/>
      <c r="U72" s="1328"/>
      <c r="V72" s="1328"/>
      <c r="W72" s="1329"/>
      <c r="X72" s="1330"/>
      <c r="Y72" s="1327"/>
      <c r="Z72" s="1327"/>
      <c r="AA72" s="1327"/>
      <c r="AB72" s="1328"/>
      <c r="AC72" s="1328"/>
      <c r="AD72" s="1352"/>
      <c r="AE72" s="1328"/>
      <c r="AF72" s="1329"/>
      <c r="AG72" s="1330"/>
      <c r="AH72" s="1327"/>
      <c r="AI72" s="1327"/>
      <c r="AJ72" s="1328"/>
      <c r="AK72" s="1328"/>
      <c r="AL72" s="1328"/>
      <c r="AM72" s="1328"/>
      <c r="AN72" s="1328"/>
      <c r="AO72" s="1329"/>
      <c r="AP72" s="1330"/>
      <c r="AQ72" s="1327"/>
      <c r="AR72" s="1327"/>
      <c r="AS72" s="1327"/>
      <c r="AT72" s="1328"/>
      <c r="AU72" s="1328"/>
      <c r="AV72" s="1328"/>
      <c r="AW72" s="1328"/>
      <c r="AX72" s="1329"/>
      <c r="AY72" s="1465"/>
      <c r="AZ72" s="1327"/>
      <c r="BA72" s="1295"/>
      <c r="BB72" s="1295"/>
      <c r="BC72" s="1362"/>
      <c r="BD72" s="1466"/>
      <c r="BE72" s="1328"/>
      <c r="BF72" s="1328"/>
      <c r="BG72" s="1329"/>
      <c r="BH72" s="1330"/>
      <c r="BI72" s="1327"/>
      <c r="BJ72" s="1327"/>
      <c r="BK72" s="1327"/>
      <c r="BL72" s="1328"/>
      <c r="BM72" s="1328"/>
      <c r="BN72" s="1328"/>
      <c r="BO72" s="1328"/>
      <c r="BP72" s="1329"/>
      <c r="BQ72" s="1330"/>
      <c r="BR72" s="1327"/>
      <c r="BS72" s="1327"/>
      <c r="BT72" s="1327"/>
      <c r="BU72" s="1328"/>
      <c r="BV72" s="1328"/>
      <c r="BW72" s="1328"/>
      <c r="BX72" s="1328"/>
      <c r="BY72" s="1329"/>
      <c r="BZ72" s="1369"/>
      <c r="CA72" s="1250"/>
      <c r="CB72" s="1327"/>
      <c r="CC72" s="1250"/>
      <c r="CD72" s="1250"/>
      <c r="CE72" s="1250"/>
      <c r="CF72" s="1352"/>
      <c r="CG72" s="1352"/>
      <c r="CH72" s="1376"/>
      <c r="CI72" s="1467">
        <f t="shared" si="10"/>
        <v>0</v>
      </c>
      <c r="CJ72" s="1471"/>
      <c r="CK72" s="1409"/>
      <c r="CL72" s="1437">
        <f t="shared" si="11"/>
        <v>0</v>
      </c>
      <c r="CM72" s="1408"/>
      <c r="CN72" s="1439">
        <f t="shared" si="12"/>
        <v>0</v>
      </c>
      <c r="CO72" s="403"/>
      <c r="CP72" s="403"/>
      <c r="CQ72" s="403"/>
    </row>
    <row r="73" spans="1:95" s="1222" customFormat="1" ht="20.25">
      <c r="A73" s="726" t="s">
        <v>120</v>
      </c>
      <c r="B73" s="2598"/>
      <c r="C73" s="2614"/>
      <c r="D73" s="2617"/>
      <c r="E73" s="1262"/>
      <c r="F73" s="1249"/>
      <c r="G73" s="1250"/>
      <c r="H73" s="1250"/>
      <c r="I73" s="1250"/>
      <c r="J73" s="1250"/>
      <c r="K73" s="1250"/>
      <c r="L73" s="1292"/>
      <c r="M73" s="1292"/>
      <c r="N73" s="1293"/>
      <c r="O73" s="1330"/>
      <c r="P73" s="1327"/>
      <c r="Q73" s="1327"/>
      <c r="R73" s="1327"/>
      <c r="S73" s="1328"/>
      <c r="T73" s="1328"/>
      <c r="U73" s="1328"/>
      <c r="V73" s="1328"/>
      <c r="W73" s="1329"/>
      <c r="X73" s="1330"/>
      <c r="Y73" s="1327"/>
      <c r="Z73" s="1327"/>
      <c r="AA73" s="1327"/>
      <c r="AB73" s="1328"/>
      <c r="AC73" s="1328"/>
      <c r="AD73" s="1352"/>
      <c r="AE73" s="1328"/>
      <c r="AF73" s="1329"/>
      <c r="AG73" s="1330"/>
      <c r="AH73" s="1327"/>
      <c r="AI73" s="1327"/>
      <c r="AJ73" s="1328"/>
      <c r="AK73" s="1328"/>
      <c r="AL73" s="1328"/>
      <c r="AM73" s="1328"/>
      <c r="AN73" s="1328"/>
      <c r="AO73" s="1329"/>
      <c r="AP73" s="1330"/>
      <c r="AQ73" s="1327"/>
      <c r="AR73" s="1327"/>
      <c r="AS73" s="1327"/>
      <c r="AT73" s="1328"/>
      <c r="AU73" s="1328"/>
      <c r="AV73" s="1328"/>
      <c r="AW73" s="1328"/>
      <c r="AX73" s="1329"/>
      <c r="AY73" s="1465"/>
      <c r="AZ73" s="1327"/>
      <c r="BA73" s="1295"/>
      <c r="BB73" s="1295"/>
      <c r="BC73" s="1362"/>
      <c r="BD73" s="1466"/>
      <c r="BE73" s="1328"/>
      <c r="BF73" s="1328"/>
      <c r="BG73" s="1329"/>
      <c r="BH73" s="1330"/>
      <c r="BI73" s="1327"/>
      <c r="BJ73" s="1327"/>
      <c r="BK73" s="1327"/>
      <c r="BL73" s="1328"/>
      <c r="BM73" s="1328"/>
      <c r="BN73" s="1328"/>
      <c r="BO73" s="1328"/>
      <c r="BP73" s="1329"/>
      <c r="BQ73" s="1330"/>
      <c r="BR73" s="1327"/>
      <c r="BS73" s="1327"/>
      <c r="BT73" s="1327"/>
      <c r="BU73" s="1328"/>
      <c r="BV73" s="1328"/>
      <c r="BW73" s="1328"/>
      <c r="BX73" s="1328"/>
      <c r="BY73" s="1329"/>
      <c r="BZ73" s="1369"/>
      <c r="CA73" s="1250"/>
      <c r="CB73" s="1327"/>
      <c r="CC73" s="1250"/>
      <c r="CD73" s="1250"/>
      <c r="CE73" s="1250"/>
      <c r="CF73" s="1352"/>
      <c r="CG73" s="1352"/>
      <c r="CH73" s="1376"/>
      <c r="CI73" s="1467">
        <f t="shared" si="10"/>
        <v>0</v>
      </c>
      <c r="CJ73" s="1471"/>
      <c r="CK73" s="1409"/>
      <c r="CL73" s="1437">
        <f t="shared" si="11"/>
        <v>0</v>
      </c>
      <c r="CM73" s="1408"/>
      <c r="CN73" s="1439">
        <f t="shared" si="12"/>
        <v>0</v>
      </c>
    </row>
    <row r="74" spans="1:95" s="1227" customFormat="1" ht="20.25">
      <c r="A74" s="726" t="s">
        <v>120</v>
      </c>
      <c r="B74" s="2598"/>
      <c r="C74" s="2614"/>
      <c r="D74" s="2617"/>
      <c r="E74" s="1262"/>
      <c r="F74" s="1249"/>
      <c r="G74" s="1250"/>
      <c r="H74" s="1250"/>
      <c r="I74" s="1250"/>
      <c r="J74" s="1250"/>
      <c r="K74" s="1250"/>
      <c r="L74" s="1292"/>
      <c r="M74" s="1292"/>
      <c r="N74" s="1293"/>
      <c r="O74" s="1330"/>
      <c r="P74" s="1327"/>
      <c r="Q74" s="1327"/>
      <c r="R74" s="1327"/>
      <c r="S74" s="1328"/>
      <c r="T74" s="1328"/>
      <c r="U74" s="1328"/>
      <c r="V74" s="1328"/>
      <c r="W74" s="1329"/>
      <c r="X74" s="1330"/>
      <c r="Y74" s="1327"/>
      <c r="Z74" s="1327"/>
      <c r="AA74" s="1327"/>
      <c r="AB74" s="1328"/>
      <c r="AC74" s="1328"/>
      <c r="AD74" s="1352"/>
      <c r="AE74" s="1328"/>
      <c r="AF74" s="1329"/>
      <c r="AG74" s="1330"/>
      <c r="AH74" s="1327"/>
      <c r="AI74" s="1327"/>
      <c r="AJ74" s="1328"/>
      <c r="AK74" s="1328"/>
      <c r="AL74" s="1328"/>
      <c r="AM74" s="1328"/>
      <c r="AN74" s="1328"/>
      <c r="AO74" s="1329"/>
      <c r="AP74" s="1330"/>
      <c r="AQ74" s="1327"/>
      <c r="AR74" s="1327"/>
      <c r="AS74" s="1327"/>
      <c r="AT74" s="1328"/>
      <c r="AU74" s="1328"/>
      <c r="AV74" s="1328"/>
      <c r="AW74" s="1328"/>
      <c r="AX74" s="1329"/>
      <c r="AY74" s="1465"/>
      <c r="AZ74" s="1327"/>
      <c r="BA74" s="1295"/>
      <c r="BB74" s="1295"/>
      <c r="BC74" s="1362"/>
      <c r="BD74" s="1466"/>
      <c r="BE74" s="1328"/>
      <c r="BF74" s="1328"/>
      <c r="BG74" s="1329"/>
      <c r="BH74" s="1330"/>
      <c r="BI74" s="1327"/>
      <c r="BJ74" s="1327"/>
      <c r="BK74" s="1327"/>
      <c r="BL74" s="1328"/>
      <c r="BM74" s="1328"/>
      <c r="BN74" s="1328"/>
      <c r="BO74" s="1328"/>
      <c r="BP74" s="1329"/>
      <c r="BQ74" s="1330"/>
      <c r="BR74" s="1327"/>
      <c r="BS74" s="1327"/>
      <c r="BT74" s="1327"/>
      <c r="BU74" s="1328"/>
      <c r="BV74" s="1328"/>
      <c r="BW74" s="1328"/>
      <c r="BX74" s="1328"/>
      <c r="BY74" s="1329"/>
      <c r="BZ74" s="1369"/>
      <c r="CA74" s="1250"/>
      <c r="CB74" s="1327"/>
      <c r="CC74" s="1250"/>
      <c r="CD74" s="1250"/>
      <c r="CE74" s="1250"/>
      <c r="CF74" s="1352"/>
      <c r="CG74" s="1352"/>
      <c r="CH74" s="1376"/>
      <c r="CI74" s="1467">
        <f t="shared" ref="CI74" si="13">SUM(F74:CG74)</f>
        <v>0</v>
      </c>
      <c r="CJ74" s="1471"/>
      <c r="CK74" s="1409"/>
      <c r="CL74" s="1437">
        <f t="shared" ref="CL74" si="14">CI74+CJ74</f>
        <v>0</v>
      </c>
      <c r="CM74" s="1408"/>
      <c r="CN74" s="1439">
        <f t="shared" ref="CN74" si="15">CL74+CM74</f>
        <v>0</v>
      </c>
      <c r="CO74" s="403"/>
      <c r="CP74" s="403"/>
      <c r="CQ74" s="403"/>
    </row>
    <row r="75" spans="1:95" s="1229" customFormat="1" ht="20.25">
      <c r="A75" s="726" t="s">
        <v>120</v>
      </c>
      <c r="B75" s="2598"/>
      <c r="C75" s="2614"/>
      <c r="D75" s="2617"/>
      <c r="E75" s="1262"/>
      <c r="F75" s="1249"/>
      <c r="G75" s="1250"/>
      <c r="H75" s="1250"/>
      <c r="I75" s="1250"/>
      <c r="J75" s="1250"/>
      <c r="K75" s="1250"/>
      <c r="L75" s="1292"/>
      <c r="M75" s="1292"/>
      <c r="N75" s="1293"/>
      <c r="O75" s="1330"/>
      <c r="P75" s="1327"/>
      <c r="Q75" s="1327"/>
      <c r="R75" s="1327"/>
      <c r="S75" s="1328"/>
      <c r="T75" s="1328"/>
      <c r="U75" s="1328"/>
      <c r="V75" s="1328"/>
      <c r="W75" s="1329"/>
      <c r="X75" s="1330"/>
      <c r="Y75" s="1327"/>
      <c r="Z75" s="1327"/>
      <c r="AA75" s="1327"/>
      <c r="AB75" s="1328"/>
      <c r="AC75" s="1328"/>
      <c r="AD75" s="1352"/>
      <c r="AE75" s="1328"/>
      <c r="AF75" s="1329"/>
      <c r="AG75" s="1330"/>
      <c r="AH75" s="1327"/>
      <c r="AI75" s="1327"/>
      <c r="AJ75" s="1328"/>
      <c r="AK75" s="1328"/>
      <c r="AL75" s="1328"/>
      <c r="AM75" s="1328"/>
      <c r="AN75" s="1328"/>
      <c r="AO75" s="1329"/>
      <c r="AP75" s="1330"/>
      <c r="AQ75" s="1327"/>
      <c r="AR75" s="1327"/>
      <c r="AS75" s="1327"/>
      <c r="AT75" s="1328"/>
      <c r="AU75" s="1328"/>
      <c r="AV75" s="1328"/>
      <c r="AW75" s="1328"/>
      <c r="AX75" s="1329"/>
      <c r="AY75" s="1465"/>
      <c r="AZ75" s="1327"/>
      <c r="BA75" s="1295"/>
      <c r="BB75" s="1295"/>
      <c r="BC75" s="1362"/>
      <c r="BD75" s="1466"/>
      <c r="BE75" s="1328"/>
      <c r="BF75" s="1328"/>
      <c r="BG75" s="1329"/>
      <c r="BH75" s="1330"/>
      <c r="BI75" s="1327"/>
      <c r="BJ75" s="1327"/>
      <c r="BK75" s="1327"/>
      <c r="BL75" s="1328"/>
      <c r="BM75" s="1328"/>
      <c r="BN75" s="1328"/>
      <c r="BO75" s="1328"/>
      <c r="BP75" s="1329"/>
      <c r="BQ75" s="1330"/>
      <c r="BR75" s="1327"/>
      <c r="BS75" s="1327"/>
      <c r="BT75" s="1327"/>
      <c r="BU75" s="1328"/>
      <c r="BV75" s="1328"/>
      <c r="BW75" s="1328"/>
      <c r="BX75" s="1328"/>
      <c r="BY75" s="1329"/>
      <c r="BZ75" s="1369"/>
      <c r="CA75" s="1250"/>
      <c r="CB75" s="1327"/>
      <c r="CC75" s="1250"/>
      <c r="CD75" s="1250"/>
      <c r="CE75" s="1250"/>
      <c r="CF75" s="1352"/>
      <c r="CG75" s="1352"/>
      <c r="CH75" s="1376"/>
      <c r="CI75" s="1467">
        <f t="shared" ref="CI75" si="16">SUM(F75:CG75)</f>
        <v>0</v>
      </c>
      <c r="CJ75" s="1471"/>
      <c r="CK75" s="1409"/>
      <c r="CL75" s="1437">
        <f t="shared" ref="CL75" si="17">CI75+CJ75</f>
        <v>0</v>
      </c>
      <c r="CM75" s="1408"/>
      <c r="CN75" s="1439">
        <f t="shared" ref="CN75" si="18">CL75+CM75</f>
        <v>0</v>
      </c>
    </row>
    <row r="76" spans="1:95" s="1229" customFormat="1" ht="28.5" customHeight="1" thickBot="1">
      <c r="A76" s="2612" t="s">
        <v>120</v>
      </c>
      <c r="B76" s="2611"/>
      <c r="C76" s="2615"/>
      <c r="D76" s="468"/>
      <c r="E76" s="1262"/>
      <c r="F76" s="1249"/>
      <c r="G76" s="1250"/>
      <c r="H76" s="1250"/>
      <c r="I76" s="1250"/>
      <c r="J76" s="1250"/>
      <c r="K76" s="1250"/>
      <c r="L76" s="1292"/>
      <c r="M76" s="1292"/>
      <c r="N76" s="1293"/>
      <c r="O76" s="1330"/>
      <c r="P76" s="1327"/>
      <c r="Q76" s="1327"/>
      <c r="R76" s="1327"/>
      <c r="S76" s="1328"/>
      <c r="T76" s="1328"/>
      <c r="U76" s="1328"/>
      <c r="V76" s="1328"/>
      <c r="W76" s="1329"/>
      <c r="X76" s="1330"/>
      <c r="Y76" s="1327"/>
      <c r="Z76" s="1327"/>
      <c r="AA76" s="1327"/>
      <c r="AB76" s="1328"/>
      <c r="AC76" s="1328"/>
      <c r="AD76" s="1352"/>
      <c r="AE76" s="1328"/>
      <c r="AF76" s="1329"/>
      <c r="AG76" s="1330"/>
      <c r="AH76" s="1327"/>
      <c r="AI76" s="1327"/>
      <c r="AJ76" s="1328"/>
      <c r="AK76" s="1328"/>
      <c r="AL76" s="1328"/>
      <c r="AM76" s="1328"/>
      <c r="AN76" s="1328"/>
      <c r="AO76" s="1329"/>
      <c r="AP76" s="1330"/>
      <c r="AQ76" s="1327"/>
      <c r="AR76" s="1327"/>
      <c r="AS76" s="1327"/>
      <c r="AT76" s="1328"/>
      <c r="AU76" s="1328"/>
      <c r="AV76" s="1328"/>
      <c r="AW76" s="1328"/>
      <c r="AX76" s="1329"/>
      <c r="AY76" s="1294"/>
      <c r="AZ76" s="1327"/>
      <c r="BA76" s="1295"/>
      <c r="BB76" s="1327"/>
      <c r="BC76" s="1362"/>
      <c r="BD76" s="1466"/>
      <c r="BE76" s="1328"/>
      <c r="BF76" s="1328"/>
      <c r="BG76" s="1329"/>
      <c r="BH76" s="1330"/>
      <c r="BI76" s="1327"/>
      <c r="BJ76" s="1327"/>
      <c r="BK76" s="1327"/>
      <c r="BL76" s="1328"/>
      <c r="BM76" s="1328"/>
      <c r="BN76" s="1328"/>
      <c r="BO76" s="1328"/>
      <c r="BP76" s="1329"/>
      <c r="BQ76" s="1330"/>
      <c r="BR76" s="1327"/>
      <c r="BS76" s="1327"/>
      <c r="BT76" s="1327"/>
      <c r="BU76" s="1328"/>
      <c r="BV76" s="1328"/>
      <c r="BW76" s="1328"/>
      <c r="BX76" s="1328"/>
      <c r="BY76" s="1329"/>
      <c r="BZ76" s="1369"/>
      <c r="CA76" s="1250"/>
      <c r="CB76" s="1327"/>
      <c r="CC76" s="1250"/>
      <c r="CD76" s="1250"/>
      <c r="CE76" s="1250"/>
      <c r="CF76" s="1352"/>
      <c r="CG76" s="1352"/>
      <c r="CH76" s="1376"/>
      <c r="CI76" s="1467">
        <f t="shared" si="10"/>
        <v>0</v>
      </c>
      <c r="CJ76" s="1471"/>
      <c r="CK76" s="1409"/>
      <c r="CL76" s="1437">
        <f t="shared" si="11"/>
        <v>0</v>
      </c>
      <c r="CM76" s="1408"/>
      <c r="CN76" s="1439">
        <f t="shared" si="12"/>
        <v>0</v>
      </c>
    </row>
    <row r="77" spans="1:95" s="1229" customFormat="1" ht="21" thickBot="1">
      <c r="A77" s="828" t="s">
        <v>121</v>
      </c>
      <c r="B77" s="1442"/>
      <c r="C77" s="1442"/>
      <c r="D77" s="1443"/>
      <c r="E77" s="1444"/>
      <c r="F77" s="1445">
        <f t="shared" ref="F77:AK77" si="19">SUM(F40:F76)</f>
        <v>0</v>
      </c>
      <c r="G77" s="1445">
        <f t="shared" si="19"/>
        <v>0</v>
      </c>
      <c r="H77" s="1445">
        <f t="shared" si="19"/>
        <v>0</v>
      </c>
      <c r="I77" s="1445">
        <f t="shared" si="19"/>
        <v>0</v>
      </c>
      <c r="J77" s="1445">
        <f t="shared" si="19"/>
        <v>0</v>
      </c>
      <c r="K77" s="1445">
        <f t="shared" si="19"/>
        <v>0</v>
      </c>
      <c r="L77" s="1445">
        <f t="shared" si="19"/>
        <v>0</v>
      </c>
      <c r="M77" s="1445">
        <f t="shared" si="19"/>
        <v>0</v>
      </c>
      <c r="N77" s="1445">
        <f t="shared" si="19"/>
        <v>0</v>
      </c>
      <c r="O77" s="1267">
        <f t="shared" si="19"/>
        <v>0</v>
      </c>
      <c r="P77" s="1267">
        <f t="shared" si="19"/>
        <v>0</v>
      </c>
      <c r="Q77" s="1267">
        <f t="shared" si="19"/>
        <v>0</v>
      </c>
      <c r="R77" s="1267">
        <f t="shared" si="19"/>
        <v>0</v>
      </c>
      <c r="S77" s="1267">
        <f t="shared" si="19"/>
        <v>0</v>
      </c>
      <c r="T77" s="1267">
        <f t="shared" si="19"/>
        <v>0</v>
      </c>
      <c r="U77" s="1267">
        <f t="shared" si="19"/>
        <v>0</v>
      </c>
      <c r="V77" s="1445">
        <f t="shared" si="19"/>
        <v>0</v>
      </c>
      <c r="W77" s="1445">
        <f t="shared" si="19"/>
        <v>0</v>
      </c>
      <c r="X77" s="1445">
        <f t="shared" si="19"/>
        <v>0</v>
      </c>
      <c r="Y77" s="1445">
        <f t="shared" si="19"/>
        <v>0</v>
      </c>
      <c r="Z77" s="1445">
        <f t="shared" si="19"/>
        <v>0</v>
      </c>
      <c r="AA77" s="1445">
        <f t="shared" si="19"/>
        <v>0</v>
      </c>
      <c r="AB77" s="1445">
        <f t="shared" si="19"/>
        <v>0</v>
      </c>
      <c r="AC77" s="1445">
        <f t="shared" si="19"/>
        <v>0</v>
      </c>
      <c r="AD77" s="1445">
        <f t="shared" si="19"/>
        <v>0</v>
      </c>
      <c r="AE77" s="1445">
        <f t="shared" si="19"/>
        <v>0</v>
      </c>
      <c r="AF77" s="1445">
        <f t="shared" si="19"/>
        <v>0</v>
      </c>
      <c r="AG77" s="1445">
        <f t="shared" si="19"/>
        <v>0</v>
      </c>
      <c r="AH77" s="1445">
        <f t="shared" si="19"/>
        <v>0</v>
      </c>
      <c r="AI77" s="1445">
        <f t="shared" si="19"/>
        <v>0</v>
      </c>
      <c r="AJ77" s="1445">
        <f t="shared" si="19"/>
        <v>0</v>
      </c>
      <c r="AK77" s="1445">
        <f t="shared" si="19"/>
        <v>0</v>
      </c>
      <c r="AL77" s="1445">
        <f t="shared" ref="AL77:BQ77" si="20">SUM(AL40:AL76)</f>
        <v>0</v>
      </c>
      <c r="AM77" s="1445">
        <f t="shared" si="20"/>
        <v>0</v>
      </c>
      <c r="AN77" s="1445">
        <f t="shared" si="20"/>
        <v>0</v>
      </c>
      <c r="AO77" s="1445">
        <f t="shared" si="20"/>
        <v>0</v>
      </c>
      <c r="AP77" s="1445">
        <f t="shared" si="20"/>
        <v>0</v>
      </c>
      <c r="AQ77" s="1445">
        <f t="shared" si="20"/>
        <v>0</v>
      </c>
      <c r="AR77" s="1445">
        <f t="shared" si="20"/>
        <v>0</v>
      </c>
      <c r="AS77" s="1445">
        <f t="shared" si="20"/>
        <v>0</v>
      </c>
      <c r="AT77" s="1445">
        <f t="shared" si="20"/>
        <v>0</v>
      </c>
      <c r="AU77" s="1445">
        <f t="shared" si="20"/>
        <v>0</v>
      </c>
      <c r="AV77" s="1445">
        <f t="shared" si="20"/>
        <v>0</v>
      </c>
      <c r="AW77" s="1445">
        <f t="shared" si="20"/>
        <v>0</v>
      </c>
      <c r="AX77" s="1445">
        <f t="shared" si="20"/>
        <v>0</v>
      </c>
      <c r="AY77" s="1445">
        <f t="shared" si="20"/>
        <v>0</v>
      </c>
      <c r="AZ77" s="1445">
        <f t="shared" si="20"/>
        <v>0</v>
      </c>
      <c r="BA77" s="1445">
        <f t="shared" si="20"/>
        <v>0</v>
      </c>
      <c r="BB77" s="1445">
        <f t="shared" si="20"/>
        <v>0</v>
      </c>
      <c r="BC77" s="1445">
        <f t="shared" si="20"/>
        <v>0</v>
      </c>
      <c r="BD77" s="1445">
        <f t="shared" si="20"/>
        <v>0</v>
      </c>
      <c r="BE77" s="1445">
        <f t="shared" si="20"/>
        <v>0</v>
      </c>
      <c r="BF77" s="1445">
        <f t="shared" si="20"/>
        <v>0</v>
      </c>
      <c r="BG77" s="1445">
        <f t="shared" si="20"/>
        <v>0</v>
      </c>
      <c r="BH77" s="1445">
        <f t="shared" si="20"/>
        <v>0</v>
      </c>
      <c r="BI77" s="1445">
        <f t="shared" si="20"/>
        <v>0</v>
      </c>
      <c r="BJ77" s="1445">
        <f t="shared" si="20"/>
        <v>0</v>
      </c>
      <c r="BK77" s="1445">
        <f t="shared" si="20"/>
        <v>0</v>
      </c>
      <c r="BL77" s="1445">
        <f t="shared" si="20"/>
        <v>0</v>
      </c>
      <c r="BM77" s="1445">
        <f t="shared" si="20"/>
        <v>0</v>
      </c>
      <c r="BN77" s="1445">
        <f t="shared" si="20"/>
        <v>0</v>
      </c>
      <c r="BO77" s="1445">
        <f t="shared" si="20"/>
        <v>0</v>
      </c>
      <c r="BP77" s="1445">
        <f t="shared" si="20"/>
        <v>0</v>
      </c>
      <c r="BQ77" s="1445">
        <f t="shared" si="20"/>
        <v>0</v>
      </c>
      <c r="BR77" s="1445">
        <f t="shared" ref="BR77:CN77" si="21">SUM(BR40:BR76)</f>
        <v>0</v>
      </c>
      <c r="BS77" s="1445">
        <f t="shared" si="21"/>
        <v>0</v>
      </c>
      <c r="BT77" s="1445">
        <f t="shared" si="21"/>
        <v>0</v>
      </c>
      <c r="BU77" s="1445">
        <f t="shared" si="21"/>
        <v>0</v>
      </c>
      <c r="BV77" s="1445">
        <f t="shared" si="21"/>
        <v>0</v>
      </c>
      <c r="BW77" s="1445">
        <f t="shared" si="21"/>
        <v>0</v>
      </c>
      <c r="BX77" s="1445">
        <f t="shared" si="21"/>
        <v>0</v>
      </c>
      <c r="BY77" s="1445">
        <f t="shared" si="21"/>
        <v>0</v>
      </c>
      <c r="BZ77" s="1445">
        <f t="shared" si="21"/>
        <v>14560</v>
      </c>
      <c r="CA77" s="1445">
        <f t="shared" si="21"/>
        <v>0</v>
      </c>
      <c r="CB77" s="1445">
        <f t="shared" si="21"/>
        <v>0</v>
      </c>
      <c r="CC77" s="1445">
        <f t="shared" si="21"/>
        <v>0</v>
      </c>
      <c r="CD77" s="1445">
        <f t="shared" si="21"/>
        <v>0</v>
      </c>
      <c r="CE77" s="1445">
        <f t="shared" si="21"/>
        <v>0</v>
      </c>
      <c r="CF77" s="1445">
        <f t="shared" si="21"/>
        <v>0</v>
      </c>
      <c r="CG77" s="1445">
        <f t="shared" si="21"/>
        <v>0</v>
      </c>
      <c r="CH77" s="1445">
        <f t="shared" si="21"/>
        <v>0</v>
      </c>
      <c r="CI77" s="1445">
        <f t="shared" si="21"/>
        <v>14560</v>
      </c>
      <c r="CJ77" s="1445">
        <f t="shared" si="21"/>
        <v>0</v>
      </c>
      <c r="CK77" s="1445">
        <f t="shared" si="21"/>
        <v>0</v>
      </c>
      <c r="CL77" s="1445">
        <f t="shared" si="21"/>
        <v>14560</v>
      </c>
      <c r="CM77" s="1445">
        <f t="shared" si="21"/>
        <v>390</v>
      </c>
      <c r="CN77" s="1445">
        <f t="shared" si="21"/>
        <v>14950</v>
      </c>
    </row>
    <row r="78" spans="1:95" s="1229" customFormat="1" ht="21" thickBot="1">
      <c r="A78" s="306"/>
      <c r="B78" s="1268"/>
      <c r="C78" s="1268"/>
      <c r="D78" s="1269"/>
      <c r="E78" s="1270"/>
      <c r="F78" s="1271"/>
      <c r="G78" s="1271"/>
      <c r="H78" s="1271"/>
      <c r="I78" s="1271"/>
      <c r="J78" s="1271"/>
      <c r="K78" s="1271"/>
      <c r="L78" s="1271"/>
      <c r="M78" s="1271"/>
      <c r="N78" s="1271"/>
      <c r="O78" s="1271"/>
      <c r="P78" s="1271"/>
      <c r="Q78" s="1271"/>
      <c r="R78" s="1271"/>
      <c r="S78" s="1271"/>
      <c r="T78" s="1271"/>
      <c r="U78" s="1271"/>
      <c r="V78" s="1271"/>
      <c r="W78" s="1343"/>
      <c r="X78" s="1271"/>
      <c r="Y78" s="1271"/>
      <c r="Z78" s="1271"/>
      <c r="AA78" s="1271"/>
      <c r="AB78" s="1271"/>
      <c r="AC78" s="1271"/>
      <c r="AD78" s="1271"/>
      <c r="AE78" s="1271"/>
      <c r="AF78" s="1343"/>
      <c r="AG78" s="1271"/>
      <c r="AH78" s="1271"/>
      <c r="AI78" s="1271"/>
      <c r="AJ78" s="1271"/>
      <c r="AK78" s="1271"/>
      <c r="AL78" s="1271"/>
      <c r="AM78" s="1271"/>
      <c r="AN78" s="1271"/>
      <c r="AO78" s="1343"/>
      <c r="AP78" s="1271"/>
      <c r="AQ78" s="1271"/>
      <c r="AR78" s="1271"/>
      <c r="AS78" s="1271"/>
      <c r="AT78" s="1271"/>
      <c r="AU78" s="1271"/>
      <c r="AV78" s="1271"/>
      <c r="AW78" s="1271"/>
      <c r="AX78" s="1343"/>
      <c r="AY78" s="1271"/>
      <c r="AZ78" s="1271"/>
      <c r="BA78" s="1271"/>
      <c r="BB78" s="1271"/>
      <c r="BC78" s="1271"/>
      <c r="BD78" s="1271"/>
      <c r="BE78" s="1271"/>
      <c r="BF78" s="1271"/>
      <c r="BG78" s="1343"/>
      <c r="BH78" s="1271"/>
      <c r="BI78" s="1271"/>
      <c r="BJ78" s="1271"/>
      <c r="BK78" s="1271"/>
      <c r="BL78" s="1271"/>
      <c r="BM78" s="1271"/>
      <c r="BN78" s="1271"/>
      <c r="BO78" s="1271"/>
      <c r="BP78" s="1343"/>
      <c r="BQ78" s="1271"/>
      <c r="BR78" s="1271"/>
      <c r="BS78" s="1271"/>
      <c r="BT78" s="1271"/>
      <c r="BU78" s="1271"/>
      <c r="BV78" s="1271"/>
      <c r="BW78" s="1271"/>
      <c r="BX78" s="1271"/>
      <c r="BY78" s="1343"/>
      <c r="BZ78" s="1271"/>
      <c r="CA78" s="1271"/>
      <c r="CB78" s="1271"/>
      <c r="CC78" s="1271"/>
      <c r="CD78" s="1271"/>
      <c r="CE78" s="1271"/>
      <c r="CF78" s="1271"/>
      <c r="CG78" s="1271"/>
      <c r="CH78" s="1389"/>
      <c r="CI78" s="1390"/>
      <c r="CJ78" s="1434"/>
      <c r="CK78" s="1390"/>
      <c r="CL78" s="1390"/>
      <c r="CM78" s="1390"/>
      <c r="CN78" s="1390"/>
    </row>
    <row r="79" spans="1:95" s="1229" customFormat="1" ht="16.5" thickBot="1">
      <c r="A79" s="3738"/>
      <c r="B79" s="3739"/>
      <c r="C79" s="3740"/>
      <c r="D79" s="3741"/>
      <c r="E79" s="1236"/>
      <c r="F79" s="3742" t="s">
        <v>114</v>
      </c>
      <c r="G79" s="3733"/>
      <c r="H79" s="3733"/>
      <c r="I79" s="3733"/>
      <c r="J79" s="3733"/>
      <c r="K79" s="3733"/>
      <c r="L79" s="3733"/>
      <c r="M79" s="3733"/>
      <c r="N79" s="1236"/>
      <c r="O79" s="3733" t="s">
        <v>59</v>
      </c>
      <c r="P79" s="3733"/>
      <c r="Q79" s="3733"/>
      <c r="R79" s="3733"/>
      <c r="S79" s="3733"/>
      <c r="T79" s="3733"/>
      <c r="U79" s="3733"/>
      <c r="V79" s="3733"/>
      <c r="W79" s="1236"/>
      <c r="X79" s="3733" t="s">
        <v>115</v>
      </c>
      <c r="Y79" s="3733"/>
      <c r="Z79" s="3733"/>
      <c r="AA79" s="3733"/>
      <c r="AB79" s="3733"/>
      <c r="AC79" s="3733"/>
      <c r="AD79" s="3733"/>
      <c r="AE79" s="3733"/>
      <c r="AF79" s="1236"/>
      <c r="AG79" s="3733" t="s">
        <v>61</v>
      </c>
      <c r="AH79" s="3733"/>
      <c r="AI79" s="3733"/>
      <c r="AJ79" s="3733"/>
      <c r="AK79" s="3733"/>
      <c r="AL79" s="3733"/>
      <c r="AM79" s="3733"/>
      <c r="AN79" s="3733"/>
      <c r="AO79" s="1236"/>
      <c r="AP79" s="3733" t="s">
        <v>62</v>
      </c>
      <c r="AQ79" s="3733"/>
      <c r="AR79" s="3733"/>
      <c r="AS79" s="3733"/>
      <c r="AT79" s="3733"/>
      <c r="AU79" s="3733"/>
      <c r="AV79" s="3733"/>
      <c r="AW79" s="3733"/>
      <c r="AX79" s="1236"/>
      <c r="AY79" s="3733"/>
      <c r="AZ79" s="3733"/>
      <c r="BA79" s="3733"/>
      <c r="BB79" s="3733"/>
      <c r="BC79" s="3733"/>
      <c r="BD79" s="3733"/>
      <c r="BE79" s="3733"/>
      <c r="BF79" s="3733"/>
      <c r="BG79" s="1236"/>
      <c r="BH79" s="3733" t="s">
        <v>64</v>
      </c>
      <c r="BI79" s="3733"/>
      <c r="BJ79" s="3733"/>
      <c r="BK79" s="3733"/>
      <c r="BL79" s="3733"/>
      <c r="BM79" s="3733"/>
      <c r="BN79" s="3733"/>
      <c r="BO79" s="3733"/>
      <c r="BP79" s="1236"/>
      <c r="BQ79" s="3733" t="s">
        <v>58</v>
      </c>
      <c r="BR79" s="3733"/>
      <c r="BS79" s="3733"/>
      <c r="BT79" s="3733"/>
      <c r="BU79" s="3733"/>
      <c r="BV79" s="3733"/>
      <c r="BW79" s="3733"/>
      <c r="BX79" s="3733"/>
      <c r="BY79" s="1236"/>
      <c r="BZ79" s="3735" t="s">
        <v>116</v>
      </c>
      <c r="CA79" s="3736"/>
      <c r="CB79" s="3736"/>
      <c r="CC79" s="3736"/>
      <c r="CD79" s="3736"/>
      <c r="CE79" s="3736"/>
      <c r="CF79" s="3737"/>
      <c r="CG79" s="3737"/>
      <c r="CH79" s="1236"/>
      <c r="CI79" s="3733"/>
      <c r="CJ79" s="3733"/>
      <c r="CK79" s="3733"/>
      <c r="CL79" s="3733"/>
      <c r="CM79" s="3733"/>
      <c r="CN79" s="3734"/>
    </row>
    <row r="80" spans="1:95" s="1229" customFormat="1" ht="24" thickBot="1">
      <c r="A80" s="286" t="s">
        <v>122</v>
      </c>
      <c r="B80" s="1272" t="s">
        <v>68</v>
      </c>
      <c r="C80" s="1272" t="s">
        <v>69</v>
      </c>
      <c r="D80" s="1273" t="s">
        <v>70</v>
      </c>
      <c r="E80" s="1274"/>
      <c r="F80" s="743" t="s">
        <v>71</v>
      </c>
      <c r="G80" s="744" t="s">
        <v>533</v>
      </c>
      <c r="H80" s="744" t="s">
        <v>118</v>
      </c>
      <c r="I80" s="49" t="s">
        <v>94</v>
      </c>
      <c r="J80" s="744" t="s">
        <v>75</v>
      </c>
      <c r="K80" s="49" t="s">
        <v>76</v>
      </c>
      <c r="L80" s="914" t="s">
        <v>77</v>
      </c>
      <c r="M80" s="1279" t="s">
        <v>53</v>
      </c>
      <c r="N80" s="1314"/>
      <c r="O80" s="755" t="s">
        <v>71</v>
      </c>
      <c r="P80" s="744" t="s">
        <v>72</v>
      </c>
      <c r="Q80" s="744" t="s">
        <v>78</v>
      </c>
      <c r="R80" s="50" t="s">
        <v>74</v>
      </c>
      <c r="S80" s="1013" t="s">
        <v>75</v>
      </c>
      <c r="T80" s="51" t="s">
        <v>79</v>
      </c>
      <c r="U80" s="1344" t="s">
        <v>77</v>
      </c>
      <c r="V80" s="1344" t="s">
        <v>101</v>
      </c>
      <c r="W80" s="1073"/>
      <c r="X80" s="743" t="s">
        <v>94</v>
      </c>
      <c r="Y80" s="744" t="s">
        <v>72</v>
      </c>
      <c r="Z80" s="744" t="s">
        <v>81</v>
      </c>
      <c r="AA80" s="744" t="s">
        <v>82</v>
      </c>
      <c r="AB80" s="880" t="s">
        <v>75</v>
      </c>
      <c r="AC80" s="744" t="s">
        <v>83</v>
      </c>
      <c r="AD80" s="744" t="s">
        <v>87</v>
      </c>
      <c r="AE80" s="936" t="s">
        <v>84</v>
      </c>
      <c r="AF80" s="722"/>
      <c r="AG80" s="88" t="s">
        <v>85</v>
      </c>
      <c r="AH80" s="30" t="s">
        <v>86</v>
      </c>
      <c r="AI80" s="30" t="s">
        <v>77</v>
      </c>
      <c r="AJ80" s="89" t="s">
        <v>75</v>
      </c>
      <c r="AK80" s="30" t="s">
        <v>78</v>
      </c>
      <c r="AL80" s="89" t="s">
        <v>53</v>
      </c>
      <c r="AM80" s="112" t="s">
        <v>88</v>
      </c>
      <c r="AN80" s="936" t="s">
        <v>94</v>
      </c>
      <c r="AO80" s="722"/>
      <c r="AP80" s="743" t="s">
        <v>86</v>
      </c>
      <c r="AQ80" s="744" t="s">
        <v>89</v>
      </c>
      <c r="AR80" s="744" t="s">
        <v>90</v>
      </c>
      <c r="AS80" s="744" t="s">
        <v>213</v>
      </c>
      <c r="AT80" s="880" t="s">
        <v>250</v>
      </c>
      <c r="AU80" s="744" t="s">
        <v>85</v>
      </c>
      <c r="AV80" s="880" t="s">
        <v>381</v>
      </c>
      <c r="AW80" s="936" t="s">
        <v>481</v>
      </c>
      <c r="AX80" s="722"/>
      <c r="AY80" s="743" t="s">
        <v>82</v>
      </c>
      <c r="AZ80" s="744" t="s">
        <v>93</v>
      </c>
      <c r="BA80" s="744" t="s">
        <v>94</v>
      </c>
      <c r="BB80" s="744" t="s">
        <v>95</v>
      </c>
      <c r="BC80" s="880" t="s">
        <v>75</v>
      </c>
      <c r="BD80" s="744" t="s">
        <v>53</v>
      </c>
      <c r="BE80" s="880" t="s">
        <v>96</v>
      </c>
      <c r="BF80" s="936" t="s">
        <v>97</v>
      </c>
      <c r="BG80" s="722"/>
      <c r="BH80" s="743" t="s">
        <v>71</v>
      </c>
      <c r="BI80" s="744" t="s">
        <v>465</v>
      </c>
      <c r="BJ80" s="744" t="s">
        <v>99</v>
      </c>
      <c r="BK80" s="744" t="s">
        <v>100</v>
      </c>
      <c r="BL80" s="880" t="s">
        <v>75</v>
      </c>
      <c r="BM80" s="51" t="s">
        <v>466</v>
      </c>
      <c r="BN80" s="936" t="s">
        <v>77</v>
      </c>
      <c r="BO80" s="936" t="s">
        <v>170</v>
      </c>
      <c r="BP80" s="722"/>
      <c r="BQ80" s="743" t="s">
        <v>250</v>
      </c>
      <c r="BR80" s="744"/>
      <c r="BS80" s="744" t="s">
        <v>92</v>
      </c>
      <c r="BT80" s="744"/>
      <c r="BU80" s="880" t="s">
        <v>469</v>
      </c>
      <c r="BV80" s="744"/>
      <c r="BW80" s="880" t="s">
        <v>149</v>
      </c>
      <c r="BX80" s="936"/>
      <c r="BY80" s="2897"/>
      <c r="BZ80" s="1365" t="s">
        <v>80</v>
      </c>
      <c r="CA80" s="880" t="s">
        <v>72</v>
      </c>
      <c r="CB80" s="880" t="s">
        <v>118</v>
      </c>
      <c r="CC80" s="1318" t="s">
        <v>103</v>
      </c>
      <c r="CD80" s="880" t="s">
        <v>75</v>
      </c>
      <c r="CE80" s="880" t="s">
        <v>53</v>
      </c>
      <c r="CF80" s="744" t="s">
        <v>77</v>
      </c>
      <c r="CG80" s="1279" t="s">
        <v>93</v>
      </c>
      <c r="CH80" s="288"/>
      <c r="CI80" s="1391" t="s">
        <v>104</v>
      </c>
      <c r="CJ80" s="1344" t="s">
        <v>105</v>
      </c>
      <c r="CK80" s="1013"/>
      <c r="CL80" s="288" t="s">
        <v>106</v>
      </c>
      <c r="CM80" s="1013" t="s">
        <v>107</v>
      </c>
      <c r="CN80" s="288" t="s">
        <v>108</v>
      </c>
    </row>
    <row r="81" spans="1:92" s="1229" customFormat="1" ht="21" thickBot="1">
      <c r="A81" s="1446" t="s">
        <v>125</v>
      </c>
      <c r="B81" s="1251"/>
      <c r="C81" s="1252"/>
      <c r="D81" s="1276"/>
      <c r="E81" s="1277"/>
      <c r="F81" s="1447"/>
      <c r="G81" s="1448"/>
      <c r="H81" s="1448"/>
      <c r="I81" s="1448"/>
      <c r="J81" s="1458"/>
      <c r="K81" s="1448"/>
      <c r="L81" s="1459"/>
      <c r="M81" s="1459"/>
      <c r="N81" s="1316"/>
      <c r="O81" s="1286"/>
      <c r="P81" s="1242"/>
      <c r="Q81" s="1242"/>
      <c r="R81" s="1242"/>
      <c r="S81" s="1322"/>
      <c r="T81" s="1322"/>
      <c r="U81" s="1322"/>
      <c r="V81" s="1460"/>
      <c r="W81" s="1346"/>
      <c r="X81" s="1461"/>
      <c r="Y81" s="1448"/>
      <c r="Z81" s="1448"/>
      <c r="AA81" s="1448"/>
      <c r="AB81" s="1460"/>
      <c r="AC81" s="1460"/>
      <c r="AD81" s="1460"/>
      <c r="AE81" s="1460"/>
      <c r="AF81" s="1346"/>
      <c r="AG81" s="1461"/>
      <c r="AH81" s="1448"/>
      <c r="AI81" s="1448"/>
      <c r="AJ81" s="1460"/>
      <c r="AK81" s="1460"/>
      <c r="AL81" s="1460"/>
      <c r="AM81" s="1460"/>
      <c r="AN81" s="1461"/>
      <c r="AO81" s="1346"/>
      <c r="AP81" s="1461"/>
      <c r="AQ81" s="1448"/>
      <c r="AR81" s="1448"/>
      <c r="AS81" s="1448"/>
      <c r="AT81" s="1460"/>
      <c r="AU81" s="1460"/>
      <c r="AV81" s="1460"/>
      <c r="AW81" s="1460"/>
      <c r="AX81" s="1346"/>
      <c r="AY81" s="1461"/>
      <c r="AZ81" s="1448"/>
      <c r="BA81" s="1448"/>
      <c r="BB81" s="1448"/>
      <c r="BC81" s="1460"/>
      <c r="BD81" s="1460"/>
      <c r="BE81" s="1460"/>
      <c r="BF81" s="1460"/>
      <c r="BG81" s="1346"/>
      <c r="BH81" s="1461"/>
      <c r="BI81" s="1448"/>
      <c r="BJ81" s="1448"/>
      <c r="BK81" s="1448"/>
      <c r="BL81" s="1460"/>
      <c r="BM81" s="1460"/>
      <c r="BN81" s="1460"/>
      <c r="BO81" s="1460"/>
      <c r="BP81" s="1346"/>
      <c r="BQ81" s="1461"/>
      <c r="BR81" s="1448"/>
      <c r="BS81" s="1448"/>
      <c r="BT81" s="1448"/>
      <c r="BU81" s="1460"/>
      <c r="BV81" s="1460"/>
      <c r="BW81" s="1460"/>
      <c r="BX81" s="1460"/>
      <c r="BY81" s="1346"/>
      <c r="BZ81" s="1461"/>
      <c r="CA81" s="1448"/>
      <c r="CB81" s="1448"/>
      <c r="CC81" s="1448"/>
      <c r="CD81" s="1448"/>
      <c r="CE81" s="1448"/>
      <c r="CF81" s="1460"/>
      <c r="CG81" s="1468"/>
      <c r="CH81" s="1393"/>
      <c r="CI81" s="1469">
        <f t="shared" ref="CI81:CI111" si="22">SUM(F81:CG81)</f>
        <v>0</v>
      </c>
      <c r="CJ81" s="1472"/>
      <c r="CK81" s="1473"/>
      <c r="CL81" s="1437">
        <f t="shared" ref="CL81:CL111" si="23">CI81+CJ81</f>
        <v>0</v>
      </c>
      <c r="CM81" s="1438"/>
      <c r="CN81" s="1439">
        <f>CL81+CM81</f>
        <v>0</v>
      </c>
    </row>
    <row r="82" spans="1:92" s="1229" customFormat="1" ht="21" thickBot="1">
      <c r="A82" s="1446" t="s">
        <v>125</v>
      </c>
      <c r="B82" s="2560" t="s">
        <v>472</v>
      </c>
      <c r="C82" s="1275"/>
      <c r="D82" s="1276"/>
      <c r="E82" s="1277"/>
      <c r="F82" s="1245"/>
      <c r="G82" s="1246"/>
      <c r="H82" s="1246"/>
      <c r="I82" s="1246"/>
      <c r="J82" s="1315"/>
      <c r="K82" s="1448"/>
      <c r="L82" s="1291"/>
      <c r="M82" s="1291"/>
      <c r="N82" s="1316"/>
      <c r="O82" s="1289"/>
      <c r="P82" s="1244"/>
      <c r="Q82" s="1244"/>
      <c r="R82" s="1244"/>
      <c r="S82" s="1324"/>
      <c r="T82" s="1324"/>
      <c r="U82" s="1324"/>
      <c r="V82" s="1345"/>
      <c r="W82" s="1346"/>
      <c r="X82" s="1317"/>
      <c r="Y82" s="1246"/>
      <c r="Z82" s="1246"/>
      <c r="AA82" s="1246"/>
      <c r="AB82" s="1345"/>
      <c r="AC82" s="1345"/>
      <c r="AD82" s="1345"/>
      <c r="AE82" s="1345"/>
      <c r="AF82" s="1346"/>
      <c r="AG82" s="1324"/>
      <c r="AH82" s="1246"/>
      <c r="AI82" s="1246"/>
      <c r="AJ82" s="1345"/>
      <c r="AK82" s="1246"/>
      <c r="AL82" s="1345"/>
      <c r="AM82" s="1345"/>
      <c r="AN82" s="1317"/>
      <c r="AO82" s="1346"/>
      <c r="AP82" s="1317"/>
      <c r="AQ82" s="1246"/>
      <c r="AR82" s="1246"/>
      <c r="AS82" s="1246"/>
      <c r="AT82" s="1345"/>
      <c r="AU82" s="1345"/>
      <c r="AV82" s="1345"/>
      <c r="AW82" s="1345"/>
      <c r="AX82" s="1346"/>
      <c r="AY82" s="1317"/>
      <c r="AZ82" s="1246"/>
      <c r="BA82" s="1246"/>
      <c r="BB82" s="1246"/>
      <c r="BC82" s="1345"/>
      <c r="BD82" s="1345"/>
      <c r="BE82" s="1345"/>
      <c r="BF82" s="1345"/>
      <c r="BG82" s="1346"/>
      <c r="BH82" s="1317"/>
      <c r="BI82" s="1246"/>
      <c r="BJ82" s="1246"/>
      <c r="BK82" s="1246"/>
      <c r="BL82" s="1345"/>
      <c r="BM82" s="1345"/>
      <c r="BN82" s="1345"/>
      <c r="BO82" s="1345"/>
      <c r="BP82" s="1346"/>
      <c r="BQ82" s="1317"/>
      <c r="BR82" s="1246"/>
      <c r="BS82" s="1246"/>
      <c r="BT82" s="1246"/>
      <c r="BU82" s="1345"/>
      <c r="BV82" s="1345"/>
      <c r="BW82" s="1345"/>
      <c r="BX82" s="1345"/>
      <c r="BY82" s="1346"/>
      <c r="BZ82" s="1317"/>
      <c r="CA82" s="1246"/>
      <c r="CB82" s="1246"/>
      <c r="CC82" s="1246"/>
      <c r="CD82" s="1246"/>
      <c r="CE82" s="1246"/>
      <c r="CF82" s="1345"/>
      <c r="CG82" s="1392"/>
      <c r="CH82" s="1393"/>
      <c r="CI82" s="1394">
        <f t="shared" si="22"/>
        <v>0</v>
      </c>
      <c r="CJ82" s="1435"/>
      <c r="CK82" s="1436"/>
      <c r="CL82" s="1437">
        <f t="shared" si="23"/>
        <v>0</v>
      </c>
      <c r="CM82" s="1438"/>
      <c r="CN82" s="1439">
        <f t="shared" ref="CN82:CN111" si="24">CL82+CM82</f>
        <v>0</v>
      </c>
    </row>
    <row r="83" spans="1:92" s="1229" customFormat="1" ht="21" thickBot="1">
      <c r="A83" s="1446" t="s">
        <v>125</v>
      </c>
      <c r="B83" s="2560" t="s">
        <v>472</v>
      </c>
      <c r="C83" s="1275"/>
      <c r="D83" s="1276"/>
      <c r="E83" s="1277"/>
      <c r="F83" s="1245"/>
      <c r="G83" s="1246"/>
      <c r="H83" s="1246"/>
      <c r="I83" s="1246"/>
      <c r="J83" s="1315"/>
      <c r="K83" s="1246"/>
      <c r="L83" s="1291"/>
      <c r="M83" s="1291"/>
      <c r="N83" s="1316"/>
      <c r="O83" s="1289"/>
      <c r="P83" s="1244"/>
      <c r="Q83" s="1244"/>
      <c r="R83" s="1244"/>
      <c r="S83" s="1324"/>
      <c r="T83" s="1324"/>
      <c r="U83" s="1347"/>
      <c r="V83" s="1345"/>
      <c r="W83" s="1346"/>
      <c r="X83" s="1317"/>
      <c r="Y83" s="1246"/>
      <c r="Z83" s="1246"/>
      <c r="AA83" s="1246"/>
      <c r="AB83" s="1345"/>
      <c r="AC83" s="1345"/>
      <c r="AD83" s="1345"/>
      <c r="AE83" s="1345"/>
      <c r="AF83" s="1346"/>
      <c r="AG83" s="1347"/>
      <c r="AH83" s="1246"/>
      <c r="AI83" s="1246"/>
      <c r="AJ83" s="1345"/>
      <c r="AK83" s="1246"/>
      <c r="AL83" s="1345"/>
      <c r="AM83" s="1345"/>
      <c r="AN83" s="1345"/>
      <c r="AO83" s="1346"/>
      <c r="AP83" s="1317"/>
      <c r="AQ83" s="1246"/>
      <c r="AR83" s="1246"/>
      <c r="AS83" s="1246"/>
      <c r="AT83" s="1345"/>
      <c r="AU83" s="1345"/>
      <c r="AV83" s="1345"/>
      <c r="AW83" s="1345"/>
      <c r="AX83" s="1346"/>
      <c r="AY83" s="1317"/>
      <c r="AZ83" s="1246"/>
      <c r="BA83" s="1246"/>
      <c r="BB83" s="1246"/>
      <c r="BC83" s="1345"/>
      <c r="BD83" s="1345"/>
      <c r="BE83" s="1345"/>
      <c r="BF83" s="1345"/>
      <c r="BG83" s="1346"/>
      <c r="BH83" s="1317"/>
      <c r="BI83" s="1246"/>
      <c r="BJ83" s="1246"/>
      <c r="BK83" s="1246"/>
      <c r="BL83" s="1345"/>
      <c r="BM83" s="1345"/>
      <c r="BN83" s="1345"/>
      <c r="BO83" s="1345"/>
      <c r="BP83" s="1346"/>
      <c r="BQ83" s="1317"/>
      <c r="BR83" s="1246"/>
      <c r="BS83" s="1246"/>
      <c r="BT83" s="1246"/>
      <c r="BU83" s="1345"/>
      <c r="BV83" s="1345"/>
      <c r="BW83" s="1345"/>
      <c r="BX83" s="1345"/>
      <c r="BY83" s="1346"/>
      <c r="BZ83" s="1317"/>
      <c r="CA83" s="1246"/>
      <c r="CB83" s="1246"/>
      <c r="CC83" s="1246"/>
      <c r="CD83" s="1246"/>
      <c r="CE83" s="1246"/>
      <c r="CF83" s="1345"/>
      <c r="CG83" s="1392"/>
      <c r="CH83" s="1393"/>
      <c r="CI83" s="1394">
        <f t="shared" si="22"/>
        <v>0</v>
      </c>
      <c r="CJ83" s="1435"/>
      <c r="CK83" s="1436"/>
      <c r="CL83" s="1437">
        <f t="shared" si="23"/>
        <v>0</v>
      </c>
      <c r="CM83" s="1438"/>
      <c r="CN83" s="1439">
        <f t="shared" si="24"/>
        <v>0</v>
      </c>
    </row>
    <row r="84" spans="1:92" s="1229" customFormat="1" ht="21" thickBot="1">
      <c r="A84" s="1446" t="s">
        <v>125</v>
      </c>
      <c r="B84" s="2560" t="s">
        <v>472</v>
      </c>
      <c r="C84" s="1275"/>
      <c r="D84" s="1278"/>
      <c r="E84" s="1277"/>
      <c r="F84" s="1245"/>
      <c r="G84" s="1449"/>
      <c r="H84" s="1246"/>
      <c r="I84" s="1246"/>
      <c r="J84" s="1315"/>
      <c r="K84" s="1246"/>
      <c r="L84" s="1291"/>
      <c r="M84" s="1291"/>
      <c r="N84" s="1316"/>
      <c r="O84" s="1317"/>
      <c r="P84" s="1246"/>
      <c r="Q84" s="1246"/>
      <c r="R84" s="1246"/>
      <c r="S84" s="1345"/>
      <c r="T84" s="1345"/>
      <c r="U84" s="1345"/>
      <c r="V84" s="1345"/>
      <c r="W84" s="1346"/>
      <c r="X84" s="1317"/>
      <c r="Y84" s="1246"/>
      <c r="Z84" s="1246"/>
      <c r="AA84" s="1246"/>
      <c r="AB84" s="1345"/>
      <c r="AC84" s="1345"/>
      <c r="AD84" s="1345"/>
      <c r="AE84" s="1345"/>
      <c r="AF84" s="1346"/>
      <c r="AG84" s="1345"/>
      <c r="AH84" s="1246"/>
      <c r="AI84" s="1246"/>
      <c r="AJ84" s="1345"/>
      <c r="AK84" s="1246"/>
      <c r="AL84" s="1345"/>
      <c r="AM84" s="1345"/>
      <c r="AN84" s="1345"/>
      <c r="AO84" s="1346"/>
      <c r="AP84" s="1317"/>
      <c r="AQ84" s="1246"/>
      <c r="AR84" s="1246"/>
      <c r="AS84" s="1246"/>
      <c r="AT84" s="1345"/>
      <c r="AU84" s="1345"/>
      <c r="AV84" s="1345"/>
      <c r="AW84" s="1345"/>
      <c r="AX84" s="1346"/>
      <c r="AY84" s="1317"/>
      <c r="AZ84" s="1246"/>
      <c r="BA84" s="1246"/>
      <c r="BB84" s="1246"/>
      <c r="BC84" s="1345"/>
      <c r="BD84" s="1345"/>
      <c r="BE84" s="1345"/>
      <c r="BF84" s="1345"/>
      <c r="BG84" s="1346"/>
      <c r="BH84" s="1317"/>
      <c r="BI84" s="1246"/>
      <c r="BJ84" s="1246"/>
      <c r="BK84" s="1246"/>
      <c r="BL84" s="1345"/>
      <c r="BM84" s="1345"/>
      <c r="BN84" s="1345"/>
      <c r="BO84" s="1345"/>
      <c r="BP84" s="1346"/>
      <c r="BQ84" s="1317"/>
      <c r="BR84" s="1246"/>
      <c r="BS84" s="1246"/>
      <c r="BT84" s="1246"/>
      <c r="BU84" s="1345"/>
      <c r="BV84" s="1345"/>
      <c r="BW84" s="1345"/>
      <c r="BX84" s="1345"/>
      <c r="BY84" s="1346"/>
      <c r="BZ84" s="1317"/>
      <c r="CA84" s="1246"/>
      <c r="CB84" s="1246"/>
      <c r="CC84" s="1246"/>
      <c r="CD84" s="1246"/>
      <c r="CE84" s="1246"/>
      <c r="CF84" s="1345"/>
      <c r="CG84" s="1392"/>
      <c r="CH84" s="1393"/>
      <c r="CI84" s="1394">
        <f t="shared" si="22"/>
        <v>0</v>
      </c>
      <c r="CJ84" s="1435"/>
      <c r="CK84" s="1436"/>
      <c r="CL84" s="1437">
        <f t="shared" si="23"/>
        <v>0</v>
      </c>
      <c r="CM84" s="1438"/>
      <c r="CN84" s="1439">
        <f t="shared" si="24"/>
        <v>0</v>
      </c>
    </row>
    <row r="85" spans="1:92" s="1229" customFormat="1" ht="21" thickBot="1">
      <c r="A85" s="1446" t="s">
        <v>125</v>
      </c>
      <c r="B85" s="2560" t="s">
        <v>472</v>
      </c>
      <c r="C85" s="1275"/>
      <c r="D85" s="1278"/>
      <c r="E85" s="1277"/>
      <c r="F85" s="1245"/>
      <c r="G85" s="1246"/>
      <c r="H85" s="1246"/>
      <c r="I85" s="1246"/>
      <c r="J85" s="1315"/>
      <c r="K85" s="1246"/>
      <c r="L85" s="1291"/>
      <c r="M85" s="1291"/>
      <c r="N85" s="1316"/>
      <c r="O85" s="1317"/>
      <c r="P85" s="1246"/>
      <c r="Q85" s="1246"/>
      <c r="R85" s="1246"/>
      <c r="S85" s="1345"/>
      <c r="T85" s="1345"/>
      <c r="U85" s="1345"/>
      <c r="V85" s="1345"/>
      <c r="W85" s="1346"/>
      <c r="X85" s="1317"/>
      <c r="Y85" s="1246"/>
      <c r="Z85" s="1246"/>
      <c r="AA85" s="1246"/>
      <c r="AB85" s="1345"/>
      <c r="AC85" s="1345"/>
      <c r="AD85" s="1345"/>
      <c r="AE85" s="1345"/>
      <c r="AF85" s="1346"/>
      <c r="AG85" s="1317"/>
      <c r="AH85" s="1246"/>
      <c r="AI85" s="1246"/>
      <c r="AJ85" s="1345"/>
      <c r="AK85" s="1345"/>
      <c r="AL85" s="1345"/>
      <c r="AM85" s="1345"/>
      <c r="AN85" s="1345"/>
      <c r="AO85" s="1346"/>
      <c r="AP85" s="1317"/>
      <c r="AQ85" s="1246"/>
      <c r="AR85" s="1246"/>
      <c r="AS85" s="1246"/>
      <c r="AT85" s="1345"/>
      <c r="AU85" s="1345"/>
      <c r="AV85" s="1345"/>
      <c r="AW85" s="1345"/>
      <c r="AX85" s="1346"/>
      <c r="AY85" s="1317"/>
      <c r="AZ85" s="1246"/>
      <c r="BA85" s="1246"/>
      <c r="BB85" s="1246"/>
      <c r="BC85" s="1345"/>
      <c r="BD85" s="1345"/>
      <c r="BE85" s="1345"/>
      <c r="BF85" s="1345"/>
      <c r="BG85" s="1346"/>
      <c r="BH85" s="1317"/>
      <c r="BI85" s="1246"/>
      <c r="BJ85" s="1246"/>
      <c r="BK85" s="1246"/>
      <c r="BL85" s="1345"/>
      <c r="BM85" s="1345"/>
      <c r="BN85" s="1345"/>
      <c r="BO85" s="1345"/>
      <c r="BP85" s="1346"/>
      <c r="BQ85" s="1317"/>
      <c r="BR85" s="1246"/>
      <c r="BS85" s="1246"/>
      <c r="BT85" s="1246"/>
      <c r="BU85" s="1345"/>
      <c r="BV85" s="1345"/>
      <c r="BW85" s="1345"/>
      <c r="BX85" s="1345"/>
      <c r="BY85" s="1346"/>
      <c r="BZ85" s="1317"/>
      <c r="CA85" s="1246"/>
      <c r="CB85" s="1246"/>
      <c r="CC85" s="1246"/>
      <c r="CD85" s="1246"/>
      <c r="CE85" s="1246"/>
      <c r="CF85" s="1345"/>
      <c r="CG85" s="1392"/>
      <c r="CH85" s="1393"/>
      <c r="CI85" s="1394">
        <f t="shared" si="22"/>
        <v>0</v>
      </c>
      <c r="CJ85" s="1435"/>
      <c r="CK85" s="1436"/>
      <c r="CL85" s="1437">
        <f t="shared" si="23"/>
        <v>0</v>
      </c>
      <c r="CM85" s="1438"/>
      <c r="CN85" s="1439">
        <f t="shared" si="24"/>
        <v>0</v>
      </c>
    </row>
    <row r="86" spans="1:92" s="1229" customFormat="1" ht="20.25">
      <c r="A86" s="1446" t="s">
        <v>125</v>
      </c>
      <c r="B86" s="1275"/>
      <c r="C86" s="1450"/>
      <c r="D86" s="1278"/>
      <c r="E86" s="1277"/>
      <c r="F86" s="1447"/>
      <c r="G86" s="1448"/>
      <c r="H86" s="1448"/>
      <c r="I86" s="1448"/>
      <c r="J86" s="1458"/>
      <c r="K86" s="1448"/>
      <c r="L86" s="1459"/>
      <c r="M86" s="1459"/>
      <c r="N86" s="1316"/>
      <c r="O86" s="1286"/>
      <c r="P86" s="1242"/>
      <c r="Q86" s="1242"/>
      <c r="R86" s="1242"/>
      <c r="S86" s="1322"/>
      <c r="T86" s="1322"/>
      <c r="U86" s="1322"/>
      <c r="V86" s="1460"/>
      <c r="W86" s="1346"/>
      <c r="X86" s="1461"/>
      <c r="Y86" s="1448"/>
      <c r="Z86" s="1448"/>
      <c r="AA86" s="1448"/>
      <c r="AB86" s="1460"/>
      <c r="AC86" s="1460"/>
      <c r="AD86" s="1460"/>
      <c r="AE86" s="1460"/>
      <c r="AF86" s="1346"/>
      <c r="AG86" s="1461"/>
      <c r="AH86" s="1448"/>
      <c r="AI86" s="1448"/>
      <c r="AJ86" s="1460"/>
      <c r="AK86" s="1460"/>
      <c r="AL86" s="1460"/>
      <c r="AM86" s="1460"/>
      <c r="AN86" s="1460"/>
      <c r="AO86" s="1346"/>
      <c r="AP86" s="1461"/>
      <c r="AQ86" s="1448"/>
      <c r="AR86" s="1448"/>
      <c r="AS86" s="1448"/>
      <c r="AT86" s="1460"/>
      <c r="AU86" s="1460"/>
      <c r="AV86" s="1460"/>
      <c r="AW86" s="1460"/>
      <c r="AX86" s="1346"/>
      <c r="AY86" s="1461"/>
      <c r="AZ86" s="1448"/>
      <c r="BA86" s="1448"/>
      <c r="BB86" s="1448"/>
      <c r="BC86" s="1460"/>
      <c r="BD86" s="1460"/>
      <c r="BE86" s="1460"/>
      <c r="BF86" s="1460"/>
      <c r="BG86" s="1346"/>
      <c r="BH86" s="1461"/>
      <c r="BI86" s="1448"/>
      <c r="BJ86" s="1448"/>
      <c r="BK86" s="1448"/>
      <c r="BL86" s="1460"/>
      <c r="BM86" s="1460"/>
      <c r="BN86" s="1460"/>
      <c r="BO86" s="1460"/>
      <c r="BP86" s="1346"/>
      <c r="BQ86" s="1461"/>
      <c r="BR86" s="1448"/>
      <c r="BS86" s="1448"/>
      <c r="BT86" s="1448"/>
      <c r="BU86" s="1460"/>
      <c r="BV86" s="1460"/>
      <c r="BW86" s="1460"/>
      <c r="BX86" s="1460"/>
      <c r="BY86" s="1346"/>
      <c r="BZ86" s="1461"/>
      <c r="CA86" s="1448"/>
      <c r="CB86" s="1448"/>
      <c r="CC86" s="1448"/>
      <c r="CD86" s="1448"/>
      <c r="CE86" s="1448"/>
      <c r="CF86" s="1460"/>
      <c r="CG86" s="1468"/>
      <c r="CH86" s="1393"/>
      <c r="CI86" s="1394">
        <f t="shared" si="22"/>
        <v>0</v>
      </c>
      <c r="CJ86" s="1435"/>
      <c r="CK86" s="1436"/>
      <c r="CL86" s="1437">
        <f t="shared" si="23"/>
        <v>0</v>
      </c>
      <c r="CM86" s="1438"/>
      <c r="CN86" s="1439">
        <f t="shared" si="24"/>
        <v>0</v>
      </c>
    </row>
    <row r="87" spans="1:92" s="1229" customFormat="1" ht="20.25">
      <c r="A87" s="1446" t="s">
        <v>125</v>
      </c>
      <c r="B87" s="1275"/>
      <c r="C87" s="1275"/>
      <c r="D87" s="1278"/>
      <c r="E87" s="1277"/>
      <c r="F87" s="1245"/>
      <c r="G87" s="1246"/>
      <c r="H87" s="1246"/>
      <c r="I87" s="1246"/>
      <c r="J87" s="1315"/>
      <c r="K87" s="1246"/>
      <c r="L87" s="1291"/>
      <c r="M87" s="1291"/>
      <c r="N87" s="1316"/>
      <c r="O87" s="1317"/>
      <c r="P87" s="1246"/>
      <c r="Q87" s="1246"/>
      <c r="R87" s="1246"/>
      <c r="S87" s="1345"/>
      <c r="T87" s="1345"/>
      <c r="U87" s="1345"/>
      <c r="V87" s="1345"/>
      <c r="W87" s="1346"/>
      <c r="X87" s="1317"/>
      <c r="Y87" s="1246"/>
      <c r="Z87" s="1246"/>
      <c r="AA87" s="1246"/>
      <c r="AB87" s="1345"/>
      <c r="AC87" s="1345"/>
      <c r="AD87" s="1345"/>
      <c r="AE87" s="1345"/>
      <c r="AF87" s="1346"/>
      <c r="AG87" s="1317"/>
      <c r="AH87" s="1246"/>
      <c r="AI87" s="1246"/>
      <c r="AJ87" s="1345"/>
      <c r="AK87" s="1345"/>
      <c r="AL87" s="1345"/>
      <c r="AM87" s="1345"/>
      <c r="AN87" s="1345"/>
      <c r="AO87" s="1346"/>
      <c r="AP87" s="1317"/>
      <c r="AQ87" s="1246"/>
      <c r="AR87" s="1246"/>
      <c r="AS87" s="1246"/>
      <c r="AT87" s="1345"/>
      <c r="AU87" s="1345"/>
      <c r="AV87" s="1345"/>
      <c r="AW87" s="1345"/>
      <c r="AX87" s="1346"/>
      <c r="AY87" s="1317"/>
      <c r="AZ87" s="1246"/>
      <c r="BA87" s="1246"/>
      <c r="BB87" s="1246"/>
      <c r="BC87" s="1345"/>
      <c r="BD87" s="1345"/>
      <c r="BE87" s="1345"/>
      <c r="BF87" s="1345"/>
      <c r="BG87" s="1346"/>
      <c r="BH87" s="1317"/>
      <c r="BI87" s="1246"/>
      <c r="BJ87" s="1246"/>
      <c r="BK87" s="1246"/>
      <c r="BL87" s="1345"/>
      <c r="BM87" s="1345"/>
      <c r="BN87" s="1345"/>
      <c r="BO87" s="1345"/>
      <c r="BP87" s="1346"/>
      <c r="BQ87" s="1317"/>
      <c r="BR87" s="1246"/>
      <c r="BS87" s="1246"/>
      <c r="BT87" s="1246"/>
      <c r="BU87" s="1345"/>
      <c r="BV87" s="1345"/>
      <c r="BW87" s="1345"/>
      <c r="BX87" s="1345"/>
      <c r="BY87" s="1346"/>
      <c r="BZ87" s="1317"/>
      <c r="CA87" s="1246"/>
      <c r="CB87" s="1246"/>
      <c r="CC87" s="1246"/>
      <c r="CD87" s="1246"/>
      <c r="CE87" s="1246"/>
      <c r="CF87" s="1345"/>
      <c r="CG87" s="1392"/>
      <c r="CH87" s="1393"/>
      <c r="CI87" s="1394">
        <f t="shared" si="22"/>
        <v>0</v>
      </c>
      <c r="CJ87" s="1435"/>
      <c r="CK87" s="1436"/>
      <c r="CL87" s="1437">
        <f t="shared" si="23"/>
        <v>0</v>
      </c>
      <c r="CM87" s="1438"/>
      <c r="CN87" s="1439">
        <f t="shared" si="24"/>
        <v>0</v>
      </c>
    </row>
    <row r="88" spans="1:92" s="1229" customFormat="1" ht="20.25">
      <c r="A88" s="1446" t="s">
        <v>125</v>
      </c>
      <c r="B88" s="1275"/>
      <c r="C88" s="1275"/>
      <c r="D88" s="1278"/>
      <c r="E88" s="1277"/>
      <c r="F88" s="1245"/>
      <c r="G88" s="1246"/>
      <c r="H88" s="1246"/>
      <c r="I88" s="1246"/>
      <c r="J88" s="1315"/>
      <c r="K88" s="1246"/>
      <c r="L88" s="1291"/>
      <c r="M88" s="1291"/>
      <c r="N88" s="1316"/>
      <c r="O88" s="1317"/>
      <c r="P88" s="1246"/>
      <c r="Q88" s="1246"/>
      <c r="R88" s="1246"/>
      <c r="S88" s="1345"/>
      <c r="T88" s="1345"/>
      <c r="U88" s="1345"/>
      <c r="V88" s="1345"/>
      <c r="W88" s="1346"/>
      <c r="X88" s="1317"/>
      <c r="Y88" s="1246"/>
      <c r="Z88" s="1246"/>
      <c r="AA88" s="1246"/>
      <c r="AB88" s="1345"/>
      <c r="AC88" s="1345"/>
      <c r="AD88" s="1345"/>
      <c r="AE88" s="1345"/>
      <c r="AF88" s="1346"/>
      <c r="AG88" s="1317"/>
      <c r="AH88" s="1246"/>
      <c r="AI88" s="1246"/>
      <c r="AJ88" s="1345"/>
      <c r="AK88" s="1345"/>
      <c r="AL88" s="1345"/>
      <c r="AM88" s="1345"/>
      <c r="AN88" s="1345"/>
      <c r="AO88" s="1346"/>
      <c r="AP88" s="1317"/>
      <c r="AQ88" s="1246"/>
      <c r="AR88" s="1246"/>
      <c r="AS88" s="1246"/>
      <c r="AT88" s="1345"/>
      <c r="AU88" s="1345"/>
      <c r="AV88" s="1345"/>
      <c r="AW88" s="1345"/>
      <c r="AX88" s="1346"/>
      <c r="AY88" s="1317"/>
      <c r="AZ88" s="1246"/>
      <c r="BA88" s="1246"/>
      <c r="BB88" s="1246"/>
      <c r="BC88" s="1345"/>
      <c r="BD88" s="1345"/>
      <c r="BE88" s="1345"/>
      <c r="BF88" s="1345"/>
      <c r="BG88" s="1346"/>
      <c r="BH88" s="1317"/>
      <c r="BI88" s="1246"/>
      <c r="BJ88" s="1246"/>
      <c r="BK88" s="1246"/>
      <c r="BL88" s="1345"/>
      <c r="BM88" s="1345"/>
      <c r="BN88" s="1345"/>
      <c r="BO88" s="1345"/>
      <c r="BP88" s="1346"/>
      <c r="BQ88" s="1317"/>
      <c r="BR88" s="1246"/>
      <c r="BS88" s="1246"/>
      <c r="BT88" s="1246"/>
      <c r="BU88" s="1345"/>
      <c r="BV88" s="1345"/>
      <c r="BW88" s="1345"/>
      <c r="BX88" s="1345"/>
      <c r="BY88" s="1346"/>
      <c r="BZ88" s="1317"/>
      <c r="CA88" s="1246"/>
      <c r="CB88" s="1246"/>
      <c r="CC88" s="1246"/>
      <c r="CD88" s="1246"/>
      <c r="CE88" s="1246"/>
      <c r="CF88" s="1345"/>
      <c r="CG88" s="1392"/>
      <c r="CH88" s="1393"/>
      <c r="CI88" s="1394">
        <f t="shared" si="22"/>
        <v>0</v>
      </c>
      <c r="CJ88" s="1435"/>
      <c r="CK88" s="1436"/>
      <c r="CL88" s="1437">
        <f t="shared" si="23"/>
        <v>0</v>
      </c>
      <c r="CM88" s="1438"/>
      <c r="CN88" s="1439">
        <f t="shared" si="24"/>
        <v>0</v>
      </c>
    </row>
    <row r="89" spans="1:92" s="1229" customFormat="1" ht="20.25">
      <c r="A89" s="1446" t="s">
        <v>125</v>
      </c>
      <c r="B89" s="1275"/>
      <c r="C89" s="1275"/>
      <c r="D89" s="1278"/>
      <c r="E89" s="1277"/>
      <c r="F89" s="1245"/>
      <c r="G89" s="1246"/>
      <c r="H89" s="1246"/>
      <c r="I89" s="1246"/>
      <c r="J89" s="1315"/>
      <c r="K89" s="1246"/>
      <c r="L89" s="1291"/>
      <c r="M89" s="1291"/>
      <c r="N89" s="1316"/>
      <c r="O89" s="1317"/>
      <c r="P89" s="1246"/>
      <c r="Q89" s="1246"/>
      <c r="R89" s="1246"/>
      <c r="S89" s="1345"/>
      <c r="T89" s="1345"/>
      <c r="U89" s="1345"/>
      <c r="V89" s="1345"/>
      <c r="W89" s="1346"/>
      <c r="X89" s="1317"/>
      <c r="Y89" s="1246"/>
      <c r="Z89" s="1246"/>
      <c r="AA89" s="1246"/>
      <c r="AB89" s="1345"/>
      <c r="AC89" s="1345"/>
      <c r="AD89" s="1345"/>
      <c r="AE89" s="1345"/>
      <c r="AF89" s="1346"/>
      <c r="AG89" s="1317"/>
      <c r="AH89" s="1246"/>
      <c r="AI89" s="1246"/>
      <c r="AJ89" s="1345"/>
      <c r="AK89" s="1345"/>
      <c r="AL89" s="1345"/>
      <c r="AM89" s="1345"/>
      <c r="AN89" s="1345"/>
      <c r="AO89" s="1346"/>
      <c r="AP89" s="1317"/>
      <c r="AQ89" s="1246"/>
      <c r="AR89" s="1246"/>
      <c r="AS89" s="1246"/>
      <c r="AT89" s="1345"/>
      <c r="AU89" s="1345"/>
      <c r="AV89" s="1345"/>
      <c r="AW89" s="1345"/>
      <c r="AX89" s="1346"/>
      <c r="AY89" s="1317"/>
      <c r="AZ89" s="1246"/>
      <c r="BA89" s="1246"/>
      <c r="BB89" s="1246"/>
      <c r="BC89" s="1345"/>
      <c r="BD89" s="1345"/>
      <c r="BE89" s="1345"/>
      <c r="BF89" s="1345"/>
      <c r="BG89" s="1346"/>
      <c r="BH89" s="1317"/>
      <c r="BI89" s="1246"/>
      <c r="BJ89" s="1246"/>
      <c r="BK89" s="1246"/>
      <c r="BL89" s="1345"/>
      <c r="BM89" s="1345"/>
      <c r="BN89" s="1345"/>
      <c r="BO89" s="1345"/>
      <c r="BP89" s="1346"/>
      <c r="BQ89" s="1317"/>
      <c r="BR89" s="1246"/>
      <c r="BS89" s="1246"/>
      <c r="BT89" s="1246"/>
      <c r="BU89" s="1345"/>
      <c r="BV89" s="1345"/>
      <c r="BW89" s="1345"/>
      <c r="BX89" s="1345"/>
      <c r="BY89" s="1346"/>
      <c r="BZ89" s="1317"/>
      <c r="CA89" s="1246"/>
      <c r="CB89" s="1246"/>
      <c r="CC89" s="1246"/>
      <c r="CD89" s="1246"/>
      <c r="CE89" s="1246"/>
      <c r="CF89" s="1345"/>
      <c r="CG89" s="1392"/>
      <c r="CH89" s="1393"/>
      <c r="CI89" s="1394">
        <f t="shared" si="22"/>
        <v>0</v>
      </c>
      <c r="CJ89" s="1435"/>
      <c r="CK89" s="1436"/>
      <c r="CL89" s="1437">
        <f t="shared" si="23"/>
        <v>0</v>
      </c>
      <c r="CM89" s="1438"/>
      <c r="CN89" s="1439">
        <f t="shared" si="24"/>
        <v>0</v>
      </c>
    </row>
    <row r="90" spans="1:92" s="1229" customFormat="1" ht="20.25">
      <c r="A90" s="1446" t="s">
        <v>125</v>
      </c>
      <c r="B90" s="1275"/>
      <c r="C90" s="1275"/>
      <c r="D90" s="1278"/>
      <c r="E90" s="1277"/>
      <c r="F90" s="1245"/>
      <c r="G90" s="1246"/>
      <c r="H90" s="1246"/>
      <c r="I90" s="1246"/>
      <c r="J90" s="1315"/>
      <c r="K90" s="1246"/>
      <c r="L90" s="1291"/>
      <c r="M90" s="1291"/>
      <c r="N90" s="1316"/>
      <c r="O90" s="1317"/>
      <c r="P90" s="1246"/>
      <c r="Q90" s="1246"/>
      <c r="R90" s="1246"/>
      <c r="S90" s="1345"/>
      <c r="T90" s="1345"/>
      <c r="U90" s="1345"/>
      <c r="V90" s="1345"/>
      <c r="W90" s="1346"/>
      <c r="X90" s="1317"/>
      <c r="Y90" s="1246"/>
      <c r="Z90" s="1246"/>
      <c r="AA90" s="1246"/>
      <c r="AB90" s="1345"/>
      <c r="AC90" s="1345"/>
      <c r="AD90" s="1345"/>
      <c r="AE90" s="1345"/>
      <c r="AF90" s="1346"/>
      <c r="AG90" s="1317"/>
      <c r="AH90" s="1246"/>
      <c r="AI90" s="1246"/>
      <c r="AJ90" s="1345"/>
      <c r="AK90" s="1345"/>
      <c r="AL90" s="1345"/>
      <c r="AM90" s="1345"/>
      <c r="AN90" s="1345"/>
      <c r="AO90" s="1346"/>
      <c r="AP90" s="1317"/>
      <c r="AQ90" s="1246"/>
      <c r="AR90" s="1246"/>
      <c r="AS90" s="1246"/>
      <c r="AT90" s="1345"/>
      <c r="AU90" s="1345"/>
      <c r="AV90" s="1345"/>
      <c r="AW90" s="1345"/>
      <c r="AX90" s="1346"/>
      <c r="AY90" s="1317"/>
      <c r="AZ90" s="1246"/>
      <c r="BA90" s="1246"/>
      <c r="BB90" s="1246"/>
      <c r="BC90" s="1345"/>
      <c r="BD90" s="1345"/>
      <c r="BE90" s="1345"/>
      <c r="BF90" s="1345"/>
      <c r="BG90" s="1346"/>
      <c r="BH90" s="1317"/>
      <c r="BI90" s="1246"/>
      <c r="BJ90" s="1246"/>
      <c r="BK90" s="1246"/>
      <c r="BL90" s="1345"/>
      <c r="BM90" s="1345"/>
      <c r="BN90" s="1345"/>
      <c r="BO90" s="1345"/>
      <c r="BP90" s="1346"/>
      <c r="BQ90" s="1317"/>
      <c r="BR90" s="1246"/>
      <c r="BS90" s="1246"/>
      <c r="BT90" s="1246"/>
      <c r="BU90" s="1345"/>
      <c r="BV90" s="1345"/>
      <c r="BW90" s="1345"/>
      <c r="BX90" s="1345"/>
      <c r="BY90" s="1346"/>
      <c r="BZ90" s="1317"/>
      <c r="CA90" s="1246"/>
      <c r="CB90" s="1246"/>
      <c r="CC90" s="1246"/>
      <c r="CD90" s="1246"/>
      <c r="CE90" s="1246"/>
      <c r="CF90" s="1345"/>
      <c r="CG90" s="1392"/>
      <c r="CH90" s="1393"/>
      <c r="CI90" s="1394">
        <f t="shared" si="22"/>
        <v>0</v>
      </c>
      <c r="CJ90" s="1435"/>
      <c r="CK90" s="1436"/>
      <c r="CL90" s="1437">
        <f t="shared" si="23"/>
        <v>0</v>
      </c>
      <c r="CM90" s="1438"/>
      <c r="CN90" s="1439">
        <f t="shared" si="24"/>
        <v>0</v>
      </c>
    </row>
    <row r="91" spans="1:92" s="1229" customFormat="1" ht="20.25">
      <c r="A91" s="1446" t="s">
        <v>125</v>
      </c>
      <c r="B91" s="1275"/>
      <c r="C91" s="1275"/>
      <c r="D91" s="1278"/>
      <c r="E91" s="1277"/>
      <c r="F91" s="1245"/>
      <c r="G91" s="1246"/>
      <c r="H91" s="1246"/>
      <c r="I91" s="1246"/>
      <c r="J91" s="1315"/>
      <c r="K91" s="1246"/>
      <c r="L91" s="1291"/>
      <c r="M91" s="1291"/>
      <c r="N91" s="1316"/>
      <c r="O91" s="1317"/>
      <c r="P91" s="1246"/>
      <c r="Q91" s="1246"/>
      <c r="R91" s="1246"/>
      <c r="S91" s="1345"/>
      <c r="T91" s="1345"/>
      <c r="U91" s="1345"/>
      <c r="V91" s="1345"/>
      <c r="W91" s="1346"/>
      <c r="X91" s="1317"/>
      <c r="Y91" s="1246"/>
      <c r="Z91" s="1246"/>
      <c r="AA91" s="1246"/>
      <c r="AB91" s="1345"/>
      <c r="AC91" s="1345"/>
      <c r="AD91" s="1345"/>
      <c r="AE91" s="1345"/>
      <c r="AF91" s="1346"/>
      <c r="AG91" s="1317"/>
      <c r="AH91" s="1246"/>
      <c r="AI91" s="1246"/>
      <c r="AJ91" s="1345"/>
      <c r="AK91" s="1345"/>
      <c r="AL91" s="1345"/>
      <c r="AM91" s="1345"/>
      <c r="AN91" s="1345"/>
      <c r="AO91" s="1346"/>
      <c r="AP91" s="1317"/>
      <c r="AQ91" s="1246"/>
      <c r="AR91" s="1246"/>
      <c r="AS91" s="1246"/>
      <c r="AT91" s="1345"/>
      <c r="AU91" s="1345"/>
      <c r="AV91" s="1345"/>
      <c r="AW91" s="1345"/>
      <c r="AX91" s="1346"/>
      <c r="AY91" s="1317"/>
      <c r="AZ91" s="1246"/>
      <c r="BA91" s="1246"/>
      <c r="BB91" s="1246"/>
      <c r="BC91" s="1345"/>
      <c r="BD91" s="1345"/>
      <c r="BE91" s="1345"/>
      <c r="BF91" s="1345"/>
      <c r="BG91" s="1346"/>
      <c r="BH91" s="1317"/>
      <c r="BI91" s="1246"/>
      <c r="BJ91" s="1246"/>
      <c r="BK91" s="1246"/>
      <c r="BL91" s="1345"/>
      <c r="BM91" s="1345"/>
      <c r="BN91" s="1345"/>
      <c r="BO91" s="1345"/>
      <c r="BP91" s="1346"/>
      <c r="BQ91" s="1317"/>
      <c r="BR91" s="1246"/>
      <c r="BS91" s="1246"/>
      <c r="BT91" s="1246"/>
      <c r="BU91" s="1345"/>
      <c r="BV91" s="1345"/>
      <c r="BW91" s="1345"/>
      <c r="BX91" s="1345"/>
      <c r="BY91" s="1346"/>
      <c r="BZ91" s="1317"/>
      <c r="CA91" s="1246"/>
      <c r="CB91" s="1246"/>
      <c r="CC91" s="1246"/>
      <c r="CD91" s="1246"/>
      <c r="CE91" s="1246"/>
      <c r="CF91" s="1345"/>
      <c r="CG91" s="1392"/>
      <c r="CH91" s="1393"/>
      <c r="CI91" s="1394">
        <f t="shared" si="22"/>
        <v>0</v>
      </c>
      <c r="CJ91" s="1435"/>
      <c r="CK91" s="1436"/>
      <c r="CL91" s="1437">
        <f t="shared" si="23"/>
        <v>0</v>
      </c>
      <c r="CM91" s="1438"/>
      <c r="CN91" s="1439">
        <f t="shared" si="24"/>
        <v>0</v>
      </c>
    </row>
    <row r="92" spans="1:92" s="1229" customFormat="1" ht="20.25">
      <c r="A92" s="1446" t="s">
        <v>125</v>
      </c>
      <c r="B92" s="1275"/>
      <c r="C92" s="1275"/>
      <c r="D92" s="1278"/>
      <c r="E92" s="1277"/>
      <c r="F92" s="1245"/>
      <c r="G92" s="1246"/>
      <c r="H92" s="1246"/>
      <c r="I92" s="1246"/>
      <c r="J92" s="1315"/>
      <c r="K92" s="1246"/>
      <c r="L92" s="1291"/>
      <c r="M92" s="1291"/>
      <c r="N92" s="1316"/>
      <c r="O92" s="1317"/>
      <c r="P92" s="1246"/>
      <c r="Q92" s="1246"/>
      <c r="R92" s="1246"/>
      <c r="S92" s="1345"/>
      <c r="T92" s="1345"/>
      <c r="U92" s="1345"/>
      <c r="V92" s="1345"/>
      <c r="W92" s="1346"/>
      <c r="X92" s="1317"/>
      <c r="Y92" s="1246"/>
      <c r="Z92" s="1246"/>
      <c r="AA92" s="1246"/>
      <c r="AB92" s="1345"/>
      <c r="AC92" s="1345"/>
      <c r="AD92" s="1345"/>
      <c r="AE92" s="1345"/>
      <c r="AF92" s="1346"/>
      <c r="AG92" s="1317"/>
      <c r="AH92" s="1246"/>
      <c r="AI92" s="1246"/>
      <c r="AJ92" s="1345"/>
      <c r="AK92" s="1345"/>
      <c r="AL92" s="1345"/>
      <c r="AM92" s="1345"/>
      <c r="AN92" s="1345"/>
      <c r="AO92" s="1346"/>
      <c r="AP92" s="1317"/>
      <c r="AQ92" s="1246"/>
      <c r="AR92" s="1246"/>
      <c r="AS92" s="1246"/>
      <c r="AT92" s="1345"/>
      <c r="AU92" s="1345"/>
      <c r="AV92" s="1345"/>
      <c r="AW92" s="1345"/>
      <c r="AX92" s="1346"/>
      <c r="AY92" s="1317"/>
      <c r="AZ92" s="1246"/>
      <c r="BA92" s="1246"/>
      <c r="BB92" s="1246"/>
      <c r="BC92" s="1345"/>
      <c r="BD92" s="1345"/>
      <c r="BE92" s="1345"/>
      <c r="BF92" s="1345"/>
      <c r="BG92" s="1346"/>
      <c r="BH92" s="1317"/>
      <c r="BI92" s="1246"/>
      <c r="BJ92" s="1246"/>
      <c r="BK92" s="1246"/>
      <c r="BL92" s="1345"/>
      <c r="BM92" s="1345"/>
      <c r="BN92" s="1345"/>
      <c r="BO92" s="1345"/>
      <c r="BP92" s="1346"/>
      <c r="BQ92" s="1317"/>
      <c r="BR92" s="1246"/>
      <c r="BS92" s="1246"/>
      <c r="BT92" s="1246"/>
      <c r="BU92" s="1345"/>
      <c r="BV92" s="1345"/>
      <c r="BW92" s="1345"/>
      <c r="BX92" s="1345"/>
      <c r="BY92" s="1346"/>
      <c r="BZ92" s="1317"/>
      <c r="CA92" s="1246"/>
      <c r="CB92" s="1246"/>
      <c r="CC92" s="1246"/>
      <c r="CD92" s="1246"/>
      <c r="CE92" s="1246"/>
      <c r="CF92" s="1345"/>
      <c r="CG92" s="1392"/>
      <c r="CH92" s="1393"/>
      <c r="CI92" s="1394">
        <f t="shared" si="22"/>
        <v>0</v>
      </c>
      <c r="CJ92" s="1435"/>
      <c r="CK92" s="1436"/>
      <c r="CL92" s="1437">
        <f t="shared" si="23"/>
        <v>0</v>
      </c>
      <c r="CM92" s="1438"/>
      <c r="CN92" s="1439">
        <f t="shared" si="24"/>
        <v>0</v>
      </c>
    </row>
    <row r="93" spans="1:92" s="1229" customFormat="1" ht="20.25">
      <c r="A93" s="1446" t="s">
        <v>125</v>
      </c>
      <c r="B93" s="1275"/>
      <c r="C93" s="1275"/>
      <c r="D93" s="1278"/>
      <c r="E93" s="1277"/>
      <c r="F93" s="1245"/>
      <c r="G93" s="1246"/>
      <c r="H93" s="1246"/>
      <c r="I93" s="1246"/>
      <c r="J93" s="1315"/>
      <c r="K93" s="1246"/>
      <c r="L93" s="1291"/>
      <c r="M93" s="1291"/>
      <c r="N93" s="1316"/>
      <c r="O93" s="1317"/>
      <c r="P93" s="1246"/>
      <c r="Q93" s="1246"/>
      <c r="R93" s="1246"/>
      <c r="S93" s="1345"/>
      <c r="T93" s="1345"/>
      <c r="U93" s="1345"/>
      <c r="V93" s="1345"/>
      <c r="W93" s="1346"/>
      <c r="X93" s="1317"/>
      <c r="Y93" s="1246"/>
      <c r="Z93" s="1246"/>
      <c r="AA93" s="1246"/>
      <c r="AB93" s="1345"/>
      <c r="AC93" s="1345"/>
      <c r="AD93" s="1345"/>
      <c r="AE93" s="1345"/>
      <c r="AF93" s="1346"/>
      <c r="AG93" s="1317"/>
      <c r="AH93" s="1246"/>
      <c r="AI93" s="1246"/>
      <c r="AJ93" s="1345"/>
      <c r="AK93" s="1345"/>
      <c r="AL93" s="1345"/>
      <c r="AM93" s="1345"/>
      <c r="AN93" s="1345"/>
      <c r="AO93" s="1346"/>
      <c r="AP93" s="1317"/>
      <c r="AQ93" s="1246"/>
      <c r="AR93" s="1246"/>
      <c r="AS93" s="1246"/>
      <c r="AT93" s="1345"/>
      <c r="AU93" s="1345"/>
      <c r="AV93" s="1345"/>
      <c r="AW93" s="1345"/>
      <c r="AX93" s="1346"/>
      <c r="AY93" s="1317"/>
      <c r="AZ93" s="1246"/>
      <c r="BA93" s="1246"/>
      <c r="BB93" s="1246"/>
      <c r="BC93" s="1345"/>
      <c r="BD93" s="1345"/>
      <c r="BE93" s="1345"/>
      <c r="BF93" s="1345"/>
      <c r="BG93" s="1346"/>
      <c r="BH93" s="1317"/>
      <c r="BI93" s="1246"/>
      <c r="BJ93" s="1246"/>
      <c r="BK93" s="1246"/>
      <c r="BL93" s="1345"/>
      <c r="BM93" s="1345"/>
      <c r="BN93" s="1345"/>
      <c r="BO93" s="1345"/>
      <c r="BP93" s="1346"/>
      <c r="BQ93" s="1317"/>
      <c r="BR93" s="1246"/>
      <c r="BS93" s="1246"/>
      <c r="BT93" s="1246"/>
      <c r="BU93" s="1345"/>
      <c r="BV93" s="1345"/>
      <c r="BW93" s="1345"/>
      <c r="BX93" s="1345"/>
      <c r="BY93" s="1346"/>
      <c r="BZ93" s="1317"/>
      <c r="CA93" s="1246"/>
      <c r="CB93" s="1246"/>
      <c r="CC93" s="1246"/>
      <c r="CD93" s="1246"/>
      <c r="CE93" s="1246"/>
      <c r="CF93" s="1345"/>
      <c r="CG93" s="1392"/>
      <c r="CH93" s="1393"/>
      <c r="CI93" s="1394">
        <f t="shared" si="22"/>
        <v>0</v>
      </c>
      <c r="CJ93" s="1435"/>
      <c r="CK93" s="1436"/>
      <c r="CL93" s="1437">
        <f t="shared" si="23"/>
        <v>0</v>
      </c>
      <c r="CM93" s="1438"/>
      <c r="CN93" s="1439">
        <f t="shared" si="24"/>
        <v>0</v>
      </c>
    </row>
    <row r="94" spans="1:92" s="1229" customFormat="1" ht="20.25">
      <c r="A94" s="1446" t="s">
        <v>125</v>
      </c>
      <c r="B94" s="1275"/>
      <c r="C94" s="1275"/>
      <c r="D94" s="1278"/>
      <c r="E94" s="1277"/>
      <c r="F94" s="1245"/>
      <c r="G94" s="1246"/>
      <c r="H94" s="1246"/>
      <c r="I94" s="1246"/>
      <c r="J94" s="1315"/>
      <c r="K94" s="1246"/>
      <c r="L94" s="1291"/>
      <c r="M94" s="1291"/>
      <c r="N94" s="1316"/>
      <c r="O94" s="1317"/>
      <c r="P94" s="1246"/>
      <c r="Q94" s="1246"/>
      <c r="R94" s="1246"/>
      <c r="S94" s="1345"/>
      <c r="T94" s="1345"/>
      <c r="U94" s="1345"/>
      <c r="V94" s="1345"/>
      <c r="W94" s="1346"/>
      <c r="X94" s="1317"/>
      <c r="Y94" s="1246"/>
      <c r="Z94" s="1246"/>
      <c r="AA94" s="1246"/>
      <c r="AB94" s="1345"/>
      <c r="AC94" s="1345"/>
      <c r="AD94" s="1345"/>
      <c r="AE94" s="1345"/>
      <c r="AF94" s="1346"/>
      <c r="AG94" s="1317"/>
      <c r="AH94" s="1246"/>
      <c r="AI94" s="1246"/>
      <c r="AJ94" s="1345"/>
      <c r="AK94" s="1345"/>
      <c r="AL94" s="1345"/>
      <c r="AM94" s="1345"/>
      <c r="AN94" s="1345"/>
      <c r="AO94" s="1346"/>
      <c r="AP94" s="1317"/>
      <c r="AQ94" s="1246"/>
      <c r="AR94" s="1246"/>
      <c r="AS94" s="1246"/>
      <c r="AT94" s="1345"/>
      <c r="AU94" s="1345"/>
      <c r="AV94" s="1345"/>
      <c r="AW94" s="1345"/>
      <c r="AX94" s="1346"/>
      <c r="AY94" s="1317"/>
      <c r="AZ94" s="1246"/>
      <c r="BA94" s="1246"/>
      <c r="BB94" s="1246"/>
      <c r="BC94" s="1345"/>
      <c r="BD94" s="1345"/>
      <c r="BE94" s="1345"/>
      <c r="BF94" s="1345"/>
      <c r="BG94" s="1346"/>
      <c r="BH94" s="1317"/>
      <c r="BI94" s="1246"/>
      <c r="BJ94" s="1246"/>
      <c r="BK94" s="1246"/>
      <c r="BL94" s="1345"/>
      <c r="BM94" s="1345"/>
      <c r="BN94" s="1345"/>
      <c r="BO94" s="1345"/>
      <c r="BP94" s="1346"/>
      <c r="BQ94" s="1317"/>
      <c r="BR94" s="1246"/>
      <c r="BS94" s="1246"/>
      <c r="BT94" s="1246"/>
      <c r="BU94" s="1345"/>
      <c r="BV94" s="1345"/>
      <c r="BW94" s="1345"/>
      <c r="BX94" s="1345"/>
      <c r="BY94" s="1346"/>
      <c r="BZ94" s="1317"/>
      <c r="CA94" s="1246"/>
      <c r="CB94" s="1246"/>
      <c r="CC94" s="1246"/>
      <c r="CD94" s="1246"/>
      <c r="CE94" s="1246"/>
      <c r="CF94" s="1345"/>
      <c r="CG94" s="1392"/>
      <c r="CH94" s="1393"/>
      <c r="CI94" s="1394">
        <f t="shared" si="22"/>
        <v>0</v>
      </c>
      <c r="CJ94" s="1435"/>
      <c r="CK94" s="1436"/>
      <c r="CL94" s="1437">
        <f t="shared" si="23"/>
        <v>0</v>
      </c>
      <c r="CM94" s="1438"/>
      <c r="CN94" s="1439">
        <f t="shared" si="24"/>
        <v>0</v>
      </c>
    </row>
    <row r="95" spans="1:92" s="1229" customFormat="1" ht="20.25">
      <c r="A95" s="1446" t="s">
        <v>125</v>
      </c>
      <c r="B95" s="1275"/>
      <c r="C95" s="1275"/>
      <c r="D95" s="1278"/>
      <c r="E95" s="1277"/>
      <c r="F95" s="1245"/>
      <c r="G95" s="1246"/>
      <c r="H95" s="1246"/>
      <c r="I95" s="1246"/>
      <c r="J95" s="1315"/>
      <c r="K95" s="1246"/>
      <c r="L95" s="1291"/>
      <c r="M95" s="1291"/>
      <c r="N95" s="1316"/>
      <c r="O95" s="1317"/>
      <c r="P95" s="1246"/>
      <c r="Q95" s="1246"/>
      <c r="R95" s="1246"/>
      <c r="S95" s="1345"/>
      <c r="T95" s="1345"/>
      <c r="U95" s="1345"/>
      <c r="V95" s="1345"/>
      <c r="W95" s="1346"/>
      <c r="X95" s="1317"/>
      <c r="Y95" s="1246"/>
      <c r="Z95" s="1246"/>
      <c r="AA95" s="1246"/>
      <c r="AB95" s="1345"/>
      <c r="AC95" s="1345"/>
      <c r="AD95" s="1345"/>
      <c r="AE95" s="1345"/>
      <c r="AF95" s="1346"/>
      <c r="AG95" s="1317"/>
      <c r="AH95" s="1246"/>
      <c r="AI95" s="1246"/>
      <c r="AJ95" s="1345"/>
      <c r="AK95" s="1345"/>
      <c r="AL95" s="1345"/>
      <c r="AM95" s="1345"/>
      <c r="AN95" s="1345"/>
      <c r="AO95" s="1346"/>
      <c r="AP95" s="1317"/>
      <c r="AQ95" s="1246"/>
      <c r="AR95" s="1246"/>
      <c r="AS95" s="1246"/>
      <c r="AT95" s="1345"/>
      <c r="AU95" s="1345"/>
      <c r="AV95" s="1345"/>
      <c r="AW95" s="1345"/>
      <c r="AX95" s="1346"/>
      <c r="AY95" s="1317"/>
      <c r="AZ95" s="1246"/>
      <c r="BA95" s="1246"/>
      <c r="BB95" s="1246"/>
      <c r="BC95" s="1345"/>
      <c r="BD95" s="1345"/>
      <c r="BE95" s="1345"/>
      <c r="BF95" s="1345"/>
      <c r="BG95" s="1346"/>
      <c r="BH95" s="1317"/>
      <c r="BI95" s="1246"/>
      <c r="BJ95" s="1246"/>
      <c r="BK95" s="1246"/>
      <c r="BL95" s="1345"/>
      <c r="BM95" s="1345"/>
      <c r="BN95" s="1345"/>
      <c r="BO95" s="1345"/>
      <c r="BP95" s="1346"/>
      <c r="BQ95" s="1317"/>
      <c r="BR95" s="1246"/>
      <c r="BS95" s="1246"/>
      <c r="BT95" s="1246"/>
      <c r="BU95" s="1345"/>
      <c r="BV95" s="1345"/>
      <c r="BW95" s="1345"/>
      <c r="BX95" s="1345"/>
      <c r="BY95" s="1346"/>
      <c r="BZ95" s="1317"/>
      <c r="CA95" s="1246"/>
      <c r="CB95" s="1246"/>
      <c r="CC95" s="1246"/>
      <c r="CD95" s="1246"/>
      <c r="CE95" s="1246"/>
      <c r="CF95" s="1345"/>
      <c r="CG95" s="1392"/>
      <c r="CH95" s="1393"/>
      <c r="CI95" s="1394">
        <f t="shared" si="22"/>
        <v>0</v>
      </c>
      <c r="CJ95" s="1435"/>
      <c r="CK95" s="1436"/>
      <c r="CL95" s="1437">
        <f t="shared" si="23"/>
        <v>0</v>
      </c>
      <c r="CM95" s="1438"/>
      <c r="CN95" s="1439">
        <f t="shared" si="24"/>
        <v>0</v>
      </c>
    </row>
    <row r="96" spans="1:92" s="1229" customFormat="1" ht="20.25">
      <c r="A96" s="1446" t="s">
        <v>125</v>
      </c>
      <c r="B96" s="1275"/>
      <c r="C96" s="1275"/>
      <c r="D96" s="1278"/>
      <c r="E96" s="1277"/>
      <c r="F96" s="1245"/>
      <c r="G96" s="1246"/>
      <c r="H96" s="1246"/>
      <c r="I96" s="1246"/>
      <c r="J96" s="1315"/>
      <c r="K96" s="1246"/>
      <c r="L96" s="1291"/>
      <c r="M96" s="1291"/>
      <c r="N96" s="1316"/>
      <c r="O96" s="1317"/>
      <c r="P96" s="1246"/>
      <c r="Q96" s="1246"/>
      <c r="R96" s="1246"/>
      <c r="S96" s="1345"/>
      <c r="T96" s="1345"/>
      <c r="U96" s="1345"/>
      <c r="V96" s="1345"/>
      <c r="W96" s="1346"/>
      <c r="X96" s="1317"/>
      <c r="Y96" s="1246"/>
      <c r="Z96" s="1246"/>
      <c r="AA96" s="1246"/>
      <c r="AB96" s="1345"/>
      <c r="AC96" s="1345"/>
      <c r="AD96" s="1345"/>
      <c r="AE96" s="1345"/>
      <c r="AF96" s="1346"/>
      <c r="AG96" s="1317"/>
      <c r="AH96" s="1246"/>
      <c r="AI96" s="1246"/>
      <c r="AJ96" s="1345"/>
      <c r="AK96" s="1345"/>
      <c r="AL96" s="1345"/>
      <c r="AM96" s="1345"/>
      <c r="AN96" s="1345"/>
      <c r="AO96" s="1346"/>
      <c r="AP96" s="1317"/>
      <c r="AQ96" s="1246"/>
      <c r="AR96" s="1246"/>
      <c r="AS96" s="1246"/>
      <c r="AT96" s="1345"/>
      <c r="AU96" s="1345"/>
      <c r="AV96" s="1345"/>
      <c r="AW96" s="1345"/>
      <c r="AX96" s="1346"/>
      <c r="AY96" s="1317"/>
      <c r="AZ96" s="1246"/>
      <c r="BA96" s="1246"/>
      <c r="BB96" s="1246"/>
      <c r="BC96" s="1345"/>
      <c r="BD96" s="1345"/>
      <c r="BE96" s="1345"/>
      <c r="BF96" s="1345"/>
      <c r="BG96" s="1346"/>
      <c r="BH96" s="1317"/>
      <c r="BI96" s="1246"/>
      <c r="BJ96" s="1246"/>
      <c r="BK96" s="1246"/>
      <c r="BL96" s="1345"/>
      <c r="BM96" s="1345"/>
      <c r="BN96" s="1345"/>
      <c r="BO96" s="1345"/>
      <c r="BP96" s="1346"/>
      <c r="BQ96" s="1317"/>
      <c r="BR96" s="1246"/>
      <c r="BS96" s="1246"/>
      <c r="BT96" s="1246"/>
      <c r="BU96" s="1345"/>
      <c r="BV96" s="1345"/>
      <c r="BW96" s="1345"/>
      <c r="BX96" s="1345"/>
      <c r="BY96" s="1346"/>
      <c r="BZ96" s="1317"/>
      <c r="CA96" s="1246"/>
      <c r="CB96" s="1246"/>
      <c r="CC96" s="1246"/>
      <c r="CD96" s="1246"/>
      <c r="CE96" s="1246"/>
      <c r="CF96" s="1345"/>
      <c r="CG96" s="1392"/>
      <c r="CH96" s="1393"/>
      <c r="CI96" s="1394">
        <f t="shared" si="22"/>
        <v>0</v>
      </c>
      <c r="CJ96" s="1435"/>
      <c r="CK96" s="1436"/>
      <c r="CL96" s="1437">
        <f t="shared" si="23"/>
        <v>0</v>
      </c>
      <c r="CM96" s="1438"/>
      <c r="CN96" s="1439">
        <f t="shared" si="24"/>
        <v>0</v>
      </c>
    </row>
    <row r="97" spans="1:95" s="1229" customFormat="1" ht="20.25">
      <c r="A97" s="1451" t="s">
        <v>125</v>
      </c>
      <c r="B97" s="1275"/>
      <c r="C97" s="1275"/>
      <c r="D97" s="1278"/>
      <c r="E97" s="1277"/>
      <c r="F97" s="1245"/>
      <c r="G97" s="1246"/>
      <c r="H97" s="1246"/>
      <c r="I97" s="1246"/>
      <c r="J97" s="1315"/>
      <c r="K97" s="1246"/>
      <c r="L97" s="1291"/>
      <c r="M97" s="1291"/>
      <c r="N97" s="1316"/>
      <c r="O97" s="1317"/>
      <c r="P97" s="1246"/>
      <c r="Q97" s="1246"/>
      <c r="R97" s="1246"/>
      <c r="S97" s="1345"/>
      <c r="T97" s="1345"/>
      <c r="U97" s="1345"/>
      <c r="V97" s="1345"/>
      <c r="W97" s="1346"/>
      <c r="X97" s="1317"/>
      <c r="Y97" s="1246"/>
      <c r="Z97" s="1246"/>
      <c r="AA97" s="1246"/>
      <c r="AB97" s="1345"/>
      <c r="AC97" s="1345"/>
      <c r="AD97" s="1345"/>
      <c r="AE97" s="1345"/>
      <c r="AF97" s="1346"/>
      <c r="AG97" s="1317"/>
      <c r="AH97" s="1246"/>
      <c r="AI97" s="1246"/>
      <c r="AJ97" s="1345"/>
      <c r="AK97" s="1345"/>
      <c r="AL97" s="1345"/>
      <c r="AM97" s="1345"/>
      <c r="AN97" s="1345"/>
      <c r="AO97" s="1346"/>
      <c r="AP97" s="1317"/>
      <c r="AQ97" s="1246"/>
      <c r="AR97" s="1246"/>
      <c r="AS97" s="1246"/>
      <c r="AT97" s="1345"/>
      <c r="AU97" s="1345"/>
      <c r="AV97" s="1345"/>
      <c r="AW97" s="1345"/>
      <c r="AX97" s="1346"/>
      <c r="AY97" s="1317"/>
      <c r="AZ97" s="1246"/>
      <c r="BA97" s="1246"/>
      <c r="BB97" s="1246"/>
      <c r="BC97" s="1345"/>
      <c r="BD97" s="1345"/>
      <c r="BE97" s="1345"/>
      <c r="BF97" s="1345"/>
      <c r="BG97" s="1346"/>
      <c r="BH97" s="1317"/>
      <c r="BI97" s="1246"/>
      <c r="BJ97" s="1246"/>
      <c r="BK97" s="1246"/>
      <c r="BL97" s="1345"/>
      <c r="BM97" s="1345"/>
      <c r="BN97" s="1345"/>
      <c r="BO97" s="1345"/>
      <c r="BP97" s="1346"/>
      <c r="BQ97" s="1317"/>
      <c r="BR97" s="1246"/>
      <c r="BS97" s="1246"/>
      <c r="BT97" s="1246"/>
      <c r="BU97" s="1345"/>
      <c r="BV97" s="1345"/>
      <c r="BW97" s="1345"/>
      <c r="BX97" s="1345"/>
      <c r="BY97" s="1346"/>
      <c r="BZ97" s="1317"/>
      <c r="CA97" s="1246"/>
      <c r="CB97" s="1246"/>
      <c r="CC97" s="1246"/>
      <c r="CD97" s="1246"/>
      <c r="CE97" s="1246"/>
      <c r="CF97" s="1345"/>
      <c r="CG97" s="1392"/>
      <c r="CH97" s="1393"/>
      <c r="CI97" s="1394">
        <f t="shared" si="22"/>
        <v>0</v>
      </c>
      <c r="CJ97" s="1435"/>
      <c r="CK97" s="1436"/>
      <c r="CL97" s="1437">
        <f t="shared" si="23"/>
        <v>0</v>
      </c>
      <c r="CM97" s="1438"/>
      <c r="CN97" s="1439">
        <f t="shared" si="24"/>
        <v>0</v>
      </c>
    </row>
    <row r="98" spans="1:95" s="1229" customFormat="1" ht="20.25">
      <c r="A98" s="1451" t="s">
        <v>125</v>
      </c>
      <c r="B98" s="1275"/>
      <c r="C98" s="1275"/>
      <c r="D98" s="1278"/>
      <c r="E98" s="1277"/>
      <c r="F98" s="1245"/>
      <c r="G98" s="1246"/>
      <c r="H98" s="1246"/>
      <c r="I98" s="1246"/>
      <c r="J98" s="1315"/>
      <c r="K98" s="1246"/>
      <c r="L98" s="1291"/>
      <c r="M98" s="1291"/>
      <c r="N98" s="1316"/>
      <c r="O98" s="1317"/>
      <c r="P98" s="1246"/>
      <c r="Q98" s="1246"/>
      <c r="R98" s="1246"/>
      <c r="S98" s="1345"/>
      <c r="T98" s="1345"/>
      <c r="U98" s="1345"/>
      <c r="V98" s="1345"/>
      <c r="W98" s="1346"/>
      <c r="X98" s="1317"/>
      <c r="Y98" s="1246"/>
      <c r="Z98" s="1246"/>
      <c r="AA98" s="1246"/>
      <c r="AB98" s="1345"/>
      <c r="AC98" s="1345"/>
      <c r="AD98" s="1345"/>
      <c r="AE98" s="1345"/>
      <c r="AF98" s="1346"/>
      <c r="AG98" s="1317"/>
      <c r="AH98" s="1246"/>
      <c r="AI98" s="1246"/>
      <c r="AJ98" s="1345"/>
      <c r="AK98" s="1345"/>
      <c r="AL98" s="1345"/>
      <c r="AM98" s="1345"/>
      <c r="AN98" s="1345"/>
      <c r="AO98" s="1346"/>
      <c r="AP98" s="1317"/>
      <c r="AQ98" s="1246"/>
      <c r="AR98" s="1246"/>
      <c r="AS98" s="1246"/>
      <c r="AT98" s="1345"/>
      <c r="AU98" s="1345"/>
      <c r="AV98" s="1345"/>
      <c r="AW98" s="1345"/>
      <c r="AX98" s="1346"/>
      <c r="AY98" s="1317"/>
      <c r="AZ98" s="1246"/>
      <c r="BA98" s="1246"/>
      <c r="BB98" s="1246"/>
      <c r="BC98" s="1345"/>
      <c r="BD98" s="1345"/>
      <c r="BE98" s="1345"/>
      <c r="BF98" s="1345"/>
      <c r="BG98" s="1346"/>
      <c r="BH98" s="1317"/>
      <c r="BI98" s="1246"/>
      <c r="BJ98" s="1246"/>
      <c r="BK98" s="1246"/>
      <c r="BL98" s="1345"/>
      <c r="BM98" s="1345"/>
      <c r="BN98" s="1345"/>
      <c r="BO98" s="1345"/>
      <c r="BP98" s="1346"/>
      <c r="BQ98" s="1317"/>
      <c r="BR98" s="1246"/>
      <c r="BS98" s="1246"/>
      <c r="BT98" s="1246"/>
      <c r="BU98" s="1345"/>
      <c r="BV98" s="1345"/>
      <c r="BW98" s="1345"/>
      <c r="BX98" s="1345"/>
      <c r="BY98" s="1346"/>
      <c r="BZ98" s="1317"/>
      <c r="CA98" s="1246"/>
      <c r="CB98" s="1246"/>
      <c r="CC98" s="1246"/>
      <c r="CD98" s="1246"/>
      <c r="CE98" s="1246"/>
      <c r="CF98" s="1345"/>
      <c r="CG98" s="1392"/>
      <c r="CH98" s="1393"/>
      <c r="CI98" s="1394">
        <f t="shared" si="22"/>
        <v>0</v>
      </c>
      <c r="CJ98" s="1435"/>
      <c r="CK98" s="1436"/>
      <c r="CL98" s="1437">
        <f t="shared" si="23"/>
        <v>0</v>
      </c>
      <c r="CM98" s="1438"/>
      <c r="CN98" s="1439">
        <f t="shared" si="24"/>
        <v>0</v>
      </c>
    </row>
    <row r="99" spans="1:95" s="1229" customFormat="1" ht="20.25">
      <c r="A99" s="1451" t="s">
        <v>125</v>
      </c>
      <c r="B99" s="1275"/>
      <c r="C99" s="1275"/>
      <c r="D99" s="1278"/>
      <c r="E99" s="1277"/>
      <c r="F99" s="1245"/>
      <c r="G99" s="1246"/>
      <c r="H99" s="1246"/>
      <c r="I99" s="1246"/>
      <c r="J99" s="1315"/>
      <c r="K99" s="1246"/>
      <c r="L99" s="1291"/>
      <c r="M99" s="1291"/>
      <c r="N99" s="1316"/>
      <c r="O99" s="1317"/>
      <c r="P99" s="1246"/>
      <c r="Q99" s="1246"/>
      <c r="R99" s="1246"/>
      <c r="S99" s="1345"/>
      <c r="T99" s="1345"/>
      <c r="U99" s="1345"/>
      <c r="V99" s="1345"/>
      <c r="W99" s="1346"/>
      <c r="X99" s="1317"/>
      <c r="Y99" s="1246"/>
      <c r="Z99" s="1246"/>
      <c r="AA99" s="1246"/>
      <c r="AB99" s="1345"/>
      <c r="AC99" s="1345"/>
      <c r="AD99" s="1345"/>
      <c r="AE99" s="1345"/>
      <c r="AF99" s="1346"/>
      <c r="AG99" s="1317"/>
      <c r="AH99" s="1246"/>
      <c r="AI99" s="1246"/>
      <c r="AJ99" s="1345"/>
      <c r="AK99" s="1345"/>
      <c r="AL99" s="1345"/>
      <c r="AM99" s="1345"/>
      <c r="AN99" s="1345"/>
      <c r="AO99" s="1346"/>
      <c r="AP99" s="1317"/>
      <c r="AQ99" s="1246"/>
      <c r="AR99" s="1246"/>
      <c r="AS99" s="1246"/>
      <c r="AT99" s="1345"/>
      <c r="AU99" s="1345"/>
      <c r="AV99" s="1345"/>
      <c r="AW99" s="1345"/>
      <c r="AX99" s="1346"/>
      <c r="AY99" s="1317"/>
      <c r="AZ99" s="1246"/>
      <c r="BA99" s="1246"/>
      <c r="BB99" s="1246"/>
      <c r="BC99" s="1345"/>
      <c r="BD99" s="1345"/>
      <c r="BE99" s="1345"/>
      <c r="BF99" s="1345"/>
      <c r="BG99" s="1346"/>
      <c r="BH99" s="1317"/>
      <c r="BI99" s="1246"/>
      <c r="BJ99" s="1246"/>
      <c r="BK99" s="1246"/>
      <c r="BL99" s="1345"/>
      <c r="BM99" s="1345"/>
      <c r="BN99" s="1345"/>
      <c r="BO99" s="1345"/>
      <c r="BP99" s="1346"/>
      <c r="BQ99" s="1317"/>
      <c r="BR99" s="1246"/>
      <c r="BS99" s="1246"/>
      <c r="BT99" s="1246"/>
      <c r="BU99" s="1345"/>
      <c r="BV99" s="1345"/>
      <c r="BW99" s="1345"/>
      <c r="BX99" s="1345"/>
      <c r="BY99" s="1346"/>
      <c r="BZ99" s="1317"/>
      <c r="CA99" s="1246"/>
      <c r="CB99" s="1246"/>
      <c r="CC99" s="1246"/>
      <c r="CD99" s="1246"/>
      <c r="CE99" s="1246"/>
      <c r="CF99" s="1345"/>
      <c r="CG99" s="1392"/>
      <c r="CH99" s="1393"/>
      <c r="CI99" s="1394">
        <f t="shared" si="22"/>
        <v>0</v>
      </c>
      <c r="CJ99" s="1435"/>
      <c r="CK99" s="1436"/>
      <c r="CL99" s="1437">
        <f t="shared" si="23"/>
        <v>0</v>
      </c>
      <c r="CM99" s="1438"/>
      <c r="CN99" s="1439">
        <f t="shared" si="24"/>
        <v>0</v>
      </c>
    </row>
    <row r="100" spans="1:95" s="1229" customFormat="1" ht="20.25">
      <c r="A100" s="1451" t="s">
        <v>125</v>
      </c>
      <c r="B100" s="1275"/>
      <c r="C100" s="1275"/>
      <c r="D100" s="1278"/>
      <c r="E100" s="1277"/>
      <c r="F100" s="1245"/>
      <c r="G100" s="1246"/>
      <c r="H100" s="1246"/>
      <c r="I100" s="1246"/>
      <c r="J100" s="1315"/>
      <c r="K100" s="1246"/>
      <c r="L100" s="1291"/>
      <c r="M100" s="1291"/>
      <c r="N100" s="1316"/>
      <c r="O100" s="1317"/>
      <c r="P100" s="1246"/>
      <c r="Q100" s="1246"/>
      <c r="R100" s="1246"/>
      <c r="S100" s="1345"/>
      <c r="T100" s="1345"/>
      <c r="U100" s="1345"/>
      <c r="V100" s="1345"/>
      <c r="W100" s="1346"/>
      <c r="X100" s="1317"/>
      <c r="Y100" s="1246"/>
      <c r="Z100" s="1246"/>
      <c r="AA100" s="1246"/>
      <c r="AB100" s="1345"/>
      <c r="AC100" s="1345"/>
      <c r="AD100" s="1345"/>
      <c r="AE100" s="1345"/>
      <c r="AF100" s="1346"/>
      <c r="AG100" s="1317"/>
      <c r="AH100" s="1246"/>
      <c r="AI100" s="1246"/>
      <c r="AJ100" s="1345"/>
      <c r="AK100" s="1345"/>
      <c r="AL100" s="1345"/>
      <c r="AM100" s="1345"/>
      <c r="AN100" s="1345"/>
      <c r="AO100" s="1346"/>
      <c r="AP100" s="1317"/>
      <c r="AQ100" s="1246"/>
      <c r="AR100" s="1246"/>
      <c r="AS100" s="1246"/>
      <c r="AT100" s="1345"/>
      <c r="AU100" s="1345"/>
      <c r="AV100" s="1345"/>
      <c r="AW100" s="1345"/>
      <c r="AX100" s="1346"/>
      <c r="AY100" s="1317"/>
      <c r="AZ100" s="1246"/>
      <c r="BA100" s="1246"/>
      <c r="BB100" s="1246"/>
      <c r="BC100" s="1345"/>
      <c r="BD100" s="1345"/>
      <c r="BE100" s="1345"/>
      <c r="BF100" s="1345"/>
      <c r="BG100" s="1346"/>
      <c r="BH100" s="1317"/>
      <c r="BI100" s="1246"/>
      <c r="BJ100" s="1246"/>
      <c r="BK100" s="1246"/>
      <c r="BL100" s="1345"/>
      <c r="BM100" s="1345"/>
      <c r="BN100" s="1345"/>
      <c r="BO100" s="1345"/>
      <c r="BP100" s="1346"/>
      <c r="BQ100" s="1317"/>
      <c r="BR100" s="1246"/>
      <c r="BS100" s="1246"/>
      <c r="BT100" s="1246"/>
      <c r="BU100" s="1345"/>
      <c r="BV100" s="1345"/>
      <c r="BW100" s="1345"/>
      <c r="BX100" s="1345"/>
      <c r="BY100" s="1346"/>
      <c r="BZ100" s="1317"/>
      <c r="CA100" s="1246"/>
      <c r="CB100" s="1246"/>
      <c r="CC100" s="1246"/>
      <c r="CD100" s="1246"/>
      <c r="CE100" s="1246"/>
      <c r="CF100" s="1345"/>
      <c r="CG100" s="1392"/>
      <c r="CH100" s="1393"/>
      <c r="CI100" s="1394">
        <f t="shared" si="22"/>
        <v>0</v>
      </c>
      <c r="CJ100" s="1435"/>
      <c r="CK100" s="1436"/>
      <c r="CL100" s="1437">
        <f t="shared" si="23"/>
        <v>0</v>
      </c>
      <c r="CM100" s="1438"/>
      <c r="CN100" s="1439">
        <f t="shared" si="24"/>
        <v>0</v>
      </c>
    </row>
    <row r="101" spans="1:95" s="1229" customFormat="1" ht="21" thickBot="1">
      <c r="A101" s="1451" t="s">
        <v>125</v>
      </c>
      <c r="B101" s="1275"/>
      <c r="C101" s="1275"/>
      <c r="D101" s="1278"/>
      <c r="E101" s="1277"/>
      <c r="F101" s="1245"/>
      <c r="G101" s="1246"/>
      <c r="H101" s="1246"/>
      <c r="I101" s="1246"/>
      <c r="J101" s="1315"/>
      <c r="K101" s="1246"/>
      <c r="L101" s="1291"/>
      <c r="M101" s="1291"/>
      <c r="N101" s="1316"/>
      <c r="O101" s="1317"/>
      <c r="P101" s="1246"/>
      <c r="Q101" s="1246"/>
      <c r="R101" s="1246"/>
      <c r="S101" s="1345"/>
      <c r="T101" s="1345"/>
      <c r="U101" s="1345"/>
      <c r="V101" s="1345"/>
      <c r="W101" s="1346"/>
      <c r="X101" s="1317"/>
      <c r="Y101" s="1246"/>
      <c r="Z101" s="1246"/>
      <c r="AA101" s="1246"/>
      <c r="AB101" s="1345"/>
      <c r="AC101" s="1345"/>
      <c r="AD101" s="1345"/>
      <c r="AE101" s="1345"/>
      <c r="AF101" s="1346"/>
      <c r="AG101" s="1317"/>
      <c r="AH101" s="1246"/>
      <c r="AI101" s="1246"/>
      <c r="AJ101" s="1345"/>
      <c r="AK101" s="1345"/>
      <c r="AL101" s="1345"/>
      <c r="AM101" s="1345"/>
      <c r="AN101" s="1345"/>
      <c r="AO101" s="1346"/>
      <c r="AP101" s="1317"/>
      <c r="AQ101" s="1246"/>
      <c r="AR101" s="1246"/>
      <c r="AS101" s="1246"/>
      <c r="AT101" s="1345"/>
      <c r="AU101" s="1345"/>
      <c r="AV101" s="1345"/>
      <c r="AW101" s="1345"/>
      <c r="AX101" s="1346"/>
      <c r="AY101" s="1317"/>
      <c r="AZ101" s="1246"/>
      <c r="BA101" s="1246"/>
      <c r="BB101" s="1246"/>
      <c r="BC101" s="1345"/>
      <c r="BD101" s="1345"/>
      <c r="BE101" s="1345"/>
      <c r="BF101" s="1345"/>
      <c r="BG101" s="1346"/>
      <c r="BH101" s="1317"/>
      <c r="BI101" s="1246"/>
      <c r="BJ101" s="1246"/>
      <c r="BK101" s="1246"/>
      <c r="BL101" s="1345"/>
      <c r="BM101" s="1345"/>
      <c r="BN101" s="1345"/>
      <c r="BO101" s="1345"/>
      <c r="BP101" s="1346"/>
      <c r="BQ101" s="1317"/>
      <c r="BR101" s="1246"/>
      <c r="BS101" s="1246"/>
      <c r="BT101" s="1246"/>
      <c r="BU101" s="1345"/>
      <c r="BV101" s="1345"/>
      <c r="BW101" s="1345"/>
      <c r="BX101" s="1345"/>
      <c r="BY101" s="1346"/>
      <c r="BZ101" s="1317"/>
      <c r="CA101" s="1246"/>
      <c r="CB101" s="1246"/>
      <c r="CC101" s="1246"/>
      <c r="CD101" s="1246"/>
      <c r="CE101" s="1246"/>
      <c r="CF101" s="1345"/>
      <c r="CG101" s="1392"/>
      <c r="CH101" s="1393"/>
      <c r="CI101" s="1394">
        <f t="shared" si="22"/>
        <v>0</v>
      </c>
      <c r="CJ101" s="1435"/>
      <c r="CK101" s="1436"/>
      <c r="CL101" s="1437">
        <f t="shared" si="23"/>
        <v>0</v>
      </c>
      <c r="CM101" s="1438"/>
      <c r="CN101" s="1439">
        <f t="shared" si="24"/>
        <v>0</v>
      </c>
    </row>
    <row r="102" spans="1:95" s="283" customFormat="1" ht="21" thickBot="1">
      <c r="A102" s="1451" t="s">
        <v>125</v>
      </c>
      <c r="B102" s="1275"/>
      <c r="C102" s="1275"/>
      <c r="D102" s="1278"/>
      <c r="E102" s="1277"/>
      <c r="F102" s="1245"/>
      <c r="G102" s="1246"/>
      <c r="H102" s="1246"/>
      <c r="I102" s="1246"/>
      <c r="J102" s="1315"/>
      <c r="K102" s="1246"/>
      <c r="L102" s="1291"/>
      <c r="M102" s="1291"/>
      <c r="N102" s="1316"/>
      <c r="O102" s="1317"/>
      <c r="P102" s="1246"/>
      <c r="Q102" s="1246"/>
      <c r="R102" s="1246"/>
      <c r="S102" s="1345"/>
      <c r="T102" s="1345"/>
      <c r="U102" s="1345"/>
      <c r="V102" s="1345"/>
      <c r="W102" s="1346"/>
      <c r="X102" s="1317"/>
      <c r="Y102" s="1246"/>
      <c r="Z102" s="1246"/>
      <c r="AA102" s="1246"/>
      <c r="AB102" s="1345"/>
      <c r="AC102" s="1345"/>
      <c r="AD102" s="1345"/>
      <c r="AE102" s="1345"/>
      <c r="AF102" s="1346"/>
      <c r="AG102" s="1317"/>
      <c r="AH102" s="1246"/>
      <c r="AI102" s="1246"/>
      <c r="AJ102" s="1345"/>
      <c r="AK102" s="1345"/>
      <c r="AL102" s="1345"/>
      <c r="AM102" s="1345"/>
      <c r="AN102" s="1345"/>
      <c r="AO102" s="1346"/>
      <c r="AP102" s="1317"/>
      <c r="AQ102" s="1246"/>
      <c r="AR102" s="1246"/>
      <c r="AS102" s="1246"/>
      <c r="AT102" s="1345"/>
      <c r="AU102" s="1345"/>
      <c r="AV102" s="1345"/>
      <c r="AW102" s="1345"/>
      <c r="AX102" s="1346"/>
      <c r="AY102" s="1317"/>
      <c r="AZ102" s="1246"/>
      <c r="BA102" s="1246"/>
      <c r="BB102" s="1246"/>
      <c r="BC102" s="1345"/>
      <c r="BD102" s="1345"/>
      <c r="BE102" s="1345"/>
      <c r="BF102" s="1345"/>
      <c r="BG102" s="1346"/>
      <c r="BH102" s="1317"/>
      <c r="BI102" s="1246"/>
      <c r="BJ102" s="1246"/>
      <c r="BK102" s="1246"/>
      <c r="BL102" s="1345"/>
      <c r="BM102" s="1345"/>
      <c r="BN102" s="1345"/>
      <c r="BO102" s="1345"/>
      <c r="BP102" s="1346"/>
      <c r="BQ102" s="1317"/>
      <c r="BR102" s="1246"/>
      <c r="BS102" s="1246"/>
      <c r="BT102" s="1246"/>
      <c r="BU102" s="1345"/>
      <c r="BV102" s="1345"/>
      <c r="BW102" s="1345"/>
      <c r="BX102" s="1345"/>
      <c r="BY102" s="1346"/>
      <c r="BZ102" s="1317"/>
      <c r="CA102" s="1246"/>
      <c r="CB102" s="1246"/>
      <c r="CC102" s="1246"/>
      <c r="CD102" s="1246"/>
      <c r="CE102" s="1246"/>
      <c r="CF102" s="1345"/>
      <c r="CG102" s="1392"/>
      <c r="CH102" s="1393"/>
      <c r="CI102" s="1394">
        <f t="shared" si="22"/>
        <v>0</v>
      </c>
      <c r="CJ102" s="1435"/>
      <c r="CK102" s="1436"/>
      <c r="CL102" s="1437">
        <f t="shared" si="23"/>
        <v>0</v>
      </c>
      <c r="CM102" s="1438"/>
      <c r="CN102" s="1439">
        <f t="shared" si="24"/>
        <v>0</v>
      </c>
      <c r="CO102" s="396" t="s">
        <v>111</v>
      </c>
      <c r="CP102" s="397" t="s">
        <v>23</v>
      </c>
      <c r="CQ102" s="398" t="s">
        <v>112</v>
      </c>
    </row>
    <row r="103" spans="1:95" s="1227" customFormat="1" ht="21" thickBot="1">
      <c r="A103" s="1451" t="s">
        <v>125</v>
      </c>
      <c r="B103" s="1275"/>
      <c r="C103" s="1275"/>
      <c r="D103" s="1278"/>
      <c r="E103" s="1277"/>
      <c r="F103" s="1245"/>
      <c r="G103" s="1246"/>
      <c r="H103" s="1246"/>
      <c r="I103" s="1246"/>
      <c r="J103" s="1315"/>
      <c r="K103" s="1246"/>
      <c r="L103" s="1291"/>
      <c r="M103" s="1291"/>
      <c r="N103" s="1316"/>
      <c r="O103" s="1317"/>
      <c r="P103" s="1246"/>
      <c r="Q103" s="1246"/>
      <c r="R103" s="1246"/>
      <c r="S103" s="1345"/>
      <c r="T103" s="1345"/>
      <c r="U103" s="1345"/>
      <c r="V103" s="1345"/>
      <c r="W103" s="1346"/>
      <c r="X103" s="1317"/>
      <c r="Y103" s="1246"/>
      <c r="Z103" s="1246"/>
      <c r="AA103" s="1246"/>
      <c r="AB103" s="1345"/>
      <c r="AC103" s="1345"/>
      <c r="AD103" s="1345"/>
      <c r="AE103" s="1345"/>
      <c r="AF103" s="1346"/>
      <c r="AG103" s="1317"/>
      <c r="AH103" s="1246"/>
      <c r="AI103" s="1246"/>
      <c r="AJ103" s="1345"/>
      <c r="AK103" s="1345"/>
      <c r="AL103" s="1345"/>
      <c r="AM103" s="1345"/>
      <c r="AN103" s="1345"/>
      <c r="AO103" s="1346"/>
      <c r="AP103" s="1317"/>
      <c r="AQ103" s="1246"/>
      <c r="AR103" s="1246"/>
      <c r="AS103" s="1246"/>
      <c r="AT103" s="1345"/>
      <c r="AU103" s="1345"/>
      <c r="AV103" s="1345"/>
      <c r="AW103" s="1345"/>
      <c r="AX103" s="1346"/>
      <c r="AY103" s="1317"/>
      <c r="AZ103" s="1246"/>
      <c r="BA103" s="1246"/>
      <c r="BB103" s="1246"/>
      <c r="BC103" s="1345"/>
      <c r="BD103" s="1345"/>
      <c r="BE103" s="1345"/>
      <c r="BF103" s="1345"/>
      <c r="BG103" s="1346"/>
      <c r="BH103" s="1317"/>
      <c r="BI103" s="1246"/>
      <c r="BJ103" s="1246"/>
      <c r="BK103" s="1246"/>
      <c r="BL103" s="1345"/>
      <c r="BM103" s="1345"/>
      <c r="BN103" s="1345"/>
      <c r="BO103" s="1345"/>
      <c r="BP103" s="1346"/>
      <c r="BQ103" s="1317"/>
      <c r="BR103" s="1246"/>
      <c r="BS103" s="1246"/>
      <c r="BT103" s="1246"/>
      <c r="BU103" s="1345"/>
      <c r="BV103" s="1345"/>
      <c r="BW103" s="1345"/>
      <c r="BX103" s="1345"/>
      <c r="BY103" s="1346"/>
      <c r="BZ103" s="1317"/>
      <c r="CA103" s="1246"/>
      <c r="CB103" s="1246"/>
      <c r="CC103" s="1246"/>
      <c r="CD103" s="1246"/>
      <c r="CE103" s="1246"/>
      <c r="CF103" s="1345"/>
      <c r="CG103" s="1392"/>
      <c r="CH103" s="1393"/>
      <c r="CI103" s="1394">
        <f t="shared" si="22"/>
        <v>0</v>
      </c>
      <c r="CJ103" s="1435"/>
      <c r="CK103" s="1436"/>
      <c r="CL103" s="1437">
        <f t="shared" si="23"/>
        <v>0</v>
      </c>
      <c r="CM103" s="1438"/>
      <c r="CN103" s="1439">
        <f t="shared" si="24"/>
        <v>0</v>
      </c>
      <c r="CO103" s="1470">
        <f>'Jordan Chair'!AH167</f>
        <v>3423</v>
      </c>
      <c r="CP103" s="400">
        <f>'Tea Table'!X200</f>
        <v>6929</v>
      </c>
      <c r="CQ103" s="718">
        <f>CL112+CO103+CP103</f>
        <v>10352</v>
      </c>
    </row>
    <row r="104" spans="1:95" s="1227" customFormat="1" ht="19.5" customHeight="1">
      <c r="A104" s="1451" t="s">
        <v>125</v>
      </c>
      <c r="B104" s="1275"/>
      <c r="C104" s="1275"/>
      <c r="D104" s="1278"/>
      <c r="E104" s="1277"/>
      <c r="F104" s="1245"/>
      <c r="G104" s="1246"/>
      <c r="H104" s="1246"/>
      <c r="I104" s="1246"/>
      <c r="J104" s="1315"/>
      <c r="K104" s="1246"/>
      <c r="L104" s="1291"/>
      <c r="M104" s="1291"/>
      <c r="N104" s="1316"/>
      <c r="O104" s="1317"/>
      <c r="P104" s="1246"/>
      <c r="Q104" s="1246"/>
      <c r="R104" s="1246"/>
      <c r="S104" s="1345"/>
      <c r="T104" s="1345"/>
      <c r="U104" s="1345"/>
      <c r="V104" s="1345"/>
      <c r="W104" s="1346"/>
      <c r="X104" s="1317"/>
      <c r="Y104" s="1246"/>
      <c r="Z104" s="1246"/>
      <c r="AA104" s="1246"/>
      <c r="AB104" s="1345"/>
      <c r="AC104" s="1345"/>
      <c r="AD104" s="1345"/>
      <c r="AE104" s="1345"/>
      <c r="AF104" s="1346"/>
      <c r="AG104" s="1317"/>
      <c r="AH104" s="1246"/>
      <c r="AI104" s="1246"/>
      <c r="AJ104" s="1345"/>
      <c r="AK104" s="1345"/>
      <c r="AL104" s="1345"/>
      <c r="AM104" s="1345"/>
      <c r="AN104" s="1345"/>
      <c r="AO104" s="1346"/>
      <c r="AP104" s="1317"/>
      <c r="AQ104" s="1246"/>
      <c r="AR104" s="1246"/>
      <c r="AS104" s="1246"/>
      <c r="AT104" s="1345"/>
      <c r="AU104" s="1345"/>
      <c r="AV104" s="1345"/>
      <c r="AW104" s="1345"/>
      <c r="AX104" s="1346"/>
      <c r="AY104" s="1317"/>
      <c r="AZ104" s="1246"/>
      <c r="BA104" s="1246"/>
      <c r="BB104" s="1246"/>
      <c r="BC104" s="1345"/>
      <c r="BD104" s="1345"/>
      <c r="BE104" s="1345"/>
      <c r="BF104" s="1345"/>
      <c r="BG104" s="1346"/>
      <c r="BH104" s="1317"/>
      <c r="BI104" s="1246"/>
      <c r="BJ104" s="1246"/>
      <c r="BK104" s="1246"/>
      <c r="BL104" s="1345"/>
      <c r="BM104" s="1345"/>
      <c r="BN104" s="1345"/>
      <c r="BO104" s="1345"/>
      <c r="BP104" s="1346"/>
      <c r="BQ104" s="1317"/>
      <c r="BR104" s="1246"/>
      <c r="BS104" s="1246"/>
      <c r="BT104" s="1246"/>
      <c r="BU104" s="1345"/>
      <c r="BV104" s="1345"/>
      <c r="BW104" s="1345"/>
      <c r="BX104" s="1345"/>
      <c r="BY104" s="1346"/>
      <c r="BZ104" s="1317"/>
      <c r="CA104" s="1246"/>
      <c r="CB104" s="1246"/>
      <c r="CC104" s="1246"/>
      <c r="CD104" s="1246"/>
      <c r="CE104" s="1246"/>
      <c r="CF104" s="1345"/>
      <c r="CG104" s="1392"/>
      <c r="CH104" s="1393"/>
      <c r="CI104" s="1394">
        <f t="shared" si="22"/>
        <v>0</v>
      </c>
      <c r="CJ104" s="1435"/>
      <c r="CK104" s="1436"/>
      <c r="CL104" s="1437">
        <f t="shared" si="23"/>
        <v>0</v>
      </c>
      <c r="CM104" s="1438"/>
      <c r="CN104" s="1439">
        <f t="shared" si="24"/>
        <v>0</v>
      </c>
      <c r="CO104" s="403"/>
      <c r="CP104" s="403"/>
      <c r="CQ104" s="403"/>
    </row>
    <row r="105" spans="1:95" s="1227" customFormat="1" ht="19.5" customHeight="1">
      <c r="A105" s="1451" t="s">
        <v>125</v>
      </c>
      <c r="B105" s="1275"/>
      <c r="C105" s="1275"/>
      <c r="D105" s="1278"/>
      <c r="E105" s="1277"/>
      <c r="F105" s="1245"/>
      <c r="G105" s="1246"/>
      <c r="H105" s="1246"/>
      <c r="I105" s="1246"/>
      <c r="J105" s="1315"/>
      <c r="K105" s="1246"/>
      <c r="L105" s="1291"/>
      <c r="M105" s="1291"/>
      <c r="N105" s="1316"/>
      <c r="O105" s="1317"/>
      <c r="P105" s="1246"/>
      <c r="Q105" s="1246"/>
      <c r="R105" s="1246"/>
      <c r="S105" s="1345"/>
      <c r="T105" s="1345"/>
      <c r="U105" s="1345"/>
      <c r="V105" s="1345"/>
      <c r="W105" s="1346"/>
      <c r="X105" s="1317"/>
      <c r="Y105" s="1246"/>
      <c r="Z105" s="1246"/>
      <c r="AA105" s="1246"/>
      <c r="AB105" s="1345"/>
      <c r="AC105" s="1345"/>
      <c r="AD105" s="1345"/>
      <c r="AE105" s="1345"/>
      <c r="AF105" s="1346"/>
      <c r="AG105" s="1317"/>
      <c r="AH105" s="1246"/>
      <c r="AI105" s="1246"/>
      <c r="AJ105" s="1345"/>
      <c r="AK105" s="1345"/>
      <c r="AL105" s="1345"/>
      <c r="AM105" s="1345"/>
      <c r="AN105" s="1345"/>
      <c r="AO105" s="1346"/>
      <c r="AP105" s="1317"/>
      <c r="AQ105" s="1246"/>
      <c r="AR105" s="1246"/>
      <c r="AS105" s="1246"/>
      <c r="AT105" s="1345"/>
      <c r="AU105" s="1345"/>
      <c r="AV105" s="1345"/>
      <c r="AW105" s="1345"/>
      <c r="AX105" s="1346"/>
      <c r="AY105" s="1317"/>
      <c r="AZ105" s="1246"/>
      <c r="BA105" s="1246"/>
      <c r="BB105" s="1246"/>
      <c r="BC105" s="1345"/>
      <c r="BD105" s="1345"/>
      <c r="BE105" s="1345"/>
      <c r="BF105" s="1345"/>
      <c r="BG105" s="1346"/>
      <c r="BH105" s="1317"/>
      <c r="BI105" s="1246"/>
      <c r="BJ105" s="1246"/>
      <c r="BK105" s="1246"/>
      <c r="BL105" s="1345"/>
      <c r="BM105" s="1345"/>
      <c r="BN105" s="1345"/>
      <c r="BO105" s="1345"/>
      <c r="BP105" s="1346"/>
      <c r="BQ105" s="1317"/>
      <c r="BR105" s="1246"/>
      <c r="BS105" s="1246"/>
      <c r="BT105" s="1246"/>
      <c r="BU105" s="1345"/>
      <c r="BV105" s="1345"/>
      <c r="BW105" s="1345"/>
      <c r="BX105" s="1345"/>
      <c r="BY105" s="1346"/>
      <c r="BZ105" s="1317"/>
      <c r="CA105" s="1246"/>
      <c r="CB105" s="1246"/>
      <c r="CC105" s="1246"/>
      <c r="CD105" s="1246"/>
      <c r="CE105" s="1246"/>
      <c r="CF105" s="1345"/>
      <c r="CG105" s="1392"/>
      <c r="CH105" s="1393"/>
      <c r="CI105" s="1394">
        <f t="shared" si="22"/>
        <v>0</v>
      </c>
      <c r="CJ105" s="1435"/>
      <c r="CK105" s="1436"/>
      <c r="CL105" s="1437">
        <f t="shared" si="23"/>
        <v>0</v>
      </c>
      <c r="CM105" s="1438"/>
      <c r="CN105" s="1439">
        <f t="shared" si="24"/>
        <v>0</v>
      </c>
      <c r="CO105" s="403"/>
      <c r="CP105" s="403"/>
      <c r="CQ105" s="403"/>
    </row>
    <row r="106" spans="1:95" s="1227" customFormat="1" ht="19.5" customHeight="1">
      <c r="A106" s="1451" t="s">
        <v>125</v>
      </c>
      <c r="B106" s="1275"/>
      <c r="C106" s="1275"/>
      <c r="D106" s="1278"/>
      <c r="E106" s="1277"/>
      <c r="F106" s="1245"/>
      <c r="G106" s="1246"/>
      <c r="H106" s="1246"/>
      <c r="I106" s="1246"/>
      <c r="J106" s="1315"/>
      <c r="K106" s="1246"/>
      <c r="L106" s="1291"/>
      <c r="M106" s="1291"/>
      <c r="N106" s="1316"/>
      <c r="O106" s="1317"/>
      <c r="P106" s="1246"/>
      <c r="Q106" s="1246"/>
      <c r="R106" s="1246"/>
      <c r="S106" s="1345"/>
      <c r="T106" s="1345"/>
      <c r="U106" s="1345"/>
      <c r="V106" s="1345"/>
      <c r="W106" s="1346"/>
      <c r="X106" s="1317"/>
      <c r="Y106" s="1246"/>
      <c r="Z106" s="1246"/>
      <c r="AA106" s="1246"/>
      <c r="AB106" s="1345"/>
      <c r="AC106" s="1345"/>
      <c r="AD106" s="1345"/>
      <c r="AE106" s="1345"/>
      <c r="AF106" s="1346"/>
      <c r="AG106" s="1317"/>
      <c r="AH106" s="1246"/>
      <c r="AI106" s="1246"/>
      <c r="AJ106" s="1345"/>
      <c r="AK106" s="1345"/>
      <c r="AL106" s="1345"/>
      <c r="AM106" s="1345"/>
      <c r="AN106" s="1345"/>
      <c r="AO106" s="1346"/>
      <c r="AP106" s="1317"/>
      <c r="AQ106" s="1246"/>
      <c r="AR106" s="1246"/>
      <c r="AS106" s="1246"/>
      <c r="AT106" s="1345"/>
      <c r="AU106" s="1345"/>
      <c r="AV106" s="1345"/>
      <c r="AW106" s="1345"/>
      <c r="AX106" s="1346"/>
      <c r="AY106" s="1317"/>
      <c r="AZ106" s="1246"/>
      <c r="BA106" s="1246"/>
      <c r="BB106" s="1246"/>
      <c r="BC106" s="1345"/>
      <c r="BD106" s="1345"/>
      <c r="BE106" s="1345"/>
      <c r="BF106" s="1345"/>
      <c r="BG106" s="1346"/>
      <c r="BH106" s="1317"/>
      <c r="BI106" s="1246"/>
      <c r="BJ106" s="1246"/>
      <c r="BK106" s="1246"/>
      <c r="BL106" s="1345"/>
      <c r="BM106" s="1345"/>
      <c r="BN106" s="1345"/>
      <c r="BO106" s="1345"/>
      <c r="BP106" s="1346"/>
      <c r="BQ106" s="1317"/>
      <c r="BR106" s="1246"/>
      <c r="BS106" s="1246"/>
      <c r="BT106" s="1246"/>
      <c r="BU106" s="1345"/>
      <c r="BV106" s="1345"/>
      <c r="BW106" s="1345"/>
      <c r="BX106" s="1345"/>
      <c r="BY106" s="1346"/>
      <c r="BZ106" s="1317"/>
      <c r="CA106" s="1246"/>
      <c r="CB106" s="1246"/>
      <c r="CC106" s="1246"/>
      <c r="CD106" s="1246"/>
      <c r="CE106" s="1246"/>
      <c r="CF106" s="1345"/>
      <c r="CG106" s="1392"/>
      <c r="CH106" s="1393"/>
      <c r="CI106" s="1394">
        <f t="shared" si="22"/>
        <v>0</v>
      </c>
      <c r="CJ106" s="1435"/>
      <c r="CK106" s="1436"/>
      <c r="CL106" s="1437">
        <f t="shared" si="23"/>
        <v>0</v>
      </c>
      <c r="CM106" s="1438"/>
      <c r="CN106" s="1439">
        <f t="shared" si="24"/>
        <v>0</v>
      </c>
      <c r="CO106" s="403"/>
      <c r="CP106" s="403"/>
      <c r="CQ106" s="403"/>
    </row>
    <row r="107" spans="1:95" s="1227" customFormat="1" ht="19.5" customHeight="1">
      <c r="A107" s="1451" t="s">
        <v>125</v>
      </c>
      <c r="B107" s="1275"/>
      <c r="C107" s="1275"/>
      <c r="D107" s="1452"/>
      <c r="E107" s="1277"/>
      <c r="F107" s="1245"/>
      <c r="G107" s="1246"/>
      <c r="H107" s="1246"/>
      <c r="I107" s="1246"/>
      <c r="J107" s="1315"/>
      <c r="K107" s="1246"/>
      <c r="L107" s="1291"/>
      <c r="M107" s="1291"/>
      <c r="N107" s="1316"/>
      <c r="O107" s="1317"/>
      <c r="P107" s="1246"/>
      <c r="Q107" s="1246"/>
      <c r="R107" s="1246"/>
      <c r="S107" s="1345"/>
      <c r="T107" s="1345"/>
      <c r="U107" s="1345"/>
      <c r="V107" s="1345"/>
      <c r="W107" s="1346"/>
      <c r="X107" s="1317"/>
      <c r="Y107" s="1246"/>
      <c r="Z107" s="1246"/>
      <c r="AA107" s="1246"/>
      <c r="AB107" s="1345"/>
      <c r="AC107" s="1345"/>
      <c r="AD107" s="1345"/>
      <c r="AE107" s="1345"/>
      <c r="AF107" s="1346"/>
      <c r="AG107" s="1317"/>
      <c r="AH107" s="1246"/>
      <c r="AI107" s="1246"/>
      <c r="AJ107" s="1345"/>
      <c r="AK107" s="1345"/>
      <c r="AL107" s="1345"/>
      <c r="AM107" s="1345"/>
      <c r="AN107" s="1345"/>
      <c r="AO107" s="1346"/>
      <c r="AP107" s="1317"/>
      <c r="AQ107" s="1246"/>
      <c r="AR107" s="1246"/>
      <c r="AS107" s="1246"/>
      <c r="AT107" s="1345"/>
      <c r="AU107" s="1345"/>
      <c r="AV107" s="1345"/>
      <c r="AW107" s="1345"/>
      <c r="AX107" s="1346"/>
      <c r="AY107" s="1317"/>
      <c r="AZ107" s="1246"/>
      <c r="BA107" s="1246"/>
      <c r="BB107" s="1246"/>
      <c r="BC107" s="1345"/>
      <c r="BD107" s="1345"/>
      <c r="BE107" s="1345"/>
      <c r="BF107" s="1345"/>
      <c r="BG107" s="1346"/>
      <c r="BH107" s="1317"/>
      <c r="BI107" s="1246"/>
      <c r="BJ107" s="1246"/>
      <c r="BK107" s="1246"/>
      <c r="BL107" s="1345"/>
      <c r="BM107" s="1345"/>
      <c r="BN107" s="1345"/>
      <c r="BO107" s="1345"/>
      <c r="BP107" s="1346"/>
      <c r="BQ107" s="1317"/>
      <c r="BR107" s="1246"/>
      <c r="BS107" s="1246"/>
      <c r="BT107" s="1246"/>
      <c r="BU107" s="1345"/>
      <c r="BV107" s="1345"/>
      <c r="BW107" s="1345"/>
      <c r="BX107" s="1345"/>
      <c r="BY107" s="1346"/>
      <c r="BZ107" s="1317"/>
      <c r="CA107" s="1246"/>
      <c r="CB107" s="1246"/>
      <c r="CC107" s="1246"/>
      <c r="CD107" s="1246"/>
      <c r="CE107" s="1246"/>
      <c r="CF107" s="1345"/>
      <c r="CG107" s="1392"/>
      <c r="CH107" s="1393"/>
      <c r="CI107" s="1394">
        <f t="shared" si="22"/>
        <v>0</v>
      </c>
      <c r="CJ107" s="1435"/>
      <c r="CK107" s="1436"/>
      <c r="CL107" s="1437">
        <f t="shared" si="23"/>
        <v>0</v>
      </c>
      <c r="CM107" s="1438"/>
      <c r="CN107" s="1439">
        <f t="shared" si="24"/>
        <v>0</v>
      </c>
      <c r="CO107" s="403"/>
      <c r="CP107" s="403"/>
      <c r="CQ107" s="403"/>
    </row>
    <row r="108" spans="1:95" s="1222" customFormat="1" ht="20.25">
      <c r="A108" s="1451" t="s">
        <v>125</v>
      </c>
      <c r="B108" s="1275"/>
      <c r="C108" s="1261"/>
      <c r="D108" s="1452"/>
      <c r="E108" s="1262"/>
      <c r="F108" s="1249"/>
      <c r="G108" s="1250"/>
      <c r="H108" s="1250"/>
      <c r="I108" s="1250"/>
      <c r="J108" s="1250"/>
      <c r="K108" s="1250"/>
      <c r="L108" s="1292"/>
      <c r="M108" s="1292"/>
      <c r="N108" s="1293"/>
      <c r="O108" s="1330"/>
      <c r="P108" s="1327"/>
      <c r="Q108" s="1462"/>
      <c r="R108" s="1327"/>
      <c r="S108" s="1328"/>
      <c r="T108" s="1328"/>
      <c r="U108" s="1328"/>
      <c r="V108" s="1328"/>
      <c r="W108" s="1329"/>
      <c r="X108" s="1330"/>
      <c r="Y108" s="1327"/>
      <c r="Z108" s="1327"/>
      <c r="AA108" s="1327"/>
      <c r="AB108" s="1328"/>
      <c r="AC108" s="1328"/>
      <c r="AD108" s="1352"/>
      <c r="AE108" s="1328"/>
      <c r="AF108" s="1329"/>
      <c r="AG108" s="1330"/>
      <c r="AH108" s="1327"/>
      <c r="AI108" s="1327"/>
      <c r="AJ108" s="1328"/>
      <c r="AK108" s="1328"/>
      <c r="AL108" s="1328"/>
      <c r="AM108" s="1328"/>
      <c r="AN108" s="1328"/>
      <c r="AO108" s="1329"/>
      <c r="AP108" s="1330"/>
      <c r="AQ108" s="1327"/>
      <c r="AR108" s="1327"/>
      <c r="AS108" s="1327"/>
      <c r="AT108" s="1328"/>
      <c r="AU108" s="1328"/>
      <c r="AV108" s="1328"/>
      <c r="AW108" s="1328"/>
      <c r="AX108" s="1329"/>
      <c r="AY108" s="1330"/>
      <c r="AZ108" s="1327"/>
      <c r="BA108" s="1295"/>
      <c r="BB108" s="1295"/>
      <c r="BC108" s="1362"/>
      <c r="BD108" s="1362"/>
      <c r="BE108" s="1328"/>
      <c r="BF108" s="1328"/>
      <c r="BG108" s="1329"/>
      <c r="BH108" s="1330"/>
      <c r="BI108" s="1327"/>
      <c r="BJ108" s="1327"/>
      <c r="BK108" s="1295"/>
      <c r="BL108" s="1328"/>
      <c r="BM108" s="1328"/>
      <c r="BN108" s="1328"/>
      <c r="BO108" s="1328"/>
      <c r="BP108" s="1329"/>
      <c r="BQ108" s="1330"/>
      <c r="BR108" s="1327"/>
      <c r="BS108" s="1327"/>
      <c r="BT108" s="1327"/>
      <c r="BU108" s="1328"/>
      <c r="BV108" s="1328"/>
      <c r="BW108" s="1328"/>
      <c r="BX108" s="1328"/>
      <c r="BY108" s="1329"/>
      <c r="BZ108" s="1369"/>
      <c r="CA108" s="1250"/>
      <c r="CB108" s="1327"/>
      <c r="CC108" s="1250"/>
      <c r="CD108" s="1250"/>
      <c r="CE108" s="1250"/>
      <c r="CF108" s="1352"/>
      <c r="CG108" s="1352"/>
      <c r="CH108" s="1376"/>
      <c r="CI108" s="1467">
        <f t="shared" si="22"/>
        <v>0</v>
      </c>
      <c r="CJ108" s="1471"/>
      <c r="CK108" s="1409"/>
      <c r="CL108" s="1437">
        <f t="shared" si="23"/>
        <v>0</v>
      </c>
      <c r="CM108" s="1408"/>
      <c r="CN108" s="1439">
        <f t="shared" si="24"/>
        <v>0</v>
      </c>
    </row>
    <row r="109" spans="1:95" ht="20.25">
      <c r="A109" s="1451" t="s">
        <v>125</v>
      </c>
      <c r="B109" s="1275"/>
      <c r="C109" s="1453"/>
      <c r="D109" s="1454"/>
      <c r="E109" s="1262"/>
      <c r="F109" s="1249"/>
      <c r="G109" s="1250"/>
      <c r="H109" s="1250"/>
      <c r="I109" s="1250"/>
      <c r="J109" s="1250"/>
      <c r="K109" s="1250"/>
      <c r="L109" s="1292"/>
      <c r="M109" s="1292"/>
      <c r="N109" s="1293"/>
      <c r="O109" s="1330"/>
      <c r="P109" s="1327"/>
      <c r="Q109" s="1295"/>
      <c r="R109" s="1327"/>
      <c r="S109" s="1328"/>
      <c r="T109" s="1328"/>
      <c r="U109" s="1463"/>
      <c r="V109" s="1328"/>
      <c r="W109" s="1329"/>
      <c r="X109" s="1330"/>
      <c r="Y109" s="1327"/>
      <c r="Z109" s="1327"/>
      <c r="AA109" s="1327"/>
      <c r="AB109" s="1328"/>
      <c r="AC109" s="1328"/>
      <c r="AD109" s="1352"/>
      <c r="AE109" s="1328"/>
      <c r="AF109" s="1329"/>
      <c r="AG109" s="1330"/>
      <c r="AH109" s="1327"/>
      <c r="AI109" s="1327"/>
      <c r="AJ109" s="1328"/>
      <c r="AK109" s="1328"/>
      <c r="AL109" s="1328"/>
      <c r="AM109" s="1328"/>
      <c r="AN109" s="1328"/>
      <c r="AO109" s="1329"/>
      <c r="AP109" s="1330"/>
      <c r="AQ109" s="1327"/>
      <c r="AR109" s="1327"/>
      <c r="AS109" s="1327"/>
      <c r="AT109" s="1328"/>
      <c r="AU109" s="1328"/>
      <c r="AV109" s="1328"/>
      <c r="AW109" s="1328"/>
      <c r="AX109" s="1329"/>
      <c r="AY109" s="1294"/>
      <c r="AZ109" s="1327"/>
      <c r="BA109" s="1295"/>
      <c r="BB109" s="1295"/>
      <c r="BC109" s="1362"/>
      <c r="BD109" s="1362"/>
      <c r="BE109" s="1328"/>
      <c r="BF109" s="1328"/>
      <c r="BG109" s="1329"/>
      <c r="BH109" s="1330"/>
      <c r="BI109" s="1327"/>
      <c r="BJ109" s="1327"/>
      <c r="BK109" s="1295"/>
      <c r="BL109" s="1328"/>
      <c r="BM109" s="1328"/>
      <c r="BN109" s="1328"/>
      <c r="BO109" s="1328"/>
      <c r="BP109" s="1329"/>
      <c r="BQ109" s="1330"/>
      <c r="BR109" s="1327"/>
      <c r="BS109" s="1327"/>
      <c r="BT109" s="1327"/>
      <c r="BU109" s="1328"/>
      <c r="BV109" s="1328"/>
      <c r="BW109" s="1328"/>
      <c r="BX109" s="1328"/>
      <c r="BY109" s="1329"/>
      <c r="BZ109" s="1369"/>
      <c r="CA109" s="1250"/>
      <c r="CB109" s="1327"/>
      <c r="CC109" s="1250"/>
      <c r="CD109" s="1250"/>
      <c r="CE109" s="1250"/>
      <c r="CF109" s="1352"/>
      <c r="CG109" s="1352"/>
      <c r="CH109" s="1376"/>
      <c r="CI109" s="1467">
        <f t="shared" si="22"/>
        <v>0</v>
      </c>
      <c r="CJ109" s="1471"/>
      <c r="CK109" s="1409"/>
      <c r="CL109" s="1437">
        <f t="shared" si="23"/>
        <v>0</v>
      </c>
      <c r="CM109" s="1408"/>
      <c r="CN109" s="1439">
        <f t="shared" si="24"/>
        <v>0</v>
      </c>
      <c r="CO109" s="1229"/>
      <c r="CP109" s="1229"/>
      <c r="CQ109" s="1229"/>
    </row>
    <row r="110" spans="1:95" ht="20.25">
      <c r="A110" s="1451" t="s">
        <v>125</v>
      </c>
      <c r="B110" s="1455"/>
      <c r="C110" s="1247"/>
      <c r="D110" s="1456"/>
      <c r="E110" s="1262"/>
      <c r="F110" s="1249"/>
      <c r="G110" s="1250"/>
      <c r="H110" s="1250"/>
      <c r="I110" s="1250"/>
      <c r="J110" s="1250"/>
      <c r="K110" s="1250"/>
      <c r="L110" s="1292"/>
      <c r="M110" s="1292"/>
      <c r="N110" s="1293"/>
      <c r="O110" s="1330"/>
      <c r="P110" s="1327"/>
      <c r="Q110" s="1327"/>
      <c r="R110" s="1327"/>
      <c r="S110" s="1328"/>
      <c r="T110" s="1328"/>
      <c r="U110" s="1463"/>
      <c r="V110" s="1328"/>
      <c r="W110" s="1329"/>
      <c r="X110" s="1330"/>
      <c r="Y110" s="1327"/>
      <c r="Z110" s="1327"/>
      <c r="AA110" s="1327"/>
      <c r="AB110" s="1328"/>
      <c r="AC110" s="1328"/>
      <c r="AD110" s="1352"/>
      <c r="AE110" s="1328"/>
      <c r="AF110" s="1329"/>
      <c r="AG110" s="1330"/>
      <c r="AH110" s="1327"/>
      <c r="AI110" s="1327"/>
      <c r="AJ110" s="1328"/>
      <c r="AK110" s="1328"/>
      <c r="AL110" s="1328"/>
      <c r="AM110" s="1328"/>
      <c r="AN110" s="1328"/>
      <c r="AO110" s="1329"/>
      <c r="AP110" s="1330"/>
      <c r="AQ110" s="1327"/>
      <c r="AR110" s="1327"/>
      <c r="AS110" s="1327"/>
      <c r="AT110" s="1328"/>
      <c r="AU110" s="1328"/>
      <c r="AV110" s="1328"/>
      <c r="AW110" s="1328"/>
      <c r="AX110" s="1329"/>
      <c r="AY110" s="1294"/>
      <c r="AZ110" s="1327"/>
      <c r="BA110" s="1295"/>
      <c r="BB110" s="1327"/>
      <c r="BC110" s="1362"/>
      <c r="BD110" s="1328"/>
      <c r="BE110" s="1328"/>
      <c r="BF110" s="1328"/>
      <c r="BG110" s="1329"/>
      <c r="BH110" s="1294"/>
      <c r="BI110" s="1327"/>
      <c r="BJ110" s="1327"/>
      <c r="BK110" s="1295"/>
      <c r="BL110" s="1328"/>
      <c r="BM110" s="1328"/>
      <c r="BN110" s="1328"/>
      <c r="BO110" s="1328"/>
      <c r="BP110" s="1329"/>
      <c r="BQ110" s="1330"/>
      <c r="BR110" s="1327"/>
      <c r="BS110" s="1327"/>
      <c r="BT110" s="1327"/>
      <c r="BU110" s="1328"/>
      <c r="BV110" s="1328"/>
      <c r="BW110" s="1328"/>
      <c r="BX110" s="1328"/>
      <c r="BY110" s="1329"/>
      <c r="BZ110" s="1369"/>
      <c r="CA110" s="1250"/>
      <c r="CB110" s="1327"/>
      <c r="CC110" s="1250"/>
      <c r="CD110" s="1250"/>
      <c r="CE110" s="1250"/>
      <c r="CF110" s="1352"/>
      <c r="CG110" s="1352"/>
      <c r="CH110" s="1376"/>
      <c r="CI110" s="1467">
        <f t="shared" si="22"/>
        <v>0</v>
      </c>
      <c r="CJ110" s="1471"/>
      <c r="CK110" s="1409"/>
      <c r="CL110" s="1437">
        <f t="shared" si="23"/>
        <v>0</v>
      </c>
      <c r="CM110" s="1408"/>
      <c r="CN110" s="1439">
        <f t="shared" si="24"/>
        <v>0</v>
      </c>
      <c r="CO110" s="1229"/>
      <c r="CP110" s="1229"/>
      <c r="CQ110" s="1229"/>
    </row>
    <row r="111" spans="1:95" ht="21" thickBot="1">
      <c r="A111" s="1451" t="s">
        <v>125</v>
      </c>
      <c r="B111" s="1247"/>
      <c r="C111" s="1247"/>
      <c r="D111" s="1456"/>
      <c r="E111" s="1262"/>
      <c r="F111" s="1249"/>
      <c r="G111" s="1250"/>
      <c r="H111" s="1250"/>
      <c r="I111" s="1250"/>
      <c r="J111" s="1250"/>
      <c r="K111" s="1250"/>
      <c r="L111" s="1292"/>
      <c r="M111" s="1292"/>
      <c r="N111" s="1293"/>
      <c r="O111" s="1330"/>
      <c r="P111" s="1327"/>
      <c r="Q111" s="1327"/>
      <c r="R111" s="1327"/>
      <c r="S111" s="1328"/>
      <c r="T111" s="1328"/>
      <c r="U111" s="1328"/>
      <c r="V111" s="1328"/>
      <c r="W111" s="1329"/>
      <c r="X111" s="1330"/>
      <c r="Y111" s="1327"/>
      <c r="Z111" s="1327"/>
      <c r="AA111" s="1327"/>
      <c r="AB111" s="1328"/>
      <c r="AC111" s="1328"/>
      <c r="AD111" s="1352"/>
      <c r="AE111" s="1328"/>
      <c r="AF111" s="1329"/>
      <c r="AG111" s="1330"/>
      <c r="AH111" s="1327"/>
      <c r="AI111" s="1327"/>
      <c r="AJ111" s="1328"/>
      <c r="AK111" s="1328"/>
      <c r="AL111" s="1328"/>
      <c r="AM111" s="1328"/>
      <c r="AN111" s="1328"/>
      <c r="AO111" s="1329"/>
      <c r="AP111" s="1330"/>
      <c r="AQ111" s="1327"/>
      <c r="AR111" s="1327"/>
      <c r="AS111" s="1327"/>
      <c r="AT111" s="1328"/>
      <c r="AU111" s="1328"/>
      <c r="AV111" s="1328"/>
      <c r="AW111" s="1328"/>
      <c r="AX111" s="1329"/>
      <c r="AY111" s="1330"/>
      <c r="AZ111" s="1327"/>
      <c r="BA111" s="1295"/>
      <c r="BB111" s="1327"/>
      <c r="BC111" s="1362"/>
      <c r="BD111" s="1362"/>
      <c r="BE111" s="1328"/>
      <c r="BF111" s="1328"/>
      <c r="BG111" s="1329"/>
      <c r="BH111" s="1330"/>
      <c r="BI111" s="1327"/>
      <c r="BJ111" s="1327"/>
      <c r="BK111" s="1327"/>
      <c r="BL111" s="1328"/>
      <c r="BM111" s="1328"/>
      <c r="BN111" s="1328"/>
      <c r="BO111" s="1328"/>
      <c r="BP111" s="1329"/>
      <c r="BQ111" s="1330"/>
      <c r="BR111" s="1327"/>
      <c r="BS111" s="1327"/>
      <c r="BT111" s="1327"/>
      <c r="BU111" s="1328"/>
      <c r="BV111" s="1328"/>
      <c r="BW111" s="1328"/>
      <c r="BX111" s="1328"/>
      <c r="BY111" s="1329"/>
      <c r="BZ111" s="1369"/>
      <c r="CA111" s="1250"/>
      <c r="CB111" s="1327"/>
      <c r="CC111" s="1250"/>
      <c r="CD111" s="1250"/>
      <c r="CE111" s="1250"/>
      <c r="CF111" s="1352"/>
      <c r="CG111" s="1352"/>
      <c r="CH111" s="1376"/>
      <c r="CI111" s="1467">
        <f t="shared" si="22"/>
        <v>0</v>
      </c>
      <c r="CJ111" s="1471"/>
      <c r="CK111" s="1409"/>
      <c r="CL111" s="1437">
        <f t="shared" si="23"/>
        <v>0</v>
      </c>
      <c r="CM111" s="1408"/>
      <c r="CN111" s="1439">
        <f t="shared" si="24"/>
        <v>0</v>
      </c>
      <c r="CO111" s="1229"/>
      <c r="CP111" s="1229"/>
      <c r="CQ111" s="1229"/>
    </row>
    <row r="112" spans="1:95" ht="21" thickBot="1">
      <c r="A112" s="326" t="s">
        <v>126</v>
      </c>
      <c r="B112" s="1457"/>
      <c r="C112" s="1457"/>
      <c r="D112" s="1265"/>
      <c r="E112" s="1444"/>
      <c r="F112" s="1445">
        <f>SUM(F81:F111)</f>
        <v>0</v>
      </c>
      <c r="G112" s="1445">
        <f t="shared" ref="G112:BQ112" si="25">SUM(G81:G111)</f>
        <v>0</v>
      </c>
      <c r="H112" s="1445">
        <f t="shared" si="25"/>
        <v>0</v>
      </c>
      <c r="I112" s="1445">
        <f t="shared" si="25"/>
        <v>0</v>
      </c>
      <c r="J112" s="1445">
        <f t="shared" si="25"/>
        <v>0</v>
      </c>
      <c r="K112" s="1445">
        <f t="shared" si="25"/>
        <v>0</v>
      </c>
      <c r="L112" s="1445">
        <f t="shared" si="25"/>
        <v>0</v>
      </c>
      <c r="M112" s="1445">
        <f t="shared" si="25"/>
        <v>0</v>
      </c>
      <c r="N112" s="1445">
        <f t="shared" si="25"/>
        <v>0</v>
      </c>
      <c r="O112" s="1445">
        <f t="shared" si="25"/>
        <v>0</v>
      </c>
      <c r="P112" s="1445">
        <f t="shared" si="25"/>
        <v>0</v>
      </c>
      <c r="Q112" s="1445">
        <f t="shared" si="25"/>
        <v>0</v>
      </c>
      <c r="R112" s="1445">
        <f t="shared" si="25"/>
        <v>0</v>
      </c>
      <c r="S112" s="1445">
        <f t="shared" si="25"/>
        <v>0</v>
      </c>
      <c r="T112" s="1445">
        <f t="shared" si="25"/>
        <v>0</v>
      </c>
      <c r="U112" s="1445">
        <f t="shared" si="25"/>
        <v>0</v>
      </c>
      <c r="V112" s="1445">
        <f t="shared" si="25"/>
        <v>0</v>
      </c>
      <c r="W112" s="1445">
        <f t="shared" si="25"/>
        <v>0</v>
      </c>
      <c r="X112" s="1445">
        <f t="shared" si="25"/>
        <v>0</v>
      </c>
      <c r="Y112" s="1445">
        <f t="shared" si="25"/>
        <v>0</v>
      </c>
      <c r="Z112" s="1445">
        <f t="shared" si="25"/>
        <v>0</v>
      </c>
      <c r="AA112" s="1445">
        <f t="shared" si="25"/>
        <v>0</v>
      </c>
      <c r="AB112" s="1445">
        <f t="shared" si="25"/>
        <v>0</v>
      </c>
      <c r="AC112" s="1445">
        <f t="shared" si="25"/>
        <v>0</v>
      </c>
      <c r="AD112" s="1445">
        <f t="shared" si="25"/>
        <v>0</v>
      </c>
      <c r="AE112" s="1445">
        <f t="shared" si="25"/>
        <v>0</v>
      </c>
      <c r="AF112" s="1445">
        <f t="shared" si="25"/>
        <v>0</v>
      </c>
      <c r="AG112" s="1445">
        <f t="shared" si="25"/>
        <v>0</v>
      </c>
      <c r="AH112" s="1445">
        <f t="shared" si="25"/>
        <v>0</v>
      </c>
      <c r="AI112" s="1445">
        <f t="shared" si="25"/>
        <v>0</v>
      </c>
      <c r="AJ112" s="1445">
        <f t="shared" si="25"/>
        <v>0</v>
      </c>
      <c r="AK112" s="1445">
        <f t="shared" si="25"/>
        <v>0</v>
      </c>
      <c r="AL112" s="1445">
        <f t="shared" si="25"/>
        <v>0</v>
      </c>
      <c r="AM112" s="1445">
        <f t="shared" si="25"/>
        <v>0</v>
      </c>
      <c r="AN112" s="1445">
        <f>SUM(AN81:AN111)</f>
        <v>0</v>
      </c>
      <c r="AO112" s="1445">
        <f t="shared" si="25"/>
        <v>0</v>
      </c>
      <c r="AP112" s="1445">
        <f t="shared" si="25"/>
        <v>0</v>
      </c>
      <c r="AQ112" s="1445">
        <f t="shared" si="25"/>
        <v>0</v>
      </c>
      <c r="AR112" s="1445">
        <f t="shared" si="25"/>
        <v>0</v>
      </c>
      <c r="AS112" s="1445">
        <f t="shared" si="25"/>
        <v>0</v>
      </c>
      <c r="AT112" s="1445">
        <f t="shared" si="25"/>
        <v>0</v>
      </c>
      <c r="AU112" s="1445">
        <f t="shared" si="25"/>
        <v>0</v>
      </c>
      <c r="AV112" s="1445">
        <f t="shared" si="25"/>
        <v>0</v>
      </c>
      <c r="AW112" s="1445">
        <f t="shared" si="25"/>
        <v>0</v>
      </c>
      <c r="AX112" s="1445">
        <f t="shared" si="25"/>
        <v>0</v>
      </c>
      <c r="AY112" s="1445">
        <f t="shared" si="25"/>
        <v>0</v>
      </c>
      <c r="AZ112" s="1445">
        <f t="shared" si="25"/>
        <v>0</v>
      </c>
      <c r="BA112" s="1445">
        <f t="shared" si="25"/>
        <v>0</v>
      </c>
      <c r="BB112" s="1445">
        <f t="shared" si="25"/>
        <v>0</v>
      </c>
      <c r="BC112" s="1445">
        <f t="shared" si="25"/>
        <v>0</v>
      </c>
      <c r="BD112" s="1445">
        <f t="shared" si="25"/>
        <v>0</v>
      </c>
      <c r="BE112" s="1445">
        <f t="shared" si="25"/>
        <v>0</v>
      </c>
      <c r="BF112" s="1445">
        <f t="shared" si="25"/>
        <v>0</v>
      </c>
      <c r="BG112" s="1445">
        <f t="shared" si="25"/>
        <v>0</v>
      </c>
      <c r="BH112" s="1445">
        <f t="shared" si="25"/>
        <v>0</v>
      </c>
      <c r="BI112" s="1445">
        <f t="shared" si="25"/>
        <v>0</v>
      </c>
      <c r="BJ112" s="1445">
        <f t="shared" si="25"/>
        <v>0</v>
      </c>
      <c r="BK112" s="1445">
        <f t="shared" si="25"/>
        <v>0</v>
      </c>
      <c r="BL112" s="1445">
        <f t="shared" si="25"/>
        <v>0</v>
      </c>
      <c r="BM112" s="1445">
        <f t="shared" si="25"/>
        <v>0</v>
      </c>
      <c r="BN112" s="1445">
        <f t="shared" si="25"/>
        <v>0</v>
      </c>
      <c r="BO112" s="1445">
        <f t="shared" si="25"/>
        <v>0</v>
      </c>
      <c r="BP112" s="1445">
        <f t="shared" si="25"/>
        <v>0</v>
      </c>
      <c r="BQ112" s="1445">
        <f t="shared" si="25"/>
        <v>0</v>
      </c>
      <c r="BR112" s="1445">
        <f t="shared" ref="BR112:CG112" si="26">SUM(BR81:BR111)</f>
        <v>0</v>
      </c>
      <c r="BS112" s="1445">
        <f t="shared" si="26"/>
        <v>0</v>
      </c>
      <c r="BT112" s="1445">
        <f t="shared" si="26"/>
        <v>0</v>
      </c>
      <c r="BU112" s="1445">
        <f t="shared" si="26"/>
        <v>0</v>
      </c>
      <c r="BV112" s="1445">
        <f t="shared" si="26"/>
        <v>0</v>
      </c>
      <c r="BW112" s="1445">
        <f t="shared" si="26"/>
        <v>0</v>
      </c>
      <c r="BX112" s="1445">
        <f t="shared" si="26"/>
        <v>0</v>
      </c>
      <c r="BY112" s="1445">
        <f t="shared" si="26"/>
        <v>0</v>
      </c>
      <c r="BZ112" s="1445">
        <f t="shared" si="26"/>
        <v>0</v>
      </c>
      <c r="CA112" s="1445">
        <f t="shared" si="26"/>
        <v>0</v>
      </c>
      <c r="CB112" s="1445">
        <f t="shared" si="26"/>
        <v>0</v>
      </c>
      <c r="CC112" s="1445">
        <f t="shared" si="26"/>
        <v>0</v>
      </c>
      <c r="CD112" s="1445">
        <f t="shared" si="26"/>
        <v>0</v>
      </c>
      <c r="CE112" s="1445">
        <f t="shared" si="26"/>
        <v>0</v>
      </c>
      <c r="CF112" s="1445">
        <f t="shared" si="26"/>
        <v>0</v>
      </c>
      <c r="CG112" s="1445">
        <f t="shared" si="26"/>
        <v>0</v>
      </c>
      <c r="CH112" s="1445"/>
      <c r="CI112" s="2910">
        <f>SUM(CI81:CI111)</f>
        <v>0</v>
      </c>
      <c r="CJ112" s="1445"/>
      <c r="CK112" s="1445">
        <f t="shared" ref="CK112:CN112" si="27">SUM(CK81:CK111)</f>
        <v>0</v>
      </c>
      <c r="CL112" s="1445">
        <f t="shared" si="27"/>
        <v>0</v>
      </c>
      <c r="CM112" s="1445">
        <f t="shared" si="27"/>
        <v>0</v>
      </c>
      <c r="CN112" s="1445">
        <f t="shared" si="27"/>
        <v>0</v>
      </c>
      <c r="CO112" s="1229"/>
      <c r="CP112" s="1229"/>
      <c r="CQ112" s="1229"/>
    </row>
    <row r="113" spans="1:95" ht="24" thickBot="1">
      <c r="A113" s="286" t="s">
        <v>127</v>
      </c>
      <c r="B113" s="1272" t="s">
        <v>68</v>
      </c>
      <c r="C113" s="1272" t="s">
        <v>69</v>
      </c>
      <c r="D113" s="1273" t="s">
        <v>70</v>
      </c>
      <c r="E113" s="1274"/>
      <c r="F113" s="743" t="s">
        <v>71</v>
      </c>
      <c r="G113" s="744" t="s">
        <v>533</v>
      </c>
      <c r="H113" s="744" t="s">
        <v>118</v>
      </c>
      <c r="I113" s="49" t="s">
        <v>94</v>
      </c>
      <c r="J113" s="744" t="s">
        <v>75</v>
      </c>
      <c r="K113" s="49" t="s">
        <v>76</v>
      </c>
      <c r="L113" s="914" t="s">
        <v>77</v>
      </c>
      <c r="M113" s="1279" t="s">
        <v>53</v>
      </c>
      <c r="N113" s="1314"/>
      <c r="O113" s="755" t="s">
        <v>71</v>
      </c>
      <c r="P113" s="744" t="s">
        <v>72</v>
      </c>
      <c r="Q113" s="744" t="s">
        <v>78</v>
      </c>
      <c r="R113" s="50" t="s">
        <v>74</v>
      </c>
      <c r="S113" s="1013" t="s">
        <v>75</v>
      </c>
      <c r="T113" s="51" t="s">
        <v>79</v>
      </c>
      <c r="U113" s="1344" t="s">
        <v>77</v>
      </c>
      <c r="V113" s="1344" t="s">
        <v>101</v>
      </c>
      <c r="W113" s="1073"/>
      <c r="X113" s="743" t="s">
        <v>94</v>
      </c>
      <c r="Y113" s="744" t="s">
        <v>96</v>
      </c>
      <c r="Z113" s="744" t="s">
        <v>81</v>
      </c>
      <c r="AA113" s="744" t="s">
        <v>82</v>
      </c>
      <c r="AB113" s="880" t="s">
        <v>75</v>
      </c>
      <c r="AC113" s="744" t="s">
        <v>83</v>
      </c>
      <c r="AD113" s="744" t="s">
        <v>87</v>
      </c>
      <c r="AE113" s="936" t="s">
        <v>84</v>
      </c>
      <c r="AF113" s="722"/>
      <c r="AG113" s="88" t="s">
        <v>85</v>
      </c>
      <c r="AH113" s="30" t="s">
        <v>86</v>
      </c>
      <c r="AI113" s="30" t="s">
        <v>77</v>
      </c>
      <c r="AJ113" s="89" t="s">
        <v>75</v>
      </c>
      <c r="AK113" s="30" t="s">
        <v>78</v>
      </c>
      <c r="AL113" s="89" t="s">
        <v>53</v>
      </c>
      <c r="AM113" s="112" t="s">
        <v>88</v>
      </c>
      <c r="AN113" s="936" t="s">
        <v>94</v>
      </c>
      <c r="AO113" s="722"/>
      <c r="AP113" s="743" t="s">
        <v>86</v>
      </c>
      <c r="AQ113" s="744" t="s">
        <v>123</v>
      </c>
      <c r="AR113" s="744" t="s">
        <v>90</v>
      </c>
      <c r="AS113" s="744" t="s">
        <v>92</v>
      </c>
      <c r="AT113" s="880" t="s">
        <v>250</v>
      </c>
      <c r="AU113" s="744" t="s">
        <v>85</v>
      </c>
      <c r="AV113" s="880" t="s">
        <v>381</v>
      </c>
      <c r="AW113" s="936" t="s">
        <v>481</v>
      </c>
      <c r="AX113" s="722"/>
      <c r="AY113" s="743" t="s">
        <v>82</v>
      </c>
      <c r="AZ113" s="744" t="s">
        <v>93</v>
      </c>
      <c r="BA113" s="744" t="s">
        <v>94</v>
      </c>
      <c r="BB113" s="744" t="s">
        <v>95</v>
      </c>
      <c r="BC113" s="880" t="s">
        <v>75</v>
      </c>
      <c r="BD113" s="744" t="s">
        <v>53</v>
      </c>
      <c r="BE113" s="880" t="s">
        <v>96</v>
      </c>
      <c r="BF113" s="936" t="s">
        <v>97</v>
      </c>
      <c r="BG113" s="722"/>
      <c r="BH113" s="743" t="s">
        <v>71</v>
      </c>
      <c r="BI113" s="744" t="s">
        <v>465</v>
      </c>
      <c r="BJ113" s="744" t="s">
        <v>99</v>
      </c>
      <c r="BK113" s="744" t="s">
        <v>100</v>
      </c>
      <c r="BL113" s="880" t="s">
        <v>75</v>
      </c>
      <c r="BM113" s="51" t="s">
        <v>466</v>
      </c>
      <c r="BN113" s="936" t="s">
        <v>77</v>
      </c>
      <c r="BO113" s="936" t="s">
        <v>170</v>
      </c>
      <c r="BP113" s="722"/>
      <c r="BQ113" s="743" t="s">
        <v>250</v>
      </c>
      <c r="BR113" s="744"/>
      <c r="BS113" s="744" t="s">
        <v>92</v>
      </c>
      <c r="BT113" s="744"/>
      <c r="BU113" s="880" t="s">
        <v>469</v>
      </c>
      <c r="BV113" s="744"/>
      <c r="BW113" s="880" t="s">
        <v>149</v>
      </c>
      <c r="BX113" s="936"/>
      <c r="BY113" s="2897"/>
      <c r="BZ113" s="1365" t="s">
        <v>80</v>
      </c>
      <c r="CA113" s="880" t="s">
        <v>72</v>
      </c>
      <c r="CB113" s="880" t="s">
        <v>118</v>
      </c>
      <c r="CC113" s="1318" t="s">
        <v>103</v>
      </c>
      <c r="CD113" s="880" t="s">
        <v>75</v>
      </c>
      <c r="CE113" s="880" t="s">
        <v>53</v>
      </c>
      <c r="CF113" s="744" t="s">
        <v>77</v>
      </c>
      <c r="CG113" s="1279" t="s">
        <v>93</v>
      </c>
      <c r="CH113" s="288"/>
      <c r="CI113" s="1391" t="s">
        <v>104</v>
      </c>
      <c r="CJ113" s="1395" t="s">
        <v>105</v>
      </c>
      <c r="CK113" s="1013"/>
      <c r="CL113" s="288" t="s">
        <v>106</v>
      </c>
      <c r="CM113" s="1013" t="s">
        <v>107</v>
      </c>
      <c r="CN113" s="288" t="s">
        <v>108</v>
      </c>
      <c r="CO113" s="1229"/>
      <c r="CP113" s="1229"/>
      <c r="CQ113" s="1229"/>
    </row>
    <row r="114" spans="1:95" ht="20.25">
      <c r="A114" s="1446" t="s">
        <v>128</v>
      </c>
      <c r="B114" s="1275"/>
      <c r="C114" s="1275"/>
      <c r="D114" s="1278"/>
      <c r="E114" s="1277"/>
      <c r="F114" s="1245"/>
      <c r="G114" s="1246"/>
      <c r="H114" s="1246"/>
      <c r="I114" s="1246"/>
      <c r="J114" s="1315"/>
      <c r="K114" s="1448"/>
      <c r="L114" s="1291"/>
      <c r="M114" s="1291"/>
      <c r="N114" s="1316"/>
      <c r="O114" s="1289"/>
      <c r="P114" s="1244"/>
      <c r="Q114" s="1244"/>
      <c r="R114" s="1244"/>
      <c r="S114" s="1324"/>
      <c r="T114" s="1324"/>
      <c r="U114" s="1324"/>
      <c r="V114" s="1345"/>
      <c r="W114" s="1346"/>
      <c r="X114" s="1317"/>
      <c r="Y114" s="1246"/>
      <c r="Z114" s="1246"/>
      <c r="AA114" s="1246"/>
      <c r="AB114" s="1345"/>
      <c r="AC114" s="1345"/>
      <c r="AD114" s="1345"/>
      <c r="AE114" s="1345"/>
      <c r="AF114" s="1346"/>
      <c r="AG114" s="1317"/>
      <c r="AH114" s="1246"/>
      <c r="AI114" s="1246"/>
      <c r="AJ114" s="1345"/>
      <c r="AK114" s="1246"/>
      <c r="AL114" s="1345"/>
      <c r="AM114" s="1345"/>
      <c r="AN114" s="1345"/>
      <c r="AO114" s="1346"/>
      <c r="AP114" s="1317"/>
      <c r="AQ114" s="1246"/>
      <c r="AR114" s="1246"/>
      <c r="AS114" s="1246"/>
      <c r="AT114" s="1345"/>
      <c r="AU114" s="1345"/>
      <c r="AV114" s="1345"/>
      <c r="AW114" s="1345"/>
      <c r="AX114" s="1346"/>
      <c r="AY114" s="1317"/>
      <c r="AZ114" s="1246"/>
      <c r="BA114" s="1246"/>
      <c r="BB114" s="1246"/>
      <c r="BC114" s="1345"/>
      <c r="BD114" s="1345"/>
      <c r="BE114" s="1345"/>
      <c r="BF114" s="1345"/>
      <c r="BG114" s="1346"/>
      <c r="BH114" s="1317"/>
      <c r="BI114" s="1246"/>
      <c r="BJ114" s="1246"/>
      <c r="BK114" s="1246"/>
      <c r="BL114" s="1345"/>
      <c r="BM114" s="1345"/>
      <c r="BN114" s="1345"/>
      <c r="BO114" s="1345"/>
      <c r="BP114" s="1346"/>
      <c r="BQ114" s="1317"/>
      <c r="BR114" s="1246"/>
      <c r="BS114" s="1246"/>
      <c r="BT114" s="1246"/>
      <c r="BU114" s="1345"/>
      <c r="BV114" s="1345"/>
      <c r="BW114" s="1345"/>
      <c r="BX114" s="1345"/>
      <c r="BY114" s="1346"/>
      <c r="BZ114" s="1317"/>
      <c r="CA114" s="1246"/>
      <c r="CB114" s="1246"/>
      <c r="CC114" s="1246"/>
      <c r="CD114" s="1246"/>
      <c r="CE114" s="1246"/>
      <c r="CF114" s="1345"/>
      <c r="CG114" s="1392"/>
      <c r="CH114" s="1393"/>
      <c r="CI114" s="1394">
        <f t="shared" ref="CI114:CI145" si="28">SUM(F114:CG114)</f>
        <v>0</v>
      </c>
      <c r="CJ114" s="1435"/>
      <c r="CK114" s="1436"/>
      <c r="CL114" s="1437">
        <f>CI114+CJ114</f>
        <v>0</v>
      </c>
      <c r="CM114" s="1438"/>
      <c r="CN114" s="1439">
        <f t="shared" ref="CN114:CN145" si="29">CL114+CM114</f>
        <v>0</v>
      </c>
      <c r="CO114" s="1229"/>
      <c r="CP114" s="1229"/>
      <c r="CQ114" s="1229"/>
    </row>
    <row r="115" spans="1:95" ht="20.25">
      <c r="A115" s="1446" t="s">
        <v>128</v>
      </c>
      <c r="B115" s="1275"/>
      <c r="C115" s="1275"/>
      <c r="D115" s="1278"/>
      <c r="E115" s="1277"/>
      <c r="F115" s="1245"/>
      <c r="G115" s="1246"/>
      <c r="H115" s="1246"/>
      <c r="I115" s="1246"/>
      <c r="J115" s="1315"/>
      <c r="K115" s="1246"/>
      <c r="L115" s="1291"/>
      <c r="M115" s="1291"/>
      <c r="N115" s="1316"/>
      <c r="O115" s="1289"/>
      <c r="P115" s="1244"/>
      <c r="Q115" s="1244"/>
      <c r="R115" s="1244"/>
      <c r="S115" s="1324"/>
      <c r="T115" s="1324"/>
      <c r="U115" s="1347"/>
      <c r="V115" s="1345"/>
      <c r="W115" s="1346"/>
      <c r="X115" s="1317"/>
      <c r="Y115" s="1246"/>
      <c r="Z115" s="1246"/>
      <c r="AA115" s="1246"/>
      <c r="AB115" s="1345"/>
      <c r="AC115" s="1345"/>
      <c r="AD115" s="1345"/>
      <c r="AE115" s="1345"/>
      <c r="AF115" s="1346"/>
      <c r="AG115" s="1317"/>
      <c r="AH115" s="1246"/>
      <c r="AI115" s="1246"/>
      <c r="AJ115" s="1345"/>
      <c r="AK115" s="1246"/>
      <c r="AL115" s="1345"/>
      <c r="AM115" s="1345"/>
      <c r="AN115" s="1345"/>
      <c r="AO115" s="1346"/>
      <c r="AP115" s="1317"/>
      <c r="AQ115" s="1246"/>
      <c r="AR115" s="1246"/>
      <c r="AS115" s="1246"/>
      <c r="AT115" s="1345"/>
      <c r="AU115" s="1345"/>
      <c r="AV115" s="1345"/>
      <c r="AW115" s="1345"/>
      <c r="AX115" s="1346"/>
      <c r="AY115" s="1317"/>
      <c r="AZ115" s="1246"/>
      <c r="BA115" s="1246"/>
      <c r="BB115" s="1246"/>
      <c r="BC115" s="1345"/>
      <c r="BD115" s="1345"/>
      <c r="BE115" s="1345"/>
      <c r="BF115" s="1345"/>
      <c r="BG115" s="1346"/>
      <c r="BH115" s="1317"/>
      <c r="BI115" s="1246"/>
      <c r="BJ115" s="1246"/>
      <c r="BK115" s="1246"/>
      <c r="BL115" s="1345"/>
      <c r="BM115" s="1345"/>
      <c r="BN115" s="1345"/>
      <c r="BO115" s="1345"/>
      <c r="BP115" s="1346"/>
      <c r="BQ115" s="1317"/>
      <c r="BR115" s="1246"/>
      <c r="BS115" s="1246"/>
      <c r="BT115" s="1246"/>
      <c r="BU115" s="1345"/>
      <c r="BV115" s="1345"/>
      <c r="BW115" s="1345"/>
      <c r="BX115" s="1345"/>
      <c r="BY115" s="1346"/>
      <c r="BZ115" s="1317"/>
      <c r="CA115" s="1246"/>
      <c r="CB115" s="1246"/>
      <c r="CC115" s="1246"/>
      <c r="CD115" s="1246"/>
      <c r="CE115" s="1246"/>
      <c r="CF115" s="1345"/>
      <c r="CG115" s="1392"/>
      <c r="CH115" s="1393"/>
      <c r="CI115" s="1394">
        <f t="shared" si="28"/>
        <v>0</v>
      </c>
      <c r="CJ115" s="1435"/>
      <c r="CK115" s="1436"/>
      <c r="CL115" s="1437">
        <f>CI115+CJ115</f>
        <v>0</v>
      </c>
      <c r="CM115" s="1438"/>
      <c r="CN115" s="1439">
        <f t="shared" si="29"/>
        <v>0</v>
      </c>
      <c r="CO115" s="1229"/>
      <c r="CP115" s="1229"/>
      <c r="CQ115" s="1229"/>
    </row>
    <row r="116" spans="1:95" ht="20.25">
      <c r="A116" s="1446" t="s">
        <v>128</v>
      </c>
      <c r="B116" s="1275"/>
      <c r="C116" s="1275"/>
      <c r="D116" s="1278"/>
      <c r="E116" s="1277"/>
      <c r="F116" s="1245"/>
      <c r="G116" s="1246"/>
      <c r="H116" s="1246"/>
      <c r="I116" s="1246"/>
      <c r="J116" s="1315"/>
      <c r="K116" s="1246"/>
      <c r="L116" s="1291"/>
      <c r="M116" s="1291"/>
      <c r="N116" s="1316"/>
      <c r="O116" s="1317"/>
      <c r="P116" s="1246"/>
      <c r="Q116" s="1246"/>
      <c r="R116" s="1246"/>
      <c r="S116" s="1345"/>
      <c r="T116" s="1345"/>
      <c r="U116" s="1345"/>
      <c r="V116" s="1345"/>
      <c r="W116" s="1346"/>
      <c r="X116" s="1317"/>
      <c r="Y116" s="1246"/>
      <c r="Z116" s="1246"/>
      <c r="AA116" s="1246"/>
      <c r="AB116" s="1345"/>
      <c r="AC116" s="1345"/>
      <c r="AD116" s="1345"/>
      <c r="AE116" s="1345"/>
      <c r="AF116" s="1346"/>
      <c r="AG116" s="1345"/>
      <c r="AH116" s="1246"/>
      <c r="AI116" s="1246"/>
      <c r="AJ116" s="1345"/>
      <c r="AK116" s="1246"/>
      <c r="AL116" s="1345"/>
      <c r="AM116" s="1345"/>
      <c r="AN116" s="1345"/>
      <c r="AO116" s="1346"/>
      <c r="AP116" s="1317"/>
      <c r="AQ116" s="1246"/>
      <c r="AR116" s="1246"/>
      <c r="AS116" s="1246"/>
      <c r="AT116" s="1345"/>
      <c r="AU116" s="1345"/>
      <c r="AV116" s="1345"/>
      <c r="AW116" s="1345"/>
      <c r="AX116" s="1346"/>
      <c r="AY116" s="1317"/>
      <c r="AZ116" s="1246"/>
      <c r="BA116" s="1246"/>
      <c r="BB116" s="1246"/>
      <c r="BC116" s="1345"/>
      <c r="BD116" s="1345"/>
      <c r="BE116" s="1345"/>
      <c r="BF116" s="1345"/>
      <c r="BG116" s="1346"/>
      <c r="BH116" s="1317"/>
      <c r="BI116" s="1246"/>
      <c r="BJ116" s="1246"/>
      <c r="BK116" s="1246"/>
      <c r="BL116" s="1345"/>
      <c r="BM116" s="1345"/>
      <c r="BN116" s="1345"/>
      <c r="BO116" s="1345"/>
      <c r="BP116" s="1346"/>
      <c r="BQ116" s="1317"/>
      <c r="BR116" s="1246"/>
      <c r="BS116" s="1246"/>
      <c r="BT116" s="1246"/>
      <c r="BU116" s="1345"/>
      <c r="BV116" s="1345"/>
      <c r="BW116" s="1345"/>
      <c r="BX116" s="1345"/>
      <c r="BY116" s="1346"/>
      <c r="BZ116" s="1317"/>
      <c r="CA116" s="1246"/>
      <c r="CB116" s="1246"/>
      <c r="CC116" s="1246"/>
      <c r="CD116" s="1246"/>
      <c r="CE116" s="1246"/>
      <c r="CF116" s="1345"/>
      <c r="CG116" s="1392"/>
      <c r="CH116" s="1393"/>
      <c r="CI116" s="1394">
        <f t="shared" si="28"/>
        <v>0</v>
      </c>
      <c r="CJ116" s="1435"/>
      <c r="CK116" s="1436"/>
      <c r="CL116" s="1437">
        <f>CI116+CJ116</f>
        <v>0</v>
      </c>
      <c r="CM116" s="1438"/>
      <c r="CN116" s="1439">
        <f t="shared" si="29"/>
        <v>0</v>
      </c>
      <c r="CO116" s="1229"/>
      <c r="CP116" s="1229"/>
      <c r="CQ116" s="1229"/>
    </row>
    <row r="117" spans="1:95" ht="20.25">
      <c r="A117" s="1446" t="s">
        <v>128</v>
      </c>
      <c r="B117" s="1275"/>
      <c r="C117" s="1275"/>
      <c r="D117" s="1278"/>
      <c r="E117" s="1277"/>
      <c r="F117" s="1245"/>
      <c r="G117" s="1246"/>
      <c r="H117" s="1246"/>
      <c r="I117" s="1246"/>
      <c r="J117" s="1315"/>
      <c r="K117" s="1246"/>
      <c r="L117" s="1291"/>
      <c r="M117" s="1291"/>
      <c r="N117" s="1316"/>
      <c r="O117" s="1317"/>
      <c r="P117" s="1246"/>
      <c r="Q117" s="1246"/>
      <c r="R117" s="1246"/>
      <c r="S117" s="1345"/>
      <c r="T117" s="1345"/>
      <c r="U117" s="1345"/>
      <c r="V117" s="1345"/>
      <c r="W117" s="1346"/>
      <c r="X117" s="1317"/>
      <c r="Y117" s="1246"/>
      <c r="Z117" s="1246"/>
      <c r="AA117" s="1246"/>
      <c r="AB117" s="1345"/>
      <c r="AC117" s="1345"/>
      <c r="AD117" s="1345"/>
      <c r="AE117" s="1345"/>
      <c r="AF117" s="1346"/>
      <c r="AG117" s="1317"/>
      <c r="AH117" s="1246"/>
      <c r="AI117" s="1246"/>
      <c r="AJ117" s="1345"/>
      <c r="AK117" s="1246"/>
      <c r="AL117" s="1345"/>
      <c r="AM117" s="1345"/>
      <c r="AN117" s="1464"/>
      <c r="AO117" s="1346"/>
      <c r="AP117" s="1317"/>
      <c r="AQ117" s="1246"/>
      <c r="AR117" s="1246"/>
      <c r="AS117" s="1246"/>
      <c r="AT117" s="1345"/>
      <c r="AU117" s="1345"/>
      <c r="AV117" s="1345"/>
      <c r="AW117" s="1345"/>
      <c r="AX117" s="1346"/>
      <c r="AY117" s="1317"/>
      <c r="AZ117" s="1246"/>
      <c r="BA117" s="1246"/>
      <c r="BB117" s="1246"/>
      <c r="BC117" s="1345"/>
      <c r="BD117" s="1345"/>
      <c r="BE117" s="1345"/>
      <c r="BF117" s="1345"/>
      <c r="BG117" s="1346"/>
      <c r="BH117" s="1317"/>
      <c r="BI117" s="1246"/>
      <c r="BJ117" s="1246"/>
      <c r="BK117" s="1246"/>
      <c r="BL117" s="1345"/>
      <c r="BM117" s="1345"/>
      <c r="BN117" s="1345"/>
      <c r="BO117" s="1345"/>
      <c r="BP117" s="1346"/>
      <c r="BQ117" s="1317"/>
      <c r="BR117" s="1246"/>
      <c r="BS117" s="1246"/>
      <c r="BT117" s="1246"/>
      <c r="BU117" s="1345"/>
      <c r="BV117" s="1345"/>
      <c r="BW117" s="1345"/>
      <c r="BX117" s="1345"/>
      <c r="BY117" s="1346"/>
      <c r="BZ117" s="1317"/>
      <c r="CA117" s="1246"/>
      <c r="CB117" s="1246"/>
      <c r="CC117" s="1246"/>
      <c r="CD117" s="1246"/>
      <c r="CE117" s="1246"/>
      <c r="CF117" s="1345"/>
      <c r="CG117" s="1392"/>
      <c r="CH117" s="1393"/>
      <c r="CI117" s="1394">
        <f t="shared" si="28"/>
        <v>0</v>
      </c>
      <c r="CJ117" s="1435"/>
      <c r="CK117" s="1436"/>
      <c r="CL117" s="1437">
        <f>CI117+CJ117</f>
        <v>0</v>
      </c>
      <c r="CM117" s="1438"/>
      <c r="CN117" s="1439">
        <f t="shared" si="29"/>
        <v>0</v>
      </c>
      <c r="CO117" s="1229"/>
      <c r="CP117" s="1229"/>
      <c r="CQ117" s="1229"/>
    </row>
    <row r="118" spans="1:95" ht="20.25">
      <c r="A118" s="1446" t="s">
        <v>128</v>
      </c>
      <c r="B118" s="1450"/>
      <c r="C118" s="1450"/>
      <c r="D118" s="1278"/>
      <c r="E118" s="1277"/>
      <c r="F118" s="1447"/>
      <c r="G118" s="1448"/>
      <c r="H118" s="1448"/>
      <c r="I118" s="1448"/>
      <c r="J118" s="1458"/>
      <c r="K118" s="1448"/>
      <c r="L118" s="1459"/>
      <c r="M118" s="1459"/>
      <c r="N118" s="1316"/>
      <c r="O118" s="1286"/>
      <c r="P118" s="1242"/>
      <c r="Q118" s="1242"/>
      <c r="R118" s="1242"/>
      <c r="S118" s="1322"/>
      <c r="T118" s="1322"/>
      <c r="U118" s="1322"/>
      <c r="V118" s="1460"/>
      <c r="W118" s="1346"/>
      <c r="X118" s="1461"/>
      <c r="Y118" s="1448"/>
      <c r="Z118" s="1448"/>
      <c r="AA118" s="1448"/>
      <c r="AB118" s="1460"/>
      <c r="AC118" s="1460"/>
      <c r="AD118" s="1460"/>
      <c r="AE118" s="1460"/>
      <c r="AF118" s="1346"/>
      <c r="AG118" s="1461"/>
      <c r="AH118" s="1448"/>
      <c r="AI118" s="1448"/>
      <c r="AJ118" s="1460"/>
      <c r="AK118" s="1460"/>
      <c r="AL118" s="1460"/>
      <c r="AM118" s="1460"/>
      <c r="AN118" s="1460"/>
      <c r="AO118" s="1346"/>
      <c r="AP118" s="1461"/>
      <c r="AQ118" s="1448"/>
      <c r="AR118" s="1448"/>
      <c r="AS118" s="1448"/>
      <c r="AT118" s="1460"/>
      <c r="AU118" s="1460"/>
      <c r="AV118" s="1460"/>
      <c r="AW118" s="1460"/>
      <c r="AX118" s="1346"/>
      <c r="AY118" s="1461"/>
      <c r="AZ118" s="1448"/>
      <c r="BA118" s="1448"/>
      <c r="BB118" s="1448"/>
      <c r="BC118" s="1460"/>
      <c r="BD118" s="1460"/>
      <c r="BE118" s="1460"/>
      <c r="BF118" s="1460"/>
      <c r="BG118" s="1346"/>
      <c r="BH118" s="1461"/>
      <c r="BI118" s="1448"/>
      <c r="BJ118" s="1448"/>
      <c r="BK118" s="1448"/>
      <c r="BL118" s="1460"/>
      <c r="BM118" s="1460"/>
      <c r="BN118" s="1460"/>
      <c r="BO118" s="1460"/>
      <c r="BP118" s="1346"/>
      <c r="BQ118" s="1461"/>
      <c r="BR118" s="1448"/>
      <c r="BS118" s="1448"/>
      <c r="BT118" s="1448"/>
      <c r="BU118" s="1460"/>
      <c r="BV118" s="1460"/>
      <c r="BW118" s="1460"/>
      <c r="BX118" s="1460"/>
      <c r="BY118" s="1346"/>
      <c r="BZ118" s="1461"/>
      <c r="CA118" s="1448"/>
      <c r="CB118" s="1448"/>
      <c r="CC118" s="1448"/>
      <c r="CD118" s="1448"/>
      <c r="CE118" s="1448"/>
      <c r="CF118" s="1460"/>
      <c r="CG118" s="1468"/>
      <c r="CH118" s="1393"/>
      <c r="CI118" s="1394">
        <f t="shared" si="28"/>
        <v>0</v>
      </c>
      <c r="CJ118" s="1435"/>
      <c r="CK118" s="1436"/>
      <c r="CL118" s="1437">
        <f>CI118+CJ118</f>
        <v>0</v>
      </c>
      <c r="CM118" s="1438"/>
      <c r="CN118" s="1439">
        <f t="shared" si="29"/>
        <v>0</v>
      </c>
      <c r="CO118" s="1229"/>
      <c r="CP118" s="1229"/>
      <c r="CQ118" s="1229"/>
    </row>
    <row r="119" spans="1:95" ht="20.25">
      <c r="A119" s="1446" t="s">
        <v>128</v>
      </c>
      <c r="B119" s="1450"/>
      <c r="C119" s="1275"/>
      <c r="D119" s="1278"/>
      <c r="E119" s="1277"/>
      <c r="F119" s="1245"/>
      <c r="G119" s="1246"/>
      <c r="H119" s="1246"/>
      <c r="I119" s="1246"/>
      <c r="J119" s="1315"/>
      <c r="K119" s="1246"/>
      <c r="L119" s="1291"/>
      <c r="M119" s="1291"/>
      <c r="N119" s="1316"/>
      <c r="O119" s="1317"/>
      <c r="P119" s="1246"/>
      <c r="Q119" s="1246"/>
      <c r="R119" s="1246"/>
      <c r="S119" s="1345"/>
      <c r="T119" s="1345"/>
      <c r="U119" s="1345"/>
      <c r="V119" s="1345"/>
      <c r="W119" s="1346"/>
      <c r="X119" s="1317"/>
      <c r="Y119" s="1246"/>
      <c r="Z119" s="1246"/>
      <c r="AA119" s="1246"/>
      <c r="AB119" s="1345"/>
      <c r="AC119" s="1345"/>
      <c r="AD119" s="1345"/>
      <c r="AE119" s="1345"/>
      <c r="AF119" s="1346"/>
      <c r="AG119" s="1317"/>
      <c r="AH119" s="1246"/>
      <c r="AI119" s="1246"/>
      <c r="AJ119" s="1345"/>
      <c r="AK119" s="1345"/>
      <c r="AL119" s="1345"/>
      <c r="AM119" s="1345"/>
      <c r="AN119" s="1345"/>
      <c r="AO119" s="1346"/>
      <c r="AP119" s="1317"/>
      <c r="AQ119" s="1246"/>
      <c r="AR119" s="1246"/>
      <c r="AS119" s="1246"/>
      <c r="AT119" s="1345"/>
      <c r="AU119" s="1345"/>
      <c r="AV119" s="1345"/>
      <c r="AW119" s="1345"/>
      <c r="AX119" s="1346"/>
      <c r="AY119" s="1317"/>
      <c r="AZ119" s="1246"/>
      <c r="BA119" s="1246"/>
      <c r="BB119" s="1246"/>
      <c r="BC119" s="1345"/>
      <c r="BD119" s="1345"/>
      <c r="BE119" s="1345"/>
      <c r="BF119" s="1345"/>
      <c r="BG119" s="1346"/>
      <c r="BH119" s="1317"/>
      <c r="BI119" s="1246"/>
      <c r="BJ119" s="1246"/>
      <c r="BK119" s="1246"/>
      <c r="BL119" s="1345"/>
      <c r="BM119" s="1345"/>
      <c r="BN119" s="1345"/>
      <c r="BO119" s="1345"/>
      <c r="BP119" s="1346"/>
      <c r="BQ119" s="1317"/>
      <c r="BR119" s="1246"/>
      <c r="BS119" s="1246"/>
      <c r="BT119" s="1246"/>
      <c r="BU119" s="1345"/>
      <c r="BV119" s="1345"/>
      <c r="BW119" s="1345"/>
      <c r="BX119" s="1345"/>
      <c r="BY119" s="1346"/>
      <c r="BZ119" s="1317"/>
      <c r="CA119" s="1246"/>
      <c r="CB119" s="1246"/>
      <c r="CC119" s="1246"/>
      <c r="CD119" s="1246"/>
      <c r="CE119" s="1246"/>
      <c r="CF119" s="1345"/>
      <c r="CG119" s="1392"/>
      <c r="CH119" s="1393"/>
      <c r="CI119" s="1394">
        <f t="shared" si="28"/>
        <v>0</v>
      </c>
      <c r="CJ119" s="1435"/>
      <c r="CK119" s="1436"/>
      <c r="CL119" s="1437">
        <f t="shared" ref="CL119:CL145" si="30">CI119+CJ119</f>
        <v>0</v>
      </c>
      <c r="CM119" s="1438"/>
      <c r="CN119" s="1439">
        <f t="shared" si="29"/>
        <v>0</v>
      </c>
      <c r="CO119" s="1229"/>
      <c r="CP119" s="1229"/>
      <c r="CQ119" s="1229"/>
    </row>
    <row r="120" spans="1:95" ht="20.25">
      <c r="A120" s="1446" t="s">
        <v>128</v>
      </c>
      <c r="B120" s="1275"/>
      <c r="C120" s="1275"/>
      <c r="D120" s="1278"/>
      <c r="E120" s="1277"/>
      <c r="F120" s="1245"/>
      <c r="G120" s="1246"/>
      <c r="H120" s="1246"/>
      <c r="I120" s="1246"/>
      <c r="J120" s="1315"/>
      <c r="K120" s="1246"/>
      <c r="L120" s="1291"/>
      <c r="M120" s="1291"/>
      <c r="N120" s="1316"/>
      <c r="O120" s="1317"/>
      <c r="P120" s="1246"/>
      <c r="Q120" s="1246"/>
      <c r="R120" s="1246"/>
      <c r="S120" s="1345"/>
      <c r="T120" s="1345"/>
      <c r="U120" s="1345"/>
      <c r="V120" s="1345"/>
      <c r="W120" s="1346"/>
      <c r="X120" s="1317"/>
      <c r="Y120" s="1246"/>
      <c r="Z120" s="1246"/>
      <c r="AA120" s="1246"/>
      <c r="AB120" s="1345"/>
      <c r="AC120" s="1345"/>
      <c r="AD120" s="1345"/>
      <c r="AE120" s="1345"/>
      <c r="AF120" s="1346"/>
      <c r="AG120" s="1317"/>
      <c r="AH120" s="1246"/>
      <c r="AI120" s="1246"/>
      <c r="AJ120" s="1345"/>
      <c r="AK120" s="1345"/>
      <c r="AL120" s="1345"/>
      <c r="AM120" s="1345"/>
      <c r="AN120" s="1345"/>
      <c r="AO120" s="1346"/>
      <c r="AP120" s="1317"/>
      <c r="AQ120" s="1246"/>
      <c r="AR120" s="1246"/>
      <c r="AS120" s="1246"/>
      <c r="AT120" s="1345"/>
      <c r="AU120" s="1345"/>
      <c r="AV120" s="1345"/>
      <c r="AW120" s="1345"/>
      <c r="AX120" s="1346"/>
      <c r="AY120" s="1317"/>
      <c r="AZ120" s="1246"/>
      <c r="BA120" s="1246"/>
      <c r="BB120" s="1246"/>
      <c r="BC120" s="1345"/>
      <c r="BD120" s="1345"/>
      <c r="BE120" s="1345"/>
      <c r="BF120" s="1345"/>
      <c r="BG120" s="1346"/>
      <c r="BH120" s="1317"/>
      <c r="BI120" s="1246"/>
      <c r="BJ120" s="1246"/>
      <c r="BK120" s="1246"/>
      <c r="BL120" s="1345"/>
      <c r="BM120" s="1345"/>
      <c r="BN120" s="1345"/>
      <c r="BO120" s="1345"/>
      <c r="BP120" s="1346"/>
      <c r="BQ120" s="1317"/>
      <c r="BR120" s="1246"/>
      <c r="BS120" s="1246"/>
      <c r="BT120" s="1246"/>
      <c r="BU120" s="1345"/>
      <c r="BV120" s="1345"/>
      <c r="BW120" s="1345"/>
      <c r="BX120" s="1345"/>
      <c r="BY120" s="1346"/>
      <c r="BZ120" s="1317"/>
      <c r="CA120" s="1246"/>
      <c r="CB120" s="1246"/>
      <c r="CC120" s="1246"/>
      <c r="CD120" s="1246"/>
      <c r="CE120" s="1246"/>
      <c r="CF120" s="1345"/>
      <c r="CG120" s="1392"/>
      <c r="CH120" s="1393"/>
      <c r="CI120" s="1394">
        <f t="shared" si="28"/>
        <v>0</v>
      </c>
      <c r="CJ120" s="1435"/>
      <c r="CK120" s="1436"/>
      <c r="CL120" s="1437">
        <f t="shared" si="30"/>
        <v>0</v>
      </c>
      <c r="CM120" s="1438"/>
      <c r="CN120" s="1439">
        <f t="shared" si="29"/>
        <v>0</v>
      </c>
      <c r="CO120" s="1229"/>
      <c r="CP120" s="1229"/>
      <c r="CQ120" s="1229"/>
    </row>
    <row r="121" spans="1:95" ht="20.25">
      <c r="A121" s="1446" t="s">
        <v>128</v>
      </c>
      <c r="B121" s="1450"/>
      <c r="C121" s="1275"/>
      <c r="D121" s="1278"/>
      <c r="E121" s="1277"/>
      <c r="F121" s="1245"/>
      <c r="G121" s="1246"/>
      <c r="H121" s="1246"/>
      <c r="I121" s="1246"/>
      <c r="J121" s="1315"/>
      <c r="K121" s="1246"/>
      <c r="L121" s="1291"/>
      <c r="M121" s="1291"/>
      <c r="N121" s="1316"/>
      <c r="O121" s="1317"/>
      <c r="P121" s="1246"/>
      <c r="Q121" s="1246"/>
      <c r="R121" s="1246"/>
      <c r="S121" s="1345"/>
      <c r="T121" s="1345"/>
      <c r="U121" s="1345"/>
      <c r="V121" s="1345"/>
      <c r="W121" s="1346"/>
      <c r="X121" s="1317"/>
      <c r="Y121" s="1246"/>
      <c r="Z121" s="1246"/>
      <c r="AA121" s="1246"/>
      <c r="AB121" s="1345"/>
      <c r="AC121" s="1345"/>
      <c r="AD121" s="1345"/>
      <c r="AE121" s="1345"/>
      <c r="AF121" s="1346"/>
      <c r="AG121" s="1317"/>
      <c r="AH121" s="1246"/>
      <c r="AI121" s="1246"/>
      <c r="AJ121" s="1345"/>
      <c r="AK121" s="1345"/>
      <c r="AL121" s="1345"/>
      <c r="AM121" s="1345"/>
      <c r="AN121" s="1345"/>
      <c r="AO121" s="1346"/>
      <c r="AP121" s="1317"/>
      <c r="AQ121" s="1246"/>
      <c r="AR121" s="1246"/>
      <c r="AS121" s="1246"/>
      <c r="AT121" s="1345"/>
      <c r="AU121" s="1345"/>
      <c r="AV121" s="1345"/>
      <c r="AW121" s="1345"/>
      <c r="AX121" s="1346"/>
      <c r="AY121" s="1317"/>
      <c r="AZ121" s="1246"/>
      <c r="BA121" s="1246"/>
      <c r="BB121" s="1246"/>
      <c r="BC121" s="1345"/>
      <c r="BD121" s="1345"/>
      <c r="BE121" s="1345"/>
      <c r="BF121" s="1345"/>
      <c r="BG121" s="1346"/>
      <c r="BH121" s="1317"/>
      <c r="BI121" s="1246"/>
      <c r="BJ121" s="1246"/>
      <c r="BK121" s="1246"/>
      <c r="BL121" s="1345"/>
      <c r="BM121" s="1345"/>
      <c r="BN121" s="1345"/>
      <c r="BO121" s="1345"/>
      <c r="BP121" s="1346"/>
      <c r="BQ121" s="1317"/>
      <c r="BR121" s="1246"/>
      <c r="BS121" s="1246"/>
      <c r="BT121" s="1246"/>
      <c r="BU121" s="1345"/>
      <c r="BV121" s="1345"/>
      <c r="BW121" s="1345"/>
      <c r="BX121" s="1345"/>
      <c r="BY121" s="1346"/>
      <c r="BZ121" s="1317"/>
      <c r="CA121" s="1246"/>
      <c r="CB121" s="1246"/>
      <c r="CC121" s="1246"/>
      <c r="CD121" s="1246"/>
      <c r="CE121" s="1246"/>
      <c r="CF121" s="1345"/>
      <c r="CG121" s="1392"/>
      <c r="CH121" s="1393"/>
      <c r="CI121" s="1394">
        <f t="shared" si="28"/>
        <v>0</v>
      </c>
      <c r="CJ121" s="1435"/>
      <c r="CK121" s="1436"/>
      <c r="CL121" s="1437">
        <f t="shared" si="30"/>
        <v>0</v>
      </c>
      <c r="CM121" s="1438"/>
      <c r="CN121" s="1439">
        <f t="shared" si="29"/>
        <v>0</v>
      </c>
      <c r="CO121" s="1229"/>
      <c r="CP121" s="1229"/>
      <c r="CQ121" s="1229"/>
    </row>
    <row r="122" spans="1:95" ht="20.25">
      <c r="A122" s="1446" t="s">
        <v>128</v>
      </c>
      <c r="B122" s="1275"/>
      <c r="C122" s="1275"/>
      <c r="D122" s="1278"/>
      <c r="E122" s="1277"/>
      <c r="F122" s="1245"/>
      <c r="G122" s="1246"/>
      <c r="H122" s="1246"/>
      <c r="I122" s="1246"/>
      <c r="J122" s="1315"/>
      <c r="K122" s="1246"/>
      <c r="L122" s="1291"/>
      <c r="M122" s="1291"/>
      <c r="N122" s="1316"/>
      <c r="O122" s="1317"/>
      <c r="P122" s="1246"/>
      <c r="Q122" s="1246"/>
      <c r="R122" s="1246"/>
      <c r="S122" s="1345"/>
      <c r="T122" s="1345"/>
      <c r="U122" s="1345"/>
      <c r="V122" s="1345"/>
      <c r="W122" s="1346"/>
      <c r="X122" s="1317"/>
      <c r="Y122" s="1246"/>
      <c r="Z122" s="1246"/>
      <c r="AA122" s="1246"/>
      <c r="AB122" s="1345"/>
      <c r="AC122" s="1345"/>
      <c r="AD122" s="1345"/>
      <c r="AE122" s="1345"/>
      <c r="AF122" s="1346"/>
      <c r="AG122" s="1317"/>
      <c r="AH122" s="1246"/>
      <c r="AI122" s="1246"/>
      <c r="AJ122" s="1345"/>
      <c r="AK122" s="1345"/>
      <c r="AL122" s="1345"/>
      <c r="AM122" s="1345"/>
      <c r="AN122" s="1345"/>
      <c r="AO122" s="1346"/>
      <c r="AP122" s="1317"/>
      <c r="AQ122" s="1246"/>
      <c r="AR122" s="1246"/>
      <c r="AS122" s="1246"/>
      <c r="AT122" s="1345"/>
      <c r="AU122" s="1345"/>
      <c r="AV122" s="1345"/>
      <c r="AW122" s="1345"/>
      <c r="AX122" s="1346"/>
      <c r="AY122" s="1317"/>
      <c r="AZ122" s="1246"/>
      <c r="BA122" s="1246"/>
      <c r="BB122" s="1246"/>
      <c r="BC122" s="1345"/>
      <c r="BD122" s="1345"/>
      <c r="BE122" s="1345"/>
      <c r="BF122" s="1345"/>
      <c r="BG122" s="1346"/>
      <c r="BH122" s="1317"/>
      <c r="BI122" s="1246"/>
      <c r="BJ122" s="1246"/>
      <c r="BK122" s="1246"/>
      <c r="BL122" s="1345"/>
      <c r="BM122" s="1345"/>
      <c r="BN122" s="1345"/>
      <c r="BO122" s="1345"/>
      <c r="BP122" s="1346"/>
      <c r="BQ122" s="1317"/>
      <c r="BR122" s="1246"/>
      <c r="BS122" s="1246"/>
      <c r="BT122" s="1246"/>
      <c r="BU122" s="1345"/>
      <c r="BV122" s="1345"/>
      <c r="BW122" s="1345"/>
      <c r="BX122" s="1345"/>
      <c r="BY122" s="1346"/>
      <c r="BZ122" s="1317"/>
      <c r="CA122" s="1246"/>
      <c r="CB122" s="1246"/>
      <c r="CC122" s="1246"/>
      <c r="CD122" s="1246"/>
      <c r="CE122" s="1246"/>
      <c r="CF122" s="1345"/>
      <c r="CG122" s="1392"/>
      <c r="CH122" s="1393"/>
      <c r="CI122" s="1394">
        <f t="shared" si="28"/>
        <v>0</v>
      </c>
      <c r="CJ122" s="1435"/>
      <c r="CK122" s="1436"/>
      <c r="CL122" s="1437">
        <f t="shared" si="30"/>
        <v>0</v>
      </c>
      <c r="CM122" s="1438"/>
      <c r="CN122" s="1439">
        <f t="shared" si="29"/>
        <v>0</v>
      </c>
      <c r="CO122" s="1229"/>
      <c r="CP122" s="1229"/>
      <c r="CQ122" s="1229"/>
    </row>
    <row r="123" spans="1:95" ht="20.25">
      <c r="A123" s="1446" t="s">
        <v>128</v>
      </c>
      <c r="B123" s="1275"/>
      <c r="C123" s="1275"/>
      <c r="D123" s="1278"/>
      <c r="E123" s="1277"/>
      <c r="F123" s="1245"/>
      <c r="G123" s="1246"/>
      <c r="H123" s="1246"/>
      <c r="I123" s="1246"/>
      <c r="J123" s="1315"/>
      <c r="K123" s="1246"/>
      <c r="L123" s="1291"/>
      <c r="M123" s="1291"/>
      <c r="N123" s="1316"/>
      <c r="O123" s="1317"/>
      <c r="P123" s="1246"/>
      <c r="Q123" s="1246"/>
      <c r="R123" s="1246"/>
      <c r="S123" s="1345"/>
      <c r="T123" s="1345"/>
      <c r="U123" s="1345"/>
      <c r="V123" s="1345"/>
      <c r="W123" s="1346"/>
      <c r="X123" s="1317"/>
      <c r="Y123" s="1246"/>
      <c r="Z123" s="1246"/>
      <c r="AA123" s="1246"/>
      <c r="AB123" s="1345"/>
      <c r="AC123" s="1345"/>
      <c r="AD123" s="1345"/>
      <c r="AE123" s="1345"/>
      <c r="AF123" s="1346"/>
      <c r="AG123" s="1317"/>
      <c r="AH123" s="1246"/>
      <c r="AI123" s="1246"/>
      <c r="AJ123" s="1345"/>
      <c r="AK123" s="1345"/>
      <c r="AL123" s="1345"/>
      <c r="AM123" s="1345"/>
      <c r="AN123" s="1345"/>
      <c r="AO123" s="1346"/>
      <c r="AP123" s="1317"/>
      <c r="AQ123" s="1246"/>
      <c r="AR123" s="1246"/>
      <c r="AS123" s="1246"/>
      <c r="AT123" s="1345"/>
      <c r="AU123" s="1345"/>
      <c r="AV123" s="1345"/>
      <c r="AW123" s="1345"/>
      <c r="AX123" s="1346"/>
      <c r="AY123" s="1317"/>
      <c r="AZ123" s="1246"/>
      <c r="BA123" s="1246"/>
      <c r="BB123" s="1246"/>
      <c r="BC123" s="1345"/>
      <c r="BD123" s="1345"/>
      <c r="BE123" s="1345"/>
      <c r="BF123" s="1345"/>
      <c r="BG123" s="1346"/>
      <c r="BH123" s="1317"/>
      <c r="BI123" s="1246"/>
      <c r="BJ123" s="1246"/>
      <c r="BK123" s="1246"/>
      <c r="BL123" s="1345"/>
      <c r="BM123" s="1345"/>
      <c r="BN123" s="1345"/>
      <c r="BO123" s="1345"/>
      <c r="BP123" s="1346"/>
      <c r="BQ123" s="1317"/>
      <c r="BR123" s="1246"/>
      <c r="BS123" s="1246"/>
      <c r="BT123" s="1246"/>
      <c r="BU123" s="1345"/>
      <c r="BV123" s="1345"/>
      <c r="BW123" s="1345"/>
      <c r="BX123" s="1345"/>
      <c r="BY123" s="1346"/>
      <c r="BZ123" s="1317"/>
      <c r="CA123" s="1246"/>
      <c r="CB123" s="1246"/>
      <c r="CC123" s="1246"/>
      <c r="CD123" s="1246"/>
      <c r="CE123" s="1246"/>
      <c r="CF123" s="1345"/>
      <c r="CG123" s="1392"/>
      <c r="CH123" s="1393"/>
      <c r="CI123" s="1394">
        <f t="shared" si="28"/>
        <v>0</v>
      </c>
      <c r="CJ123" s="1435"/>
      <c r="CK123" s="1436"/>
      <c r="CL123" s="1437">
        <f t="shared" si="30"/>
        <v>0</v>
      </c>
      <c r="CM123" s="1438"/>
      <c r="CN123" s="1439">
        <f t="shared" si="29"/>
        <v>0</v>
      </c>
      <c r="CO123" s="1229"/>
      <c r="CP123" s="1229"/>
      <c r="CQ123" s="1229"/>
    </row>
    <row r="124" spans="1:95" ht="20.25">
      <c r="A124" s="1446" t="s">
        <v>128</v>
      </c>
      <c r="B124" s="1275"/>
      <c r="C124" s="1275"/>
      <c r="D124" s="1278"/>
      <c r="E124" s="1277"/>
      <c r="F124" s="1245"/>
      <c r="G124" s="1246"/>
      <c r="H124" s="1246"/>
      <c r="I124" s="1246"/>
      <c r="J124" s="1315"/>
      <c r="K124" s="1246"/>
      <c r="L124" s="1291"/>
      <c r="M124" s="1291"/>
      <c r="N124" s="1316"/>
      <c r="O124" s="1317"/>
      <c r="P124" s="1246"/>
      <c r="Q124" s="1246"/>
      <c r="R124" s="1246"/>
      <c r="S124" s="1345"/>
      <c r="T124" s="1345"/>
      <c r="U124" s="1345"/>
      <c r="V124" s="1345"/>
      <c r="W124" s="1346"/>
      <c r="X124" s="1317"/>
      <c r="Y124" s="1246"/>
      <c r="Z124" s="1246"/>
      <c r="AA124" s="1246"/>
      <c r="AB124" s="1345"/>
      <c r="AC124" s="1345"/>
      <c r="AD124" s="1345"/>
      <c r="AE124" s="1345"/>
      <c r="AF124" s="1346"/>
      <c r="AG124" s="1317"/>
      <c r="AH124" s="1246"/>
      <c r="AI124" s="1246"/>
      <c r="AJ124" s="1345"/>
      <c r="AK124" s="1345"/>
      <c r="AL124" s="1345"/>
      <c r="AM124" s="1345"/>
      <c r="AN124" s="1345"/>
      <c r="AO124" s="1346"/>
      <c r="AP124" s="1317"/>
      <c r="AQ124" s="1246"/>
      <c r="AR124" s="1246"/>
      <c r="AS124" s="1246"/>
      <c r="AT124" s="1345"/>
      <c r="AU124" s="1345"/>
      <c r="AV124" s="1345"/>
      <c r="AW124" s="1345"/>
      <c r="AX124" s="1346"/>
      <c r="AY124" s="1317"/>
      <c r="AZ124" s="1246"/>
      <c r="BA124" s="1246"/>
      <c r="BB124" s="1246"/>
      <c r="BC124" s="1345"/>
      <c r="BD124" s="1345"/>
      <c r="BE124" s="1345"/>
      <c r="BF124" s="1345"/>
      <c r="BG124" s="1346"/>
      <c r="BH124" s="1317"/>
      <c r="BI124" s="1246"/>
      <c r="BJ124" s="1246"/>
      <c r="BK124" s="1246"/>
      <c r="BL124" s="1345"/>
      <c r="BM124" s="1345"/>
      <c r="BN124" s="1345"/>
      <c r="BO124" s="1345"/>
      <c r="BP124" s="1346"/>
      <c r="BQ124" s="1317"/>
      <c r="BR124" s="1246"/>
      <c r="BS124" s="1246"/>
      <c r="BT124" s="1246"/>
      <c r="BU124" s="1345"/>
      <c r="BV124" s="1345"/>
      <c r="BW124" s="1345"/>
      <c r="BX124" s="1345"/>
      <c r="BY124" s="1346"/>
      <c r="BZ124" s="1317"/>
      <c r="CA124" s="1246"/>
      <c r="CB124" s="1246"/>
      <c r="CC124" s="1246"/>
      <c r="CD124" s="1246"/>
      <c r="CE124" s="1246"/>
      <c r="CF124" s="1345"/>
      <c r="CG124" s="1392"/>
      <c r="CH124" s="1393"/>
      <c r="CI124" s="1394">
        <f t="shared" si="28"/>
        <v>0</v>
      </c>
      <c r="CJ124" s="1435"/>
      <c r="CK124" s="1436"/>
      <c r="CL124" s="1437">
        <f t="shared" si="30"/>
        <v>0</v>
      </c>
      <c r="CM124" s="1438"/>
      <c r="CN124" s="1439">
        <f t="shared" si="29"/>
        <v>0</v>
      </c>
      <c r="CO124" s="1229"/>
      <c r="CP124" s="1229"/>
      <c r="CQ124" s="1229"/>
    </row>
    <row r="125" spans="1:95" ht="20.25">
      <c r="A125" s="1446" t="s">
        <v>128</v>
      </c>
      <c r="B125" s="1275"/>
      <c r="C125" s="1275"/>
      <c r="D125" s="1278"/>
      <c r="E125" s="1277"/>
      <c r="F125" s="1245"/>
      <c r="G125" s="1246"/>
      <c r="H125" s="1246"/>
      <c r="I125" s="1246"/>
      <c r="J125" s="1315"/>
      <c r="K125" s="1246"/>
      <c r="L125" s="1291"/>
      <c r="M125" s="1291"/>
      <c r="N125" s="1316"/>
      <c r="O125" s="1317"/>
      <c r="P125" s="1246"/>
      <c r="Q125" s="1246"/>
      <c r="R125" s="1246"/>
      <c r="S125" s="1345"/>
      <c r="T125" s="1345"/>
      <c r="U125" s="1345"/>
      <c r="V125" s="1345"/>
      <c r="W125" s="1346"/>
      <c r="X125" s="1317"/>
      <c r="Y125" s="1246"/>
      <c r="Z125" s="1246"/>
      <c r="AA125" s="1246"/>
      <c r="AB125" s="1345"/>
      <c r="AC125" s="1345"/>
      <c r="AD125" s="1345"/>
      <c r="AE125" s="1345"/>
      <c r="AF125" s="1346"/>
      <c r="AG125" s="1317"/>
      <c r="AH125" s="1246"/>
      <c r="AI125" s="1246"/>
      <c r="AJ125" s="1345"/>
      <c r="AK125" s="1345"/>
      <c r="AL125" s="1345"/>
      <c r="AM125" s="1345"/>
      <c r="AN125" s="1345"/>
      <c r="AO125" s="1346"/>
      <c r="AP125" s="1317"/>
      <c r="AQ125" s="1246"/>
      <c r="AR125" s="1246"/>
      <c r="AS125" s="1246"/>
      <c r="AT125" s="1345"/>
      <c r="AU125" s="1345"/>
      <c r="AV125" s="1345"/>
      <c r="AW125" s="1345"/>
      <c r="AX125" s="1346"/>
      <c r="AY125" s="1317"/>
      <c r="AZ125" s="1246"/>
      <c r="BA125" s="1246"/>
      <c r="BB125" s="1246"/>
      <c r="BC125" s="1345"/>
      <c r="BD125" s="1345"/>
      <c r="BE125" s="1345"/>
      <c r="BF125" s="1345"/>
      <c r="BG125" s="1346"/>
      <c r="BH125" s="1317"/>
      <c r="BI125" s="1246"/>
      <c r="BJ125" s="1246"/>
      <c r="BK125" s="1246"/>
      <c r="BL125" s="1345"/>
      <c r="BM125" s="1345"/>
      <c r="BN125" s="1345"/>
      <c r="BO125" s="1345"/>
      <c r="BP125" s="1346"/>
      <c r="BQ125" s="1317"/>
      <c r="BR125" s="1246"/>
      <c r="BS125" s="1246"/>
      <c r="BT125" s="1246"/>
      <c r="BU125" s="1345"/>
      <c r="BV125" s="1345"/>
      <c r="BW125" s="1345"/>
      <c r="BX125" s="1345"/>
      <c r="BY125" s="1346"/>
      <c r="BZ125" s="1317"/>
      <c r="CA125" s="1246"/>
      <c r="CB125" s="1246"/>
      <c r="CC125" s="1246"/>
      <c r="CD125" s="1246"/>
      <c r="CE125" s="1246"/>
      <c r="CF125" s="1345"/>
      <c r="CG125" s="1392"/>
      <c r="CH125" s="1393"/>
      <c r="CI125" s="1394">
        <f t="shared" si="28"/>
        <v>0</v>
      </c>
      <c r="CJ125" s="1435"/>
      <c r="CK125" s="1436"/>
      <c r="CL125" s="1437">
        <f t="shared" si="30"/>
        <v>0</v>
      </c>
      <c r="CM125" s="1438"/>
      <c r="CN125" s="1439">
        <f t="shared" si="29"/>
        <v>0</v>
      </c>
      <c r="CO125" s="1229"/>
      <c r="CP125" s="1229"/>
      <c r="CQ125" s="1229"/>
    </row>
    <row r="126" spans="1:95" ht="20.25">
      <c r="A126" s="1446" t="s">
        <v>128</v>
      </c>
      <c r="B126" s="1275"/>
      <c r="C126" s="1275"/>
      <c r="D126" s="1278"/>
      <c r="E126" s="1277"/>
      <c r="F126" s="1245"/>
      <c r="G126" s="1246"/>
      <c r="H126" s="1246"/>
      <c r="I126" s="1246"/>
      <c r="J126" s="1315"/>
      <c r="K126" s="1246"/>
      <c r="L126" s="1291"/>
      <c r="M126" s="1291"/>
      <c r="N126" s="1316"/>
      <c r="O126" s="1317"/>
      <c r="P126" s="1246"/>
      <c r="Q126" s="1246"/>
      <c r="R126" s="1246"/>
      <c r="S126" s="1345"/>
      <c r="T126" s="1345"/>
      <c r="U126" s="1345"/>
      <c r="V126" s="1345"/>
      <c r="W126" s="1346"/>
      <c r="X126" s="1317"/>
      <c r="Y126" s="1246"/>
      <c r="Z126" s="1246"/>
      <c r="AA126" s="1246"/>
      <c r="AB126" s="1345"/>
      <c r="AC126" s="1345"/>
      <c r="AD126" s="1345"/>
      <c r="AE126" s="1345"/>
      <c r="AF126" s="1346"/>
      <c r="AG126" s="1317"/>
      <c r="AH126" s="1246"/>
      <c r="AI126" s="1246"/>
      <c r="AJ126" s="1345"/>
      <c r="AK126" s="1345"/>
      <c r="AL126" s="1345"/>
      <c r="AM126" s="1345"/>
      <c r="AN126" s="1345"/>
      <c r="AO126" s="1346"/>
      <c r="AP126" s="1317"/>
      <c r="AQ126" s="1246"/>
      <c r="AR126" s="1246"/>
      <c r="AS126" s="1246"/>
      <c r="AT126" s="1345"/>
      <c r="AU126" s="1345"/>
      <c r="AV126" s="1345"/>
      <c r="AW126" s="1345"/>
      <c r="AX126" s="1346"/>
      <c r="AY126" s="1317"/>
      <c r="AZ126" s="1246"/>
      <c r="BA126" s="1246"/>
      <c r="BB126" s="1246"/>
      <c r="BC126" s="1345"/>
      <c r="BD126" s="1345"/>
      <c r="BE126" s="1345"/>
      <c r="BF126" s="1345"/>
      <c r="BG126" s="1346"/>
      <c r="BH126" s="1317"/>
      <c r="BI126" s="1246"/>
      <c r="BJ126" s="1246"/>
      <c r="BK126" s="1246"/>
      <c r="BL126" s="1345"/>
      <c r="BM126" s="1345"/>
      <c r="BN126" s="1345"/>
      <c r="BO126" s="1345"/>
      <c r="BP126" s="1346"/>
      <c r="BQ126" s="1317"/>
      <c r="BR126" s="1246"/>
      <c r="BS126" s="1246"/>
      <c r="BT126" s="1246"/>
      <c r="BU126" s="1345"/>
      <c r="BV126" s="1345"/>
      <c r="BW126" s="1345"/>
      <c r="BX126" s="1345"/>
      <c r="BY126" s="1346"/>
      <c r="BZ126" s="1317"/>
      <c r="CA126" s="1246"/>
      <c r="CB126" s="1246"/>
      <c r="CC126" s="1246"/>
      <c r="CD126" s="1246"/>
      <c r="CE126" s="1246"/>
      <c r="CF126" s="1345"/>
      <c r="CG126" s="1392"/>
      <c r="CH126" s="1393"/>
      <c r="CI126" s="1394">
        <f t="shared" si="28"/>
        <v>0</v>
      </c>
      <c r="CJ126" s="1435"/>
      <c r="CK126" s="1436"/>
      <c r="CL126" s="1437">
        <f t="shared" si="30"/>
        <v>0</v>
      </c>
      <c r="CM126" s="1438"/>
      <c r="CN126" s="1439">
        <f t="shared" si="29"/>
        <v>0</v>
      </c>
      <c r="CO126" s="1229"/>
      <c r="CP126" s="1229"/>
      <c r="CQ126" s="1229"/>
    </row>
    <row r="127" spans="1:95" ht="20.25">
      <c r="A127" s="1446" t="s">
        <v>128</v>
      </c>
      <c r="B127" s="1275"/>
      <c r="C127" s="1275"/>
      <c r="D127" s="1278"/>
      <c r="E127" s="1277"/>
      <c r="F127" s="1245"/>
      <c r="G127" s="1246"/>
      <c r="H127" s="1246"/>
      <c r="I127" s="1246"/>
      <c r="J127" s="1315"/>
      <c r="K127" s="1246"/>
      <c r="L127" s="1291"/>
      <c r="M127" s="1291"/>
      <c r="N127" s="1316"/>
      <c r="O127" s="1317"/>
      <c r="P127" s="1246"/>
      <c r="Q127" s="1246"/>
      <c r="R127" s="1246"/>
      <c r="S127" s="1345"/>
      <c r="T127" s="1345"/>
      <c r="U127" s="1345"/>
      <c r="V127" s="1345"/>
      <c r="W127" s="1346"/>
      <c r="X127" s="1317"/>
      <c r="Y127" s="1246"/>
      <c r="Z127" s="1246"/>
      <c r="AA127" s="1246"/>
      <c r="AB127" s="1345"/>
      <c r="AC127" s="1345"/>
      <c r="AD127" s="1345"/>
      <c r="AE127" s="1345"/>
      <c r="AF127" s="1346"/>
      <c r="AG127" s="1317"/>
      <c r="AH127" s="1246"/>
      <c r="AI127" s="1246"/>
      <c r="AJ127" s="1345"/>
      <c r="AK127" s="1345"/>
      <c r="AL127" s="1345"/>
      <c r="AM127" s="1345"/>
      <c r="AN127" s="1345"/>
      <c r="AO127" s="1346"/>
      <c r="AP127" s="1317"/>
      <c r="AQ127" s="1246"/>
      <c r="AR127" s="1246"/>
      <c r="AS127" s="1246"/>
      <c r="AT127" s="1345"/>
      <c r="AU127" s="1345"/>
      <c r="AV127" s="1345"/>
      <c r="AW127" s="1345"/>
      <c r="AX127" s="1346"/>
      <c r="AY127" s="1317"/>
      <c r="AZ127" s="1246"/>
      <c r="BA127" s="1246"/>
      <c r="BB127" s="1246"/>
      <c r="BC127" s="1345"/>
      <c r="BD127" s="1345"/>
      <c r="BE127" s="1345"/>
      <c r="BF127" s="1345"/>
      <c r="BG127" s="1346"/>
      <c r="BH127" s="1317"/>
      <c r="BI127" s="1246"/>
      <c r="BJ127" s="1246"/>
      <c r="BK127" s="1246"/>
      <c r="BL127" s="1345"/>
      <c r="BM127" s="1345"/>
      <c r="BN127" s="1345"/>
      <c r="BO127" s="1345"/>
      <c r="BP127" s="1346"/>
      <c r="BQ127" s="1317"/>
      <c r="BR127" s="1246"/>
      <c r="BS127" s="1246"/>
      <c r="BT127" s="1246"/>
      <c r="BU127" s="1345"/>
      <c r="BV127" s="1345"/>
      <c r="BW127" s="1345"/>
      <c r="BX127" s="1345"/>
      <c r="BY127" s="1346"/>
      <c r="BZ127" s="1317"/>
      <c r="CA127" s="1246"/>
      <c r="CB127" s="1246"/>
      <c r="CC127" s="1246"/>
      <c r="CD127" s="1246"/>
      <c r="CE127" s="1246"/>
      <c r="CF127" s="1345"/>
      <c r="CG127" s="1392"/>
      <c r="CH127" s="1393"/>
      <c r="CI127" s="1394">
        <f t="shared" si="28"/>
        <v>0</v>
      </c>
      <c r="CJ127" s="1435"/>
      <c r="CK127" s="1436"/>
      <c r="CL127" s="1437">
        <f t="shared" si="30"/>
        <v>0</v>
      </c>
      <c r="CM127" s="1438"/>
      <c r="CN127" s="1439">
        <f t="shared" si="29"/>
        <v>0</v>
      </c>
      <c r="CO127" s="1229"/>
      <c r="CP127" s="1229"/>
      <c r="CQ127" s="1229"/>
    </row>
    <row r="128" spans="1:95" ht="20.25">
      <c r="A128" s="1446" t="s">
        <v>128</v>
      </c>
      <c r="B128" s="1275"/>
      <c r="C128" s="1275"/>
      <c r="D128" s="1278"/>
      <c r="E128" s="1277"/>
      <c r="F128" s="1245"/>
      <c r="G128" s="1246"/>
      <c r="H128" s="1246"/>
      <c r="I128" s="1246"/>
      <c r="J128" s="1315"/>
      <c r="K128" s="1246"/>
      <c r="L128" s="1291"/>
      <c r="M128" s="1291"/>
      <c r="N128" s="1316"/>
      <c r="O128" s="1317"/>
      <c r="P128" s="1246"/>
      <c r="Q128" s="1246"/>
      <c r="R128" s="1246"/>
      <c r="S128" s="1345"/>
      <c r="T128" s="1345"/>
      <c r="U128" s="1345"/>
      <c r="V128" s="1345"/>
      <c r="W128" s="1346"/>
      <c r="X128" s="1317"/>
      <c r="Y128" s="1246"/>
      <c r="Z128" s="1246"/>
      <c r="AA128" s="1246"/>
      <c r="AB128" s="1345"/>
      <c r="AC128" s="1345"/>
      <c r="AD128" s="1345"/>
      <c r="AE128" s="1345"/>
      <c r="AF128" s="1346"/>
      <c r="AG128" s="1317"/>
      <c r="AH128" s="1246"/>
      <c r="AI128" s="1246"/>
      <c r="AJ128" s="1345"/>
      <c r="AK128" s="1345"/>
      <c r="AL128" s="1345"/>
      <c r="AM128" s="1345"/>
      <c r="AN128" s="1345"/>
      <c r="AO128" s="1346"/>
      <c r="AP128" s="1317"/>
      <c r="AQ128" s="1246"/>
      <c r="AR128" s="1246"/>
      <c r="AS128" s="1246"/>
      <c r="AT128" s="1345"/>
      <c r="AU128" s="1345"/>
      <c r="AV128" s="1345"/>
      <c r="AW128" s="1345"/>
      <c r="AX128" s="1346"/>
      <c r="AY128" s="1317"/>
      <c r="AZ128" s="1246"/>
      <c r="BA128" s="1246"/>
      <c r="BB128" s="1246"/>
      <c r="BC128" s="1345"/>
      <c r="BD128" s="1345"/>
      <c r="BE128" s="1345"/>
      <c r="BF128" s="1345"/>
      <c r="BG128" s="1346"/>
      <c r="BH128" s="1317"/>
      <c r="BI128" s="1246"/>
      <c r="BJ128" s="1246"/>
      <c r="BK128" s="1246"/>
      <c r="BL128" s="1345"/>
      <c r="BM128" s="1345"/>
      <c r="BN128" s="1345"/>
      <c r="BO128" s="1345"/>
      <c r="BP128" s="1346"/>
      <c r="BQ128" s="1317"/>
      <c r="BR128" s="1246"/>
      <c r="BS128" s="1246"/>
      <c r="BT128" s="1246"/>
      <c r="BU128" s="1345"/>
      <c r="BV128" s="1345"/>
      <c r="BW128" s="1345"/>
      <c r="BX128" s="1345"/>
      <c r="BY128" s="1346"/>
      <c r="BZ128" s="1317"/>
      <c r="CA128" s="1246"/>
      <c r="CB128" s="1246"/>
      <c r="CC128" s="1246"/>
      <c r="CD128" s="1246"/>
      <c r="CE128" s="1246"/>
      <c r="CF128" s="1345"/>
      <c r="CG128" s="1392"/>
      <c r="CH128" s="1393"/>
      <c r="CI128" s="1394">
        <f t="shared" si="28"/>
        <v>0</v>
      </c>
      <c r="CJ128" s="1435"/>
      <c r="CK128" s="1436"/>
      <c r="CL128" s="1437">
        <f t="shared" si="30"/>
        <v>0</v>
      </c>
      <c r="CM128" s="1438"/>
      <c r="CN128" s="1439">
        <f t="shared" si="29"/>
        <v>0</v>
      </c>
      <c r="CO128" s="1229"/>
      <c r="CP128" s="1229"/>
      <c r="CQ128" s="1229"/>
    </row>
    <row r="129" spans="1:95" ht="20.25">
      <c r="A129" s="1446" t="s">
        <v>128</v>
      </c>
      <c r="B129" s="1275"/>
      <c r="C129" s="1275"/>
      <c r="D129" s="1278"/>
      <c r="E129" s="1277"/>
      <c r="F129" s="1245"/>
      <c r="G129" s="1246"/>
      <c r="H129" s="1246"/>
      <c r="I129" s="1246"/>
      <c r="J129" s="1315"/>
      <c r="K129" s="1246"/>
      <c r="L129" s="1291"/>
      <c r="M129" s="1291"/>
      <c r="N129" s="1316"/>
      <c r="O129" s="1317"/>
      <c r="P129" s="1246"/>
      <c r="Q129" s="1246"/>
      <c r="R129" s="1246"/>
      <c r="S129" s="1345"/>
      <c r="T129" s="1345"/>
      <c r="U129" s="1345"/>
      <c r="V129" s="1345"/>
      <c r="W129" s="1346"/>
      <c r="X129" s="1317"/>
      <c r="Y129" s="1246"/>
      <c r="Z129" s="1246"/>
      <c r="AA129" s="1246"/>
      <c r="AB129" s="1345"/>
      <c r="AC129" s="1345"/>
      <c r="AD129" s="1345"/>
      <c r="AE129" s="1345"/>
      <c r="AF129" s="1346"/>
      <c r="AG129" s="1317"/>
      <c r="AH129" s="1246"/>
      <c r="AI129" s="1246"/>
      <c r="AJ129" s="1345"/>
      <c r="AK129" s="1345"/>
      <c r="AL129" s="1345"/>
      <c r="AM129" s="1345"/>
      <c r="AN129" s="1345"/>
      <c r="AO129" s="1346"/>
      <c r="AP129" s="1317"/>
      <c r="AQ129" s="1246"/>
      <c r="AR129" s="1246"/>
      <c r="AS129" s="1246"/>
      <c r="AT129" s="1345"/>
      <c r="AU129" s="1345"/>
      <c r="AV129" s="1345"/>
      <c r="AW129" s="1345"/>
      <c r="AX129" s="1346"/>
      <c r="AY129" s="1317"/>
      <c r="AZ129" s="1246"/>
      <c r="BA129" s="1246"/>
      <c r="BB129" s="1246"/>
      <c r="BC129" s="1345"/>
      <c r="BD129" s="1345"/>
      <c r="BE129" s="1345"/>
      <c r="BF129" s="1345"/>
      <c r="BG129" s="1346"/>
      <c r="BH129" s="1317"/>
      <c r="BI129" s="1246"/>
      <c r="BJ129" s="1246"/>
      <c r="BK129" s="1246"/>
      <c r="BL129" s="1345"/>
      <c r="BM129" s="1345"/>
      <c r="BN129" s="1345"/>
      <c r="BO129" s="1345"/>
      <c r="BP129" s="1346"/>
      <c r="BQ129" s="1317"/>
      <c r="BR129" s="1246"/>
      <c r="BS129" s="1246"/>
      <c r="BT129" s="1246"/>
      <c r="BU129" s="1345"/>
      <c r="BV129" s="1345"/>
      <c r="BW129" s="1345"/>
      <c r="BX129" s="1345"/>
      <c r="BY129" s="1346"/>
      <c r="BZ129" s="1317"/>
      <c r="CA129" s="1246"/>
      <c r="CB129" s="1246"/>
      <c r="CC129" s="1246"/>
      <c r="CD129" s="1246"/>
      <c r="CE129" s="1246"/>
      <c r="CF129" s="1345"/>
      <c r="CG129" s="1392"/>
      <c r="CH129" s="1393"/>
      <c r="CI129" s="1394">
        <f t="shared" si="28"/>
        <v>0</v>
      </c>
      <c r="CJ129" s="1435"/>
      <c r="CK129" s="1436"/>
      <c r="CL129" s="1437">
        <f t="shared" si="30"/>
        <v>0</v>
      </c>
      <c r="CM129" s="1438"/>
      <c r="CN129" s="1439">
        <f t="shared" si="29"/>
        <v>0</v>
      </c>
      <c r="CO129" s="1229"/>
      <c r="CP129" s="1229"/>
      <c r="CQ129" s="1229"/>
    </row>
    <row r="130" spans="1:95" ht="20.25">
      <c r="A130" s="1446" t="s">
        <v>128</v>
      </c>
      <c r="B130" s="1275"/>
      <c r="C130" s="1275"/>
      <c r="D130" s="1278"/>
      <c r="E130" s="1277"/>
      <c r="F130" s="1245"/>
      <c r="G130" s="1246"/>
      <c r="H130" s="1246"/>
      <c r="I130" s="1246"/>
      <c r="J130" s="1315"/>
      <c r="K130" s="1246"/>
      <c r="L130" s="1291"/>
      <c r="M130" s="1291"/>
      <c r="N130" s="1316"/>
      <c r="O130" s="1317"/>
      <c r="P130" s="1246"/>
      <c r="Q130" s="1246"/>
      <c r="R130" s="1246"/>
      <c r="S130" s="1345"/>
      <c r="T130" s="1345"/>
      <c r="U130" s="1345"/>
      <c r="V130" s="1345"/>
      <c r="W130" s="1346"/>
      <c r="X130" s="1317"/>
      <c r="Y130" s="1246"/>
      <c r="Z130" s="1246"/>
      <c r="AA130" s="1246"/>
      <c r="AB130" s="1345"/>
      <c r="AC130" s="1345"/>
      <c r="AD130" s="1345"/>
      <c r="AE130" s="1345"/>
      <c r="AF130" s="1346"/>
      <c r="AG130" s="1317"/>
      <c r="AH130" s="1246"/>
      <c r="AI130" s="1246"/>
      <c r="AJ130" s="1345"/>
      <c r="AK130" s="1345"/>
      <c r="AL130" s="1345"/>
      <c r="AM130" s="1345"/>
      <c r="AN130" s="1345"/>
      <c r="AO130" s="1346"/>
      <c r="AP130" s="1317"/>
      <c r="AQ130" s="1246"/>
      <c r="AR130" s="1246"/>
      <c r="AS130" s="1246"/>
      <c r="AT130" s="1345"/>
      <c r="AU130" s="1345"/>
      <c r="AV130" s="1345"/>
      <c r="AW130" s="1345"/>
      <c r="AX130" s="1346"/>
      <c r="AY130" s="1317"/>
      <c r="AZ130" s="1246"/>
      <c r="BA130" s="1246"/>
      <c r="BB130" s="1246"/>
      <c r="BC130" s="1345"/>
      <c r="BD130" s="1345"/>
      <c r="BE130" s="1345"/>
      <c r="BF130" s="1345"/>
      <c r="BG130" s="1346"/>
      <c r="BH130" s="1317"/>
      <c r="BI130" s="1246"/>
      <c r="BJ130" s="1246"/>
      <c r="BK130" s="1246"/>
      <c r="BL130" s="1345"/>
      <c r="BM130" s="1345"/>
      <c r="BN130" s="1345"/>
      <c r="BO130" s="1345"/>
      <c r="BP130" s="1346"/>
      <c r="BQ130" s="1317"/>
      <c r="BR130" s="1246"/>
      <c r="BS130" s="1246"/>
      <c r="BT130" s="1246"/>
      <c r="BU130" s="1345"/>
      <c r="BV130" s="1345"/>
      <c r="BW130" s="1345"/>
      <c r="BX130" s="1345"/>
      <c r="BY130" s="1346"/>
      <c r="BZ130" s="1317"/>
      <c r="CA130" s="1246"/>
      <c r="CB130" s="1246"/>
      <c r="CC130" s="1246"/>
      <c r="CD130" s="1246"/>
      <c r="CE130" s="1246"/>
      <c r="CF130" s="1345"/>
      <c r="CG130" s="1392"/>
      <c r="CH130" s="1393"/>
      <c r="CI130" s="1394">
        <f t="shared" si="28"/>
        <v>0</v>
      </c>
      <c r="CJ130" s="1435"/>
      <c r="CK130" s="1436"/>
      <c r="CL130" s="1437">
        <f t="shared" si="30"/>
        <v>0</v>
      </c>
      <c r="CM130" s="1438"/>
      <c r="CN130" s="1439">
        <f t="shared" si="29"/>
        <v>0</v>
      </c>
      <c r="CO130" s="1229"/>
      <c r="CP130" s="1229"/>
      <c r="CQ130" s="1229"/>
    </row>
    <row r="131" spans="1:95" ht="20.25">
      <c r="A131" s="1446" t="s">
        <v>128</v>
      </c>
      <c r="B131" s="1275"/>
      <c r="C131" s="1275"/>
      <c r="D131" s="1278"/>
      <c r="E131" s="1277"/>
      <c r="F131" s="1245"/>
      <c r="G131" s="1246"/>
      <c r="H131" s="1246"/>
      <c r="I131" s="1246"/>
      <c r="J131" s="1315"/>
      <c r="K131" s="1246"/>
      <c r="L131" s="1291"/>
      <c r="M131" s="1291"/>
      <c r="N131" s="1316"/>
      <c r="O131" s="1317"/>
      <c r="P131" s="1246"/>
      <c r="Q131" s="1246"/>
      <c r="R131" s="1246"/>
      <c r="S131" s="1345"/>
      <c r="T131" s="1345"/>
      <c r="U131" s="1345"/>
      <c r="V131" s="1345"/>
      <c r="W131" s="1346"/>
      <c r="X131" s="1317"/>
      <c r="Y131" s="1246"/>
      <c r="Z131" s="1246"/>
      <c r="AA131" s="1246"/>
      <c r="AB131" s="1345"/>
      <c r="AC131" s="1345"/>
      <c r="AD131" s="1345"/>
      <c r="AE131" s="1345"/>
      <c r="AF131" s="1346"/>
      <c r="AG131" s="1317"/>
      <c r="AH131" s="1246"/>
      <c r="AI131" s="1246"/>
      <c r="AJ131" s="1345"/>
      <c r="AK131" s="1345"/>
      <c r="AL131" s="1345"/>
      <c r="AM131" s="1345"/>
      <c r="AN131" s="1345"/>
      <c r="AO131" s="1346"/>
      <c r="AP131" s="1317"/>
      <c r="AQ131" s="1246"/>
      <c r="AR131" s="1246"/>
      <c r="AS131" s="1246"/>
      <c r="AT131" s="1345"/>
      <c r="AU131" s="1345"/>
      <c r="AV131" s="1345"/>
      <c r="AW131" s="1345"/>
      <c r="AX131" s="1346"/>
      <c r="AY131" s="1317"/>
      <c r="AZ131" s="1246"/>
      <c r="BA131" s="1246"/>
      <c r="BB131" s="1246"/>
      <c r="BC131" s="1345"/>
      <c r="BD131" s="1345"/>
      <c r="BE131" s="1345"/>
      <c r="BF131" s="1345"/>
      <c r="BG131" s="1346"/>
      <c r="BH131" s="1317"/>
      <c r="BI131" s="1246"/>
      <c r="BJ131" s="1246"/>
      <c r="BK131" s="1246"/>
      <c r="BL131" s="1345"/>
      <c r="BM131" s="1345"/>
      <c r="BN131" s="1345"/>
      <c r="BO131" s="1345"/>
      <c r="BP131" s="1346"/>
      <c r="BQ131" s="1317"/>
      <c r="BR131" s="1246"/>
      <c r="BS131" s="1246"/>
      <c r="BT131" s="1246"/>
      <c r="BU131" s="1345"/>
      <c r="BV131" s="1345"/>
      <c r="BW131" s="1345"/>
      <c r="BX131" s="1345"/>
      <c r="BY131" s="1346"/>
      <c r="BZ131" s="1317"/>
      <c r="CA131" s="1246"/>
      <c r="CB131" s="1246"/>
      <c r="CC131" s="1246"/>
      <c r="CD131" s="1246"/>
      <c r="CE131" s="1246"/>
      <c r="CF131" s="1345"/>
      <c r="CG131" s="1392"/>
      <c r="CH131" s="1393"/>
      <c r="CI131" s="1394">
        <f t="shared" si="28"/>
        <v>0</v>
      </c>
      <c r="CJ131" s="1435"/>
      <c r="CK131" s="1436"/>
      <c r="CL131" s="1437">
        <f t="shared" si="30"/>
        <v>0</v>
      </c>
      <c r="CM131" s="1438"/>
      <c r="CN131" s="1439">
        <f t="shared" si="29"/>
        <v>0</v>
      </c>
      <c r="CO131" s="1229"/>
      <c r="CP131" s="1229"/>
      <c r="CQ131" s="1229"/>
    </row>
    <row r="132" spans="1:95" ht="20.25">
      <c r="A132" s="1446" t="s">
        <v>128</v>
      </c>
      <c r="B132" s="1275"/>
      <c r="C132" s="1275"/>
      <c r="D132" s="1278"/>
      <c r="E132" s="1277"/>
      <c r="F132" s="1245"/>
      <c r="G132" s="1246"/>
      <c r="H132" s="1246"/>
      <c r="I132" s="1246"/>
      <c r="J132" s="1315"/>
      <c r="K132" s="1246"/>
      <c r="L132" s="1291"/>
      <c r="M132" s="1291"/>
      <c r="N132" s="1316"/>
      <c r="O132" s="1317"/>
      <c r="P132" s="1246"/>
      <c r="Q132" s="1246"/>
      <c r="R132" s="1246"/>
      <c r="S132" s="1345"/>
      <c r="T132" s="1345"/>
      <c r="U132" s="1345"/>
      <c r="V132" s="1345"/>
      <c r="W132" s="1346"/>
      <c r="X132" s="1317"/>
      <c r="Y132" s="1246"/>
      <c r="Z132" s="1246"/>
      <c r="AA132" s="1246"/>
      <c r="AB132" s="1345"/>
      <c r="AC132" s="1345"/>
      <c r="AD132" s="1345"/>
      <c r="AE132" s="1345"/>
      <c r="AF132" s="1346"/>
      <c r="AG132" s="1317"/>
      <c r="AH132" s="1246"/>
      <c r="AI132" s="1246"/>
      <c r="AJ132" s="1345"/>
      <c r="AK132" s="1345"/>
      <c r="AL132" s="1345"/>
      <c r="AM132" s="1345"/>
      <c r="AN132" s="1345"/>
      <c r="AO132" s="1346"/>
      <c r="AP132" s="1317"/>
      <c r="AQ132" s="1246"/>
      <c r="AR132" s="1246"/>
      <c r="AS132" s="1246"/>
      <c r="AT132" s="1345"/>
      <c r="AU132" s="1345"/>
      <c r="AV132" s="1345"/>
      <c r="AW132" s="1345"/>
      <c r="AX132" s="1346"/>
      <c r="AY132" s="1317"/>
      <c r="AZ132" s="1246"/>
      <c r="BA132" s="1246"/>
      <c r="BB132" s="1246"/>
      <c r="BC132" s="1345"/>
      <c r="BD132" s="1345"/>
      <c r="BE132" s="1345"/>
      <c r="BF132" s="1345"/>
      <c r="BG132" s="1346"/>
      <c r="BH132" s="1317"/>
      <c r="BI132" s="1246"/>
      <c r="BJ132" s="1246"/>
      <c r="BK132" s="1246"/>
      <c r="BL132" s="1345"/>
      <c r="BM132" s="1345"/>
      <c r="BN132" s="1345"/>
      <c r="BO132" s="1345"/>
      <c r="BP132" s="1346"/>
      <c r="BQ132" s="1317"/>
      <c r="BR132" s="1246"/>
      <c r="BS132" s="1246"/>
      <c r="BT132" s="1246"/>
      <c r="BU132" s="1345"/>
      <c r="BV132" s="1345"/>
      <c r="BW132" s="1345"/>
      <c r="BX132" s="1345"/>
      <c r="BY132" s="1346"/>
      <c r="BZ132" s="1317"/>
      <c r="CA132" s="1246"/>
      <c r="CB132" s="1246"/>
      <c r="CC132" s="1246"/>
      <c r="CD132" s="1246"/>
      <c r="CE132" s="1246"/>
      <c r="CF132" s="1345"/>
      <c r="CG132" s="1392"/>
      <c r="CH132" s="1393"/>
      <c r="CI132" s="1394">
        <f t="shared" si="28"/>
        <v>0</v>
      </c>
      <c r="CJ132" s="1435"/>
      <c r="CK132" s="1436"/>
      <c r="CL132" s="1437">
        <f t="shared" si="30"/>
        <v>0</v>
      </c>
      <c r="CM132" s="1438"/>
      <c r="CN132" s="1439">
        <f t="shared" si="29"/>
        <v>0</v>
      </c>
      <c r="CO132" s="1229"/>
      <c r="CP132" s="1229"/>
      <c r="CQ132" s="1229"/>
    </row>
    <row r="133" spans="1:95" ht="20.25">
      <c r="A133" s="1446" t="s">
        <v>128</v>
      </c>
      <c r="B133" s="1275"/>
      <c r="C133" s="1275"/>
      <c r="D133" s="1278"/>
      <c r="E133" s="1277"/>
      <c r="F133" s="1245"/>
      <c r="G133" s="1246"/>
      <c r="H133" s="1246"/>
      <c r="I133" s="1246"/>
      <c r="J133" s="1315"/>
      <c r="K133" s="1246"/>
      <c r="L133" s="1291"/>
      <c r="M133" s="1291"/>
      <c r="N133" s="1316"/>
      <c r="O133" s="1317"/>
      <c r="P133" s="1246"/>
      <c r="Q133" s="1246"/>
      <c r="R133" s="1246"/>
      <c r="S133" s="1345"/>
      <c r="T133" s="1345"/>
      <c r="U133" s="1345"/>
      <c r="V133" s="1345"/>
      <c r="W133" s="1346"/>
      <c r="X133" s="1317"/>
      <c r="Y133" s="1246"/>
      <c r="Z133" s="1246"/>
      <c r="AA133" s="1246"/>
      <c r="AB133" s="1345"/>
      <c r="AC133" s="1345"/>
      <c r="AD133" s="1345"/>
      <c r="AE133" s="1345"/>
      <c r="AF133" s="1346"/>
      <c r="AG133" s="1317"/>
      <c r="AH133" s="1246"/>
      <c r="AI133" s="1246"/>
      <c r="AJ133" s="1345"/>
      <c r="AK133" s="1345"/>
      <c r="AL133" s="1345"/>
      <c r="AM133" s="1345"/>
      <c r="AN133" s="1345"/>
      <c r="AO133" s="1346"/>
      <c r="AP133" s="1317"/>
      <c r="AQ133" s="1246"/>
      <c r="AR133" s="1246"/>
      <c r="AS133" s="1246"/>
      <c r="AT133" s="1345"/>
      <c r="AU133" s="1345"/>
      <c r="AV133" s="1345"/>
      <c r="AW133" s="1345"/>
      <c r="AX133" s="1346"/>
      <c r="AY133" s="1317"/>
      <c r="AZ133" s="1246"/>
      <c r="BA133" s="1246"/>
      <c r="BB133" s="1246"/>
      <c r="BC133" s="1345"/>
      <c r="BD133" s="1345"/>
      <c r="BE133" s="1345"/>
      <c r="BF133" s="1345"/>
      <c r="BG133" s="1346"/>
      <c r="BH133" s="1317"/>
      <c r="BI133" s="1246"/>
      <c r="BJ133" s="1246"/>
      <c r="BK133" s="1246"/>
      <c r="BL133" s="1345"/>
      <c r="BM133" s="1345"/>
      <c r="BN133" s="1345"/>
      <c r="BO133" s="1345"/>
      <c r="BP133" s="1346"/>
      <c r="BQ133" s="1317"/>
      <c r="BR133" s="1246"/>
      <c r="BS133" s="1246"/>
      <c r="BT133" s="1246"/>
      <c r="BU133" s="1345"/>
      <c r="BV133" s="1345"/>
      <c r="BW133" s="1345"/>
      <c r="BX133" s="1345"/>
      <c r="BY133" s="1346"/>
      <c r="BZ133" s="1317"/>
      <c r="CA133" s="1246"/>
      <c r="CB133" s="1246"/>
      <c r="CC133" s="1246"/>
      <c r="CD133" s="1246"/>
      <c r="CE133" s="1246"/>
      <c r="CF133" s="1345"/>
      <c r="CG133" s="1392"/>
      <c r="CH133" s="1393"/>
      <c r="CI133" s="1394">
        <f t="shared" si="28"/>
        <v>0</v>
      </c>
      <c r="CJ133" s="1435"/>
      <c r="CK133" s="1436"/>
      <c r="CL133" s="1437">
        <f t="shared" si="30"/>
        <v>0</v>
      </c>
      <c r="CM133" s="1438"/>
      <c r="CN133" s="1439">
        <f t="shared" si="29"/>
        <v>0</v>
      </c>
      <c r="CO133" s="1229"/>
      <c r="CP133" s="1229"/>
      <c r="CQ133" s="1229"/>
    </row>
    <row r="134" spans="1:95" ht="20.25">
      <c r="A134" s="1446" t="s">
        <v>128</v>
      </c>
      <c r="B134" s="1275"/>
      <c r="C134" s="1275"/>
      <c r="D134" s="1278"/>
      <c r="E134" s="1277"/>
      <c r="F134" s="1245"/>
      <c r="G134" s="1246"/>
      <c r="H134" s="1246"/>
      <c r="I134" s="1246"/>
      <c r="J134" s="1315"/>
      <c r="K134" s="1246"/>
      <c r="L134" s="1291"/>
      <c r="M134" s="1291"/>
      <c r="N134" s="1316"/>
      <c r="O134" s="1317"/>
      <c r="P134" s="1246"/>
      <c r="Q134" s="1246"/>
      <c r="R134" s="1246"/>
      <c r="S134" s="1345"/>
      <c r="T134" s="1345"/>
      <c r="U134" s="1345"/>
      <c r="V134" s="1345"/>
      <c r="W134" s="1346"/>
      <c r="X134" s="1317"/>
      <c r="Y134" s="1246"/>
      <c r="Z134" s="1246"/>
      <c r="AA134" s="1246"/>
      <c r="AB134" s="1345"/>
      <c r="AC134" s="1345"/>
      <c r="AD134" s="1345"/>
      <c r="AE134" s="1345"/>
      <c r="AF134" s="1346"/>
      <c r="AG134" s="1317"/>
      <c r="AH134" s="1246"/>
      <c r="AI134" s="1246"/>
      <c r="AJ134" s="1345"/>
      <c r="AK134" s="1345"/>
      <c r="AL134" s="1345"/>
      <c r="AM134" s="1345"/>
      <c r="AN134" s="1345"/>
      <c r="AO134" s="1346"/>
      <c r="AP134" s="1317"/>
      <c r="AQ134" s="1246"/>
      <c r="AR134" s="1246"/>
      <c r="AS134" s="1246"/>
      <c r="AT134" s="1345"/>
      <c r="AU134" s="1345"/>
      <c r="AV134" s="1345"/>
      <c r="AW134" s="1345"/>
      <c r="AX134" s="1346"/>
      <c r="AY134" s="1317"/>
      <c r="AZ134" s="1246"/>
      <c r="BA134" s="1246"/>
      <c r="BB134" s="1246"/>
      <c r="BC134" s="1345"/>
      <c r="BD134" s="1345"/>
      <c r="BE134" s="1345"/>
      <c r="BF134" s="1345"/>
      <c r="BG134" s="1346"/>
      <c r="BH134" s="1317"/>
      <c r="BI134" s="1246"/>
      <c r="BJ134" s="1246"/>
      <c r="BK134" s="1246"/>
      <c r="BL134" s="1345"/>
      <c r="BM134" s="1345"/>
      <c r="BN134" s="1345"/>
      <c r="BO134" s="1345"/>
      <c r="BP134" s="1346"/>
      <c r="BQ134" s="1317"/>
      <c r="BR134" s="1246"/>
      <c r="BS134" s="1246"/>
      <c r="BT134" s="1246"/>
      <c r="BU134" s="1345"/>
      <c r="BV134" s="1345"/>
      <c r="BW134" s="1345"/>
      <c r="BX134" s="1345"/>
      <c r="BY134" s="1346"/>
      <c r="BZ134" s="1317"/>
      <c r="CA134" s="1246"/>
      <c r="CB134" s="1246"/>
      <c r="CC134" s="1246"/>
      <c r="CD134" s="1246"/>
      <c r="CE134" s="1246"/>
      <c r="CF134" s="1345"/>
      <c r="CG134" s="1392"/>
      <c r="CH134" s="1393"/>
      <c r="CI134" s="1394">
        <f t="shared" si="28"/>
        <v>0</v>
      </c>
      <c r="CJ134" s="1435"/>
      <c r="CK134" s="1436"/>
      <c r="CL134" s="1437">
        <f t="shared" si="30"/>
        <v>0</v>
      </c>
      <c r="CM134" s="1438"/>
      <c r="CN134" s="1439">
        <f t="shared" si="29"/>
        <v>0</v>
      </c>
      <c r="CO134" s="1229"/>
      <c r="CP134" s="1229"/>
      <c r="CQ134" s="1229"/>
    </row>
    <row r="135" spans="1:95" ht="21" thickBot="1">
      <c r="A135" s="1446" t="s">
        <v>128</v>
      </c>
      <c r="B135" s="1275"/>
      <c r="C135" s="1275"/>
      <c r="D135" s="1278"/>
      <c r="E135" s="1277"/>
      <c r="F135" s="1245"/>
      <c r="G135" s="1246"/>
      <c r="H135" s="1246"/>
      <c r="I135" s="1246"/>
      <c r="J135" s="1315"/>
      <c r="K135" s="1246"/>
      <c r="L135" s="1291"/>
      <c r="M135" s="1291"/>
      <c r="N135" s="1316"/>
      <c r="O135" s="1317"/>
      <c r="P135" s="1246"/>
      <c r="Q135" s="1246"/>
      <c r="R135" s="1246"/>
      <c r="S135" s="1345"/>
      <c r="T135" s="1345"/>
      <c r="U135" s="1345"/>
      <c r="V135" s="1345"/>
      <c r="W135" s="1346"/>
      <c r="X135" s="1317"/>
      <c r="Y135" s="1246"/>
      <c r="Z135" s="1246"/>
      <c r="AA135" s="1246"/>
      <c r="AB135" s="1345"/>
      <c r="AC135" s="1345"/>
      <c r="AD135" s="1345"/>
      <c r="AE135" s="1345"/>
      <c r="AF135" s="1346"/>
      <c r="AG135" s="1317"/>
      <c r="AH135" s="1246"/>
      <c r="AI135" s="1246"/>
      <c r="AJ135" s="1345"/>
      <c r="AK135" s="1345"/>
      <c r="AL135" s="1345"/>
      <c r="AM135" s="1345"/>
      <c r="AN135" s="1345"/>
      <c r="AO135" s="1346"/>
      <c r="AP135" s="1317"/>
      <c r="AQ135" s="1246"/>
      <c r="AR135" s="1246"/>
      <c r="AS135" s="1246"/>
      <c r="AT135" s="1345"/>
      <c r="AU135" s="1345"/>
      <c r="AV135" s="1345"/>
      <c r="AW135" s="1345"/>
      <c r="AX135" s="1346"/>
      <c r="AY135" s="1317"/>
      <c r="AZ135" s="1246"/>
      <c r="BA135" s="1246"/>
      <c r="BB135" s="1246"/>
      <c r="BC135" s="1345"/>
      <c r="BD135" s="1345"/>
      <c r="BE135" s="1345"/>
      <c r="BF135" s="1345"/>
      <c r="BG135" s="1346"/>
      <c r="BH135" s="1317"/>
      <c r="BI135" s="1246"/>
      <c r="BJ135" s="1246"/>
      <c r="BK135" s="1246"/>
      <c r="BL135" s="1345"/>
      <c r="BM135" s="1345"/>
      <c r="BN135" s="1345"/>
      <c r="BO135" s="1345"/>
      <c r="BP135" s="1346"/>
      <c r="BQ135" s="1317"/>
      <c r="BR135" s="1246"/>
      <c r="BS135" s="1246"/>
      <c r="BT135" s="1246"/>
      <c r="BU135" s="1345"/>
      <c r="BV135" s="1345"/>
      <c r="BW135" s="1345"/>
      <c r="BX135" s="1345"/>
      <c r="BY135" s="1346"/>
      <c r="BZ135" s="1317"/>
      <c r="CA135" s="1246"/>
      <c r="CB135" s="1246"/>
      <c r="CC135" s="1246"/>
      <c r="CD135" s="1246"/>
      <c r="CE135" s="1246"/>
      <c r="CF135" s="1345"/>
      <c r="CG135" s="1392"/>
      <c r="CH135" s="1393"/>
      <c r="CI135" s="1394">
        <f t="shared" si="28"/>
        <v>0</v>
      </c>
      <c r="CJ135" s="1435"/>
      <c r="CK135" s="1436"/>
      <c r="CL135" s="1437">
        <f t="shared" si="30"/>
        <v>0</v>
      </c>
      <c r="CM135" s="1438"/>
      <c r="CN135" s="1439">
        <f t="shared" si="29"/>
        <v>0</v>
      </c>
      <c r="CO135" s="1229"/>
      <c r="CP135" s="1229"/>
      <c r="CQ135" s="1229"/>
    </row>
    <row r="136" spans="1:95" ht="21" thickBot="1">
      <c r="A136" s="1446" t="s">
        <v>128</v>
      </c>
      <c r="B136" s="1275"/>
      <c r="C136" s="1275"/>
      <c r="D136" s="1278"/>
      <c r="E136" s="1277"/>
      <c r="F136" s="1245"/>
      <c r="G136" s="1246"/>
      <c r="H136" s="1246"/>
      <c r="I136" s="1246"/>
      <c r="J136" s="1315"/>
      <c r="K136" s="1246"/>
      <c r="L136" s="1291"/>
      <c r="M136" s="1291"/>
      <c r="N136" s="1316"/>
      <c r="O136" s="1317"/>
      <c r="P136" s="1246"/>
      <c r="Q136" s="1246"/>
      <c r="R136" s="1246"/>
      <c r="S136" s="1345"/>
      <c r="T136" s="1345"/>
      <c r="U136" s="1345"/>
      <c r="V136" s="1345"/>
      <c r="W136" s="1346"/>
      <c r="X136" s="1317"/>
      <c r="Y136" s="1246"/>
      <c r="Z136" s="1246"/>
      <c r="AA136" s="1246"/>
      <c r="AB136" s="1345"/>
      <c r="AC136" s="1345"/>
      <c r="AD136" s="1345"/>
      <c r="AE136" s="1345"/>
      <c r="AF136" s="1346"/>
      <c r="AG136" s="1317"/>
      <c r="AH136" s="1246"/>
      <c r="AI136" s="1246"/>
      <c r="AJ136" s="1345"/>
      <c r="AK136" s="1345"/>
      <c r="AL136" s="1345"/>
      <c r="AM136" s="1345"/>
      <c r="AN136" s="1345"/>
      <c r="AO136" s="1346"/>
      <c r="AP136" s="1317"/>
      <c r="AQ136" s="1246"/>
      <c r="AR136" s="1246"/>
      <c r="AS136" s="1246"/>
      <c r="AT136" s="1345"/>
      <c r="AU136" s="1345"/>
      <c r="AV136" s="1345"/>
      <c r="AW136" s="1345"/>
      <c r="AX136" s="1346"/>
      <c r="AY136" s="1317"/>
      <c r="AZ136" s="1246"/>
      <c r="BA136" s="1246"/>
      <c r="BB136" s="1246"/>
      <c r="BC136" s="1345"/>
      <c r="BD136" s="1345"/>
      <c r="BE136" s="1345"/>
      <c r="BF136" s="1345"/>
      <c r="BG136" s="1346"/>
      <c r="BH136" s="1317"/>
      <c r="BI136" s="1246"/>
      <c r="BJ136" s="1246"/>
      <c r="BK136" s="1246"/>
      <c r="BL136" s="1345"/>
      <c r="BM136" s="1345"/>
      <c r="BN136" s="1345"/>
      <c r="BO136" s="1345"/>
      <c r="BP136" s="1346"/>
      <c r="BQ136" s="1317"/>
      <c r="BR136" s="1246"/>
      <c r="BS136" s="1246"/>
      <c r="BT136" s="1246"/>
      <c r="BU136" s="1345"/>
      <c r="BV136" s="1345"/>
      <c r="BW136" s="1345"/>
      <c r="BX136" s="1345"/>
      <c r="BY136" s="1346"/>
      <c r="BZ136" s="1317"/>
      <c r="CA136" s="1246"/>
      <c r="CB136" s="1246"/>
      <c r="CC136" s="1246"/>
      <c r="CD136" s="1246"/>
      <c r="CE136" s="1246"/>
      <c r="CF136" s="1345"/>
      <c r="CG136" s="1392"/>
      <c r="CH136" s="1393"/>
      <c r="CI136" s="1394">
        <f t="shared" si="28"/>
        <v>0</v>
      </c>
      <c r="CJ136" s="1435"/>
      <c r="CK136" s="1436"/>
      <c r="CL136" s="1437">
        <f t="shared" si="30"/>
        <v>0</v>
      </c>
      <c r="CM136" s="1438"/>
      <c r="CN136" s="1439">
        <f t="shared" si="29"/>
        <v>0</v>
      </c>
      <c r="CO136" s="396" t="s">
        <v>111</v>
      </c>
      <c r="CP136" s="397" t="s">
        <v>23</v>
      </c>
      <c r="CQ136" s="398" t="s">
        <v>112</v>
      </c>
    </row>
    <row r="137" spans="1:95" ht="21" thickBot="1">
      <c r="A137" s="1446" t="s">
        <v>128</v>
      </c>
      <c r="B137" s="1275"/>
      <c r="C137" s="1275"/>
      <c r="D137" s="1452"/>
      <c r="E137" s="1277"/>
      <c r="F137" s="1245"/>
      <c r="G137" s="1246"/>
      <c r="H137" s="1246"/>
      <c r="I137" s="1246"/>
      <c r="J137" s="1315"/>
      <c r="K137" s="1246"/>
      <c r="L137" s="1291"/>
      <c r="M137" s="1291"/>
      <c r="N137" s="1316"/>
      <c r="O137" s="1317"/>
      <c r="P137" s="1246"/>
      <c r="Q137" s="1246"/>
      <c r="R137" s="1246"/>
      <c r="S137" s="1345"/>
      <c r="T137" s="1345"/>
      <c r="U137" s="1345"/>
      <c r="V137" s="1345"/>
      <c r="W137" s="1346"/>
      <c r="X137" s="1317"/>
      <c r="Y137" s="1246"/>
      <c r="Z137" s="1246"/>
      <c r="AA137" s="1246"/>
      <c r="AB137" s="1345"/>
      <c r="AC137" s="1345"/>
      <c r="AD137" s="1345"/>
      <c r="AE137" s="1345"/>
      <c r="AF137" s="1346"/>
      <c r="AG137" s="1317"/>
      <c r="AH137" s="1246"/>
      <c r="AI137" s="1246"/>
      <c r="AJ137" s="1345"/>
      <c r="AK137" s="1345"/>
      <c r="AL137" s="1345"/>
      <c r="AM137" s="1345"/>
      <c r="AN137" s="1345"/>
      <c r="AO137" s="1346"/>
      <c r="AP137" s="1317"/>
      <c r="AQ137" s="1246"/>
      <c r="AR137" s="1246"/>
      <c r="AS137" s="1246"/>
      <c r="AT137" s="1345"/>
      <c r="AU137" s="1345"/>
      <c r="AV137" s="1345"/>
      <c r="AW137" s="1345"/>
      <c r="AX137" s="1346"/>
      <c r="AY137" s="1317"/>
      <c r="AZ137" s="1246"/>
      <c r="BA137" s="1246"/>
      <c r="BB137" s="1246"/>
      <c r="BC137" s="1345"/>
      <c r="BD137" s="1345"/>
      <c r="BE137" s="1345"/>
      <c r="BF137" s="1345"/>
      <c r="BG137" s="1346"/>
      <c r="BH137" s="1317"/>
      <c r="BI137" s="1246"/>
      <c r="BJ137" s="1246"/>
      <c r="BK137" s="1246"/>
      <c r="BL137" s="1345"/>
      <c r="BM137" s="1345"/>
      <c r="BN137" s="1345"/>
      <c r="BO137" s="1345"/>
      <c r="BP137" s="1346"/>
      <c r="BQ137" s="1317"/>
      <c r="BR137" s="1246"/>
      <c r="BS137" s="1246"/>
      <c r="BT137" s="1246"/>
      <c r="BU137" s="1345"/>
      <c r="BV137" s="1345"/>
      <c r="BW137" s="1345"/>
      <c r="BX137" s="1345"/>
      <c r="BY137" s="1346"/>
      <c r="BZ137" s="1317"/>
      <c r="CA137" s="1246"/>
      <c r="CB137" s="1246"/>
      <c r="CC137" s="1246"/>
      <c r="CD137" s="1246"/>
      <c r="CE137" s="1246"/>
      <c r="CF137" s="1345"/>
      <c r="CG137" s="1392"/>
      <c r="CH137" s="1393"/>
      <c r="CI137" s="1394">
        <f t="shared" si="28"/>
        <v>0</v>
      </c>
      <c r="CJ137" s="1435"/>
      <c r="CK137" s="1436"/>
      <c r="CL137" s="1437">
        <f t="shared" si="30"/>
        <v>0</v>
      </c>
      <c r="CM137" s="1438"/>
      <c r="CN137" s="1439">
        <f t="shared" si="29"/>
        <v>0</v>
      </c>
      <c r="CO137" s="1470">
        <f>'Jordan Chair'!AH197</f>
        <v>0</v>
      </c>
      <c r="CP137" s="1470">
        <f>'Jordan Chair'!AI197</f>
        <v>0</v>
      </c>
      <c r="CQ137" s="718">
        <f>CL146+CO137+CP137</f>
        <v>0</v>
      </c>
    </row>
    <row r="138" spans="1:95" ht="20.25">
      <c r="A138" s="1446" t="s">
        <v>128</v>
      </c>
      <c r="B138" s="1275"/>
      <c r="C138" s="1275"/>
      <c r="D138" s="1452"/>
      <c r="E138" s="1277"/>
      <c r="F138" s="1245"/>
      <c r="G138" s="1246"/>
      <c r="H138" s="1246"/>
      <c r="I138" s="1246"/>
      <c r="J138" s="1315"/>
      <c r="K138" s="1246"/>
      <c r="L138" s="1291"/>
      <c r="M138" s="1291"/>
      <c r="N138" s="1316"/>
      <c r="O138" s="1317"/>
      <c r="P138" s="1246"/>
      <c r="Q138" s="1246"/>
      <c r="R138" s="1246"/>
      <c r="S138" s="1345"/>
      <c r="T138" s="1345"/>
      <c r="U138" s="1345"/>
      <c r="V138" s="1345"/>
      <c r="W138" s="1346"/>
      <c r="X138" s="1317"/>
      <c r="Y138" s="1246"/>
      <c r="Z138" s="1246"/>
      <c r="AA138" s="1246"/>
      <c r="AB138" s="1345"/>
      <c r="AC138" s="1345"/>
      <c r="AD138" s="1345"/>
      <c r="AE138" s="1345"/>
      <c r="AF138" s="1346"/>
      <c r="AG138" s="1317"/>
      <c r="AH138" s="1246"/>
      <c r="AI138" s="1246"/>
      <c r="AJ138" s="1345"/>
      <c r="AK138" s="1345"/>
      <c r="AL138" s="1345"/>
      <c r="AM138" s="1345"/>
      <c r="AN138" s="1345"/>
      <c r="AO138" s="1346"/>
      <c r="AP138" s="1317"/>
      <c r="AQ138" s="1246"/>
      <c r="AR138" s="1246"/>
      <c r="AS138" s="1246"/>
      <c r="AT138" s="1345"/>
      <c r="AU138" s="1345"/>
      <c r="AV138" s="1345"/>
      <c r="AW138" s="1345"/>
      <c r="AX138" s="1346"/>
      <c r="AY138" s="1317"/>
      <c r="AZ138" s="1246"/>
      <c r="BA138" s="1246"/>
      <c r="BB138" s="1246"/>
      <c r="BC138" s="1345"/>
      <c r="BD138" s="1345"/>
      <c r="BE138" s="1345"/>
      <c r="BF138" s="1345"/>
      <c r="BG138" s="1346"/>
      <c r="BH138" s="1317"/>
      <c r="BI138" s="1246"/>
      <c r="BJ138" s="1246"/>
      <c r="BK138" s="1246"/>
      <c r="BL138" s="1345"/>
      <c r="BM138" s="1345"/>
      <c r="BN138" s="1345"/>
      <c r="BO138" s="1345"/>
      <c r="BP138" s="1346"/>
      <c r="BQ138" s="1317"/>
      <c r="BR138" s="1246"/>
      <c r="BS138" s="1246"/>
      <c r="BT138" s="1246"/>
      <c r="BU138" s="1345"/>
      <c r="BV138" s="1345"/>
      <c r="BW138" s="1345"/>
      <c r="BX138" s="1345"/>
      <c r="BY138" s="1346"/>
      <c r="BZ138" s="1317"/>
      <c r="CA138" s="1246"/>
      <c r="CB138" s="1246"/>
      <c r="CC138" s="1246"/>
      <c r="CD138" s="1246"/>
      <c r="CE138" s="1246"/>
      <c r="CF138" s="1345"/>
      <c r="CG138" s="1392"/>
      <c r="CH138" s="1393"/>
      <c r="CI138" s="1394">
        <f t="shared" si="28"/>
        <v>0</v>
      </c>
      <c r="CJ138" s="1435"/>
      <c r="CK138" s="1436"/>
      <c r="CL138" s="1437">
        <f t="shared" si="30"/>
        <v>0</v>
      </c>
      <c r="CM138" s="1438"/>
      <c r="CN138" s="1439">
        <f t="shared" si="29"/>
        <v>0</v>
      </c>
      <c r="CO138" s="403"/>
      <c r="CP138" s="403"/>
      <c r="CQ138" s="403"/>
    </row>
    <row r="139" spans="1:95" ht="20.25">
      <c r="A139" s="1446" t="s">
        <v>128</v>
      </c>
      <c r="B139" s="1275"/>
      <c r="C139" s="1275"/>
      <c r="D139" s="1452"/>
      <c r="E139" s="1277"/>
      <c r="F139" s="1245"/>
      <c r="G139" s="1246"/>
      <c r="H139" s="1246"/>
      <c r="I139" s="1246"/>
      <c r="J139" s="1315"/>
      <c r="K139" s="1246"/>
      <c r="L139" s="1291"/>
      <c r="M139" s="1291"/>
      <c r="N139" s="1316"/>
      <c r="O139" s="1317"/>
      <c r="P139" s="1246"/>
      <c r="Q139" s="1246"/>
      <c r="R139" s="1246"/>
      <c r="S139" s="1345"/>
      <c r="T139" s="1345"/>
      <c r="U139" s="1345"/>
      <c r="V139" s="1345"/>
      <c r="W139" s="1346"/>
      <c r="X139" s="1317"/>
      <c r="Y139" s="1246"/>
      <c r="Z139" s="1246"/>
      <c r="AA139" s="1246"/>
      <c r="AB139" s="1345"/>
      <c r="AC139" s="1345"/>
      <c r="AD139" s="1345"/>
      <c r="AE139" s="1345"/>
      <c r="AF139" s="1346"/>
      <c r="AG139" s="1317"/>
      <c r="AH139" s="1246"/>
      <c r="AI139" s="1246"/>
      <c r="AJ139" s="1345"/>
      <c r="AK139" s="1345"/>
      <c r="AL139" s="1345"/>
      <c r="AM139" s="1345"/>
      <c r="AN139" s="1345"/>
      <c r="AO139" s="1346"/>
      <c r="AP139" s="1317"/>
      <c r="AQ139" s="1246"/>
      <c r="AR139" s="1246"/>
      <c r="AS139" s="1246"/>
      <c r="AT139" s="1345"/>
      <c r="AU139" s="1345"/>
      <c r="AV139" s="1345"/>
      <c r="AW139" s="1345"/>
      <c r="AX139" s="1346"/>
      <c r="AY139" s="1317"/>
      <c r="AZ139" s="1246"/>
      <c r="BA139" s="1246"/>
      <c r="BB139" s="1246"/>
      <c r="BC139" s="1345"/>
      <c r="BD139" s="1345"/>
      <c r="BE139" s="1345"/>
      <c r="BF139" s="1345"/>
      <c r="BG139" s="1346"/>
      <c r="BH139" s="1317"/>
      <c r="BI139" s="1246"/>
      <c r="BJ139" s="1246"/>
      <c r="BK139" s="1246"/>
      <c r="BL139" s="1345"/>
      <c r="BM139" s="1345"/>
      <c r="BN139" s="1345"/>
      <c r="BO139" s="1345"/>
      <c r="BP139" s="1346"/>
      <c r="BQ139" s="1317"/>
      <c r="BR139" s="1246"/>
      <c r="BS139" s="1246"/>
      <c r="BT139" s="1246"/>
      <c r="BU139" s="1345"/>
      <c r="BV139" s="1345"/>
      <c r="BW139" s="1345"/>
      <c r="BX139" s="1345"/>
      <c r="BY139" s="1346"/>
      <c r="BZ139" s="1317"/>
      <c r="CA139" s="1246"/>
      <c r="CB139" s="1246"/>
      <c r="CC139" s="1246"/>
      <c r="CD139" s="1246"/>
      <c r="CE139" s="1246"/>
      <c r="CF139" s="1345"/>
      <c r="CG139" s="1392"/>
      <c r="CH139" s="1393"/>
      <c r="CI139" s="1394">
        <f t="shared" si="28"/>
        <v>0</v>
      </c>
      <c r="CJ139" s="1435"/>
      <c r="CK139" s="1436"/>
      <c r="CL139" s="1437">
        <f t="shared" si="30"/>
        <v>0</v>
      </c>
      <c r="CM139" s="1438"/>
      <c r="CN139" s="1439">
        <f t="shared" si="29"/>
        <v>0</v>
      </c>
      <c r="CO139" s="403"/>
      <c r="CP139" s="403"/>
      <c r="CQ139" s="403"/>
    </row>
    <row r="140" spans="1:95" ht="20.25">
      <c r="A140" s="1446" t="s">
        <v>128</v>
      </c>
      <c r="B140" s="1275"/>
      <c r="C140" s="1275"/>
      <c r="D140" s="1452"/>
      <c r="E140" s="1277"/>
      <c r="F140" s="1245"/>
      <c r="G140" s="1246"/>
      <c r="H140" s="1246"/>
      <c r="I140" s="1246"/>
      <c r="J140" s="1315"/>
      <c r="K140" s="1246"/>
      <c r="L140" s="1291"/>
      <c r="M140" s="1291"/>
      <c r="N140" s="1316"/>
      <c r="O140" s="1317"/>
      <c r="P140" s="1246"/>
      <c r="Q140" s="1246"/>
      <c r="R140" s="1246"/>
      <c r="S140" s="1345"/>
      <c r="T140" s="1345"/>
      <c r="U140" s="1345"/>
      <c r="V140" s="1345"/>
      <c r="W140" s="1346"/>
      <c r="X140" s="1317"/>
      <c r="Y140" s="1246"/>
      <c r="Z140" s="1246"/>
      <c r="AA140" s="1246"/>
      <c r="AB140" s="1345"/>
      <c r="AC140" s="1345"/>
      <c r="AD140" s="1345"/>
      <c r="AE140" s="1345"/>
      <c r="AF140" s="1346"/>
      <c r="AG140" s="1317"/>
      <c r="AH140" s="1246"/>
      <c r="AI140" s="1246"/>
      <c r="AJ140" s="1345"/>
      <c r="AK140" s="1345"/>
      <c r="AL140" s="1345"/>
      <c r="AM140" s="1345"/>
      <c r="AN140" s="1345"/>
      <c r="AO140" s="1346"/>
      <c r="AP140" s="1317"/>
      <c r="AQ140" s="1246"/>
      <c r="AR140" s="1246"/>
      <c r="AS140" s="1246"/>
      <c r="AT140" s="1345"/>
      <c r="AU140" s="1345"/>
      <c r="AV140" s="1345"/>
      <c r="AW140" s="1345"/>
      <c r="AX140" s="1346"/>
      <c r="AY140" s="1317"/>
      <c r="AZ140" s="1246"/>
      <c r="BA140" s="1246"/>
      <c r="BB140" s="1246"/>
      <c r="BC140" s="1345"/>
      <c r="BD140" s="1345"/>
      <c r="BE140" s="1345"/>
      <c r="BF140" s="1345"/>
      <c r="BG140" s="1346"/>
      <c r="BH140" s="1317"/>
      <c r="BI140" s="1246"/>
      <c r="BJ140" s="1246"/>
      <c r="BK140" s="1246"/>
      <c r="BL140" s="1345"/>
      <c r="BM140" s="1345"/>
      <c r="BN140" s="1345"/>
      <c r="BO140" s="1345"/>
      <c r="BP140" s="1346"/>
      <c r="BQ140" s="1317"/>
      <c r="BR140" s="1246"/>
      <c r="BS140" s="1246"/>
      <c r="BT140" s="1246"/>
      <c r="BU140" s="1345"/>
      <c r="BV140" s="1345"/>
      <c r="BW140" s="1345"/>
      <c r="BX140" s="1345"/>
      <c r="BY140" s="1346"/>
      <c r="BZ140" s="1317"/>
      <c r="CA140" s="1246"/>
      <c r="CB140" s="1246"/>
      <c r="CC140" s="1246"/>
      <c r="CD140" s="1246"/>
      <c r="CE140" s="1246"/>
      <c r="CF140" s="1345"/>
      <c r="CG140" s="1392"/>
      <c r="CH140" s="1393"/>
      <c r="CI140" s="1394">
        <f t="shared" si="28"/>
        <v>0</v>
      </c>
      <c r="CJ140" s="1435"/>
      <c r="CK140" s="1436"/>
      <c r="CL140" s="1437">
        <f t="shared" si="30"/>
        <v>0</v>
      </c>
      <c r="CM140" s="1438"/>
      <c r="CN140" s="1439">
        <f t="shared" si="29"/>
        <v>0</v>
      </c>
      <c r="CO140" s="403"/>
      <c r="CP140" s="403"/>
      <c r="CQ140" s="403"/>
    </row>
    <row r="141" spans="1:95" s="1223" customFormat="1" ht="20.25">
      <c r="A141" s="1446" t="s">
        <v>128</v>
      </c>
      <c r="B141" s="1275"/>
      <c r="C141" s="1275"/>
      <c r="D141" s="1452"/>
      <c r="E141" s="1277"/>
      <c r="F141" s="1245"/>
      <c r="G141" s="1246"/>
      <c r="H141" s="1246"/>
      <c r="I141" s="1246"/>
      <c r="J141" s="1315"/>
      <c r="K141" s="1246"/>
      <c r="L141" s="1291"/>
      <c r="M141" s="1291"/>
      <c r="N141" s="1316"/>
      <c r="O141" s="1317"/>
      <c r="P141" s="1246"/>
      <c r="Q141" s="1246"/>
      <c r="R141" s="1246"/>
      <c r="S141" s="1345"/>
      <c r="T141" s="1345"/>
      <c r="U141" s="1345"/>
      <c r="V141" s="1345"/>
      <c r="W141" s="1346"/>
      <c r="X141" s="1317"/>
      <c r="Y141" s="1246"/>
      <c r="Z141" s="1246"/>
      <c r="AA141" s="1246"/>
      <c r="AB141" s="1345"/>
      <c r="AC141" s="1345"/>
      <c r="AD141" s="1345"/>
      <c r="AE141" s="1345"/>
      <c r="AF141" s="1346"/>
      <c r="AG141" s="1317"/>
      <c r="AH141" s="1246"/>
      <c r="AI141" s="1246"/>
      <c r="AJ141" s="1345"/>
      <c r="AK141" s="1345"/>
      <c r="AL141" s="1345"/>
      <c r="AM141" s="1345"/>
      <c r="AN141" s="1345"/>
      <c r="AO141" s="1346"/>
      <c r="AP141" s="1317"/>
      <c r="AQ141" s="1246"/>
      <c r="AR141" s="1246"/>
      <c r="AS141" s="1246"/>
      <c r="AT141" s="1345"/>
      <c r="AU141" s="1345"/>
      <c r="AV141" s="1345"/>
      <c r="AW141" s="1345"/>
      <c r="AX141" s="1346"/>
      <c r="AY141" s="1317"/>
      <c r="AZ141" s="1246"/>
      <c r="BA141" s="1246"/>
      <c r="BB141" s="1246"/>
      <c r="BC141" s="1345"/>
      <c r="BD141" s="1345"/>
      <c r="BE141" s="1345"/>
      <c r="BF141" s="1345"/>
      <c r="BG141" s="1346"/>
      <c r="BH141" s="1317"/>
      <c r="BI141" s="1246"/>
      <c r="BJ141" s="1246"/>
      <c r="BK141" s="1246"/>
      <c r="BL141" s="1345"/>
      <c r="BM141" s="1345"/>
      <c r="BN141" s="1345"/>
      <c r="BO141" s="1345"/>
      <c r="BP141" s="1346"/>
      <c r="BQ141" s="1317"/>
      <c r="BR141" s="1246"/>
      <c r="BS141" s="1246"/>
      <c r="BT141" s="1246"/>
      <c r="BU141" s="1345"/>
      <c r="BV141" s="1345"/>
      <c r="BW141" s="1345"/>
      <c r="BX141" s="1345"/>
      <c r="BY141" s="1346"/>
      <c r="BZ141" s="1317"/>
      <c r="CA141" s="1246"/>
      <c r="CB141" s="1246"/>
      <c r="CC141" s="1246"/>
      <c r="CD141" s="1246"/>
      <c r="CE141" s="1246"/>
      <c r="CF141" s="1345"/>
      <c r="CG141" s="1392"/>
      <c r="CH141" s="1393"/>
      <c r="CI141" s="1394">
        <f t="shared" si="28"/>
        <v>0</v>
      </c>
      <c r="CJ141" s="1435"/>
      <c r="CK141" s="1436"/>
      <c r="CL141" s="1437">
        <f t="shared" si="30"/>
        <v>0</v>
      </c>
      <c r="CM141" s="1438"/>
      <c r="CN141" s="1439">
        <f t="shared" si="29"/>
        <v>0</v>
      </c>
      <c r="CO141" s="403"/>
      <c r="CP141" s="403"/>
      <c r="CQ141" s="403"/>
    </row>
    <row r="142" spans="1:95" s="283" customFormat="1" ht="20.25">
      <c r="A142" s="1446" t="s">
        <v>128</v>
      </c>
      <c r="B142" s="1275"/>
      <c r="C142" s="1261"/>
      <c r="D142" s="1452"/>
      <c r="E142" s="1262"/>
      <c r="F142" s="1249"/>
      <c r="G142" s="1250"/>
      <c r="H142" s="1250"/>
      <c r="I142" s="1250"/>
      <c r="J142" s="1250"/>
      <c r="K142" s="1250"/>
      <c r="L142" s="1292"/>
      <c r="M142" s="1292"/>
      <c r="N142" s="1293"/>
      <c r="O142" s="1330"/>
      <c r="P142" s="1327"/>
      <c r="Q142" s="1327"/>
      <c r="R142" s="1327"/>
      <c r="S142" s="1328"/>
      <c r="T142" s="1328"/>
      <c r="U142" s="1328"/>
      <c r="V142" s="1328"/>
      <c r="W142" s="1329"/>
      <c r="X142" s="1330"/>
      <c r="Y142" s="1327"/>
      <c r="Z142" s="1327"/>
      <c r="AA142" s="1327"/>
      <c r="AB142" s="1328"/>
      <c r="AC142" s="1328"/>
      <c r="AD142" s="1352"/>
      <c r="AE142" s="1328"/>
      <c r="AF142" s="1329"/>
      <c r="AG142" s="1330"/>
      <c r="AH142" s="1327"/>
      <c r="AI142" s="1327"/>
      <c r="AJ142" s="1328"/>
      <c r="AK142" s="1328"/>
      <c r="AL142" s="1328"/>
      <c r="AM142" s="1328"/>
      <c r="AN142" s="1328"/>
      <c r="AO142" s="1329"/>
      <c r="AP142" s="1330"/>
      <c r="AQ142" s="1327"/>
      <c r="AR142" s="1327"/>
      <c r="AS142" s="1327"/>
      <c r="AT142" s="1328"/>
      <c r="AU142" s="1328"/>
      <c r="AV142" s="1328"/>
      <c r="AW142" s="1328"/>
      <c r="AX142" s="1329"/>
      <c r="AY142" s="1330"/>
      <c r="AZ142" s="1327"/>
      <c r="BA142" s="1295"/>
      <c r="BB142" s="1327"/>
      <c r="BC142" s="1362"/>
      <c r="BD142" s="1362"/>
      <c r="BE142" s="1328"/>
      <c r="BF142" s="1328"/>
      <c r="BG142" s="1329"/>
      <c r="BH142" s="1330"/>
      <c r="BI142" s="1327"/>
      <c r="BJ142" s="1327"/>
      <c r="BK142" s="1295"/>
      <c r="BL142" s="1328"/>
      <c r="BM142" s="1328"/>
      <c r="BN142" s="1328"/>
      <c r="BO142" s="1328"/>
      <c r="BP142" s="1329"/>
      <c r="BQ142" s="1330"/>
      <c r="BR142" s="1327"/>
      <c r="BS142" s="1327"/>
      <c r="BT142" s="1327"/>
      <c r="BU142" s="1328"/>
      <c r="BV142" s="1328"/>
      <c r="BW142" s="1328"/>
      <c r="BX142" s="1328"/>
      <c r="BY142" s="1329"/>
      <c r="BZ142" s="1369"/>
      <c r="CA142" s="1250"/>
      <c r="CB142" s="1327"/>
      <c r="CC142" s="1250"/>
      <c r="CD142" s="1250"/>
      <c r="CE142" s="1250"/>
      <c r="CF142" s="1352"/>
      <c r="CG142" s="1352"/>
      <c r="CH142" s="1376"/>
      <c r="CI142" s="1467">
        <f t="shared" si="28"/>
        <v>0</v>
      </c>
      <c r="CJ142" s="1471"/>
      <c r="CK142" s="1409"/>
      <c r="CL142" s="1437">
        <f t="shared" si="30"/>
        <v>0</v>
      </c>
      <c r="CM142" s="1408"/>
      <c r="CN142" s="1439">
        <f t="shared" si="29"/>
        <v>0</v>
      </c>
      <c r="CO142" s="1222"/>
      <c r="CP142" s="1222"/>
      <c r="CQ142" s="1222"/>
    </row>
    <row r="143" spans="1:95" ht="20.25">
      <c r="A143" s="1446" t="s">
        <v>128</v>
      </c>
      <c r="B143" s="1275"/>
      <c r="C143" s="1453"/>
      <c r="D143" s="1454"/>
      <c r="E143" s="1262"/>
      <c r="F143" s="1249"/>
      <c r="G143" s="1250"/>
      <c r="H143" s="1250"/>
      <c r="I143" s="1250"/>
      <c r="J143" s="1250"/>
      <c r="K143" s="1250"/>
      <c r="L143" s="1292"/>
      <c r="M143" s="1292"/>
      <c r="N143" s="1293"/>
      <c r="O143" s="1330"/>
      <c r="P143" s="1327"/>
      <c r="Q143" s="1327"/>
      <c r="R143" s="1327"/>
      <c r="S143" s="1328"/>
      <c r="T143" s="1328"/>
      <c r="U143" s="1328"/>
      <c r="V143" s="1328"/>
      <c r="W143" s="1329"/>
      <c r="X143" s="1330"/>
      <c r="Y143" s="1327"/>
      <c r="Z143" s="1327"/>
      <c r="AA143" s="1327"/>
      <c r="AB143" s="1328"/>
      <c r="AC143" s="1328"/>
      <c r="AD143" s="1352"/>
      <c r="AE143" s="1328"/>
      <c r="AF143" s="1329"/>
      <c r="AG143" s="1330"/>
      <c r="AH143" s="1327"/>
      <c r="AI143" s="1327"/>
      <c r="AJ143" s="1328"/>
      <c r="AK143" s="1328"/>
      <c r="AL143" s="1328"/>
      <c r="AM143" s="1328"/>
      <c r="AN143" s="1328"/>
      <c r="AO143" s="1329"/>
      <c r="AP143" s="1330"/>
      <c r="AQ143" s="1327"/>
      <c r="AR143" s="1327"/>
      <c r="AS143" s="1327"/>
      <c r="AT143" s="1328"/>
      <c r="AU143" s="1328"/>
      <c r="AV143" s="1328"/>
      <c r="AW143" s="1328"/>
      <c r="AX143" s="1329"/>
      <c r="AY143" s="1294"/>
      <c r="AZ143" s="1327"/>
      <c r="BA143" s="1295"/>
      <c r="BB143" s="1327"/>
      <c r="BC143" s="1362"/>
      <c r="BD143" s="1362"/>
      <c r="BE143" s="1328"/>
      <c r="BF143" s="1328"/>
      <c r="BG143" s="1329"/>
      <c r="BH143" s="1330"/>
      <c r="BI143" s="1327"/>
      <c r="BJ143" s="1327"/>
      <c r="BK143" s="1295"/>
      <c r="BL143" s="1328"/>
      <c r="BM143" s="1328"/>
      <c r="BN143" s="1328"/>
      <c r="BO143" s="1328"/>
      <c r="BP143" s="1329"/>
      <c r="BQ143" s="1330"/>
      <c r="BR143" s="1327"/>
      <c r="BS143" s="1327"/>
      <c r="BT143" s="1327"/>
      <c r="BU143" s="1328"/>
      <c r="BV143" s="1328"/>
      <c r="BW143" s="1328"/>
      <c r="BX143" s="1328"/>
      <c r="BY143" s="1329"/>
      <c r="BZ143" s="1369"/>
      <c r="CA143" s="1250"/>
      <c r="CB143" s="1327"/>
      <c r="CC143" s="1250"/>
      <c r="CD143" s="1250"/>
      <c r="CE143" s="1250"/>
      <c r="CF143" s="1352"/>
      <c r="CG143" s="1352"/>
      <c r="CH143" s="1376"/>
      <c r="CI143" s="1467">
        <f t="shared" si="28"/>
        <v>0</v>
      </c>
      <c r="CJ143" s="1471"/>
      <c r="CK143" s="1409"/>
      <c r="CL143" s="1437">
        <f t="shared" si="30"/>
        <v>0</v>
      </c>
      <c r="CM143" s="1408"/>
      <c r="CN143" s="1439">
        <f t="shared" si="29"/>
        <v>0</v>
      </c>
      <c r="CO143" s="1229"/>
      <c r="CP143" s="1229"/>
      <c r="CQ143" s="1229"/>
    </row>
    <row r="144" spans="1:95" ht="20.25">
      <c r="A144" s="1446" t="s">
        <v>128</v>
      </c>
      <c r="B144" s="1455"/>
      <c r="C144" s="1247"/>
      <c r="D144" s="1456"/>
      <c r="E144" s="1262"/>
      <c r="F144" s="1249"/>
      <c r="G144" s="1250"/>
      <c r="H144" s="1250"/>
      <c r="I144" s="1250"/>
      <c r="J144" s="1250"/>
      <c r="K144" s="1250"/>
      <c r="L144" s="1292"/>
      <c r="M144" s="1292"/>
      <c r="N144" s="1293"/>
      <c r="O144" s="1330"/>
      <c r="P144" s="1327"/>
      <c r="Q144" s="1327"/>
      <c r="R144" s="1327"/>
      <c r="S144" s="1328"/>
      <c r="T144" s="1328"/>
      <c r="U144" s="1328"/>
      <c r="V144" s="1328"/>
      <c r="W144" s="1329"/>
      <c r="X144" s="1330"/>
      <c r="Y144" s="1327"/>
      <c r="Z144" s="1327"/>
      <c r="AA144" s="1327"/>
      <c r="AB144" s="1328"/>
      <c r="AC144" s="1328"/>
      <c r="AD144" s="1352"/>
      <c r="AE144" s="1328"/>
      <c r="AF144" s="1329"/>
      <c r="AG144" s="1330"/>
      <c r="AH144" s="1327"/>
      <c r="AI144" s="1327"/>
      <c r="AJ144" s="1328"/>
      <c r="AK144" s="1328"/>
      <c r="AL144" s="1328"/>
      <c r="AM144" s="1328"/>
      <c r="AN144" s="1328"/>
      <c r="AO144" s="1329"/>
      <c r="AP144" s="1330"/>
      <c r="AQ144" s="1327"/>
      <c r="AR144" s="1327"/>
      <c r="AS144" s="1327"/>
      <c r="AT144" s="1328"/>
      <c r="AU144" s="1328"/>
      <c r="AV144" s="1328"/>
      <c r="AW144" s="1328"/>
      <c r="AX144" s="1329"/>
      <c r="AY144" s="1294"/>
      <c r="AZ144" s="1327"/>
      <c r="BA144" s="1295"/>
      <c r="BB144" s="1327"/>
      <c r="BC144" s="1362"/>
      <c r="BD144" s="1362"/>
      <c r="BE144" s="1328"/>
      <c r="BF144" s="1328"/>
      <c r="BG144" s="1329"/>
      <c r="BH144" s="1294"/>
      <c r="BI144" s="1327"/>
      <c r="BJ144" s="1327"/>
      <c r="BK144" s="1295"/>
      <c r="BL144" s="1328"/>
      <c r="BM144" s="1328"/>
      <c r="BN144" s="1328"/>
      <c r="BO144" s="1328"/>
      <c r="BP144" s="1329"/>
      <c r="BQ144" s="1330"/>
      <c r="BR144" s="1327"/>
      <c r="BS144" s="1327"/>
      <c r="BT144" s="1327"/>
      <c r="BU144" s="1328"/>
      <c r="BV144" s="1328"/>
      <c r="BW144" s="1328"/>
      <c r="BX144" s="1328"/>
      <c r="BY144" s="1329"/>
      <c r="BZ144" s="1369"/>
      <c r="CA144" s="1250"/>
      <c r="CB144" s="1327"/>
      <c r="CC144" s="1250"/>
      <c r="CD144" s="1250"/>
      <c r="CE144" s="1250"/>
      <c r="CF144" s="1352"/>
      <c r="CG144" s="1352"/>
      <c r="CH144" s="1376"/>
      <c r="CI144" s="1467">
        <f t="shared" si="28"/>
        <v>0</v>
      </c>
      <c r="CJ144" s="1471"/>
      <c r="CK144" s="1409"/>
      <c r="CL144" s="1437">
        <f t="shared" si="30"/>
        <v>0</v>
      </c>
      <c r="CM144" s="1408"/>
      <c r="CN144" s="1439">
        <f t="shared" si="29"/>
        <v>0</v>
      </c>
      <c r="CO144" s="1229"/>
      <c r="CP144" s="1229"/>
      <c r="CQ144" s="1229"/>
    </row>
    <row r="145" spans="1:95" ht="21" thickBot="1">
      <c r="A145" s="1446" t="s">
        <v>128</v>
      </c>
      <c r="B145" s="1247"/>
      <c r="C145" s="1247"/>
      <c r="D145" s="1456"/>
      <c r="E145" s="1262"/>
      <c r="F145" s="1249"/>
      <c r="G145" s="1250"/>
      <c r="H145" s="1250"/>
      <c r="I145" s="1250"/>
      <c r="J145" s="1250"/>
      <c r="K145" s="1250"/>
      <c r="L145" s="1292"/>
      <c r="M145" s="1292"/>
      <c r="N145" s="1293"/>
      <c r="O145" s="1330"/>
      <c r="P145" s="1327"/>
      <c r="Q145" s="1327"/>
      <c r="R145" s="1327"/>
      <c r="S145" s="1328"/>
      <c r="T145" s="1328"/>
      <c r="U145" s="1328"/>
      <c r="V145" s="1328"/>
      <c r="W145" s="1329"/>
      <c r="X145" s="1330"/>
      <c r="Y145" s="1327"/>
      <c r="Z145" s="1327"/>
      <c r="AA145" s="1327"/>
      <c r="AB145" s="1328"/>
      <c r="AC145" s="1328"/>
      <c r="AD145" s="1352"/>
      <c r="AE145" s="1328"/>
      <c r="AF145" s="1329"/>
      <c r="AG145" s="1330"/>
      <c r="AH145" s="1327"/>
      <c r="AI145" s="1327"/>
      <c r="AJ145" s="1328"/>
      <c r="AK145" s="1328"/>
      <c r="AL145" s="1328"/>
      <c r="AM145" s="1328"/>
      <c r="AN145" s="1328"/>
      <c r="AO145" s="1329"/>
      <c r="AP145" s="1330"/>
      <c r="AQ145" s="1327"/>
      <c r="AR145" s="1327"/>
      <c r="AS145" s="1327"/>
      <c r="AT145" s="1328"/>
      <c r="AU145" s="1328"/>
      <c r="AV145" s="1328"/>
      <c r="AW145" s="1328"/>
      <c r="AX145" s="1329"/>
      <c r="AY145" s="1294"/>
      <c r="AZ145" s="1327"/>
      <c r="BA145" s="1295"/>
      <c r="BB145" s="1327"/>
      <c r="BC145" s="1362"/>
      <c r="BD145" s="1362"/>
      <c r="BE145" s="1328"/>
      <c r="BF145" s="1328"/>
      <c r="BG145" s="1329"/>
      <c r="BH145" s="1330"/>
      <c r="BI145" s="1327"/>
      <c r="BJ145" s="1327"/>
      <c r="BK145" s="1327"/>
      <c r="BL145" s="1328"/>
      <c r="BM145" s="1328"/>
      <c r="BN145" s="1328"/>
      <c r="BO145" s="1328"/>
      <c r="BP145" s="1329"/>
      <c r="BQ145" s="1330"/>
      <c r="BR145" s="1327"/>
      <c r="BS145" s="1327"/>
      <c r="BT145" s="1327"/>
      <c r="BU145" s="1328"/>
      <c r="BV145" s="1328"/>
      <c r="BW145" s="1328"/>
      <c r="BX145" s="1328"/>
      <c r="BY145" s="1329"/>
      <c r="BZ145" s="1369"/>
      <c r="CA145" s="1250"/>
      <c r="CB145" s="1327"/>
      <c r="CC145" s="1250"/>
      <c r="CD145" s="1250"/>
      <c r="CE145" s="1250"/>
      <c r="CF145" s="1352"/>
      <c r="CG145" s="1352"/>
      <c r="CH145" s="1376"/>
      <c r="CI145" s="1467">
        <f t="shared" si="28"/>
        <v>0</v>
      </c>
      <c r="CJ145" s="1471"/>
      <c r="CK145" s="1409"/>
      <c r="CL145" s="1437">
        <f t="shared" si="30"/>
        <v>0</v>
      </c>
      <c r="CM145" s="1408"/>
      <c r="CN145" s="1439">
        <f t="shared" si="29"/>
        <v>0</v>
      </c>
      <c r="CO145" s="1229"/>
      <c r="CP145" s="1229"/>
      <c r="CQ145" s="1229"/>
    </row>
    <row r="146" spans="1:95" ht="21" thickBot="1">
      <c r="A146" s="326" t="s">
        <v>129</v>
      </c>
      <c r="B146" s="1457"/>
      <c r="C146" s="1457"/>
      <c r="D146" s="1265"/>
      <c r="E146" s="1444"/>
      <c r="F146" s="1445">
        <f>SUM(F114:F145)</f>
        <v>0</v>
      </c>
      <c r="G146" s="1445">
        <f t="shared" ref="G146:BQ146" si="31">SUM(G114:G145)</f>
        <v>0</v>
      </c>
      <c r="H146" s="1445">
        <f t="shared" si="31"/>
        <v>0</v>
      </c>
      <c r="I146" s="1445">
        <f t="shared" si="31"/>
        <v>0</v>
      </c>
      <c r="J146" s="1445">
        <f t="shared" si="31"/>
        <v>0</v>
      </c>
      <c r="K146" s="1445">
        <f t="shared" si="31"/>
        <v>0</v>
      </c>
      <c r="L146" s="1445">
        <f t="shared" si="31"/>
        <v>0</v>
      </c>
      <c r="M146" s="1445">
        <f t="shared" si="31"/>
        <v>0</v>
      </c>
      <c r="N146" s="1445">
        <f t="shared" si="31"/>
        <v>0</v>
      </c>
      <c r="O146" s="1445">
        <f t="shared" si="31"/>
        <v>0</v>
      </c>
      <c r="P146" s="1445">
        <f t="shared" si="31"/>
        <v>0</v>
      </c>
      <c r="Q146" s="1445">
        <f t="shared" si="31"/>
        <v>0</v>
      </c>
      <c r="R146" s="1445">
        <f t="shared" si="31"/>
        <v>0</v>
      </c>
      <c r="S146" s="1445">
        <f t="shared" si="31"/>
        <v>0</v>
      </c>
      <c r="T146" s="1445">
        <f t="shared" si="31"/>
        <v>0</v>
      </c>
      <c r="U146" s="1445">
        <f t="shared" si="31"/>
        <v>0</v>
      </c>
      <c r="V146" s="1445">
        <f t="shared" si="31"/>
        <v>0</v>
      </c>
      <c r="W146" s="1445">
        <f t="shared" si="31"/>
        <v>0</v>
      </c>
      <c r="X146" s="1445">
        <f t="shared" si="31"/>
        <v>0</v>
      </c>
      <c r="Y146" s="1445">
        <f t="shared" si="31"/>
        <v>0</v>
      </c>
      <c r="Z146" s="1445">
        <f t="shared" si="31"/>
        <v>0</v>
      </c>
      <c r="AA146" s="1445">
        <f t="shared" si="31"/>
        <v>0</v>
      </c>
      <c r="AB146" s="1445">
        <f t="shared" si="31"/>
        <v>0</v>
      </c>
      <c r="AC146" s="1445">
        <f t="shared" si="31"/>
        <v>0</v>
      </c>
      <c r="AD146" s="1445">
        <f t="shared" si="31"/>
        <v>0</v>
      </c>
      <c r="AE146" s="1445">
        <f t="shared" si="31"/>
        <v>0</v>
      </c>
      <c r="AF146" s="1445">
        <f t="shared" si="31"/>
        <v>0</v>
      </c>
      <c r="AG146" s="1445">
        <f t="shared" si="31"/>
        <v>0</v>
      </c>
      <c r="AH146" s="1445">
        <f t="shared" si="31"/>
        <v>0</v>
      </c>
      <c r="AI146" s="1445">
        <f t="shared" si="31"/>
        <v>0</v>
      </c>
      <c r="AJ146" s="1445">
        <f t="shared" si="31"/>
        <v>0</v>
      </c>
      <c r="AK146" s="1445">
        <f t="shared" si="31"/>
        <v>0</v>
      </c>
      <c r="AL146" s="1445">
        <f t="shared" si="31"/>
        <v>0</v>
      </c>
      <c r="AM146" s="1445">
        <f t="shared" si="31"/>
        <v>0</v>
      </c>
      <c r="AN146" s="1445">
        <f t="shared" si="31"/>
        <v>0</v>
      </c>
      <c r="AO146" s="1445">
        <f t="shared" si="31"/>
        <v>0</v>
      </c>
      <c r="AP146" s="1445">
        <f t="shared" si="31"/>
        <v>0</v>
      </c>
      <c r="AQ146" s="1445">
        <f t="shared" si="31"/>
        <v>0</v>
      </c>
      <c r="AR146" s="1445">
        <f t="shared" si="31"/>
        <v>0</v>
      </c>
      <c r="AS146" s="1445">
        <f t="shared" si="31"/>
        <v>0</v>
      </c>
      <c r="AT146" s="1445">
        <f t="shared" si="31"/>
        <v>0</v>
      </c>
      <c r="AU146" s="1445">
        <f t="shared" si="31"/>
        <v>0</v>
      </c>
      <c r="AV146" s="1445">
        <f t="shared" si="31"/>
        <v>0</v>
      </c>
      <c r="AW146" s="1445">
        <f t="shared" si="31"/>
        <v>0</v>
      </c>
      <c r="AX146" s="1445">
        <f t="shared" si="31"/>
        <v>0</v>
      </c>
      <c r="AY146" s="1445">
        <f t="shared" si="31"/>
        <v>0</v>
      </c>
      <c r="AZ146" s="1445">
        <f t="shared" si="31"/>
        <v>0</v>
      </c>
      <c r="BA146" s="1445">
        <f>SUM(BA114:BA145)</f>
        <v>0</v>
      </c>
      <c r="BB146" s="1445">
        <f t="shared" si="31"/>
        <v>0</v>
      </c>
      <c r="BC146" s="1445">
        <f t="shared" si="31"/>
        <v>0</v>
      </c>
      <c r="BD146" s="1445">
        <f t="shared" si="31"/>
        <v>0</v>
      </c>
      <c r="BE146" s="1445">
        <f t="shared" si="31"/>
        <v>0</v>
      </c>
      <c r="BF146" s="1445">
        <f t="shared" si="31"/>
        <v>0</v>
      </c>
      <c r="BG146" s="1445">
        <f t="shared" si="31"/>
        <v>0</v>
      </c>
      <c r="BH146" s="1445">
        <f t="shared" si="31"/>
        <v>0</v>
      </c>
      <c r="BI146" s="1445">
        <f t="shared" si="31"/>
        <v>0</v>
      </c>
      <c r="BJ146" s="1445">
        <f t="shared" si="31"/>
        <v>0</v>
      </c>
      <c r="BK146" s="1445">
        <f t="shared" si="31"/>
        <v>0</v>
      </c>
      <c r="BL146" s="1445">
        <f t="shared" si="31"/>
        <v>0</v>
      </c>
      <c r="BM146" s="1445">
        <f t="shared" si="31"/>
        <v>0</v>
      </c>
      <c r="BN146" s="1445">
        <f t="shared" si="31"/>
        <v>0</v>
      </c>
      <c r="BO146" s="1445">
        <f t="shared" si="31"/>
        <v>0</v>
      </c>
      <c r="BP146" s="1445">
        <f t="shared" si="31"/>
        <v>0</v>
      </c>
      <c r="BQ146" s="1445">
        <f t="shared" si="31"/>
        <v>0</v>
      </c>
      <c r="BR146" s="1445">
        <f t="shared" ref="BR146:CN146" si="32">SUM(BR114:BR145)</f>
        <v>0</v>
      </c>
      <c r="BS146" s="1445">
        <f t="shared" si="32"/>
        <v>0</v>
      </c>
      <c r="BT146" s="1445">
        <f t="shared" si="32"/>
        <v>0</v>
      </c>
      <c r="BU146" s="1445">
        <f t="shared" si="32"/>
        <v>0</v>
      </c>
      <c r="BV146" s="1445">
        <f t="shared" si="32"/>
        <v>0</v>
      </c>
      <c r="BW146" s="1445">
        <f t="shared" si="32"/>
        <v>0</v>
      </c>
      <c r="BX146" s="1445">
        <f t="shared" si="32"/>
        <v>0</v>
      </c>
      <c r="BY146" s="1445">
        <f t="shared" si="32"/>
        <v>0</v>
      </c>
      <c r="BZ146" s="1445">
        <f t="shared" si="32"/>
        <v>0</v>
      </c>
      <c r="CA146" s="1445">
        <f t="shared" si="32"/>
        <v>0</v>
      </c>
      <c r="CB146" s="1445">
        <f t="shared" si="32"/>
        <v>0</v>
      </c>
      <c r="CC146" s="1445">
        <f t="shared" si="32"/>
        <v>0</v>
      </c>
      <c r="CD146" s="1445">
        <f t="shared" si="32"/>
        <v>0</v>
      </c>
      <c r="CE146" s="1445">
        <f t="shared" si="32"/>
        <v>0</v>
      </c>
      <c r="CF146" s="1445">
        <f t="shared" si="32"/>
        <v>0</v>
      </c>
      <c r="CG146" s="1445">
        <f t="shared" si="32"/>
        <v>0</v>
      </c>
      <c r="CH146" s="1445">
        <f t="shared" si="32"/>
        <v>0</v>
      </c>
      <c r="CI146" s="1445">
        <f t="shared" si="32"/>
        <v>0</v>
      </c>
      <c r="CJ146" s="1445">
        <f t="shared" si="32"/>
        <v>0</v>
      </c>
      <c r="CK146" s="1445">
        <f t="shared" si="32"/>
        <v>0</v>
      </c>
      <c r="CL146" s="1445">
        <f t="shared" si="32"/>
        <v>0</v>
      </c>
      <c r="CM146" s="1445"/>
      <c r="CN146" s="1445">
        <f t="shared" si="32"/>
        <v>0</v>
      </c>
      <c r="CO146" s="1229"/>
      <c r="CP146" s="1229"/>
      <c r="CQ146" s="1229"/>
    </row>
    <row r="147" spans="1:95" ht="24" thickBot="1">
      <c r="A147" s="286" t="s">
        <v>130</v>
      </c>
      <c r="B147" s="1272" t="s">
        <v>68</v>
      </c>
      <c r="C147" s="1272" t="s">
        <v>69</v>
      </c>
      <c r="D147" s="1273" t="s">
        <v>70</v>
      </c>
      <c r="E147" s="1274"/>
      <c r="F147" s="743"/>
      <c r="G147" s="744" t="s">
        <v>533</v>
      </c>
      <c r="H147" s="744"/>
      <c r="I147" s="49" t="s">
        <v>94</v>
      </c>
      <c r="J147" s="744"/>
      <c r="K147" s="49"/>
      <c r="L147" s="914"/>
      <c r="M147" s="1279"/>
      <c r="N147" s="1314"/>
      <c r="O147" s="755"/>
      <c r="P147" s="744"/>
      <c r="Q147" s="744"/>
      <c r="R147" s="50"/>
      <c r="S147" s="1013"/>
      <c r="T147" s="51"/>
      <c r="U147" s="1344"/>
      <c r="V147" s="1344"/>
      <c r="W147" s="1073"/>
      <c r="X147" s="743" t="s">
        <v>94</v>
      </c>
      <c r="Y147" s="744" t="s">
        <v>96</v>
      </c>
      <c r="Z147" s="744" t="s">
        <v>81</v>
      </c>
      <c r="AA147" s="744" t="s">
        <v>82</v>
      </c>
      <c r="AB147" s="880" t="s">
        <v>75</v>
      </c>
      <c r="AC147" s="744" t="s">
        <v>83</v>
      </c>
      <c r="AD147" s="744" t="s">
        <v>87</v>
      </c>
      <c r="AE147" s="936" t="s">
        <v>84</v>
      </c>
      <c r="AF147" s="722"/>
      <c r="AG147" s="88" t="s">
        <v>85</v>
      </c>
      <c r="AH147" s="30" t="s">
        <v>86</v>
      </c>
      <c r="AI147" s="30" t="s">
        <v>77</v>
      </c>
      <c r="AJ147" s="89" t="s">
        <v>75</v>
      </c>
      <c r="AK147" s="30" t="s">
        <v>78</v>
      </c>
      <c r="AL147" s="89" t="s">
        <v>53</v>
      </c>
      <c r="AM147" s="112" t="s">
        <v>88</v>
      </c>
      <c r="AN147" s="936" t="s">
        <v>94</v>
      </c>
      <c r="AO147" s="722"/>
      <c r="AP147" s="743" t="s">
        <v>86</v>
      </c>
      <c r="AQ147" s="744" t="s">
        <v>123</v>
      </c>
      <c r="AR147" s="744" t="s">
        <v>90</v>
      </c>
      <c r="AS147" s="744" t="s">
        <v>213</v>
      </c>
      <c r="AT147" s="880" t="s">
        <v>250</v>
      </c>
      <c r="AU147" s="744" t="s">
        <v>85</v>
      </c>
      <c r="AV147" s="880" t="s">
        <v>381</v>
      </c>
      <c r="AW147" s="936" t="s">
        <v>481</v>
      </c>
      <c r="AX147" s="722"/>
      <c r="AY147" s="743"/>
      <c r="AZ147" s="744"/>
      <c r="BA147" s="744"/>
      <c r="BB147" s="744"/>
      <c r="BC147" s="880"/>
      <c r="BD147" s="744"/>
      <c r="BE147" s="880"/>
      <c r="BF147" s="936"/>
      <c r="BG147" s="722"/>
      <c r="BH147" s="743"/>
      <c r="BI147" s="744"/>
      <c r="BJ147" s="744"/>
      <c r="BK147" s="744"/>
      <c r="BL147" s="880"/>
      <c r="BM147" s="51" t="s">
        <v>466</v>
      </c>
      <c r="BN147" s="936"/>
      <c r="BO147" s="936" t="s">
        <v>170</v>
      </c>
      <c r="BP147" s="722"/>
      <c r="BQ147" s="743" t="s">
        <v>250</v>
      </c>
      <c r="BR147" s="744"/>
      <c r="BS147" s="744" t="s">
        <v>92</v>
      </c>
      <c r="BT147" s="744"/>
      <c r="BU147" s="880" t="s">
        <v>469</v>
      </c>
      <c r="BV147" s="744"/>
      <c r="BW147" s="880" t="s">
        <v>149</v>
      </c>
      <c r="BX147" s="936"/>
      <c r="BY147" s="2897"/>
      <c r="BZ147" s="1365"/>
      <c r="CA147" s="880"/>
      <c r="CB147" s="880"/>
      <c r="CC147" s="1318" t="s">
        <v>103</v>
      </c>
      <c r="CD147" s="880"/>
      <c r="CE147" s="880"/>
      <c r="CF147" s="744"/>
      <c r="CG147" s="1279"/>
      <c r="CH147" s="288"/>
      <c r="CI147" s="1391" t="s">
        <v>104</v>
      </c>
      <c r="CJ147" s="1344" t="s">
        <v>105</v>
      </c>
      <c r="CK147" s="1013"/>
      <c r="CL147" s="288" t="s">
        <v>106</v>
      </c>
      <c r="CM147" s="1013"/>
      <c r="CN147" s="288" t="s">
        <v>108</v>
      </c>
      <c r="CO147" s="1229"/>
      <c r="CP147" s="1229"/>
      <c r="CQ147" s="1229"/>
    </row>
    <row r="148" spans="1:95" ht="20.25">
      <c r="A148" s="1446" t="s">
        <v>131</v>
      </c>
      <c r="B148" s="1450"/>
      <c r="C148" s="1450"/>
      <c r="D148" s="1452">
        <v>46131</v>
      </c>
      <c r="E148" s="1277"/>
      <c r="F148" s="1245"/>
      <c r="G148" s="1246"/>
      <c r="H148" s="1246"/>
      <c r="I148" s="1246"/>
      <c r="J148" s="1315"/>
      <c r="K148" s="1246"/>
      <c r="L148" s="1291"/>
      <c r="M148" s="1291"/>
      <c r="N148" s="1316"/>
      <c r="O148" s="1289"/>
      <c r="P148" s="1244"/>
      <c r="Q148" s="1244"/>
      <c r="R148" s="1244"/>
      <c r="S148" s="1324"/>
      <c r="T148" s="1324"/>
      <c r="U148" s="1347"/>
      <c r="V148" s="1345"/>
      <c r="W148" s="1346"/>
      <c r="X148" s="1317"/>
      <c r="Y148" s="1246"/>
      <c r="Z148" s="1246"/>
      <c r="AA148" s="1246"/>
      <c r="AB148" s="1345"/>
      <c r="AC148" s="1345"/>
      <c r="AD148" s="1345"/>
      <c r="AE148" s="1345"/>
      <c r="AF148" s="1346"/>
      <c r="AG148" s="1317"/>
      <c r="AH148" s="1246"/>
      <c r="AI148" s="1246"/>
      <c r="AJ148" s="1345"/>
      <c r="AK148" s="1246"/>
      <c r="AL148" s="1345"/>
      <c r="AM148" s="1345"/>
      <c r="AN148" s="1345"/>
      <c r="AO148" s="1346"/>
      <c r="AP148" s="1317"/>
      <c r="AQ148" s="1246"/>
      <c r="AR148" s="1246"/>
      <c r="AS148" s="1246"/>
      <c r="AT148" s="1345"/>
      <c r="AU148" s="1345"/>
      <c r="AV148" s="1345"/>
      <c r="AW148" s="1345"/>
      <c r="AX148" s="1346"/>
      <c r="AY148" s="1317"/>
      <c r="AZ148" s="1246"/>
      <c r="BA148" s="1246"/>
      <c r="BB148" s="1246"/>
      <c r="BC148" s="1345"/>
      <c r="BD148" s="1345"/>
      <c r="BE148" s="1345"/>
      <c r="BF148" s="1345"/>
      <c r="BG148" s="1346"/>
      <c r="BH148" s="1317"/>
      <c r="BI148" s="1246">
        <f>22*16</f>
        <v>352</v>
      </c>
      <c r="BJ148" s="1246"/>
      <c r="BK148" s="1246"/>
      <c r="BL148" s="1345"/>
      <c r="BM148" s="1345"/>
      <c r="BN148" s="1345"/>
      <c r="BO148" s="1345"/>
      <c r="BP148" s="1346"/>
      <c r="BQ148" s="1317"/>
      <c r="BR148" s="1246"/>
      <c r="BS148" s="1246"/>
      <c r="BT148" s="1246"/>
      <c r="BU148" s="1345"/>
      <c r="BV148" s="1345"/>
      <c r="BW148" s="1345"/>
      <c r="BX148" s="1345"/>
      <c r="BY148" s="1346"/>
      <c r="BZ148" s="1317"/>
      <c r="CA148" s="1246"/>
      <c r="CB148" s="1246"/>
      <c r="CC148" s="1246"/>
      <c r="CD148" s="1246"/>
      <c r="CE148" s="1246"/>
      <c r="CF148" s="1345"/>
      <c r="CG148" s="1392"/>
      <c r="CH148" s="1393"/>
      <c r="CI148" s="1394">
        <f t="shared" ref="CI148:CI179" si="33">SUM(F148:CG148)</f>
        <v>352</v>
      </c>
      <c r="CJ148" s="1435">
        <v>2</v>
      </c>
      <c r="CK148" s="1436"/>
      <c r="CL148" s="1437">
        <f t="shared" ref="CL148:CL179" si="34">CI148+CJ148</f>
        <v>354</v>
      </c>
      <c r="CM148" s="1438">
        <v>5</v>
      </c>
      <c r="CN148" s="1439">
        <f>CL148+CM148</f>
        <v>359</v>
      </c>
      <c r="CO148" s="1229"/>
      <c r="CP148" s="1229"/>
      <c r="CQ148" s="1229"/>
    </row>
    <row r="149" spans="1:95" ht="20.25">
      <c r="A149" s="1446" t="s">
        <v>131</v>
      </c>
      <c r="B149" s="1275"/>
      <c r="C149" s="1275"/>
      <c r="D149" s="1452">
        <v>46132</v>
      </c>
      <c r="E149" s="1277"/>
      <c r="F149" s="1245"/>
      <c r="G149" s="1246"/>
      <c r="H149" s="1246"/>
      <c r="I149" s="1246"/>
      <c r="J149" s="1315"/>
      <c r="K149" s="1448"/>
      <c r="L149" s="1291"/>
      <c r="M149" s="1291"/>
      <c r="N149" s="1316"/>
      <c r="O149" s="1289"/>
      <c r="P149" s="1244"/>
      <c r="Q149" s="1244"/>
      <c r="R149" s="1244"/>
      <c r="S149" s="1324"/>
      <c r="T149" s="1324"/>
      <c r="U149" s="1324"/>
      <c r="V149" s="1345"/>
      <c r="W149" s="1346"/>
      <c r="X149" s="1317"/>
      <c r="Y149" s="1246"/>
      <c r="Z149" s="1246"/>
      <c r="AA149" s="1246"/>
      <c r="AB149" s="1345"/>
      <c r="AC149" s="1345"/>
      <c r="AD149" s="1345"/>
      <c r="AE149" s="1345"/>
      <c r="AF149" s="1346"/>
      <c r="AG149" s="1317"/>
      <c r="AH149" s="1246"/>
      <c r="AI149" s="1246"/>
      <c r="AJ149" s="1345"/>
      <c r="AK149" s="1246"/>
      <c r="AL149" s="1345"/>
      <c r="AM149" s="1345"/>
      <c r="AN149" s="1345"/>
      <c r="AO149" s="1346"/>
      <c r="AP149" s="1317"/>
      <c r="AQ149" s="1246"/>
      <c r="AR149" s="1246"/>
      <c r="AS149" s="1246"/>
      <c r="AT149" s="1345"/>
      <c r="AU149" s="1345"/>
      <c r="AV149" s="1345"/>
      <c r="AW149" s="1345"/>
      <c r="AX149" s="1346"/>
      <c r="AY149" s="1317"/>
      <c r="AZ149" s="1246"/>
      <c r="BA149" s="1246"/>
      <c r="BB149" s="1246"/>
      <c r="BC149" s="1345"/>
      <c r="BD149" s="1345"/>
      <c r="BE149" s="1345"/>
      <c r="BF149" s="1345"/>
      <c r="BG149" s="1346"/>
      <c r="BH149" s="1317"/>
      <c r="BI149" s="1246">
        <f>29*16</f>
        <v>464</v>
      </c>
      <c r="BJ149" s="1246"/>
      <c r="BK149" s="1246"/>
      <c r="BL149" s="1345"/>
      <c r="BM149" s="1345"/>
      <c r="BN149" s="1345"/>
      <c r="BO149" s="1345"/>
      <c r="BP149" s="1346"/>
      <c r="BQ149" s="1317"/>
      <c r="BR149" s="1246"/>
      <c r="BS149" s="1246"/>
      <c r="BT149" s="1246"/>
      <c r="BU149" s="1345"/>
      <c r="BV149" s="1345"/>
      <c r="BW149" s="1345"/>
      <c r="BX149" s="1345"/>
      <c r="BY149" s="1346"/>
      <c r="BZ149" s="1317"/>
      <c r="CA149" s="1246"/>
      <c r="CB149" s="1246"/>
      <c r="CC149" s="1246"/>
      <c r="CD149" s="1246"/>
      <c r="CE149" s="1246"/>
      <c r="CF149" s="1345"/>
      <c r="CG149" s="1392"/>
      <c r="CH149" s="1393"/>
      <c r="CI149" s="1394">
        <f t="shared" si="33"/>
        <v>464</v>
      </c>
      <c r="CJ149" s="1435"/>
      <c r="CK149" s="1436"/>
      <c r="CL149" s="1437">
        <f t="shared" si="34"/>
        <v>464</v>
      </c>
      <c r="CM149" s="1438">
        <v>10</v>
      </c>
      <c r="CN149" s="1439">
        <f>CL149+CM149</f>
        <v>474</v>
      </c>
      <c r="CO149" s="1229"/>
      <c r="CP149" s="1229"/>
      <c r="CQ149" s="1229"/>
    </row>
    <row r="150" spans="1:95" ht="20.25">
      <c r="A150" s="1446" t="s">
        <v>131</v>
      </c>
      <c r="B150" s="1275"/>
      <c r="C150" s="1275"/>
      <c r="D150" s="1452">
        <v>46133</v>
      </c>
      <c r="E150" s="1277"/>
      <c r="F150" s="1245"/>
      <c r="G150" s="1246"/>
      <c r="H150" s="1246"/>
      <c r="I150" s="1246"/>
      <c r="J150" s="1315"/>
      <c r="K150" s="1246"/>
      <c r="L150" s="1291"/>
      <c r="M150" s="1291"/>
      <c r="N150" s="1316"/>
      <c r="O150" s="1289"/>
      <c r="P150" s="1244"/>
      <c r="Q150" s="1244"/>
      <c r="R150" s="1244"/>
      <c r="S150" s="1324"/>
      <c r="T150" s="1324"/>
      <c r="U150" s="1347"/>
      <c r="V150" s="1345"/>
      <c r="W150" s="1346"/>
      <c r="X150" s="1317"/>
      <c r="Y150" s="1246"/>
      <c r="Z150" s="1246"/>
      <c r="AA150" s="1246"/>
      <c r="AB150" s="1345"/>
      <c r="AC150" s="1345"/>
      <c r="AD150" s="1345"/>
      <c r="AE150" s="1345"/>
      <c r="AF150" s="1346"/>
      <c r="AG150" s="1317"/>
      <c r="AH150" s="1246"/>
      <c r="AI150" s="1246"/>
      <c r="AJ150" s="1345"/>
      <c r="AK150" s="1246"/>
      <c r="AL150" s="1345"/>
      <c r="AM150" s="1345"/>
      <c r="AN150" s="1345"/>
      <c r="AO150" s="1346"/>
      <c r="AP150" s="1317"/>
      <c r="AQ150" s="1246"/>
      <c r="AR150" s="1246"/>
      <c r="AS150" s="1246"/>
      <c r="AT150" s="1345"/>
      <c r="AU150" s="1345"/>
      <c r="AV150" s="1345"/>
      <c r="AW150" s="1345"/>
      <c r="AX150" s="1346"/>
      <c r="AY150" s="1317"/>
      <c r="AZ150" s="1246"/>
      <c r="BA150" s="1246"/>
      <c r="BB150" s="1246"/>
      <c r="BC150" s="1345"/>
      <c r="BD150" s="1345">
        <f>23*16</f>
        <v>368</v>
      </c>
      <c r="BE150" s="1345"/>
      <c r="BF150" s="1345"/>
      <c r="BG150" s="1346"/>
      <c r="BH150" s="1317"/>
      <c r="BI150" s="1246">
        <f>7*16</f>
        <v>112</v>
      </c>
      <c r="BJ150" s="1246"/>
      <c r="BK150" s="1246"/>
      <c r="BL150" s="1345"/>
      <c r="BM150" s="1345"/>
      <c r="BN150" s="1345"/>
      <c r="BO150" s="1345"/>
      <c r="BP150" s="1346"/>
      <c r="BQ150" s="1317"/>
      <c r="BR150" s="1246"/>
      <c r="BS150" s="1246"/>
      <c r="BT150" s="1246"/>
      <c r="BU150" s="1345"/>
      <c r="BV150" s="1345"/>
      <c r="BW150" s="1345"/>
      <c r="BX150" s="1345"/>
      <c r="BY150" s="1346"/>
      <c r="BZ150" s="1317"/>
      <c r="CA150" s="1246"/>
      <c r="CB150" s="1246"/>
      <c r="CC150" s="1246"/>
      <c r="CD150" s="1246"/>
      <c r="CE150" s="1246"/>
      <c r="CF150" s="1345"/>
      <c r="CG150" s="1392"/>
      <c r="CH150" s="1393"/>
      <c r="CI150" s="1394">
        <f t="shared" si="33"/>
        <v>480</v>
      </c>
      <c r="CJ150" s="1435">
        <v>2</v>
      </c>
      <c r="CK150" s="1436"/>
      <c r="CL150" s="1437">
        <f t="shared" si="34"/>
        <v>482</v>
      </c>
      <c r="CM150" s="1438">
        <f>3+2</f>
        <v>5</v>
      </c>
      <c r="CN150" s="1439">
        <f t="shared" ref="CN150:CN179" si="35">CL150+CM150</f>
        <v>487</v>
      </c>
      <c r="CO150" s="1229"/>
      <c r="CP150" s="1229"/>
      <c r="CQ150" s="1229"/>
    </row>
    <row r="151" spans="1:95" ht="20.25">
      <c r="A151" s="1446" t="s">
        <v>131</v>
      </c>
      <c r="B151" s="1275"/>
      <c r="C151" s="1275"/>
      <c r="D151" s="1452">
        <v>46134</v>
      </c>
      <c r="E151" s="1277"/>
      <c r="F151" s="1245"/>
      <c r="G151" s="1246"/>
      <c r="H151" s="1246"/>
      <c r="I151" s="1246"/>
      <c r="J151" s="1315"/>
      <c r="K151" s="1246"/>
      <c r="L151" s="1291"/>
      <c r="M151" s="1291"/>
      <c r="N151" s="1316"/>
      <c r="O151" s="1317"/>
      <c r="P151" s="1246"/>
      <c r="Q151" s="1246"/>
      <c r="R151" s="1246"/>
      <c r="S151" s="1345"/>
      <c r="T151" s="1345"/>
      <c r="U151" s="1345"/>
      <c r="V151" s="1345"/>
      <c r="W151" s="1346"/>
      <c r="X151" s="1317"/>
      <c r="Y151" s="1246"/>
      <c r="Z151" s="1246"/>
      <c r="AA151" s="1246"/>
      <c r="AB151" s="1345"/>
      <c r="AC151" s="1345"/>
      <c r="AD151" s="1345"/>
      <c r="AE151" s="1345"/>
      <c r="AF151" s="1346"/>
      <c r="AG151" s="1345"/>
      <c r="AH151" s="1246"/>
      <c r="AI151" s="1246"/>
      <c r="AJ151" s="1345"/>
      <c r="AK151" s="1246"/>
      <c r="AL151" s="1345"/>
      <c r="AM151" s="1345"/>
      <c r="AN151" s="1345"/>
      <c r="AO151" s="1346"/>
      <c r="AP151" s="1317"/>
      <c r="AQ151" s="1246"/>
      <c r="AR151" s="1246"/>
      <c r="AS151" s="1246"/>
      <c r="AT151" s="1345"/>
      <c r="AU151" s="1345"/>
      <c r="AV151" s="1345"/>
      <c r="AW151" s="1345"/>
      <c r="AX151" s="1346"/>
      <c r="AY151" s="1317"/>
      <c r="AZ151" s="1246"/>
      <c r="BA151" s="1246"/>
      <c r="BB151" s="1246"/>
      <c r="BC151" s="1345"/>
      <c r="BD151" s="1345">
        <f>31*16</f>
        <v>496</v>
      </c>
      <c r="BE151" s="1345"/>
      <c r="BF151" s="1345"/>
      <c r="BG151" s="1346"/>
      <c r="BH151" s="1317"/>
      <c r="BI151" s="1246"/>
      <c r="BJ151" s="1246"/>
      <c r="BK151" s="1246"/>
      <c r="BL151" s="1345"/>
      <c r="BM151" s="1345"/>
      <c r="BN151" s="1345"/>
      <c r="BO151" s="1345"/>
      <c r="BP151" s="1346"/>
      <c r="BQ151" s="1317"/>
      <c r="BR151" s="1246"/>
      <c r="BS151" s="1246"/>
      <c r="BT151" s="1246"/>
      <c r="BU151" s="1345"/>
      <c r="BV151" s="1345"/>
      <c r="BW151" s="1345"/>
      <c r="BX151" s="1345"/>
      <c r="BY151" s="1346"/>
      <c r="BZ151" s="1317"/>
      <c r="CA151" s="1246"/>
      <c r="CB151" s="1246"/>
      <c r="CC151" s="1246"/>
      <c r="CD151" s="1246"/>
      <c r="CE151" s="1246"/>
      <c r="CF151" s="1345"/>
      <c r="CG151" s="1392"/>
      <c r="CH151" s="1393"/>
      <c r="CI151" s="1394">
        <f t="shared" si="33"/>
        <v>496</v>
      </c>
      <c r="CJ151" s="1435"/>
      <c r="CK151" s="1436"/>
      <c r="CL151" s="1437">
        <f t="shared" si="34"/>
        <v>496</v>
      </c>
      <c r="CM151" s="1438">
        <v>2</v>
      </c>
      <c r="CN151" s="1439">
        <f t="shared" si="35"/>
        <v>498</v>
      </c>
      <c r="CO151" s="1229"/>
      <c r="CP151" s="1229"/>
      <c r="CQ151" s="1229"/>
    </row>
    <row r="152" spans="1:95" ht="20.25">
      <c r="A152" s="1446" t="s">
        <v>131</v>
      </c>
      <c r="B152" s="1275"/>
      <c r="C152" s="1275"/>
      <c r="D152" s="1452">
        <v>46135</v>
      </c>
      <c r="E152" s="1277"/>
      <c r="F152" s="1245"/>
      <c r="G152" s="1246"/>
      <c r="H152" s="1246"/>
      <c r="I152" s="1246"/>
      <c r="J152" s="1315"/>
      <c r="K152" s="1246"/>
      <c r="L152" s="1291"/>
      <c r="M152" s="1291"/>
      <c r="N152" s="1316"/>
      <c r="O152" s="1317"/>
      <c r="P152" s="1246"/>
      <c r="Q152" s="1246"/>
      <c r="R152" s="1246"/>
      <c r="S152" s="1345"/>
      <c r="T152" s="1345"/>
      <c r="U152" s="1345"/>
      <c r="V152" s="1345"/>
      <c r="W152" s="1346"/>
      <c r="X152" s="1317"/>
      <c r="Y152" s="1246"/>
      <c r="Z152" s="1246"/>
      <c r="AA152" s="1246"/>
      <c r="AB152" s="1345"/>
      <c r="AC152" s="1345"/>
      <c r="AD152" s="1345"/>
      <c r="AE152" s="1345"/>
      <c r="AF152" s="1346"/>
      <c r="AG152" s="1317"/>
      <c r="AH152" s="1246"/>
      <c r="AI152" s="1246"/>
      <c r="AJ152" s="1345"/>
      <c r="AK152" s="1246"/>
      <c r="AL152" s="1345"/>
      <c r="AM152" s="1345"/>
      <c r="AN152" s="1464"/>
      <c r="AO152" s="1346"/>
      <c r="AP152" s="1317"/>
      <c r="AQ152" s="1246"/>
      <c r="AR152" s="1246"/>
      <c r="AS152" s="1246"/>
      <c r="AT152" s="1345"/>
      <c r="AU152" s="1345"/>
      <c r="AV152" s="1345"/>
      <c r="AW152" s="1345"/>
      <c r="AX152" s="1346"/>
      <c r="AY152" s="1317"/>
      <c r="AZ152" s="1246"/>
      <c r="BA152" s="1246"/>
      <c r="BB152" s="1246"/>
      <c r="BC152" s="1345"/>
      <c r="BD152" s="1345">
        <f>15*16</f>
        <v>240</v>
      </c>
      <c r="BE152" s="1345"/>
      <c r="BF152" s="1345"/>
      <c r="BG152" s="1346"/>
      <c r="BH152" s="1317"/>
      <c r="BI152" s="1246"/>
      <c r="BJ152" s="1246"/>
      <c r="BK152" s="1246"/>
      <c r="BL152" s="1345"/>
      <c r="BM152" s="1345"/>
      <c r="BN152" s="1345"/>
      <c r="BO152" s="1345"/>
      <c r="BP152" s="1346"/>
      <c r="BQ152" s="1317"/>
      <c r="BR152" s="1246"/>
      <c r="BS152" s="1246"/>
      <c r="BT152" s="1246"/>
      <c r="BU152" s="1345"/>
      <c r="BV152" s="1345"/>
      <c r="BW152" s="1345"/>
      <c r="BX152" s="1345"/>
      <c r="BY152" s="1346"/>
      <c r="BZ152" s="1317"/>
      <c r="CA152" s="1246"/>
      <c r="CB152" s="1246"/>
      <c r="CC152" s="1246"/>
      <c r="CD152" s="1246"/>
      <c r="CE152" s="1246"/>
      <c r="CF152" s="1345"/>
      <c r="CG152" s="1392"/>
      <c r="CH152" s="1393"/>
      <c r="CI152" s="1394">
        <f t="shared" si="33"/>
        <v>240</v>
      </c>
      <c r="CJ152" s="1435"/>
      <c r="CK152" s="1436"/>
      <c r="CL152" s="1437">
        <f t="shared" si="34"/>
        <v>240</v>
      </c>
      <c r="CM152" s="1438">
        <v>2</v>
      </c>
      <c r="CN152" s="1439">
        <f t="shared" si="35"/>
        <v>242</v>
      </c>
      <c r="CO152" s="1229"/>
      <c r="CP152" s="1229"/>
      <c r="CQ152" s="1229"/>
    </row>
    <row r="153" spans="1:95" ht="20.25">
      <c r="A153" s="1446" t="s">
        <v>131</v>
      </c>
      <c r="B153" s="1450"/>
      <c r="C153" s="1450"/>
      <c r="D153" s="1452">
        <v>46136</v>
      </c>
      <c r="E153" s="1277"/>
      <c r="F153" s="1447"/>
      <c r="G153" s="1448"/>
      <c r="H153" s="1448"/>
      <c r="I153" s="1448"/>
      <c r="J153" s="1458"/>
      <c r="K153" s="1448"/>
      <c r="L153" s="1459"/>
      <c r="M153" s="1459"/>
      <c r="N153" s="1316"/>
      <c r="O153" s="1286"/>
      <c r="P153" s="1242"/>
      <c r="Q153" s="1242"/>
      <c r="R153" s="1242"/>
      <c r="S153" s="1322"/>
      <c r="T153" s="1322"/>
      <c r="U153" s="1322"/>
      <c r="V153" s="1460"/>
      <c r="W153" s="1346"/>
      <c r="X153" s="1461"/>
      <c r="Y153" s="1448"/>
      <c r="Z153" s="1448"/>
      <c r="AA153" s="1448"/>
      <c r="AB153" s="1460"/>
      <c r="AC153" s="1460"/>
      <c r="AD153" s="1460"/>
      <c r="AE153" s="1460"/>
      <c r="AF153" s="1346"/>
      <c r="AG153" s="1461"/>
      <c r="AH153" s="1448"/>
      <c r="AI153" s="1448"/>
      <c r="AJ153" s="1460"/>
      <c r="AK153" s="1460"/>
      <c r="AL153" s="1460"/>
      <c r="AM153" s="1460"/>
      <c r="AN153" s="1460"/>
      <c r="AO153" s="1346"/>
      <c r="AP153" s="1461"/>
      <c r="AQ153" s="1448"/>
      <c r="AR153" s="1448"/>
      <c r="AS153" s="1448"/>
      <c r="AT153" s="1460"/>
      <c r="AU153" s="1460"/>
      <c r="AV153" s="1460"/>
      <c r="AW153" s="1460"/>
      <c r="AX153" s="1346"/>
      <c r="AY153" s="1461"/>
      <c r="AZ153" s="1448"/>
      <c r="BA153" s="1448"/>
      <c r="BB153" s="1448"/>
      <c r="BC153" s="1460"/>
      <c r="BD153" s="1460">
        <f>33*16</f>
        <v>528</v>
      </c>
      <c r="BE153" s="1460"/>
      <c r="BF153" s="1460"/>
      <c r="BG153" s="1346"/>
      <c r="BH153" s="1461"/>
      <c r="BI153" s="1448"/>
      <c r="BJ153" s="1448"/>
      <c r="BK153" s="1448"/>
      <c r="BL153" s="1460"/>
      <c r="BM153" s="1460"/>
      <c r="BN153" s="1460"/>
      <c r="BO153" s="1460"/>
      <c r="BP153" s="1346"/>
      <c r="BQ153" s="1461"/>
      <c r="BR153" s="1448"/>
      <c r="BS153" s="1448"/>
      <c r="BT153" s="1448"/>
      <c r="BU153" s="1460"/>
      <c r="BV153" s="1460"/>
      <c r="BW153" s="1460"/>
      <c r="BX153" s="1460"/>
      <c r="BY153" s="1346"/>
      <c r="BZ153" s="1461"/>
      <c r="CA153" s="1448"/>
      <c r="CB153" s="1448"/>
      <c r="CC153" s="1448"/>
      <c r="CD153" s="1448"/>
      <c r="CE153" s="1448"/>
      <c r="CF153" s="1460"/>
      <c r="CG153" s="1468"/>
      <c r="CH153" s="1393"/>
      <c r="CI153" s="1394">
        <f t="shared" si="33"/>
        <v>528</v>
      </c>
      <c r="CJ153" s="1435"/>
      <c r="CK153" s="1436"/>
      <c r="CL153" s="1437">
        <f t="shared" si="34"/>
        <v>528</v>
      </c>
      <c r="CM153" s="1438">
        <v>2</v>
      </c>
      <c r="CN153" s="1439">
        <f t="shared" si="35"/>
        <v>530</v>
      </c>
      <c r="CO153" s="1229"/>
      <c r="CP153" s="1229"/>
      <c r="CQ153" s="1229"/>
    </row>
    <row r="154" spans="1:95" ht="20.25">
      <c r="A154" s="1446" t="s">
        <v>131</v>
      </c>
      <c r="B154" s="1275"/>
      <c r="C154" s="1275"/>
      <c r="D154" s="1452">
        <v>46137</v>
      </c>
      <c r="E154" s="1277"/>
      <c r="F154" s="1245"/>
      <c r="G154" s="1246"/>
      <c r="H154" s="1246"/>
      <c r="I154" s="1246"/>
      <c r="J154" s="1315"/>
      <c r="K154" s="1246"/>
      <c r="L154" s="1291"/>
      <c r="M154" s="1291"/>
      <c r="N154" s="1316"/>
      <c r="O154" s="1317"/>
      <c r="P154" s="1246"/>
      <c r="Q154" s="1246"/>
      <c r="R154" s="1246"/>
      <c r="S154" s="1345"/>
      <c r="T154" s="1345"/>
      <c r="U154" s="1345"/>
      <c r="V154" s="1345"/>
      <c r="W154" s="1346"/>
      <c r="X154" s="1317"/>
      <c r="Y154" s="1246"/>
      <c r="Z154" s="1246"/>
      <c r="AA154" s="1246"/>
      <c r="AB154" s="1345"/>
      <c r="AC154" s="1345"/>
      <c r="AD154" s="1345"/>
      <c r="AE154" s="1345"/>
      <c r="AF154" s="1346"/>
      <c r="AG154" s="1317"/>
      <c r="AH154" s="1246"/>
      <c r="AI154" s="1246"/>
      <c r="AJ154" s="1345"/>
      <c r="AK154" s="1345"/>
      <c r="AL154" s="1345"/>
      <c r="AM154" s="1345"/>
      <c r="AN154" s="1345"/>
      <c r="AO154" s="1346"/>
      <c r="AP154" s="1317"/>
      <c r="AQ154" s="1246"/>
      <c r="AR154" s="1246"/>
      <c r="AS154" s="1246"/>
      <c r="AT154" s="1345"/>
      <c r="AU154" s="1345"/>
      <c r="AV154" s="1345"/>
      <c r="AW154" s="1345"/>
      <c r="AX154" s="1346"/>
      <c r="AY154" s="1317"/>
      <c r="AZ154" s="1246"/>
      <c r="BA154" s="1246"/>
      <c r="BB154" s="1246"/>
      <c r="BC154" s="1345"/>
      <c r="BD154" s="1345">
        <f>31*16+13*16</f>
        <v>704</v>
      </c>
      <c r="BE154" s="1345"/>
      <c r="BF154" s="1345"/>
      <c r="BG154" s="1346"/>
      <c r="BH154" s="1317"/>
      <c r="BI154" s="1246"/>
      <c r="BJ154" s="1246"/>
      <c r="BK154" s="1246"/>
      <c r="BL154" s="1345"/>
      <c r="BM154" s="1345"/>
      <c r="BN154" s="1345"/>
      <c r="BO154" s="1345"/>
      <c r="BP154" s="1346"/>
      <c r="BQ154" s="1317"/>
      <c r="BR154" s="1246"/>
      <c r="BS154" s="1246"/>
      <c r="BT154" s="1246"/>
      <c r="BU154" s="1345"/>
      <c r="BV154" s="1345"/>
      <c r="BW154" s="1345"/>
      <c r="BX154" s="1345"/>
      <c r="BY154" s="1346"/>
      <c r="BZ154" s="1317"/>
      <c r="CA154" s="1246"/>
      <c r="CB154" s="1246"/>
      <c r="CC154" s="1246"/>
      <c r="CD154" s="1246"/>
      <c r="CE154" s="1246"/>
      <c r="CF154" s="1345"/>
      <c r="CG154" s="1392"/>
      <c r="CH154" s="1393"/>
      <c r="CI154" s="1394">
        <f t="shared" si="33"/>
        <v>704</v>
      </c>
      <c r="CJ154" s="1435"/>
      <c r="CK154" s="1436"/>
      <c r="CL154" s="1437">
        <f t="shared" si="34"/>
        <v>704</v>
      </c>
      <c r="CM154" s="1438">
        <f>5+3</f>
        <v>8</v>
      </c>
      <c r="CN154" s="1439">
        <f t="shared" si="35"/>
        <v>712</v>
      </c>
      <c r="CO154" s="1229"/>
      <c r="CP154" s="1229"/>
      <c r="CQ154" s="1229"/>
    </row>
    <row r="155" spans="1:95" ht="20.25">
      <c r="A155" s="1446" t="s">
        <v>131</v>
      </c>
      <c r="B155" s="1275"/>
      <c r="C155" s="1275"/>
      <c r="D155" s="1452">
        <v>46138</v>
      </c>
      <c r="E155" s="1277"/>
      <c r="F155" s="1245"/>
      <c r="G155" s="1246"/>
      <c r="H155" s="1246"/>
      <c r="I155" s="1246"/>
      <c r="J155" s="1315"/>
      <c r="K155" s="1246"/>
      <c r="L155" s="1291"/>
      <c r="M155" s="1291"/>
      <c r="N155" s="1316"/>
      <c r="O155" s="1317"/>
      <c r="P155" s="1246"/>
      <c r="Q155" s="1246"/>
      <c r="R155" s="1246"/>
      <c r="S155" s="1345"/>
      <c r="T155" s="1345"/>
      <c r="U155" s="1345"/>
      <c r="V155" s="1345"/>
      <c r="W155" s="1346"/>
      <c r="X155" s="1317"/>
      <c r="Y155" s="1246"/>
      <c r="Z155" s="1246"/>
      <c r="AA155" s="1246"/>
      <c r="AB155" s="1345"/>
      <c r="AC155" s="1345"/>
      <c r="AD155" s="1345"/>
      <c r="AE155" s="1345"/>
      <c r="AF155" s="1346"/>
      <c r="AG155" s="1317"/>
      <c r="AH155" s="1246"/>
      <c r="AI155" s="1246"/>
      <c r="AJ155" s="1345"/>
      <c r="AK155" s="1345"/>
      <c r="AL155" s="1345"/>
      <c r="AM155" s="1345"/>
      <c r="AN155" s="1345"/>
      <c r="AO155" s="1346"/>
      <c r="AP155" s="1317"/>
      <c r="AQ155" s="1246"/>
      <c r="AR155" s="1246"/>
      <c r="AS155" s="1246"/>
      <c r="AT155" s="1345"/>
      <c r="AU155" s="1345"/>
      <c r="AV155" s="1345"/>
      <c r="AW155" s="1345"/>
      <c r="AX155" s="1346"/>
      <c r="AY155" s="1317"/>
      <c r="AZ155" s="1246"/>
      <c r="BA155" s="1246">
        <f>22*16+33*16</f>
        <v>880</v>
      </c>
      <c r="BB155" s="1246"/>
      <c r="BC155" s="1345"/>
      <c r="BD155" s="1345">
        <f>12*16</f>
        <v>192</v>
      </c>
      <c r="BE155" s="1345"/>
      <c r="BF155" s="1345"/>
      <c r="BG155" s="1346"/>
      <c r="BH155" s="1317"/>
      <c r="BI155" s="1246"/>
      <c r="BJ155" s="1246"/>
      <c r="BK155" s="1246"/>
      <c r="BL155" s="1345"/>
      <c r="BM155" s="1345"/>
      <c r="BN155" s="1345"/>
      <c r="BO155" s="1345"/>
      <c r="BP155" s="1346"/>
      <c r="BQ155" s="1317"/>
      <c r="BR155" s="1246"/>
      <c r="BS155" s="1246"/>
      <c r="BT155" s="1246"/>
      <c r="BU155" s="1345"/>
      <c r="BV155" s="1345"/>
      <c r="BW155" s="1345"/>
      <c r="BX155" s="1345"/>
      <c r="BY155" s="1346"/>
      <c r="BZ155" s="1317"/>
      <c r="CA155" s="1246"/>
      <c r="CB155" s="1246"/>
      <c r="CC155" s="1246"/>
      <c r="CD155" s="1246"/>
      <c r="CE155" s="1246"/>
      <c r="CF155" s="1345"/>
      <c r="CG155" s="1392"/>
      <c r="CH155" s="1393"/>
      <c r="CI155" s="1394">
        <f t="shared" si="33"/>
        <v>1072</v>
      </c>
      <c r="CJ155" s="1435">
        <f>9+3</f>
        <v>12</v>
      </c>
      <c r="CK155" s="1436"/>
      <c r="CL155" s="1437">
        <f t="shared" si="34"/>
        <v>1084</v>
      </c>
      <c r="CM155" s="1438">
        <v>4</v>
      </c>
      <c r="CN155" s="1439">
        <f t="shared" si="35"/>
        <v>1088</v>
      </c>
      <c r="CO155" s="1229"/>
      <c r="CP155" s="1229"/>
      <c r="CQ155" s="1229"/>
    </row>
    <row r="156" spans="1:95" ht="20.25">
      <c r="A156" s="1446" t="s">
        <v>131</v>
      </c>
      <c r="B156" s="1275"/>
      <c r="C156" s="1275"/>
      <c r="D156" s="1452">
        <v>46139</v>
      </c>
      <c r="E156" s="1277"/>
      <c r="F156" s="1245"/>
      <c r="G156" s="1246"/>
      <c r="H156" s="1246"/>
      <c r="I156" s="1246"/>
      <c r="J156" s="1315"/>
      <c r="K156" s="1246"/>
      <c r="L156" s="1291"/>
      <c r="M156" s="1291"/>
      <c r="N156" s="1316"/>
      <c r="O156" s="1317"/>
      <c r="P156" s="1246"/>
      <c r="Q156" s="1246"/>
      <c r="R156" s="1246"/>
      <c r="S156" s="1345"/>
      <c r="T156" s="1345"/>
      <c r="U156" s="1345"/>
      <c r="V156" s="1345"/>
      <c r="W156" s="1346"/>
      <c r="X156" s="1317"/>
      <c r="Y156" s="1246"/>
      <c r="Z156" s="1246"/>
      <c r="AA156" s="1246"/>
      <c r="AB156" s="1345"/>
      <c r="AC156" s="1345"/>
      <c r="AD156" s="1345"/>
      <c r="AE156" s="1345"/>
      <c r="AF156" s="1346"/>
      <c r="AG156" s="1317"/>
      <c r="AH156" s="1246"/>
      <c r="AI156" s="1246"/>
      <c r="AJ156" s="1345"/>
      <c r="AK156" s="1345"/>
      <c r="AL156" s="1345"/>
      <c r="AM156" s="1345"/>
      <c r="AN156" s="1345"/>
      <c r="AO156" s="1346"/>
      <c r="AP156" s="1317"/>
      <c r="AQ156" s="1246"/>
      <c r="AR156" s="1246"/>
      <c r="AS156" s="1246"/>
      <c r="AT156" s="1345"/>
      <c r="AU156" s="1345"/>
      <c r="AV156" s="1345"/>
      <c r="AW156" s="1345"/>
      <c r="AX156" s="1346"/>
      <c r="AY156" s="1317"/>
      <c r="AZ156" s="1246"/>
      <c r="BA156" s="1246">
        <f>33*16+29*16</f>
        <v>992</v>
      </c>
      <c r="BB156" s="1246"/>
      <c r="BC156" s="1345"/>
      <c r="BD156" s="1345"/>
      <c r="BE156" s="1345"/>
      <c r="BF156" s="1345"/>
      <c r="BG156" s="1346"/>
      <c r="BH156" s="1317"/>
      <c r="BI156" s="1246"/>
      <c r="BJ156" s="1246"/>
      <c r="BK156" s="1246"/>
      <c r="BL156" s="1345"/>
      <c r="BM156" s="1345"/>
      <c r="BN156" s="1345"/>
      <c r="BO156" s="1345"/>
      <c r="BP156" s="1346"/>
      <c r="BQ156" s="1317"/>
      <c r="BR156" s="1246"/>
      <c r="BS156" s="1246"/>
      <c r="BT156" s="1246"/>
      <c r="BU156" s="1345"/>
      <c r="BV156" s="1345"/>
      <c r="BW156" s="1345"/>
      <c r="BX156" s="1345"/>
      <c r="BY156" s="1346"/>
      <c r="BZ156" s="1317"/>
      <c r="CA156" s="1246"/>
      <c r="CB156" s="1246"/>
      <c r="CC156" s="1246"/>
      <c r="CD156" s="1246"/>
      <c r="CE156" s="1246"/>
      <c r="CF156" s="1345"/>
      <c r="CG156" s="1392"/>
      <c r="CH156" s="1393"/>
      <c r="CI156" s="1394">
        <f t="shared" si="33"/>
        <v>992</v>
      </c>
      <c r="CJ156" s="1435">
        <f>5+7</f>
        <v>12</v>
      </c>
      <c r="CK156" s="1436"/>
      <c r="CL156" s="1437">
        <f t="shared" si="34"/>
        <v>1004</v>
      </c>
      <c r="CM156" s="1438">
        <f>1+3</f>
        <v>4</v>
      </c>
      <c r="CN156" s="1439">
        <f t="shared" si="35"/>
        <v>1008</v>
      </c>
      <c r="CO156" s="1229"/>
      <c r="CP156" s="1229"/>
      <c r="CQ156" s="1229"/>
    </row>
    <row r="157" spans="1:95" ht="20.25">
      <c r="A157" s="1446" t="s">
        <v>131</v>
      </c>
      <c r="B157" s="1275"/>
      <c r="C157" s="1275"/>
      <c r="D157" s="1452">
        <v>46140</v>
      </c>
      <c r="E157" s="1277"/>
      <c r="F157" s="1245"/>
      <c r="G157" s="1246"/>
      <c r="H157" s="1246"/>
      <c r="I157" s="1246"/>
      <c r="J157" s="1315"/>
      <c r="K157" s="1246"/>
      <c r="L157" s="1291"/>
      <c r="M157" s="1291"/>
      <c r="N157" s="1316"/>
      <c r="O157" s="1317"/>
      <c r="P157" s="1246"/>
      <c r="Q157" s="1246"/>
      <c r="R157" s="1246"/>
      <c r="S157" s="1345"/>
      <c r="T157" s="1345"/>
      <c r="U157" s="1345"/>
      <c r="V157" s="1345"/>
      <c r="W157" s="1346"/>
      <c r="X157" s="1317"/>
      <c r="Y157" s="1246"/>
      <c r="Z157" s="1246"/>
      <c r="AA157" s="1246"/>
      <c r="AB157" s="1345"/>
      <c r="AC157" s="1345"/>
      <c r="AD157" s="1345"/>
      <c r="AE157" s="1345"/>
      <c r="AF157" s="1346"/>
      <c r="AG157" s="1317"/>
      <c r="AH157" s="1246"/>
      <c r="AI157" s="1246"/>
      <c r="AJ157" s="1345"/>
      <c r="AK157" s="1345"/>
      <c r="AL157" s="1345"/>
      <c r="AM157" s="1345"/>
      <c r="AN157" s="1345"/>
      <c r="AO157" s="1346"/>
      <c r="AP157" s="1317"/>
      <c r="AQ157" s="1246"/>
      <c r="AR157" s="1246"/>
      <c r="AS157" s="1246"/>
      <c r="AT157" s="1345"/>
      <c r="AU157" s="1345"/>
      <c r="AV157" s="1345"/>
      <c r="AW157" s="1345"/>
      <c r="AX157" s="1346"/>
      <c r="AY157" s="1317"/>
      <c r="AZ157" s="1246"/>
      <c r="BA157" s="1246">
        <f>26*16+18*16</f>
        <v>704</v>
      </c>
      <c r="BB157" s="1246"/>
      <c r="BC157" s="1345"/>
      <c r="BD157" s="1345"/>
      <c r="BE157" s="1345"/>
      <c r="BF157" s="1345"/>
      <c r="BG157" s="1346"/>
      <c r="BH157" s="1317"/>
      <c r="BI157" s="1246"/>
      <c r="BJ157" s="1246"/>
      <c r="BK157" s="1246"/>
      <c r="BL157" s="1345"/>
      <c r="BM157" s="1345"/>
      <c r="BN157" s="1345"/>
      <c r="BO157" s="1345"/>
      <c r="BP157" s="1346"/>
      <c r="BQ157" s="1317"/>
      <c r="BR157" s="1246"/>
      <c r="BS157" s="1246"/>
      <c r="BT157" s="1246"/>
      <c r="BU157" s="1345"/>
      <c r="BV157" s="1345"/>
      <c r="BW157" s="1345"/>
      <c r="BX157" s="1345"/>
      <c r="BY157" s="1346"/>
      <c r="BZ157" s="1317"/>
      <c r="CA157" s="1246"/>
      <c r="CB157" s="1246"/>
      <c r="CC157" s="1246"/>
      <c r="CD157" s="1246"/>
      <c r="CE157" s="1246"/>
      <c r="CF157" s="1345"/>
      <c r="CG157" s="1392"/>
      <c r="CH157" s="1393"/>
      <c r="CI157" s="1394">
        <f t="shared" si="33"/>
        <v>704</v>
      </c>
      <c r="CJ157" s="1435">
        <f>3+1</f>
        <v>4</v>
      </c>
      <c r="CK157" s="1436"/>
      <c r="CL157" s="1437">
        <f t="shared" si="34"/>
        <v>708</v>
      </c>
      <c r="CM157" s="1438">
        <f>2+3</f>
        <v>5</v>
      </c>
      <c r="CN157" s="1439">
        <f t="shared" si="35"/>
        <v>713</v>
      </c>
      <c r="CO157" s="1229"/>
      <c r="CP157" s="1229"/>
      <c r="CQ157" s="1229"/>
    </row>
    <row r="158" spans="1:95" ht="20.25">
      <c r="A158" s="1446" t="s">
        <v>131</v>
      </c>
      <c r="B158" s="1275"/>
      <c r="C158" s="1275"/>
      <c r="D158" s="1452">
        <v>46141</v>
      </c>
      <c r="E158" s="1277"/>
      <c r="F158" s="1245"/>
      <c r="G158" s="1246"/>
      <c r="H158" s="1246"/>
      <c r="I158" s="1246"/>
      <c r="J158" s="1315"/>
      <c r="K158" s="1246"/>
      <c r="L158" s="1291"/>
      <c r="M158" s="1291"/>
      <c r="N158" s="1316"/>
      <c r="O158" s="1317"/>
      <c r="P158" s="1246"/>
      <c r="Q158" s="1246"/>
      <c r="R158" s="1246"/>
      <c r="S158" s="1345"/>
      <c r="T158" s="1345"/>
      <c r="U158" s="1345"/>
      <c r="V158" s="1345"/>
      <c r="W158" s="1346"/>
      <c r="X158" s="1317"/>
      <c r="Y158" s="1246"/>
      <c r="Z158" s="1246"/>
      <c r="AA158" s="1246"/>
      <c r="AB158" s="1345"/>
      <c r="AC158" s="1345"/>
      <c r="AD158" s="1345"/>
      <c r="AE158" s="1345"/>
      <c r="AF158" s="1346"/>
      <c r="AG158" s="1317"/>
      <c r="AH158" s="1246"/>
      <c r="AI158" s="1246"/>
      <c r="AJ158" s="1345"/>
      <c r="AK158" s="1345"/>
      <c r="AL158" s="1345"/>
      <c r="AM158" s="1345"/>
      <c r="AN158" s="1345"/>
      <c r="AO158" s="1346"/>
      <c r="AP158" s="1317"/>
      <c r="AQ158" s="1246"/>
      <c r="AR158" s="1246"/>
      <c r="AS158" s="1246"/>
      <c r="AT158" s="1345"/>
      <c r="AU158" s="1345"/>
      <c r="AV158" s="1345"/>
      <c r="AW158" s="1345"/>
      <c r="AX158" s="1346"/>
      <c r="AY158" s="1317"/>
      <c r="AZ158" s="1246"/>
      <c r="BA158" s="1246">
        <f>26*16</f>
        <v>416</v>
      </c>
      <c r="BB158" s="1246"/>
      <c r="BC158" s="1345"/>
      <c r="BD158" s="1345"/>
      <c r="BE158" s="1345"/>
      <c r="BF158" s="1345"/>
      <c r="BG158" s="1346"/>
      <c r="BH158" s="1317"/>
      <c r="BI158" s="1246"/>
      <c r="BJ158" s="1246"/>
      <c r="BK158" s="1246"/>
      <c r="BL158" s="1345"/>
      <c r="BM158" s="1345"/>
      <c r="BN158" s="1345"/>
      <c r="BO158" s="1345"/>
      <c r="BP158" s="1346"/>
      <c r="BQ158" s="1317"/>
      <c r="BR158" s="1246"/>
      <c r="BS158" s="1246"/>
      <c r="BT158" s="1246"/>
      <c r="BU158" s="1345"/>
      <c r="BV158" s="1345"/>
      <c r="BW158" s="1345"/>
      <c r="BX158" s="1345"/>
      <c r="BY158" s="1346"/>
      <c r="BZ158" s="1317"/>
      <c r="CA158" s="1246"/>
      <c r="CB158" s="1246"/>
      <c r="CC158" s="1246"/>
      <c r="CD158" s="1246"/>
      <c r="CE158" s="1246"/>
      <c r="CF158" s="1345"/>
      <c r="CG158" s="1392"/>
      <c r="CH158" s="1393"/>
      <c r="CI158" s="1394">
        <f t="shared" si="33"/>
        <v>416</v>
      </c>
      <c r="CJ158" s="1435">
        <v>5</v>
      </c>
      <c r="CK158" s="1436"/>
      <c r="CL158" s="1437">
        <f t="shared" si="34"/>
        <v>421</v>
      </c>
      <c r="CM158" s="1438"/>
      <c r="CN158" s="1439">
        <f t="shared" si="35"/>
        <v>421</v>
      </c>
      <c r="CO158" s="1229"/>
      <c r="CP158" s="1229"/>
      <c r="CQ158" s="1229"/>
    </row>
    <row r="159" spans="1:95" ht="20.25">
      <c r="A159" s="1446" t="s">
        <v>131</v>
      </c>
      <c r="B159" s="1275"/>
      <c r="C159" s="1275"/>
      <c r="D159" s="1452"/>
      <c r="E159" s="1277"/>
      <c r="F159" s="1245"/>
      <c r="G159" s="1246"/>
      <c r="H159" s="1246"/>
      <c r="I159" s="1246"/>
      <c r="J159" s="1315"/>
      <c r="K159" s="1246"/>
      <c r="L159" s="1291"/>
      <c r="M159" s="1291"/>
      <c r="N159" s="1316"/>
      <c r="O159" s="1317"/>
      <c r="P159" s="1246"/>
      <c r="Q159" s="1246"/>
      <c r="R159" s="1246"/>
      <c r="S159" s="1345"/>
      <c r="T159" s="1345"/>
      <c r="U159" s="1345"/>
      <c r="V159" s="1345"/>
      <c r="W159" s="1346"/>
      <c r="X159" s="1317"/>
      <c r="Y159" s="1246"/>
      <c r="Z159" s="1246"/>
      <c r="AA159" s="1246"/>
      <c r="AB159" s="1345"/>
      <c r="AC159" s="1345"/>
      <c r="AD159" s="1345"/>
      <c r="AE159" s="1345"/>
      <c r="AF159" s="1346"/>
      <c r="AG159" s="1317"/>
      <c r="AH159" s="1246"/>
      <c r="AI159" s="1246"/>
      <c r="AJ159" s="1345"/>
      <c r="AK159" s="1345"/>
      <c r="AL159" s="1345"/>
      <c r="AM159" s="1345"/>
      <c r="AN159" s="1345"/>
      <c r="AO159" s="1346"/>
      <c r="AP159" s="1317"/>
      <c r="AQ159" s="1246"/>
      <c r="AR159" s="1246"/>
      <c r="AS159" s="1246"/>
      <c r="AT159" s="1345"/>
      <c r="AU159" s="1345"/>
      <c r="AV159" s="1345"/>
      <c r="AW159" s="1345"/>
      <c r="AX159" s="1346"/>
      <c r="AY159" s="1317"/>
      <c r="AZ159" s="1246"/>
      <c r="BA159" s="1246"/>
      <c r="BB159" s="1246"/>
      <c r="BC159" s="1345"/>
      <c r="BD159" s="1345"/>
      <c r="BE159" s="1345"/>
      <c r="BF159" s="1345"/>
      <c r="BG159" s="1346"/>
      <c r="BH159" s="1317"/>
      <c r="BI159" s="1246"/>
      <c r="BJ159" s="1246"/>
      <c r="BK159" s="1246"/>
      <c r="BL159" s="1345"/>
      <c r="BM159" s="1345"/>
      <c r="BN159" s="1345"/>
      <c r="BO159" s="1345"/>
      <c r="BP159" s="1346"/>
      <c r="BQ159" s="1317"/>
      <c r="BR159" s="1246"/>
      <c r="BS159" s="1246"/>
      <c r="BT159" s="1246"/>
      <c r="BU159" s="1345"/>
      <c r="BV159" s="1345"/>
      <c r="BW159" s="1345"/>
      <c r="BX159" s="1345"/>
      <c r="BY159" s="1346"/>
      <c r="BZ159" s="1317"/>
      <c r="CA159" s="1246"/>
      <c r="CB159" s="1246"/>
      <c r="CC159" s="1246"/>
      <c r="CD159" s="1246"/>
      <c r="CE159" s="1246"/>
      <c r="CF159" s="1345"/>
      <c r="CG159" s="1392"/>
      <c r="CH159" s="1393"/>
      <c r="CI159" s="1394">
        <f t="shared" si="33"/>
        <v>0</v>
      </c>
      <c r="CJ159" s="1435"/>
      <c r="CK159" s="1436"/>
      <c r="CL159" s="1437">
        <f t="shared" si="34"/>
        <v>0</v>
      </c>
      <c r="CM159" s="1438"/>
      <c r="CN159" s="1439">
        <f t="shared" si="35"/>
        <v>0</v>
      </c>
      <c r="CO159" s="1229"/>
      <c r="CP159" s="1229"/>
      <c r="CQ159" s="1229"/>
    </row>
    <row r="160" spans="1:95" ht="20.25">
      <c r="A160" s="1446" t="s">
        <v>131</v>
      </c>
      <c r="B160" s="1275"/>
      <c r="C160" s="1275"/>
      <c r="D160" s="1452"/>
      <c r="E160" s="1277"/>
      <c r="F160" s="1245"/>
      <c r="G160" s="1246"/>
      <c r="H160" s="1246"/>
      <c r="I160" s="1246"/>
      <c r="J160" s="1315"/>
      <c r="K160" s="1246"/>
      <c r="L160" s="1291"/>
      <c r="M160" s="1291"/>
      <c r="N160" s="1316"/>
      <c r="O160" s="1317"/>
      <c r="P160" s="1246"/>
      <c r="Q160" s="1246"/>
      <c r="R160" s="1246"/>
      <c r="S160" s="1345"/>
      <c r="T160" s="1345"/>
      <c r="U160" s="1345"/>
      <c r="V160" s="1345"/>
      <c r="W160" s="1346"/>
      <c r="X160" s="1317"/>
      <c r="Y160" s="1246"/>
      <c r="Z160" s="1246"/>
      <c r="AA160" s="1246"/>
      <c r="AB160" s="1345"/>
      <c r="AC160" s="1345"/>
      <c r="AD160" s="1345"/>
      <c r="AE160" s="1345"/>
      <c r="AF160" s="1346"/>
      <c r="AG160" s="1317"/>
      <c r="AH160" s="1246"/>
      <c r="AI160" s="1246"/>
      <c r="AJ160" s="1345"/>
      <c r="AK160" s="1345"/>
      <c r="AL160" s="1345"/>
      <c r="AM160" s="1345"/>
      <c r="AN160" s="1345"/>
      <c r="AO160" s="1346"/>
      <c r="AP160" s="1317"/>
      <c r="AQ160" s="1246"/>
      <c r="AR160" s="1246"/>
      <c r="AS160" s="1246"/>
      <c r="AT160" s="1345"/>
      <c r="AU160" s="1345"/>
      <c r="AV160" s="1345"/>
      <c r="AW160" s="1345"/>
      <c r="AX160" s="1346"/>
      <c r="AY160" s="1317"/>
      <c r="AZ160" s="1246"/>
      <c r="BA160" s="1246"/>
      <c r="BB160" s="1246"/>
      <c r="BC160" s="1345"/>
      <c r="BD160" s="1345"/>
      <c r="BE160" s="1345"/>
      <c r="BF160" s="1345"/>
      <c r="BG160" s="1346"/>
      <c r="BH160" s="1317"/>
      <c r="BI160" s="1246"/>
      <c r="BJ160" s="1246"/>
      <c r="BK160" s="1246"/>
      <c r="BL160" s="1345"/>
      <c r="BM160" s="1345"/>
      <c r="BN160" s="1345"/>
      <c r="BO160" s="1345"/>
      <c r="BP160" s="1346"/>
      <c r="BQ160" s="1317"/>
      <c r="BR160" s="1246"/>
      <c r="BS160" s="1246"/>
      <c r="BT160" s="1246"/>
      <c r="BU160" s="1345"/>
      <c r="BV160" s="1345"/>
      <c r="BW160" s="1345"/>
      <c r="BX160" s="1345"/>
      <c r="BY160" s="1346"/>
      <c r="BZ160" s="1317"/>
      <c r="CA160" s="1246"/>
      <c r="CB160" s="1246"/>
      <c r="CC160" s="1246"/>
      <c r="CD160" s="1246"/>
      <c r="CE160" s="1246"/>
      <c r="CF160" s="1345"/>
      <c r="CG160" s="1392"/>
      <c r="CH160" s="1393"/>
      <c r="CI160" s="1394">
        <f t="shared" si="33"/>
        <v>0</v>
      </c>
      <c r="CJ160" s="1435"/>
      <c r="CK160" s="1436"/>
      <c r="CL160" s="1437">
        <f t="shared" si="34"/>
        <v>0</v>
      </c>
      <c r="CM160" s="1438"/>
      <c r="CN160" s="1439">
        <f t="shared" si="35"/>
        <v>0</v>
      </c>
      <c r="CO160" s="1229"/>
      <c r="CP160" s="1229"/>
      <c r="CQ160" s="1229"/>
    </row>
    <row r="161" spans="1:95" ht="20.25">
      <c r="A161" s="1446" t="s">
        <v>131</v>
      </c>
      <c r="B161" s="1275"/>
      <c r="C161" s="1275"/>
      <c r="D161" s="1452"/>
      <c r="E161" s="1277"/>
      <c r="F161" s="1245"/>
      <c r="G161" s="1246"/>
      <c r="H161" s="1246"/>
      <c r="I161" s="1246"/>
      <c r="J161" s="1315"/>
      <c r="K161" s="1246"/>
      <c r="L161" s="1291"/>
      <c r="M161" s="1291"/>
      <c r="N161" s="1316"/>
      <c r="O161" s="1317"/>
      <c r="P161" s="1246"/>
      <c r="Q161" s="1246"/>
      <c r="R161" s="1246"/>
      <c r="S161" s="1345"/>
      <c r="T161" s="1345"/>
      <c r="U161" s="1345"/>
      <c r="V161" s="1345"/>
      <c r="W161" s="1346"/>
      <c r="X161" s="1317"/>
      <c r="Y161" s="1246"/>
      <c r="Z161" s="1246"/>
      <c r="AA161" s="1246"/>
      <c r="AB161" s="1345"/>
      <c r="AC161" s="1345"/>
      <c r="AD161" s="1345"/>
      <c r="AE161" s="1345"/>
      <c r="AF161" s="1346"/>
      <c r="AG161" s="1317"/>
      <c r="AH161" s="1246"/>
      <c r="AI161" s="1246"/>
      <c r="AJ161" s="1345"/>
      <c r="AK161" s="1345"/>
      <c r="AL161" s="1345"/>
      <c r="AM161" s="1345"/>
      <c r="AN161" s="1345"/>
      <c r="AO161" s="1346"/>
      <c r="AP161" s="1317"/>
      <c r="AQ161" s="1246"/>
      <c r="AR161" s="1246"/>
      <c r="AS161" s="1246"/>
      <c r="AT161" s="1345"/>
      <c r="AU161" s="1345"/>
      <c r="AV161" s="1345"/>
      <c r="AW161" s="1345"/>
      <c r="AX161" s="1346"/>
      <c r="AY161" s="1317"/>
      <c r="AZ161" s="1246"/>
      <c r="BA161" s="1246"/>
      <c r="BB161" s="1246"/>
      <c r="BC161" s="1345"/>
      <c r="BD161" s="1345"/>
      <c r="BE161" s="1345"/>
      <c r="BF161" s="1345"/>
      <c r="BG161" s="1346"/>
      <c r="BH161" s="1317"/>
      <c r="BI161" s="1246"/>
      <c r="BJ161" s="1246"/>
      <c r="BK161" s="1246"/>
      <c r="BL161" s="1345"/>
      <c r="BM161" s="1345"/>
      <c r="BN161" s="1345"/>
      <c r="BO161" s="1345"/>
      <c r="BP161" s="1346"/>
      <c r="BQ161" s="1317"/>
      <c r="BR161" s="1246"/>
      <c r="BS161" s="1246"/>
      <c r="BT161" s="1246"/>
      <c r="BU161" s="1345"/>
      <c r="BV161" s="1345"/>
      <c r="BW161" s="1345"/>
      <c r="BX161" s="1345"/>
      <c r="BY161" s="1346"/>
      <c r="BZ161" s="1317"/>
      <c r="CA161" s="1246"/>
      <c r="CB161" s="1246"/>
      <c r="CC161" s="1246"/>
      <c r="CD161" s="1246"/>
      <c r="CE161" s="1246"/>
      <c r="CF161" s="1345"/>
      <c r="CG161" s="1392"/>
      <c r="CH161" s="1393"/>
      <c r="CI161" s="1394">
        <f t="shared" si="33"/>
        <v>0</v>
      </c>
      <c r="CJ161" s="1435"/>
      <c r="CK161" s="1436"/>
      <c r="CL161" s="1437">
        <f t="shared" si="34"/>
        <v>0</v>
      </c>
      <c r="CM161" s="1438"/>
      <c r="CN161" s="1439">
        <f t="shared" si="35"/>
        <v>0</v>
      </c>
      <c r="CO161" s="1229"/>
      <c r="CP161" s="1229"/>
      <c r="CQ161" s="1229"/>
    </row>
    <row r="162" spans="1:95" ht="20.25">
      <c r="A162" s="1446" t="s">
        <v>131</v>
      </c>
      <c r="B162" s="1275"/>
      <c r="C162" s="1275"/>
      <c r="D162" s="1452"/>
      <c r="E162" s="1277"/>
      <c r="F162" s="1245"/>
      <c r="G162" s="1246"/>
      <c r="H162" s="1246"/>
      <c r="I162" s="1246"/>
      <c r="J162" s="1315"/>
      <c r="K162" s="1246"/>
      <c r="L162" s="1291"/>
      <c r="M162" s="1291"/>
      <c r="N162" s="1316"/>
      <c r="O162" s="1317"/>
      <c r="P162" s="1246"/>
      <c r="Q162" s="1246"/>
      <c r="R162" s="1246"/>
      <c r="S162" s="1345"/>
      <c r="T162" s="1345"/>
      <c r="U162" s="1345"/>
      <c r="V162" s="1345"/>
      <c r="W162" s="1346"/>
      <c r="X162" s="1317"/>
      <c r="Y162" s="1246"/>
      <c r="Z162" s="1246"/>
      <c r="AA162" s="1246"/>
      <c r="AB162" s="1345"/>
      <c r="AC162" s="1345"/>
      <c r="AD162" s="1345"/>
      <c r="AE162" s="1345"/>
      <c r="AF162" s="1346"/>
      <c r="AG162" s="1317"/>
      <c r="AH162" s="1246"/>
      <c r="AI162" s="1246"/>
      <c r="AJ162" s="1345"/>
      <c r="AK162" s="1345"/>
      <c r="AL162" s="1345"/>
      <c r="AM162" s="1345"/>
      <c r="AN162" s="1345"/>
      <c r="AO162" s="1346"/>
      <c r="AP162" s="1317"/>
      <c r="AQ162" s="1246"/>
      <c r="AR162" s="1246"/>
      <c r="AS162" s="1246"/>
      <c r="AT162" s="1345"/>
      <c r="AU162" s="1345"/>
      <c r="AV162" s="1345"/>
      <c r="AW162" s="1345"/>
      <c r="AX162" s="1346"/>
      <c r="AY162" s="1317"/>
      <c r="AZ162" s="1246"/>
      <c r="BA162" s="1246"/>
      <c r="BB162" s="1246"/>
      <c r="BC162" s="1345"/>
      <c r="BD162" s="1345"/>
      <c r="BE162" s="1345"/>
      <c r="BF162" s="1345"/>
      <c r="BG162" s="1346"/>
      <c r="BH162" s="1317"/>
      <c r="BI162" s="1246"/>
      <c r="BJ162" s="1246"/>
      <c r="BK162" s="1246"/>
      <c r="BL162" s="1345"/>
      <c r="BM162" s="1345"/>
      <c r="BN162" s="1345"/>
      <c r="BO162" s="1345"/>
      <c r="BP162" s="1346"/>
      <c r="BQ162" s="1317"/>
      <c r="BR162" s="1246"/>
      <c r="BS162" s="1246"/>
      <c r="BT162" s="1246"/>
      <c r="BU162" s="1345"/>
      <c r="BV162" s="1345"/>
      <c r="BW162" s="1345"/>
      <c r="BX162" s="1345"/>
      <c r="BY162" s="1346"/>
      <c r="BZ162" s="1317"/>
      <c r="CA162" s="1246"/>
      <c r="CB162" s="1246"/>
      <c r="CC162" s="1246"/>
      <c r="CD162" s="1246"/>
      <c r="CE162" s="1246"/>
      <c r="CF162" s="1345"/>
      <c r="CG162" s="1392"/>
      <c r="CH162" s="1393"/>
      <c r="CI162" s="1394">
        <f t="shared" si="33"/>
        <v>0</v>
      </c>
      <c r="CJ162" s="1435"/>
      <c r="CK162" s="1436"/>
      <c r="CL162" s="1437">
        <f t="shared" si="34"/>
        <v>0</v>
      </c>
      <c r="CM162" s="1438"/>
      <c r="CN162" s="1439">
        <f t="shared" si="35"/>
        <v>0</v>
      </c>
      <c r="CO162" s="1229"/>
      <c r="CP162" s="1229"/>
      <c r="CQ162" s="1229"/>
    </row>
    <row r="163" spans="1:95" ht="20.25">
      <c r="A163" s="1446" t="s">
        <v>131</v>
      </c>
      <c r="B163" s="1275"/>
      <c r="C163" s="1275"/>
      <c r="D163" s="1452"/>
      <c r="E163" s="1277"/>
      <c r="F163" s="1245"/>
      <c r="G163" s="1246"/>
      <c r="H163" s="1246"/>
      <c r="I163" s="1246"/>
      <c r="J163" s="1315"/>
      <c r="K163" s="1246"/>
      <c r="L163" s="1291"/>
      <c r="M163" s="1291"/>
      <c r="N163" s="1316"/>
      <c r="O163" s="1317"/>
      <c r="P163" s="1246"/>
      <c r="Q163" s="1246"/>
      <c r="R163" s="1246"/>
      <c r="S163" s="1345"/>
      <c r="T163" s="1345"/>
      <c r="U163" s="1345"/>
      <c r="V163" s="1345"/>
      <c r="W163" s="1346"/>
      <c r="X163" s="1317"/>
      <c r="Y163" s="1246"/>
      <c r="Z163" s="1246"/>
      <c r="AA163" s="1246"/>
      <c r="AB163" s="1345"/>
      <c r="AC163" s="1345"/>
      <c r="AD163" s="1345"/>
      <c r="AE163" s="1345"/>
      <c r="AF163" s="1346"/>
      <c r="AG163" s="1317"/>
      <c r="AH163" s="1246"/>
      <c r="AI163" s="1246"/>
      <c r="AJ163" s="1345"/>
      <c r="AK163" s="1345"/>
      <c r="AL163" s="1345"/>
      <c r="AM163" s="1345"/>
      <c r="AN163" s="1345"/>
      <c r="AO163" s="1346"/>
      <c r="AP163" s="1317"/>
      <c r="AQ163" s="1246"/>
      <c r="AR163" s="1246"/>
      <c r="AS163" s="1246"/>
      <c r="AT163" s="1345"/>
      <c r="AU163" s="1345"/>
      <c r="AV163" s="1345"/>
      <c r="AW163" s="1345"/>
      <c r="AX163" s="1346"/>
      <c r="AY163" s="1317"/>
      <c r="AZ163" s="1246"/>
      <c r="BA163" s="1246"/>
      <c r="BB163" s="1246"/>
      <c r="BC163" s="1345"/>
      <c r="BD163" s="1345"/>
      <c r="BE163" s="1345"/>
      <c r="BF163" s="1345"/>
      <c r="BG163" s="1346"/>
      <c r="BH163" s="1317"/>
      <c r="BI163" s="1246"/>
      <c r="BJ163" s="1246"/>
      <c r="BK163" s="1246"/>
      <c r="BL163" s="1345"/>
      <c r="BM163" s="1345"/>
      <c r="BN163" s="1345"/>
      <c r="BO163" s="1345"/>
      <c r="BP163" s="1346"/>
      <c r="BQ163" s="1317"/>
      <c r="BR163" s="1246"/>
      <c r="BS163" s="1246"/>
      <c r="BT163" s="1246"/>
      <c r="BU163" s="1345"/>
      <c r="BV163" s="1345"/>
      <c r="BW163" s="1345"/>
      <c r="BX163" s="1345"/>
      <c r="BY163" s="1346"/>
      <c r="BZ163" s="1317"/>
      <c r="CA163" s="1246"/>
      <c r="CB163" s="1246"/>
      <c r="CC163" s="1246"/>
      <c r="CD163" s="1246"/>
      <c r="CE163" s="1246"/>
      <c r="CF163" s="1345"/>
      <c r="CG163" s="1392"/>
      <c r="CH163" s="1393"/>
      <c r="CI163" s="1394">
        <f t="shared" si="33"/>
        <v>0</v>
      </c>
      <c r="CJ163" s="1435"/>
      <c r="CK163" s="1436"/>
      <c r="CL163" s="1437">
        <f t="shared" si="34"/>
        <v>0</v>
      </c>
      <c r="CM163" s="1438"/>
      <c r="CN163" s="1439">
        <f t="shared" si="35"/>
        <v>0</v>
      </c>
      <c r="CO163" s="1229"/>
      <c r="CP163" s="1229"/>
      <c r="CQ163" s="1229"/>
    </row>
    <row r="164" spans="1:95" ht="20.25">
      <c r="A164" s="1446" t="s">
        <v>131</v>
      </c>
      <c r="B164" s="1275"/>
      <c r="C164" s="1275"/>
      <c r="D164" s="1452"/>
      <c r="E164" s="1277"/>
      <c r="F164" s="1245"/>
      <c r="G164" s="1246"/>
      <c r="H164" s="1246"/>
      <c r="I164" s="1246"/>
      <c r="J164" s="1315"/>
      <c r="K164" s="1246"/>
      <c r="L164" s="1291"/>
      <c r="M164" s="1291"/>
      <c r="N164" s="1316"/>
      <c r="O164" s="1317"/>
      <c r="P164" s="1246"/>
      <c r="Q164" s="1246"/>
      <c r="R164" s="1246"/>
      <c r="S164" s="1345"/>
      <c r="T164" s="1345"/>
      <c r="U164" s="1345"/>
      <c r="V164" s="1345"/>
      <c r="W164" s="1346"/>
      <c r="X164" s="1317"/>
      <c r="Y164" s="1246"/>
      <c r="Z164" s="1246"/>
      <c r="AA164" s="1246"/>
      <c r="AB164" s="1345"/>
      <c r="AC164" s="1345"/>
      <c r="AD164" s="1345"/>
      <c r="AE164" s="1345"/>
      <c r="AF164" s="1346"/>
      <c r="AG164" s="1317"/>
      <c r="AH164" s="1246"/>
      <c r="AI164" s="1246"/>
      <c r="AJ164" s="1345"/>
      <c r="AK164" s="1345"/>
      <c r="AL164" s="1345"/>
      <c r="AM164" s="1345"/>
      <c r="AN164" s="1345"/>
      <c r="AO164" s="1346"/>
      <c r="AP164" s="1317"/>
      <c r="AQ164" s="1246"/>
      <c r="AR164" s="1246"/>
      <c r="AS164" s="1246"/>
      <c r="AT164" s="1345"/>
      <c r="AU164" s="1345"/>
      <c r="AV164" s="1345"/>
      <c r="AW164" s="1345"/>
      <c r="AX164" s="1346"/>
      <c r="AY164" s="1317"/>
      <c r="AZ164" s="1246"/>
      <c r="BA164" s="1246"/>
      <c r="BB164" s="1246"/>
      <c r="BC164" s="1345"/>
      <c r="BD164" s="1345"/>
      <c r="BE164" s="1345"/>
      <c r="BF164" s="1345"/>
      <c r="BG164" s="1346"/>
      <c r="BH164" s="1317"/>
      <c r="BI164" s="1246"/>
      <c r="BJ164" s="1246"/>
      <c r="BK164" s="1246"/>
      <c r="BL164" s="1345"/>
      <c r="BM164" s="1345"/>
      <c r="BN164" s="1345"/>
      <c r="BO164" s="1345"/>
      <c r="BP164" s="1346"/>
      <c r="BQ164" s="1317"/>
      <c r="BR164" s="1246"/>
      <c r="BS164" s="1246"/>
      <c r="BT164" s="1246"/>
      <c r="BU164" s="1345"/>
      <c r="BV164" s="1345"/>
      <c r="BW164" s="1345"/>
      <c r="BX164" s="1345"/>
      <c r="BY164" s="1346"/>
      <c r="BZ164" s="1317"/>
      <c r="CA164" s="1246"/>
      <c r="CB164" s="1246"/>
      <c r="CC164" s="1246"/>
      <c r="CD164" s="1246"/>
      <c r="CE164" s="1246"/>
      <c r="CF164" s="1345"/>
      <c r="CG164" s="1392"/>
      <c r="CH164" s="1393"/>
      <c r="CI164" s="1394">
        <f t="shared" si="33"/>
        <v>0</v>
      </c>
      <c r="CJ164" s="1435"/>
      <c r="CK164" s="1436"/>
      <c r="CL164" s="1437">
        <f t="shared" si="34"/>
        <v>0</v>
      </c>
      <c r="CM164" s="1438"/>
      <c r="CN164" s="1439">
        <f t="shared" si="35"/>
        <v>0</v>
      </c>
      <c r="CO164" s="1229"/>
      <c r="CP164" s="1229"/>
      <c r="CQ164" s="1229"/>
    </row>
    <row r="165" spans="1:95" ht="20.25">
      <c r="A165" s="1446" t="s">
        <v>131</v>
      </c>
      <c r="B165" s="1275"/>
      <c r="C165" s="1275"/>
      <c r="D165" s="1452"/>
      <c r="E165" s="1277"/>
      <c r="F165" s="1245"/>
      <c r="G165" s="1246"/>
      <c r="H165" s="1246"/>
      <c r="I165" s="1246"/>
      <c r="J165" s="1315"/>
      <c r="K165" s="1246"/>
      <c r="L165" s="1291"/>
      <c r="M165" s="1291"/>
      <c r="N165" s="1316"/>
      <c r="O165" s="1317"/>
      <c r="P165" s="1246"/>
      <c r="Q165" s="1246"/>
      <c r="R165" s="1246"/>
      <c r="S165" s="1345"/>
      <c r="T165" s="1345"/>
      <c r="U165" s="1345"/>
      <c r="V165" s="1345"/>
      <c r="W165" s="1346"/>
      <c r="X165" s="1317"/>
      <c r="Y165" s="1246"/>
      <c r="Z165" s="1246"/>
      <c r="AA165" s="1246"/>
      <c r="AB165" s="1345"/>
      <c r="AC165" s="1345"/>
      <c r="AD165" s="1345"/>
      <c r="AE165" s="1345"/>
      <c r="AF165" s="1346"/>
      <c r="AG165" s="1317"/>
      <c r="AH165" s="1246"/>
      <c r="AI165" s="1246"/>
      <c r="AJ165" s="1345"/>
      <c r="AK165" s="1345"/>
      <c r="AL165" s="1345"/>
      <c r="AM165" s="1345"/>
      <c r="AN165" s="1345"/>
      <c r="AO165" s="1346"/>
      <c r="AP165" s="1317"/>
      <c r="AQ165" s="1246"/>
      <c r="AR165" s="1246"/>
      <c r="AS165" s="1246"/>
      <c r="AT165" s="1345"/>
      <c r="AU165" s="1345"/>
      <c r="AV165" s="1345"/>
      <c r="AW165" s="1345"/>
      <c r="AX165" s="1346"/>
      <c r="AY165" s="1317"/>
      <c r="AZ165" s="1246"/>
      <c r="BA165" s="1246"/>
      <c r="BB165" s="1246"/>
      <c r="BC165" s="1345"/>
      <c r="BD165" s="1345"/>
      <c r="BE165" s="1345"/>
      <c r="BF165" s="1345"/>
      <c r="BG165" s="1346"/>
      <c r="BH165" s="1317"/>
      <c r="BI165" s="1246"/>
      <c r="BJ165" s="1246"/>
      <c r="BK165" s="1246"/>
      <c r="BL165" s="1345"/>
      <c r="BM165" s="1345"/>
      <c r="BN165" s="1345"/>
      <c r="BO165" s="1345"/>
      <c r="BP165" s="1346"/>
      <c r="BQ165" s="1317"/>
      <c r="BR165" s="1246"/>
      <c r="BS165" s="1246"/>
      <c r="BT165" s="1246"/>
      <c r="BU165" s="1345"/>
      <c r="BV165" s="1345"/>
      <c r="BW165" s="1345"/>
      <c r="BX165" s="1345"/>
      <c r="BY165" s="1346"/>
      <c r="BZ165" s="1317"/>
      <c r="CA165" s="1246"/>
      <c r="CB165" s="1246"/>
      <c r="CC165" s="1246"/>
      <c r="CD165" s="1246"/>
      <c r="CE165" s="1246"/>
      <c r="CF165" s="1345"/>
      <c r="CG165" s="1392"/>
      <c r="CH165" s="1393"/>
      <c r="CI165" s="1394">
        <f t="shared" si="33"/>
        <v>0</v>
      </c>
      <c r="CJ165" s="1435"/>
      <c r="CK165" s="1436"/>
      <c r="CL165" s="1437">
        <f t="shared" si="34"/>
        <v>0</v>
      </c>
      <c r="CM165" s="1438"/>
      <c r="CN165" s="1439">
        <f t="shared" si="35"/>
        <v>0</v>
      </c>
      <c r="CO165" s="1229"/>
      <c r="CP165" s="1229"/>
      <c r="CQ165" s="1229"/>
    </row>
    <row r="166" spans="1:95" ht="20.25">
      <c r="A166" s="1446" t="s">
        <v>131</v>
      </c>
      <c r="B166" s="1275"/>
      <c r="C166" s="1275"/>
      <c r="D166" s="1452"/>
      <c r="E166" s="1277"/>
      <c r="F166" s="1245"/>
      <c r="G166" s="1246"/>
      <c r="H166" s="1246"/>
      <c r="I166" s="1246"/>
      <c r="J166" s="1315"/>
      <c r="K166" s="1246"/>
      <c r="L166" s="1291"/>
      <c r="M166" s="1291"/>
      <c r="N166" s="1316"/>
      <c r="O166" s="1317"/>
      <c r="P166" s="1246"/>
      <c r="Q166" s="1246"/>
      <c r="R166" s="1246"/>
      <c r="S166" s="1345"/>
      <c r="T166" s="1345"/>
      <c r="U166" s="1345"/>
      <c r="V166" s="1345"/>
      <c r="W166" s="1346"/>
      <c r="X166" s="1317"/>
      <c r="Y166" s="1246"/>
      <c r="Z166" s="1246"/>
      <c r="AA166" s="1246"/>
      <c r="AB166" s="1345"/>
      <c r="AC166" s="1345"/>
      <c r="AD166" s="1345"/>
      <c r="AE166" s="1345"/>
      <c r="AF166" s="1346"/>
      <c r="AG166" s="1317"/>
      <c r="AH166" s="1246"/>
      <c r="AI166" s="1246"/>
      <c r="AJ166" s="1345"/>
      <c r="AK166" s="1345"/>
      <c r="AL166" s="1345"/>
      <c r="AM166" s="1345"/>
      <c r="AN166" s="1345"/>
      <c r="AO166" s="1346"/>
      <c r="AP166" s="1317"/>
      <c r="AQ166" s="1246"/>
      <c r="AR166" s="1246"/>
      <c r="AS166" s="1246"/>
      <c r="AT166" s="1345"/>
      <c r="AU166" s="1345"/>
      <c r="AV166" s="1345"/>
      <c r="AW166" s="1345"/>
      <c r="AX166" s="1346"/>
      <c r="AY166" s="1317"/>
      <c r="AZ166" s="1246"/>
      <c r="BA166" s="1246"/>
      <c r="BB166" s="1246"/>
      <c r="BC166" s="1345"/>
      <c r="BD166" s="1345"/>
      <c r="BE166" s="1345"/>
      <c r="BF166" s="1345"/>
      <c r="BG166" s="1346"/>
      <c r="BH166" s="1317"/>
      <c r="BI166" s="1246"/>
      <c r="BJ166" s="1246"/>
      <c r="BK166" s="1246"/>
      <c r="BL166" s="1345"/>
      <c r="BM166" s="1345"/>
      <c r="BN166" s="1345"/>
      <c r="BO166" s="1345"/>
      <c r="BP166" s="1346"/>
      <c r="BQ166" s="1317"/>
      <c r="BR166" s="1246"/>
      <c r="BS166" s="1246"/>
      <c r="BT166" s="1246"/>
      <c r="BU166" s="1345"/>
      <c r="BV166" s="1345"/>
      <c r="BW166" s="1345"/>
      <c r="BX166" s="1345"/>
      <c r="BY166" s="1346"/>
      <c r="BZ166" s="1317"/>
      <c r="CA166" s="1246"/>
      <c r="CB166" s="1246"/>
      <c r="CC166" s="1246"/>
      <c r="CD166" s="1246"/>
      <c r="CE166" s="1246"/>
      <c r="CF166" s="1345"/>
      <c r="CG166" s="1392"/>
      <c r="CH166" s="1393"/>
      <c r="CI166" s="1394">
        <f t="shared" si="33"/>
        <v>0</v>
      </c>
      <c r="CJ166" s="1435"/>
      <c r="CK166" s="1436"/>
      <c r="CL166" s="1437">
        <f t="shared" si="34"/>
        <v>0</v>
      </c>
      <c r="CM166" s="1438"/>
      <c r="CN166" s="1439">
        <f t="shared" si="35"/>
        <v>0</v>
      </c>
      <c r="CO166" s="1229"/>
      <c r="CP166" s="1229"/>
      <c r="CQ166" s="1229"/>
    </row>
    <row r="167" spans="1:95" ht="20.25">
      <c r="A167" s="1446" t="s">
        <v>131</v>
      </c>
      <c r="B167" s="1275"/>
      <c r="C167" s="1275"/>
      <c r="D167" s="1452"/>
      <c r="E167" s="1277"/>
      <c r="F167" s="1245"/>
      <c r="G167" s="1246"/>
      <c r="H167" s="1246"/>
      <c r="I167" s="1246"/>
      <c r="J167" s="1315"/>
      <c r="K167" s="1246"/>
      <c r="L167" s="1291"/>
      <c r="M167" s="1291"/>
      <c r="N167" s="1316"/>
      <c r="O167" s="1317"/>
      <c r="P167" s="1246"/>
      <c r="Q167" s="1246"/>
      <c r="R167" s="1246"/>
      <c r="S167" s="1345"/>
      <c r="T167" s="1345"/>
      <c r="U167" s="1345"/>
      <c r="V167" s="1345"/>
      <c r="W167" s="1346"/>
      <c r="X167" s="1317"/>
      <c r="Y167" s="1246"/>
      <c r="Z167" s="1246"/>
      <c r="AA167" s="1246"/>
      <c r="AB167" s="1345"/>
      <c r="AC167" s="1345"/>
      <c r="AD167" s="1345"/>
      <c r="AE167" s="1345"/>
      <c r="AF167" s="1346"/>
      <c r="AG167" s="1317"/>
      <c r="AH167" s="1246"/>
      <c r="AI167" s="1246"/>
      <c r="AJ167" s="1345"/>
      <c r="AK167" s="1345"/>
      <c r="AL167" s="1345"/>
      <c r="AM167" s="1345"/>
      <c r="AN167" s="1345"/>
      <c r="AO167" s="1346"/>
      <c r="AP167" s="1317"/>
      <c r="AQ167" s="1246"/>
      <c r="AR167" s="1246"/>
      <c r="AS167" s="1246"/>
      <c r="AT167" s="1345"/>
      <c r="AU167" s="1345"/>
      <c r="AV167" s="1345"/>
      <c r="AW167" s="1345"/>
      <c r="AX167" s="1346"/>
      <c r="AY167" s="1317"/>
      <c r="AZ167" s="1246"/>
      <c r="BA167" s="1246"/>
      <c r="BB167" s="1246"/>
      <c r="BC167" s="1345"/>
      <c r="BD167" s="1345"/>
      <c r="BE167" s="1345"/>
      <c r="BF167" s="1345"/>
      <c r="BG167" s="1346"/>
      <c r="BH167" s="1317"/>
      <c r="BI167" s="1246"/>
      <c r="BJ167" s="1246"/>
      <c r="BK167" s="1246"/>
      <c r="BL167" s="1345"/>
      <c r="BM167" s="1345"/>
      <c r="BN167" s="1345"/>
      <c r="BO167" s="1345"/>
      <c r="BP167" s="1346"/>
      <c r="BQ167" s="1317"/>
      <c r="BR167" s="1246"/>
      <c r="BS167" s="1246"/>
      <c r="BT167" s="1246"/>
      <c r="BU167" s="1345"/>
      <c r="BV167" s="1345"/>
      <c r="BW167" s="1345"/>
      <c r="BX167" s="1345"/>
      <c r="BY167" s="1346"/>
      <c r="BZ167" s="1317"/>
      <c r="CA167" s="1246"/>
      <c r="CB167" s="1246"/>
      <c r="CC167" s="1246"/>
      <c r="CD167" s="1246"/>
      <c r="CE167" s="1246"/>
      <c r="CF167" s="1345"/>
      <c r="CG167" s="1392"/>
      <c r="CH167" s="1393"/>
      <c r="CI167" s="1394">
        <f t="shared" si="33"/>
        <v>0</v>
      </c>
      <c r="CJ167" s="1435"/>
      <c r="CK167" s="1436"/>
      <c r="CL167" s="1437">
        <f t="shared" si="34"/>
        <v>0</v>
      </c>
      <c r="CM167" s="1438"/>
      <c r="CN167" s="1439">
        <f t="shared" si="35"/>
        <v>0</v>
      </c>
      <c r="CO167" s="1229"/>
      <c r="CP167" s="1229"/>
      <c r="CQ167" s="1229"/>
    </row>
    <row r="168" spans="1:95" ht="20.25">
      <c r="A168" s="1446" t="s">
        <v>131</v>
      </c>
      <c r="B168" s="1275"/>
      <c r="C168" s="1275"/>
      <c r="D168" s="1452"/>
      <c r="E168" s="1277"/>
      <c r="F168" s="1245"/>
      <c r="G168" s="1246"/>
      <c r="H168" s="1246"/>
      <c r="I168" s="1246"/>
      <c r="J168" s="1315"/>
      <c r="K168" s="1246"/>
      <c r="L168" s="1291"/>
      <c r="M168" s="1291"/>
      <c r="N168" s="1316"/>
      <c r="O168" s="1317"/>
      <c r="P168" s="1246"/>
      <c r="Q168" s="1246"/>
      <c r="R168" s="1246"/>
      <c r="S168" s="1345"/>
      <c r="T168" s="1345"/>
      <c r="U168" s="1345"/>
      <c r="V168" s="1345"/>
      <c r="W168" s="1346"/>
      <c r="X168" s="1317"/>
      <c r="Y168" s="1246"/>
      <c r="Z168" s="1246"/>
      <c r="AA168" s="1246"/>
      <c r="AB168" s="1345"/>
      <c r="AC168" s="1345"/>
      <c r="AD168" s="1345"/>
      <c r="AE168" s="1345"/>
      <c r="AF168" s="1346"/>
      <c r="AG168" s="1317"/>
      <c r="AH168" s="1246"/>
      <c r="AI168" s="1246"/>
      <c r="AJ168" s="1345"/>
      <c r="AK168" s="1345"/>
      <c r="AL168" s="1345"/>
      <c r="AM168" s="1345"/>
      <c r="AN168" s="1345"/>
      <c r="AO168" s="1346"/>
      <c r="AP168" s="1317"/>
      <c r="AQ168" s="1246"/>
      <c r="AR168" s="1246"/>
      <c r="AS168" s="1246"/>
      <c r="AT168" s="1345"/>
      <c r="AU168" s="1345"/>
      <c r="AV168" s="1345"/>
      <c r="AW168" s="1345"/>
      <c r="AX168" s="1346"/>
      <c r="AY168" s="1317"/>
      <c r="AZ168" s="1246"/>
      <c r="BA168" s="1246"/>
      <c r="BB168" s="1246"/>
      <c r="BC168" s="1345"/>
      <c r="BD168" s="1345"/>
      <c r="BE168" s="1345"/>
      <c r="BF168" s="1345"/>
      <c r="BG168" s="1346"/>
      <c r="BH168" s="1317"/>
      <c r="BI168" s="1246"/>
      <c r="BJ168" s="1246"/>
      <c r="BK168" s="1246"/>
      <c r="BL168" s="1345"/>
      <c r="BM168" s="1345"/>
      <c r="BN168" s="1345"/>
      <c r="BO168" s="1345"/>
      <c r="BP168" s="1346"/>
      <c r="BQ168" s="1317"/>
      <c r="BR168" s="1246"/>
      <c r="BS168" s="1246"/>
      <c r="BT168" s="1246"/>
      <c r="BU168" s="1345"/>
      <c r="BV168" s="1345"/>
      <c r="BW168" s="1345"/>
      <c r="BX168" s="1345"/>
      <c r="BY168" s="1346"/>
      <c r="BZ168" s="1317"/>
      <c r="CA168" s="1246"/>
      <c r="CB168" s="1246"/>
      <c r="CC168" s="1246"/>
      <c r="CD168" s="1246"/>
      <c r="CE168" s="1246"/>
      <c r="CF168" s="1345"/>
      <c r="CG168" s="1392"/>
      <c r="CH168" s="1393"/>
      <c r="CI168" s="1394">
        <f t="shared" si="33"/>
        <v>0</v>
      </c>
      <c r="CJ168" s="1435"/>
      <c r="CK168" s="1436"/>
      <c r="CL168" s="1437">
        <f t="shared" si="34"/>
        <v>0</v>
      </c>
      <c r="CM168" s="1438"/>
      <c r="CN168" s="1439">
        <f t="shared" si="35"/>
        <v>0</v>
      </c>
      <c r="CO168" s="1229"/>
      <c r="CP168" s="1229"/>
      <c r="CQ168" s="1229"/>
    </row>
    <row r="169" spans="1:95" ht="21" thickBot="1">
      <c r="A169" s="1446" t="s">
        <v>131</v>
      </c>
      <c r="B169" s="1275"/>
      <c r="C169" s="1275"/>
      <c r="D169" s="1452"/>
      <c r="E169" s="1277"/>
      <c r="F169" s="1245"/>
      <c r="G169" s="1246"/>
      <c r="H169" s="1246"/>
      <c r="I169" s="1246"/>
      <c r="J169" s="1315"/>
      <c r="K169" s="1246"/>
      <c r="L169" s="1291"/>
      <c r="M169" s="1291"/>
      <c r="N169" s="1316"/>
      <c r="O169" s="1317"/>
      <c r="P169" s="1246"/>
      <c r="Q169" s="1246"/>
      <c r="R169" s="1246"/>
      <c r="S169" s="1345"/>
      <c r="T169" s="1345"/>
      <c r="U169" s="1345"/>
      <c r="V169" s="1345"/>
      <c r="W169" s="1346"/>
      <c r="X169" s="1317"/>
      <c r="Y169" s="1246"/>
      <c r="Z169" s="1246"/>
      <c r="AA169" s="1246"/>
      <c r="AB169" s="1345"/>
      <c r="AC169" s="1345"/>
      <c r="AD169" s="1345"/>
      <c r="AE169" s="1345"/>
      <c r="AF169" s="1346"/>
      <c r="AG169" s="1317"/>
      <c r="AH169" s="1246"/>
      <c r="AI169" s="1246"/>
      <c r="AJ169" s="1345"/>
      <c r="AK169" s="1345"/>
      <c r="AL169" s="1345"/>
      <c r="AM169" s="1345"/>
      <c r="AN169" s="1345"/>
      <c r="AO169" s="1346"/>
      <c r="AP169" s="1317"/>
      <c r="AQ169" s="1246"/>
      <c r="AR169" s="1246"/>
      <c r="AS169" s="1246"/>
      <c r="AT169" s="1345"/>
      <c r="AU169" s="1345"/>
      <c r="AV169" s="1345"/>
      <c r="AW169" s="1345"/>
      <c r="AX169" s="1346"/>
      <c r="AY169" s="1317"/>
      <c r="AZ169" s="1246"/>
      <c r="BA169" s="1246"/>
      <c r="BB169" s="1246"/>
      <c r="BC169" s="1345"/>
      <c r="BD169" s="1345"/>
      <c r="BE169" s="1345"/>
      <c r="BF169" s="1345"/>
      <c r="BG169" s="1346"/>
      <c r="BH169" s="1317"/>
      <c r="BI169" s="1246"/>
      <c r="BJ169" s="1246"/>
      <c r="BK169" s="1246"/>
      <c r="BL169" s="1345"/>
      <c r="BM169" s="1345"/>
      <c r="BN169" s="1345"/>
      <c r="BO169" s="1345"/>
      <c r="BP169" s="1346"/>
      <c r="BQ169" s="1317"/>
      <c r="BR169" s="1246"/>
      <c r="BS169" s="1246"/>
      <c r="BT169" s="1246"/>
      <c r="BU169" s="1345"/>
      <c r="BV169" s="1345"/>
      <c r="BW169" s="1345"/>
      <c r="BX169" s="1345"/>
      <c r="BY169" s="1346"/>
      <c r="BZ169" s="1317"/>
      <c r="CA169" s="1246"/>
      <c r="CB169" s="1246"/>
      <c r="CC169" s="1246"/>
      <c r="CD169" s="1246"/>
      <c r="CE169" s="1246"/>
      <c r="CF169" s="1345"/>
      <c r="CG169" s="1392"/>
      <c r="CH169" s="1393"/>
      <c r="CI169" s="1394">
        <f t="shared" si="33"/>
        <v>0</v>
      </c>
      <c r="CJ169" s="1435"/>
      <c r="CK169" s="1436"/>
      <c r="CL169" s="1437">
        <f t="shared" si="34"/>
        <v>0</v>
      </c>
      <c r="CM169" s="1438"/>
      <c r="CN169" s="1439">
        <f t="shared" si="35"/>
        <v>0</v>
      </c>
      <c r="CO169" s="1229"/>
      <c r="CP169" s="1229"/>
      <c r="CQ169" s="1229"/>
    </row>
    <row r="170" spans="1:95" ht="21" thickBot="1">
      <c r="A170" s="1446" t="s">
        <v>131</v>
      </c>
      <c r="B170" s="1275"/>
      <c r="C170" s="1275"/>
      <c r="D170" s="1452"/>
      <c r="E170" s="1277"/>
      <c r="F170" s="1245"/>
      <c r="G170" s="1246"/>
      <c r="H170" s="1246"/>
      <c r="I170" s="1246"/>
      <c r="J170" s="1315"/>
      <c r="K170" s="1246"/>
      <c r="L170" s="1291"/>
      <c r="M170" s="1291"/>
      <c r="N170" s="1316"/>
      <c r="O170" s="1317"/>
      <c r="P170" s="1246"/>
      <c r="Q170" s="1246"/>
      <c r="R170" s="1246"/>
      <c r="S170" s="1345"/>
      <c r="T170" s="1345"/>
      <c r="U170" s="1345"/>
      <c r="V170" s="1345"/>
      <c r="W170" s="1346"/>
      <c r="X170" s="1317"/>
      <c r="Y170" s="1246"/>
      <c r="Z170" s="1246"/>
      <c r="AA170" s="1246"/>
      <c r="AB170" s="1345"/>
      <c r="AC170" s="1345"/>
      <c r="AD170" s="1345"/>
      <c r="AE170" s="1345"/>
      <c r="AF170" s="1346"/>
      <c r="AG170" s="1317"/>
      <c r="AH170" s="1246"/>
      <c r="AI170" s="1246"/>
      <c r="AJ170" s="1345"/>
      <c r="AK170" s="1345"/>
      <c r="AL170" s="1345"/>
      <c r="AM170" s="1345"/>
      <c r="AN170" s="1345"/>
      <c r="AO170" s="1346"/>
      <c r="AP170" s="1317"/>
      <c r="AQ170" s="1246"/>
      <c r="AR170" s="1246"/>
      <c r="AS170" s="1246"/>
      <c r="AT170" s="1345"/>
      <c r="AU170" s="1345"/>
      <c r="AV170" s="1345"/>
      <c r="AW170" s="1345"/>
      <c r="AX170" s="1346"/>
      <c r="AY170" s="1317"/>
      <c r="AZ170" s="1246"/>
      <c r="BA170" s="1246"/>
      <c r="BB170" s="1246"/>
      <c r="BC170" s="1345"/>
      <c r="BD170" s="1345"/>
      <c r="BE170" s="1345"/>
      <c r="BF170" s="1345"/>
      <c r="BG170" s="1346"/>
      <c r="BH170" s="1317"/>
      <c r="BI170" s="1246"/>
      <c r="BJ170" s="1246"/>
      <c r="BK170" s="1246"/>
      <c r="BL170" s="1345"/>
      <c r="BM170" s="1345"/>
      <c r="BN170" s="1345"/>
      <c r="BO170" s="1345"/>
      <c r="BP170" s="1346"/>
      <c r="BQ170" s="1317"/>
      <c r="BR170" s="1246"/>
      <c r="BS170" s="1246"/>
      <c r="BT170" s="1246"/>
      <c r="BU170" s="1345"/>
      <c r="BV170" s="1345"/>
      <c r="BW170" s="1345"/>
      <c r="BX170" s="1345"/>
      <c r="BY170" s="1346"/>
      <c r="BZ170" s="1317"/>
      <c r="CA170" s="1246"/>
      <c r="CB170" s="1246"/>
      <c r="CC170" s="1246"/>
      <c r="CD170" s="1246"/>
      <c r="CE170" s="1246"/>
      <c r="CF170" s="1345"/>
      <c r="CG170" s="1392"/>
      <c r="CH170" s="1393"/>
      <c r="CI170" s="1394">
        <f t="shared" si="33"/>
        <v>0</v>
      </c>
      <c r="CJ170" s="1435"/>
      <c r="CK170" s="1436"/>
      <c r="CL170" s="1437">
        <f t="shared" si="34"/>
        <v>0</v>
      </c>
      <c r="CM170" s="1438"/>
      <c r="CN170" s="1439">
        <f t="shared" si="35"/>
        <v>0</v>
      </c>
      <c r="CO170" s="396" t="s">
        <v>111</v>
      </c>
      <c r="CP170" s="397" t="s">
        <v>23</v>
      </c>
      <c r="CQ170" s="398" t="s">
        <v>112</v>
      </c>
    </row>
    <row r="171" spans="1:95" ht="21" thickBot="1">
      <c r="A171" s="1446" t="s">
        <v>131</v>
      </c>
      <c r="B171" s="1275"/>
      <c r="C171" s="1275"/>
      <c r="D171" s="1452"/>
      <c r="E171" s="1277"/>
      <c r="F171" s="1245"/>
      <c r="G171" s="1246"/>
      <c r="H171" s="1246"/>
      <c r="I171" s="1246"/>
      <c r="J171" s="1315"/>
      <c r="K171" s="1246"/>
      <c r="L171" s="1291"/>
      <c r="M171" s="1291"/>
      <c r="N171" s="1316"/>
      <c r="O171" s="1317"/>
      <c r="P171" s="1246"/>
      <c r="Q171" s="1246"/>
      <c r="R171" s="1246"/>
      <c r="S171" s="1345"/>
      <c r="T171" s="1345"/>
      <c r="U171" s="1345"/>
      <c r="V171" s="1345"/>
      <c r="W171" s="1346"/>
      <c r="X171" s="1317"/>
      <c r="Y171" s="1246"/>
      <c r="Z171" s="1246"/>
      <c r="AA171" s="1246"/>
      <c r="AB171" s="1345"/>
      <c r="AC171" s="1345"/>
      <c r="AD171" s="1345"/>
      <c r="AE171" s="1345"/>
      <c r="AF171" s="1346"/>
      <c r="AG171" s="1317"/>
      <c r="AH171" s="1246"/>
      <c r="AI171" s="1246"/>
      <c r="AJ171" s="1345"/>
      <c r="AK171" s="1345"/>
      <c r="AL171" s="1345"/>
      <c r="AM171" s="1345"/>
      <c r="AN171" s="1345"/>
      <c r="AO171" s="1346"/>
      <c r="AP171" s="1317"/>
      <c r="AQ171" s="1246"/>
      <c r="AR171" s="1246"/>
      <c r="AS171" s="1246"/>
      <c r="AT171" s="1345"/>
      <c r="AU171" s="1345"/>
      <c r="AV171" s="1345"/>
      <c r="AW171" s="1345"/>
      <c r="AX171" s="1346"/>
      <c r="AY171" s="1317"/>
      <c r="AZ171" s="1246"/>
      <c r="BA171" s="1246"/>
      <c r="BB171" s="1246"/>
      <c r="BC171" s="1345"/>
      <c r="BD171" s="1345"/>
      <c r="BE171" s="1345"/>
      <c r="BF171" s="1345"/>
      <c r="BG171" s="1346"/>
      <c r="BH171" s="1317"/>
      <c r="BI171" s="1246"/>
      <c r="BJ171" s="1246"/>
      <c r="BK171" s="1246"/>
      <c r="BL171" s="1345"/>
      <c r="BM171" s="1345"/>
      <c r="BN171" s="1345"/>
      <c r="BO171" s="1345"/>
      <c r="BP171" s="1346"/>
      <c r="BQ171" s="1317"/>
      <c r="BR171" s="1246"/>
      <c r="BS171" s="1246"/>
      <c r="BT171" s="1246"/>
      <c r="BU171" s="1345"/>
      <c r="BV171" s="1345"/>
      <c r="BW171" s="1345"/>
      <c r="BX171" s="1345"/>
      <c r="BY171" s="1346"/>
      <c r="BZ171" s="1317"/>
      <c r="CA171" s="1246"/>
      <c r="CB171" s="1246"/>
      <c r="CC171" s="1246"/>
      <c r="CD171" s="1246"/>
      <c r="CE171" s="1246"/>
      <c r="CF171" s="1345"/>
      <c r="CG171" s="1392"/>
      <c r="CH171" s="1393"/>
      <c r="CI171" s="1394">
        <f t="shared" si="33"/>
        <v>0</v>
      </c>
      <c r="CJ171" s="1435"/>
      <c r="CK171" s="1436"/>
      <c r="CL171" s="1437">
        <f t="shared" si="34"/>
        <v>0</v>
      </c>
      <c r="CM171" s="1438"/>
      <c r="CN171" s="1439">
        <f t="shared" si="35"/>
        <v>0</v>
      </c>
      <c r="CO171" s="1470">
        <f>'Jordan Chair'!AH232</f>
        <v>0</v>
      </c>
      <c r="CP171" s="400" t="e">
        <f>'Tea Table'!#REF!</f>
        <v>#REF!</v>
      </c>
      <c r="CQ171" s="718" t="e">
        <f>CL180+CO171+CP171</f>
        <v>#REF!</v>
      </c>
    </row>
    <row r="172" spans="1:95" ht="20.25">
      <c r="A172" s="1446" t="s">
        <v>131</v>
      </c>
      <c r="B172" s="1275"/>
      <c r="C172" s="1275"/>
      <c r="D172" s="1452"/>
      <c r="E172" s="1277"/>
      <c r="F172" s="1245"/>
      <c r="G172" s="1246"/>
      <c r="H172" s="1246"/>
      <c r="I172" s="1246"/>
      <c r="J172" s="1315"/>
      <c r="K172" s="1246"/>
      <c r="L172" s="1291"/>
      <c r="M172" s="1291"/>
      <c r="N172" s="1316"/>
      <c r="O172" s="1317"/>
      <c r="P172" s="1246"/>
      <c r="Q172" s="1246"/>
      <c r="R172" s="1246"/>
      <c r="S172" s="1345"/>
      <c r="T172" s="1345"/>
      <c r="U172" s="1345"/>
      <c r="V172" s="1345"/>
      <c r="W172" s="1346"/>
      <c r="X172" s="1317"/>
      <c r="Y172" s="1246"/>
      <c r="Z172" s="1246"/>
      <c r="AA172" s="1246"/>
      <c r="AB172" s="1345"/>
      <c r="AC172" s="1345"/>
      <c r="AD172" s="1345"/>
      <c r="AE172" s="1345"/>
      <c r="AF172" s="1346"/>
      <c r="AG172" s="1317"/>
      <c r="AH172" s="1246"/>
      <c r="AI172" s="1246"/>
      <c r="AJ172" s="1345"/>
      <c r="AK172" s="1345"/>
      <c r="AL172" s="1345"/>
      <c r="AM172" s="1345"/>
      <c r="AN172" s="1345"/>
      <c r="AO172" s="1346"/>
      <c r="AP172" s="1317"/>
      <c r="AQ172" s="1246"/>
      <c r="AR172" s="1246"/>
      <c r="AS172" s="1246"/>
      <c r="AT172" s="1345"/>
      <c r="AU172" s="1345"/>
      <c r="AV172" s="1345"/>
      <c r="AW172" s="1345"/>
      <c r="AX172" s="1346"/>
      <c r="AY172" s="1317"/>
      <c r="AZ172" s="1246"/>
      <c r="BA172" s="1246"/>
      <c r="BB172" s="1246"/>
      <c r="BC172" s="1345"/>
      <c r="BD172" s="1345"/>
      <c r="BE172" s="1345"/>
      <c r="BF172" s="1345"/>
      <c r="BG172" s="1346"/>
      <c r="BH172" s="1317"/>
      <c r="BI172" s="1246"/>
      <c r="BJ172" s="1246"/>
      <c r="BK172" s="1246"/>
      <c r="BL172" s="1345"/>
      <c r="BM172" s="1345"/>
      <c r="BN172" s="1345"/>
      <c r="BO172" s="1345"/>
      <c r="BP172" s="1346"/>
      <c r="BQ172" s="1317"/>
      <c r="BR172" s="1246"/>
      <c r="BS172" s="1246"/>
      <c r="BT172" s="1246"/>
      <c r="BU172" s="1345"/>
      <c r="BV172" s="1345"/>
      <c r="BW172" s="1345"/>
      <c r="BX172" s="1345"/>
      <c r="BY172" s="1346"/>
      <c r="BZ172" s="1317"/>
      <c r="CA172" s="1246"/>
      <c r="CB172" s="1246"/>
      <c r="CC172" s="1246"/>
      <c r="CD172" s="1246"/>
      <c r="CE172" s="1246"/>
      <c r="CF172" s="1345"/>
      <c r="CG172" s="1392"/>
      <c r="CH172" s="1393"/>
      <c r="CI172" s="1394">
        <f t="shared" si="33"/>
        <v>0</v>
      </c>
      <c r="CJ172" s="1435"/>
      <c r="CK172" s="1436"/>
      <c r="CL172" s="1437">
        <f t="shared" si="34"/>
        <v>0</v>
      </c>
      <c r="CM172" s="1438"/>
      <c r="CN172" s="1439">
        <f t="shared" si="35"/>
        <v>0</v>
      </c>
      <c r="CO172" s="403"/>
      <c r="CP172" s="403"/>
      <c r="CQ172" s="403"/>
    </row>
    <row r="173" spans="1:95" ht="20.25">
      <c r="A173" s="1446" t="s">
        <v>131</v>
      </c>
      <c r="B173" s="1275"/>
      <c r="C173" s="1275"/>
      <c r="D173" s="1452"/>
      <c r="E173" s="1277"/>
      <c r="F173" s="1245"/>
      <c r="G173" s="1246"/>
      <c r="H173" s="1246"/>
      <c r="I173" s="1246"/>
      <c r="J173" s="1315"/>
      <c r="K173" s="1246"/>
      <c r="L173" s="1291"/>
      <c r="M173" s="1291"/>
      <c r="N173" s="1316"/>
      <c r="O173" s="1317"/>
      <c r="P173" s="1246"/>
      <c r="Q173" s="1246"/>
      <c r="R173" s="1246"/>
      <c r="S173" s="1345"/>
      <c r="T173" s="1345"/>
      <c r="U173" s="1345"/>
      <c r="V173" s="1345"/>
      <c r="W173" s="1346"/>
      <c r="X173" s="1317"/>
      <c r="Y173" s="1246"/>
      <c r="Z173" s="1246"/>
      <c r="AA173" s="1246"/>
      <c r="AB173" s="1345"/>
      <c r="AC173" s="1345"/>
      <c r="AD173" s="1345"/>
      <c r="AE173" s="1345"/>
      <c r="AF173" s="1346"/>
      <c r="AG173" s="1317"/>
      <c r="AH173" s="1246"/>
      <c r="AI173" s="1246"/>
      <c r="AJ173" s="1345"/>
      <c r="AK173" s="1345"/>
      <c r="AL173" s="1345"/>
      <c r="AM173" s="1345"/>
      <c r="AN173" s="1345"/>
      <c r="AO173" s="1346"/>
      <c r="AP173" s="1317"/>
      <c r="AQ173" s="1246"/>
      <c r="AR173" s="1246"/>
      <c r="AS173" s="1246"/>
      <c r="AT173" s="1345"/>
      <c r="AU173" s="1345"/>
      <c r="AV173" s="1345"/>
      <c r="AW173" s="1345"/>
      <c r="AX173" s="1346"/>
      <c r="AY173" s="1317"/>
      <c r="AZ173" s="1246"/>
      <c r="BA173" s="1246"/>
      <c r="BB173" s="1246"/>
      <c r="BC173" s="1345"/>
      <c r="BD173" s="1345"/>
      <c r="BE173" s="1345"/>
      <c r="BF173" s="1345"/>
      <c r="BG173" s="1346"/>
      <c r="BH173" s="1317"/>
      <c r="BI173" s="1246"/>
      <c r="BJ173" s="1246"/>
      <c r="BK173" s="1246"/>
      <c r="BL173" s="1345"/>
      <c r="BM173" s="1345"/>
      <c r="BN173" s="1345"/>
      <c r="BO173" s="1345"/>
      <c r="BP173" s="1346"/>
      <c r="BQ173" s="1317"/>
      <c r="BR173" s="1246"/>
      <c r="BS173" s="1246"/>
      <c r="BT173" s="1246"/>
      <c r="BU173" s="1345"/>
      <c r="BV173" s="1345"/>
      <c r="BW173" s="1345"/>
      <c r="BX173" s="1345"/>
      <c r="BY173" s="1346"/>
      <c r="BZ173" s="1317"/>
      <c r="CA173" s="1246"/>
      <c r="CB173" s="1246"/>
      <c r="CC173" s="1246"/>
      <c r="CD173" s="1246"/>
      <c r="CE173" s="1246"/>
      <c r="CF173" s="1345"/>
      <c r="CG173" s="1392"/>
      <c r="CH173" s="1393"/>
      <c r="CI173" s="1394">
        <f t="shared" si="33"/>
        <v>0</v>
      </c>
      <c r="CJ173" s="1435"/>
      <c r="CK173" s="1436"/>
      <c r="CL173" s="1437">
        <f t="shared" si="34"/>
        <v>0</v>
      </c>
      <c r="CM173" s="1438"/>
      <c r="CN173" s="1439">
        <f t="shared" si="35"/>
        <v>0</v>
      </c>
      <c r="CO173" s="403"/>
      <c r="CP173" s="403"/>
      <c r="CQ173" s="403"/>
    </row>
    <row r="174" spans="1:95" ht="20.25">
      <c r="A174" s="1446" t="s">
        <v>131</v>
      </c>
      <c r="B174" s="1275"/>
      <c r="C174" s="1275"/>
      <c r="D174" s="1452"/>
      <c r="E174" s="1277"/>
      <c r="F174" s="1245"/>
      <c r="G174" s="1246"/>
      <c r="H174" s="1246"/>
      <c r="I174" s="1246"/>
      <c r="J174" s="1315"/>
      <c r="K174" s="1246"/>
      <c r="L174" s="1291"/>
      <c r="M174" s="1291"/>
      <c r="N174" s="1316"/>
      <c r="O174" s="1317"/>
      <c r="P174" s="1246"/>
      <c r="Q174" s="1246"/>
      <c r="R174" s="1246"/>
      <c r="S174" s="1345"/>
      <c r="T174" s="1345"/>
      <c r="U174" s="1345"/>
      <c r="V174" s="1345"/>
      <c r="W174" s="1346"/>
      <c r="X174" s="1317"/>
      <c r="Y174" s="1246"/>
      <c r="Z174" s="1246"/>
      <c r="AA174" s="1246"/>
      <c r="AB174" s="1345"/>
      <c r="AC174" s="1345"/>
      <c r="AD174" s="1345"/>
      <c r="AE174" s="1345"/>
      <c r="AF174" s="1346"/>
      <c r="AG174" s="1317"/>
      <c r="AH174" s="1246"/>
      <c r="AI174" s="1246"/>
      <c r="AJ174" s="1345"/>
      <c r="AK174" s="1345"/>
      <c r="AL174" s="1345"/>
      <c r="AM174" s="1345"/>
      <c r="AN174" s="1345"/>
      <c r="AO174" s="1346"/>
      <c r="AP174" s="1317"/>
      <c r="AQ174" s="1246"/>
      <c r="AR174" s="1246"/>
      <c r="AS174" s="1246"/>
      <c r="AT174" s="1345"/>
      <c r="AU174" s="1345"/>
      <c r="AV174" s="1345"/>
      <c r="AW174" s="1345"/>
      <c r="AX174" s="1346"/>
      <c r="AY174" s="1317"/>
      <c r="AZ174" s="1246"/>
      <c r="BA174" s="1246"/>
      <c r="BB174" s="1246"/>
      <c r="BC174" s="1345"/>
      <c r="BD174" s="1345"/>
      <c r="BE174" s="1345"/>
      <c r="BF174" s="1345"/>
      <c r="BG174" s="1346"/>
      <c r="BH174" s="1317"/>
      <c r="BI174" s="1246"/>
      <c r="BJ174" s="1246"/>
      <c r="BK174" s="1246"/>
      <c r="BL174" s="1345"/>
      <c r="BM174" s="1345"/>
      <c r="BN174" s="1345"/>
      <c r="BO174" s="1345"/>
      <c r="BP174" s="1346"/>
      <c r="BQ174" s="1317"/>
      <c r="BR174" s="1246"/>
      <c r="BS174" s="1246"/>
      <c r="BT174" s="1246"/>
      <c r="BU174" s="1345"/>
      <c r="BV174" s="1345"/>
      <c r="BW174" s="1345"/>
      <c r="BX174" s="1345"/>
      <c r="BY174" s="1346"/>
      <c r="BZ174" s="1317"/>
      <c r="CA174" s="1246"/>
      <c r="CB174" s="1246"/>
      <c r="CC174" s="1246"/>
      <c r="CD174" s="1246"/>
      <c r="CE174" s="1246"/>
      <c r="CF174" s="1345"/>
      <c r="CG174" s="1392"/>
      <c r="CH174" s="1393"/>
      <c r="CI174" s="1394">
        <f t="shared" si="33"/>
        <v>0</v>
      </c>
      <c r="CJ174" s="1435"/>
      <c r="CK174" s="1436"/>
      <c r="CL174" s="1437">
        <f t="shared" si="34"/>
        <v>0</v>
      </c>
      <c r="CM174" s="1438"/>
      <c r="CN174" s="1439">
        <f t="shared" si="35"/>
        <v>0</v>
      </c>
      <c r="CO174" s="403"/>
      <c r="CP174" s="403"/>
      <c r="CQ174" s="403"/>
    </row>
    <row r="175" spans="1:95" ht="20.25">
      <c r="A175" s="1446" t="s">
        <v>131</v>
      </c>
      <c r="B175" s="1275"/>
      <c r="C175" s="1275"/>
      <c r="D175" s="1452"/>
      <c r="E175" s="1277"/>
      <c r="F175" s="1245"/>
      <c r="G175" s="1246"/>
      <c r="H175" s="1246"/>
      <c r="I175" s="1246"/>
      <c r="J175" s="1315"/>
      <c r="K175" s="1246"/>
      <c r="L175" s="1291"/>
      <c r="M175" s="1291"/>
      <c r="N175" s="1316"/>
      <c r="O175" s="1317"/>
      <c r="P175" s="1246"/>
      <c r="Q175" s="1246"/>
      <c r="R175" s="1246"/>
      <c r="S175" s="1345"/>
      <c r="T175" s="1345"/>
      <c r="U175" s="1345"/>
      <c r="V175" s="1345"/>
      <c r="W175" s="1346"/>
      <c r="X175" s="1317"/>
      <c r="Y175" s="1246"/>
      <c r="Z175" s="1246"/>
      <c r="AA175" s="1246"/>
      <c r="AB175" s="1345"/>
      <c r="AC175" s="1345"/>
      <c r="AD175" s="1345"/>
      <c r="AE175" s="1345"/>
      <c r="AF175" s="1346"/>
      <c r="AG175" s="1317"/>
      <c r="AH175" s="1246"/>
      <c r="AI175" s="1246"/>
      <c r="AJ175" s="1345"/>
      <c r="AK175" s="1345"/>
      <c r="AL175" s="1345"/>
      <c r="AM175" s="1345"/>
      <c r="AN175" s="1345"/>
      <c r="AO175" s="1346"/>
      <c r="AP175" s="1317"/>
      <c r="AQ175" s="1246"/>
      <c r="AR175" s="1246"/>
      <c r="AS175" s="1246"/>
      <c r="AT175" s="1345"/>
      <c r="AU175" s="1345"/>
      <c r="AV175" s="1345"/>
      <c r="AW175" s="1345"/>
      <c r="AX175" s="1346"/>
      <c r="AY175" s="1317"/>
      <c r="AZ175" s="1246"/>
      <c r="BA175" s="1246"/>
      <c r="BB175" s="1246"/>
      <c r="BC175" s="1345"/>
      <c r="BD175" s="1345"/>
      <c r="BE175" s="1345"/>
      <c r="BF175" s="1345"/>
      <c r="BG175" s="1346"/>
      <c r="BH175" s="1317"/>
      <c r="BI175" s="1246"/>
      <c r="BJ175" s="1246"/>
      <c r="BK175" s="1246"/>
      <c r="BL175" s="1345"/>
      <c r="BM175" s="1345"/>
      <c r="BN175" s="1345"/>
      <c r="BO175" s="1345"/>
      <c r="BP175" s="1346"/>
      <c r="BQ175" s="1317"/>
      <c r="BR175" s="1246"/>
      <c r="BS175" s="1246"/>
      <c r="BT175" s="1246"/>
      <c r="BU175" s="1345"/>
      <c r="BV175" s="1345"/>
      <c r="BW175" s="1345"/>
      <c r="BX175" s="1345"/>
      <c r="BY175" s="1346"/>
      <c r="BZ175" s="1317"/>
      <c r="CA175" s="1246"/>
      <c r="CB175" s="1246"/>
      <c r="CC175" s="1246"/>
      <c r="CD175" s="1246"/>
      <c r="CE175" s="1246"/>
      <c r="CF175" s="1345"/>
      <c r="CG175" s="1392"/>
      <c r="CH175" s="1393"/>
      <c r="CI175" s="1394">
        <f t="shared" si="33"/>
        <v>0</v>
      </c>
      <c r="CJ175" s="1435"/>
      <c r="CK175" s="1436"/>
      <c r="CL175" s="1437">
        <f t="shared" si="34"/>
        <v>0</v>
      </c>
      <c r="CM175" s="1438"/>
      <c r="CN175" s="1439">
        <f t="shared" si="35"/>
        <v>0</v>
      </c>
      <c r="CO175" s="403"/>
      <c r="CP175" s="403"/>
      <c r="CQ175" s="403"/>
    </row>
    <row r="176" spans="1:95" ht="20.25">
      <c r="A176" s="1446" t="s">
        <v>131</v>
      </c>
      <c r="B176" s="1275"/>
      <c r="C176" s="1261"/>
      <c r="D176" s="1452"/>
      <c r="E176" s="1262"/>
      <c r="F176" s="1249"/>
      <c r="G176" s="1250"/>
      <c r="H176" s="1250"/>
      <c r="I176" s="1250"/>
      <c r="J176" s="1250"/>
      <c r="K176" s="1250"/>
      <c r="L176" s="1292"/>
      <c r="M176" s="1292"/>
      <c r="N176" s="1293"/>
      <c r="O176" s="1330"/>
      <c r="P176" s="1327"/>
      <c r="Q176" s="1327"/>
      <c r="R176" s="1327"/>
      <c r="S176" s="1328"/>
      <c r="T176" s="1328"/>
      <c r="U176" s="1328"/>
      <c r="V176" s="1328"/>
      <c r="W176" s="1329"/>
      <c r="X176" s="1330"/>
      <c r="Y176" s="1327"/>
      <c r="Z176" s="1327"/>
      <c r="AA176" s="1327"/>
      <c r="AB176" s="1328"/>
      <c r="AC176" s="1328"/>
      <c r="AD176" s="1352"/>
      <c r="AE176" s="1328"/>
      <c r="AF176" s="1329"/>
      <c r="AG176" s="1330"/>
      <c r="AH176" s="1327"/>
      <c r="AI176" s="1327"/>
      <c r="AJ176" s="1328"/>
      <c r="AK176" s="1328"/>
      <c r="AL176" s="1328"/>
      <c r="AM176" s="1328"/>
      <c r="AN176" s="1328"/>
      <c r="AO176" s="1329"/>
      <c r="AP176" s="1330"/>
      <c r="AQ176" s="1327"/>
      <c r="AR176" s="1327"/>
      <c r="AS176" s="1327"/>
      <c r="AT176" s="1328"/>
      <c r="AU176" s="1328"/>
      <c r="AV176" s="1328"/>
      <c r="AW176" s="1328"/>
      <c r="AX176" s="1329"/>
      <c r="AY176" s="1330"/>
      <c r="AZ176" s="1327"/>
      <c r="BA176" s="1295"/>
      <c r="BB176" s="1327"/>
      <c r="BC176" s="1362"/>
      <c r="BD176" s="1362"/>
      <c r="BE176" s="1328"/>
      <c r="BF176" s="1328"/>
      <c r="BG176" s="1329"/>
      <c r="BH176" s="1330"/>
      <c r="BI176" s="1327"/>
      <c r="BJ176" s="1327"/>
      <c r="BK176" s="1295"/>
      <c r="BL176" s="1328"/>
      <c r="BM176" s="1328"/>
      <c r="BN176" s="1328"/>
      <c r="BO176" s="1328"/>
      <c r="BP176" s="1329"/>
      <c r="BQ176" s="1330"/>
      <c r="BR176" s="1327"/>
      <c r="BS176" s="1327"/>
      <c r="BT176" s="1327"/>
      <c r="BU176" s="1328"/>
      <c r="BV176" s="1328"/>
      <c r="BW176" s="1328"/>
      <c r="BX176" s="1328"/>
      <c r="BY176" s="1329"/>
      <c r="BZ176" s="1369"/>
      <c r="CA176" s="1250"/>
      <c r="CB176" s="1327"/>
      <c r="CC176" s="1250"/>
      <c r="CD176" s="1250"/>
      <c r="CE176" s="1250"/>
      <c r="CF176" s="1352"/>
      <c r="CG176" s="1352"/>
      <c r="CH176" s="1376"/>
      <c r="CI176" s="1467">
        <f t="shared" si="33"/>
        <v>0</v>
      </c>
      <c r="CJ176" s="1471"/>
      <c r="CK176" s="1409"/>
      <c r="CL176" s="1437">
        <f t="shared" si="34"/>
        <v>0</v>
      </c>
      <c r="CM176" s="1408"/>
      <c r="CN176" s="1439">
        <f t="shared" si="35"/>
        <v>0</v>
      </c>
      <c r="CO176" s="1222"/>
      <c r="CP176" s="1222"/>
      <c r="CQ176" s="1222"/>
    </row>
    <row r="177" spans="1:95" ht="20.25">
      <c r="A177" s="1446" t="s">
        <v>131</v>
      </c>
      <c r="B177" s="1275"/>
      <c r="C177" s="1453"/>
      <c r="D177" s="1454"/>
      <c r="E177" s="1262"/>
      <c r="F177" s="1249"/>
      <c r="G177" s="1250"/>
      <c r="H177" s="1250"/>
      <c r="I177" s="1250"/>
      <c r="J177" s="1250"/>
      <c r="K177" s="1250"/>
      <c r="L177" s="1292"/>
      <c r="M177" s="1292"/>
      <c r="N177" s="1293"/>
      <c r="O177" s="1330"/>
      <c r="P177" s="1327"/>
      <c r="Q177" s="1327"/>
      <c r="R177" s="1327"/>
      <c r="S177" s="1328"/>
      <c r="T177" s="1328"/>
      <c r="U177" s="1328"/>
      <c r="V177" s="1328"/>
      <c r="W177" s="1329"/>
      <c r="X177" s="1330"/>
      <c r="Y177" s="1327"/>
      <c r="Z177" s="1327"/>
      <c r="AA177" s="1327"/>
      <c r="AB177" s="1328"/>
      <c r="AC177" s="1328"/>
      <c r="AD177" s="1352"/>
      <c r="AE177" s="1328"/>
      <c r="AF177" s="1329"/>
      <c r="AG177" s="1330"/>
      <c r="AH177" s="1327"/>
      <c r="AI177" s="1327"/>
      <c r="AJ177" s="1328"/>
      <c r="AK177" s="1328"/>
      <c r="AL177" s="1328"/>
      <c r="AM177" s="1328"/>
      <c r="AN177" s="1328"/>
      <c r="AO177" s="1329"/>
      <c r="AP177" s="1330"/>
      <c r="AQ177" s="1327"/>
      <c r="AR177" s="1327"/>
      <c r="AS177" s="1327"/>
      <c r="AT177" s="1328"/>
      <c r="AU177" s="1328"/>
      <c r="AV177" s="1328"/>
      <c r="AW177" s="1328"/>
      <c r="AX177" s="1329"/>
      <c r="AY177" s="1294"/>
      <c r="AZ177" s="1327"/>
      <c r="BA177" s="1295"/>
      <c r="BB177" s="1327"/>
      <c r="BC177" s="1362"/>
      <c r="BD177" s="1328"/>
      <c r="BE177" s="1328"/>
      <c r="BF177" s="1328"/>
      <c r="BG177" s="1329"/>
      <c r="BH177" s="1330"/>
      <c r="BI177" s="1327"/>
      <c r="BJ177" s="1327"/>
      <c r="BK177" s="1295"/>
      <c r="BL177" s="1328"/>
      <c r="BM177" s="1328"/>
      <c r="BN177" s="1328"/>
      <c r="BO177" s="1328"/>
      <c r="BP177" s="1329"/>
      <c r="BQ177" s="1330"/>
      <c r="BR177" s="1327"/>
      <c r="BS177" s="1327"/>
      <c r="BT177" s="1327"/>
      <c r="BU177" s="1328"/>
      <c r="BV177" s="1328"/>
      <c r="BW177" s="1328"/>
      <c r="BX177" s="1328"/>
      <c r="BY177" s="1329"/>
      <c r="BZ177" s="1369"/>
      <c r="CA177" s="1250"/>
      <c r="CB177" s="1327"/>
      <c r="CC177" s="1250"/>
      <c r="CD177" s="1250"/>
      <c r="CE177" s="1250"/>
      <c r="CF177" s="1352"/>
      <c r="CG177" s="1352"/>
      <c r="CH177" s="1376"/>
      <c r="CI177" s="1467">
        <f t="shared" si="33"/>
        <v>0</v>
      </c>
      <c r="CJ177" s="1471"/>
      <c r="CK177" s="1409"/>
      <c r="CL177" s="1437">
        <f t="shared" si="34"/>
        <v>0</v>
      </c>
      <c r="CM177" s="1408"/>
      <c r="CN177" s="1439">
        <f t="shared" si="35"/>
        <v>0</v>
      </c>
      <c r="CO177" s="1229"/>
      <c r="CP177" s="1229"/>
      <c r="CQ177" s="1229"/>
    </row>
    <row r="178" spans="1:95" ht="20.25">
      <c r="A178" s="1474"/>
      <c r="B178" s="1455"/>
      <c r="C178" s="1247"/>
      <c r="D178" s="1456"/>
      <c r="E178" s="1262"/>
      <c r="F178" s="1249"/>
      <c r="G178" s="1250"/>
      <c r="H178" s="1250"/>
      <c r="I178" s="1250"/>
      <c r="J178" s="1250"/>
      <c r="K178" s="1250"/>
      <c r="L178" s="1292"/>
      <c r="M178" s="1292"/>
      <c r="N178" s="1293"/>
      <c r="O178" s="1330"/>
      <c r="P178" s="1327"/>
      <c r="Q178" s="1327"/>
      <c r="R178" s="1327"/>
      <c r="S178" s="1328"/>
      <c r="T178" s="1328"/>
      <c r="U178" s="1328"/>
      <c r="V178" s="1328"/>
      <c r="W178" s="1329"/>
      <c r="X178" s="1330"/>
      <c r="Y178" s="1327"/>
      <c r="Z178" s="1327"/>
      <c r="AA178" s="1327"/>
      <c r="AB178" s="1328"/>
      <c r="AC178" s="1328"/>
      <c r="AD178" s="1352"/>
      <c r="AE178" s="1328"/>
      <c r="AF178" s="1329"/>
      <c r="AG178" s="1330"/>
      <c r="AH178" s="1327"/>
      <c r="AI178" s="1327"/>
      <c r="AJ178" s="1328"/>
      <c r="AK178" s="1328"/>
      <c r="AL178" s="1328"/>
      <c r="AM178" s="1328"/>
      <c r="AN178" s="1328"/>
      <c r="AO178" s="1329"/>
      <c r="AP178" s="1330"/>
      <c r="AQ178" s="1327"/>
      <c r="AR178" s="1327"/>
      <c r="AS178" s="1327"/>
      <c r="AT178" s="1328"/>
      <c r="AU178" s="1328"/>
      <c r="AV178" s="1328"/>
      <c r="AW178" s="1328"/>
      <c r="AX178" s="1329"/>
      <c r="AY178" s="1294"/>
      <c r="AZ178" s="1327"/>
      <c r="BA178" s="1295"/>
      <c r="BB178" s="1327"/>
      <c r="BC178" s="1362"/>
      <c r="BD178" s="1328"/>
      <c r="BE178" s="1328"/>
      <c r="BF178" s="1328"/>
      <c r="BG178" s="1329"/>
      <c r="BH178" s="1294"/>
      <c r="BI178" s="1327"/>
      <c r="BJ178" s="1327"/>
      <c r="BK178" s="1295"/>
      <c r="BL178" s="1328"/>
      <c r="BM178" s="1328"/>
      <c r="BN178" s="1328"/>
      <c r="BO178" s="1328"/>
      <c r="BP178" s="1329"/>
      <c r="BQ178" s="1330"/>
      <c r="BR178" s="1327"/>
      <c r="BS178" s="1327"/>
      <c r="BT178" s="1327"/>
      <c r="BU178" s="1328"/>
      <c r="BV178" s="1328"/>
      <c r="BW178" s="1328"/>
      <c r="BX178" s="1328"/>
      <c r="BY178" s="1329"/>
      <c r="BZ178" s="1369"/>
      <c r="CA178" s="1250"/>
      <c r="CB178" s="1327"/>
      <c r="CC178" s="1250"/>
      <c r="CD178" s="1250"/>
      <c r="CE178" s="1250"/>
      <c r="CF178" s="1352"/>
      <c r="CG178" s="1352"/>
      <c r="CH178" s="1376"/>
      <c r="CI178" s="1467">
        <f t="shared" si="33"/>
        <v>0</v>
      </c>
      <c r="CJ178" s="1471"/>
      <c r="CK178" s="1409"/>
      <c r="CL178" s="1437">
        <f t="shared" si="34"/>
        <v>0</v>
      </c>
      <c r="CM178" s="1408"/>
      <c r="CN178" s="1439">
        <f t="shared" si="35"/>
        <v>0</v>
      </c>
      <c r="CO178" s="1229"/>
      <c r="CP178" s="1229"/>
      <c r="CQ178" s="1229"/>
    </row>
    <row r="179" spans="1:95" ht="21" thickBot="1">
      <c r="A179" s="1474"/>
      <c r="B179" s="1247"/>
      <c r="C179" s="1247"/>
      <c r="D179" s="1456"/>
      <c r="E179" s="1262"/>
      <c r="F179" s="1249"/>
      <c r="G179" s="1250"/>
      <c r="H179" s="1250"/>
      <c r="I179" s="1250"/>
      <c r="J179" s="1250"/>
      <c r="K179" s="1250"/>
      <c r="L179" s="1292"/>
      <c r="M179" s="1292"/>
      <c r="N179" s="1293"/>
      <c r="O179" s="1330"/>
      <c r="P179" s="1327"/>
      <c r="Q179" s="1327"/>
      <c r="R179" s="1327"/>
      <c r="S179" s="1328"/>
      <c r="T179" s="1328"/>
      <c r="U179" s="1328"/>
      <c r="V179" s="1328"/>
      <c r="W179" s="1329"/>
      <c r="X179" s="1330"/>
      <c r="Y179" s="1327"/>
      <c r="Z179" s="1327"/>
      <c r="AA179" s="1327"/>
      <c r="AB179" s="1328"/>
      <c r="AC179" s="1328"/>
      <c r="AD179" s="1352"/>
      <c r="AE179" s="1328"/>
      <c r="AF179" s="1329"/>
      <c r="AG179" s="1330"/>
      <c r="AH179" s="1327"/>
      <c r="AI179" s="1327"/>
      <c r="AJ179" s="1328"/>
      <c r="AK179" s="1328"/>
      <c r="AL179" s="1328"/>
      <c r="AM179" s="1328"/>
      <c r="AN179" s="1328"/>
      <c r="AO179" s="1329"/>
      <c r="AP179" s="1330"/>
      <c r="AQ179" s="1327"/>
      <c r="AR179" s="1327"/>
      <c r="AS179" s="1327"/>
      <c r="AT179" s="1328"/>
      <c r="AU179" s="1328"/>
      <c r="AV179" s="1328"/>
      <c r="AW179" s="1328"/>
      <c r="AX179" s="1329"/>
      <c r="AY179" s="1330"/>
      <c r="AZ179" s="1327"/>
      <c r="BA179" s="1295"/>
      <c r="BB179" s="1327"/>
      <c r="BC179" s="1362"/>
      <c r="BD179" s="1362"/>
      <c r="BE179" s="1328"/>
      <c r="BF179" s="1328"/>
      <c r="BG179" s="1329"/>
      <c r="BH179" s="1330"/>
      <c r="BI179" s="1327"/>
      <c r="BJ179" s="1327"/>
      <c r="BK179" s="1327"/>
      <c r="BL179" s="1328"/>
      <c r="BM179" s="1328"/>
      <c r="BN179" s="1328"/>
      <c r="BO179" s="1328"/>
      <c r="BP179" s="1329"/>
      <c r="BQ179" s="1330"/>
      <c r="BR179" s="1327"/>
      <c r="BS179" s="1327"/>
      <c r="BT179" s="1327"/>
      <c r="BU179" s="1328"/>
      <c r="BV179" s="1328"/>
      <c r="BW179" s="1328"/>
      <c r="BX179" s="1328"/>
      <c r="BY179" s="1329"/>
      <c r="BZ179" s="1369"/>
      <c r="CA179" s="1250"/>
      <c r="CB179" s="1327"/>
      <c r="CC179" s="1250"/>
      <c r="CD179" s="1250"/>
      <c r="CE179" s="1250"/>
      <c r="CF179" s="1352"/>
      <c r="CG179" s="1352"/>
      <c r="CH179" s="1376"/>
      <c r="CI179" s="1467">
        <f t="shared" si="33"/>
        <v>0</v>
      </c>
      <c r="CJ179" s="1471"/>
      <c r="CK179" s="1409"/>
      <c r="CL179" s="1437">
        <f t="shared" si="34"/>
        <v>0</v>
      </c>
      <c r="CM179" s="1408"/>
      <c r="CN179" s="1439">
        <f t="shared" si="35"/>
        <v>0</v>
      </c>
      <c r="CO179" s="1229"/>
      <c r="CP179" s="1229"/>
      <c r="CQ179" s="1229"/>
    </row>
    <row r="180" spans="1:95" ht="21" thickBot="1">
      <c r="A180" s="326" t="s">
        <v>132</v>
      </c>
      <c r="B180" s="1457"/>
      <c r="C180" s="1457"/>
      <c r="D180" s="1265"/>
      <c r="E180" s="1444"/>
      <c r="F180" s="1445">
        <f>SUM(F148:F179)</f>
        <v>0</v>
      </c>
      <c r="G180" s="1445">
        <f t="shared" ref="G180:BQ180" si="36">SUM(G148:G179)</f>
        <v>0</v>
      </c>
      <c r="H180" s="1445">
        <f t="shared" si="36"/>
        <v>0</v>
      </c>
      <c r="I180" s="1445">
        <f t="shared" si="36"/>
        <v>0</v>
      </c>
      <c r="J180" s="1445">
        <f t="shared" si="36"/>
        <v>0</v>
      </c>
      <c r="K180" s="1445">
        <f t="shared" si="36"/>
        <v>0</v>
      </c>
      <c r="L180" s="1445">
        <f t="shared" si="36"/>
        <v>0</v>
      </c>
      <c r="M180" s="1445">
        <f t="shared" si="36"/>
        <v>0</v>
      </c>
      <c r="N180" s="1445">
        <f t="shared" si="36"/>
        <v>0</v>
      </c>
      <c r="O180" s="1445">
        <f t="shared" si="36"/>
        <v>0</v>
      </c>
      <c r="P180" s="1445">
        <f t="shared" si="36"/>
        <v>0</v>
      </c>
      <c r="Q180" s="1445">
        <f t="shared" si="36"/>
        <v>0</v>
      </c>
      <c r="R180" s="1445">
        <f t="shared" si="36"/>
        <v>0</v>
      </c>
      <c r="S180" s="1445">
        <f t="shared" si="36"/>
        <v>0</v>
      </c>
      <c r="T180" s="1445">
        <f t="shared" si="36"/>
        <v>0</v>
      </c>
      <c r="U180" s="1445">
        <f t="shared" si="36"/>
        <v>0</v>
      </c>
      <c r="V180" s="1445">
        <f t="shared" si="36"/>
        <v>0</v>
      </c>
      <c r="W180" s="1445">
        <f t="shared" si="36"/>
        <v>0</v>
      </c>
      <c r="X180" s="1445">
        <f t="shared" si="36"/>
        <v>0</v>
      </c>
      <c r="Y180" s="1445">
        <f t="shared" si="36"/>
        <v>0</v>
      </c>
      <c r="Z180" s="1445">
        <f t="shared" si="36"/>
        <v>0</v>
      </c>
      <c r="AA180" s="1445">
        <f t="shared" si="36"/>
        <v>0</v>
      </c>
      <c r="AB180" s="1445">
        <f t="shared" si="36"/>
        <v>0</v>
      </c>
      <c r="AC180" s="1445">
        <f t="shared" si="36"/>
        <v>0</v>
      </c>
      <c r="AD180" s="1445">
        <f t="shared" si="36"/>
        <v>0</v>
      </c>
      <c r="AE180" s="1445">
        <f t="shared" si="36"/>
        <v>0</v>
      </c>
      <c r="AF180" s="1445">
        <f t="shared" si="36"/>
        <v>0</v>
      </c>
      <c r="AG180" s="1445">
        <f>SUM(AG148:AG179)</f>
        <v>0</v>
      </c>
      <c r="AH180" s="1445">
        <f t="shared" si="36"/>
        <v>0</v>
      </c>
      <c r="AI180" s="1445">
        <f t="shared" si="36"/>
        <v>0</v>
      </c>
      <c r="AJ180" s="1445">
        <f t="shared" si="36"/>
        <v>0</v>
      </c>
      <c r="AK180" s="1445">
        <f t="shared" si="36"/>
        <v>0</v>
      </c>
      <c r="AL180" s="1445">
        <f t="shared" si="36"/>
        <v>0</v>
      </c>
      <c r="AM180" s="1445">
        <f t="shared" si="36"/>
        <v>0</v>
      </c>
      <c r="AN180" s="1445">
        <f t="shared" si="36"/>
        <v>0</v>
      </c>
      <c r="AO180" s="1445">
        <f t="shared" si="36"/>
        <v>0</v>
      </c>
      <c r="AP180" s="1445">
        <f t="shared" si="36"/>
        <v>0</v>
      </c>
      <c r="AQ180" s="1445">
        <f t="shared" si="36"/>
        <v>0</v>
      </c>
      <c r="AR180" s="1445">
        <f t="shared" si="36"/>
        <v>0</v>
      </c>
      <c r="AS180" s="1445">
        <f t="shared" si="36"/>
        <v>0</v>
      </c>
      <c r="AT180" s="1445">
        <f t="shared" si="36"/>
        <v>0</v>
      </c>
      <c r="AU180" s="1445">
        <f t="shared" si="36"/>
        <v>0</v>
      </c>
      <c r="AV180" s="1445">
        <f t="shared" si="36"/>
        <v>0</v>
      </c>
      <c r="AW180" s="1445">
        <f t="shared" si="36"/>
        <v>0</v>
      </c>
      <c r="AX180" s="1445">
        <f t="shared" si="36"/>
        <v>0</v>
      </c>
      <c r="AY180" s="1445">
        <f t="shared" si="36"/>
        <v>0</v>
      </c>
      <c r="AZ180" s="1445">
        <f t="shared" si="36"/>
        <v>0</v>
      </c>
      <c r="BA180" s="1445">
        <f t="shared" si="36"/>
        <v>2992</v>
      </c>
      <c r="BB180" s="1445">
        <f t="shared" si="36"/>
        <v>0</v>
      </c>
      <c r="BC180" s="1445">
        <f t="shared" si="36"/>
        <v>0</v>
      </c>
      <c r="BD180" s="1445">
        <f t="shared" si="36"/>
        <v>2528</v>
      </c>
      <c r="BE180" s="1445">
        <f t="shared" si="36"/>
        <v>0</v>
      </c>
      <c r="BF180" s="1445">
        <f t="shared" si="36"/>
        <v>0</v>
      </c>
      <c r="BG180" s="1445">
        <f t="shared" si="36"/>
        <v>0</v>
      </c>
      <c r="BH180" s="1445">
        <f t="shared" si="36"/>
        <v>0</v>
      </c>
      <c r="BI180" s="1445">
        <f t="shared" si="36"/>
        <v>928</v>
      </c>
      <c r="BJ180" s="1445">
        <f t="shared" si="36"/>
        <v>0</v>
      </c>
      <c r="BK180" s="1445">
        <f t="shared" si="36"/>
        <v>0</v>
      </c>
      <c r="BL180" s="1445">
        <f t="shared" si="36"/>
        <v>0</v>
      </c>
      <c r="BM180" s="1445">
        <f t="shared" si="36"/>
        <v>0</v>
      </c>
      <c r="BN180" s="1445">
        <f t="shared" si="36"/>
        <v>0</v>
      </c>
      <c r="BO180" s="1445">
        <f t="shared" si="36"/>
        <v>0</v>
      </c>
      <c r="BP180" s="1445">
        <f t="shared" si="36"/>
        <v>0</v>
      </c>
      <c r="BQ180" s="1445">
        <f t="shared" si="36"/>
        <v>0</v>
      </c>
      <c r="BR180" s="1445">
        <f t="shared" ref="BR180:CN180" si="37">SUM(BR148:BR179)</f>
        <v>0</v>
      </c>
      <c r="BS180" s="1445">
        <f t="shared" si="37"/>
        <v>0</v>
      </c>
      <c r="BT180" s="1445">
        <f t="shared" si="37"/>
        <v>0</v>
      </c>
      <c r="BU180" s="1445">
        <f t="shared" si="37"/>
        <v>0</v>
      </c>
      <c r="BV180" s="1445">
        <f t="shared" si="37"/>
        <v>0</v>
      </c>
      <c r="BW180" s="1445">
        <f t="shared" si="37"/>
        <v>0</v>
      </c>
      <c r="BX180" s="1445">
        <f t="shared" si="37"/>
        <v>0</v>
      </c>
      <c r="BY180" s="1445">
        <f t="shared" si="37"/>
        <v>0</v>
      </c>
      <c r="BZ180" s="1445">
        <f t="shared" si="37"/>
        <v>0</v>
      </c>
      <c r="CA180" s="1445">
        <f t="shared" si="37"/>
        <v>0</v>
      </c>
      <c r="CB180" s="1445">
        <f t="shared" si="37"/>
        <v>0</v>
      </c>
      <c r="CC180" s="1445">
        <f t="shared" si="37"/>
        <v>0</v>
      </c>
      <c r="CD180" s="1445">
        <f t="shared" si="37"/>
        <v>0</v>
      </c>
      <c r="CE180" s="1445">
        <f t="shared" si="37"/>
        <v>0</v>
      </c>
      <c r="CF180" s="1445">
        <f t="shared" si="37"/>
        <v>0</v>
      </c>
      <c r="CG180" s="1445">
        <f t="shared" si="37"/>
        <v>0</v>
      </c>
      <c r="CH180" s="1445">
        <f t="shared" si="37"/>
        <v>0</v>
      </c>
      <c r="CI180" s="1445">
        <f t="shared" si="37"/>
        <v>6448</v>
      </c>
      <c r="CJ180" s="1445">
        <f t="shared" si="37"/>
        <v>37</v>
      </c>
      <c r="CK180" s="1445">
        <f t="shared" si="37"/>
        <v>0</v>
      </c>
      <c r="CL180" s="1445">
        <f t="shared" si="37"/>
        <v>6485</v>
      </c>
      <c r="CM180" s="1445">
        <f t="shared" si="37"/>
        <v>47</v>
      </c>
      <c r="CN180" s="1445">
        <f t="shared" si="37"/>
        <v>6532</v>
      </c>
      <c r="CO180" s="1229"/>
      <c r="CP180" s="1229"/>
      <c r="CQ180" s="1229"/>
    </row>
    <row r="181" spans="1:95" ht="24" thickBot="1">
      <c r="A181" s="286" t="s">
        <v>130</v>
      </c>
      <c r="B181" s="1272" t="s">
        <v>68</v>
      </c>
      <c r="C181" s="1272" t="s">
        <v>69</v>
      </c>
      <c r="D181" s="1273" t="s">
        <v>70</v>
      </c>
      <c r="E181" s="1274"/>
      <c r="F181" s="743"/>
      <c r="G181" s="744" t="s">
        <v>533</v>
      </c>
      <c r="H181" s="744"/>
      <c r="I181" s="49" t="s">
        <v>94</v>
      </c>
      <c r="J181" s="744"/>
      <c r="K181" s="49"/>
      <c r="L181" s="914"/>
      <c r="M181" s="1279"/>
      <c r="N181" s="1314"/>
      <c r="O181" s="755"/>
      <c r="P181" s="744"/>
      <c r="Q181" s="744"/>
      <c r="R181" s="50"/>
      <c r="S181" s="1013"/>
      <c r="T181" s="51"/>
      <c r="U181" s="1344"/>
      <c r="V181" s="1344"/>
      <c r="W181" s="1073"/>
      <c r="X181" s="743" t="s">
        <v>94</v>
      </c>
      <c r="Y181" s="744" t="s">
        <v>96</v>
      </c>
      <c r="Z181" s="744" t="s">
        <v>81</v>
      </c>
      <c r="AA181" s="744" t="s">
        <v>82</v>
      </c>
      <c r="AB181" s="880" t="s">
        <v>75</v>
      </c>
      <c r="AC181" s="744" t="s">
        <v>83</v>
      </c>
      <c r="AD181" s="744" t="s">
        <v>87</v>
      </c>
      <c r="AE181" s="936" t="s">
        <v>84</v>
      </c>
      <c r="AF181" s="722"/>
      <c r="AG181" s="88" t="s">
        <v>85</v>
      </c>
      <c r="AH181" s="30" t="s">
        <v>86</v>
      </c>
      <c r="AI181" s="30" t="s">
        <v>77</v>
      </c>
      <c r="AJ181" s="89" t="s">
        <v>75</v>
      </c>
      <c r="AK181" s="30" t="s">
        <v>78</v>
      </c>
      <c r="AL181" s="89" t="s">
        <v>53</v>
      </c>
      <c r="AM181" s="112" t="s">
        <v>88</v>
      </c>
      <c r="AN181" s="936" t="s">
        <v>94</v>
      </c>
      <c r="AO181" s="722"/>
      <c r="AP181" s="743" t="s">
        <v>86</v>
      </c>
      <c r="AQ181" s="744" t="s">
        <v>123</v>
      </c>
      <c r="AR181" s="744" t="s">
        <v>90</v>
      </c>
      <c r="AS181" s="744" t="s">
        <v>92</v>
      </c>
      <c r="AT181" s="880" t="s">
        <v>250</v>
      </c>
      <c r="AU181" s="744" t="s">
        <v>85</v>
      </c>
      <c r="AV181" s="880" t="s">
        <v>381</v>
      </c>
      <c r="AW181" s="936" t="s">
        <v>481</v>
      </c>
      <c r="AX181" s="722"/>
      <c r="AY181" s="743" t="s">
        <v>477</v>
      </c>
      <c r="AZ181" s="744"/>
      <c r="BA181" s="744" t="s">
        <v>94</v>
      </c>
      <c r="BB181" s="744"/>
      <c r="BC181" s="880"/>
      <c r="BD181" s="744"/>
      <c r="BE181" s="880"/>
      <c r="BF181" s="936"/>
      <c r="BG181" s="722"/>
      <c r="BH181" s="743"/>
      <c r="BI181" s="744" t="s">
        <v>465</v>
      </c>
      <c r="BJ181" s="744"/>
      <c r="BK181" s="744"/>
      <c r="BL181" s="880"/>
      <c r="BM181" s="51" t="s">
        <v>41</v>
      </c>
      <c r="BN181" s="936"/>
      <c r="BO181" s="936" t="s">
        <v>170</v>
      </c>
      <c r="BP181" s="722"/>
      <c r="BQ181" s="743" t="s">
        <v>250</v>
      </c>
      <c r="BR181" s="744"/>
      <c r="BS181" s="744" t="s">
        <v>92</v>
      </c>
      <c r="BT181" s="744"/>
      <c r="BU181" s="880" t="s">
        <v>469</v>
      </c>
      <c r="BV181" s="744"/>
      <c r="BW181" s="880" t="s">
        <v>149</v>
      </c>
      <c r="BX181" s="936"/>
      <c r="BY181" s="2897"/>
      <c r="BZ181" s="1365"/>
      <c r="CA181" s="880"/>
      <c r="CB181" s="880"/>
      <c r="CC181" s="1318" t="s">
        <v>103</v>
      </c>
      <c r="CD181" s="880"/>
      <c r="CE181" s="880"/>
      <c r="CF181" s="744"/>
      <c r="CG181" s="1279"/>
      <c r="CH181" s="288"/>
      <c r="CI181" s="1391" t="s">
        <v>104</v>
      </c>
      <c r="CJ181" s="1344" t="s">
        <v>105</v>
      </c>
      <c r="CK181" s="1013"/>
      <c r="CL181" s="288" t="s">
        <v>106</v>
      </c>
      <c r="CM181" s="1396" t="s">
        <v>107</v>
      </c>
      <c r="CN181" s="288" t="s">
        <v>108</v>
      </c>
      <c r="CO181" s="1229"/>
      <c r="CP181" s="1229"/>
      <c r="CQ181" s="1229"/>
    </row>
    <row r="182" spans="1:95" ht="20.25">
      <c r="A182" s="1446" t="s">
        <v>392</v>
      </c>
      <c r="B182" s="1450" t="s">
        <v>472</v>
      </c>
      <c r="C182" s="1450"/>
      <c r="D182" s="1452"/>
      <c r="E182" s="1277"/>
      <c r="F182" s="1245"/>
      <c r="G182" s="1246"/>
      <c r="H182" s="1246"/>
      <c r="I182" s="1246"/>
      <c r="J182" s="1315"/>
      <c r="K182" s="1246"/>
      <c r="L182" s="1291"/>
      <c r="M182" s="1291"/>
      <c r="N182" s="1316"/>
      <c r="O182" s="1289"/>
      <c r="P182" s="1244"/>
      <c r="Q182" s="1244"/>
      <c r="R182" s="1244"/>
      <c r="S182" s="1324"/>
      <c r="T182" s="1324"/>
      <c r="U182" s="1347"/>
      <c r="V182" s="1345"/>
      <c r="W182" s="1346"/>
      <c r="X182" s="1317"/>
      <c r="Y182" s="1246"/>
      <c r="Z182" s="1246"/>
      <c r="AA182" s="1246"/>
      <c r="AB182" s="1345"/>
      <c r="AC182" s="1345"/>
      <c r="AD182" s="1345"/>
      <c r="AE182" s="1345"/>
      <c r="AF182" s="1346"/>
      <c r="AG182" s="1317"/>
      <c r="AH182" s="1246"/>
      <c r="AI182" s="1246"/>
      <c r="AJ182" s="1345"/>
      <c r="AK182" s="1246"/>
      <c r="AL182" s="1345"/>
      <c r="AM182" s="1345"/>
      <c r="AN182" s="1345"/>
      <c r="AO182" s="1346"/>
      <c r="AP182" s="1317"/>
      <c r="AQ182" s="1246"/>
      <c r="AR182" s="1246"/>
      <c r="AS182" s="1246"/>
      <c r="AT182" s="1345"/>
      <c r="AU182" s="1345"/>
      <c r="AV182" s="1345"/>
      <c r="AW182" s="1345"/>
      <c r="AX182" s="1346"/>
      <c r="AY182" s="1317"/>
      <c r="AZ182" s="1246"/>
      <c r="BA182" s="1246"/>
      <c r="BB182" s="1246"/>
      <c r="BC182" s="1345"/>
      <c r="BD182" s="1345"/>
      <c r="BE182" s="1345"/>
      <c r="BF182" s="1345"/>
      <c r="BG182" s="1346"/>
      <c r="BH182" s="1317"/>
      <c r="BI182" s="1246"/>
      <c r="BJ182" s="1246"/>
      <c r="BK182" s="1246"/>
      <c r="BL182" s="1345"/>
      <c r="BM182" s="1345"/>
      <c r="BN182" s="1345"/>
      <c r="BO182" s="1345"/>
      <c r="BP182" s="1346"/>
      <c r="BQ182" s="1317"/>
      <c r="BR182" s="1246"/>
      <c r="BS182" s="1246"/>
      <c r="BT182" s="1246"/>
      <c r="BU182" s="1345"/>
      <c r="BV182" s="1345"/>
      <c r="BW182" s="1345"/>
      <c r="BX182" s="1345"/>
      <c r="BY182" s="1346"/>
      <c r="BZ182" s="1317"/>
      <c r="CA182" s="1246"/>
      <c r="CB182" s="1246"/>
      <c r="CC182" s="1246"/>
      <c r="CD182" s="1246"/>
      <c r="CE182" s="1246"/>
      <c r="CF182" s="1345"/>
      <c r="CG182" s="1392"/>
      <c r="CH182" s="1393"/>
      <c r="CI182" s="1394">
        <f t="shared" ref="CI182:CI213" si="38">SUM(F182:CG182)</f>
        <v>0</v>
      </c>
      <c r="CJ182" s="1435"/>
      <c r="CK182" s="1436"/>
      <c r="CL182" s="1437">
        <f t="shared" ref="CL182:CL213" si="39">CI182+CJ182</f>
        <v>0</v>
      </c>
      <c r="CM182" s="1438"/>
      <c r="CN182" s="3089">
        <f>CL182+CM182</f>
        <v>0</v>
      </c>
      <c r="CO182" s="1229"/>
      <c r="CP182" s="1229"/>
      <c r="CQ182" s="1229"/>
    </row>
    <row r="183" spans="1:95" ht="20.25">
      <c r="A183" s="1446" t="s">
        <v>392</v>
      </c>
      <c r="B183" s="1450" t="s">
        <v>472</v>
      </c>
      <c r="C183" s="1275"/>
      <c r="D183" s="1452"/>
      <c r="E183" s="1277"/>
      <c r="F183" s="1245"/>
      <c r="G183" s="1246"/>
      <c r="H183" s="1246"/>
      <c r="I183" s="1246"/>
      <c r="J183" s="1315"/>
      <c r="K183" s="1448"/>
      <c r="L183" s="1291"/>
      <c r="M183" s="1291"/>
      <c r="N183" s="1316"/>
      <c r="O183" s="1289"/>
      <c r="P183" s="1244"/>
      <c r="Q183" s="1244"/>
      <c r="R183" s="1244"/>
      <c r="S183" s="1324"/>
      <c r="T183" s="1324"/>
      <c r="U183" s="1324"/>
      <c r="V183" s="1345"/>
      <c r="W183" s="1346"/>
      <c r="X183" s="1317"/>
      <c r="Y183" s="1246"/>
      <c r="Z183" s="1246"/>
      <c r="AA183" s="1246"/>
      <c r="AB183" s="1345"/>
      <c r="AC183" s="1345"/>
      <c r="AD183" s="1345"/>
      <c r="AE183" s="1345"/>
      <c r="AF183" s="1346"/>
      <c r="AG183" s="1317"/>
      <c r="AH183" s="1246"/>
      <c r="AI183" s="1246"/>
      <c r="AJ183" s="1345"/>
      <c r="AK183" s="1246"/>
      <c r="AL183" s="1345"/>
      <c r="AM183" s="1345"/>
      <c r="AN183" s="1345"/>
      <c r="AO183" s="1346"/>
      <c r="AP183" s="1317"/>
      <c r="AQ183" s="1246"/>
      <c r="AR183" s="1246"/>
      <c r="AS183" s="1246"/>
      <c r="AT183" s="1345"/>
      <c r="AU183" s="1345"/>
      <c r="AV183" s="1345"/>
      <c r="AW183" s="1345"/>
      <c r="AX183" s="1346"/>
      <c r="AY183" s="1317"/>
      <c r="AZ183" s="1246"/>
      <c r="BA183" s="1246"/>
      <c r="BB183" s="1246"/>
      <c r="BC183" s="1345"/>
      <c r="BD183" s="1345"/>
      <c r="BE183" s="1345"/>
      <c r="BF183" s="1345"/>
      <c r="BG183" s="1346"/>
      <c r="BH183" s="1317"/>
      <c r="BI183" s="1246"/>
      <c r="BJ183" s="1246"/>
      <c r="BK183" s="1246"/>
      <c r="BL183" s="1345"/>
      <c r="BM183" s="1345"/>
      <c r="BN183" s="1345"/>
      <c r="BO183" s="1345"/>
      <c r="BP183" s="1346"/>
      <c r="BQ183" s="1317"/>
      <c r="BR183" s="1246"/>
      <c r="BS183" s="1246"/>
      <c r="BT183" s="1246"/>
      <c r="BU183" s="1345"/>
      <c r="BV183" s="1345"/>
      <c r="BW183" s="1345"/>
      <c r="BX183" s="1345"/>
      <c r="BY183" s="1346"/>
      <c r="BZ183" s="1317"/>
      <c r="CA183" s="1246"/>
      <c r="CB183" s="1246"/>
      <c r="CC183" s="1246"/>
      <c r="CD183" s="1246"/>
      <c r="CE183" s="1246"/>
      <c r="CF183" s="1345"/>
      <c r="CG183" s="1392"/>
      <c r="CH183" s="1393"/>
      <c r="CI183" s="1394">
        <f t="shared" si="38"/>
        <v>0</v>
      </c>
      <c r="CJ183" s="1435"/>
      <c r="CK183" s="1436"/>
      <c r="CL183" s="1437">
        <f t="shared" si="39"/>
        <v>0</v>
      </c>
      <c r="CM183" s="1438"/>
      <c r="CN183" s="1439">
        <f>CL183+CM183</f>
        <v>0</v>
      </c>
      <c r="CO183" s="1229"/>
      <c r="CP183" s="1229"/>
      <c r="CQ183" s="1229"/>
    </row>
    <row r="184" spans="1:95" ht="20.25">
      <c r="A184" s="1446" t="s">
        <v>392</v>
      </c>
      <c r="B184" s="1450" t="s">
        <v>472</v>
      </c>
      <c r="C184" s="1275"/>
      <c r="D184" s="1452"/>
      <c r="E184" s="1277"/>
      <c r="F184" s="1245"/>
      <c r="G184" s="1246"/>
      <c r="H184" s="1246"/>
      <c r="I184" s="1246"/>
      <c r="J184" s="1315"/>
      <c r="K184" s="1246"/>
      <c r="L184" s="1291"/>
      <c r="M184" s="1291"/>
      <c r="N184" s="1316"/>
      <c r="O184" s="1289"/>
      <c r="P184" s="1244"/>
      <c r="Q184" s="1244"/>
      <c r="R184" s="1244"/>
      <c r="S184" s="1324"/>
      <c r="T184" s="1324"/>
      <c r="U184" s="1347"/>
      <c r="V184" s="1345"/>
      <c r="W184" s="1346"/>
      <c r="X184" s="1317"/>
      <c r="Y184" s="1246"/>
      <c r="Z184" s="1246"/>
      <c r="AA184" s="1246"/>
      <c r="AB184" s="1345"/>
      <c r="AC184" s="1345"/>
      <c r="AD184" s="1345"/>
      <c r="AE184" s="1345"/>
      <c r="AF184" s="1346"/>
      <c r="AG184" s="1317"/>
      <c r="AH184" s="1246"/>
      <c r="AI184" s="1246"/>
      <c r="AJ184" s="1345"/>
      <c r="AK184" s="1246"/>
      <c r="AL184" s="1345"/>
      <c r="AM184" s="1345"/>
      <c r="AN184" s="1345"/>
      <c r="AO184" s="1346"/>
      <c r="AP184" s="1317"/>
      <c r="AQ184" s="1246"/>
      <c r="AR184" s="1246"/>
      <c r="AS184" s="1246"/>
      <c r="AT184" s="1345"/>
      <c r="AU184" s="1345"/>
      <c r="AV184" s="1345"/>
      <c r="AW184" s="1345"/>
      <c r="AX184" s="1346"/>
      <c r="AY184" s="1317"/>
      <c r="AZ184" s="1246"/>
      <c r="BA184" s="1246"/>
      <c r="BB184" s="1246"/>
      <c r="BC184" s="1345"/>
      <c r="BD184" s="1345"/>
      <c r="BE184" s="1345"/>
      <c r="BF184" s="1345"/>
      <c r="BG184" s="1346"/>
      <c r="BH184" s="1317"/>
      <c r="BI184" s="1246"/>
      <c r="BJ184" s="1246"/>
      <c r="BK184" s="1246"/>
      <c r="BL184" s="1345"/>
      <c r="BM184" s="1345"/>
      <c r="BN184" s="1345"/>
      <c r="BO184" s="1345"/>
      <c r="BP184" s="1346"/>
      <c r="BQ184" s="1317"/>
      <c r="BR184" s="1246"/>
      <c r="BS184" s="1246"/>
      <c r="BT184" s="1246"/>
      <c r="BU184" s="1345"/>
      <c r="BV184" s="1345"/>
      <c r="BW184" s="1345"/>
      <c r="BX184" s="1345"/>
      <c r="BY184" s="1346"/>
      <c r="BZ184" s="1317"/>
      <c r="CA184" s="1246"/>
      <c r="CB184" s="1246"/>
      <c r="CC184" s="1246"/>
      <c r="CD184" s="1246"/>
      <c r="CE184" s="1246"/>
      <c r="CF184" s="1345"/>
      <c r="CG184" s="1392"/>
      <c r="CH184" s="1393"/>
      <c r="CI184" s="1394">
        <f t="shared" si="38"/>
        <v>0</v>
      </c>
      <c r="CJ184" s="1435"/>
      <c r="CK184" s="1436"/>
      <c r="CL184" s="1437">
        <f t="shared" si="39"/>
        <v>0</v>
      </c>
      <c r="CM184" s="1438"/>
      <c r="CN184" s="1439">
        <f t="shared" ref="CN184:CN213" si="40">CL184+CM184</f>
        <v>0</v>
      </c>
      <c r="CO184" s="1229"/>
      <c r="CP184" s="1229"/>
      <c r="CQ184" s="1229"/>
    </row>
    <row r="185" spans="1:95" ht="20.25">
      <c r="A185" s="1446" t="s">
        <v>392</v>
      </c>
      <c r="B185" s="1450" t="s">
        <v>472</v>
      </c>
      <c r="C185" s="1275"/>
      <c r="D185" s="1452"/>
      <c r="E185" s="1277"/>
      <c r="F185" s="1245"/>
      <c r="G185" s="1246"/>
      <c r="H185" s="1246"/>
      <c r="I185" s="1246"/>
      <c r="J185" s="1315"/>
      <c r="K185" s="1246"/>
      <c r="L185" s="1291"/>
      <c r="M185" s="1291"/>
      <c r="N185" s="1316"/>
      <c r="O185" s="1317"/>
      <c r="P185" s="1246"/>
      <c r="Q185" s="1246"/>
      <c r="R185" s="1246"/>
      <c r="S185" s="1345"/>
      <c r="T185" s="1345"/>
      <c r="U185" s="1345"/>
      <c r="V185" s="1345"/>
      <c r="W185" s="1346"/>
      <c r="X185" s="1317"/>
      <c r="Y185" s="1246"/>
      <c r="Z185" s="1246"/>
      <c r="AA185" s="1246"/>
      <c r="AB185" s="1345"/>
      <c r="AC185" s="1345"/>
      <c r="AD185" s="1345"/>
      <c r="AE185" s="1345"/>
      <c r="AF185" s="1346"/>
      <c r="AG185" s="1345"/>
      <c r="AH185" s="1246"/>
      <c r="AI185" s="1246"/>
      <c r="AJ185" s="1345"/>
      <c r="AK185" s="1246"/>
      <c r="AL185" s="1345"/>
      <c r="AM185" s="1345"/>
      <c r="AN185" s="1345"/>
      <c r="AO185" s="1346"/>
      <c r="AP185" s="1317"/>
      <c r="AQ185" s="1246"/>
      <c r="AR185" s="1246"/>
      <c r="AS185" s="1246"/>
      <c r="AT185" s="1345"/>
      <c r="AU185" s="1345"/>
      <c r="AV185" s="1345"/>
      <c r="AW185" s="1345"/>
      <c r="AX185" s="1346"/>
      <c r="AY185" s="1317"/>
      <c r="AZ185" s="1246"/>
      <c r="BA185" s="1246"/>
      <c r="BB185" s="1246"/>
      <c r="BC185" s="1345"/>
      <c r="BD185" s="1345"/>
      <c r="BE185" s="1345"/>
      <c r="BF185" s="1345"/>
      <c r="BG185" s="1346"/>
      <c r="BH185" s="1317"/>
      <c r="BI185" s="1246"/>
      <c r="BJ185" s="1246"/>
      <c r="BK185" s="1246"/>
      <c r="BL185" s="1345"/>
      <c r="BM185" s="1345"/>
      <c r="BN185" s="1345"/>
      <c r="BO185" s="1345"/>
      <c r="BP185" s="1346"/>
      <c r="BQ185" s="1317"/>
      <c r="BR185" s="1246"/>
      <c r="BS185" s="1246"/>
      <c r="BT185" s="1246"/>
      <c r="BU185" s="1345"/>
      <c r="BV185" s="1345"/>
      <c r="BW185" s="1345"/>
      <c r="BX185" s="1345"/>
      <c r="BY185" s="1346"/>
      <c r="BZ185" s="1317"/>
      <c r="CA185" s="1246"/>
      <c r="CB185" s="1246"/>
      <c r="CC185" s="1246"/>
      <c r="CD185" s="1246"/>
      <c r="CE185" s="1246"/>
      <c r="CF185" s="1345"/>
      <c r="CG185" s="1392"/>
      <c r="CH185" s="1393"/>
      <c r="CI185" s="1394">
        <f t="shared" si="38"/>
        <v>0</v>
      </c>
      <c r="CJ185" s="1435"/>
      <c r="CK185" s="1436"/>
      <c r="CL185" s="1437">
        <f t="shared" si="39"/>
        <v>0</v>
      </c>
      <c r="CM185" s="1438"/>
      <c r="CN185" s="1439">
        <f t="shared" si="40"/>
        <v>0</v>
      </c>
      <c r="CO185" s="1229"/>
      <c r="CP185" s="1229"/>
      <c r="CQ185" s="1229"/>
    </row>
    <row r="186" spans="1:95" ht="20.25">
      <c r="A186" s="1446" t="s">
        <v>392</v>
      </c>
      <c r="B186" s="1450" t="s">
        <v>472</v>
      </c>
      <c r="C186" s="1275"/>
      <c r="D186" s="1452"/>
      <c r="E186" s="1277"/>
      <c r="F186" s="1245"/>
      <c r="G186" s="1246"/>
      <c r="H186" s="1246"/>
      <c r="I186" s="1246"/>
      <c r="J186" s="1315"/>
      <c r="K186" s="1246"/>
      <c r="L186" s="1291"/>
      <c r="M186" s="1291"/>
      <c r="N186" s="1316"/>
      <c r="O186" s="1317"/>
      <c r="P186" s="1246"/>
      <c r="Q186" s="1246"/>
      <c r="R186" s="1246"/>
      <c r="S186" s="1345"/>
      <c r="T186" s="1345"/>
      <c r="U186" s="1345"/>
      <c r="V186" s="1345"/>
      <c r="W186" s="1346"/>
      <c r="X186" s="1317"/>
      <c r="Y186" s="1246"/>
      <c r="Z186" s="1246"/>
      <c r="AA186" s="1246"/>
      <c r="AB186" s="1345"/>
      <c r="AC186" s="1345"/>
      <c r="AD186" s="1345"/>
      <c r="AE186" s="1345"/>
      <c r="AF186" s="1346"/>
      <c r="AG186" s="1317"/>
      <c r="AH186" s="1246"/>
      <c r="AI186" s="1246"/>
      <c r="AJ186" s="1345"/>
      <c r="AK186" s="1246"/>
      <c r="AL186" s="1345"/>
      <c r="AM186" s="1345"/>
      <c r="AN186" s="1464"/>
      <c r="AO186" s="1346"/>
      <c r="AP186" s="1317"/>
      <c r="AQ186" s="1246"/>
      <c r="AR186" s="1246"/>
      <c r="AS186" s="1246"/>
      <c r="AT186" s="1345"/>
      <c r="AU186" s="1345"/>
      <c r="AV186" s="1345"/>
      <c r="AW186" s="1345"/>
      <c r="AX186" s="1346"/>
      <c r="AY186" s="1317"/>
      <c r="AZ186" s="1246"/>
      <c r="BA186" s="1246"/>
      <c r="BB186" s="1246"/>
      <c r="BC186" s="1345"/>
      <c r="BD186" s="1345"/>
      <c r="BE186" s="1345"/>
      <c r="BF186" s="1345"/>
      <c r="BG186" s="1346"/>
      <c r="BH186" s="1317"/>
      <c r="BI186" s="1246"/>
      <c r="BJ186" s="1246"/>
      <c r="BK186" s="1246"/>
      <c r="BL186" s="1345"/>
      <c r="BM186" s="1345"/>
      <c r="BN186" s="1345"/>
      <c r="BO186" s="1345"/>
      <c r="BP186" s="1346"/>
      <c r="BQ186" s="1317"/>
      <c r="BR186" s="1246"/>
      <c r="BS186" s="1246"/>
      <c r="BT186" s="1246"/>
      <c r="BU186" s="1345"/>
      <c r="BV186" s="1345"/>
      <c r="BW186" s="1345"/>
      <c r="BX186" s="1345"/>
      <c r="BY186" s="1346"/>
      <c r="BZ186" s="1317"/>
      <c r="CA186" s="1246"/>
      <c r="CB186" s="1246"/>
      <c r="CC186" s="1246"/>
      <c r="CD186" s="1246"/>
      <c r="CE186" s="1246"/>
      <c r="CF186" s="1345"/>
      <c r="CG186" s="1392"/>
      <c r="CH186" s="1393"/>
      <c r="CI186" s="1394">
        <f t="shared" si="38"/>
        <v>0</v>
      </c>
      <c r="CJ186" s="1435"/>
      <c r="CK186" s="1436"/>
      <c r="CL186" s="1437">
        <f t="shared" si="39"/>
        <v>0</v>
      </c>
      <c r="CM186" s="1438"/>
      <c r="CN186" s="1439">
        <f t="shared" si="40"/>
        <v>0</v>
      </c>
      <c r="CO186" s="1229"/>
      <c r="CP186" s="1229"/>
      <c r="CQ186" s="1229"/>
    </row>
    <row r="187" spans="1:95" ht="20.25">
      <c r="A187" s="1446" t="s">
        <v>392</v>
      </c>
      <c r="B187" s="1450" t="s">
        <v>472</v>
      </c>
      <c r="C187" s="1450"/>
      <c r="D187" s="1452"/>
      <c r="E187" s="1277"/>
      <c r="F187" s="1447"/>
      <c r="G187" s="1448"/>
      <c r="H187" s="1448"/>
      <c r="I187" s="1448"/>
      <c r="J187" s="1458"/>
      <c r="K187" s="1448"/>
      <c r="L187" s="1459"/>
      <c r="M187" s="1459"/>
      <c r="N187" s="1316"/>
      <c r="O187" s="1286"/>
      <c r="P187" s="1242"/>
      <c r="Q187" s="1242"/>
      <c r="R187" s="1242"/>
      <c r="S187" s="1322"/>
      <c r="T187" s="1322"/>
      <c r="U187" s="1322"/>
      <c r="V187" s="1460"/>
      <c r="W187" s="1346"/>
      <c r="X187" s="1461"/>
      <c r="Y187" s="1448"/>
      <c r="Z187" s="1448"/>
      <c r="AA187" s="1448"/>
      <c r="AB187" s="1460"/>
      <c r="AC187" s="1460"/>
      <c r="AD187" s="1460"/>
      <c r="AE187" s="1460"/>
      <c r="AF187" s="1346"/>
      <c r="AG187" s="1461"/>
      <c r="AH187" s="1448"/>
      <c r="AI187" s="1448"/>
      <c r="AJ187" s="1460"/>
      <c r="AK187" s="1460"/>
      <c r="AL187" s="1460"/>
      <c r="AM187" s="1460"/>
      <c r="AN187" s="1460"/>
      <c r="AO187" s="1346"/>
      <c r="AP187" s="1461"/>
      <c r="AQ187" s="1448"/>
      <c r="AR187" s="1448"/>
      <c r="AS187" s="1448"/>
      <c r="AT187" s="1460"/>
      <c r="AU187" s="1460"/>
      <c r="AV187" s="1460"/>
      <c r="AW187" s="1460"/>
      <c r="AX187" s="1346"/>
      <c r="AY187" s="1461"/>
      <c r="AZ187" s="1448"/>
      <c r="BA187" s="1448"/>
      <c r="BB187" s="1448"/>
      <c r="BC187" s="1460"/>
      <c r="BD187" s="1460"/>
      <c r="BE187" s="1460"/>
      <c r="BF187" s="1460"/>
      <c r="BG187" s="1346"/>
      <c r="BH187" s="1461"/>
      <c r="BI187" s="1448"/>
      <c r="BJ187" s="1448"/>
      <c r="BK187" s="1448"/>
      <c r="BL187" s="1460"/>
      <c r="BM187" s="1460"/>
      <c r="BN187" s="1460"/>
      <c r="BO187" s="1460"/>
      <c r="BP187" s="1346"/>
      <c r="BQ187" s="1461"/>
      <c r="BR187" s="1448"/>
      <c r="BS187" s="1448"/>
      <c r="BT187" s="1448"/>
      <c r="BU187" s="1460"/>
      <c r="BV187" s="1460"/>
      <c r="BW187" s="1460"/>
      <c r="BX187" s="1460"/>
      <c r="BY187" s="1346"/>
      <c r="BZ187" s="1461"/>
      <c r="CA187" s="1448"/>
      <c r="CB187" s="1448"/>
      <c r="CC187" s="1448"/>
      <c r="CD187" s="1448"/>
      <c r="CE187" s="1448"/>
      <c r="CF187" s="1460"/>
      <c r="CG187" s="1468"/>
      <c r="CH187" s="1393"/>
      <c r="CI187" s="1394">
        <f t="shared" si="38"/>
        <v>0</v>
      </c>
      <c r="CJ187" s="1435"/>
      <c r="CK187" s="1436"/>
      <c r="CL187" s="1437">
        <f t="shared" si="39"/>
        <v>0</v>
      </c>
      <c r="CM187" s="1438"/>
      <c r="CN187" s="1439">
        <f t="shared" si="40"/>
        <v>0</v>
      </c>
      <c r="CO187" s="1229"/>
      <c r="CP187" s="1229"/>
      <c r="CQ187" s="1229"/>
    </row>
    <row r="188" spans="1:95" ht="20.25">
      <c r="A188" s="1446" t="s">
        <v>392</v>
      </c>
      <c r="B188" s="1450" t="s">
        <v>472</v>
      </c>
      <c r="C188" s="1275"/>
      <c r="D188" s="1452"/>
      <c r="E188" s="1277"/>
      <c r="F188" s="1245"/>
      <c r="G188" s="1246"/>
      <c r="H188" s="1246"/>
      <c r="I188" s="1246"/>
      <c r="J188" s="1315"/>
      <c r="K188" s="1246"/>
      <c r="L188" s="1291"/>
      <c r="M188" s="1291"/>
      <c r="N188" s="1316"/>
      <c r="O188" s="1317"/>
      <c r="P188" s="1246"/>
      <c r="Q188" s="1246"/>
      <c r="R188" s="1246"/>
      <c r="S188" s="1345"/>
      <c r="T188" s="1345"/>
      <c r="U188" s="1345"/>
      <c r="V188" s="1345"/>
      <c r="W188" s="1346"/>
      <c r="X188" s="1317"/>
      <c r="Y188" s="1246"/>
      <c r="Z188" s="1246"/>
      <c r="AA188" s="1246"/>
      <c r="AB188" s="1345"/>
      <c r="AC188" s="1345"/>
      <c r="AD188" s="1345"/>
      <c r="AE188" s="1345"/>
      <c r="AF188" s="1346"/>
      <c r="AG188" s="1317"/>
      <c r="AH188" s="1246"/>
      <c r="AI188" s="1246"/>
      <c r="AJ188" s="1345"/>
      <c r="AK188" s="1345"/>
      <c r="AL188" s="1345"/>
      <c r="AM188" s="1345"/>
      <c r="AN188" s="1345"/>
      <c r="AO188" s="1346"/>
      <c r="AP188" s="1317"/>
      <c r="AQ188" s="1246"/>
      <c r="AR188" s="1246"/>
      <c r="AS188" s="1246"/>
      <c r="AT188" s="1345"/>
      <c r="AU188" s="1345"/>
      <c r="AV188" s="1345"/>
      <c r="AW188" s="1345"/>
      <c r="AX188" s="1346"/>
      <c r="AY188" s="1317"/>
      <c r="AZ188" s="1246"/>
      <c r="BA188" s="1246"/>
      <c r="BB188" s="1246"/>
      <c r="BC188" s="1345"/>
      <c r="BD188" s="1345"/>
      <c r="BE188" s="1345"/>
      <c r="BF188" s="1345"/>
      <c r="BG188" s="1346"/>
      <c r="BH188" s="1317"/>
      <c r="BI188" s="1246"/>
      <c r="BJ188" s="1246"/>
      <c r="BK188" s="1246"/>
      <c r="BL188" s="1345"/>
      <c r="BM188" s="1345"/>
      <c r="BN188" s="1345"/>
      <c r="BO188" s="1345"/>
      <c r="BP188" s="1346"/>
      <c r="BQ188" s="1317"/>
      <c r="BR188" s="1246"/>
      <c r="BS188" s="1246"/>
      <c r="BT188" s="1246"/>
      <c r="BU188" s="1345"/>
      <c r="BV188" s="1345"/>
      <c r="BW188" s="1345"/>
      <c r="BX188" s="1345"/>
      <c r="BY188" s="1346"/>
      <c r="BZ188" s="1317"/>
      <c r="CA188" s="1246"/>
      <c r="CB188" s="1246"/>
      <c r="CC188" s="1246"/>
      <c r="CD188" s="1246"/>
      <c r="CE188" s="1246"/>
      <c r="CF188" s="1345"/>
      <c r="CG188" s="1392"/>
      <c r="CH188" s="1393"/>
      <c r="CI188" s="1394">
        <f t="shared" si="38"/>
        <v>0</v>
      </c>
      <c r="CJ188" s="1435"/>
      <c r="CK188" s="1436"/>
      <c r="CL188" s="1437">
        <f t="shared" si="39"/>
        <v>0</v>
      </c>
      <c r="CM188" s="1438"/>
      <c r="CN188" s="1439">
        <f t="shared" si="40"/>
        <v>0</v>
      </c>
      <c r="CO188" s="1229"/>
      <c r="CP188" s="1229"/>
      <c r="CQ188" s="1229"/>
    </row>
    <row r="189" spans="1:95" ht="20.25">
      <c r="A189" s="1446" t="s">
        <v>392</v>
      </c>
      <c r="B189" s="1450" t="s">
        <v>472</v>
      </c>
      <c r="C189" s="1275"/>
      <c r="D189" s="1452"/>
      <c r="E189" s="1277"/>
      <c r="F189" s="1245"/>
      <c r="G189" s="1246"/>
      <c r="H189" s="1246"/>
      <c r="I189" s="1246"/>
      <c r="J189" s="1315"/>
      <c r="K189" s="1246"/>
      <c r="L189" s="1291"/>
      <c r="M189" s="1291"/>
      <c r="N189" s="1316"/>
      <c r="O189" s="1317"/>
      <c r="P189" s="1246"/>
      <c r="Q189" s="1246"/>
      <c r="R189" s="1246"/>
      <c r="S189" s="1345"/>
      <c r="T189" s="1345"/>
      <c r="U189" s="1345"/>
      <c r="V189" s="1345"/>
      <c r="W189" s="1346"/>
      <c r="X189" s="1317"/>
      <c r="Y189" s="1246"/>
      <c r="Z189" s="1246"/>
      <c r="AA189" s="1246"/>
      <c r="AB189" s="1345"/>
      <c r="AC189" s="1345"/>
      <c r="AD189" s="1345"/>
      <c r="AE189" s="1345"/>
      <c r="AF189" s="1346"/>
      <c r="AG189" s="1317"/>
      <c r="AH189" s="1246"/>
      <c r="AI189" s="1246"/>
      <c r="AJ189" s="1345"/>
      <c r="AK189" s="1345"/>
      <c r="AL189" s="1345"/>
      <c r="AM189" s="1345"/>
      <c r="AN189" s="1345"/>
      <c r="AO189" s="1346"/>
      <c r="AP189" s="1317"/>
      <c r="AQ189" s="1246"/>
      <c r="AR189" s="1246"/>
      <c r="AS189" s="1246"/>
      <c r="AT189" s="1345"/>
      <c r="AU189" s="1345"/>
      <c r="AV189" s="1345"/>
      <c r="AW189" s="1345"/>
      <c r="AX189" s="1346"/>
      <c r="AY189" s="1317"/>
      <c r="AZ189" s="1246"/>
      <c r="BA189" s="1246"/>
      <c r="BB189" s="1246"/>
      <c r="BC189" s="1345"/>
      <c r="BD189" s="1345"/>
      <c r="BE189" s="1345"/>
      <c r="BF189" s="1345"/>
      <c r="BG189" s="1346"/>
      <c r="BH189" s="1317"/>
      <c r="BI189" s="1246"/>
      <c r="BJ189" s="1246"/>
      <c r="BK189" s="1246"/>
      <c r="BL189" s="1345"/>
      <c r="BM189" s="1345"/>
      <c r="BN189" s="1345"/>
      <c r="BO189" s="1345"/>
      <c r="BP189" s="1346"/>
      <c r="BQ189" s="1317"/>
      <c r="BR189" s="1246"/>
      <c r="BS189" s="1246"/>
      <c r="BT189" s="1246"/>
      <c r="BU189" s="1345"/>
      <c r="BV189" s="1345"/>
      <c r="BW189" s="1345"/>
      <c r="BX189" s="1345"/>
      <c r="BY189" s="1346"/>
      <c r="BZ189" s="1317"/>
      <c r="CA189" s="1246"/>
      <c r="CB189" s="1246"/>
      <c r="CC189" s="1246"/>
      <c r="CD189" s="1246"/>
      <c r="CE189" s="1246"/>
      <c r="CF189" s="1345"/>
      <c r="CG189" s="1392"/>
      <c r="CH189" s="1393"/>
      <c r="CI189" s="1394">
        <f t="shared" si="38"/>
        <v>0</v>
      </c>
      <c r="CJ189" s="1435"/>
      <c r="CK189" s="1436"/>
      <c r="CL189" s="1437">
        <f t="shared" si="39"/>
        <v>0</v>
      </c>
      <c r="CM189" s="1438"/>
      <c r="CN189" s="1439">
        <f t="shared" si="40"/>
        <v>0</v>
      </c>
      <c r="CO189" s="1229"/>
      <c r="CP189" s="1229"/>
      <c r="CQ189" s="1229"/>
    </row>
    <row r="190" spans="1:95" ht="20.25">
      <c r="A190" s="1446" t="s">
        <v>392</v>
      </c>
      <c r="B190" s="1450" t="s">
        <v>472</v>
      </c>
      <c r="C190" s="1275"/>
      <c r="D190" s="1452"/>
      <c r="E190" s="1277"/>
      <c r="F190" s="1245"/>
      <c r="G190" s="1246"/>
      <c r="H190" s="1246"/>
      <c r="I190" s="1246"/>
      <c r="J190" s="1315"/>
      <c r="K190" s="1246"/>
      <c r="L190" s="1291"/>
      <c r="M190" s="1291"/>
      <c r="N190" s="1316"/>
      <c r="O190" s="1317"/>
      <c r="P190" s="1246"/>
      <c r="Q190" s="1246"/>
      <c r="R190" s="1246"/>
      <c r="S190" s="1345"/>
      <c r="T190" s="1345"/>
      <c r="U190" s="1345"/>
      <c r="V190" s="1345"/>
      <c r="W190" s="1346"/>
      <c r="X190" s="1317"/>
      <c r="Y190" s="1246"/>
      <c r="Z190" s="1246"/>
      <c r="AA190" s="1246"/>
      <c r="AB190" s="1345"/>
      <c r="AC190" s="1345"/>
      <c r="AD190" s="1345"/>
      <c r="AE190" s="1345"/>
      <c r="AF190" s="1346"/>
      <c r="AG190" s="1317"/>
      <c r="AH190" s="1246"/>
      <c r="AI190" s="1246"/>
      <c r="AJ190" s="1345"/>
      <c r="AK190" s="1345"/>
      <c r="AL190" s="1345"/>
      <c r="AM190" s="1345"/>
      <c r="AN190" s="1345"/>
      <c r="AO190" s="1346"/>
      <c r="AP190" s="1317"/>
      <c r="AQ190" s="1246"/>
      <c r="AR190" s="1246"/>
      <c r="AS190" s="1246"/>
      <c r="AT190" s="1345"/>
      <c r="AU190" s="1345"/>
      <c r="AV190" s="1345"/>
      <c r="AW190" s="1345"/>
      <c r="AX190" s="1346"/>
      <c r="AY190" s="1317"/>
      <c r="AZ190" s="1246"/>
      <c r="BA190" s="1246"/>
      <c r="BB190" s="1246"/>
      <c r="BC190" s="1345"/>
      <c r="BD190" s="1345"/>
      <c r="BE190" s="1345"/>
      <c r="BF190" s="1345"/>
      <c r="BG190" s="1346"/>
      <c r="BH190" s="1317"/>
      <c r="BI190" s="1246"/>
      <c r="BJ190" s="1246"/>
      <c r="BK190" s="1246"/>
      <c r="BL190" s="1345"/>
      <c r="BM190" s="1345"/>
      <c r="BN190" s="1345"/>
      <c r="BO190" s="1345"/>
      <c r="BP190" s="1346"/>
      <c r="BQ190" s="1317"/>
      <c r="BR190" s="1246"/>
      <c r="BS190" s="1246"/>
      <c r="BT190" s="1246"/>
      <c r="BU190" s="1345"/>
      <c r="BV190" s="1345"/>
      <c r="BW190" s="1345"/>
      <c r="BX190" s="1345"/>
      <c r="BY190" s="1346"/>
      <c r="BZ190" s="1317"/>
      <c r="CA190" s="1246"/>
      <c r="CB190" s="1246"/>
      <c r="CC190" s="1246"/>
      <c r="CD190" s="1246"/>
      <c r="CE190" s="1246"/>
      <c r="CF190" s="1345"/>
      <c r="CG190" s="1392"/>
      <c r="CH190" s="1393"/>
      <c r="CI190" s="1394">
        <f t="shared" si="38"/>
        <v>0</v>
      </c>
      <c r="CJ190" s="1435"/>
      <c r="CK190" s="1436"/>
      <c r="CL190" s="1437">
        <f t="shared" si="39"/>
        <v>0</v>
      </c>
      <c r="CM190" s="1438"/>
      <c r="CN190" s="1439">
        <f t="shared" si="40"/>
        <v>0</v>
      </c>
      <c r="CO190" s="1229"/>
      <c r="CP190" s="1229"/>
      <c r="CQ190" s="1229"/>
    </row>
    <row r="191" spans="1:95" ht="20.25">
      <c r="A191" s="1446" t="s">
        <v>392</v>
      </c>
      <c r="B191" s="1450" t="s">
        <v>472</v>
      </c>
      <c r="C191" s="1275"/>
      <c r="D191" s="1452"/>
      <c r="E191" s="1277"/>
      <c r="F191" s="1245"/>
      <c r="G191" s="1246"/>
      <c r="H191" s="1246"/>
      <c r="I191" s="1246"/>
      <c r="J191" s="1315"/>
      <c r="K191" s="1246"/>
      <c r="L191" s="1291"/>
      <c r="M191" s="1291"/>
      <c r="N191" s="1316"/>
      <c r="O191" s="1317"/>
      <c r="P191" s="1246"/>
      <c r="Q191" s="1246"/>
      <c r="R191" s="1246"/>
      <c r="S191" s="1345"/>
      <c r="T191" s="1345"/>
      <c r="U191" s="1345"/>
      <c r="V191" s="1345"/>
      <c r="W191" s="1346"/>
      <c r="X191" s="1317"/>
      <c r="Y191" s="1246"/>
      <c r="Z191" s="1246"/>
      <c r="AA191" s="1246"/>
      <c r="AB191" s="1345"/>
      <c r="AC191" s="1345"/>
      <c r="AD191" s="1345"/>
      <c r="AE191" s="1345"/>
      <c r="AF191" s="1346"/>
      <c r="AG191" s="1317"/>
      <c r="AH191" s="1246"/>
      <c r="AI191" s="1246"/>
      <c r="AJ191" s="1345"/>
      <c r="AK191" s="1345"/>
      <c r="AL191" s="1345"/>
      <c r="AM191" s="1345"/>
      <c r="AN191" s="1345"/>
      <c r="AO191" s="1346"/>
      <c r="AP191" s="1317"/>
      <c r="AQ191" s="1246"/>
      <c r="AR191" s="1246"/>
      <c r="AS191" s="1246"/>
      <c r="AT191" s="1345"/>
      <c r="AU191" s="1345"/>
      <c r="AV191" s="1345"/>
      <c r="AW191" s="1345"/>
      <c r="AX191" s="1346"/>
      <c r="AY191" s="1317"/>
      <c r="AZ191" s="1246"/>
      <c r="BA191" s="1246"/>
      <c r="BB191" s="1246"/>
      <c r="BC191" s="1345"/>
      <c r="BD191" s="1345"/>
      <c r="BE191" s="1345"/>
      <c r="BF191" s="1345"/>
      <c r="BG191" s="1346"/>
      <c r="BH191" s="1317"/>
      <c r="BI191" s="1246"/>
      <c r="BJ191" s="1246"/>
      <c r="BK191" s="1246"/>
      <c r="BL191" s="1345"/>
      <c r="BM191" s="1345"/>
      <c r="BN191" s="1345"/>
      <c r="BO191" s="1345"/>
      <c r="BP191" s="1346"/>
      <c r="BQ191" s="1317"/>
      <c r="BR191" s="1246"/>
      <c r="BS191" s="1246"/>
      <c r="BT191" s="1246"/>
      <c r="BU191" s="1345"/>
      <c r="BV191" s="1345"/>
      <c r="BW191" s="1345"/>
      <c r="BX191" s="1345"/>
      <c r="BY191" s="1346"/>
      <c r="BZ191" s="1317"/>
      <c r="CA191" s="1246"/>
      <c r="CB191" s="1246"/>
      <c r="CC191" s="1246"/>
      <c r="CD191" s="1246"/>
      <c r="CE191" s="1246"/>
      <c r="CF191" s="1345"/>
      <c r="CG191" s="1392"/>
      <c r="CH191" s="1393"/>
      <c r="CI191" s="1394">
        <f t="shared" si="38"/>
        <v>0</v>
      </c>
      <c r="CJ191" s="1435"/>
      <c r="CK191" s="1436"/>
      <c r="CL191" s="1437">
        <f t="shared" si="39"/>
        <v>0</v>
      </c>
      <c r="CM191" s="1438"/>
      <c r="CN191" s="1439">
        <f t="shared" si="40"/>
        <v>0</v>
      </c>
      <c r="CO191" s="1229"/>
      <c r="CP191" s="1229"/>
      <c r="CQ191" s="1229"/>
    </row>
    <row r="192" spans="1:95" ht="20.25">
      <c r="A192" s="1446" t="s">
        <v>392</v>
      </c>
      <c r="B192" s="1450" t="s">
        <v>472</v>
      </c>
      <c r="C192" s="1275"/>
      <c r="D192" s="1452"/>
      <c r="E192" s="1277"/>
      <c r="F192" s="1245"/>
      <c r="G192" s="1246"/>
      <c r="H192" s="1246"/>
      <c r="I192" s="1246"/>
      <c r="J192" s="1315"/>
      <c r="K192" s="1246"/>
      <c r="L192" s="1291"/>
      <c r="M192" s="1291"/>
      <c r="N192" s="1316"/>
      <c r="O192" s="1317"/>
      <c r="P192" s="1246"/>
      <c r="Q192" s="1246"/>
      <c r="R192" s="1246"/>
      <c r="S192" s="1345"/>
      <c r="T192" s="1345"/>
      <c r="U192" s="1345"/>
      <c r="V192" s="1345"/>
      <c r="W192" s="1346"/>
      <c r="X192" s="1317"/>
      <c r="Y192" s="1246"/>
      <c r="Z192" s="1246"/>
      <c r="AA192" s="1246"/>
      <c r="AB192" s="1345"/>
      <c r="AC192" s="1345"/>
      <c r="AD192" s="1345"/>
      <c r="AE192" s="1345"/>
      <c r="AF192" s="1346"/>
      <c r="AG192" s="1317"/>
      <c r="AH192" s="1246"/>
      <c r="AI192" s="1246"/>
      <c r="AJ192" s="1345"/>
      <c r="AK192" s="1345"/>
      <c r="AL192" s="1345"/>
      <c r="AM192" s="1345"/>
      <c r="AN192" s="1345"/>
      <c r="AO192" s="1346"/>
      <c r="AP192" s="1317"/>
      <c r="AQ192" s="1246"/>
      <c r="AR192" s="1246"/>
      <c r="AS192" s="1246"/>
      <c r="AT192" s="1345"/>
      <c r="AU192" s="1345"/>
      <c r="AV192" s="1345"/>
      <c r="AW192" s="1345"/>
      <c r="AX192" s="1346"/>
      <c r="AY192" s="1317"/>
      <c r="AZ192" s="1246"/>
      <c r="BA192" s="1246"/>
      <c r="BB192" s="1246"/>
      <c r="BC192" s="1345"/>
      <c r="BD192" s="1345"/>
      <c r="BE192" s="1345"/>
      <c r="BF192" s="1345"/>
      <c r="BG192" s="1346"/>
      <c r="BH192" s="1317"/>
      <c r="BI192" s="1246"/>
      <c r="BJ192" s="1246"/>
      <c r="BK192" s="1246"/>
      <c r="BL192" s="1345"/>
      <c r="BM192" s="1345"/>
      <c r="BN192" s="1345"/>
      <c r="BO192" s="1345"/>
      <c r="BP192" s="1346"/>
      <c r="BQ192" s="1317"/>
      <c r="BR192" s="1246"/>
      <c r="BS192" s="1246"/>
      <c r="BT192" s="1246"/>
      <c r="BU192" s="1345"/>
      <c r="BV192" s="1345"/>
      <c r="BW192" s="1345"/>
      <c r="BX192" s="1345"/>
      <c r="BY192" s="1346"/>
      <c r="BZ192" s="1317"/>
      <c r="CA192" s="1246"/>
      <c r="CB192" s="1246"/>
      <c r="CC192" s="1246"/>
      <c r="CD192" s="1246"/>
      <c r="CE192" s="1246"/>
      <c r="CF192" s="1345"/>
      <c r="CG192" s="1392"/>
      <c r="CH192" s="1393"/>
      <c r="CI192" s="1394">
        <f t="shared" si="38"/>
        <v>0</v>
      </c>
      <c r="CJ192" s="1435"/>
      <c r="CK192" s="1436"/>
      <c r="CL192" s="1437">
        <f t="shared" si="39"/>
        <v>0</v>
      </c>
      <c r="CM192" s="1438"/>
      <c r="CN192" s="1439">
        <f t="shared" si="40"/>
        <v>0</v>
      </c>
      <c r="CO192" s="1229"/>
      <c r="CP192" s="1229"/>
      <c r="CQ192" s="1229"/>
    </row>
    <row r="193" spans="1:95" ht="20.25">
      <c r="A193" s="1446" t="s">
        <v>392</v>
      </c>
      <c r="B193" s="1450" t="s">
        <v>472</v>
      </c>
      <c r="C193" s="1275"/>
      <c r="D193" s="1452"/>
      <c r="E193" s="1277"/>
      <c r="F193" s="1245"/>
      <c r="G193" s="1246"/>
      <c r="H193" s="1246"/>
      <c r="I193" s="1246"/>
      <c r="J193" s="1315"/>
      <c r="K193" s="1246"/>
      <c r="L193" s="1291"/>
      <c r="M193" s="1291"/>
      <c r="N193" s="1316"/>
      <c r="O193" s="1317"/>
      <c r="P193" s="1246"/>
      <c r="Q193" s="1246"/>
      <c r="R193" s="1246"/>
      <c r="S193" s="1345"/>
      <c r="T193" s="1345"/>
      <c r="U193" s="1345"/>
      <c r="V193" s="1345"/>
      <c r="W193" s="1346"/>
      <c r="X193" s="1317"/>
      <c r="Y193" s="1246"/>
      <c r="Z193" s="1246"/>
      <c r="AA193" s="1246"/>
      <c r="AB193" s="1345"/>
      <c r="AC193" s="1345"/>
      <c r="AD193" s="1345"/>
      <c r="AE193" s="1345"/>
      <c r="AF193" s="1346"/>
      <c r="AG193" s="1317"/>
      <c r="AH193" s="1246"/>
      <c r="AI193" s="1246"/>
      <c r="AJ193" s="1345"/>
      <c r="AK193" s="1345"/>
      <c r="AL193" s="1345"/>
      <c r="AM193" s="1345"/>
      <c r="AN193" s="1345"/>
      <c r="AO193" s="1346"/>
      <c r="AP193" s="1317"/>
      <c r="AQ193" s="1246"/>
      <c r="AR193" s="1246"/>
      <c r="AS193" s="1246"/>
      <c r="AT193" s="1345"/>
      <c r="AU193" s="1345"/>
      <c r="AV193" s="1345"/>
      <c r="AW193" s="1345"/>
      <c r="AX193" s="1346"/>
      <c r="AY193" s="1317"/>
      <c r="AZ193" s="1246"/>
      <c r="BA193" s="1246"/>
      <c r="BB193" s="1246"/>
      <c r="BC193" s="1345"/>
      <c r="BD193" s="1345"/>
      <c r="BE193" s="1345"/>
      <c r="BF193" s="1345"/>
      <c r="BG193" s="1346"/>
      <c r="BH193" s="1317"/>
      <c r="BI193" s="1246"/>
      <c r="BJ193" s="1246"/>
      <c r="BK193" s="1246"/>
      <c r="BL193" s="1345"/>
      <c r="BM193" s="1345"/>
      <c r="BN193" s="1345"/>
      <c r="BO193" s="1345"/>
      <c r="BP193" s="1346"/>
      <c r="BQ193" s="1317"/>
      <c r="BR193" s="1246"/>
      <c r="BS193" s="1246"/>
      <c r="BT193" s="1246"/>
      <c r="BU193" s="1345"/>
      <c r="BV193" s="1345"/>
      <c r="BW193" s="1345"/>
      <c r="BX193" s="1345"/>
      <c r="BY193" s="1346"/>
      <c r="BZ193" s="1317"/>
      <c r="CA193" s="1246"/>
      <c r="CB193" s="1246"/>
      <c r="CC193" s="1246"/>
      <c r="CD193" s="1246"/>
      <c r="CE193" s="1246"/>
      <c r="CF193" s="1345"/>
      <c r="CG193" s="1392"/>
      <c r="CH193" s="1393"/>
      <c r="CI193" s="1394">
        <f t="shared" si="38"/>
        <v>0</v>
      </c>
      <c r="CJ193" s="1435"/>
      <c r="CK193" s="1436"/>
      <c r="CL193" s="1437">
        <f t="shared" si="39"/>
        <v>0</v>
      </c>
      <c r="CM193" s="1438"/>
      <c r="CN193" s="1439">
        <f t="shared" si="40"/>
        <v>0</v>
      </c>
      <c r="CO193" s="1229"/>
      <c r="CP193" s="1229"/>
      <c r="CQ193" s="1229"/>
    </row>
    <row r="194" spans="1:95" ht="20.25">
      <c r="A194" s="1446" t="s">
        <v>392</v>
      </c>
      <c r="B194" s="1450" t="s">
        <v>472</v>
      </c>
      <c r="C194" s="1275"/>
      <c r="D194" s="1452"/>
      <c r="E194" s="1277"/>
      <c r="F194" s="1245"/>
      <c r="G194" s="1246"/>
      <c r="H194" s="1246"/>
      <c r="I194" s="1246"/>
      <c r="J194" s="1315"/>
      <c r="K194" s="1246"/>
      <c r="L194" s="1291"/>
      <c r="M194" s="1291"/>
      <c r="N194" s="1316"/>
      <c r="O194" s="1317"/>
      <c r="P194" s="1246"/>
      <c r="Q194" s="1246"/>
      <c r="R194" s="1246"/>
      <c r="S194" s="1345"/>
      <c r="T194" s="1345"/>
      <c r="U194" s="1345"/>
      <c r="V194" s="1345"/>
      <c r="W194" s="1346"/>
      <c r="X194" s="1317"/>
      <c r="Y194" s="1246"/>
      <c r="Z194" s="1246"/>
      <c r="AA194" s="1246"/>
      <c r="AB194" s="1345"/>
      <c r="AC194" s="1345"/>
      <c r="AD194" s="1345"/>
      <c r="AE194" s="1345"/>
      <c r="AF194" s="1346"/>
      <c r="AG194" s="1317"/>
      <c r="AH194" s="1246"/>
      <c r="AI194" s="1246"/>
      <c r="AJ194" s="1345"/>
      <c r="AK194" s="1345"/>
      <c r="AL194" s="1345"/>
      <c r="AM194" s="1345"/>
      <c r="AN194" s="1345"/>
      <c r="AO194" s="1346"/>
      <c r="AP194" s="1317"/>
      <c r="AQ194" s="1246"/>
      <c r="AR194" s="1246"/>
      <c r="AS194" s="1246"/>
      <c r="AT194" s="1345"/>
      <c r="AU194" s="1345"/>
      <c r="AV194" s="1345"/>
      <c r="AW194" s="1345"/>
      <c r="AX194" s="1346"/>
      <c r="AY194" s="1317"/>
      <c r="AZ194" s="1246"/>
      <c r="BA194" s="1246"/>
      <c r="BB194" s="1246"/>
      <c r="BC194" s="1345"/>
      <c r="BD194" s="1345"/>
      <c r="BE194" s="1345"/>
      <c r="BF194" s="1345"/>
      <c r="BG194" s="1346"/>
      <c r="BH194" s="1317"/>
      <c r="BI194" s="1246"/>
      <c r="BJ194" s="1246"/>
      <c r="BK194" s="1246"/>
      <c r="BL194" s="1345"/>
      <c r="BM194" s="1345"/>
      <c r="BN194" s="1345"/>
      <c r="BO194" s="1345"/>
      <c r="BP194" s="1346"/>
      <c r="BQ194" s="1317"/>
      <c r="BR194" s="1246"/>
      <c r="BS194" s="1246"/>
      <c r="BT194" s="1246"/>
      <c r="BU194" s="1345"/>
      <c r="BV194" s="1345"/>
      <c r="BW194" s="1345"/>
      <c r="BX194" s="1345"/>
      <c r="BY194" s="1346"/>
      <c r="BZ194" s="1317"/>
      <c r="CA194" s="1246"/>
      <c r="CB194" s="1246"/>
      <c r="CC194" s="1246"/>
      <c r="CD194" s="1246"/>
      <c r="CE194" s="1246"/>
      <c r="CF194" s="1345"/>
      <c r="CG194" s="1392"/>
      <c r="CH194" s="1393"/>
      <c r="CI194" s="1394">
        <f t="shared" si="38"/>
        <v>0</v>
      </c>
      <c r="CJ194" s="1435"/>
      <c r="CK194" s="1436"/>
      <c r="CL194" s="1437">
        <f t="shared" si="39"/>
        <v>0</v>
      </c>
      <c r="CM194" s="1438"/>
      <c r="CN194" s="1439">
        <f t="shared" si="40"/>
        <v>0</v>
      </c>
      <c r="CO194" s="1229"/>
      <c r="CP194" s="1229"/>
      <c r="CQ194" s="1229"/>
    </row>
    <row r="195" spans="1:95" ht="20.25">
      <c r="A195" s="1446" t="s">
        <v>392</v>
      </c>
      <c r="B195" s="1275"/>
      <c r="C195" s="1275"/>
      <c r="D195" s="1452"/>
      <c r="E195" s="1277"/>
      <c r="F195" s="1245"/>
      <c r="G195" s="1246"/>
      <c r="H195" s="1246"/>
      <c r="I195" s="1246"/>
      <c r="J195" s="1315"/>
      <c r="K195" s="1246"/>
      <c r="L195" s="1291"/>
      <c r="M195" s="1291"/>
      <c r="N195" s="1316"/>
      <c r="O195" s="1317"/>
      <c r="P195" s="1246"/>
      <c r="Q195" s="1246"/>
      <c r="R195" s="1246"/>
      <c r="S195" s="1345"/>
      <c r="T195" s="1345"/>
      <c r="U195" s="1345"/>
      <c r="V195" s="1345"/>
      <c r="W195" s="1346"/>
      <c r="X195" s="1317"/>
      <c r="Y195" s="1246"/>
      <c r="Z195" s="1246"/>
      <c r="AA195" s="1246"/>
      <c r="AB195" s="1345"/>
      <c r="AC195" s="1345"/>
      <c r="AD195" s="1345"/>
      <c r="AE195" s="1345"/>
      <c r="AF195" s="1346"/>
      <c r="AG195" s="1317"/>
      <c r="AH195" s="1246"/>
      <c r="AI195" s="1246"/>
      <c r="AJ195" s="1345"/>
      <c r="AK195" s="1345"/>
      <c r="AL195" s="1345"/>
      <c r="AM195" s="1345"/>
      <c r="AN195" s="1345"/>
      <c r="AO195" s="1346"/>
      <c r="AP195" s="1317"/>
      <c r="AQ195" s="1246"/>
      <c r="AR195" s="1246"/>
      <c r="AS195" s="1246"/>
      <c r="AT195" s="1345"/>
      <c r="AU195" s="1345"/>
      <c r="AV195" s="1345"/>
      <c r="AW195" s="1345"/>
      <c r="AX195" s="1346"/>
      <c r="AY195" s="1317"/>
      <c r="AZ195" s="1246"/>
      <c r="BA195" s="1246"/>
      <c r="BB195" s="1246"/>
      <c r="BC195" s="1345"/>
      <c r="BD195" s="1345"/>
      <c r="BE195" s="1345"/>
      <c r="BF195" s="1345"/>
      <c r="BG195" s="1346"/>
      <c r="BH195" s="1317"/>
      <c r="BI195" s="1246"/>
      <c r="BJ195" s="1246"/>
      <c r="BK195" s="1246"/>
      <c r="BL195" s="1345"/>
      <c r="BM195" s="1345"/>
      <c r="BN195" s="1345"/>
      <c r="BO195" s="1345"/>
      <c r="BP195" s="1346"/>
      <c r="BQ195" s="1317"/>
      <c r="BR195" s="1246"/>
      <c r="BS195" s="1246"/>
      <c r="BT195" s="1246"/>
      <c r="BU195" s="1345"/>
      <c r="BV195" s="1345"/>
      <c r="BW195" s="1345"/>
      <c r="BX195" s="1345"/>
      <c r="BY195" s="1346"/>
      <c r="BZ195" s="1317"/>
      <c r="CA195" s="1246"/>
      <c r="CB195" s="1246"/>
      <c r="CC195" s="1246"/>
      <c r="CD195" s="1246"/>
      <c r="CE195" s="1246"/>
      <c r="CF195" s="1345"/>
      <c r="CG195" s="1392"/>
      <c r="CH195" s="1393"/>
      <c r="CI195" s="1394">
        <f t="shared" si="38"/>
        <v>0</v>
      </c>
      <c r="CJ195" s="1435"/>
      <c r="CK195" s="1436"/>
      <c r="CL195" s="1437">
        <f t="shared" si="39"/>
        <v>0</v>
      </c>
      <c r="CM195" s="1438"/>
      <c r="CN195" s="1439">
        <f t="shared" si="40"/>
        <v>0</v>
      </c>
      <c r="CO195" s="1229"/>
      <c r="CP195" s="1229"/>
      <c r="CQ195" s="1229"/>
    </row>
    <row r="196" spans="1:95" ht="20.25">
      <c r="A196" s="1446" t="s">
        <v>392</v>
      </c>
      <c r="B196" s="1275"/>
      <c r="C196" s="1275"/>
      <c r="D196" s="1452"/>
      <c r="E196" s="1277"/>
      <c r="F196" s="1245"/>
      <c r="G196" s="1246"/>
      <c r="H196" s="1246"/>
      <c r="I196" s="1246"/>
      <c r="J196" s="1315"/>
      <c r="K196" s="1246"/>
      <c r="L196" s="1291"/>
      <c r="M196" s="1291"/>
      <c r="N196" s="1316"/>
      <c r="O196" s="1317"/>
      <c r="P196" s="1246"/>
      <c r="Q196" s="1246"/>
      <c r="R196" s="1246"/>
      <c r="S196" s="1345"/>
      <c r="T196" s="1345"/>
      <c r="U196" s="1345"/>
      <c r="V196" s="1345"/>
      <c r="W196" s="1346"/>
      <c r="X196" s="1317"/>
      <c r="Y196" s="1246"/>
      <c r="Z196" s="1246"/>
      <c r="AA196" s="1246"/>
      <c r="AB196" s="1345"/>
      <c r="AC196" s="1345"/>
      <c r="AD196" s="1345"/>
      <c r="AE196" s="1345"/>
      <c r="AF196" s="1346"/>
      <c r="AG196" s="1317"/>
      <c r="AH196" s="1246"/>
      <c r="AI196" s="1246"/>
      <c r="AJ196" s="1345"/>
      <c r="AK196" s="1345"/>
      <c r="AL196" s="1345"/>
      <c r="AM196" s="1345"/>
      <c r="AN196" s="1345"/>
      <c r="AO196" s="1346"/>
      <c r="AP196" s="1317"/>
      <c r="AQ196" s="1246"/>
      <c r="AR196" s="1246"/>
      <c r="AS196" s="1246"/>
      <c r="AT196" s="1345"/>
      <c r="AU196" s="1345"/>
      <c r="AV196" s="1345"/>
      <c r="AW196" s="1345"/>
      <c r="AX196" s="1346"/>
      <c r="AY196" s="1317"/>
      <c r="AZ196" s="1246"/>
      <c r="BA196" s="1246"/>
      <c r="BB196" s="1246"/>
      <c r="BC196" s="1345"/>
      <c r="BD196" s="1345"/>
      <c r="BE196" s="1345"/>
      <c r="BF196" s="1345"/>
      <c r="BG196" s="1346"/>
      <c r="BH196" s="1317"/>
      <c r="BI196" s="1246"/>
      <c r="BJ196" s="1246"/>
      <c r="BK196" s="1246"/>
      <c r="BL196" s="1345"/>
      <c r="BM196" s="1345"/>
      <c r="BN196" s="1345"/>
      <c r="BO196" s="1345"/>
      <c r="BP196" s="1346"/>
      <c r="BQ196" s="1317"/>
      <c r="BR196" s="1246"/>
      <c r="BS196" s="1246"/>
      <c r="BT196" s="1246"/>
      <c r="BU196" s="1345"/>
      <c r="BV196" s="1345"/>
      <c r="BW196" s="1345"/>
      <c r="BX196" s="1345"/>
      <c r="BY196" s="1346"/>
      <c r="BZ196" s="1317"/>
      <c r="CA196" s="1246"/>
      <c r="CB196" s="1246"/>
      <c r="CC196" s="1246"/>
      <c r="CD196" s="1246"/>
      <c r="CE196" s="1246"/>
      <c r="CF196" s="1345"/>
      <c r="CG196" s="1392"/>
      <c r="CH196" s="1393"/>
      <c r="CI196" s="1394">
        <f t="shared" si="38"/>
        <v>0</v>
      </c>
      <c r="CJ196" s="1435"/>
      <c r="CK196" s="1436"/>
      <c r="CL196" s="1437">
        <f t="shared" si="39"/>
        <v>0</v>
      </c>
      <c r="CM196" s="1438"/>
      <c r="CN196" s="1439">
        <f t="shared" si="40"/>
        <v>0</v>
      </c>
      <c r="CO196" s="1229"/>
      <c r="CP196" s="1229"/>
      <c r="CQ196" s="1229"/>
    </row>
    <row r="197" spans="1:95" ht="20.25">
      <c r="A197" s="1446" t="s">
        <v>392</v>
      </c>
      <c r="B197" s="1275"/>
      <c r="C197" s="1275"/>
      <c r="D197" s="1452"/>
      <c r="E197" s="1277"/>
      <c r="F197" s="1245"/>
      <c r="G197" s="1246"/>
      <c r="H197" s="1246"/>
      <c r="I197" s="1246"/>
      <c r="J197" s="1315"/>
      <c r="K197" s="1246"/>
      <c r="L197" s="1291"/>
      <c r="M197" s="1291"/>
      <c r="N197" s="1316"/>
      <c r="O197" s="1317"/>
      <c r="P197" s="1246"/>
      <c r="Q197" s="1246"/>
      <c r="R197" s="1246"/>
      <c r="S197" s="1345"/>
      <c r="T197" s="1345"/>
      <c r="U197" s="1345"/>
      <c r="V197" s="1345"/>
      <c r="W197" s="1346"/>
      <c r="X197" s="1317"/>
      <c r="Y197" s="1246"/>
      <c r="Z197" s="1246"/>
      <c r="AA197" s="1246"/>
      <c r="AB197" s="1345"/>
      <c r="AC197" s="1345"/>
      <c r="AD197" s="1345"/>
      <c r="AE197" s="1345"/>
      <c r="AF197" s="1346"/>
      <c r="AG197" s="1317"/>
      <c r="AH197" s="1246"/>
      <c r="AI197" s="1246"/>
      <c r="AJ197" s="1345"/>
      <c r="AK197" s="1345"/>
      <c r="AL197" s="1345"/>
      <c r="AM197" s="1345"/>
      <c r="AN197" s="1345"/>
      <c r="AO197" s="1346"/>
      <c r="AP197" s="1317"/>
      <c r="AQ197" s="1246"/>
      <c r="AR197" s="1246"/>
      <c r="AS197" s="1246"/>
      <c r="AT197" s="1345"/>
      <c r="AU197" s="1345"/>
      <c r="AV197" s="1345"/>
      <c r="AW197" s="1345"/>
      <c r="AX197" s="1346"/>
      <c r="AY197" s="1317"/>
      <c r="AZ197" s="1246"/>
      <c r="BA197" s="1246"/>
      <c r="BB197" s="1246"/>
      <c r="BC197" s="1345"/>
      <c r="BD197" s="1345"/>
      <c r="BE197" s="1345"/>
      <c r="BF197" s="1345"/>
      <c r="BG197" s="1346"/>
      <c r="BH197" s="1317"/>
      <c r="BI197" s="1246"/>
      <c r="BJ197" s="1246"/>
      <c r="BK197" s="1246"/>
      <c r="BL197" s="1345"/>
      <c r="BM197" s="1345"/>
      <c r="BN197" s="1345"/>
      <c r="BO197" s="1345"/>
      <c r="BP197" s="1346"/>
      <c r="BQ197" s="1317"/>
      <c r="BR197" s="1246"/>
      <c r="BS197" s="1246"/>
      <c r="BT197" s="1246"/>
      <c r="BU197" s="1345"/>
      <c r="BV197" s="1345"/>
      <c r="BW197" s="1345"/>
      <c r="BX197" s="1345"/>
      <c r="BY197" s="1346"/>
      <c r="BZ197" s="1317"/>
      <c r="CA197" s="1246"/>
      <c r="CB197" s="1246"/>
      <c r="CC197" s="1246"/>
      <c r="CD197" s="1246"/>
      <c r="CE197" s="1246"/>
      <c r="CF197" s="1345"/>
      <c r="CG197" s="1392"/>
      <c r="CH197" s="1393"/>
      <c r="CI197" s="1394">
        <f t="shared" si="38"/>
        <v>0</v>
      </c>
      <c r="CJ197" s="1435"/>
      <c r="CK197" s="1436"/>
      <c r="CL197" s="1437">
        <f t="shared" si="39"/>
        <v>0</v>
      </c>
      <c r="CM197" s="1438"/>
      <c r="CN197" s="1439">
        <f t="shared" si="40"/>
        <v>0</v>
      </c>
      <c r="CO197" s="1229"/>
      <c r="CP197" s="1229"/>
      <c r="CQ197" s="1229"/>
    </row>
    <row r="198" spans="1:95" ht="20.25">
      <c r="A198" s="1446" t="s">
        <v>392</v>
      </c>
      <c r="B198" s="1275"/>
      <c r="C198" s="1275"/>
      <c r="D198" s="1452"/>
      <c r="E198" s="1277"/>
      <c r="F198" s="1245"/>
      <c r="G198" s="1246"/>
      <c r="H198" s="1246"/>
      <c r="I198" s="1246"/>
      <c r="J198" s="1315"/>
      <c r="K198" s="1246"/>
      <c r="L198" s="1291"/>
      <c r="M198" s="1291"/>
      <c r="N198" s="1316"/>
      <c r="O198" s="1317"/>
      <c r="P198" s="1246"/>
      <c r="Q198" s="1246"/>
      <c r="R198" s="1246"/>
      <c r="S198" s="1345"/>
      <c r="T198" s="1345"/>
      <c r="U198" s="1345"/>
      <c r="V198" s="1345"/>
      <c r="W198" s="1346"/>
      <c r="X198" s="1317"/>
      <c r="Y198" s="1246"/>
      <c r="Z198" s="1246"/>
      <c r="AA198" s="1246"/>
      <c r="AB198" s="1345"/>
      <c r="AC198" s="1345"/>
      <c r="AD198" s="1345"/>
      <c r="AE198" s="1345"/>
      <c r="AF198" s="1346"/>
      <c r="AG198" s="1317"/>
      <c r="AH198" s="1246"/>
      <c r="AI198" s="1246"/>
      <c r="AJ198" s="1345"/>
      <c r="AK198" s="1345"/>
      <c r="AL198" s="1345"/>
      <c r="AM198" s="1345"/>
      <c r="AN198" s="1345"/>
      <c r="AO198" s="1346"/>
      <c r="AP198" s="1317"/>
      <c r="AQ198" s="1246"/>
      <c r="AR198" s="1246"/>
      <c r="AS198" s="1246"/>
      <c r="AT198" s="1345"/>
      <c r="AU198" s="1345"/>
      <c r="AV198" s="1345"/>
      <c r="AW198" s="1345"/>
      <c r="AX198" s="1346"/>
      <c r="AY198" s="1317"/>
      <c r="AZ198" s="1246"/>
      <c r="BA198" s="1246"/>
      <c r="BB198" s="1246"/>
      <c r="BC198" s="1345"/>
      <c r="BD198" s="1345"/>
      <c r="BE198" s="1345"/>
      <c r="BF198" s="1345"/>
      <c r="BG198" s="1346"/>
      <c r="BH198" s="1317"/>
      <c r="BI198" s="1246"/>
      <c r="BJ198" s="1246"/>
      <c r="BK198" s="1246"/>
      <c r="BL198" s="1345"/>
      <c r="BM198" s="1345"/>
      <c r="BN198" s="1345"/>
      <c r="BO198" s="1345"/>
      <c r="BP198" s="1346"/>
      <c r="BQ198" s="1317"/>
      <c r="BR198" s="1246"/>
      <c r="BS198" s="1246"/>
      <c r="BT198" s="1246"/>
      <c r="BU198" s="1345"/>
      <c r="BV198" s="1345"/>
      <c r="BW198" s="1345"/>
      <c r="BX198" s="1345"/>
      <c r="BY198" s="1346"/>
      <c r="BZ198" s="1317"/>
      <c r="CA198" s="1246"/>
      <c r="CB198" s="1246"/>
      <c r="CC198" s="1246"/>
      <c r="CD198" s="1246"/>
      <c r="CE198" s="1246"/>
      <c r="CF198" s="1345"/>
      <c r="CG198" s="1392"/>
      <c r="CH198" s="1393"/>
      <c r="CI198" s="1394">
        <f t="shared" si="38"/>
        <v>0</v>
      </c>
      <c r="CJ198" s="1435"/>
      <c r="CK198" s="1436"/>
      <c r="CL198" s="1437">
        <f t="shared" si="39"/>
        <v>0</v>
      </c>
      <c r="CM198" s="1438"/>
      <c r="CN198" s="1439">
        <f t="shared" si="40"/>
        <v>0</v>
      </c>
      <c r="CO198" s="1229"/>
      <c r="CP198" s="1229"/>
      <c r="CQ198" s="1229"/>
    </row>
    <row r="199" spans="1:95" ht="20.25">
      <c r="A199" s="1446" t="s">
        <v>392</v>
      </c>
      <c r="B199" s="1275"/>
      <c r="C199" s="1275"/>
      <c r="D199" s="1452"/>
      <c r="E199" s="1277"/>
      <c r="F199" s="1245"/>
      <c r="G199" s="1246"/>
      <c r="H199" s="1246"/>
      <c r="I199" s="1246"/>
      <c r="J199" s="1315"/>
      <c r="K199" s="1246"/>
      <c r="L199" s="1291"/>
      <c r="M199" s="1291"/>
      <c r="N199" s="1316"/>
      <c r="O199" s="1317"/>
      <c r="P199" s="1246"/>
      <c r="Q199" s="1246"/>
      <c r="R199" s="1246"/>
      <c r="S199" s="1345"/>
      <c r="T199" s="1345"/>
      <c r="U199" s="1345"/>
      <c r="V199" s="1345"/>
      <c r="W199" s="1346"/>
      <c r="X199" s="1317"/>
      <c r="Y199" s="1246"/>
      <c r="Z199" s="1246"/>
      <c r="AA199" s="1246"/>
      <c r="AB199" s="1345"/>
      <c r="AC199" s="1345"/>
      <c r="AD199" s="1345"/>
      <c r="AE199" s="1345"/>
      <c r="AF199" s="1346"/>
      <c r="AG199" s="1317"/>
      <c r="AH199" s="1246"/>
      <c r="AI199" s="1246"/>
      <c r="AJ199" s="1345"/>
      <c r="AK199" s="1345"/>
      <c r="AL199" s="1345"/>
      <c r="AM199" s="1345"/>
      <c r="AN199" s="1345"/>
      <c r="AO199" s="1346"/>
      <c r="AP199" s="1317"/>
      <c r="AQ199" s="1246"/>
      <c r="AR199" s="1246"/>
      <c r="AS199" s="1246"/>
      <c r="AT199" s="1345"/>
      <c r="AU199" s="1345"/>
      <c r="AV199" s="1345"/>
      <c r="AW199" s="1345"/>
      <c r="AX199" s="1346"/>
      <c r="AY199" s="1317"/>
      <c r="AZ199" s="1246"/>
      <c r="BA199" s="1246"/>
      <c r="BB199" s="1246"/>
      <c r="BC199" s="1345"/>
      <c r="BD199" s="1345"/>
      <c r="BE199" s="1345"/>
      <c r="BF199" s="1345"/>
      <c r="BG199" s="1346"/>
      <c r="BH199" s="1317"/>
      <c r="BI199" s="1246"/>
      <c r="BJ199" s="1246"/>
      <c r="BK199" s="1246"/>
      <c r="BL199" s="1345"/>
      <c r="BM199" s="1345"/>
      <c r="BN199" s="1345"/>
      <c r="BO199" s="1345"/>
      <c r="BP199" s="1346"/>
      <c r="BQ199" s="1317"/>
      <c r="BR199" s="1246"/>
      <c r="BS199" s="1246"/>
      <c r="BT199" s="1246"/>
      <c r="BU199" s="1345"/>
      <c r="BV199" s="1345"/>
      <c r="BW199" s="1345"/>
      <c r="BX199" s="1345"/>
      <c r="BY199" s="1346"/>
      <c r="BZ199" s="1317"/>
      <c r="CA199" s="1246"/>
      <c r="CB199" s="1246"/>
      <c r="CC199" s="1246"/>
      <c r="CD199" s="1246"/>
      <c r="CE199" s="1246"/>
      <c r="CF199" s="1345"/>
      <c r="CG199" s="1392"/>
      <c r="CH199" s="1393"/>
      <c r="CI199" s="1394">
        <f t="shared" si="38"/>
        <v>0</v>
      </c>
      <c r="CJ199" s="1435"/>
      <c r="CK199" s="1436"/>
      <c r="CL199" s="1437">
        <f t="shared" si="39"/>
        <v>0</v>
      </c>
      <c r="CM199" s="1438"/>
      <c r="CN199" s="1439">
        <f t="shared" si="40"/>
        <v>0</v>
      </c>
      <c r="CO199" s="1229"/>
      <c r="CP199" s="1229"/>
      <c r="CQ199" s="1229"/>
    </row>
    <row r="200" spans="1:95" ht="20.25">
      <c r="A200" s="1446" t="s">
        <v>392</v>
      </c>
      <c r="B200" s="1275"/>
      <c r="C200" s="1275"/>
      <c r="D200" s="1452"/>
      <c r="E200" s="1277"/>
      <c r="F200" s="1245"/>
      <c r="G200" s="1246"/>
      <c r="H200" s="1246"/>
      <c r="I200" s="1246"/>
      <c r="J200" s="1315"/>
      <c r="K200" s="1246"/>
      <c r="L200" s="1291"/>
      <c r="M200" s="1291"/>
      <c r="N200" s="1316"/>
      <c r="O200" s="1317"/>
      <c r="P200" s="1246"/>
      <c r="Q200" s="1246"/>
      <c r="R200" s="1246"/>
      <c r="S200" s="1345"/>
      <c r="T200" s="1345"/>
      <c r="U200" s="1345"/>
      <c r="V200" s="1345"/>
      <c r="W200" s="1346"/>
      <c r="X200" s="1317"/>
      <c r="Y200" s="1246"/>
      <c r="Z200" s="1246"/>
      <c r="AA200" s="1246"/>
      <c r="AB200" s="1345"/>
      <c r="AC200" s="1345"/>
      <c r="AD200" s="1345"/>
      <c r="AE200" s="1345"/>
      <c r="AF200" s="1346"/>
      <c r="AG200" s="1317"/>
      <c r="AH200" s="1246"/>
      <c r="AI200" s="1246"/>
      <c r="AJ200" s="1345"/>
      <c r="AK200" s="1345"/>
      <c r="AL200" s="1345"/>
      <c r="AM200" s="1345"/>
      <c r="AN200" s="1345"/>
      <c r="AO200" s="1346"/>
      <c r="AP200" s="1317"/>
      <c r="AQ200" s="1246"/>
      <c r="AR200" s="1246"/>
      <c r="AS200" s="1246"/>
      <c r="AT200" s="1345"/>
      <c r="AU200" s="1345"/>
      <c r="AV200" s="1345"/>
      <c r="AW200" s="1345"/>
      <c r="AX200" s="1346"/>
      <c r="AY200" s="1317"/>
      <c r="AZ200" s="1246"/>
      <c r="BA200" s="1246"/>
      <c r="BB200" s="1246"/>
      <c r="BC200" s="1345"/>
      <c r="BD200" s="1345"/>
      <c r="BE200" s="1345"/>
      <c r="BF200" s="1345"/>
      <c r="BG200" s="1346"/>
      <c r="BH200" s="1317"/>
      <c r="BI200" s="1246"/>
      <c r="BJ200" s="1246"/>
      <c r="BK200" s="1246"/>
      <c r="BL200" s="1345"/>
      <c r="BM200" s="1345"/>
      <c r="BN200" s="1345"/>
      <c r="BO200" s="1345"/>
      <c r="BP200" s="1346"/>
      <c r="BQ200" s="1317"/>
      <c r="BR200" s="1246"/>
      <c r="BS200" s="1246"/>
      <c r="BT200" s="1246"/>
      <c r="BU200" s="1345"/>
      <c r="BV200" s="1345"/>
      <c r="BW200" s="1345"/>
      <c r="BX200" s="1345"/>
      <c r="BY200" s="1346"/>
      <c r="BZ200" s="1317"/>
      <c r="CA200" s="1246"/>
      <c r="CB200" s="1246"/>
      <c r="CC200" s="1246"/>
      <c r="CD200" s="1246"/>
      <c r="CE200" s="1246"/>
      <c r="CF200" s="1345"/>
      <c r="CG200" s="1392"/>
      <c r="CH200" s="1393"/>
      <c r="CI200" s="1394">
        <f t="shared" si="38"/>
        <v>0</v>
      </c>
      <c r="CJ200" s="1435"/>
      <c r="CK200" s="1436"/>
      <c r="CL200" s="1437">
        <f t="shared" si="39"/>
        <v>0</v>
      </c>
      <c r="CM200" s="1438"/>
      <c r="CN200" s="1439">
        <f t="shared" si="40"/>
        <v>0</v>
      </c>
      <c r="CO200" s="1229"/>
      <c r="CP200" s="1229"/>
      <c r="CQ200" s="1229"/>
    </row>
    <row r="201" spans="1:95" ht="20.25">
      <c r="A201" s="1446" t="s">
        <v>392</v>
      </c>
      <c r="B201" s="1275"/>
      <c r="C201" s="1275"/>
      <c r="D201" s="1452"/>
      <c r="E201" s="1277"/>
      <c r="F201" s="1245"/>
      <c r="G201" s="1246"/>
      <c r="H201" s="1246"/>
      <c r="I201" s="1246"/>
      <c r="J201" s="1315"/>
      <c r="K201" s="1246"/>
      <c r="L201" s="1291"/>
      <c r="M201" s="1291"/>
      <c r="N201" s="1316"/>
      <c r="O201" s="1317"/>
      <c r="P201" s="1246"/>
      <c r="Q201" s="1246"/>
      <c r="R201" s="1246"/>
      <c r="S201" s="1345"/>
      <c r="T201" s="1345"/>
      <c r="U201" s="1345"/>
      <c r="V201" s="1345"/>
      <c r="W201" s="1346"/>
      <c r="X201" s="1317"/>
      <c r="Y201" s="1246"/>
      <c r="Z201" s="1246"/>
      <c r="AA201" s="1246"/>
      <c r="AB201" s="1345"/>
      <c r="AC201" s="1345"/>
      <c r="AD201" s="1345"/>
      <c r="AE201" s="1345"/>
      <c r="AF201" s="1346"/>
      <c r="AG201" s="1317"/>
      <c r="AH201" s="1246"/>
      <c r="AI201" s="1246"/>
      <c r="AJ201" s="1345"/>
      <c r="AK201" s="1345"/>
      <c r="AL201" s="1345"/>
      <c r="AM201" s="1345"/>
      <c r="AN201" s="1345"/>
      <c r="AO201" s="1346"/>
      <c r="AP201" s="1317"/>
      <c r="AQ201" s="1246"/>
      <c r="AR201" s="1246"/>
      <c r="AS201" s="1246"/>
      <c r="AT201" s="1345"/>
      <c r="AU201" s="1345"/>
      <c r="AV201" s="1345"/>
      <c r="AW201" s="1345"/>
      <c r="AX201" s="1346"/>
      <c r="AY201" s="1317"/>
      <c r="AZ201" s="1246"/>
      <c r="BA201" s="1246"/>
      <c r="BB201" s="1246"/>
      <c r="BC201" s="1345"/>
      <c r="BD201" s="1345"/>
      <c r="BE201" s="1345"/>
      <c r="BF201" s="1345"/>
      <c r="BG201" s="1346"/>
      <c r="BH201" s="1317"/>
      <c r="BI201" s="1246"/>
      <c r="BJ201" s="1246"/>
      <c r="BK201" s="1246"/>
      <c r="BL201" s="1345"/>
      <c r="BM201" s="1345"/>
      <c r="BN201" s="1345"/>
      <c r="BO201" s="1345"/>
      <c r="BP201" s="1346"/>
      <c r="BQ201" s="1317"/>
      <c r="BR201" s="1246"/>
      <c r="BS201" s="1246"/>
      <c r="BT201" s="1246"/>
      <c r="BU201" s="1345"/>
      <c r="BV201" s="1345"/>
      <c r="BW201" s="1345"/>
      <c r="BX201" s="1345"/>
      <c r="BY201" s="1346"/>
      <c r="BZ201" s="1317"/>
      <c r="CA201" s="1246"/>
      <c r="CB201" s="1246"/>
      <c r="CC201" s="1246"/>
      <c r="CD201" s="1246"/>
      <c r="CE201" s="1246"/>
      <c r="CF201" s="1345"/>
      <c r="CG201" s="1392"/>
      <c r="CH201" s="1393"/>
      <c r="CI201" s="1394">
        <f t="shared" si="38"/>
        <v>0</v>
      </c>
      <c r="CJ201" s="1435"/>
      <c r="CK201" s="1436"/>
      <c r="CL201" s="1437">
        <f t="shared" si="39"/>
        <v>0</v>
      </c>
      <c r="CM201" s="1438"/>
      <c r="CN201" s="1439">
        <f t="shared" si="40"/>
        <v>0</v>
      </c>
      <c r="CO201" s="1229"/>
      <c r="CP201" s="1229"/>
      <c r="CQ201" s="1229"/>
    </row>
    <row r="202" spans="1:95" ht="20.25">
      <c r="A202" s="1446" t="s">
        <v>392</v>
      </c>
      <c r="B202" s="1275"/>
      <c r="C202" s="1275"/>
      <c r="D202" s="1452"/>
      <c r="E202" s="1277"/>
      <c r="F202" s="1245"/>
      <c r="G202" s="1246"/>
      <c r="H202" s="1246"/>
      <c r="I202" s="1246"/>
      <c r="J202" s="1315"/>
      <c r="K202" s="1246"/>
      <c r="L202" s="1291"/>
      <c r="M202" s="1291"/>
      <c r="N202" s="1316"/>
      <c r="O202" s="1317"/>
      <c r="P202" s="1246"/>
      <c r="Q202" s="1246"/>
      <c r="R202" s="1246"/>
      <c r="S202" s="1345"/>
      <c r="T202" s="1345"/>
      <c r="U202" s="1345"/>
      <c r="V202" s="1345"/>
      <c r="W202" s="1346"/>
      <c r="X202" s="1317"/>
      <c r="Y202" s="1246"/>
      <c r="Z202" s="1246"/>
      <c r="AA202" s="1246"/>
      <c r="AB202" s="1345"/>
      <c r="AC202" s="1345"/>
      <c r="AD202" s="1345"/>
      <c r="AE202" s="1345"/>
      <c r="AF202" s="1346"/>
      <c r="AG202" s="1317"/>
      <c r="AH202" s="1246"/>
      <c r="AI202" s="1246"/>
      <c r="AJ202" s="1345"/>
      <c r="AK202" s="1345"/>
      <c r="AL202" s="1345"/>
      <c r="AM202" s="1345"/>
      <c r="AN202" s="1345"/>
      <c r="AO202" s="1346"/>
      <c r="AP202" s="1317"/>
      <c r="AQ202" s="1246"/>
      <c r="AR202" s="1246"/>
      <c r="AS202" s="1246"/>
      <c r="AT202" s="1345"/>
      <c r="AU202" s="1345"/>
      <c r="AV202" s="1345"/>
      <c r="AW202" s="1345"/>
      <c r="AX202" s="1346"/>
      <c r="AY202" s="1317"/>
      <c r="AZ202" s="1246"/>
      <c r="BA202" s="1246"/>
      <c r="BB202" s="1246"/>
      <c r="BC202" s="1345"/>
      <c r="BD202" s="1345"/>
      <c r="BE202" s="1345"/>
      <c r="BF202" s="1345"/>
      <c r="BG202" s="1346"/>
      <c r="BH202" s="1317"/>
      <c r="BI202" s="1246"/>
      <c r="BJ202" s="1246"/>
      <c r="BK202" s="1246"/>
      <c r="BL202" s="1345"/>
      <c r="BM202" s="1345"/>
      <c r="BN202" s="1345"/>
      <c r="BO202" s="1345"/>
      <c r="BP202" s="1346"/>
      <c r="BQ202" s="1317"/>
      <c r="BR202" s="1246"/>
      <c r="BS202" s="1246"/>
      <c r="BT202" s="1246"/>
      <c r="BU202" s="1345"/>
      <c r="BV202" s="1345"/>
      <c r="BW202" s="1345"/>
      <c r="BX202" s="1345"/>
      <c r="BY202" s="1346"/>
      <c r="BZ202" s="1317"/>
      <c r="CA202" s="1246"/>
      <c r="CB202" s="1246"/>
      <c r="CC202" s="1246"/>
      <c r="CD202" s="1246"/>
      <c r="CE202" s="1246"/>
      <c r="CF202" s="1345"/>
      <c r="CG202" s="1392"/>
      <c r="CH202" s="1393"/>
      <c r="CI202" s="1394">
        <f t="shared" si="38"/>
        <v>0</v>
      </c>
      <c r="CJ202" s="1435"/>
      <c r="CK202" s="1436"/>
      <c r="CL202" s="1437">
        <f t="shared" si="39"/>
        <v>0</v>
      </c>
      <c r="CM202" s="1438"/>
      <c r="CN202" s="1439">
        <f t="shared" si="40"/>
        <v>0</v>
      </c>
      <c r="CO202" s="1229"/>
      <c r="CP202" s="1229"/>
      <c r="CQ202" s="1229"/>
    </row>
    <row r="203" spans="1:95" ht="20.25">
      <c r="A203" s="1446" t="s">
        <v>392</v>
      </c>
      <c r="B203" s="1275"/>
      <c r="C203" s="1275"/>
      <c r="D203" s="1452"/>
      <c r="E203" s="1277"/>
      <c r="F203" s="1245"/>
      <c r="G203" s="1246"/>
      <c r="H203" s="1246"/>
      <c r="I203" s="1246"/>
      <c r="J203" s="1315"/>
      <c r="K203" s="1246"/>
      <c r="L203" s="1291"/>
      <c r="M203" s="1291"/>
      <c r="N203" s="1316"/>
      <c r="O203" s="1317"/>
      <c r="P203" s="1246"/>
      <c r="Q203" s="1246"/>
      <c r="R203" s="1246"/>
      <c r="S203" s="1345"/>
      <c r="T203" s="1345"/>
      <c r="U203" s="1345"/>
      <c r="V203" s="1345"/>
      <c r="W203" s="1346"/>
      <c r="X203" s="1317"/>
      <c r="Y203" s="1246"/>
      <c r="Z203" s="1246"/>
      <c r="AA203" s="1246"/>
      <c r="AB203" s="1345"/>
      <c r="AC203" s="1345"/>
      <c r="AD203" s="1345"/>
      <c r="AE203" s="1345"/>
      <c r="AF203" s="1346"/>
      <c r="AG203" s="1317"/>
      <c r="AH203" s="1246"/>
      <c r="AI203" s="1246"/>
      <c r="AJ203" s="1345"/>
      <c r="AK203" s="1345"/>
      <c r="AL203" s="1345"/>
      <c r="AM203" s="1345"/>
      <c r="AN203" s="1345"/>
      <c r="AO203" s="1346"/>
      <c r="AP203" s="1317"/>
      <c r="AQ203" s="1246"/>
      <c r="AR203" s="1246"/>
      <c r="AS203" s="1246"/>
      <c r="AT203" s="1345"/>
      <c r="AU203" s="1345"/>
      <c r="AV203" s="1345"/>
      <c r="AW203" s="1345"/>
      <c r="AX203" s="1346"/>
      <c r="AY203" s="1317"/>
      <c r="AZ203" s="1246"/>
      <c r="BA203" s="1246"/>
      <c r="BB203" s="1246"/>
      <c r="BC203" s="1345"/>
      <c r="BD203" s="1345"/>
      <c r="BE203" s="1345"/>
      <c r="BF203" s="1345"/>
      <c r="BG203" s="1346"/>
      <c r="BH203" s="1317"/>
      <c r="BI203" s="1246"/>
      <c r="BJ203" s="1246"/>
      <c r="BK203" s="1246"/>
      <c r="BL203" s="1345"/>
      <c r="BM203" s="1345"/>
      <c r="BN203" s="1345"/>
      <c r="BO203" s="1345"/>
      <c r="BP203" s="1346"/>
      <c r="BQ203" s="1317"/>
      <c r="BR203" s="1246"/>
      <c r="BS203" s="1246"/>
      <c r="BT203" s="1246"/>
      <c r="BU203" s="1345"/>
      <c r="BV203" s="1345"/>
      <c r="BW203" s="1345"/>
      <c r="BX203" s="1345"/>
      <c r="BY203" s="1346"/>
      <c r="BZ203" s="1317"/>
      <c r="CA203" s="1246"/>
      <c r="CB203" s="1246"/>
      <c r="CC203" s="1246"/>
      <c r="CD203" s="1246"/>
      <c r="CE203" s="1246"/>
      <c r="CF203" s="1345"/>
      <c r="CG203" s="1392"/>
      <c r="CH203" s="1393"/>
      <c r="CI203" s="1394">
        <f t="shared" si="38"/>
        <v>0</v>
      </c>
      <c r="CJ203" s="1435"/>
      <c r="CK203" s="1436"/>
      <c r="CL203" s="1437">
        <f t="shared" si="39"/>
        <v>0</v>
      </c>
      <c r="CM203" s="1438"/>
      <c r="CN203" s="1439">
        <f t="shared" si="40"/>
        <v>0</v>
      </c>
      <c r="CO203" s="1229"/>
      <c r="CP203" s="1229"/>
      <c r="CQ203" s="1229"/>
    </row>
    <row r="204" spans="1:95" ht="20.25">
      <c r="A204" s="1446" t="s">
        <v>392</v>
      </c>
      <c r="B204" s="1275"/>
      <c r="C204" s="1275"/>
      <c r="D204" s="1452"/>
      <c r="E204" s="1277"/>
      <c r="F204" s="1245"/>
      <c r="G204" s="1246"/>
      <c r="H204" s="1246"/>
      <c r="I204" s="1246"/>
      <c r="J204" s="1315"/>
      <c r="K204" s="1246"/>
      <c r="L204" s="1291"/>
      <c r="M204" s="1291"/>
      <c r="N204" s="1316"/>
      <c r="O204" s="1317"/>
      <c r="P204" s="1246"/>
      <c r="Q204" s="1246"/>
      <c r="R204" s="1246"/>
      <c r="S204" s="1345"/>
      <c r="T204" s="1345"/>
      <c r="U204" s="1345"/>
      <c r="V204" s="1345"/>
      <c r="W204" s="1346"/>
      <c r="X204" s="1317"/>
      <c r="Y204" s="1246"/>
      <c r="Z204" s="1246"/>
      <c r="AA204" s="1246"/>
      <c r="AB204" s="1345"/>
      <c r="AC204" s="1345"/>
      <c r="AD204" s="1345"/>
      <c r="AE204" s="1345"/>
      <c r="AF204" s="1346"/>
      <c r="AG204" s="1317"/>
      <c r="AH204" s="1246"/>
      <c r="AI204" s="1246"/>
      <c r="AJ204" s="1345"/>
      <c r="AK204" s="1345"/>
      <c r="AL204" s="1345"/>
      <c r="AM204" s="1345"/>
      <c r="AN204" s="1345"/>
      <c r="AO204" s="1346"/>
      <c r="AP204" s="1317"/>
      <c r="AQ204" s="1246"/>
      <c r="AR204" s="1246"/>
      <c r="AS204" s="1246"/>
      <c r="AT204" s="1345"/>
      <c r="AU204" s="1345"/>
      <c r="AV204" s="1345"/>
      <c r="AW204" s="1345"/>
      <c r="AX204" s="1346"/>
      <c r="AY204" s="1317"/>
      <c r="AZ204" s="1246"/>
      <c r="BA204" s="1246"/>
      <c r="BB204" s="1246"/>
      <c r="BC204" s="1345"/>
      <c r="BD204" s="1345"/>
      <c r="BE204" s="1345"/>
      <c r="BF204" s="1345"/>
      <c r="BG204" s="1346"/>
      <c r="BH204" s="1317"/>
      <c r="BI204" s="1246"/>
      <c r="BJ204" s="1246"/>
      <c r="BK204" s="1246"/>
      <c r="BL204" s="1345"/>
      <c r="BM204" s="1345"/>
      <c r="BN204" s="1345"/>
      <c r="BO204" s="1345"/>
      <c r="BP204" s="1346"/>
      <c r="BQ204" s="1317"/>
      <c r="BR204" s="1246"/>
      <c r="BS204" s="1246"/>
      <c r="BT204" s="1246"/>
      <c r="BU204" s="1345"/>
      <c r="BV204" s="1345"/>
      <c r="BW204" s="1345"/>
      <c r="BX204" s="1345"/>
      <c r="BY204" s="1346"/>
      <c r="BZ204" s="1317"/>
      <c r="CA204" s="1246"/>
      <c r="CB204" s="1246"/>
      <c r="CC204" s="1246"/>
      <c r="CD204" s="1246"/>
      <c r="CE204" s="1246"/>
      <c r="CF204" s="1345"/>
      <c r="CG204" s="1392"/>
      <c r="CH204" s="1393"/>
      <c r="CI204" s="1394">
        <f t="shared" si="38"/>
        <v>0</v>
      </c>
      <c r="CJ204" s="1435"/>
      <c r="CK204" s="1436"/>
      <c r="CL204" s="1437">
        <f t="shared" si="39"/>
        <v>0</v>
      </c>
      <c r="CM204" s="1438"/>
      <c r="CN204" s="1439">
        <f t="shared" si="40"/>
        <v>0</v>
      </c>
      <c r="CO204" s="394"/>
      <c r="CP204" s="54"/>
      <c r="CQ204" s="394"/>
    </row>
    <row r="205" spans="1:95" ht="20.25">
      <c r="A205" s="1446" t="s">
        <v>392</v>
      </c>
      <c r="B205" s="1275"/>
      <c r="C205" s="1275"/>
      <c r="D205" s="1452"/>
      <c r="E205" s="1277"/>
      <c r="F205" s="1245"/>
      <c r="G205" s="1246"/>
      <c r="H205" s="1246"/>
      <c r="I205" s="1246"/>
      <c r="J205" s="1315"/>
      <c r="K205" s="1246"/>
      <c r="L205" s="1291"/>
      <c r="M205" s="1291"/>
      <c r="N205" s="1316"/>
      <c r="O205" s="1317"/>
      <c r="P205" s="1246"/>
      <c r="Q205" s="1246"/>
      <c r="R205" s="1246"/>
      <c r="S205" s="1345"/>
      <c r="T205" s="1345"/>
      <c r="U205" s="1345"/>
      <c r="V205" s="1345"/>
      <c r="W205" s="1346"/>
      <c r="X205" s="1317"/>
      <c r="Y205" s="1246"/>
      <c r="Z205" s="1246"/>
      <c r="AA205" s="1246"/>
      <c r="AB205" s="1345"/>
      <c r="AC205" s="1345"/>
      <c r="AD205" s="1345"/>
      <c r="AE205" s="1345"/>
      <c r="AF205" s="1346"/>
      <c r="AG205" s="1317"/>
      <c r="AH205" s="1246"/>
      <c r="AI205" s="1246"/>
      <c r="AJ205" s="1345"/>
      <c r="AK205" s="1345"/>
      <c r="AL205" s="1345"/>
      <c r="AM205" s="1345"/>
      <c r="AN205" s="1345"/>
      <c r="AO205" s="1346"/>
      <c r="AP205" s="1317"/>
      <c r="AQ205" s="1246"/>
      <c r="AR205" s="1246"/>
      <c r="AS205" s="1246"/>
      <c r="AT205" s="1345"/>
      <c r="AU205" s="1345"/>
      <c r="AV205" s="1345"/>
      <c r="AW205" s="1345"/>
      <c r="AX205" s="1346"/>
      <c r="AY205" s="1317"/>
      <c r="AZ205" s="1246"/>
      <c r="BA205" s="1246"/>
      <c r="BB205" s="1246"/>
      <c r="BC205" s="1345"/>
      <c r="BD205" s="1345"/>
      <c r="BE205" s="1345"/>
      <c r="BF205" s="1345"/>
      <c r="BG205" s="1346"/>
      <c r="BH205" s="1317"/>
      <c r="BI205" s="1246"/>
      <c r="BJ205" s="1246"/>
      <c r="BK205" s="1246"/>
      <c r="BL205" s="1345"/>
      <c r="BM205" s="1345"/>
      <c r="BN205" s="1345"/>
      <c r="BO205" s="1345"/>
      <c r="BP205" s="1346"/>
      <c r="BQ205" s="1317"/>
      <c r="BR205" s="1246"/>
      <c r="BS205" s="1246"/>
      <c r="BT205" s="1246"/>
      <c r="BU205" s="1345"/>
      <c r="BV205" s="1345"/>
      <c r="BW205" s="1345"/>
      <c r="BX205" s="1345"/>
      <c r="BY205" s="1346"/>
      <c r="BZ205" s="1317"/>
      <c r="CA205" s="1246"/>
      <c r="CB205" s="1246"/>
      <c r="CC205" s="1246"/>
      <c r="CD205" s="1246"/>
      <c r="CE205" s="1246"/>
      <c r="CF205" s="1345"/>
      <c r="CG205" s="1392"/>
      <c r="CH205" s="1393"/>
      <c r="CI205" s="1394">
        <f t="shared" si="38"/>
        <v>0</v>
      </c>
      <c r="CJ205" s="1435"/>
      <c r="CK205" s="1436"/>
      <c r="CL205" s="1437">
        <f t="shared" si="39"/>
        <v>0</v>
      </c>
      <c r="CM205" s="1438"/>
      <c r="CN205" s="1439">
        <f t="shared" si="40"/>
        <v>0</v>
      </c>
      <c r="CO205" s="403"/>
      <c r="CP205" s="403"/>
      <c r="CQ205" s="1427"/>
    </row>
    <row r="206" spans="1:95" ht="20.25">
      <c r="A206" s="1446" t="s">
        <v>392</v>
      </c>
      <c r="B206" s="1275"/>
      <c r="C206" s="1275"/>
      <c r="D206" s="1452"/>
      <c r="E206" s="1277"/>
      <c r="F206" s="1245"/>
      <c r="G206" s="1246"/>
      <c r="H206" s="1246"/>
      <c r="I206" s="1246"/>
      <c r="J206" s="1315"/>
      <c r="K206" s="1246"/>
      <c r="L206" s="1291"/>
      <c r="M206" s="1291"/>
      <c r="N206" s="1316"/>
      <c r="O206" s="1317"/>
      <c r="P206" s="1246"/>
      <c r="Q206" s="1246"/>
      <c r="R206" s="1246"/>
      <c r="S206" s="1345"/>
      <c r="T206" s="1345"/>
      <c r="U206" s="1345"/>
      <c r="V206" s="1345"/>
      <c r="W206" s="1346"/>
      <c r="X206" s="1317"/>
      <c r="Y206" s="1246"/>
      <c r="Z206" s="1246"/>
      <c r="AA206" s="1246"/>
      <c r="AB206" s="1345"/>
      <c r="AC206" s="1345"/>
      <c r="AD206" s="1345"/>
      <c r="AE206" s="1345"/>
      <c r="AF206" s="1346"/>
      <c r="AG206" s="1317"/>
      <c r="AH206" s="1246"/>
      <c r="AI206" s="1246"/>
      <c r="AJ206" s="1345"/>
      <c r="AK206" s="1345"/>
      <c r="AL206" s="1345"/>
      <c r="AM206" s="1345"/>
      <c r="AN206" s="1345"/>
      <c r="AO206" s="1346"/>
      <c r="AP206" s="1317"/>
      <c r="AQ206" s="1246"/>
      <c r="AR206" s="1246"/>
      <c r="AS206" s="1246"/>
      <c r="AT206" s="1345"/>
      <c r="AU206" s="1345"/>
      <c r="AV206" s="1345"/>
      <c r="AW206" s="1345"/>
      <c r="AX206" s="1346"/>
      <c r="AY206" s="1317"/>
      <c r="AZ206" s="1246"/>
      <c r="BA206" s="1246"/>
      <c r="BB206" s="1246"/>
      <c r="BC206" s="1345"/>
      <c r="BD206" s="1345"/>
      <c r="BE206" s="1345"/>
      <c r="BF206" s="1345"/>
      <c r="BG206" s="1346"/>
      <c r="BH206" s="1317"/>
      <c r="BI206" s="1246"/>
      <c r="BJ206" s="1246"/>
      <c r="BK206" s="1246"/>
      <c r="BL206" s="1345"/>
      <c r="BM206" s="1345"/>
      <c r="BN206" s="1345"/>
      <c r="BO206" s="1345"/>
      <c r="BP206" s="1346"/>
      <c r="BQ206" s="1317"/>
      <c r="BR206" s="1246"/>
      <c r="BS206" s="1246"/>
      <c r="BT206" s="1246"/>
      <c r="BU206" s="1345"/>
      <c r="BV206" s="1345"/>
      <c r="BW206" s="1345"/>
      <c r="BX206" s="1345"/>
      <c r="BY206" s="1346"/>
      <c r="BZ206" s="1317"/>
      <c r="CA206" s="1246"/>
      <c r="CB206" s="1246"/>
      <c r="CC206" s="1246"/>
      <c r="CD206" s="1246"/>
      <c r="CE206" s="1246"/>
      <c r="CF206" s="1345"/>
      <c r="CG206" s="1392"/>
      <c r="CH206" s="1393"/>
      <c r="CI206" s="1394">
        <f t="shared" si="38"/>
        <v>0</v>
      </c>
      <c r="CJ206" s="1435"/>
      <c r="CK206" s="1436"/>
      <c r="CL206" s="1437">
        <f t="shared" si="39"/>
        <v>0</v>
      </c>
      <c r="CM206" s="1438"/>
      <c r="CN206" s="1439">
        <f t="shared" si="40"/>
        <v>0</v>
      </c>
      <c r="CO206" s="403"/>
      <c r="CP206" s="403"/>
      <c r="CQ206" s="403"/>
    </row>
    <row r="207" spans="1:95" ht="20.25">
      <c r="A207" s="1446" t="s">
        <v>392</v>
      </c>
      <c r="B207" s="1275"/>
      <c r="C207" s="1275"/>
      <c r="D207" s="1452"/>
      <c r="E207" s="1277"/>
      <c r="F207" s="1245"/>
      <c r="G207" s="1246"/>
      <c r="H207" s="1246"/>
      <c r="I207" s="1246"/>
      <c r="J207" s="1315"/>
      <c r="K207" s="1246"/>
      <c r="L207" s="1291"/>
      <c r="M207" s="1291"/>
      <c r="N207" s="1316"/>
      <c r="O207" s="1317"/>
      <c r="P207" s="1246"/>
      <c r="Q207" s="1246"/>
      <c r="R207" s="1246"/>
      <c r="S207" s="1345"/>
      <c r="T207" s="1345"/>
      <c r="U207" s="1345"/>
      <c r="V207" s="1345"/>
      <c r="W207" s="1346"/>
      <c r="X207" s="1317"/>
      <c r="Y207" s="1246"/>
      <c r="Z207" s="1246"/>
      <c r="AA207" s="1246"/>
      <c r="AB207" s="1345"/>
      <c r="AC207" s="1345"/>
      <c r="AD207" s="1345"/>
      <c r="AE207" s="1345"/>
      <c r="AF207" s="1346"/>
      <c r="AG207" s="1317"/>
      <c r="AH207" s="1246"/>
      <c r="AI207" s="1246"/>
      <c r="AJ207" s="1345"/>
      <c r="AK207" s="1345"/>
      <c r="AL207" s="1345"/>
      <c r="AM207" s="1345"/>
      <c r="AN207" s="1345"/>
      <c r="AO207" s="1346"/>
      <c r="AP207" s="1317"/>
      <c r="AQ207" s="1246"/>
      <c r="AR207" s="1246"/>
      <c r="AS207" s="1246"/>
      <c r="AT207" s="1345"/>
      <c r="AU207" s="1345"/>
      <c r="AV207" s="1345"/>
      <c r="AW207" s="1345"/>
      <c r="AX207" s="1346"/>
      <c r="AY207" s="1317"/>
      <c r="AZ207" s="1246"/>
      <c r="BA207" s="1246"/>
      <c r="BB207" s="1246"/>
      <c r="BC207" s="1345"/>
      <c r="BD207" s="1345"/>
      <c r="BE207" s="1345"/>
      <c r="BF207" s="1345"/>
      <c r="BG207" s="1346"/>
      <c r="BH207" s="1317"/>
      <c r="BI207" s="1246"/>
      <c r="BJ207" s="1246"/>
      <c r="BK207" s="1246"/>
      <c r="BL207" s="1345"/>
      <c r="BM207" s="1345"/>
      <c r="BN207" s="1345"/>
      <c r="BO207" s="1345"/>
      <c r="BP207" s="1346"/>
      <c r="BQ207" s="1317"/>
      <c r="BR207" s="1246"/>
      <c r="BS207" s="1246"/>
      <c r="BT207" s="1246"/>
      <c r="BU207" s="1345"/>
      <c r="BV207" s="1345"/>
      <c r="BW207" s="1345"/>
      <c r="BX207" s="1345"/>
      <c r="BY207" s="1346"/>
      <c r="BZ207" s="1317"/>
      <c r="CA207" s="1246"/>
      <c r="CB207" s="1246"/>
      <c r="CC207" s="1246"/>
      <c r="CD207" s="1246"/>
      <c r="CE207" s="1246"/>
      <c r="CF207" s="1345"/>
      <c r="CG207" s="1392"/>
      <c r="CH207" s="1393"/>
      <c r="CI207" s="1394">
        <f t="shared" si="38"/>
        <v>0</v>
      </c>
      <c r="CJ207" s="1435"/>
      <c r="CK207" s="1436"/>
      <c r="CL207" s="1437">
        <f t="shared" si="39"/>
        <v>0</v>
      </c>
      <c r="CM207" s="1438"/>
      <c r="CN207" s="1439">
        <f t="shared" si="40"/>
        <v>0</v>
      </c>
      <c r="CO207" s="403"/>
      <c r="CP207" s="403"/>
      <c r="CQ207" s="403"/>
    </row>
    <row r="208" spans="1:95" ht="20.25">
      <c r="A208" s="1446" t="s">
        <v>392</v>
      </c>
      <c r="B208" s="1275"/>
      <c r="C208" s="1275"/>
      <c r="D208" s="1452"/>
      <c r="E208" s="1277"/>
      <c r="F208" s="1245"/>
      <c r="G208" s="1246"/>
      <c r="H208" s="1246"/>
      <c r="I208" s="1246"/>
      <c r="J208" s="1315"/>
      <c r="K208" s="1246"/>
      <c r="L208" s="1291"/>
      <c r="M208" s="1291"/>
      <c r="N208" s="1316"/>
      <c r="O208" s="1317"/>
      <c r="P208" s="1246"/>
      <c r="Q208" s="1246"/>
      <c r="R208" s="1246"/>
      <c r="S208" s="1345"/>
      <c r="T208" s="1345"/>
      <c r="U208" s="1345"/>
      <c r="V208" s="1345"/>
      <c r="W208" s="1346"/>
      <c r="X208" s="1317"/>
      <c r="Y208" s="1246"/>
      <c r="Z208" s="1246"/>
      <c r="AA208" s="1246"/>
      <c r="AB208" s="1345"/>
      <c r="AC208" s="1345"/>
      <c r="AD208" s="1345"/>
      <c r="AE208" s="1345"/>
      <c r="AF208" s="1346"/>
      <c r="AG208" s="1317"/>
      <c r="AH208" s="1246"/>
      <c r="AI208" s="1246"/>
      <c r="AJ208" s="1345"/>
      <c r="AK208" s="1345"/>
      <c r="AL208" s="1345"/>
      <c r="AM208" s="1345"/>
      <c r="AN208" s="1345"/>
      <c r="AO208" s="1346"/>
      <c r="AP208" s="1317"/>
      <c r="AQ208" s="1246"/>
      <c r="AR208" s="1246"/>
      <c r="AS208" s="1246"/>
      <c r="AT208" s="1345"/>
      <c r="AU208" s="1345"/>
      <c r="AV208" s="1345"/>
      <c r="AW208" s="1345"/>
      <c r="AX208" s="1346"/>
      <c r="AY208" s="1317"/>
      <c r="AZ208" s="1246"/>
      <c r="BA208" s="1246"/>
      <c r="BB208" s="1246"/>
      <c r="BC208" s="1345"/>
      <c r="BD208" s="1345"/>
      <c r="BE208" s="1345"/>
      <c r="BF208" s="1345"/>
      <c r="BG208" s="1346"/>
      <c r="BH208" s="1317"/>
      <c r="BI208" s="1246"/>
      <c r="BJ208" s="1246"/>
      <c r="BK208" s="1246"/>
      <c r="BL208" s="1345"/>
      <c r="BM208" s="1345"/>
      <c r="BN208" s="1345"/>
      <c r="BO208" s="1345"/>
      <c r="BP208" s="1346"/>
      <c r="BQ208" s="1317"/>
      <c r="BR208" s="1246"/>
      <c r="BS208" s="1246"/>
      <c r="BT208" s="1246"/>
      <c r="BU208" s="1345"/>
      <c r="BV208" s="1345"/>
      <c r="BW208" s="1345"/>
      <c r="BX208" s="1345"/>
      <c r="BY208" s="1346"/>
      <c r="BZ208" s="1317"/>
      <c r="CA208" s="1246"/>
      <c r="CB208" s="1246"/>
      <c r="CC208" s="1246"/>
      <c r="CD208" s="1246"/>
      <c r="CE208" s="1246"/>
      <c r="CF208" s="1345"/>
      <c r="CG208" s="1392"/>
      <c r="CH208" s="1393"/>
      <c r="CI208" s="1394">
        <f t="shared" si="38"/>
        <v>0</v>
      </c>
      <c r="CJ208" s="1435"/>
      <c r="CK208" s="1436"/>
      <c r="CL208" s="1437">
        <f t="shared" si="39"/>
        <v>0</v>
      </c>
      <c r="CM208" s="1438"/>
      <c r="CN208" s="1439">
        <f t="shared" si="40"/>
        <v>0</v>
      </c>
      <c r="CO208" s="403"/>
      <c r="CP208" s="403"/>
      <c r="CQ208" s="403"/>
    </row>
    <row r="209" spans="1:95" ht="20.25">
      <c r="A209" s="1446" t="s">
        <v>392</v>
      </c>
      <c r="B209" s="1275"/>
      <c r="C209" s="1275"/>
      <c r="D209" s="1452"/>
      <c r="E209" s="1277"/>
      <c r="F209" s="1245"/>
      <c r="G209" s="1246"/>
      <c r="H209" s="1246"/>
      <c r="I209" s="1246"/>
      <c r="J209" s="1315"/>
      <c r="K209" s="1246"/>
      <c r="L209" s="1291"/>
      <c r="M209" s="1291"/>
      <c r="N209" s="1316"/>
      <c r="O209" s="1317"/>
      <c r="P209" s="1246"/>
      <c r="Q209" s="1246"/>
      <c r="R209" s="1246"/>
      <c r="S209" s="1345"/>
      <c r="T209" s="1345"/>
      <c r="U209" s="1345"/>
      <c r="V209" s="1345"/>
      <c r="W209" s="1346"/>
      <c r="X209" s="1317"/>
      <c r="Y209" s="1246"/>
      <c r="Z209" s="1246"/>
      <c r="AA209" s="1246"/>
      <c r="AB209" s="1345"/>
      <c r="AC209" s="1345"/>
      <c r="AD209" s="1345"/>
      <c r="AE209" s="1345"/>
      <c r="AF209" s="1346"/>
      <c r="AG209" s="1317"/>
      <c r="AH209" s="1246"/>
      <c r="AI209" s="1246"/>
      <c r="AJ209" s="1345"/>
      <c r="AK209" s="1345"/>
      <c r="AL209" s="1345"/>
      <c r="AM209" s="1345"/>
      <c r="AN209" s="1345"/>
      <c r="AO209" s="1346"/>
      <c r="AP209" s="1317"/>
      <c r="AQ209" s="1246"/>
      <c r="AR209" s="1246"/>
      <c r="AS209" s="1246"/>
      <c r="AT209" s="1345"/>
      <c r="AU209" s="1345"/>
      <c r="AV209" s="1345"/>
      <c r="AW209" s="1345"/>
      <c r="AX209" s="1346"/>
      <c r="AY209" s="1317"/>
      <c r="AZ209" s="1246"/>
      <c r="BA209" s="1246"/>
      <c r="BB209" s="1246"/>
      <c r="BC209" s="1345"/>
      <c r="BD209" s="1345"/>
      <c r="BE209" s="1345"/>
      <c r="BF209" s="1345"/>
      <c r="BG209" s="1346"/>
      <c r="BH209" s="1317"/>
      <c r="BI209" s="1246"/>
      <c r="BJ209" s="1246"/>
      <c r="BK209" s="1246"/>
      <c r="BL209" s="1345"/>
      <c r="BM209" s="1345"/>
      <c r="BN209" s="1345"/>
      <c r="BO209" s="1345"/>
      <c r="BP209" s="1346"/>
      <c r="BQ209" s="1317"/>
      <c r="BR209" s="1246"/>
      <c r="BS209" s="1246"/>
      <c r="BT209" s="1246"/>
      <c r="BU209" s="1345"/>
      <c r="BV209" s="1345"/>
      <c r="BW209" s="1345"/>
      <c r="BX209" s="1345"/>
      <c r="BY209" s="1346"/>
      <c r="BZ209" s="1317"/>
      <c r="CA209" s="1246"/>
      <c r="CB209" s="1246"/>
      <c r="CC209" s="1246"/>
      <c r="CD209" s="1246"/>
      <c r="CE209" s="1246"/>
      <c r="CF209" s="1345"/>
      <c r="CG209" s="1392"/>
      <c r="CH209" s="1393"/>
      <c r="CI209" s="1394">
        <f t="shared" si="38"/>
        <v>0</v>
      </c>
      <c r="CJ209" s="1435"/>
      <c r="CK209" s="1436"/>
      <c r="CL209" s="1437">
        <f t="shared" si="39"/>
        <v>0</v>
      </c>
      <c r="CM209" s="1438"/>
      <c r="CN209" s="1439">
        <f t="shared" si="40"/>
        <v>0</v>
      </c>
      <c r="CO209" s="403"/>
      <c r="CP209" s="403"/>
      <c r="CQ209" s="403"/>
    </row>
    <row r="210" spans="1:95" ht="20.25">
      <c r="A210" s="1446" t="s">
        <v>392</v>
      </c>
      <c r="B210" s="1275"/>
      <c r="C210" s="1261"/>
      <c r="D210" s="1452"/>
      <c r="E210" s="1262"/>
      <c r="F210" s="1249"/>
      <c r="G210" s="1250"/>
      <c r="H210" s="1250"/>
      <c r="I210" s="1250"/>
      <c r="J210" s="1250"/>
      <c r="K210" s="1250"/>
      <c r="L210" s="1292"/>
      <c r="M210" s="1292"/>
      <c r="N210" s="1293"/>
      <c r="O210" s="1330"/>
      <c r="P210" s="1327"/>
      <c r="Q210" s="1327"/>
      <c r="R210" s="1327"/>
      <c r="S210" s="1328"/>
      <c r="T210" s="1328"/>
      <c r="U210" s="1328"/>
      <c r="V210" s="1328"/>
      <c r="W210" s="1329"/>
      <c r="X210" s="1330"/>
      <c r="Y210" s="1327"/>
      <c r="Z210" s="1327"/>
      <c r="AA210" s="1327"/>
      <c r="AB210" s="1328"/>
      <c r="AC210" s="1328"/>
      <c r="AD210" s="1352"/>
      <c r="AE210" s="1328"/>
      <c r="AF210" s="1329"/>
      <c r="AG210" s="1330"/>
      <c r="AH210" s="1327"/>
      <c r="AI210" s="1327"/>
      <c r="AJ210" s="1328"/>
      <c r="AK210" s="1328"/>
      <c r="AL210" s="1328"/>
      <c r="AM210" s="1328"/>
      <c r="AN210" s="1328"/>
      <c r="AO210" s="1329"/>
      <c r="AP210" s="1330"/>
      <c r="AQ210" s="1327"/>
      <c r="AR210" s="1327"/>
      <c r="AS210" s="1327"/>
      <c r="AT210" s="1328"/>
      <c r="AU210" s="1328"/>
      <c r="AV210" s="1328"/>
      <c r="AW210" s="1328"/>
      <c r="AX210" s="1329"/>
      <c r="AY210" s="1330"/>
      <c r="AZ210" s="1327"/>
      <c r="BA210" s="1295"/>
      <c r="BB210" s="1327"/>
      <c r="BC210" s="1362"/>
      <c r="BD210" s="1362"/>
      <c r="BE210" s="1328"/>
      <c r="BF210" s="1328"/>
      <c r="BG210" s="1329"/>
      <c r="BH210" s="1330"/>
      <c r="BI210" s="1327"/>
      <c r="BJ210" s="1327"/>
      <c r="BK210" s="1295"/>
      <c r="BL210" s="1328"/>
      <c r="BM210" s="1328"/>
      <c r="BN210" s="1328"/>
      <c r="BO210" s="1328"/>
      <c r="BP210" s="1329"/>
      <c r="BQ210" s="1330"/>
      <c r="BR210" s="1327"/>
      <c r="BS210" s="1327"/>
      <c r="BT210" s="1327"/>
      <c r="BU210" s="1328"/>
      <c r="BV210" s="1328"/>
      <c r="BW210" s="1328"/>
      <c r="BX210" s="1328"/>
      <c r="BY210" s="1329"/>
      <c r="BZ210" s="1369"/>
      <c r="CA210" s="1250"/>
      <c r="CB210" s="1327"/>
      <c r="CC210" s="1250"/>
      <c r="CD210" s="1250"/>
      <c r="CE210" s="1250"/>
      <c r="CF210" s="1352"/>
      <c r="CG210" s="1352"/>
      <c r="CH210" s="1376"/>
      <c r="CI210" s="1467">
        <f t="shared" si="38"/>
        <v>0</v>
      </c>
      <c r="CJ210" s="1471"/>
      <c r="CK210" s="1409"/>
      <c r="CL210" s="1437">
        <f t="shared" si="39"/>
        <v>0</v>
      </c>
      <c r="CM210" s="1408"/>
      <c r="CN210" s="1439">
        <f t="shared" si="40"/>
        <v>0</v>
      </c>
      <c r="CO210" s="1222"/>
      <c r="CP210" s="1222"/>
      <c r="CQ210" s="1222"/>
    </row>
    <row r="211" spans="1:95" s="283" customFormat="1" ht="20.25">
      <c r="A211" s="1446" t="s">
        <v>392</v>
      </c>
      <c r="B211" s="1275"/>
      <c r="C211" s="1453"/>
      <c r="D211" s="1454"/>
      <c r="E211" s="1262"/>
      <c r="F211" s="1249"/>
      <c r="G211" s="1250"/>
      <c r="H211" s="1250"/>
      <c r="I211" s="1250"/>
      <c r="J211" s="1250"/>
      <c r="K211" s="1250"/>
      <c r="L211" s="1292"/>
      <c r="M211" s="1292"/>
      <c r="N211" s="1293"/>
      <c r="O211" s="1330"/>
      <c r="P211" s="1327"/>
      <c r="Q211" s="1327"/>
      <c r="R211" s="1327"/>
      <c r="S211" s="1328"/>
      <c r="T211" s="1328"/>
      <c r="U211" s="1328"/>
      <c r="V211" s="1328"/>
      <c r="W211" s="1329"/>
      <c r="X211" s="1330"/>
      <c r="Y211" s="1327"/>
      <c r="Z211" s="1327"/>
      <c r="AA211" s="1327"/>
      <c r="AB211" s="1328"/>
      <c r="AC211" s="1328"/>
      <c r="AD211" s="1352"/>
      <c r="AE211" s="1328"/>
      <c r="AF211" s="1329"/>
      <c r="AG211" s="1330"/>
      <c r="AH211" s="1327"/>
      <c r="AI211" s="1327"/>
      <c r="AJ211" s="1328"/>
      <c r="AK211" s="1328"/>
      <c r="AL211" s="1328"/>
      <c r="AM211" s="1328"/>
      <c r="AN211" s="1328"/>
      <c r="AO211" s="1329"/>
      <c r="AP211" s="1330"/>
      <c r="AQ211" s="1327"/>
      <c r="AR211" s="1327"/>
      <c r="AS211" s="1327"/>
      <c r="AT211" s="1328"/>
      <c r="AU211" s="1328"/>
      <c r="AV211" s="1328"/>
      <c r="AW211" s="1328"/>
      <c r="AX211" s="1329"/>
      <c r="AY211" s="1294"/>
      <c r="AZ211" s="1327"/>
      <c r="BA211" s="1295"/>
      <c r="BB211" s="1327"/>
      <c r="BC211" s="1362"/>
      <c r="BD211" s="1328"/>
      <c r="BE211" s="1328"/>
      <c r="BF211" s="1328"/>
      <c r="BG211" s="1329"/>
      <c r="BH211" s="1330"/>
      <c r="BI211" s="1327"/>
      <c r="BJ211" s="1327"/>
      <c r="BK211" s="1295"/>
      <c r="BL211" s="1328"/>
      <c r="BM211" s="1328"/>
      <c r="BN211" s="1328"/>
      <c r="BO211" s="1328"/>
      <c r="BP211" s="1329"/>
      <c r="BQ211" s="1330"/>
      <c r="BR211" s="1327"/>
      <c r="BS211" s="1327"/>
      <c r="BT211" s="1327"/>
      <c r="BU211" s="1328"/>
      <c r="BV211" s="1328"/>
      <c r="BW211" s="1328"/>
      <c r="BX211" s="1328"/>
      <c r="BY211" s="1329"/>
      <c r="BZ211" s="1369"/>
      <c r="CA211" s="1250"/>
      <c r="CB211" s="1327"/>
      <c r="CC211" s="1250"/>
      <c r="CD211" s="1250"/>
      <c r="CE211" s="1250"/>
      <c r="CF211" s="1352"/>
      <c r="CG211" s="1352"/>
      <c r="CH211" s="1376"/>
      <c r="CI211" s="1467">
        <f t="shared" si="38"/>
        <v>0</v>
      </c>
      <c r="CJ211" s="1471"/>
      <c r="CK211" s="1409"/>
      <c r="CL211" s="1437">
        <f t="shared" si="39"/>
        <v>0</v>
      </c>
      <c r="CM211" s="1408"/>
      <c r="CN211" s="1439">
        <f t="shared" si="40"/>
        <v>0</v>
      </c>
      <c r="CP211" s="1500"/>
    </row>
    <row r="212" spans="1:95" s="283" customFormat="1" ht="20.25">
      <c r="A212" s="1474"/>
      <c r="B212" s="1455"/>
      <c r="C212" s="1247"/>
      <c r="D212" s="1456"/>
      <c r="E212" s="1262"/>
      <c r="F212" s="1249"/>
      <c r="G212" s="1250"/>
      <c r="H212" s="1250"/>
      <c r="I212" s="1250"/>
      <c r="J212" s="1250"/>
      <c r="K212" s="1250"/>
      <c r="L212" s="1292"/>
      <c r="M212" s="1292"/>
      <c r="N212" s="1293"/>
      <c r="O212" s="1330"/>
      <c r="P212" s="1327"/>
      <c r="Q212" s="1327"/>
      <c r="R212" s="1327"/>
      <c r="S212" s="1328"/>
      <c r="T212" s="1328"/>
      <c r="U212" s="1328"/>
      <c r="V212" s="1328"/>
      <c r="W212" s="1329"/>
      <c r="X212" s="1330"/>
      <c r="Y212" s="1327"/>
      <c r="Z212" s="1327"/>
      <c r="AA212" s="1327"/>
      <c r="AB212" s="1328"/>
      <c r="AC212" s="1328"/>
      <c r="AD212" s="1352"/>
      <c r="AE212" s="1328"/>
      <c r="AF212" s="1329"/>
      <c r="AG212" s="1330"/>
      <c r="AH212" s="1327"/>
      <c r="AI212" s="1327"/>
      <c r="AJ212" s="1328"/>
      <c r="AK212" s="1328"/>
      <c r="AL212" s="1328"/>
      <c r="AM212" s="1328"/>
      <c r="AN212" s="1328"/>
      <c r="AO212" s="1329"/>
      <c r="AP212" s="1330"/>
      <c r="AQ212" s="1327"/>
      <c r="AR212" s="1327"/>
      <c r="AS212" s="1327"/>
      <c r="AT212" s="1328"/>
      <c r="AU212" s="1328"/>
      <c r="AV212" s="1328"/>
      <c r="AW212" s="1328"/>
      <c r="AX212" s="1329"/>
      <c r="AY212" s="1294"/>
      <c r="AZ212" s="1327"/>
      <c r="BA212" s="1295"/>
      <c r="BB212" s="1327"/>
      <c r="BC212" s="1362"/>
      <c r="BD212" s="1328"/>
      <c r="BE212" s="1328"/>
      <c r="BF212" s="1328"/>
      <c r="BG212" s="1329"/>
      <c r="BH212" s="1294"/>
      <c r="BI212" s="1327"/>
      <c r="BJ212" s="1327"/>
      <c r="BK212" s="1295"/>
      <c r="BL212" s="1328"/>
      <c r="BM212" s="1328"/>
      <c r="BN212" s="1328"/>
      <c r="BO212" s="1328"/>
      <c r="BP212" s="1329"/>
      <c r="BQ212" s="1330"/>
      <c r="BR212" s="1327"/>
      <c r="BS212" s="1327"/>
      <c r="BT212" s="1327"/>
      <c r="BU212" s="1328"/>
      <c r="BV212" s="1328"/>
      <c r="BW212" s="1328"/>
      <c r="BX212" s="1328"/>
      <c r="BY212" s="1329"/>
      <c r="BZ212" s="1369"/>
      <c r="CA212" s="1250"/>
      <c r="CB212" s="1327"/>
      <c r="CC212" s="1250"/>
      <c r="CD212" s="1250"/>
      <c r="CE212" s="1250"/>
      <c r="CF212" s="1352"/>
      <c r="CG212" s="1352"/>
      <c r="CH212" s="1376"/>
      <c r="CI212" s="1467">
        <f t="shared" si="38"/>
        <v>0</v>
      </c>
      <c r="CJ212" s="1471"/>
      <c r="CK212" s="1409"/>
      <c r="CL212" s="1437">
        <f t="shared" si="39"/>
        <v>0</v>
      </c>
      <c r="CM212" s="1408"/>
      <c r="CN212" s="1439">
        <f t="shared" si="40"/>
        <v>0</v>
      </c>
      <c r="CP212" s="1500"/>
    </row>
    <row r="213" spans="1:95" s="283" customFormat="1" ht="21" thickBot="1">
      <c r="A213" s="1474"/>
      <c r="B213" s="1247"/>
      <c r="C213" s="1247"/>
      <c r="D213" s="1456"/>
      <c r="E213" s="1262"/>
      <c r="F213" s="1249"/>
      <c r="G213" s="1250"/>
      <c r="H213" s="1250"/>
      <c r="I213" s="1250"/>
      <c r="J213" s="1250"/>
      <c r="K213" s="1250"/>
      <c r="L213" s="1292"/>
      <c r="M213" s="1292"/>
      <c r="N213" s="1293"/>
      <c r="O213" s="1330"/>
      <c r="P213" s="1327"/>
      <c r="Q213" s="1327"/>
      <c r="R213" s="1327"/>
      <c r="S213" s="1328"/>
      <c r="T213" s="1328"/>
      <c r="U213" s="1328"/>
      <c r="V213" s="1328"/>
      <c r="W213" s="1329"/>
      <c r="X213" s="1330"/>
      <c r="Y213" s="1327"/>
      <c r="Z213" s="1327"/>
      <c r="AA213" s="1327"/>
      <c r="AB213" s="1328"/>
      <c r="AC213" s="1328"/>
      <c r="AD213" s="1352"/>
      <c r="AE213" s="1328"/>
      <c r="AF213" s="1329"/>
      <c r="AG213" s="1330"/>
      <c r="AH213" s="1327"/>
      <c r="AI213" s="1327"/>
      <c r="AJ213" s="1328"/>
      <c r="AK213" s="1328"/>
      <c r="AL213" s="1328"/>
      <c r="AM213" s="1328"/>
      <c r="AN213" s="1328"/>
      <c r="AO213" s="1329"/>
      <c r="AP213" s="1330"/>
      <c r="AQ213" s="1327"/>
      <c r="AR213" s="1327"/>
      <c r="AS213" s="1327"/>
      <c r="AT213" s="1328"/>
      <c r="AU213" s="1328"/>
      <c r="AV213" s="1328"/>
      <c r="AW213" s="1328"/>
      <c r="AX213" s="1329"/>
      <c r="AY213" s="1330"/>
      <c r="AZ213" s="1327"/>
      <c r="BA213" s="1295"/>
      <c r="BB213" s="1327"/>
      <c r="BC213" s="1362"/>
      <c r="BD213" s="1362"/>
      <c r="BE213" s="1328"/>
      <c r="BF213" s="1328"/>
      <c r="BG213" s="1329"/>
      <c r="BH213" s="1330"/>
      <c r="BI213" s="1327"/>
      <c r="BJ213" s="1327"/>
      <c r="BK213" s="1327"/>
      <c r="BL213" s="1328"/>
      <c r="BM213" s="1328"/>
      <c r="BN213" s="1328"/>
      <c r="BO213" s="1328"/>
      <c r="BP213" s="1329"/>
      <c r="BQ213" s="1330"/>
      <c r="BR213" s="1327"/>
      <c r="BS213" s="1327"/>
      <c r="BT213" s="1327"/>
      <c r="BU213" s="1328"/>
      <c r="BV213" s="1328"/>
      <c r="BW213" s="1328"/>
      <c r="BX213" s="1328"/>
      <c r="BY213" s="1329"/>
      <c r="BZ213" s="1369"/>
      <c r="CA213" s="1250"/>
      <c r="CB213" s="1327"/>
      <c r="CC213" s="1250"/>
      <c r="CD213" s="1250"/>
      <c r="CE213" s="1250"/>
      <c r="CF213" s="1352"/>
      <c r="CG213" s="1352"/>
      <c r="CH213" s="1376"/>
      <c r="CI213" s="1467">
        <f t="shared" si="38"/>
        <v>0</v>
      </c>
      <c r="CJ213" s="1471"/>
      <c r="CK213" s="1409"/>
      <c r="CL213" s="1437">
        <f t="shared" si="39"/>
        <v>0</v>
      </c>
      <c r="CM213" s="1408"/>
      <c r="CN213" s="3090">
        <f t="shared" si="40"/>
        <v>0</v>
      </c>
    </row>
    <row r="214" spans="1:95" s="283" customFormat="1" ht="21" thickBot="1">
      <c r="A214" s="326" t="s">
        <v>132</v>
      </c>
      <c r="B214" s="1457"/>
      <c r="C214" s="1457"/>
      <c r="D214" s="1265"/>
      <c r="E214" s="1444"/>
      <c r="F214" s="1445">
        <f>SUM(F182:F213)</f>
        <v>0</v>
      </c>
      <c r="G214" s="1445">
        <f t="shared" ref="G214:BQ214" si="41">SUM(G182:G213)</f>
        <v>0</v>
      </c>
      <c r="H214" s="1445">
        <f t="shared" si="41"/>
        <v>0</v>
      </c>
      <c r="I214" s="1445">
        <f t="shared" si="41"/>
        <v>0</v>
      </c>
      <c r="J214" s="1445">
        <f t="shared" si="41"/>
        <v>0</v>
      </c>
      <c r="K214" s="1445">
        <f t="shared" si="41"/>
        <v>0</v>
      </c>
      <c r="L214" s="1445">
        <f t="shared" si="41"/>
        <v>0</v>
      </c>
      <c r="M214" s="1445">
        <f t="shared" si="41"/>
        <v>0</v>
      </c>
      <c r="N214" s="1445">
        <f t="shared" si="41"/>
        <v>0</v>
      </c>
      <c r="O214" s="1445">
        <f t="shared" si="41"/>
        <v>0</v>
      </c>
      <c r="P214" s="1445">
        <f t="shared" si="41"/>
        <v>0</v>
      </c>
      <c r="Q214" s="1445">
        <f t="shared" si="41"/>
        <v>0</v>
      </c>
      <c r="R214" s="1445">
        <f t="shared" si="41"/>
        <v>0</v>
      </c>
      <c r="S214" s="1445">
        <f t="shared" si="41"/>
        <v>0</v>
      </c>
      <c r="T214" s="1445">
        <f t="shared" si="41"/>
        <v>0</v>
      </c>
      <c r="U214" s="1445">
        <f t="shared" si="41"/>
        <v>0</v>
      </c>
      <c r="V214" s="1445">
        <f t="shared" si="41"/>
        <v>0</v>
      </c>
      <c r="W214" s="1445">
        <f t="shared" si="41"/>
        <v>0</v>
      </c>
      <c r="X214" s="1445">
        <f t="shared" si="41"/>
        <v>0</v>
      </c>
      <c r="Y214" s="1445">
        <f t="shared" si="41"/>
        <v>0</v>
      </c>
      <c r="Z214" s="1445">
        <f t="shared" si="41"/>
        <v>0</v>
      </c>
      <c r="AA214" s="1445">
        <f t="shared" si="41"/>
        <v>0</v>
      </c>
      <c r="AB214" s="1445">
        <f t="shared" si="41"/>
        <v>0</v>
      </c>
      <c r="AC214" s="1445">
        <f t="shared" si="41"/>
        <v>0</v>
      </c>
      <c r="AD214" s="1445">
        <f t="shared" si="41"/>
        <v>0</v>
      </c>
      <c r="AE214" s="1445">
        <f t="shared" si="41"/>
        <v>0</v>
      </c>
      <c r="AF214" s="1445">
        <f t="shared" si="41"/>
        <v>0</v>
      </c>
      <c r="AG214" s="1445">
        <f t="shared" si="41"/>
        <v>0</v>
      </c>
      <c r="AH214" s="1445">
        <f t="shared" si="41"/>
        <v>0</v>
      </c>
      <c r="AI214" s="1445">
        <f t="shared" si="41"/>
        <v>0</v>
      </c>
      <c r="AJ214" s="1445">
        <f t="shared" si="41"/>
        <v>0</v>
      </c>
      <c r="AK214" s="1445">
        <f t="shared" si="41"/>
        <v>0</v>
      </c>
      <c r="AL214" s="1445">
        <f t="shared" si="41"/>
        <v>0</v>
      </c>
      <c r="AM214" s="1445">
        <f t="shared" si="41"/>
        <v>0</v>
      </c>
      <c r="AN214" s="1445">
        <f t="shared" si="41"/>
        <v>0</v>
      </c>
      <c r="AO214" s="1445">
        <f t="shared" si="41"/>
        <v>0</v>
      </c>
      <c r="AP214" s="1445">
        <f t="shared" si="41"/>
        <v>0</v>
      </c>
      <c r="AQ214" s="1445">
        <f t="shared" si="41"/>
        <v>0</v>
      </c>
      <c r="AR214" s="1445">
        <f t="shared" si="41"/>
        <v>0</v>
      </c>
      <c r="AS214" s="1445">
        <f t="shared" si="41"/>
        <v>0</v>
      </c>
      <c r="AT214" s="1445">
        <f t="shared" si="41"/>
        <v>0</v>
      </c>
      <c r="AU214" s="1445">
        <f t="shared" si="41"/>
        <v>0</v>
      </c>
      <c r="AV214" s="1445">
        <f t="shared" si="41"/>
        <v>0</v>
      </c>
      <c r="AW214" s="1445">
        <f t="shared" si="41"/>
        <v>0</v>
      </c>
      <c r="AX214" s="1445">
        <f t="shared" si="41"/>
        <v>0</v>
      </c>
      <c r="AY214" s="1445">
        <f>SUM(AY182:AY213)</f>
        <v>0</v>
      </c>
      <c r="AZ214" s="1445">
        <f t="shared" si="41"/>
        <v>0</v>
      </c>
      <c r="BA214" s="1445">
        <f t="shared" si="41"/>
        <v>0</v>
      </c>
      <c r="BB214" s="1445">
        <f t="shared" si="41"/>
        <v>0</v>
      </c>
      <c r="BC214" s="1445">
        <f t="shared" si="41"/>
        <v>0</v>
      </c>
      <c r="BD214" s="1445">
        <f t="shared" si="41"/>
        <v>0</v>
      </c>
      <c r="BE214" s="1445">
        <f t="shared" si="41"/>
        <v>0</v>
      </c>
      <c r="BF214" s="1445">
        <f t="shared" si="41"/>
        <v>0</v>
      </c>
      <c r="BG214" s="1445">
        <f t="shared" si="41"/>
        <v>0</v>
      </c>
      <c r="BH214" s="1445">
        <f t="shared" si="41"/>
        <v>0</v>
      </c>
      <c r="BI214" s="1445">
        <f t="shared" si="41"/>
        <v>0</v>
      </c>
      <c r="BJ214" s="1445">
        <f t="shared" si="41"/>
        <v>0</v>
      </c>
      <c r="BK214" s="1445">
        <f t="shared" si="41"/>
        <v>0</v>
      </c>
      <c r="BL214" s="1445">
        <f t="shared" si="41"/>
        <v>0</v>
      </c>
      <c r="BM214" s="1445">
        <f t="shared" si="41"/>
        <v>0</v>
      </c>
      <c r="BN214" s="1445">
        <f t="shared" si="41"/>
        <v>0</v>
      </c>
      <c r="BO214" s="1445">
        <f t="shared" si="41"/>
        <v>0</v>
      </c>
      <c r="BP214" s="1445">
        <f t="shared" si="41"/>
        <v>0</v>
      </c>
      <c r="BQ214" s="1445">
        <f t="shared" si="41"/>
        <v>0</v>
      </c>
      <c r="BR214" s="1445">
        <f t="shared" ref="BR214:CH214" si="42">SUM(BR182:BR213)</f>
        <v>0</v>
      </c>
      <c r="BS214" s="1445">
        <f t="shared" si="42"/>
        <v>0</v>
      </c>
      <c r="BT214" s="1445">
        <f t="shared" si="42"/>
        <v>0</v>
      </c>
      <c r="BU214" s="1445">
        <f t="shared" si="42"/>
        <v>0</v>
      </c>
      <c r="BV214" s="1445">
        <f t="shared" si="42"/>
        <v>0</v>
      </c>
      <c r="BW214" s="1445">
        <f t="shared" si="42"/>
        <v>0</v>
      </c>
      <c r="BX214" s="1445">
        <f t="shared" si="42"/>
        <v>0</v>
      </c>
      <c r="BY214" s="1445">
        <f t="shared" si="42"/>
        <v>0</v>
      </c>
      <c r="BZ214" s="1445">
        <f t="shared" si="42"/>
        <v>0</v>
      </c>
      <c r="CA214" s="1445">
        <f t="shared" si="42"/>
        <v>0</v>
      </c>
      <c r="CB214" s="1445">
        <f t="shared" si="42"/>
        <v>0</v>
      </c>
      <c r="CC214" s="1445">
        <f t="shared" si="42"/>
        <v>0</v>
      </c>
      <c r="CD214" s="1445">
        <f t="shared" si="42"/>
        <v>0</v>
      </c>
      <c r="CE214" s="1445">
        <f t="shared" si="42"/>
        <v>0</v>
      </c>
      <c r="CF214" s="1445">
        <f t="shared" si="42"/>
        <v>0</v>
      </c>
      <c r="CG214" s="1445">
        <f t="shared" si="42"/>
        <v>0</v>
      </c>
      <c r="CH214" s="1445">
        <f t="shared" si="42"/>
        <v>0</v>
      </c>
      <c r="CI214" s="2910">
        <f>SUM(CI182:CI213)</f>
        <v>0</v>
      </c>
      <c r="CJ214" s="2910">
        <f t="shared" ref="CJ214:CN214" si="43">SUM(CJ182:CJ213)</f>
        <v>0</v>
      </c>
      <c r="CK214" s="2910">
        <f t="shared" si="43"/>
        <v>0</v>
      </c>
      <c r="CL214" s="2910">
        <f t="shared" si="43"/>
        <v>0</v>
      </c>
      <c r="CM214" s="2910">
        <f t="shared" si="43"/>
        <v>0</v>
      </c>
      <c r="CN214" s="2910">
        <f t="shared" si="43"/>
        <v>0</v>
      </c>
    </row>
    <row r="215" spans="1:95" s="1227" customFormat="1" ht="19.5" thickBot="1">
      <c r="A215" s="289" t="s">
        <v>133</v>
      </c>
      <c r="B215" s="1272" t="s">
        <v>68</v>
      </c>
      <c r="C215" s="1272" t="s">
        <v>69</v>
      </c>
      <c r="D215" s="1273" t="s">
        <v>70</v>
      </c>
      <c r="E215" s="288"/>
      <c r="F215" s="743"/>
      <c r="G215" s="744"/>
      <c r="H215" s="744"/>
      <c r="I215" s="744"/>
      <c r="J215" s="744"/>
      <c r="K215" s="744"/>
      <c r="L215" s="914"/>
      <c r="M215" s="914"/>
      <c r="N215" s="1486"/>
      <c r="O215" s="743"/>
      <c r="P215" s="744"/>
      <c r="Q215" s="744"/>
      <c r="R215" s="744"/>
      <c r="S215" s="880"/>
      <c r="T215" s="744"/>
      <c r="U215" s="880"/>
      <c r="V215" s="936"/>
      <c r="W215" s="722"/>
      <c r="X215" s="743" t="s">
        <v>94</v>
      </c>
      <c r="Y215" s="744" t="s">
        <v>96</v>
      </c>
      <c r="Z215" s="744" t="s">
        <v>81</v>
      </c>
      <c r="AA215" s="744" t="s">
        <v>82</v>
      </c>
      <c r="AB215" s="880" t="s">
        <v>75</v>
      </c>
      <c r="AC215" s="744" t="s">
        <v>83</v>
      </c>
      <c r="AD215" s="744" t="s">
        <v>87</v>
      </c>
      <c r="AE215" s="936" t="s">
        <v>84</v>
      </c>
      <c r="AF215" s="2897"/>
      <c r="AG215" s="88" t="s">
        <v>85</v>
      </c>
      <c r="AH215" s="30" t="s">
        <v>86</v>
      </c>
      <c r="AI215" s="30" t="s">
        <v>77</v>
      </c>
      <c r="AJ215" s="89" t="s">
        <v>75</v>
      </c>
      <c r="AK215" s="30" t="s">
        <v>78</v>
      </c>
      <c r="AL215" s="89" t="s">
        <v>53</v>
      </c>
      <c r="AM215" s="112" t="s">
        <v>88</v>
      </c>
      <c r="AN215" s="936" t="s">
        <v>94</v>
      </c>
      <c r="AO215" s="2897"/>
      <c r="AP215" s="743" t="s">
        <v>86</v>
      </c>
      <c r="AQ215" s="744" t="s">
        <v>123</v>
      </c>
      <c r="AR215" s="744" t="s">
        <v>90</v>
      </c>
      <c r="AS215" s="744" t="s">
        <v>92</v>
      </c>
      <c r="AT215" s="880" t="s">
        <v>250</v>
      </c>
      <c r="AU215" s="744" t="s">
        <v>85</v>
      </c>
      <c r="AV215" s="880" t="s">
        <v>381</v>
      </c>
      <c r="AW215" s="936" t="s">
        <v>481</v>
      </c>
      <c r="AX215" s="2897"/>
      <c r="AY215" s="743" t="s">
        <v>82</v>
      </c>
      <c r="AZ215" s="744" t="s">
        <v>93</v>
      </c>
      <c r="BA215" s="744" t="s">
        <v>94</v>
      </c>
      <c r="BB215" s="744" t="s">
        <v>95</v>
      </c>
      <c r="BC215" s="880" t="s">
        <v>75</v>
      </c>
      <c r="BD215" s="744" t="s">
        <v>53</v>
      </c>
      <c r="BE215" s="880" t="s">
        <v>96</v>
      </c>
      <c r="BF215" s="936" t="s">
        <v>97</v>
      </c>
      <c r="BG215" s="2897"/>
      <c r="BH215" s="755"/>
      <c r="BI215" s="744"/>
      <c r="BJ215" s="744"/>
      <c r="BK215" s="50"/>
      <c r="BL215" s="1013"/>
      <c r="BM215" s="51" t="s">
        <v>466</v>
      </c>
      <c r="BN215" s="1344"/>
      <c r="BO215" s="936" t="s">
        <v>170</v>
      </c>
      <c r="BP215" s="2897"/>
      <c r="BQ215" s="743" t="s">
        <v>250</v>
      </c>
      <c r="BR215" s="744"/>
      <c r="BS215" s="744" t="s">
        <v>92</v>
      </c>
      <c r="BT215" s="744"/>
      <c r="BU215" s="880" t="s">
        <v>469</v>
      </c>
      <c r="BV215" s="744"/>
      <c r="BW215" s="880" t="s">
        <v>149</v>
      </c>
      <c r="BX215" s="936"/>
      <c r="BY215" s="288"/>
      <c r="BZ215" s="901"/>
      <c r="CA215" s="880"/>
      <c r="CB215" s="880"/>
      <c r="CC215" s="880"/>
      <c r="CD215" s="880"/>
      <c r="CE215" s="880"/>
      <c r="CF215" s="744"/>
      <c r="CG215" s="936"/>
      <c r="CH215" s="288"/>
      <c r="CI215" s="1391" t="s">
        <v>104</v>
      </c>
      <c r="CJ215" s="1344" t="s">
        <v>105</v>
      </c>
      <c r="CK215" s="1013"/>
      <c r="CL215" s="2897" t="s">
        <v>106</v>
      </c>
      <c r="CM215" s="1013" t="s">
        <v>107</v>
      </c>
      <c r="CN215" s="288" t="s">
        <v>108</v>
      </c>
      <c r="CO215" s="403"/>
      <c r="CP215" s="403"/>
      <c r="CQ215" s="403"/>
    </row>
    <row r="216" spans="1:95" s="1223" customFormat="1" ht="20.25">
      <c r="A216" s="430"/>
      <c r="B216" s="431"/>
      <c r="C216" s="431"/>
      <c r="D216" s="432"/>
      <c r="E216" s="1248"/>
      <c r="F216" s="1475"/>
      <c r="G216" s="1476"/>
      <c r="H216" s="1357"/>
      <c r="I216" s="1357"/>
      <c r="J216" s="1357"/>
      <c r="K216" s="1254"/>
      <c r="L216" s="1487"/>
      <c r="M216" s="1487"/>
      <c r="N216" s="1488"/>
      <c r="O216" s="1298"/>
      <c r="P216" s="1357"/>
      <c r="Q216" s="1357"/>
      <c r="R216" s="1357"/>
      <c r="S216" s="1333"/>
      <c r="T216" s="1333"/>
      <c r="U216" s="1333"/>
      <c r="V216" s="1333"/>
      <c r="W216" s="1491"/>
      <c r="X216" s="1298"/>
      <c r="Y216" s="1357"/>
      <c r="Z216" s="1357"/>
      <c r="AA216" s="1357"/>
      <c r="AB216" s="1333"/>
      <c r="AC216" s="1333"/>
      <c r="AD216" s="1353"/>
      <c r="AE216" s="1333"/>
      <c r="AF216" s="1491"/>
      <c r="AG216" s="1298"/>
      <c r="AH216" s="1357"/>
      <c r="AI216" s="1357"/>
      <c r="AJ216" s="1333"/>
      <c r="AK216" s="1333"/>
      <c r="AL216" s="1333"/>
      <c r="AM216" s="1333"/>
      <c r="AN216" s="1333"/>
      <c r="AO216" s="1491"/>
      <c r="AP216" s="1298"/>
      <c r="AQ216" s="1357"/>
      <c r="AR216" s="1357"/>
      <c r="AS216" s="1357"/>
      <c r="AT216" s="1333"/>
      <c r="AU216" s="1333"/>
      <c r="AV216" s="1333"/>
      <c r="AW216" s="1333"/>
      <c r="AX216" s="1491"/>
      <c r="AY216" s="1298"/>
      <c r="AZ216" s="1357"/>
      <c r="BA216" s="1357"/>
      <c r="BB216" s="1357"/>
      <c r="BC216" s="1333"/>
      <c r="BD216" s="1333"/>
      <c r="BE216" s="1333"/>
      <c r="BF216" s="1333"/>
      <c r="BG216" s="1491"/>
      <c r="BH216" s="1298"/>
      <c r="BI216" s="1357"/>
      <c r="BJ216" s="1357"/>
      <c r="BK216" s="1357"/>
      <c r="BL216" s="1333"/>
      <c r="BM216" s="1333"/>
      <c r="BN216" s="1333"/>
      <c r="BO216" s="1333"/>
      <c r="BP216" s="1491"/>
      <c r="BQ216" s="1298"/>
      <c r="BR216" s="1357"/>
      <c r="BS216" s="1357"/>
      <c r="BT216" s="1357"/>
      <c r="BU216" s="1333"/>
      <c r="BV216" s="1333"/>
      <c r="BW216" s="1333"/>
      <c r="BX216" s="1333"/>
      <c r="BY216" s="1491"/>
      <c r="BZ216" s="1298"/>
      <c r="CA216" s="1357"/>
      <c r="CB216" s="1357"/>
      <c r="CC216" s="1357"/>
      <c r="CD216" s="1357"/>
      <c r="CE216" s="1254"/>
      <c r="CF216" s="1333"/>
      <c r="CG216" s="1333"/>
      <c r="CH216" s="1491"/>
      <c r="CI216" s="1467">
        <f>SUM(F216:CG216)</f>
        <v>0</v>
      </c>
      <c r="CJ216" s="1501"/>
      <c r="CK216" s="1502"/>
      <c r="CL216" s="1503">
        <f t="shared" ref="CL216:CL219" si="44">CI216+CJ216</f>
        <v>0</v>
      </c>
      <c r="CM216" s="1502"/>
      <c r="CN216" s="1504">
        <f t="shared" ref="CN216:CN219" si="45">CL216+CM216</f>
        <v>0</v>
      </c>
    </row>
    <row r="217" spans="1:95" s="283" customFormat="1" ht="20.25">
      <c r="A217" s="430"/>
      <c r="B217" s="431"/>
      <c r="C217" s="431"/>
      <c r="D217" s="432"/>
      <c r="E217" s="1248"/>
      <c r="F217" s="1475"/>
      <c r="G217" s="1357"/>
      <c r="H217" s="1357"/>
      <c r="I217" s="1357"/>
      <c r="J217" s="1357"/>
      <c r="K217" s="1254"/>
      <c r="L217" s="1487"/>
      <c r="M217" s="1487"/>
      <c r="N217" s="1488"/>
      <c r="O217" s="1298"/>
      <c r="P217" s="1357"/>
      <c r="Q217" s="1357"/>
      <c r="R217" s="1357"/>
      <c r="S217" s="1333"/>
      <c r="T217" s="1333"/>
      <c r="U217" s="1333"/>
      <c r="V217" s="1333"/>
      <c r="W217" s="1491"/>
      <c r="X217" s="1298"/>
      <c r="Y217" s="1357"/>
      <c r="Z217" s="1357"/>
      <c r="AA217" s="1357"/>
      <c r="AB217" s="1333"/>
      <c r="AC217" s="1333"/>
      <c r="AD217" s="1353"/>
      <c r="AE217" s="1333"/>
      <c r="AF217" s="1491"/>
      <c r="AG217" s="1298"/>
      <c r="AH217" s="1357"/>
      <c r="AI217" s="1357"/>
      <c r="AJ217" s="1333"/>
      <c r="AK217" s="1333"/>
      <c r="AL217" s="1333"/>
      <c r="AM217" s="1333"/>
      <c r="AN217" s="1333"/>
      <c r="AO217" s="1491"/>
      <c r="AP217" s="1298"/>
      <c r="AQ217" s="1357"/>
      <c r="AR217" s="1357"/>
      <c r="AS217" s="1357"/>
      <c r="AT217" s="1333"/>
      <c r="AU217" s="1333"/>
      <c r="AV217" s="1333"/>
      <c r="AW217" s="1333"/>
      <c r="AX217" s="1491"/>
      <c r="AY217" s="1298"/>
      <c r="AZ217" s="1357"/>
      <c r="BA217" s="1357"/>
      <c r="BB217" s="1357"/>
      <c r="BC217" s="1333"/>
      <c r="BD217" s="1333"/>
      <c r="BE217" s="1333"/>
      <c r="BF217" s="1333"/>
      <c r="BG217" s="1491"/>
      <c r="BH217" s="1298"/>
      <c r="BI217" s="1357"/>
      <c r="BJ217" s="1357"/>
      <c r="BK217" s="1357"/>
      <c r="BL217" s="1333"/>
      <c r="BM217" s="1333"/>
      <c r="BN217" s="1333"/>
      <c r="BO217" s="1333"/>
      <c r="BP217" s="1491"/>
      <c r="BQ217" s="1298"/>
      <c r="BR217" s="1357"/>
      <c r="BS217" s="1357"/>
      <c r="BT217" s="1357"/>
      <c r="BU217" s="1333"/>
      <c r="BV217" s="1333"/>
      <c r="BW217" s="1333"/>
      <c r="BX217" s="1333"/>
      <c r="BY217" s="1491"/>
      <c r="BZ217" s="1298"/>
      <c r="CA217" s="1357"/>
      <c r="CB217" s="1357"/>
      <c r="CC217" s="1357"/>
      <c r="CD217" s="1357"/>
      <c r="CE217" s="1254"/>
      <c r="CF217" s="1333"/>
      <c r="CG217" s="1333"/>
      <c r="CH217" s="1491"/>
      <c r="CI217" s="1467">
        <f>SUM(F217:CG217)</f>
        <v>0</v>
      </c>
      <c r="CJ217" s="1501"/>
      <c r="CK217" s="1502"/>
      <c r="CL217" s="1503">
        <f t="shared" si="44"/>
        <v>0</v>
      </c>
      <c r="CM217" s="1502"/>
      <c r="CN217" s="1504">
        <f t="shared" si="45"/>
        <v>0</v>
      </c>
      <c r="CP217" s="1500"/>
    </row>
    <row r="218" spans="1:95" s="283" customFormat="1" ht="20.25">
      <c r="A218" s="430"/>
      <c r="B218" s="431"/>
      <c r="C218" s="431"/>
      <c r="D218" s="432"/>
      <c r="E218" s="1248"/>
      <c r="F218" s="1475"/>
      <c r="G218" s="1357"/>
      <c r="H218" s="1357"/>
      <c r="I218" s="1357"/>
      <c r="J218" s="1357"/>
      <c r="K218" s="1254"/>
      <c r="L218" s="1487"/>
      <c r="M218" s="1487"/>
      <c r="N218" s="1488"/>
      <c r="O218" s="1298"/>
      <c r="P218" s="1357"/>
      <c r="Q218" s="1357"/>
      <c r="R218" s="1357"/>
      <c r="S218" s="1333"/>
      <c r="T218" s="1333"/>
      <c r="U218" s="1333"/>
      <c r="V218" s="1333"/>
      <c r="W218" s="1491"/>
      <c r="X218" s="1298"/>
      <c r="Y218" s="1357"/>
      <c r="Z218" s="1357"/>
      <c r="AA218" s="1357"/>
      <c r="AB218" s="1333"/>
      <c r="AC218" s="1333"/>
      <c r="AD218" s="1353"/>
      <c r="AE218" s="1333"/>
      <c r="AF218" s="1491"/>
      <c r="AG218" s="1298"/>
      <c r="AH218" s="1357"/>
      <c r="AI218" s="1357"/>
      <c r="AJ218" s="1333"/>
      <c r="AK218" s="1333"/>
      <c r="AL218" s="1333"/>
      <c r="AM218" s="1333"/>
      <c r="AN218" s="1333"/>
      <c r="AO218" s="1491"/>
      <c r="AP218" s="1298"/>
      <c r="AQ218" s="1357"/>
      <c r="AR218" s="1357"/>
      <c r="AS218" s="1357"/>
      <c r="AT218" s="1333"/>
      <c r="AU218" s="1333"/>
      <c r="AV218" s="1333"/>
      <c r="AW218" s="1333"/>
      <c r="AX218" s="1491"/>
      <c r="AY218" s="1298"/>
      <c r="AZ218" s="1357"/>
      <c r="BA218" s="1357"/>
      <c r="BB218" s="1357"/>
      <c r="BC218" s="1333"/>
      <c r="BD218" s="1333"/>
      <c r="BE218" s="1333"/>
      <c r="BF218" s="1333"/>
      <c r="BG218" s="1491"/>
      <c r="BH218" s="1298"/>
      <c r="BI218" s="1357"/>
      <c r="BJ218" s="1357"/>
      <c r="BK218" s="1357"/>
      <c r="BL218" s="1333"/>
      <c r="BM218" s="1333"/>
      <c r="BN218" s="1333"/>
      <c r="BO218" s="1333"/>
      <c r="BP218" s="1491"/>
      <c r="BQ218" s="1298"/>
      <c r="BR218" s="1357"/>
      <c r="BS218" s="1357"/>
      <c r="BT218" s="1357"/>
      <c r="BU218" s="1333"/>
      <c r="BV218" s="1333"/>
      <c r="BW218" s="1333"/>
      <c r="BX218" s="1333"/>
      <c r="BY218" s="1491"/>
      <c r="BZ218" s="1298"/>
      <c r="CA218" s="1357"/>
      <c r="CB218" s="1357"/>
      <c r="CC218" s="1357"/>
      <c r="CD218" s="1357"/>
      <c r="CE218" s="1254"/>
      <c r="CF218" s="1333"/>
      <c r="CG218" s="1333"/>
      <c r="CH218" s="1491"/>
      <c r="CI218" s="1467">
        <f>SUM(F218:CG218)</f>
        <v>0</v>
      </c>
      <c r="CJ218" s="1501"/>
      <c r="CK218" s="1502"/>
      <c r="CL218" s="1503">
        <f t="shared" si="44"/>
        <v>0</v>
      </c>
      <c r="CM218" s="1502"/>
      <c r="CN218" s="1504">
        <f t="shared" si="45"/>
        <v>0</v>
      </c>
      <c r="CP218" s="1500"/>
    </row>
    <row r="219" spans="1:95" s="283" customFormat="1" ht="21" thickBot="1">
      <c r="A219" s="430"/>
      <c r="B219" s="431"/>
      <c r="C219" s="431"/>
      <c r="D219" s="432"/>
      <c r="E219" s="1248"/>
      <c r="F219" s="1475"/>
      <c r="G219" s="1357"/>
      <c r="H219" s="1357"/>
      <c r="I219" s="1357"/>
      <c r="J219" s="1357"/>
      <c r="K219" s="1254"/>
      <c r="L219" s="1487"/>
      <c r="M219" s="1487"/>
      <c r="N219" s="1488"/>
      <c r="O219" s="1298"/>
      <c r="P219" s="1357"/>
      <c r="Q219" s="1357"/>
      <c r="R219" s="1357"/>
      <c r="S219" s="1333"/>
      <c r="T219" s="1333"/>
      <c r="U219" s="1333"/>
      <c r="V219" s="1333"/>
      <c r="W219" s="1491"/>
      <c r="X219" s="1298"/>
      <c r="Y219" s="1357"/>
      <c r="Z219" s="1357"/>
      <c r="AA219" s="1357"/>
      <c r="AB219" s="1333"/>
      <c r="AC219" s="1333"/>
      <c r="AD219" s="1353"/>
      <c r="AE219" s="1333"/>
      <c r="AF219" s="1491"/>
      <c r="AG219" s="1298"/>
      <c r="AH219" s="1357"/>
      <c r="AI219" s="1357"/>
      <c r="AJ219" s="1333"/>
      <c r="AK219" s="1333"/>
      <c r="AL219" s="1333"/>
      <c r="AM219" s="1333"/>
      <c r="AN219" s="1333"/>
      <c r="AO219" s="1491"/>
      <c r="AP219" s="1298"/>
      <c r="AQ219" s="1357"/>
      <c r="AR219" s="1357"/>
      <c r="AS219" s="1357"/>
      <c r="AT219" s="1333"/>
      <c r="AU219" s="1333"/>
      <c r="AV219" s="1333"/>
      <c r="AW219" s="1333"/>
      <c r="AX219" s="1491"/>
      <c r="AY219" s="1298"/>
      <c r="AZ219" s="1357"/>
      <c r="BA219" s="1357"/>
      <c r="BB219" s="1357"/>
      <c r="BC219" s="1333"/>
      <c r="BD219" s="1333"/>
      <c r="BE219" s="1333"/>
      <c r="BF219" s="1333"/>
      <c r="BG219" s="1491"/>
      <c r="BH219" s="1298"/>
      <c r="BI219" s="1357"/>
      <c r="BJ219" s="1357"/>
      <c r="BK219" s="1357"/>
      <c r="BL219" s="1333"/>
      <c r="BM219" s="1333"/>
      <c r="BN219" s="1333"/>
      <c r="BO219" s="1333"/>
      <c r="BP219" s="1491"/>
      <c r="BQ219" s="1298"/>
      <c r="BR219" s="1357"/>
      <c r="BS219" s="1357"/>
      <c r="BT219" s="1357"/>
      <c r="BU219" s="1333"/>
      <c r="BV219" s="1333"/>
      <c r="BW219" s="1333"/>
      <c r="BX219" s="1333"/>
      <c r="BY219" s="1491"/>
      <c r="BZ219" s="1298"/>
      <c r="CA219" s="1357"/>
      <c r="CB219" s="1357"/>
      <c r="CC219" s="1357"/>
      <c r="CD219" s="1357"/>
      <c r="CE219" s="1254"/>
      <c r="CF219" s="1333"/>
      <c r="CG219" s="1333"/>
      <c r="CH219" s="1491"/>
      <c r="CI219" s="1467">
        <f>SUM(F219:CG219)</f>
        <v>0</v>
      </c>
      <c r="CJ219" s="1501"/>
      <c r="CK219" s="1502"/>
      <c r="CL219" s="1503">
        <f t="shared" si="44"/>
        <v>0</v>
      </c>
      <c r="CM219" s="1502"/>
      <c r="CN219" s="1504">
        <f t="shared" si="45"/>
        <v>0</v>
      </c>
      <c r="CP219" s="1500"/>
    </row>
    <row r="220" spans="1:95" s="283" customFormat="1" ht="21" thickBot="1">
      <c r="A220" s="1477" t="s">
        <v>134</v>
      </c>
      <c r="B220" s="1478"/>
      <c r="C220" s="1478"/>
      <c r="D220" s="1479"/>
      <c r="E220" s="1480"/>
      <c r="F220" s="1481">
        <f t="shared" ref="F220:M220" si="46">SUM(F216:F219)</f>
        <v>0</v>
      </c>
      <c r="G220" s="1481">
        <f t="shared" si="46"/>
        <v>0</v>
      </c>
      <c r="H220" s="1481">
        <f t="shared" si="46"/>
        <v>0</v>
      </c>
      <c r="I220" s="1481">
        <f t="shared" si="46"/>
        <v>0</v>
      </c>
      <c r="J220" s="1481">
        <f t="shared" si="46"/>
        <v>0</v>
      </c>
      <c r="K220" s="1481">
        <f t="shared" si="46"/>
        <v>0</v>
      </c>
      <c r="L220" s="1481">
        <f t="shared" si="46"/>
        <v>0</v>
      </c>
      <c r="M220" s="1481">
        <f t="shared" si="46"/>
        <v>0</v>
      </c>
      <c r="N220" s="1489"/>
      <c r="O220" s="1490">
        <f t="shared" ref="O220:V220" si="47">SUM(O216:O219)</f>
        <v>0</v>
      </c>
      <c r="P220" s="1481">
        <f t="shared" si="47"/>
        <v>0</v>
      </c>
      <c r="Q220" s="1481">
        <f t="shared" si="47"/>
        <v>0</v>
      </c>
      <c r="R220" s="1481">
        <f t="shared" si="47"/>
        <v>0</v>
      </c>
      <c r="S220" s="1481">
        <f t="shared" si="47"/>
        <v>0</v>
      </c>
      <c r="T220" s="1481">
        <f t="shared" si="47"/>
        <v>0</v>
      </c>
      <c r="U220" s="1481">
        <f t="shared" si="47"/>
        <v>0</v>
      </c>
      <c r="V220" s="1481">
        <f t="shared" si="47"/>
        <v>0</v>
      </c>
      <c r="W220" s="1492"/>
      <c r="X220" s="1490">
        <f t="shared" ref="X220:AE220" si="48">SUM(X216:X219)</f>
        <v>0</v>
      </c>
      <c r="Y220" s="1481">
        <f t="shared" si="48"/>
        <v>0</v>
      </c>
      <c r="Z220" s="1481">
        <f t="shared" si="48"/>
        <v>0</v>
      </c>
      <c r="AA220" s="1481">
        <f t="shared" si="48"/>
        <v>0</v>
      </c>
      <c r="AB220" s="1481">
        <f t="shared" si="48"/>
        <v>0</v>
      </c>
      <c r="AC220" s="1481">
        <f t="shared" si="48"/>
        <v>0</v>
      </c>
      <c r="AD220" s="1481">
        <f t="shared" si="48"/>
        <v>0</v>
      </c>
      <c r="AE220" s="1481">
        <f t="shared" si="48"/>
        <v>0</v>
      </c>
      <c r="AF220" s="1492"/>
      <c r="AG220" s="1490">
        <f t="shared" ref="AG220:AN220" si="49">SUM(AG216:AG219)</f>
        <v>0</v>
      </c>
      <c r="AH220" s="1481">
        <f t="shared" si="49"/>
        <v>0</v>
      </c>
      <c r="AI220" s="1481">
        <f t="shared" si="49"/>
        <v>0</v>
      </c>
      <c r="AJ220" s="1481">
        <f t="shared" si="49"/>
        <v>0</v>
      </c>
      <c r="AK220" s="1481">
        <f t="shared" si="49"/>
        <v>0</v>
      </c>
      <c r="AL220" s="1481">
        <f t="shared" si="49"/>
        <v>0</v>
      </c>
      <c r="AM220" s="1481">
        <f t="shared" si="49"/>
        <v>0</v>
      </c>
      <c r="AN220" s="1481">
        <f t="shared" si="49"/>
        <v>0</v>
      </c>
      <c r="AO220" s="1492"/>
      <c r="AP220" s="1490">
        <f t="shared" ref="AP220:AW220" si="50">SUM(AP216:AP219)</f>
        <v>0</v>
      </c>
      <c r="AQ220" s="1481">
        <f t="shared" si="50"/>
        <v>0</v>
      </c>
      <c r="AR220" s="1481">
        <f t="shared" si="50"/>
        <v>0</v>
      </c>
      <c r="AS220" s="1481">
        <f t="shared" si="50"/>
        <v>0</v>
      </c>
      <c r="AT220" s="1481">
        <f t="shared" si="50"/>
        <v>0</v>
      </c>
      <c r="AU220" s="1481">
        <f t="shared" si="50"/>
        <v>0</v>
      </c>
      <c r="AV220" s="1481">
        <f t="shared" si="50"/>
        <v>0</v>
      </c>
      <c r="AW220" s="1481">
        <f t="shared" si="50"/>
        <v>0</v>
      </c>
      <c r="AX220" s="1492"/>
      <c r="AY220" s="1490">
        <f t="shared" ref="AY220:BF220" si="51">SUM(AY216:AY219)</f>
        <v>0</v>
      </c>
      <c r="AZ220" s="1481">
        <f t="shared" si="51"/>
        <v>0</v>
      </c>
      <c r="BA220" s="1481">
        <f t="shared" si="51"/>
        <v>0</v>
      </c>
      <c r="BB220" s="1481">
        <f t="shared" si="51"/>
        <v>0</v>
      </c>
      <c r="BC220" s="1481">
        <f t="shared" si="51"/>
        <v>0</v>
      </c>
      <c r="BD220" s="1481">
        <f t="shared" si="51"/>
        <v>0</v>
      </c>
      <c r="BE220" s="1481">
        <f t="shared" si="51"/>
        <v>0</v>
      </c>
      <c r="BF220" s="1481">
        <f t="shared" si="51"/>
        <v>0</v>
      </c>
      <c r="BG220" s="1492"/>
      <c r="BH220" s="1490">
        <f t="shared" ref="BH220:BO220" si="52">SUM(BH216:BH219)</f>
        <v>0</v>
      </c>
      <c r="BI220" s="1481">
        <f t="shared" si="52"/>
        <v>0</v>
      </c>
      <c r="BJ220" s="1481">
        <f t="shared" si="52"/>
        <v>0</v>
      </c>
      <c r="BK220" s="1481">
        <f t="shared" si="52"/>
        <v>0</v>
      </c>
      <c r="BL220" s="1481">
        <f t="shared" si="52"/>
        <v>0</v>
      </c>
      <c r="BM220" s="1481">
        <f t="shared" si="52"/>
        <v>0</v>
      </c>
      <c r="BN220" s="1481">
        <f t="shared" si="52"/>
        <v>0</v>
      </c>
      <c r="BO220" s="1481">
        <f t="shared" si="52"/>
        <v>0</v>
      </c>
      <c r="BP220" s="1492"/>
      <c r="BQ220" s="1490">
        <f t="shared" ref="BQ220:BX220" si="53">SUM(BQ216:BQ219)</f>
        <v>0</v>
      </c>
      <c r="BR220" s="1481">
        <f t="shared" si="53"/>
        <v>0</v>
      </c>
      <c r="BS220" s="1481">
        <f t="shared" si="53"/>
        <v>0</v>
      </c>
      <c r="BT220" s="1481">
        <f t="shared" si="53"/>
        <v>0</v>
      </c>
      <c r="BU220" s="1481">
        <f t="shared" si="53"/>
        <v>0</v>
      </c>
      <c r="BV220" s="1481">
        <f t="shared" si="53"/>
        <v>0</v>
      </c>
      <c r="BW220" s="1481">
        <f t="shared" si="53"/>
        <v>0</v>
      </c>
      <c r="BX220" s="1481">
        <f t="shared" si="53"/>
        <v>0</v>
      </c>
      <c r="BY220" s="1492"/>
      <c r="BZ220" s="1490">
        <f t="shared" ref="BZ220:CG220" si="54">SUM(BZ216:BZ219)</f>
        <v>0</v>
      </c>
      <c r="CA220" s="1481">
        <f t="shared" si="54"/>
        <v>0</v>
      </c>
      <c r="CB220" s="1481">
        <f t="shared" si="54"/>
        <v>0</v>
      </c>
      <c r="CC220" s="1481">
        <f t="shared" si="54"/>
        <v>0</v>
      </c>
      <c r="CD220" s="1481">
        <f t="shared" si="54"/>
        <v>0</v>
      </c>
      <c r="CE220" s="1481">
        <f t="shared" si="54"/>
        <v>0</v>
      </c>
      <c r="CF220" s="1481">
        <f t="shared" si="54"/>
        <v>0</v>
      </c>
      <c r="CG220" s="1481">
        <f t="shared" si="54"/>
        <v>0</v>
      </c>
      <c r="CH220" s="1496"/>
      <c r="CI220" s="1497">
        <f>SUM(CI216:CI219)</f>
        <v>0</v>
      </c>
      <c r="CJ220" s="1505">
        <f>SUM(CJ216:CJ219)</f>
        <v>0</v>
      </c>
      <c r="CK220" s="1506"/>
      <c r="CL220" s="1497">
        <f>SUM(CL216:CL219)</f>
        <v>0</v>
      </c>
      <c r="CM220" s="1497">
        <f>SUM(CM216:CM219)</f>
        <v>0</v>
      </c>
      <c r="CN220" s="1497">
        <f>SUM(CN216:CN219)</f>
        <v>0</v>
      </c>
      <c r="CP220" s="1500"/>
    </row>
    <row r="221" spans="1:95" s="283" customFormat="1" ht="21" thickBot="1">
      <c r="A221" s="425"/>
      <c r="B221" s="1482"/>
      <c r="C221" s="1482"/>
      <c r="D221" s="1483"/>
      <c r="E221" s="1484"/>
      <c r="F221" s="1485"/>
      <c r="G221" s="1485"/>
      <c r="H221" s="1485"/>
      <c r="I221" s="1485"/>
      <c r="J221" s="1485"/>
      <c r="K221" s="1485"/>
      <c r="L221" s="1485"/>
      <c r="M221" s="1485"/>
      <c r="N221" s="1485"/>
      <c r="O221" s="1485"/>
      <c r="P221" s="1485"/>
      <c r="Q221" s="1485"/>
      <c r="R221" s="1485"/>
      <c r="S221" s="1485"/>
      <c r="T221" s="1485"/>
      <c r="U221" s="1485"/>
      <c r="V221" s="1485"/>
      <c r="W221" s="1493"/>
      <c r="X221" s="1485"/>
      <c r="Y221" s="1485"/>
      <c r="Z221" s="1485"/>
      <c r="AA221" s="1485"/>
      <c r="AB221" s="1485"/>
      <c r="AC221" s="1485"/>
      <c r="AD221" s="1485"/>
      <c r="AE221" s="1485"/>
      <c r="AF221" s="1493"/>
      <c r="AG221" s="1485"/>
      <c r="AH221" s="1485"/>
      <c r="AI221" s="1485"/>
      <c r="AJ221" s="1485"/>
      <c r="AK221" s="1485"/>
      <c r="AL221" s="1485"/>
      <c r="AM221" s="1485"/>
      <c r="AN221" s="1485"/>
      <c r="AO221" s="1493"/>
      <c r="AP221" s="1485"/>
      <c r="AQ221" s="1485"/>
      <c r="AR221" s="1485"/>
      <c r="AS221" s="1485"/>
      <c r="AT221" s="1485"/>
      <c r="AU221" s="1485"/>
      <c r="AV221" s="1485"/>
      <c r="AW221" s="1485"/>
      <c r="AX221" s="1493"/>
      <c r="AY221" s="1485"/>
      <c r="AZ221" s="1485"/>
      <c r="BA221" s="1485"/>
      <c r="BB221" s="1485"/>
      <c r="BC221" s="1485"/>
      <c r="BD221" s="1485"/>
      <c r="BE221" s="1485"/>
      <c r="BF221" s="1485"/>
      <c r="BG221" s="1493"/>
      <c r="BH221" s="1485"/>
      <c r="BI221" s="1485"/>
      <c r="BJ221" s="1485"/>
      <c r="BK221" s="1485"/>
      <c r="BL221" s="1485"/>
      <c r="BM221" s="1485"/>
      <c r="BN221" s="1485"/>
      <c r="BO221" s="1485"/>
      <c r="BP221" s="1493"/>
      <c r="BQ221" s="1485"/>
      <c r="BR221" s="1485"/>
      <c r="BS221" s="1485"/>
      <c r="BT221" s="1485"/>
      <c r="BU221" s="1485"/>
      <c r="BV221" s="1485"/>
      <c r="BW221" s="1485"/>
      <c r="BX221" s="1485"/>
      <c r="BY221" s="1493"/>
      <c r="BZ221" s="1485"/>
      <c r="CA221" s="1485"/>
      <c r="CB221" s="1485"/>
      <c r="CC221" s="1485"/>
      <c r="CD221" s="1485"/>
      <c r="CE221" s="1485"/>
      <c r="CF221" s="1485"/>
      <c r="CG221" s="1485"/>
      <c r="CH221" s="1498"/>
      <c r="CI221" s="1499"/>
      <c r="CJ221" s="1507"/>
      <c r="CK221" s="1508"/>
      <c r="CL221" s="1499"/>
      <c r="CM221" s="1499"/>
      <c r="CN221" s="1499"/>
      <c r="CP221" s="1500"/>
    </row>
    <row r="222" spans="1:95" s="283" customFormat="1" ht="18.75" thickBot="1">
      <c r="A222" s="441" t="s">
        <v>135</v>
      </c>
      <c r="B222" s="1272" t="s">
        <v>68</v>
      </c>
      <c r="C222" s="1272" t="s">
        <v>69</v>
      </c>
      <c r="D222" s="1273" t="s">
        <v>70</v>
      </c>
      <c r="E222" s="288"/>
      <c r="F222" s="743" t="s">
        <v>71</v>
      </c>
      <c r="G222" s="744" t="s">
        <v>533</v>
      </c>
      <c r="H222" s="744" t="s">
        <v>118</v>
      </c>
      <c r="I222" s="49" t="s">
        <v>94</v>
      </c>
      <c r="J222" s="744" t="s">
        <v>75</v>
      </c>
      <c r="K222" s="49" t="s">
        <v>76</v>
      </c>
      <c r="L222" s="914" t="s">
        <v>77</v>
      </c>
      <c r="M222" s="1279" t="s">
        <v>53</v>
      </c>
      <c r="N222" s="1486"/>
      <c r="O222" s="743" t="s">
        <v>71</v>
      </c>
      <c r="P222" s="744" t="s">
        <v>72</v>
      </c>
      <c r="Q222" s="744" t="s">
        <v>78</v>
      </c>
      <c r="R222" s="744" t="s">
        <v>74</v>
      </c>
      <c r="S222" s="880" t="s">
        <v>75</v>
      </c>
      <c r="T222" s="744" t="s">
        <v>79</v>
      </c>
      <c r="U222" s="880" t="s">
        <v>77</v>
      </c>
      <c r="V222" s="936" t="s">
        <v>101</v>
      </c>
      <c r="W222" s="722"/>
      <c r="X222" s="743" t="s">
        <v>94</v>
      </c>
      <c r="Y222" s="744" t="s">
        <v>96</v>
      </c>
      <c r="Z222" s="744" t="s">
        <v>81</v>
      </c>
      <c r="AA222" s="744" t="s">
        <v>82</v>
      </c>
      <c r="AB222" s="880" t="s">
        <v>75</v>
      </c>
      <c r="AC222" s="744" t="s">
        <v>83</v>
      </c>
      <c r="AD222" s="744" t="s">
        <v>87</v>
      </c>
      <c r="AE222" s="936" t="s">
        <v>84</v>
      </c>
      <c r="AF222" s="2897"/>
      <c r="AG222" s="88" t="s">
        <v>85</v>
      </c>
      <c r="AH222" s="30" t="s">
        <v>86</v>
      </c>
      <c r="AI222" s="30" t="s">
        <v>77</v>
      </c>
      <c r="AJ222" s="89" t="s">
        <v>75</v>
      </c>
      <c r="AK222" s="30" t="s">
        <v>78</v>
      </c>
      <c r="AL222" s="89" t="s">
        <v>53</v>
      </c>
      <c r="AM222" s="112" t="s">
        <v>88</v>
      </c>
      <c r="AN222" s="936" t="s">
        <v>94</v>
      </c>
      <c r="AO222" s="2897"/>
      <c r="AP222" s="743" t="s">
        <v>86</v>
      </c>
      <c r="AQ222" s="744" t="s">
        <v>89</v>
      </c>
      <c r="AR222" s="744" t="s">
        <v>90</v>
      </c>
      <c r="AS222" s="744" t="s">
        <v>92</v>
      </c>
      <c r="AT222" s="880" t="s">
        <v>250</v>
      </c>
      <c r="AU222" s="744" t="s">
        <v>85</v>
      </c>
      <c r="AV222" s="880" t="s">
        <v>381</v>
      </c>
      <c r="AW222" s="936" t="s">
        <v>481</v>
      </c>
      <c r="AX222" s="2897"/>
      <c r="AY222" s="743" t="s">
        <v>82</v>
      </c>
      <c r="AZ222" s="744" t="s">
        <v>93</v>
      </c>
      <c r="BA222" s="744" t="s">
        <v>94</v>
      </c>
      <c r="BB222" s="744" t="s">
        <v>95</v>
      </c>
      <c r="BC222" s="880" t="s">
        <v>75</v>
      </c>
      <c r="BD222" s="744" t="s">
        <v>53</v>
      </c>
      <c r="BE222" s="880" t="s">
        <v>96</v>
      </c>
      <c r="BF222" s="936" t="s">
        <v>97</v>
      </c>
      <c r="BG222" s="2897"/>
      <c r="BH222" s="755" t="s">
        <v>71</v>
      </c>
      <c r="BI222" s="744" t="s">
        <v>465</v>
      </c>
      <c r="BJ222" s="744" t="s">
        <v>136</v>
      </c>
      <c r="BK222" s="50" t="s">
        <v>74</v>
      </c>
      <c r="BL222" s="1013" t="s">
        <v>75</v>
      </c>
      <c r="BM222" s="51" t="s">
        <v>41</v>
      </c>
      <c r="BN222" s="1344" t="s">
        <v>77</v>
      </c>
      <c r="BO222" s="936" t="s">
        <v>170</v>
      </c>
      <c r="BP222" s="2897"/>
      <c r="BQ222" s="743" t="s">
        <v>250</v>
      </c>
      <c r="BR222" s="744"/>
      <c r="BS222" s="744" t="s">
        <v>92</v>
      </c>
      <c r="BT222" s="744"/>
      <c r="BU222" s="880" t="s">
        <v>469</v>
      </c>
      <c r="BV222" s="744"/>
      <c r="BW222" s="880" t="s">
        <v>149</v>
      </c>
      <c r="BX222" s="936"/>
      <c r="BY222" s="288"/>
      <c r="BZ222" s="1365" t="s">
        <v>80</v>
      </c>
      <c r="CA222" s="880" t="s">
        <v>72</v>
      </c>
      <c r="CB222" s="880" t="s">
        <v>118</v>
      </c>
      <c r="CC222" s="1318" t="s">
        <v>103</v>
      </c>
      <c r="CD222" s="880" t="s">
        <v>75</v>
      </c>
      <c r="CE222" s="880" t="s">
        <v>53</v>
      </c>
      <c r="CF222" s="744" t="s">
        <v>77</v>
      </c>
      <c r="CG222" s="1279" t="s">
        <v>93</v>
      </c>
      <c r="CH222" s="288"/>
      <c r="CI222" s="1391" t="s">
        <v>104</v>
      </c>
      <c r="CJ222" s="1344" t="s">
        <v>105</v>
      </c>
      <c r="CK222" s="1013"/>
      <c r="CL222" s="2897" t="s">
        <v>106</v>
      </c>
      <c r="CM222" s="1013" t="s">
        <v>107</v>
      </c>
      <c r="CN222" s="288" t="s">
        <v>108</v>
      </c>
    </row>
    <row r="223" spans="1:95" s="1227" customFormat="1" ht="20.25">
      <c r="A223" s="322" t="s">
        <v>137</v>
      </c>
      <c r="B223" s="431"/>
      <c r="C223" s="431" t="s">
        <v>138</v>
      </c>
      <c r="D223" s="432"/>
      <c r="E223" s="1248"/>
      <c r="F223" s="1475"/>
      <c r="G223" s="1357"/>
      <c r="H223" s="1357"/>
      <c r="I223" s="1357"/>
      <c r="J223" s="1357"/>
      <c r="K223" s="1254"/>
      <c r="L223" s="1487"/>
      <c r="M223" s="1487"/>
      <c r="N223" s="1488"/>
      <c r="O223" s="1309"/>
      <c r="P223" s="1359"/>
      <c r="Q223" s="1359"/>
      <c r="R223" s="1359"/>
      <c r="S223" s="1494"/>
      <c r="T223" s="1494"/>
      <c r="U223" s="1494"/>
      <c r="V223" s="1494"/>
      <c r="W223" s="1491"/>
      <c r="X223" s="1309"/>
      <c r="Y223" s="1359"/>
      <c r="Z223" s="1359"/>
      <c r="AA223" s="1359"/>
      <c r="AB223" s="1494"/>
      <c r="AC223" s="1494"/>
      <c r="AD223" s="1495"/>
      <c r="AE223" s="1494"/>
      <c r="AF223" s="1491"/>
      <c r="AG223" s="1298"/>
      <c r="AH223" s="1357"/>
      <c r="AI223" s="1357"/>
      <c r="AJ223" s="1333"/>
      <c r="AK223" s="1333"/>
      <c r="AL223" s="1333"/>
      <c r="AM223" s="1333"/>
      <c r="AN223" s="1333"/>
      <c r="AO223" s="1491"/>
      <c r="AP223" s="1298"/>
      <c r="AQ223" s="1357"/>
      <c r="AR223" s="1357"/>
      <c r="AS223" s="1357"/>
      <c r="AT223" s="1333"/>
      <c r="AU223" s="1333"/>
      <c r="AV223" s="1333"/>
      <c r="AW223" s="1333"/>
      <c r="AX223" s="1491"/>
      <c r="AY223" s="1298"/>
      <c r="AZ223" s="1357"/>
      <c r="BA223" s="1357"/>
      <c r="BB223" s="1357"/>
      <c r="BC223" s="1333"/>
      <c r="BD223" s="1333"/>
      <c r="BE223" s="1333"/>
      <c r="BF223" s="1333"/>
      <c r="BG223" s="1491"/>
      <c r="BH223" s="1298"/>
      <c r="BI223" s="1357"/>
      <c r="BJ223" s="1357"/>
      <c r="BK223" s="1357"/>
      <c r="BL223" s="1333"/>
      <c r="BM223" s="1333"/>
      <c r="BN223" s="1333"/>
      <c r="BO223" s="1333"/>
      <c r="BP223" s="1491"/>
      <c r="BQ223" s="1298"/>
      <c r="BR223" s="1357"/>
      <c r="BS223" s="1357"/>
      <c r="BT223" s="1357"/>
      <c r="BU223" s="1333"/>
      <c r="BV223" s="1333"/>
      <c r="BW223" s="1333"/>
      <c r="BX223" s="1333"/>
      <c r="BY223" s="1491"/>
      <c r="BZ223" s="1298"/>
      <c r="CA223" s="1357"/>
      <c r="CB223" s="1357"/>
      <c r="CC223" s="1357"/>
      <c r="CD223" s="1357"/>
      <c r="CE223" s="1254"/>
      <c r="CF223" s="1333"/>
      <c r="CG223" s="1333"/>
      <c r="CH223" s="1491"/>
      <c r="CI223" s="1467">
        <f>SUM(F223:CG223)</f>
        <v>0</v>
      </c>
      <c r="CJ223" s="1501"/>
      <c r="CK223" s="1502"/>
      <c r="CL223" s="1503">
        <f t="shared" ref="CL223:CL227" si="55">CI223+CJ223</f>
        <v>0</v>
      </c>
      <c r="CM223" s="1502"/>
      <c r="CN223" s="1504">
        <f>CL223+CM223</f>
        <v>0</v>
      </c>
      <c r="CO223" s="403"/>
      <c r="CP223" s="403"/>
      <c r="CQ223" s="403"/>
    </row>
    <row r="224" spans="1:95" s="1223" customFormat="1" ht="20.25">
      <c r="A224" s="430"/>
      <c r="B224" s="431"/>
      <c r="C224" s="431"/>
      <c r="D224" s="432"/>
      <c r="E224" s="1248"/>
      <c r="F224" s="1475"/>
      <c r="G224" s="1357"/>
      <c r="H224" s="1357"/>
      <c r="I224" s="1357"/>
      <c r="J224" s="1357"/>
      <c r="K224" s="1254"/>
      <c r="L224" s="1487"/>
      <c r="M224" s="1487"/>
      <c r="N224" s="1488"/>
      <c r="O224" s="1298"/>
      <c r="P224" s="1357"/>
      <c r="Q224" s="1357"/>
      <c r="R224" s="1357"/>
      <c r="S224" s="1333"/>
      <c r="T224" s="1333"/>
      <c r="U224" s="1333"/>
      <c r="V224" s="1333"/>
      <c r="W224" s="1491"/>
      <c r="X224" s="1298"/>
      <c r="Y224" s="1357"/>
      <c r="Z224" s="1357"/>
      <c r="AA224" s="1357"/>
      <c r="AB224" s="1333"/>
      <c r="AC224" s="1333"/>
      <c r="AD224" s="1353"/>
      <c r="AE224" s="1333"/>
      <c r="AF224" s="1491"/>
      <c r="AG224" s="1298"/>
      <c r="AH224" s="1357"/>
      <c r="AI224" s="1357"/>
      <c r="AJ224" s="1333"/>
      <c r="AK224" s="1333"/>
      <c r="AL224" s="1333"/>
      <c r="AM224" s="1333"/>
      <c r="AN224" s="1333"/>
      <c r="AO224" s="1491"/>
      <c r="AP224" s="1298"/>
      <c r="AQ224" s="1357"/>
      <c r="AR224" s="1357"/>
      <c r="AS224" s="1357"/>
      <c r="AT224" s="1333"/>
      <c r="AU224" s="1333"/>
      <c r="AV224" s="1333"/>
      <c r="AW224" s="1333"/>
      <c r="AX224" s="1491"/>
      <c r="AY224" s="1298"/>
      <c r="AZ224" s="1357"/>
      <c r="BA224" s="1357"/>
      <c r="BB224" s="1357"/>
      <c r="BC224" s="1333"/>
      <c r="BD224" s="1333"/>
      <c r="BE224" s="1333"/>
      <c r="BF224" s="1333"/>
      <c r="BG224" s="1491"/>
      <c r="BH224" s="1298"/>
      <c r="BI224" s="1357"/>
      <c r="BJ224" s="1357"/>
      <c r="BK224" s="1357"/>
      <c r="BL224" s="1333"/>
      <c r="BM224" s="1333"/>
      <c r="BN224" s="1333"/>
      <c r="BO224" s="1333"/>
      <c r="BP224" s="1491"/>
      <c r="BQ224" s="1298"/>
      <c r="BR224" s="1357"/>
      <c r="BS224" s="1357"/>
      <c r="BT224" s="1357"/>
      <c r="BU224" s="1333"/>
      <c r="BV224" s="1333"/>
      <c r="BW224" s="1333"/>
      <c r="BX224" s="1333"/>
      <c r="BY224" s="1491"/>
      <c r="BZ224" s="1298"/>
      <c r="CA224" s="1357"/>
      <c r="CB224" s="1357"/>
      <c r="CC224" s="1357"/>
      <c r="CD224" s="1357"/>
      <c r="CE224" s="1254"/>
      <c r="CF224" s="1333"/>
      <c r="CG224" s="1333"/>
      <c r="CH224" s="1491"/>
      <c r="CI224" s="1467">
        <f>SUM(F224:CG224)</f>
        <v>0</v>
      </c>
      <c r="CJ224" s="1501"/>
      <c r="CK224" s="1502"/>
      <c r="CL224" s="1503">
        <f t="shared" si="55"/>
        <v>0</v>
      </c>
      <c r="CM224" s="1502"/>
      <c r="CN224" s="1504">
        <f t="shared" ref="CN224:CN227" si="56">CL224+CM224</f>
        <v>0</v>
      </c>
    </row>
    <row r="225" spans="1:95" s="283" customFormat="1" ht="20.25">
      <c r="A225" s="430"/>
      <c r="B225" s="431"/>
      <c r="C225" s="431"/>
      <c r="D225" s="432"/>
      <c r="E225" s="1248"/>
      <c r="F225" s="1475"/>
      <c r="G225" s="1357"/>
      <c r="H225" s="1357"/>
      <c r="I225" s="1357"/>
      <c r="J225" s="1357"/>
      <c r="K225" s="1254"/>
      <c r="L225" s="1487"/>
      <c r="M225" s="1487"/>
      <c r="N225" s="1488"/>
      <c r="O225" s="1298"/>
      <c r="P225" s="1357"/>
      <c r="Q225" s="1357"/>
      <c r="R225" s="1357"/>
      <c r="S225" s="1333"/>
      <c r="T225" s="1333"/>
      <c r="U225" s="1333"/>
      <c r="V225" s="1333"/>
      <c r="W225" s="1491"/>
      <c r="X225" s="1298"/>
      <c r="Y225" s="1357"/>
      <c r="Z225" s="1357"/>
      <c r="AA225" s="1357"/>
      <c r="AB225" s="1333"/>
      <c r="AC225" s="1333"/>
      <c r="AD225" s="1353"/>
      <c r="AE225" s="1333"/>
      <c r="AF225" s="1491"/>
      <c r="AG225" s="1298"/>
      <c r="AH225" s="1357"/>
      <c r="AI225" s="1357"/>
      <c r="AJ225" s="1333"/>
      <c r="AK225" s="1333"/>
      <c r="AL225" s="1333"/>
      <c r="AM225" s="1333"/>
      <c r="AN225" s="1333"/>
      <c r="AO225" s="1491"/>
      <c r="AP225" s="1298"/>
      <c r="AQ225" s="1357"/>
      <c r="AR225" s="1357"/>
      <c r="AS225" s="1357"/>
      <c r="AT225" s="1333"/>
      <c r="AU225" s="1333"/>
      <c r="AV225" s="1333"/>
      <c r="AW225" s="1333"/>
      <c r="AX225" s="1491"/>
      <c r="AY225" s="1298"/>
      <c r="AZ225" s="1357"/>
      <c r="BA225" s="1357"/>
      <c r="BB225" s="1357"/>
      <c r="BC225" s="1333"/>
      <c r="BD225" s="1333"/>
      <c r="BE225" s="1333"/>
      <c r="BF225" s="1333"/>
      <c r="BG225" s="1491"/>
      <c r="BH225" s="1298"/>
      <c r="BI225" s="1357"/>
      <c r="BJ225" s="1357"/>
      <c r="BK225" s="1357"/>
      <c r="BL225" s="1333"/>
      <c r="BM225" s="1333"/>
      <c r="BN225" s="1333"/>
      <c r="BO225" s="1333"/>
      <c r="BP225" s="1491"/>
      <c r="BQ225" s="1298"/>
      <c r="BR225" s="1357"/>
      <c r="BS225" s="1357"/>
      <c r="BT225" s="1357"/>
      <c r="BU225" s="1333"/>
      <c r="BV225" s="1333"/>
      <c r="BW225" s="1333"/>
      <c r="BX225" s="1333"/>
      <c r="BY225" s="1491"/>
      <c r="BZ225" s="1298"/>
      <c r="CA225" s="1357"/>
      <c r="CB225" s="1357"/>
      <c r="CC225" s="1357"/>
      <c r="CD225" s="1357"/>
      <c r="CE225" s="1254"/>
      <c r="CF225" s="1333"/>
      <c r="CG225" s="1333"/>
      <c r="CH225" s="1491"/>
      <c r="CI225" s="1467">
        <f>SUM(F225:CG225)</f>
        <v>0</v>
      </c>
      <c r="CJ225" s="1501"/>
      <c r="CK225" s="1502"/>
      <c r="CL225" s="1503">
        <f t="shared" si="55"/>
        <v>0</v>
      </c>
      <c r="CM225" s="1502"/>
      <c r="CN225" s="1504">
        <f t="shared" si="56"/>
        <v>0</v>
      </c>
      <c r="CP225" s="1500"/>
    </row>
    <row r="226" spans="1:95" s="283" customFormat="1" ht="20.25">
      <c r="A226" s="430"/>
      <c r="B226" s="431"/>
      <c r="C226" s="431"/>
      <c r="D226" s="432"/>
      <c r="E226" s="1248"/>
      <c r="F226" s="1475"/>
      <c r="G226" s="1357"/>
      <c r="H226" s="1357"/>
      <c r="I226" s="1357"/>
      <c r="J226" s="1357"/>
      <c r="K226" s="1254"/>
      <c r="L226" s="1487"/>
      <c r="M226" s="1487"/>
      <c r="N226" s="1488"/>
      <c r="O226" s="1298"/>
      <c r="P226" s="1357"/>
      <c r="Q226" s="1357"/>
      <c r="R226" s="1357"/>
      <c r="S226" s="1333"/>
      <c r="T226" s="1333"/>
      <c r="U226" s="1333"/>
      <c r="V226" s="1333"/>
      <c r="W226" s="1491"/>
      <c r="X226" s="1298"/>
      <c r="Y226" s="1357"/>
      <c r="Z226" s="1357"/>
      <c r="AA226" s="1357"/>
      <c r="AB226" s="1333"/>
      <c r="AC226" s="1333"/>
      <c r="AD226" s="1353"/>
      <c r="AE226" s="1333"/>
      <c r="AF226" s="1491"/>
      <c r="AG226" s="1298"/>
      <c r="AH226" s="1357"/>
      <c r="AI226" s="1357"/>
      <c r="AJ226" s="1333"/>
      <c r="AK226" s="1333"/>
      <c r="AL226" s="1333"/>
      <c r="AM226" s="1333"/>
      <c r="AN226" s="1333"/>
      <c r="AO226" s="1491"/>
      <c r="AP226" s="1298"/>
      <c r="AQ226" s="1357"/>
      <c r="AR226" s="1357"/>
      <c r="AS226" s="1357"/>
      <c r="AT226" s="1333"/>
      <c r="AU226" s="1333"/>
      <c r="AV226" s="1333"/>
      <c r="AW226" s="1333"/>
      <c r="AX226" s="1491"/>
      <c r="AY226" s="1298"/>
      <c r="AZ226" s="1357"/>
      <c r="BA226" s="1357"/>
      <c r="BB226" s="1357"/>
      <c r="BC226" s="1333"/>
      <c r="BD226" s="1333"/>
      <c r="BE226" s="1333"/>
      <c r="BF226" s="1333"/>
      <c r="BG226" s="1491"/>
      <c r="BH226" s="1298"/>
      <c r="BI226" s="1357"/>
      <c r="BJ226" s="1357"/>
      <c r="BK226" s="1357"/>
      <c r="BL226" s="1333"/>
      <c r="BM226" s="1333"/>
      <c r="BN226" s="1333"/>
      <c r="BO226" s="1333"/>
      <c r="BP226" s="1491"/>
      <c r="BQ226" s="1298"/>
      <c r="BR226" s="1357"/>
      <c r="BS226" s="1357"/>
      <c r="BT226" s="1357"/>
      <c r="BU226" s="1333"/>
      <c r="BV226" s="1333"/>
      <c r="BW226" s="1333"/>
      <c r="BX226" s="1333"/>
      <c r="BY226" s="1491"/>
      <c r="BZ226" s="1298"/>
      <c r="CA226" s="1357"/>
      <c r="CB226" s="1357"/>
      <c r="CC226" s="1357"/>
      <c r="CD226" s="1357"/>
      <c r="CE226" s="1254"/>
      <c r="CF226" s="1333"/>
      <c r="CG226" s="1333"/>
      <c r="CH226" s="1491"/>
      <c r="CI226" s="1467">
        <f>SUM(F226:CG226)</f>
        <v>0</v>
      </c>
      <c r="CJ226" s="1501"/>
      <c r="CK226" s="1502"/>
      <c r="CL226" s="1503">
        <f t="shared" si="55"/>
        <v>0</v>
      </c>
      <c r="CM226" s="1502"/>
      <c r="CN226" s="1504">
        <f t="shared" si="56"/>
        <v>0</v>
      </c>
      <c r="CP226" s="1500"/>
    </row>
    <row r="227" spans="1:95" s="283" customFormat="1" ht="21" thickBot="1">
      <c r="A227" s="430"/>
      <c r="B227" s="431"/>
      <c r="C227" s="431"/>
      <c r="D227" s="432"/>
      <c r="E227" s="1248"/>
      <c r="F227" s="1475"/>
      <c r="G227" s="1357"/>
      <c r="H227" s="1357"/>
      <c r="I227" s="1357"/>
      <c r="J227" s="1357"/>
      <c r="K227" s="1254"/>
      <c r="L227" s="1487"/>
      <c r="M227" s="1487"/>
      <c r="N227" s="1488"/>
      <c r="O227" s="1298"/>
      <c r="P227" s="1357"/>
      <c r="Q227" s="1357"/>
      <c r="R227" s="1357"/>
      <c r="S227" s="1333"/>
      <c r="T227" s="1333"/>
      <c r="U227" s="1333"/>
      <c r="V227" s="1333"/>
      <c r="W227" s="1491"/>
      <c r="X227" s="1298"/>
      <c r="Y227" s="1357"/>
      <c r="Z227" s="1357"/>
      <c r="AA227" s="1357"/>
      <c r="AB227" s="1333"/>
      <c r="AC227" s="1333"/>
      <c r="AD227" s="1353"/>
      <c r="AE227" s="1333"/>
      <c r="AF227" s="1491"/>
      <c r="AG227" s="1298"/>
      <c r="AH227" s="1357"/>
      <c r="AI227" s="1357"/>
      <c r="AJ227" s="1333"/>
      <c r="AK227" s="1333"/>
      <c r="AL227" s="1333"/>
      <c r="AM227" s="1333"/>
      <c r="AN227" s="1333"/>
      <c r="AO227" s="1491"/>
      <c r="AP227" s="1298"/>
      <c r="AQ227" s="1357"/>
      <c r="AR227" s="1357"/>
      <c r="AS227" s="1357"/>
      <c r="AT227" s="1333"/>
      <c r="AU227" s="1333"/>
      <c r="AV227" s="1333"/>
      <c r="AW227" s="1333"/>
      <c r="AX227" s="1491"/>
      <c r="AY227" s="1298"/>
      <c r="AZ227" s="1357"/>
      <c r="BA227" s="1357"/>
      <c r="BB227" s="1357"/>
      <c r="BC227" s="1333"/>
      <c r="BD227" s="1333"/>
      <c r="BE227" s="1333"/>
      <c r="BF227" s="1333"/>
      <c r="BG227" s="1491"/>
      <c r="BH227" s="1298"/>
      <c r="BI227" s="1357"/>
      <c r="BJ227" s="1357"/>
      <c r="BK227" s="1357"/>
      <c r="BL227" s="1333"/>
      <c r="BM227" s="1333"/>
      <c r="BN227" s="1333"/>
      <c r="BO227" s="1333"/>
      <c r="BP227" s="1491"/>
      <c r="BQ227" s="1298"/>
      <c r="BR227" s="1357"/>
      <c r="BS227" s="1357"/>
      <c r="BT227" s="1357"/>
      <c r="BU227" s="1333"/>
      <c r="BV227" s="1333"/>
      <c r="BW227" s="1333"/>
      <c r="BX227" s="1333"/>
      <c r="BY227" s="1491"/>
      <c r="BZ227" s="1298"/>
      <c r="CA227" s="1357"/>
      <c r="CB227" s="1357"/>
      <c r="CC227" s="1357"/>
      <c r="CD227" s="1357"/>
      <c r="CE227" s="1254"/>
      <c r="CF227" s="1333"/>
      <c r="CG227" s="1333"/>
      <c r="CH227" s="1491"/>
      <c r="CI227" s="1467">
        <f>SUM(F227:CG227)</f>
        <v>0</v>
      </c>
      <c r="CJ227" s="1501"/>
      <c r="CK227" s="1502"/>
      <c r="CL227" s="1503">
        <f t="shared" si="55"/>
        <v>0</v>
      </c>
      <c r="CM227" s="1502"/>
      <c r="CN227" s="1504">
        <f t="shared" si="56"/>
        <v>0</v>
      </c>
      <c r="CP227" s="1500"/>
    </row>
    <row r="228" spans="1:95" s="283" customFormat="1" ht="21" thickBot="1">
      <c r="A228" s="1477" t="s">
        <v>139</v>
      </c>
      <c r="B228" s="1478"/>
      <c r="C228" s="1478"/>
      <c r="D228" s="1479"/>
      <c r="E228" s="1480"/>
      <c r="F228" s="1481">
        <f t="shared" ref="F228:M228" si="57">SUM(F223:F227)</f>
        <v>0</v>
      </c>
      <c r="G228" s="1481">
        <f t="shared" si="57"/>
        <v>0</v>
      </c>
      <c r="H228" s="1481">
        <f t="shared" si="57"/>
        <v>0</v>
      </c>
      <c r="I228" s="1481">
        <f t="shared" si="57"/>
        <v>0</v>
      </c>
      <c r="J228" s="1481">
        <f t="shared" si="57"/>
        <v>0</v>
      </c>
      <c r="K228" s="1481">
        <f t="shared" si="57"/>
        <v>0</v>
      </c>
      <c r="L228" s="1481">
        <f t="shared" si="57"/>
        <v>0</v>
      </c>
      <c r="M228" s="1481">
        <f t="shared" si="57"/>
        <v>0</v>
      </c>
      <c r="N228" s="1489"/>
      <c r="O228" s="1490">
        <f t="shared" ref="O228:V228" si="58">SUM(O223:O227)</f>
        <v>0</v>
      </c>
      <c r="P228" s="1481">
        <f t="shared" si="58"/>
        <v>0</v>
      </c>
      <c r="Q228" s="1481">
        <f t="shared" si="58"/>
        <v>0</v>
      </c>
      <c r="R228" s="1481">
        <f t="shared" si="58"/>
        <v>0</v>
      </c>
      <c r="S228" s="1481">
        <f t="shared" si="58"/>
        <v>0</v>
      </c>
      <c r="T228" s="1481">
        <f t="shared" si="58"/>
        <v>0</v>
      </c>
      <c r="U228" s="1481">
        <f t="shared" si="58"/>
        <v>0</v>
      </c>
      <c r="V228" s="1481">
        <f t="shared" si="58"/>
        <v>0</v>
      </c>
      <c r="W228" s="1492"/>
      <c r="X228" s="1490">
        <f t="shared" ref="X228:AW228" si="59">SUM(X223:X227)</f>
        <v>0</v>
      </c>
      <c r="Y228" s="1481">
        <f t="shared" si="59"/>
        <v>0</v>
      </c>
      <c r="Z228" s="1481">
        <f t="shared" si="59"/>
        <v>0</v>
      </c>
      <c r="AA228" s="1481">
        <f t="shared" si="59"/>
        <v>0</v>
      </c>
      <c r="AB228" s="1481">
        <f t="shared" si="59"/>
        <v>0</v>
      </c>
      <c r="AC228" s="1481">
        <f t="shared" si="59"/>
        <v>0</v>
      </c>
      <c r="AD228" s="1481">
        <f t="shared" si="59"/>
        <v>0</v>
      </c>
      <c r="AE228" s="1481">
        <f t="shared" si="59"/>
        <v>0</v>
      </c>
      <c r="AF228" s="1492"/>
      <c r="AG228" s="1490">
        <f t="shared" ref="AG228:AN228" si="60">SUM(AG223:AG227)</f>
        <v>0</v>
      </c>
      <c r="AH228" s="1481">
        <f t="shared" si="60"/>
        <v>0</v>
      </c>
      <c r="AI228" s="1481">
        <f t="shared" si="60"/>
        <v>0</v>
      </c>
      <c r="AJ228" s="1481">
        <f t="shared" si="60"/>
        <v>0</v>
      </c>
      <c r="AK228" s="1481">
        <f t="shared" si="60"/>
        <v>0</v>
      </c>
      <c r="AL228" s="1481">
        <f t="shared" si="60"/>
        <v>0</v>
      </c>
      <c r="AM228" s="1481">
        <f t="shared" si="60"/>
        <v>0</v>
      </c>
      <c r="AN228" s="1481">
        <f t="shared" si="60"/>
        <v>0</v>
      </c>
      <c r="AO228" s="1492"/>
      <c r="AP228" s="1490">
        <f t="shared" si="59"/>
        <v>0</v>
      </c>
      <c r="AQ228" s="1481">
        <f t="shared" si="59"/>
        <v>0</v>
      </c>
      <c r="AR228" s="1481">
        <f t="shared" si="59"/>
        <v>0</v>
      </c>
      <c r="AS228" s="1481">
        <f t="shared" si="59"/>
        <v>0</v>
      </c>
      <c r="AT228" s="1481">
        <f t="shared" si="59"/>
        <v>0</v>
      </c>
      <c r="AU228" s="1481">
        <f t="shared" si="59"/>
        <v>0</v>
      </c>
      <c r="AV228" s="1481">
        <f t="shared" si="59"/>
        <v>0</v>
      </c>
      <c r="AW228" s="1481">
        <f t="shared" si="59"/>
        <v>0</v>
      </c>
      <c r="AX228" s="1492"/>
      <c r="AY228" s="1490">
        <f t="shared" ref="AY228:BO228" si="61">SUM(AY223:AY227)</f>
        <v>0</v>
      </c>
      <c r="AZ228" s="1481">
        <f t="shared" si="61"/>
        <v>0</v>
      </c>
      <c r="BA228" s="1481">
        <f t="shared" si="61"/>
        <v>0</v>
      </c>
      <c r="BB228" s="1481">
        <f t="shared" si="61"/>
        <v>0</v>
      </c>
      <c r="BC228" s="1481">
        <f t="shared" si="61"/>
        <v>0</v>
      </c>
      <c r="BD228" s="1481">
        <f t="shared" si="61"/>
        <v>0</v>
      </c>
      <c r="BE228" s="1481">
        <f t="shared" si="61"/>
        <v>0</v>
      </c>
      <c r="BF228" s="1481">
        <f t="shared" si="61"/>
        <v>0</v>
      </c>
      <c r="BG228" s="1492"/>
      <c r="BH228" s="1490">
        <f t="shared" si="61"/>
        <v>0</v>
      </c>
      <c r="BI228" s="1481">
        <f t="shared" si="61"/>
        <v>0</v>
      </c>
      <c r="BJ228" s="1481">
        <f t="shared" si="61"/>
        <v>0</v>
      </c>
      <c r="BK228" s="1481">
        <f t="shared" si="61"/>
        <v>0</v>
      </c>
      <c r="BL228" s="1481">
        <f t="shared" si="61"/>
        <v>0</v>
      </c>
      <c r="BM228" s="1481">
        <f t="shared" si="61"/>
        <v>0</v>
      </c>
      <c r="BN228" s="1481">
        <f t="shared" si="61"/>
        <v>0</v>
      </c>
      <c r="BO228" s="1481">
        <f t="shared" si="61"/>
        <v>0</v>
      </c>
      <c r="BP228" s="1492"/>
      <c r="BQ228" s="1490">
        <f t="shared" ref="BQ228:BX228" si="62">SUM(BQ223:BQ227)</f>
        <v>0</v>
      </c>
      <c r="BR228" s="1481">
        <f t="shared" si="62"/>
        <v>0</v>
      </c>
      <c r="BS228" s="1481">
        <f t="shared" si="62"/>
        <v>0</v>
      </c>
      <c r="BT228" s="1481">
        <f t="shared" si="62"/>
        <v>0</v>
      </c>
      <c r="BU228" s="1481">
        <f t="shared" si="62"/>
        <v>0</v>
      </c>
      <c r="BV228" s="1481">
        <f t="shared" si="62"/>
        <v>0</v>
      </c>
      <c r="BW228" s="1481">
        <f t="shared" si="62"/>
        <v>0</v>
      </c>
      <c r="BX228" s="1481">
        <f t="shared" si="62"/>
        <v>0</v>
      </c>
      <c r="BY228" s="1492"/>
      <c r="BZ228" s="1490">
        <f t="shared" ref="BZ228:CG228" si="63">SUM(BZ223:BZ227)</f>
        <v>0</v>
      </c>
      <c r="CA228" s="1481">
        <f t="shared" si="63"/>
        <v>0</v>
      </c>
      <c r="CB228" s="1481">
        <f t="shared" si="63"/>
        <v>0</v>
      </c>
      <c r="CC228" s="1481">
        <f t="shared" si="63"/>
        <v>0</v>
      </c>
      <c r="CD228" s="1481">
        <f t="shared" si="63"/>
        <v>0</v>
      </c>
      <c r="CE228" s="1481">
        <f t="shared" si="63"/>
        <v>0</v>
      </c>
      <c r="CF228" s="1481">
        <f t="shared" si="63"/>
        <v>0</v>
      </c>
      <c r="CG228" s="1481">
        <f t="shared" si="63"/>
        <v>0</v>
      </c>
      <c r="CH228" s="1496"/>
      <c r="CI228" s="1497">
        <f>SUM(CI223:CI227)</f>
        <v>0</v>
      </c>
      <c r="CJ228" s="1505">
        <f>SUM(CJ223:CJ227)</f>
        <v>0</v>
      </c>
      <c r="CK228" s="1506"/>
      <c r="CL228" s="1497">
        <f>SUM(CL223:CL227)</f>
        <v>0</v>
      </c>
      <c r="CM228" s="1497">
        <f>SUM(CM223:CM227)</f>
        <v>0</v>
      </c>
      <c r="CN228" s="1497">
        <f>SUM(CN223:CN227)</f>
        <v>0</v>
      </c>
    </row>
    <row r="229" spans="1:95" s="1227" customFormat="1" ht="21" thickBot="1">
      <c r="A229" s="425"/>
      <c r="B229" s="1482"/>
      <c r="C229" s="1482"/>
      <c r="D229" s="1483"/>
      <c r="E229" s="1484"/>
      <c r="F229" s="1485"/>
      <c r="G229" s="1485"/>
      <c r="H229" s="1485"/>
      <c r="I229" s="1485"/>
      <c r="J229" s="1485"/>
      <c r="K229" s="1485"/>
      <c r="L229" s="1485"/>
      <c r="M229" s="1485"/>
      <c r="N229" s="1485"/>
      <c r="O229" s="1485"/>
      <c r="P229" s="1485"/>
      <c r="Q229" s="1485"/>
      <c r="R229" s="1485"/>
      <c r="S229" s="1485"/>
      <c r="T229" s="1485"/>
      <c r="U229" s="1485"/>
      <c r="V229" s="1485"/>
      <c r="W229" s="1493"/>
      <c r="X229" s="1485"/>
      <c r="Y229" s="1485"/>
      <c r="Z229" s="1485"/>
      <c r="AA229" s="1485"/>
      <c r="AB229" s="1485"/>
      <c r="AC229" s="1485"/>
      <c r="AD229" s="1485"/>
      <c r="AE229" s="1485"/>
      <c r="AF229" s="1493"/>
      <c r="AG229" s="1485"/>
      <c r="AH229" s="1485"/>
      <c r="AI229" s="1485"/>
      <c r="AJ229" s="1485"/>
      <c r="AK229" s="1485"/>
      <c r="AL229" s="1485"/>
      <c r="AM229" s="1485"/>
      <c r="AN229" s="1485"/>
      <c r="AO229" s="1493"/>
      <c r="AP229" s="1485"/>
      <c r="AQ229" s="1485"/>
      <c r="AR229" s="1485"/>
      <c r="AS229" s="1485"/>
      <c r="AT229" s="1485"/>
      <c r="AU229" s="1485"/>
      <c r="AV229" s="1485"/>
      <c r="AW229" s="1485"/>
      <c r="AX229" s="1493"/>
      <c r="AY229" s="1485"/>
      <c r="AZ229" s="1485"/>
      <c r="BA229" s="1485"/>
      <c r="BB229" s="1485"/>
      <c r="BC229" s="1485"/>
      <c r="BD229" s="1485"/>
      <c r="BE229" s="1485"/>
      <c r="BF229" s="1485"/>
      <c r="BG229" s="1493"/>
      <c r="BH229" s="1485"/>
      <c r="BI229" s="1485"/>
      <c r="BJ229" s="1485"/>
      <c r="BK229" s="1485"/>
      <c r="BL229" s="1485"/>
      <c r="BM229" s="1485"/>
      <c r="BN229" s="1485"/>
      <c r="BO229" s="1485"/>
      <c r="BP229" s="1493"/>
      <c r="BQ229" s="1485"/>
      <c r="BR229" s="1485"/>
      <c r="BS229" s="1485"/>
      <c r="BT229" s="1485"/>
      <c r="BU229" s="1485"/>
      <c r="BV229" s="1485"/>
      <c r="BW229" s="1485"/>
      <c r="BX229" s="1485"/>
      <c r="BY229" s="1493"/>
      <c r="BZ229" s="1485"/>
      <c r="CA229" s="1485"/>
      <c r="CB229" s="1485"/>
      <c r="CC229" s="1485"/>
      <c r="CD229" s="1485"/>
      <c r="CE229" s="1485"/>
      <c r="CF229" s="1485"/>
      <c r="CG229" s="1485"/>
      <c r="CH229" s="1498"/>
      <c r="CI229" s="1499"/>
      <c r="CJ229" s="1507"/>
      <c r="CK229" s="1508"/>
      <c r="CL229" s="1499"/>
      <c r="CM229" s="1499"/>
      <c r="CN229" s="1499"/>
      <c r="CO229" s="403"/>
      <c r="CP229" s="403"/>
      <c r="CQ229" s="403"/>
    </row>
    <row r="230" spans="1:95" s="1223" customFormat="1" ht="16.5" thickBot="1">
      <c r="A230" s="289" t="s">
        <v>140</v>
      </c>
      <c r="B230" s="1272" t="s">
        <v>68</v>
      </c>
      <c r="C230" s="1272" t="s">
        <v>69</v>
      </c>
      <c r="D230" s="1273" t="s">
        <v>70</v>
      </c>
      <c r="E230" s="288"/>
      <c r="F230" s="743" t="s">
        <v>71</v>
      </c>
      <c r="G230" s="744" t="s">
        <v>72</v>
      </c>
      <c r="H230" s="744" t="s">
        <v>118</v>
      </c>
      <c r="I230" s="49" t="s">
        <v>94</v>
      </c>
      <c r="J230" s="744" t="s">
        <v>75</v>
      </c>
      <c r="K230" s="49" t="s">
        <v>76</v>
      </c>
      <c r="L230" s="914" t="s">
        <v>77</v>
      </c>
      <c r="M230" s="1279" t="s">
        <v>53</v>
      </c>
      <c r="N230" s="1486"/>
      <c r="O230" s="743" t="s">
        <v>71</v>
      </c>
      <c r="P230" s="744" t="s">
        <v>72</v>
      </c>
      <c r="Q230" s="744" t="s">
        <v>78</v>
      </c>
      <c r="R230" s="744" t="s">
        <v>74</v>
      </c>
      <c r="S230" s="880" t="s">
        <v>75</v>
      </c>
      <c r="T230" s="744" t="s">
        <v>79</v>
      </c>
      <c r="U230" s="880" t="s">
        <v>77</v>
      </c>
      <c r="V230" s="936" t="s">
        <v>101</v>
      </c>
      <c r="W230" s="722"/>
      <c r="X230" s="743" t="s">
        <v>94</v>
      </c>
      <c r="Y230" s="744" t="s">
        <v>72</v>
      </c>
      <c r="Z230" s="744" t="s">
        <v>81</v>
      </c>
      <c r="AA230" s="744" t="s">
        <v>82</v>
      </c>
      <c r="AB230" s="880" t="s">
        <v>75</v>
      </c>
      <c r="AC230" s="744" t="s">
        <v>83</v>
      </c>
      <c r="AD230" s="744" t="s">
        <v>87</v>
      </c>
      <c r="AE230" s="936" t="s">
        <v>84</v>
      </c>
      <c r="AF230" s="2897"/>
      <c r="AG230" s="743" t="s">
        <v>85</v>
      </c>
      <c r="AH230" s="744" t="s">
        <v>86</v>
      </c>
      <c r="AI230" s="744" t="s">
        <v>77</v>
      </c>
      <c r="AJ230" s="880" t="s">
        <v>75</v>
      </c>
      <c r="AK230" s="744" t="s">
        <v>78</v>
      </c>
      <c r="AL230" s="880" t="s">
        <v>53</v>
      </c>
      <c r="AM230" s="914" t="s">
        <v>87</v>
      </c>
      <c r="AN230" s="936" t="s">
        <v>71</v>
      </c>
      <c r="AO230" s="2897"/>
      <c r="AP230" s="743" t="s">
        <v>86</v>
      </c>
      <c r="AQ230" s="744" t="s">
        <v>123</v>
      </c>
      <c r="AR230" s="744" t="s">
        <v>90</v>
      </c>
      <c r="AS230" s="744" t="s">
        <v>92</v>
      </c>
      <c r="AT230" s="880" t="s">
        <v>250</v>
      </c>
      <c r="AU230" s="744" t="s">
        <v>85</v>
      </c>
      <c r="AV230" s="880" t="s">
        <v>381</v>
      </c>
      <c r="AW230" s="936" t="s">
        <v>481</v>
      </c>
      <c r="AX230" s="2897"/>
      <c r="AY230" s="743" t="s">
        <v>82</v>
      </c>
      <c r="AZ230" s="744" t="s">
        <v>93</v>
      </c>
      <c r="BA230" s="744" t="s">
        <v>94</v>
      </c>
      <c r="BB230" s="744" t="s">
        <v>95</v>
      </c>
      <c r="BC230" s="880" t="s">
        <v>75</v>
      </c>
      <c r="BD230" s="744" t="s">
        <v>53</v>
      </c>
      <c r="BE230" s="880" t="s">
        <v>96</v>
      </c>
      <c r="BF230" s="936" t="s">
        <v>97</v>
      </c>
      <c r="BG230" s="2897"/>
      <c r="BH230" s="755" t="s">
        <v>71</v>
      </c>
      <c r="BI230" s="744" t="s">
        <v>465</v>
      </c>
      <c r="BJ230" s="744" t="s">
        <v>136</v>
      </c>
      <c r="BK230" s="50" t="s">
        <v>74</v>
      </c>
      <c r="BL230" s="1013" t="s">
        <v>75</v>
      </c>
      <c r="BM230" s="51" t="s">
        <v>466</v>
      </c>
      <c r="BN230" s="1344" t="s">
        <v>77</v>
      </c>
      <c r="BO230" s="936" t="s">
        <v>170</v>
      </c>
      <c r="BP230" s="2897"/>
      <c r="BQ230" s="743" t="s">
        <v>250</v>
      </c>
      <c r="BR230" s="744"/>
      <c r="BS230" s="744" t="s">
        <v>92</v>
      </c>
      <c r="BT230" s="744"/>
      <c r="BU230" s="880" t="s">
        <v>469</v>
      </c>
      <c r="BV230" s="744"/>
      <c r="BW230" s="880" t="s">
        <v>149</v>
      </c>
      <c r="BX230" s="936"/>
      <c r="BY230" s="288"/>
      <c r="BZ230" s="1365" t="s">
        <v>80</v>
      </c>
      <c r="CA230" s="880" t="s">
        <v>72</v>
      </c>
      <c r="CB230" s="880" t="s">
        <v>118</v>
      </c>
      <c r="CC230" s="1318" t="s">
        <v>103</v>
      </c>
      <c r="CD230" s="880" t="s">
        <v>75</v>
      </c>
      <c r="CE230" s="880" t="s">
        <v>53</v>
      </c>
      <c r="CF230" s="744" t="s">
        <v>77</v>
      </c>
      <c r="CG230" s="1279" t="s">
        <v>93</v>
      </c>
      <c r="CH230" s="288"/>
      <c r="CI230" s="1391" t="s">
        <v>104</v>
      </c>
      <c r="CJ230" s="1344" t="s">
        <v>105</v>
      </c>
      <c r="CK230" s="1013"/>
      <c r="CL230" s="2897" t="s">
        <v>106</v>
      </c>
      <c r="CM230" s="1013" t="s">
        <v>107</v>
      </c>
      <c r="CN230" s="288" t="s">
        <v>108</v>
      </c>
    </row>
    <row r="231" spans="1:95" s="283" customFormat="1" ht="20.25">
      <c r="A231" s="430" t="s">
        <v>141</v>
      </c>
      <c r="B231" s="431"/>
      <c r="C231" s="431"/>
      <c r="D231" s="432"/>
      <c r="E231" s="1248"/>
      <c r="F231" s="1475"/>
      <c r="G231" s="1357"/>
      <c r="H231" s="1357"/>
      <c r="I231" s="1357"/>
      <c r="J231" s="1357"/>
      <c r="K231" s="1254"/>
      <c r="L231" s="1487"/>
      <c r="M231" s="1487"/>
      <c r="N231" s="1488"/>
      <c r="O231" s="1298"/>
      <c r="P231" s="1357"/>
      <c r="Q231" s="1357"/>
      <c r="R231" s="1357"/>
      <c r="S231" s="1333"/>
      <c r="T231" s="1333"/>
      <c r="U231" s="1333"/>
      <c r="V231" s="1333"/>
      <c r="W231" s="1491"/>
      <c r="X231" s="1298"/>
      <c r="Y231" s="1357"/>
      <c r="Z231" s="1357"/>
      <c r="AA231" s="1357"/>
      <c r="AB231" s="1333"/>
      <c r="AC231" s="1333"/>
      <c r="AD231" s="1353"/>
      <c r="AE231" s="1333"/>
      <c r="AF231" s="1491"/>
      <c r="AG231" s="1298"/>
      <c r="AH231" s="1357"/>
      <c r="AI231" s="1357"/>
      <c r="AJ231" s="1333"/>
      <c r="AK231" s="1333"/>
      <c r="AL231" s="1333"/>
      <c r="AM231" s="1333"/>
      <c r="AN231" s="1333"/>
      <c r="AO231" s="1491"/>
      <c r="AP231" s="1298"/>
      <c r="AQ231" s="1357"/>
      <c r="AR231" s="1357"/>
      <c r="AS231" s="1357"/>
      <c r="AT231" s="1333"/>
      <c r="AU231" s="1333"/>
      <c r="AV231" s="1333"/>
      <c r="AW231" s="1333"/>
      <c r="AX231" s="1491"/>
      <c r="AY231" s="1298"/>
      <c r="AZ231" s="1357"/>
      <c r="BA231" s="1357"/>
      <c r="BB231" s="1357"/>
      <c r="BC231" s="1333"/>
      <c r="BD231" s="1333"/>
      <c r="BE231" s="1333"/>
      <c r="BF231" s="1333"/>
      <c r="BG231" s="1491"/>
      <c r="BH231" s="1298"/>
      <c r="BI231" s="1357"/>
      <c r="BJ231" s="1357"/>
      <c r="BK231" s="1357"/>
      <c r="BL231" s="1333"/>
      <c r="BM231" s="1333"/>
      <c r="BN231" s="1333"/>
      <c r="BO231" s="1333"/>
      <c r="BP231" s="1491"/>
      <c r="BQ231" s="1298"/>
      <c r="BR231" s="1357"/>
      <c r="BS231" s="1357"/>
      <c r="BT231" s="1357"/>
      <c r="BU231" s="1333"/>
      <c r="BV231" s="1333"/>
      <c r="BW231" s="1333"/>
      <c r="BX231" s="1333"/>
      <c r="BY231" s="1491"/>
      <c r="BZ231" s="1298"/>
      <c r="CA231" s="1357"/>
      <c r="CB231" s="1357"/>
      <c r="CC231" s="1357"/>
      <c r="CD231" s="1357"/>
      <c r="CE231" s="1254"/>
      <c r="CF231" s="1333"/>
      <c r="CG231" s="1333"/>
      <c r="CH231" s="1491"/>
      <c r="CI231" s="1467">
        <f>SUM(F231:CG231)</f>
        <v>0</v>
      </c>
      <c r="CJ231" s="1501"/>
      <c r="CK231" s="1502"/>
      <c r="CL231" s="1503">
        <f t="shared" ref="CL231:CL233" si="64">CI231+CJ231</f>
        <v>0</v>
      </c>
      <c r="CM231" s="1502"/>
      <c r="CN231" s="1504">
        <f t="shared" ref="CN231:CN233" si="65">CL231+CM231</f>
        <v>0</v>
      </c>
      <c r="CP231" s="1500"/>
    </row>
    <row r="232" spans="1:95" s="283" customFormat="1" ht="20.25">
      <c r="A232" s="430"/>
      <c r="B232" s="431"/>
      <c r="C232" s="431"/>
      <c r="D232" s="432"/>
      <c r="E232" s="1248"/>
      <c r="F232" s="1475"/>
      <c r="G232" s="1357"/>
      <c r="H232" s="1357"/>
      <c r="I232" s="1357"/>
      <c r="J232" s="1357"/>
      <c r="K232" s="1254"/>
      <c r="L232" s="1487"/>
      <c r="M232" s="1487"/>
      <c r="N232" s="1488"/>
      <c r="O232" s="1298"/>
      <c r="P232" s="1357"/>
      <c r="Q232" s="1357"/>
      <c r="R232" s="1357"/>
      <c r="S232" s="1333"/>
      <c r="T232" s="1333"/>
      <c r="U232" s="1333"/>
      <c r="V232" s="1333"/>
      <c r="W232" s="1491"/>
      <c r="X232" s="1298"/>
      <c r="Y232" s="1357"/>
      <c r="Z232" s="1357"/>
      <c r="AA232" s="1357"/>
      <c r="AB232" s="1333"/>
      <c r="AC232" s="1333"/>
      <c r="AD232" s="1353"/>
      <c r="AE232" s="1333"/>
      <c r="AF232" s="1491"/>
      <c r="AG232" s="1298"/>
      <c r="AH232" s="1357"/>
      <c r="AI232" s="1357"/>
      <c r="AJ232" s="1333"/>
      <c r="AK232" s="1333"/>
      <c r="AL232" s="1333"/>
      <c r="AM232" s="1333"/>
      <c r="AN232" s="1333"/>
      <c r="AO232" s="1491"/>
      <c r="AP232" s="1298"/>
      <c r="AQ232" s="1357"/>
      <c r="AR232" s="1357"/>
      <c r="AS232" s="1357"/>
      <c r="AT232" s="1333"/>
      <c r="AU232" s="1333"/>
      <c r="AV232" s="1333"/>
      <c r="AW232" s="1333"/>
      <c r="AX232" s="1491"/>
      <c r="AY232" s="1298"/>
      <c r="AZ232" s="1357"/>
      <c r="BA232" s="1357"/>
      <c r="BB232" s="1357"/>
      <c r="BC232" s="1333"/>
      <c r="BD232" s="1333"/>
      <c r="BE232" s="1333"/>
      <c r="BF232" s="1333"/>
      <c r="BG232" s="1491"/>
      <c r="BH232" s="1298"/>
      <c r="BI232" s="1357"/>
      <c r="BJ232" s="1357"/>
      <c r="BK232" s="1357"/>
      <c r="BL232" s="1333"/>
      <c r="BM232" s="1333"/>
      <c r="BN232" s="1333"/>
      <c r="BO232" s="1333"/>
      <c r="BP232" s="1491"/>
      <c r="BQ232" s="1298"/>
      <c r="BR232" s="1357"/>
      <c r="BS232" s="1357"/>
      <c r="BT232" s="1357"/>
      <c r="BU232" s="1333"/>
      <c r="BV232" s="1333"/>
      <c r="BW232" s="1333"/>
      <c r="BX232" s="1333"/>
      <c r="BY232" s="1491"/>
      <c r="BZ232" s="1298"/>
      <c r="CA232" s="1357"/>
      <c r="CB232" s="1357"/>
      <c r="CC232" s="1357"/>
      <c r="CD232" s="1357"/>
      <c r="CE232" s="1254"/>
      <c r="CF232" s="1333"/>
      <c r="CG232" s="1333"/>
      <c r="CH232" s="1491"/>
      <c r="CI232" s="1467">
        <f>SUM(F232:CG232)</f>
        <v>0</v>
      </c>
      <c r="CJ232" s="1501"/>
      <c r="CK232" s="1502"/>
      <c r="CL232" s="1503">
        <f t="shared" si="64"/>
        <v>0</v>
      </c>
      <c r="CM232" s="1502"/>
      <c r="CN232" s="1504">
        <f t="shared" si="65"/>
        <v>0</v>
      </c>
      <c r="CP232" s="1500"/>
    </row>
    <row r="233" spans="1:95" s="283" customFormat="1" ht="21" thickBot="1">
      <c r="A233" s="430"/>
      <c r="B233" s="431"/>
      <c r="C233" s="431"/>
      <c r="D233" s="432"/>
      <c r="E233" s="1248"/>
      <c r="F233" s="1475"/>
      <c r="G233" s="1357"/>
      <c r="H233" s="1357"/>
      <c r="I233" s="1357"/>
      <c r="J233" s="1357"/>
      <c r="K233" s="1254"/>
      <c r="L233" s="1487"/>
      <c r="M233" s="1487"/>
      <c r="N233" s="1488"/>
      <c r="O233" s="1298"/>
      <c r="P233" s="1357"/>
      <c r="Q233" s="1357"/>
      <c r="R233" s="1357"/>
      <c r="S233" s="1333"/>
      <c r="T233" s="1333"/>
      <c r="U233" s="1333"/>
      <c r="V233" s="1333"/>
      <c r="W233" s="1491"/>
      <c r="X233" s="1298"/>
      <c r="Y233" s="1357"/>
      <c r="Z233" s="1357"/>
      <c r="AA233" s="1357"/>
      <c r="AB233" s="1333"/>
      <c r="AC233" s="1333"/>
      <c r="AD233" s="1353"/>
      <c r="AE233" s="1333"/>
      <c r="AF233" s="1491"/>
      <c r="AG233" s="1298"/>
      <c r="AH233" s="1357"/>
      <c r="AI233" s="1357"/>
      <c r="AJ233" s="1333"/>
      <c r="AK233" s="1333"/>
      <c r="AL233" s="1333"/>
      <c r="AM233" s="1333"/>
      <c r="AN233" s="1333"/>
      <c r="AO233" s="1491"/>
      <c r="AP233" s="1298"/>
      <c r="AQ233" s="1357"/>
      <c r="AR233" s="1357"/>
      <c r="AS233" s="1357"/>
      <c r="AT233" s="1333"/>
      <c r="AU233" s="1333"/>
      <c r="AV233" s="1333"/>
      <c r="AW233" s="1333"/>
      <c r="AX233" s="1491"/>
      <c r="AY233" s="1298"/>
      <c r="AZ233" s="1357"/>
      <c r="BA233" s="1357"/>
      <c r="BB233" s="1357"/>
      <c r="BC233" s="1333"/>
      <c r="BD233" s="1333"/>
      <c r="BE233" s="1333"/>
      <c r="BF233" s="1333"/>
      <c r="BG233" s="1491"/>
      <c r="BH233" s="1298"/>
      <c r="BI233" s="1357"/>
      <c r="BJ233" s="1357"/>
      <c r="BK233" s="1357"/>
      <c r="BL233" s="1333"/>
      <c r="BM233" s="1333"/>
      <c r="BN233" s="1333"/>
      <c r="BO233" s="1333"/>
      <c r="BP233" s="1491"/>
      <c r="BQ233" s="1298"/>
      <c r="BR233" s="1357"/>
      <c r="BS233" s="1357"/>
      <c r="BT233" s="1357"/>
      <c r="BU233" s="1333"/>
      <c r="BV233" s="1333"/>
      <c r="BW233" s="1333"/>
      <c r="BX233" s="1333"/>
      <c r="BY233" s="1491"/>
      <c r="BZ233" s="1298"/>
      <c r="CA233" s="1357"/>
      <c r="CB233" s="1357"/>
      <c r="CC233" s="1357"/>
      <c r="CD233" s="1357"/>
      <c r="CE233" s="1254"/>
      <c r="CF233" s="1333"/>
      <c r="CG233" s="1333"/>
      <c r="CH233" s="1491"/>
      <c r="CI233" s="1467">
        <f>SUM(F233:CG233)</f>
        <v>0</v>
      </c>
      <c r="CJ233" s="1501"/>
      <c r="CK233" s="1502"/>
      <c r="CL233" s="1503">
        <f t="shared" si="64"/>
        <v>0</v>
      </c>
      <c r="CM233" s="1502"/>
      <c r="CN233" s="1504">
        <f t="shared" si="65"/>
        <v>0</v>
      </c>
      <c r="CP233" s="1500"/>
    </row>
    <row r="234" spans="1:95" s="283" customFormat="1" ht="21" thickBot="1">
      <c r="A234" s="1509" t="s">
        <v>142</v>
      </c>
      <c r="B234" s="1478"/>
      <c r="C234" s="1478"/>
      <c r="D234" s="1479"/>
      <c r="E234" s="1480"/>
      <c r="F234" s="1481">
        <f t="shared" ref="F234:M234" si="66">SUM(F231:F233)</f>
        <v>0</v>
      </c>
      <c r="G234" s="1481">
        <f t="shared" si="66"/>
        <v>0</v>
      </c>
      <c r="H234" s="1481">
        <f t="shared" si="66"/>
        <v>0</v>
      </c>
      <c r="I234" s="1481">
        <f t="shared" si="66"/>
        <v>0</v>
      </c>
      <c r="J234" s="1481">
        <f t="shared" si="66"/>
        <v>0</v>
      </c>
      <c r="K234" s="1481">
        <f t="shared" si="66"/>
        <v>0</v>
      </c>
      <c r="L234" s="1481">
        <f t="shared" si="66"/>
        <v>0</v>
      </c>
      <c r="M234" s="1481">
        <f t="shared" si="66"/>
        <v>0</v>
      </c>
      <c r="N234" s="1489"/>
      <c r="O234" s="1490">
        <f t="shared" ref="O234:V234" si="67">SUM(O231:O233)</f>
        <v>0</v>
      </c>
      <c r="P234" s="1481">
        <f t="shared" si="67"/>
        <v>0</v>
      </c>
      <c r="Q234" s="1481">
        <f t="shared" si="67"/>
        <v>0</v>
      </c>
      <c r="R234" s="1481">
        <f t="shared" si="67"/>
        <v>0</v>
      </c>
      <c r="S234" s="1481">
        <f t="shared" si="67"/>
        <v>0</v>
      </c>
      <c r="T234" s="1481">
        <f t="shared" si="67"/>
        <v>0</v>
      </c>
      <c r="U234" s="1481">
        <f t="shared" si="67"/>
        <v>0</v>
      </c>
      <c r="V234" s="1481">
        <f t="shared" si="67"/>
        <v>0</v>
      </c>
      <c r="W234" s="1492"/>
      <c r="X234" s="1490">
        <f t="shared" ref="X234:AW234" si="68">SUM(X231:X233)</f>
        <v>0</v>
      </c>
      <c r="Y234" s="1481">
        <f t="shared" si="68"/>
        <v>0</v>
      </c>
      <c r="Z234" s="1481">
        <f t="shared" si="68"/>
        <v>0</v>
      </c>
      <c r="AA234" s="1481">
        <f t="shared" si="68"/>
        <v>0</v>
      </c>
      <c r="AB234" s="1481">
        <f t="shared" si="68"/>
        <v>0</v>
      </c>
      <c r="AC234" s="1481">
        <f t="shared" si="68"/>
        <v>0</v>
      </c>
      <c r="AD234" s="1481">
        <f t="shared" si="68"/>
        <v>0</v>
      </c>
      <c r="AE234" s="1481">
        <f t="shared" si="68"/>
        <v>0</v>
      </c>
      <c r="AF234" s="1492"/>
      <c r="AG234" s="1490">
        <f t="shared" ref="AG234:AN234" si="69">SUM(AG231:AG233)</f>
        <v>0</v>
      </c>
      <c r="AH234" s="1481">
        <f t="shared" si="69"/>
        <v>0</v>
      </c>
      <c r="AI234" s="1481">
        <f t="shared" si="69"/>
        <v>0</v>
      </c>
      <c r="AJ234" s="1481">
        <f t="shared" si="69"/>
        <v>0</v>
      </c>
      <c r="AK234" s="1481">
        <f t="shared" si="69"/>
        <v>0</v>
      </c>
      <c r="AL234" s="1481">
        <f t="shared" si="69"/>
        <v>0</v>
      </c>
      <c r="AM234" s="1481">
        <f t="shared" si="69"/>
        <v>0</v>
      </c>
      <c r="AN234" s="1481">
        <f t="shared" si="69"/>
        <v>0</v>
      </c>
      <c r="AO234" s="1492"/>
      <c r="AP234" s="1490">
        <f t="shared" si="68"/>
        <v>0</v>
      </c>
      <c r="AQ234" s="1481">
        <f t="shared" si="68"/>
        <v>0</v>
      </c>
      <c r="AR234" s="1481">
        <f t="shared" si="68"/>
        <v>0</v>
      </c>
      <c r="AS234" s="1481">
        <f t="shared" si="68"/>
        <v>0</v>
      </c>
      <c r="AT234" s="1481">
        <f t="shared" si="68"/>
        <v>0</v>
      </c>
      <c r="AU234" s="1481">
        <f t="shared" si="68"/>
        <v>0</v>
      </c>
      <c r="AV234" s="1481">
        <f t="shared" si="68"/>
        <v>0</v>
      </c>
      <c r="AW234" s="1481">
        <f t="shared" si="68"/>
        <v>0</v>
      </c>
      <c r="AX234" s="1492"/>
      <c r="AY234" s="1490">
        <f t="shared" ref="AY234:BO234" si="70">SUM(AY231:AY233)</f>
        <v>0</v>
      </c>
      <c r="AZ234" s="1481">
        <f t="shared" si="70"/>
        <v>0</v>
      </c>
      <c r="BA234" s="1481">
        <f t="shared" si="70"/>
        <v>0</v>
      </c>
      <c r="BB234" s="1481">
        <f t="shared" si="70"/>
        <v>0</v>
      </c>
      <c r="BC234" s="1481">
        <f t="shared" si="70"/>
        <v>0</v>
      </c>
      <c r="BD234" s="1481">
        <f t="shared" si="70"/>
        <v>0</v>
      </c>
      <c r="BE234" s="1481">
        <f t="shared" si="70"/>
        <v>0</v>
      </c>
      <c r="BF234" s="1481">
        <f t="shared" si="70"/>
        <v>0</v>
      </c>
      <c r="BG234" s="1492"/>
      <c r="BH234" s="1490">
        <f t="shared" si="70"/>
        <v>0</v>
      </c>
      <c r="BI234" s="1481">
        <f t="shared" si="70"/>
        <v>0</v>
      </c>
      <c r="BJ234" s="1481">
        <f t="shared" si="70"/>
        <v>0</v>
      </c>
      <c r="BK234" s="1481">
        <f t="shared" si="70"/>
        <v>0</v>
      </c>
      <c r="BL234" s="1481">
        <f t="shared" si="70"/>
        <v>0</v>
      </c>
      <c r="BM234" s="1481">
        <f t="shared" si="70"/>
        <v>0</v>
      </c>
      <c r="BN234" s="1481">
        <f t="shared" si="70"/>
        <v>0</v>
      </c>
      <c r="BO234" s="1481">
        <f t="shared" si="70"/>
        <v>0</v>
      </c>
      <c r="BP234" s="1492"/>
      <c r="BQ234" s="1490">
        <f t="shared" ref="BQ234:BX234" si="71">SUM(BQ231:BQ233)</f>
        <v>0</v>
      </c>
      <c r="BR234" s="1481">
        <f t="shared" si="71"/>
        <v>0</v>
      </c>
      <c r="BS234" s="1481">
        <f t="shared" si="71"/>
        <v>0</v>
      </c>
      <c r="BT234" s="1481">
        <f t="shared" si="71"/>
        <v>0</v>
      </c>
      <c r="BU234" s="1481">
        <f t="shared" si="71"/>
        <v>0</v>
      </c>
      <c r="BV234" s="1481">
        <f t="shared" si="71"/>
        <v>0</v>
      </c>
      <c r="BW234" s="1481">
        <f t="shared" si="71"/>
        <v>0</v>
      </c>
      <c r="BX234" s="1481">
        <f t="shared" si="71"/>
        <v>0</v>
      </c>
      <c r="BY234" s="1492"/>
      <c r="BZ234" s="1490">
        <f t="shared" ref="BZ234:CG234" si="72">SUM(BZ231:BZ233)</f>
        <v>0</v>
      </c>
      <c r="CA234" s="1481">
        <f t="shared" si="72"/>
        <v>0</v>
      </c>
      <c r="CB234" s="1481">
        <f t="shared" si="72"/>
        <v>0</v>
      </c>
      <c r="CC234" s="1481">
        <f t="shared" si="72"/>
        <v>0</v>
      </c>
      <c r="CD234" s="1481">
        <f t="shared" si="72"/>
        <v>0</v>
      </c>
      <c r="CE234" s="1481">
        <f t="shared" si="72"/>
        <v>0</v>
      </c>
      <c r="CF234" s="1481">
        <f t="shared" si="72"/>
        <v>0</v>
      </c>
      <c r="CG234" s="1481">
        <f t="shared" si="72"/>
        <v>0</v>
      </c>
      <c r="CH234" s="1496"/>
      <c r="CI234" s="1497">
        <f>SUM(CI231:CI233)</f>
        <v>0</v>
      </c>
      <c r="CJ234" s="1505">
        <f>SUM(CJ231:CJ233)</f>
        <v>0</v>
      </c>
      <c r="CK234" s="1506"/>
      <c r="CL234" s="1497">
        <f>SUM(CL231:CL233)</f>
        <v>0</v>
      </c>
      <c r="CM234" s="1497">
        <f>SUM(CM231:CM233)</f>
        <v>0</v>
      </c>
      <c r="CN234" s="1497">
        <f>SUM(CN231:CN233)</f>
        <v>0</v>
      </c>
      <c r="CP234" s="1500"/>
    </row>
    <row r="235" spans="1:95" s="283" customFormat="1" ht="21" thickBot="1">
      <c r="A235" s="425"/>
      <c r="B235" s="1482"/>
      <c r="C235" s="1482"/>
      <c r="D235" s="1483"/>
      <c r="E235" s="1484"/>
      <c r="F235" s="1485"/>
      <c r="G235" s="1485"/>
      <c r="H235" s="1485"/>
      <c r="I235" s="1485"/>
      <c r="J235" s="1485"/>
      <c r="K235" s="1485"/>
      <c r="L235" s="1485"/>
      <c r="M235" s="1485"/>
      <c r="N235" s="1485"/>
      <c r="O235" s="1485"/>
      <c r="P235" s="1485"/>
      <c r="Q235" s="1485"/>
      <c r="R235" s="1485"/>
      <c r="S235" s="1485"/>
      <c r="T235" s="1485"/>
      <c r="U235" s="1485"/>
      <c r="V235" s="1485"/>
      <c r="W235" s="1493"/>
      <c r="X235" s="1485"/>
      <c r="Y235" s="1485"/>
      <c r="Z235" s="1485"/>
      <c r="AA235" s="1485"/>
      <c r="AB235" s="1485"/>
      <c r="AC235" s="1485"/>
      <c r="AD235" s="1485"/>
      <c r="AE235" s="1485"/>
      <c r="AF235" s="1493"/>
      <c r="AG235" s="1485"/>
      <c r="AH235" s="1485"/>
      <c r="AI235" s="1485"/>
      <c r="AJ235" s="1485"/>
      <c r="AK235" s="1485"/>
      <c r="AL235" s="1485"/>
      <c r="AM235" s="1485"/>
      <c r="AN235" s="1485"/>
      <c r="AO235" s="1493"/>
      <c r="AP235" s="1485"/>
      <c r="AQ235" s="1485"/>
      <c r="AR235" s="1485"/>
      <c r="AS235" s="1485"/>
      <c r="AT235" s="1485"/>
      <c r="AU235" s="1485"/>
      <c r="AV235" s="1485"/>
      <c r="AW235" s="1485"/>
      <c r="AX235" s="1493"/>
      <c r="AY235" s="1485"/>
      <c r="AZ235" s="1485"/>
      <c r="BA235" s="1485"/>
      <c r="BB235" s="1485"/>
      <c r="BC235" s="1485"/>
      <c r="BD235" s="1485"/>
      <c r="BE235" s="1485"/>
      <c r="BF235" s="1485"/>
      <c r="BG235" s="1493"/>
      <c r="BH235" s="1485"/>
      <c r="BI235" s="1485"/>
      <c r="BJ235" s="1485"/>
      <c r="BK235" s="1485"/>
      <c r="BL235" s="1485"/>
      <c r="BM235" s="1485"/>
      <c r="BN235" s="1485"/>
      <c r="BO235" s="1485"/>
      <c r="BP235" s="1493"/>
      <c r="BQ235" s="1485"/>
      <c r="BR235" s="1485"/>
      <c r="BS235" s="1485"/>
      <c r="BT235" s="1485"/>
      <c r="BU235" s="1485"/>
      <c r="BV235" s="1485"/>
      <c r="BW235" s="1485"/>
      <c r="BX235" s="1485"/>
      <c r="BY235" s="1493"/>
      <c r="BZ235" s="1485"/>
      <c r="CA235" s="1485"/>
      <c r="CB235" s="1485"/>
      <c r="CC235" s="1485"/>
      <c r="CD235" s="1485"/>
      <c r="CE235" s="1485"/>
      <c r="CF235" s="1485"/>
      <c r="CG235" s="1485"/>
      <c r="CH235" s="1498"/>
      <c r="CI235" s="1499"/>
      <c r="CJ235" s="1507"/>
      <c r="CK235" s="1508"/>
      <c r="CL235" s="1499"/>
      <c r="CM235" s="1499"/>
      <c r="CN235" s="1499"/>
      <c r="CP235" s="1500"/>
    </row>
    <row r="236" spans="1:95" s="283" customFormat="1" ht="18.75" thickBot="1">
      <c r="A236" s="441" t="s">
        <v>143</v>
      </c>
      <c r="B236" s="1272" t="s">
        <v>68</v>
      </c>
      <c r="C236" s="1272" t="s">
        <v>69</v>
      </c>
      <c r="D236" s="1273" t="s">
        <v>70</v>
      </c>
      <c r="E236" s="288"/>
      <c r="F236" s="743" t="s">
        <v>71</v>
      </c>
      <c r="G236" s="744" t="s">
        <v>72</v>
      </c>
      <c r="H236" s="744" t="s">
        <v>118</v>
      </c>
      <c r="I236" s="49" t="s">
        <v>94</v>
      </c>
      <c r="J236" s="744" t="s">
        <v>75</v>
      </c>
      <c r="K236" s="49" t="s">
        <v>76</v>
      </c>
      <c r="L236" s="914" t="s">
        <v>77</v>
      </c>
      <c r="M236" s="1279" t="s">
        <v>53</v>
      </c>
      <c r="N236" s="1486"/>
      <c r="O236" s="743" t="s">
        <v>71</v>
      </c>
      <c r="P236" s="744" t="s">
        <v>72</v>
      </c>
      <c r="Q236" s="744" t="s">
        <v>78</v>
      </c>
      <c r="R236" s="744" t="s">
        <v>74</v>
      </c>
      <c r="S236" s="880" t="s">
        <v>75</v>
      </c>
      <c r="T236" s="744" t="s">
        <v>79</v>
      </c>
      <c r="U236" s="880" t="s">
        <v>77</v>
      </c>
      <c r="V236" s="936" t="s">
        <v>101</v>
      </c>
      <c r="W236" s="722"/>
      <c r="X236" s="743" t="s">
        <v>94</v>
      </c>
      <c r="Y236" s="744" t="s">
        <v>96</v>
      </c>
      <c r="Z236" s="744" t="s">
        <v>81</v>
      </c>
      <c r="AA236" s="744" t="s">
        <v>82</v>
      </c>
      <c r="AB236" s="880" t="s">
        <v>75</v>
      </c>
      <c r="AC236" s="744" t="s">
        <v>83</v>
      </c>
      <c r="AD236" s="744" t="s">
        <v>87</v>
      </c>
      <c r="AE236" s="936" t="s">
        <v>84</v>
      </c>
      <c r="AF236" s="2897"/>
      <c r="AG236" s="88" t="s">
        <v>85</v>
      </c>
      <c r="AH236" s="30" t="s">
        <v>86</v>
      </c>
      <c r="AI236" s="30" t="s">
        <v>77</v>
      </c>
      <c r="AJ236" s="89" t="s">
        <v>75</v>
      </c>
      <c r="AK236" s="30" t="s">
        <v>78</v>
      </c>
      <c r="AL236" s="89" t="s">
        <v>53</v>
      </c>
      <c r="AM236" s="112" t="s">
        <v>88</v>
      </c>
      <c r="AN236" s="936" t="s">
        <v>94</v>
      </c>
      <c r="AO236" s="2897"/>
      <c r="AP236" s="743" t="s">
        <v>86</v>
      </c>
      <c r="AQ236" s="744" t="s">
        <v>89</v>
      </c>
      <c r="AR236" s="744" t="s">
        <v>90</v>
      </c>
      <c r="AS236" s="744" t="s">
        <v>92</v>
      </c>
      <c r="AT236" s="880" t="s">
        <v>250</v>
      </c>
      <c r="AU236" s="744" t="s">
        <v>85</v>
      </c>
      <c r="AV236" s="880" t="s">
        <v>381</v>
      </c>
      <c r="AW236" s="936" t="s">
        <v>481</v>
      </c>
      <c r="AX236" s="2897"/>
      <c r="AY236" s="743" t="s">
        <v>82</v>
      </c>
      <c r="AZ236" s="744" t="s">
        <v>93</v>
      </c>
      <c r="BA236" s="744" t="s">
        <v>94</v>
      </c>
      <c r="BB236" s="744" t="s">
        <v>95</v>
      </c>
      <c r="BC236" s="880" t="s">
        <v>75</v>
      </c>
      <c r="BD236" s="744" t="s">
        <v>53</v>
      </c>
      <c r="BE236" s="880" t="s">
        <v>96</v>
      </c>
      <c r="BF236" s="936" t="s">
        <v>97</v>
      </c>
      <c r="BG236" s="2897"/>
      <c r="BH236" s="755" t="s">
        <v>71</v>
      </c>
      <c r="BI236" s="744" t="s">
        <v>72</v>
      </c>
      <c r="BJ236" s="744" t="s">
        <v>136</v>
      </c>
      <c r="BK236" s="50" t="s">
        <v>74</v>
      </c>
      <c r="BL236" s="1013" t="s">
        <v>75</v>
      </c>
      <c r="BM236" s="51" t="s">
        <v>466</v>
      </c>
      <c r="BN236" s="1344" t="s">
        <v>77</v>
      </c>
      <c r="BO236" s="936" t="s">
        <v>170</v>
      </c>
      <c r="BP236" s="2897"/>
      <c r="BQ236" s="743" t="s">
        <v>250</v>
      </c>
      <c r="BR236" s="744"/>
      <c r="BS236" s="744" t="s">
        <v>92</v>
      </c>
      <c r="BT236" s="744"/>
      <c r="BU236" s="880" t="s">
        <v>469</v>
      </c>
      <c r="BV236" s="744"/>
      <c r="BW236" s="880" t="s">
        <v>149</v>
      </c>
      <c r="BX236" s="936"/>
      <c r="BY236" s="288"/>
      <c r="BZ236" s="1365" t="s">
        <v>80</v>
      </c>
      <c r="CA236" s="880" t="s">
        <v>72</v>
      </c>
      <c r="CB236" s="880" t="s">
        <v>118</v>
      </c>
      <c r="CC236" s="1318" t="s">
        <v>103</v>
      </c>
      <c r="CD236" s="880" t="s">
        <v>75</v>
      </c>
      <c r="CE236" s="880" t="s">
        <v>53</v>
      </c>
      <c r="CF236" s="744" t="s">
        <v>77</v>
      </c>
      <c r="CG236" s="1279" t="s">
        <v>93</v>
      </c>
      <c r="CH236" s="288"/>
      <c r="CI236" s="1391" t="s">
        <v>104</v>
      </c>
      <c r="CJ236" s="1344" t="s">
        <v>105</v>
      </c>
      <c r="CK236" s="1013"/>
      <c r="CL236" s="2897" t="s">
        <v>106</v>
      </c>
      <c r="CM236" s="1013" t="s">
        <v>107</v>
      </c>
      <c r="CN236" s="288" t="s">
        <v>108</v>
      </c>
    </row>
    <row r="237" spans="1:95" s="1227" customFormat="1" ht="20.25">
      <c r="A237" s="430"/>
      <c r="B237" s="431"/>
      <c r="C237" s="431"/>
      <c r="D237" s="432"/>
      <c r="E237" s="1248"/>
      <c r="F237" s="1475"/>
      <c r="G237" s="1357"/>
      <c r="H237" s="1357"/>
      <c r="I237" s="1357"/>
      <c r="J237" s="1357"/>
      <c r="K237" s="1254"/>
      <c r="L237" s="1487"/>
      <c r="M237" s="1487"/>
      <c r="N237" s="1488"/>
      <c r="O237" s="1298"/>
      <c r="P237" s="1357"/>
      <c r="Q237" s="1357"/>
      <c r="R237" s="1357"/>
      <c r="S237" s="1333"/>
      <c r="T237" s="1333"/>
      <c r="U237" s="1333"/>
      <c r="V237" s="1333"/>
      <c r="W237" s="1491"/>
      <c r="X237" s="1298"/>
      <c r="Y237" s="1357"/>
      <c r="Z237" s="1357"/>
      <c r="AA237" s="1357"/>
      <c r="AB237" s="1333"/>
      <c r="AC237" s="1333"/>
      <c r="AD237" s="1353"/>
      <c r="AE237" s="1333"/>
      <c r="AF237" s="1491"/>
      <c r="AG237" s="1298"/>
      <c r="AH237" s="1357"/>
      <c r="AI237" s="1357"/>
      <c r="AJ237" s="1333"/>
      <c r="AK237" s="1333"/>
      <c r="AL237" s="1333"/>
      <c r="AM237" s="1333"/>
      <c r="AN237" s="1333"/>
      <c r="AO237" s="1491"/>
      <c r="AP237" s="1298"/>
      <c r="AQ237" s="1357"/>
      <c r="AR237" s="1357"/>
      <c r="AS237" s="1357"/>
      <c r="AT237" s="1333"/>
      <c r="AU237" s="1333"/>
      <c r="AV237" s="1333"/>
      <c r="AW237" s="1333"/>
      <c r="AX237" s="1491"/>
      <c r="AY237" s="1298"/>
      <c r="AZ237" s="1357"/>
      <c r="BA237" s="1357"/>
      <c r="BB237" s="1357"/>
      <c r="BC237" s="1333"/>
      <c r="BD237" s="1333"/>
      <c r="BE237" s="1333"/>
      <c r="BF237" s="1333"/>
      <c r="BG237" s="1491"/>
      <c r="BH237" s="1298"/>
      <c r="BI237" s="1357"/>
      <c r="BJ237" s="1357"/>
      <c r="BK237" s="1357"/>
      <c r="BL237" s="1333"/>
      <c r="BM237" s="1333"/>
      <c r="BN237" s="1333"/>
      <c r="BO237" s="1333"/>
      <c r="BP237" s="1491"/>
      <c r="BQ237" s="1298"/>
      <c r="BR237" s="1357"/>
      <c r="BS237" s="1357"/>
      <c r="BT237" s="1357"/>
      <c r="BU237" s="1333"/>
      <c r="BV237" s="1333"/>
      <c r="BW237" s="1333"/>
      <c r="BX237" s="1333"/>
      <c r="BY237" s="1491"/>
      <c r="BZ237" s="1298"/>
      <c r="CA237" s="1357"/>
      <c r="CB237" s="1357"/>
      <c r="CC237" s="1357"/>
      <c r="CD237" s="1357"/>
      <c r="CE237" s="1254"/>
      <c r="CF237" s="1333"/>
      <c r="CG237" s="1333"/>
      <c r="CH237" s="1491"/>
      <c r="CI237" s="1467">
        <f>SUM(F237:CG237)</f>
        <v>0</v>
      </c>
      <c r="CJ237" s="1501"/>
      <c r="CK237" s="1502"/>
      <c r="CL237" s="1503">
        <f t="shared" ref="CL237:CL241" si="73">CI237+CJ237</f>
        <v>0</v>
      </c>
      <c r="CM237" s="1502"/>
      <c r="CN237" s="1504">
        <f t="shared" ref="CN237:CN241" si="74">CL237+CM237</f>
        <v>0</v>
      </c>
      <c r="CO237" s="403"/>
      <c r="CP237" s="403"/>
      <c r="CQ237" s="403"/>
    </row>
    <row r="238" spans="1:95" ht="20.25">
      <c r="A238" s="430"/>
      <c r="B238" s="431"/>
      <c r="C238" s="431"/>
      <c r="D238" s="432"/>
      <c r="E238" s="1248"/>
      <c r="F238" s="1475"/>
      <c r="G238" s="1357"/>
      <c r="H238" s="1357"/>
      <c r="I238" s="1357"/>
      <c r="J238" s="1357"/>
      <c r="K238" s="1254"/>
      <c r="L238" s="1487"/>
      <c r="M238" s="1487"/>
      <c r="N238" s="1488"/>
      <c r="O238" s="1298"/>
      <c r="P238" s="1357"/>
      <c r="Q238" s="1357"/>
      <c r="R238" s="1357"/>
      <c r="S238" s="1333"/>
      <c r="T238" s="1333"/>
      <c r="U238" s="1333"/>
      <c r="V238" s="1333"/>
      <c r="W238" s="1491"/>
      <c r="X238" s="1298"/>
      <c r="Y238" s="1357"/>
      <c r="Z238" s="1357"/>
      <c r="AA238" s="1357"/>
      <c r="AB238" s="1333"/>
      <c r="AC238" s="1333"/>
      <c r="AD238" s="1353"/>
      <c r="AE238" s="1333"/>
      <c r="AF238" s="1491"/>
      <c r="AG238" s="1298"/>
      <c r="AH238" s="1357"/>
      <c r="AI238" s="1357"/>
      <c r="AJ238" s="1333"/>
      <c r="AK238" s="1333"/>
      <c r="AL238" s="1333"/>
      <c r="AM238" s="1333"/>
      <c r="AN238" s="1333"/>
      <c r="AO238" s="1491"/>
      <c r="AP238" s="1298"/>
      <c r="AQ238" s="1357"/>
      <c r="AR238" s="1357"/>
      <c r="AS238" s="1357"/>
      <c r="AT238" s="1333"/>
      <c r="AU238" s="1333"/>
      <c r="AV238" s="1333"/>
      <c r="AW238" s="1333"/>
      <c r="AX238" s="1491"/>
      <c r="AY238" s="1298"/>
      <c r="AZ238" s="1357"/>
      <c r="BA238" s="1357"/>
      <c r="BB238" s="1357"/>
      <c r="BC238" s="1333"/>
      <c r="BD238" s="1333"/>
      <c r="BE238" s="1333"/>
      <c r="BF238" s="1333"/>
      <c r="BG238" s="1491"/>
      <c r="BH238" s="1298"/>
      <c r="BI238" s="1357"/>
      <c r="BJ238" s="1357"/>
      <c r="BK238" s="1357"/>
      <c r="BL238" s="1333"/>
      <c r="BM238" s="1333"/>
      <c r="BN238" s="1333"/>
      <c r="BO238" s="1333"/>
      <c r="BP238" s="1491"/>
      <c r="BQ238" s="1298"/>
      <c r="BR238" s="1357"/>
      <c r="BS238" s="1357"/>
      <c r="BT238" s="1357"/>
      <c r="BU238" s="1333"/>
      <c r="BV238" s="1333"/>
      <c r="BW238" s="1333"/>
      <c r="BX238" s="1333"/>
      <c r="BY238" s="1491"/>
      <c r="BZ238" s="1298"/>
      <c r="CA238" s="1357"/>
      <c r="CB238" s="1357"/>
      <c r="CC238" s="1357"/>
      <c r="CD238" s="1357"/>
      <c r="CE238" s="1254"/>
      <c r="CF238" s="1333"/>
      <c r="CG238" s="1333"/>
      <c r="CH238" s="1491"/>
      <c r="CI238" s="1467">
        <f>SUM(F238:CG238)</f>
        <v>0</v>
      </c>
      <c r="CJ238" s="1501"/>
      <c r="CK238" s="1502"/>
      <c r="CL238" s="1503">
        <f t="shared" si="73"/>
        <v>0</v>
      </c>
      <c r="CM238" s="1502"/>
      <c r="CN238" s="1504">
        <f t="shared" si="74"/>
        <v>0</v>
      </c>
    </row>
    <row r="239" spans="1:95" ht="20.25">
      <c r="A239" s="430"/>
      <c r="B239" s="431"/>
      <c r="C239" s="431"/>
      <c r="D239" s="432"/>
      <c r="E239" s="1248"/>
      <c r="F239" s="1475"/>
      <c r="G239" s="1357"/>
      <c r="H239" s="1357"/>
      <c r="I239" s="1357"/>
      <c r="J239" s="1357"/>
      <c r="K239" s="1254"/>
      <c r="L239" s="1487"/>
      <c r="M239" s="1487"/>
      <c r="N239" s="1488"/>
      <c r="O239" s="1298"/>
      <c r="P239" s="1357"/>
      <c r="Q239" s="1357"/>
      <c r="R239" s="1357"/>
      <c r="S239" s="1333"/>
      <c r="T239" s="1333"/>
      <c r="U239" s="1333"/>
      <c r="V239" s="1333"/>
      <c r="W239" s="1491"/>
      <c r="X239" s="1298"/>
      <c r="Y239" s="1357"/>
      <c r="Z239" s="1357"/>
      <c r="AA239" s="1357"/>
      <c r="AB239" s="1333"/>
      <c r="AC239" s="1333"/>
      <c r="AD239" s="1353"/>
      <c r="AE239" s="1333"/>
      <c r="AF239" s="1491"/>
      <c r="AG239" s="1298"/>
      <c r="AH239" s="1357"/>
      <c r="AI239" s="1357"/>
      <c r="AJ239" s="1333"/>
      <c r="AK239" s="1333"/>
      <c r="AL239" s="1333"/>
      <c r="AM239" s="1333"/>
      <c r="AN239" s="1333"/>
      <c r="AO239" s="1491"/>
      <c r="AP239" s="1298"/>
      <c r="AQ239" s="1357"/>
      <c r="AR239" s="1357"/>
      <c r="AS239" s="1357"/>
      <c r="AT239" s="1333"/>
      <c r="AU239" s="1333"/>
      <c r="AV239" s="1333"/>
      <c r="AW239" s="1333"/>
      <c r="AX239" s="1491"/>
      <c r="AY239" s="1298"/>
      <c r="AZ239" s="1357"/>
      <c r="BA239" s="1357"/>
      <c r="BB239" s="1357"/>
      <c r="BC239" s="1333"/>
      <c r="BD239" s="1333"/>
      <c r="BE239" s="1333"/>
      <c r="BF239" s="1333"/>
      <c r="BG239" s="1491"/>
      <c r="BH239" s="1298"/>
      <c r="BI239" s="1357"/>
      <c r="BJ239" s="1357"/>
      <c r="BK239" s="1357"/>
      <c r="BL239" s="1333"/>
      <c r="BM239" s="1333"/>
      <c r="BN239" s="1333"/>
      <c r="BO239" s="1333"/>
      <c r="BP239" s="1491"/>
      <c r="BQ239" s="1298"/>
      <c r="BR239" s="1357"/>
      <c r="BS239" s="1357"/>
      <c r="BT239" s="1357"/>
      <c r="BU239" s="1333"/>
      <c r="BV239" s="1333"/>
      <c r="BW239" s="1333"/>
      <c r="BX239" s="1333"/>
      <c r="BY239" s="1491"/>
      <c r="BZ239" s="1298"/>
      <c r="CA239" s="1357"/>
      <c r="CB239" s="1357"/>
      <c r="CC239" s="1357"/>
      <c r="CD239" s="1357"/>
      <c r="CE239" s="1254"/>
      <c r="CF239" s="1333"/>
      <c r="CG239" s="1333"/>
      <c r="CH239" s="1491"/>
      <c r="CI239" s="1467">
        <f>SUM(F239:CG239)</f>
        <v>0</v>
      </c>
      <c r="CJ239" s="1501"/>
      <c r="CK239" s="1502"/>
      <c r="CL239" s="1503">
        <f t="shared" si="73"/>
        <v>0</v>
      </c>
      <c r="CM239" s="1502"/>
      <c r="CN239" s="1504">
        <f t="shared" si="74"/>
        <v>0</v>
      </c>
    </row>
    <row r="240" spans="1:95" s="1" customFormat="1" ht="20.25">
      <c r="A240" s="430"/>
      <c r="B240" s="431"/>
      <c r="C240" s="431"/>
      <c r="D240" s="432"/>
      <c r="E240" s="1248"/>
      <c r="F240" s="1475"/>
      <c r="G240" s="1357"/>
      <c r="H240" s="1357"/>
      <c r="I240" s="1357"/>
      <c r="J240" s="1357"/>
      <c r="K240" s="1254"/>
      <c r="L240" s="1487"/>
      <c r="M240" s="1487"/>
      <c r="N240" s="1488"/>
      <c r="O240" s="1298"/>
      <c r="P240" s="1357"/>
      <c r="Q240" s="1357"/>
      <c r="R240" s="1357"/>
      <c r="S240" s="1333"/>
      <c r="T240" s="1333"/>
      <c r="U240" s="1333"/>
      <c r="V240" s="1333"/>
      <c r="W240" s="1491"/>
      <c r="X240" s="1298"/>
      <c r="Y240" s="1357"/>
      <c r="Z240" s="1357"/>
      <c r="AA240" s="1357"/>
      <c r="AB240" s="1333"/>
      <c r="AC240" s="1333"/>
      <c r="AD240" s="1353"/>
      <c r="AE240" s="1333"/>
      <c r="AF240" s="1491"/>
      <c r="AG240" s="1298"/>
      <c r="AH240" s="1357"/>
      <c r="AI240" s="1357"/>
      <c r="AJ240" s="1333"/>
      <c r="AK240" s="1333"/>
      <c r="AL240" s="1333"/>
      <c r="AM240" s="1333"/>
      <c r="AN240" s="1333"/>
      <c r="AO240" s="1491"/>
      <c r="AP240" s="1298"/>
      <c r="AQ240" s="1357"/>
      <c r="AR240" s="1357"/>
      <c r="AS240" s="1357"/>
      <c r="AT240" s="1333"/>
      <c r="AU240" s="1333"/>
      <c r="AV240" s="1333"/>
      <c r="AW240" s="1333"/>
      <c r="AX240" s="1491"/>
      <c r="AY240" s="1298"/>
      <c r="AZ240" s="1357"/>
      <c r="BA240" s="1357"/>
      <c r="BB240" s="1357"/>
      <c r="BC240" s="1333"/>
      <c r="BD240" s="1333"/>
      <c r="BE240" s="1333"/>
      <c r="BF240" s="1333"/>
      <c r="BG240" s="1491"/>
      <c r="BH240" s="1298"/>
      <c r="BI240" s="1357"/>
      <c r="BJ240" s="1357"/>
      <c r="BK240" s="1357"/>
      <c r="BL240" s="1333"/>
      <c r="BM240" s="1333"/>
      <c r="BN240" s="1333"/>
      <c r="BO240" s="1333"/>
      <c r="BP240" s="1491"/>
      <c r="BQ240" s="1298"/>
      <c r="BR240" s="1357"/>
      <c r="BS240" s="1357"/>
      <c r="BT240" s="1357"/>
      <c r="BU240" s="1333"/>
      <c r="BV240" s="1333"/>
      <c r="BW240" s="1333"/>
      <c r="BX240" s="1333"/>
      <c r="BY240" s="1491"/>
      <c r="BZ240" s="1298"/>
      <c r="CA240" s="1357"/>
      <c r="CB240" s="1357"/>
      <c r="CC240" s="1357"/>
      <c r="CD240" s="1357"/>
      <c r="CE240" s="1254"/>
      <c r="CF240" s="1333"/>
      <c r="CG240" s="1333"/>
      <c r="CH240" s="1491"/>
      <c r="CI240" s="1467">
        <f>SUM(F240:CG240)</f>
        <v>0</v>
      </c>
      <c r="CJ240" s="1501"/>
      <c r="CK240" s="1502"/>
      <c r="CL240" s="1503">
        <f t="shared" si="73"/>
        <v>0</v>
      </c>
      <c r="CM240" s="1502"/>
      <c r="CN240" s="1504">
        <f t="shared" si="74"/>
        <v>0</v>
      </c>
    </row>
    <row r="241" spans="1:92" s="1" customFormat="1" ht="21" thickBot="1">
      <c r="A241" s="430"/>
      <c r="B241" s="431"/>
      <c r="C241" s="431"/>
      <c r="D241" s="432"/>
      <c r="E241" s="1248"/>
      <c r="F241" s="1475"/>
      <c r="G241" s="1357"/>
      <c r="H241" s="1357"/>
      <c r="I241" s="1357"/>
      <c r="J241" s="1357"/>
      <c r="K241" s="1254"/>
      <c r="L241" s="1487"/>
      <c r="M241" s="1487"/>
      <c r="N241" s="1488"/>
      <c r="O241" s="1298"/>
      <c r="P241" s="1357"/>
      <c r="Q241" s="1357"/>
      <c r="R241" s="1357"/>
      <c r="S241" s="1333"/>
      <c r="T241" s="1333"/>
      <c r="U241" s="1333"/>
      <c r="V241" s="1333"/>
      <c r="W241" s="1491"/>
      <c r="X241" s="1298"/>
      <c r="Y241" s="1357"/>
      <c r="Z241" s="1357"/>
      <c r="AA241" s="1357"/>
      <c r="AB241" s="1333"/>
      <c r="AC241" s="1333"/>
      <c r="AD241" s="1353"/>
      <c r="AE241" s="1333"/>
      <c r="AF241" s="1491"/>
      <c r="AG241" s="1298"/>
      <c r="AH241" s="1357"/>
      <c r="AI241" s="1357"/>
      <c r="AJ241" s="1333"/>
      <c r="AK241" s="1333"/>
      <c r="AL241" s="1333"/>
      <c r="AM241" s="1333"/>
      <c r="AN241" s="1333"/>
      <c r="AO241" s="1491"/>
      <c r="AP241" s="1298"/>
      <c r="AQ241" s="1357"/>
      <c r="AR241" s="1357"/>
      <c r="AS241" s="1357"/>
      <c r="AT241" s="1333"/>
      <c r="AU241" s="1333"/>
      <c r="AV241" s="1333"/>
      <c r="AW241" s="1333"/>
      <c r="AX241" s="1491"/>
      <c r="AY241" s="1298"/>
      <c r="AZ241" s="1357"/>
      <c r="BA241" s="1357"/>
      <c r="BB241" s="1357"/>
      <c r="BC241" s="1333"/>
      <c r="BD241" s="1333"/>
      <c r="BE241" s="1333"/>
      <c r="BF241" s="1333"/>
      <c r="BG241" s="1491"/>
      <c r="BH241" s="1298"/>
      <c r="BI241" s="1357"/>
      <c r="BJ241" s="1357"/>
      <c r="BK241" s="1357"/>
      <c r="BL241" s="1333"/>
      <c r="BM241" s="1333"/>
      <c r="BN241" s="1333"/>
      <c r="BO241" s="1333"/>
      <c r="BP241" s="1491"/>
      <c r="BQ241" s="1298"/>
      <c r="BR241" s="1357"/>
      <c r="BS241" s="1357"/>
      <c r="BT241" s="1357"/>
      <c r="BU241" s="1333"/>
      <c r="BV241" s="1333"/>
      <c r="BW241" s="1333"/>
      <c r="BX241" s="1333"/>
      <c r="BY241" s="1491"/>
      <c r="BZ241" s="1298"/>
      <c r="CA241" s="1357"/>
      <c r="CB241" s="1357"/>
      <c r="CC241" s="1357"/>
      <c r="CD241" s="1357"/>
      <c r="CE241" s="1254"/>
      <c r="CF241" s="1333"/>
      <c r="CG241" s="1333"/>
      <c r="CH241" s="1491"/>
      <c r="CI241" s="1467">
        <f>SUM(F241:CG241)</f>
        <v>0</v>
      </c>
      <c r="CJ241" s="1501"/>
      <c r="CK241" s="1502"/>
      <c r="CL241" s="1503">
        <f t="shared" si="73"/>
        <v>0</v>
      </c>
      <c r="CM241" s="1502"/>
      <c r="CN241" s="1504">
        <f t="shared" si="74"/>
        <v>0</v>
      </c>
    </row>
    <row r="242" spans="1:92" s="276" customFormat="1" ht="21" thickBot="1">
      <c r="A242" s="1477" t="s">
        <v>144</v>
      </c>
      <c r="B242" s="1478"/>
      <c r="C242" s="1478"/>
      <c r="D242" s="1479"/>
      <c r="E242" s="1480"/>
      <c r="F242" s="1481">
        <f t="shared" ref="F242:M242" si="75">SUM(F237:F241)</f>
        <v>0</v>
      </c>
      <c r="G242" s="1481">
        <f t="shared" si="75"/>
        <v>0</v>
      </c>
      <c r="H242" s="1481">
        <f t="shared" si="75"/>
        <v>0</v>
      </c>
      <c r="I242" s="1481">
        <f t="shared" si="75"/>
        <v>0</v>
      </c>
      <c r="J242" s="1481">
        <f t="shared" si="75"/>
        <v>0</v>
      </c>
      <c r="K242" s="1481">
        <f t="shared" si="75"/>
        <v>0</v>
      </c>
      <c r="L242" s="1481">
        <f t="shared" si="75"/>
        <v>0</v>
      </c>
      <c r="M242" s="1481">
        <f t="shared" si="75"/>
        <v>0</v>
      </c>
      <c r="N242" s="1489"/>
      <c r="O242" s="1490">
        <f t="shared" ref="O242:V242" si="76">SUM(O237:O241)</f>
        <v>0</v>
      </c>
      <c r="P242" s="1481">
        <f t="shared" si="76"/>
        <v>0</v>
      </c>
      <c r="Q242" s="1481">
        <f t="shared" si="76"/>
        <v>0</v>
      </c>
      <c r="R242" s="1481">
        <f t="shared" si="76"/>
        <v>0</v>
      </c>
      <c r="S242" s="1481">
        <f t="shared" si="76"/>
        <v>0</v>
      </c>
      <c r="T242" s="1481">
        <f t="shared" si="76"/>
        <v>0</v>
      </c>
      <c r="U242" s="1481">
        <f t="shared" si="76"/>
        <v>0</v>
      </c>
      <c r="V242" s="1481">
        <f t="shared" si="76"/>
        <v>0</v>
      </c>
      <c r="W242" s="1492"/>
      <c r="X242" s="1490">
        <f t="shared" ref="X242:AW242" si="77">SUM(X237:X241)</f>
        <v>0</v>
      </c>
      <c r="Y242" s="1481">
        <f t="shared" si="77"/>
        <v>0</v>
      </c>
      <c r="Z242" s="1481">
        <f t="shared" si="77"/>
        <v>0</v>
      </c>
      <c r="AA242" s="1481">
        <f t="shared" si="77"/>
        <v>0</v>
      </c>
      <c r="AB242" s="1481">
        <f t="shared" si="77"/>
        <v>0</v>
      </c>
      <c r="AC242" s="1481">
        <f t="shared" si="77"/>
        <v>0</v>
      </c>
      <c r="AD242" s="1481">
        <f t="shared" si="77"/>
        <v>0</v>
      </c>
      <c r="AE242" s="1481">
        <f t="shared" si="77"/>
        <v>0</v>
      </c>
      <c r="AF242" s="1492"/>
      <c r="AG242" s="1490">
        <f t="shared" ref="AG242:AN242" si="78">SUM(AG237:AG241)</f>
        <v>0</v>
      </c>
      <c r="AH242" s="1481">
        <f t="shared" si="78"/>
        <v>0</v>
      </c>
      <c r="AI242" s="1481">
        <f t="shared" si="78"/>
        <v>0</v>
      </c>
      <c r="AJ242" s="1481">
        <f t="shared" si="78"/>
        <v>0</v>
      </c>
      <c r="AK242" s="1481">
        <f t="shared" si="78"/>
        <v>0</v>
      </c>
      <c r="AL242" s="1481">
        <f t="shared" si="78"/>
        <v>0</v>
      </c>
      <c r="AM242" s="1481">
        <f t="shared" si="78"/>
        <v>0</v>
      </c>
      <c r="AN242" s="1481">
        <f t="shared" si="78"/>
        <v>0</v>
      </c>
      <c r="AO242" s="1492"/>
      <c r="AP242" s="1490">
        <f t="shared" si="77"/>
        <v>0</v>
      </c>
      <c r="AQ242" s="1481">
        <f t="shared" si="77"/>
        <v>0</v>
      </c>
      <c r="AR242" s="1481">
        <f t="shared" si="77"/>
        <v>0</v>
      </c>
      <c r="AS242" s="1481">
        <f t="shared" si="77"/>
        <v>0</v>
      </c>
      <c r="AT242" s="1481">
        <f t="shared" si="77"/>
        <v>0</v>
      </c>
      <c r="AU242" s="1481">
        <f t="shared" si="77"/>
        <v>0</v>
      </c>
      <c r="AV242" s="1481">
        <f t="shared" si="77"/>
        <v>0</v>
      </c>
      <c r="AW242" s="1481">
        <f t="shared" si="77"/>
        <v>0</v>
      </c>
      <c r="AX242" s="1492"/>
      <c r="AY242" s="1490">
        <f t="shared" ref="AY242:BO242" si="79">SUM(AY237:AY241)</f>
        <v>0</v>
      </c>
      <c r="AZ242" s="1481">
        <f t="shared" si="79"/>
        <v>0</v>
      </c>
      <c r="BA242" s="1481">
        <f t="shared" si="79"/>
        <v>0</v>
      </c>
      <c r="BB242" s="1481">
        <f t="shared" si="79"/>
        <v>0</v>
      </c>
      <c r="BC242" s="1481">
        <f t="shared" si="79"/>
        <v>0</v>
      </c>
      <c r="BD242" s="1481">
        <f t="shared" si="79"/>
        <v>0</v>
      </c>
      <c r="BE242" s="1481">
        <f t="shared" si="79"/>
        <v>0</v>
      </c>
      <c r="BF242" s="1481">
        <f t="shared" si="79"/>
        <v>0</v>
      </c>
      <c r="BG242" s="1492"/>
      <c r="BH242" s="1490">
        <f t="shared" si="79"/>
        <v>0</v>
      </c>
      <c r="BI242" s="1481">
        <f t="shared" si="79"/>
        <v>0</v>
      </c>
      <c r="BJ242" s="1481">
        <f t="shared" si="79"/>
        <v>0</v>
      </c>
      <c r="BK242" s="1481">
        <f t="shared" si="79"/>
        <v>0</v>
      </c>
      <c r="BL242" s="1481">
        <f t="shared" si="79"/>
        <v>0</v>
      </c>
      <c r="BM242" s="1481">
        <f t="shared" si="79"/>
        <v>0</v>
      </c>
      <c r="BN242" s="1481">
        <f t="shared" si="79"/>
        <v>0</v>
      </c>
      <c r="BO242" s="1481">
        <f t="shared" si="79"/>
        <v>0</v>
      </c>
      <c r="BP242" s="1492"/>
      <c r="BQ242" s="1490">
        <f t="shared" ref="BQ242:BX242" si="80">SUM(BQ237:BQ241)</f>
        <v>0</v>
      </c>
      <c r="BR242" s="1481">
        <f t="shared" si="80"/>
        <v>0</v>
      </c>
      <c r="BS242" s="1481">
        <f t="shared" si="80"/>
        <v>0</v>
      </c>
      <c r="BT242" s="1481">
        <f t="shared" si="80"/>
        <v>0</v>
      </c>
      <c r="BU242" s="1481">
        <f t="shared" si="80"/>
        <v>0</v>
      </c>
      <c r="BV242" s="1481">
        <f t="shared" si="80"/>
        <v>0</v>
      </c>
      <c r="BW242" s="1481">
        <f t="shared" si="80"/>
        <v>0</v>
      </c>
      <c r="BX242" s="1481">
        <f t="shared" si="80"/>
        <v>0</v>
      </c>
      <c r="BY242" s="1492"/>
      <c r="BZ242" s="1490">
        <f t="shared" ref="BZ242:CG242" si="81">SUM(BZ237:BZ241)</f>
        <v>0</v>
      </c>
      <c r="CA242" s="1481">
        <f t="shared" si="81"/>
        <v>0</v>
      </c>
      <c r="CB242" s="1481">
        <f t="shared" si="81"/>
        <v>0</v>
      </c>
      <c r="CC242" s="1481">
        <f t="shared" si="81"/>
        <v>0</v>
      </c>
      <c r="CD242" s="1481">
        <f t="shared" si="81"/>
        <v>0</v>
      </c>
      <c r="CE242" s="1481">
        <f t="shared" si="81"/>
        <v>0</v>
      </c>
      <c r="CF242" s="1481">
        <f t="shared" si="81"/>
        <v>0</v>
      </c>
      <c r="CG242" s="1481">
        <f t="shared" si="81"/>
        <v>0</v>
      </c>
      <c r="CH242" s="1496"/>
      <c r="CI242" s="1497">
        <f>SUM(CI237:CI241)</f>
        <v>0</v>
      </c>
      <c r="CJ242" s="1505">
        <f>SUM(CJ237:CJ241)</f>
        <v>0</v>
      </c>
      <c r="CK242" s="1506"/>
      <c r="CL242" s="1497">
        <f>SUM(CL237:CL241)</f>
        <v>0</v>
      </c>
      <c r="CM242" s="1497">
        <f>SUM(CM237:CM241)</f>
        <v>0</v>
      </c>
      <c r="CN242" s="1497">
        <f>SUM(CN237:CN241)</f>
        <v>0</v>
      </c>
    </row>
    <row r="243" spans="1:92" s="3" customFormat="1" ht="21" thickBot="1">
      <c r="A243" s="425"/>
      <c r="B243" s="1482"/>
      <c r="C243" s="1482"/>
      <c r="D243" s="1483"/>
      <c r="E243" s="1484"/>
      <c r="F243" s="1485"/>
      <c r="G243" s="1485"/>
      <c r="H243" s="1485"/>
      <c r="I243" s="1485"/>
      <c r="J243" s="1485"/>
      <c r="K243" s="1485"/>
      <c r="L243" s="1485"/>
      <c r="M243" s="1485"/>
      <c r="N243" s="1485"/>
      <c r="O243" s="1485"/>
      <c r="P243" s="1485"/>
      <c r="Q243" s="1485"/>
      <c r="R243" s="1485"/>
      <c r="S243" s="1485"/>
      <c r="T243" s="1485"/>
      <c r="U243" s="1485"/>
      <c r="V243" s="1485"/>
      <c r="W243" s="1493"/>
      <c r="X243" s="1485"/>
      <c r="Y243" s="1485"/>
      <c r="Z243" s="1485"/>
      <c r="AA243" s="1485"/>
      <c r="AB243" s="1485"/>
      <c r="AC243" s="1485"/>
      <c r="AD243" s="1485"/>
      <c r="AE243" s="1485"/>
      <c r="AF243" s="1493"/>
      <c r="AG243" s="1485"/>
      <c r="AH243" s="1485"/>
      <c r="AI243" s="1485"/>
      <c r="AJ243" s="1485"/>
      <c r="AK243" s="1485"/>
      <c r="AL243" s="1485"/>
      <c r="AM243" s="1485"/>
      <c r="AN243" s="1485"/>
      <c r="AO243" s="1493"/>
      <c r="AP243" s="1485"/>
      <c r="AQ243" s="1485"/>
      <c r="AR243" s="1485"/>
      <c r="AS243" s="1485"/>
      <c r="AT243" s="1485"/>
      <c r="AU243" s="1485"/>
      <c r="AV243" s="1485"/>
      <c r="AW243" s="1485"/>
      <c r="AX243" s="1493"/>
      <c r="AY243" s="1485"/>
      <c r="AZ243" s="1485"/>
      <c r="BA243" s="1485"/>
      <c r="BB243" s="1485"/>
      <c r="BC243" s="1485"/>
      <c r="BD243" s="1485"/>
      <c r="BE243" s="1485"/>
      <c r="BF243" s="1485"/>
      <c r="BG243" s="1493"/>
      <c r="BH243" s="1485"/>
      <c r="BI243" s="1485"/>
      <c r="BJ243" s="1485"/>
      <c r="BK243" s="1485"/>
      <c r="BL243" s="1485"/>
      <c r="BM243" s="1485"/>
      <c r="BN243" s="1485"/>
      <c r="BO243" s="1485"/>
      <c r="BP243" s="1493"/>
      <c r="BQ243" s="1485"/>
      <c r="BR243" s="1485"/>
      <c r="BS243" s="1485"/>
      <c r="BT243" s="1485"/>
      <c r="BU243" s="1485"/>
      <c r="BV243" s="1485"/>
      <c r="BW243" s="1485"/>
      <c r="BX243" s="1485"/>
      <c r="BY243" s="1493"/>
      <c r="BZ243" s="1485"/>
      <c r="CA243" s="1485"/>
      <c r="CB243" s="1485"/>
      <c r="CC243" s="1485"/>
      <c r="CD243" s="1485"/>
      <c r="CE243" s="1485"/>
      <c r="CF243" s="1485"/>
      <c r="CG243" s="1485"/>
      <c r="CH243" s="1498"/>
      <c r="CI243" s="1499"/>
      <c r="CJ243" s="1507"/>
      <c r="CK243" s="1508"/>
      <c r="CL243" s="1499"/>
      <c r="CM243" s="1499"/>
      <c r="CN243" s="1499"/>
    </row>
    <row r="244" spans="1:92" s="1063" customFormat="1" ht="21" thickBot="1">
      <c r="A244" s="1510" t="s">
        <v>145</v>
      </c>
      <c r="B244" s="1511"/>
      <c r="C244" s="1511"/>
      <c r="D244" s="1512"/>
      <c r="E244" s="1513"/>
      <c r="F244" s="529">
        <f t="shared" ref="F244:M244" si="82">F4+F36+F77+F112+F146+F180+F220+F228+F234+F242+F214</f>
        <v>976</v>
      </c>
      <c r="G244" s="529">
        <f t="shared" si="82"/>
        <v>0</v>
      </c>
      <c r="H244" s="529">
        <f t="shared" si="82"/>
        <v>1264</v>
      </c>
      <c r="I244" s="529">
        <f t="shared" si="82"/>
        <v>0</v>
      </c>
      <c r="J244" s="529">
        <f t="shared" si="82"/>
        <v>768</v>
      </c>
      <c r="K244" s="529">
        <f t="shared" si="82"/>
        <v>0</v>
      </c>
      <c r="L244" s="529">
        <f t="shared" si="82"/>
        <v>912</v>
      </c>
      <c r="M244" s="529">
        <f t="shared" si="82"/>
        <v>0</v>
      </c>
      <c r="N244" s="574">
        <f>N4+N36+N77+N220</f>
        <v>0</v>
      </c>
      <c r="O244" s="529">
        <f t="shared" ref="O244:V244" si="83">O4+O36+O77+O112+O146+O180+O214+O228+O234+O242+O220</f>
        <v>0</v>
      </c>
      <c r="P244" s="529">
        <f t="shared" si="83"/>
        <v>0</v>
      </c>
      <c r="Q244" s="529">
        <f t="shared" si="83"/>
        <v>0</v>
      </c>
      <c r="R244" s="529">
        <f t="shared" si="83"/>
        <v>0</v>
      </c>
      <c r="S244" s="529">
        <f t="shared" si="83"/>
        <v>0</v>
      </c>
      <c r="T244" s="529">
        <f t="shared" si="83"/>
        <v>0</v>
      </c>
      <c r="U244" s="529">
        <f t="shared" si="83"/>
        <v>0</v>
      </c>
      <c r="V244" s="529">
        <f t="shared" si="83"/>
        <v>0</v>
      </c>
      <c r="W244" s="3751">
        <f>W4+W77+W220+W228+W234+W242</f>
        <v>0</v>
      </c>
      <c r="X244" s="529">
        <f t="shared" ref="X244:AE244" si="84">X4+X36+X77+X112+X146+X180+X214+X228+X234+X242+X220</f>
        <v>0</v>
      </c>
      <c r="Y244" s="529">
        <f t="shared" si="84"/>
        <v>128</v>
      </c>
      <c r="Z244" s="529">
        <f t="shared" si="84"/>
        <v>0</v>
      </c>
      <c r="AA244" s="529">
        <f t="shared" si="84"/>
        <v>0</v>
      </c>
      <c r="AB244" s="529">
        <f t="shared" si="84"/>
        <v>0</v>
      </c>
      <c r="AC244" s="529">
        <f t="shared" si="84"/>
        <v>0</v>
      </c>
      <c r="AD244" s="529">
        <f t="shared" si="84"/>
        <v>32</v>
      </c>
      <c r="AE244" s="529">
        <f t="shared" si="84"/>
        <v>272</v>
      </c>
      <c r="AF244" s="3751">
        <f>AF4+AF77+AF220+AF228+AF234+AF242</f>
        <v>0</v>
      </c>
      <c r="AG244" s="529">
        <f t="shared" ref="AG244:AN244" si="85">AG4+AG36+AG77+AG112+AG146+AG180+AG214+AG228+AG234+AG242+AG220</f>
        <v>0</v>
      </c>
      <c r="AH244" s="529">
        <f t="shared" si="85"/>
        <v>0</v>
      </c>
      <c r="AI244" s="529">
        <f t="shared" si="85"/>
        <v>704</v>
      </c>
      <c r="AJ244" s="529">
        <f t="shared" si="85"/>
        <v>0</v>
      </c>
      <c r="AK244" s="529">
        <f t="shared" si="85"/>
        <v>1456</v>
      </c>
      <c r="AL244" s="529">
        <f t="shared" si="85"/>
        <v>0</v>
      </c>
      <c r="AM244" s="529">
        <f t="shared" si="85"/>
        <v>1840</v>
      </c>
      <c r="AN244" s="529">
        <f t="shared" si="85"/>
        <v>0</v>
      </c>
      <c r="AO244" s="3751">
        <f>AO4+AO77+AO220+AO228+AO234+AO242</f>
        <v>0</v>
      </c>
      <c r="AP244" s="529">
        <f t="shared" ref="AP244:AW244" si="86">AP4+AP36+AP77+AP112+AP146+AP180+AP214+AP228+AP234+AP242+AP220</f>
        <v>32</v>
      </c>
      <c r="AQ244" s="529">
        <f t="shared" si="86"/>
        <v>368</v>
      </c>
      <c r="AR244" s="529">
        <f t="shared" si="86"/>
        <v>48</v>
      </c>
      <c r="AS244" s="529">
        <f t="shared" si="86"/>
        <v>0</v>
      </c>
      <c r="AT244" s="529">
        <f t="shared" si="86"/>
        <v>0</v>
      </c>
      <c r="AU244" s="529">
        <f t="shared" si="86"/>
        <v>0</v>
      </c>
      <c r="AV244" s="529">
        <f t="shared" si="86"/>
        <v>0</v>
      </c>
      <c r="AW244" s="529">
        <f t="shared" si="86"/>
        <v>0</v>
      </c>
      <c r="AX244" s="3751">
        <f>AX4+AX77+AX220+AX228+AX234+AX242</f>
        <v>0</v>
      </c>
      <c r="AY244" s="529">
        <f t="shared" ref="AY244:BF244" si="87">AY4+AY36+AY77+AY112+AY146+AY180+AY214+AY228+AY234+AY242+AY220</f>
        <v>0</v>
      </c>
      <c r="AZ244" s="529">
        <f t="shared" si="87"/>
        <v>0</v>
      </c>
      <c r="BA244" s="529">
        <f t="shared" si="87"/>
        <v>4752</v>
      </c>
      <c r="BB244" s="529">
        <f t="shared" si="87"/>
        <v>0</v>
      </c>
      <c r="BC244" s="529">
        <f t="shared" si="87"/>
        <v>624</v>
      </c>
      <c r="BD244" s="529">
        <f t="shared" si="87"/>
        <v>5584</v>
      </c>
      <c r="BE244" s="529">
        <f t="shared" si="87"/>
        <v>0</v>
      </c>
      <c r="BF244" s="529">
        <f t="shared" si="87"/>
        <v>0</v>
      </c>
      <c r="BG244" s="3751">
        <f>BG4+BG77+BG220+BG228+BG234+BG242</f>
        <v>0</v>
      </c>
      <c r="BH244" s="529">
        <f t="shared" ref="BH244:BO244" si="88">BH4+BH36+BH77+BH112+BH146+BH180+BH214+BH228+BH234+BH242+BH220</f>
        <v>0</v>
      </c>
      <c r="BI244" s="529">
        <f t="shared" si="88"/>
        <v>1904</v>
      </c>
      <c r="BJ244" s="529">
        <f t="shared" si="88"/>
        <v>1328</v>
      </c>
      <c r="BK244" s="529">
        <f t="shared" si="88"/>
        <v>464</v>
      </c>
      <c r="BL244" s="529">
        <f t="shared" si="88"/>
        <v>0</v>
      </c>
      <c r="BM244" s="529">
        <f t="shared" si="88"/>
        <v>0</v>
      </c>
      <c r="BN244" s="529">
        <f t="shared" si="88"/>
        <v>160</v>
      </c>
      <c r="BO244" s="529">
        <f t="shared" si="88"/>
        <v>0</v>
      </c>
      <c r="BP244" s="3751">
        <f>BP4+BP77+BP220+BP228+BP234+BP242</f>
        <v>0</v>
      </c>
      <c r="BQ244" s="529">
        <f t="shared" ref="BQ244:BX244" si="89">BQ4+BQ36+BQ77+BQ112+BQ146+BQ180+BQ214+BQ228+BQ234+BQ242+BQ220</f>
        <v>16</v>
      </c>
      <c r="BR244" s="529">
        <f t="shared" si="89"/>
        <v>0</v>
      </c>
      <c r="BS244" s="529">
        <f t="shared" si="89"/>
        <v>0</v>
      </c>
      <c r="BT244" s="529">
        <f t="shared" si="89"/>
        <v>0</v>
      </c>
      <c r="BU244" s="529">
        <f t="shared" si="89"/>
        <v>0</v>
      </c>
      <c r="BV244" s="529">
        <f t="shared" si="89"/>
        <v>560</v>
      </c>
      <c r="BW244" s="529">
        <f t="shared" si="89"/>
        <v>0</v>
      </c>
      <c r="BX244" s="529">
        <f t="shared" si="89"/>
        <v>464</v>
      </c>
      <c r="BY244" s="3751">
        <f>BY4+BY77+BY220+BY228+BY234+BY242</f>
        <v>0</v>
      </c>
      <c r="BZ244" s="529">
        <f t="shared" ref="BZ244:CG244" si="90">BZ4+BZ36+BZ77+BZ112+BZ146+BZ180+BZ214+BZ228+BZ234+BZ242+BZ220</f>
        <v>15728</v>
      </c>
      <c r="CA244" s="529">
        <f t="shared" si="90"/>
        <v>0</v>
      </c>
      <c r="CB244" s="529">
        <f t="shared" si="90"/>
        <v>0</v>
      </c>
      <c r="CC244" s="529">
        <f t="shared" si="90"/>
        <v>0</v>
      </c>
      <c r="CD244" s="529">
        <f t="shared" si="90"/>
        <v>400</v>
      </c>
      <c r="CE244" s="529">
        <f t="shared" si="90"/>
        <v>0</v>
      </c>
      <c r="CF244" s="529">
        <f t="shared" si="90"/>
        <v>0</v>
      </c>
      <c r="CG244" s="529">
        <f t="shared" si="90"/>
        <v>0</v>
      </c>
      <c r="CH244" s="3753"/>
      <c r="CI244" s="529">
        <f>CI4+CI36+CI77+CI112+CI146+CI180+CI214+CI228+CI234+CI242+CI220</f>
        <v>40784</v>
      </c>
      <c r="CJ244" s="529">
        <f>CJ4+CJ36+CJ77+CJ112+CJ146+CJ180+CJ214+CJ228+CJ234+CJ242+CJ220</f>
        <v>37</v>
      </c>
      <c r="CK244" s="3754"/>
      <c r="CL244" s="529">
        <f>CL4+CL36+CL77+CL112+CL146+CL180+CL214+CL228+CL234+CL242+CL220</f>
        <v>40821</v>
      </c>
      <c r="CM244" s="529">
        <f>CM4+CM36+CM77+CM112+CM146+CM180+CM214+CM228+CM234+CM242+CM220</f>
        <v>437</v>
      </c>
      <c r="CN244" s="529">
        <f>CN4+CN36+CN77+CN112+CN146+CN180+CN214+CN228+CN234+CN242+CN220</f>
        <v>41258</v>
      </c>
    </row>
    <row r="245" spans="1:92" s="1230" customFormat="1" ht="21" thickBot="1">
      <c r="A245" s="1514" t="s">
        <v>146</v>
      </c>
      <c r="B245" s="1515"/>
      <c r="C245" s="1515"/>
      <c r="D245" s="1516"/>
      <c r="E245" s="1517"/>
      <c r="F245" s="1518">
        <f>F244/16</f>
        <v>61</v>
      </c>
      <c r="G245" s="1519">
        <f t="shared" ref="G245:M245" si="91">G244/16</f>
        <v>0</v>
      </c>
      <c r="H245" s="1519">
        <f t="shared" si="91"/>
        <v>79</v>
      </c>
      <c r="I245" s="534">
        <f t="shared" si="91"/>
        <v>0</v>
      </c>
      <c r="J245" s="1519">
        <f t="shared" si="91"/>
        <v>48</v>
      </c>
      <c r="K245" s="1541">
        <f t="shared" si="91"/>
        <v>0</v>
      </c>
      <c r="L245" s="1519">
        <f t="shared" si="91"/>
        <v>57</v>
      </c>
      <c r="M245" s="1542">
        <f t="shared" si="91"/>
        <v>0</v>
      </c>
      <c r="N245" s="575"/>
      <c r="O245" s="1518">
        <f>O244/16</f>
        <v>0</v>
      </c>
      <c r="P245" s="1519">
        <f t="shared" ref="P245:V245" si="92">P244/16</f>
        <v>0</v>
      </c>
      <c r="Q245" s="1519">
        <f t="shared" si="92"/>
        <v>0</v>
      </c>
      <c r="R245" s="1519">
        <f t="shared" si="92"/>
        <v>0</v>
      </c>
      <c r="S245" s="1519">
        <f t="shared" si="92"/>
        <v>0</v>
      </c>
      <c r="T245" s="1519">
        <f t="shared" si="92"/>
        <v>0</v>
      </c>
      <c r="U245" s="1519">
        <f t="shared" si="92"/>
        <v>0</v>
      </c>
      <c r="V245" s="1542">
        <f t="shared" si="92"/>
        <v>0</v>
      </c>
      <c r="W245" s="3752"/>
      <c r="X245" s="1518">
        <f>X244/16</f>
        <v>0</v>
      </c>
      <c r="Y245" s="1519">
        <f t="shared" ref="Y245:AE245" si="93">Y244/16</f>
        <v>8</v>
      </c>
      <c r="Z245" s="1519">
        <f t="shared" si="93"/>
        <v>0</v>
      </c>
      <c r="AA245" s="1519">
        <f t="shared" si="93"/>
        <v>0</v>
      </c>
      <c r="AB245" s="1519">
        <f t="shared" si="93"/>
        <v>0</v>
      </c>
      <c r="AC245" s="1519">
        <f t="shared" si="93"/>
        <v>0</v>
      </c>
      <c r="AD245" s="1541">
        <f t="shared" si="93"/>
        <v>2</v>
      </c>
      <c r="AE245" s="1542">
        <f t="shared" si="93"/>
        <v>17</v>
      </c>
      <c r="AF245" s="3752"/>
      <c r="AG245" s="1518">
        <f>AG244/16</f>
        <v>0</v>
      </c>
      <c r="AH245" s="1519">
        <f t="shared" ref="AH245:AN245" si="94">AH244/16</f>
        <v>0</v>
      </c>
      <c r="AI245" s="1519">
        <f t="shared" si="94"/>
        <v>44</v>
      </c>
      <c r="AJ245" s="1519">
        <f t="shared" si="94"/>
        <v>0</v>
      </c>
      <c r="AK245" s="1519">
        <f t="shared" si="94"/>
        <v>91</v>
      </c>
      <c r="AL245" s="1519">
        <f t="shared" si="94"/>
        <v>0</v>
      </c>
      <c r="AM245" s="1542">
        <f t="shared" si="94"/>
        <v>115</v>
      </c>
      <c r="AN245" s="1542">
        <f t="shared" si="94"/>
        <v>0</v>
      </c>
      <c r="AO245" s="3752"/>
      <c r="AP245" s="1518">
        <f>AP244/16</f>
        <v>2</v>
      </c>
      <c r="AQ245" s="1519">
        <f t="shared" ref="AQ245:AW245" si="95">AQ244/16</f>
        <v>23</v>
      </c>
      <c r="AR245" s="1519">
        <f t="shared" si="95"/>
        <v>3</v>
      </c>
      <c r="AS245" s="1519">
        <f t="shared" si="95"/>
        <v>0</v>
      </c>
      <c r="AT245" s="1519">
        <f t="shared" si="95"/>
        <v>0</v>
      </c>
      <c r="AU245" s="1519">
        <f t="shared" si="95"/>
        <v>0</v>
      </c>
      <c r="AV245" s="1519">
        <f t="shared" si="95"/>
        <v>0</v>
      </c>
      <c r="AW245" s="1542">
        <f t="shared" si="95"/>
        <v>0</v>
      </c>
      <c r="AX245" s="3752"/>
      <c r="AY245" s="1518">
        <f>AY244/16</f>
        <v>0</v>
      </c>
      <c r="AZ245" s="1519">
        <f t="shared" ref="AZ245:BF245" si="96">AZ244/16</f>
        <v>0</v>
      </c>
      <c r="BA245" s="1519">
        <f t="shared" si="96"/>
        <v>297</v>
      </c>
      <c r="BB245" s="1519">
        <f t="shared" si="96"/>
        <v>0</v>
      </c>
      <c r="BC245" s="1519">
        <f t="shared" si="96"/>
        <v>39</v>
      </c>
      <c r="BD245" s="1519">
        <f t="shared" si="96"/>
        <v>349</v>
      </c>
      <c r="BE245" s="1519">
        <f t="shared" si="96"/>
        <v>0</v>
      </c>
      <c r="BF245" s="1542">
        <f t="shared" si="96"/>
        <v>0</v>
      </c>
      <c r="BG245" s="3752"/>
      <c r="BH245" s="1518">
        <f>BH244/16</f>
        <v>0</v>
      </c>
      <c r="BI245" s="1519">
        <f t="shared" ref="BI245:BO245" si="97">BI244/16</f>
        <v>119</v>
      </c>
      <c r="BJ245" s="1519">
        <f t="shared" si="97"/>
        <v>83</v>
      </c>
      <c r="BK245" s="1519">
        <f t="shared" si="97"/>
        <v>29</v>
      </c>
      <c r="BL245" s="1519">
        <f t="shared" si="97"/>
        <v>0</v>
      </c>
      <c r="BM245" s="1519">
        <f t="shared" si="97"/>
        <v>0</v>
      </c>
      <c r="BN245" s="1519">
        <f t="shared" si="97"/>
        <v>10</v>
      </c>
      <c r="BO245" s="1542">
        <f t="shared" si="97"/>
        <v>0</v>
      </c>
      <c r="BP245" s="3752"/>
      <c r="BQ245" s="1518">
        <f>BQ244/16</f>
        <v>1</v>
      </c>
      <c r="BR245" s="1519">
        <f t="shared" ref="BR245:BX245" si="98">BR244/16</f>
        <v>0</v>
      </c>
      <c r="BS245" s="1519">
        <f t="shared" si="98"/>
        <v>0</v>
      </c>
      <c r="BT245" s="1519">
        <f t="shared" si="98"/>
        <v>0</v>
      </c>
      <c r="BU245" s="1519">
        <f t="shared" si="98"/>
        <v>0</v>
      </c>
      <c r="BV245" s="1519">
        <f t="shared" si="98"/>
        <v>35</v>
      </c>
      <c r="BW245" s="1519">
        <f t="shared" si="98"/>
        <v>0</v>
      </c>
      <c r="BX245" s="1542">
        <f t="shared" si="98"/>
        <v>29</v>
      </c>
      <c r="BY245" s="3752"/>
      <c r="BZ245" s="1518">
        <f>BZ244/16</f>
        <v>983</v>
      </c>
      <c r="CA245" s="1519">
        <f t="shared" ref="CA245:CG245" si="99">CA244/16</f>
        <v>0</v>
      </c>
      <c r="CB245" s="1519">
        <f t="shared" si="99"/>
        <v>0</v>
      </c>
      <c r="CC245" s="1519">
        <f t="shared" si="99"/>
        <v>0</v>
      </c>
      <c r="CD245" s="1519">
        <f t="shared" si="99"/>
        <v>25</v>
      </c>
      <c r="CE245" s="1541">
        <f t="shared" si="99"/>
        <v>0</v>
      </c>
      <c r="CF245" s="1519">
        <f t="shared" si="99"/>
        <v>0</v>
      </c>
      <c r="CG245" s="1542">
        <f t="shared" si="99"/>
        <v>0</v>
      </c>
      <c r="CH245" s="3752"/>
      <c r="CI245" s="2901">
        <f>CI244/16</f>
        <v>2549</v>
      </c>
      <c r="CJ245" s="2901">
        <f>CJ244/16</f>
        <v>2.3125</v>
      </c>
      <c r="CK245" s="3752"/>
      <c r="CL245" s="693">
        <f>CL244/16</f>
        <v>2551.3125</v>
      </c>
      <c r="CM245" s="529">
        <f t="shared" ref="CM245:CN245" si="100">CM244/16</f>
        <v>27.3125</v>
      </c>
      <c r="CN245" s="693">
        <f t="shared" si="100"/>
        <v>2578.625</v>
      </c>
    </row>
    <row r="246" spans="1:92" s="1063" customFormat="1" ht="24" thickBot="1">
      <c r="A246" s="3755" t="s">
        <v>147</v>
      </c>
      <c r="B246" s="3755"/>
      <c r="C246" s="3755"/>
      <c r="D246" s="3755"/>
      <c r="E246" s="3755"/>
      <c r="F246" s="3756"/>
      <c r="G246" s="3756"/>
      <c r="H246" s="3756"/>
      <c r="I246" s="3756"/>
      <c r="J246" s="3756"/>
      <c r="K246" s="3756"/>
      <c r="L246" s="3756"/>
      <c r="M246" s="3756"/>
      <c r="N246" s="3755"/>
      <c r="O246" s="3757"/>
      <c r="P246" s="3757"/>
      <c r="Q246" s="3757"/>
      <c r="R246" s="3757"/>
      <c r="S246" s="3757"/>
      <c r="T246" s="3757"/>
      <c r="U246" s="3757"/>
      <c r="V246" s="3757"/>
      <c r="W246" s="3755"/>
      <c r="X246" s="3756"/>
      <c r="Y246" s="3756"/>
      <c r="Z246" s="3756"/>
      <c r="AA246" s="3756"/>
      <c r="AB246" s="3756"/>
      <c r="AC246" s="3756"/>
      <c r="AD246" s="3756"/>
      <c r="AE246" s="3756"/>
      <c r="AF246" s="3756"/>
      <c r="AG246" s="3756"/>
      <c r="AH246" s="3756"/>
      <c r="AI246" s="3756"/>
      <c r="AJ246" s="3756"/>
      <c r="AK246" s="3756"/>
      <c r="AL246" s="3756"/>
      <c r="AM246" s="3756"/>
      <c r="AN246" s="3756"/>
      <c r="AO246" s="3756"/>
      <c r="AP246" s="3756"/>
      <c r="AQ246" s="3756"/>
      <c r="AR246" s="3756"/>
      <c r="AS246" s="3756"/>
      <c r="AT246" s="3756"/>
      <c r="AU246" s="3756"/>
      <c r="AV246" s="3756"/>
      <c r="AW246" s="3756"/>
      <c r="AX246" s="3756"/>
      <c r="AY246" s="3756"/>
      <c r="AZ246" s="3756"/>
      <c r="BA246" s="3756"/>
      <c r="BB246" s="3756"/>
      <c r="BC246" s="3756"/>
      <c r="BD246" s="3756"/>
      <c r="BE246" s="3756"/>
      <c r="BF246" s="3756"/>
      <c r="BG246" s="3756"/>
      <c r="BH246" s="3756"/>
      <c r="BI246" s="3756"/>
      <c r="BJ246" s="3756"/>
      <c r="BK246" s="3756"/>
      <c r="BL246" s="3756"/>
      <c r="BM246" s="3756"/>
      <c r="BN246" s="3756"/>
      <c r="BO246" s="3756"/>
      <c r="BP246" s="3756"/>
      <c r="BQ246" s="3757"/>
      <c r="BR246" s="3757"/>
      <c r="BS246" s="3757"/>
      <c r="BT246" s="3757"/>
      <c r="BU246" s="3757"/>
      <c r="BV246" s="3757"/>
      <c r="BW246" s="3757"/>
      <c r="BX246" s="3757"/>
      <c r="BY246" s="3756"/>
      <c r="BZ246" s="3757"/>
      <c r="CA246" s="3757"/>
      <c r="CB246" s="3757"/>
      <c r="CC246" s="3757"/>
      <c r="CD246" s="3757"/>
      <c r="CE246" s="3757"/>
      <c r="CF246" s="3757"/>
      <c r="CG246" s="3757"/>
      <c r="CH246" s="3755"/>
      <c r="CI246" s="3756"/>
      <c r="CJ246" s="3756"/>
      <c r="CK246" s="3755"/>
      <c r="CL246" s="3755"/>
      <c r="CM246" s="3755"/>
      <c r="CN246" s="3755"/>
    </row>
    <row r="247" spans="1:92" s="1063" customFormat="1" ht="15.75" thickBot="1">
      <c r="A247" s="3761"/>
      <c r="B247" s="3762"/>
      <c r="C247" s="3763"/>
      <c r="D247" s="3764"/>
      <c r="E247" s="1520"/>
      <c r="F247" s="3765" t="s">
        <v>58</v>
      </c>
      <c r="G247" s="3766"/>
      <c r="H247" s="3766"/>
      <c r="I247" s="3766"/>
      <c r="J247" s="3766"/>
      <c r="K247" s="3766"/>
      <c r="L247" s="3766"/>
      <c r="M247" s="3766"/>
      <c r="N247" s="2898"/>
      <c r="O247" s="3758" t="str">
        <f>O2</f>
        <v>5001 (Maharaja)</v>
      </c>
      <c r="P247" s="3759"/>
      <c r="Q247" s="3759"/>
      <c r="R247" s="3759"/>
      <c r="S247" s="3759"/>
      <c r="T247" s="3759"/>
      <c r="U247" s="3759"/>
      <c r="V247" s="3760"/>
      <c r="W247" s="1562"/>
      <c r="X247" s="3766" t="str">
        <f>X2</f>
        <v>5002 (Maharaja) - Gold</v>
      </c>
      <c r="Y247" s="3766"/>
      <c r="Z247" s="3766"/>
      <c r="AA247" s="3766"/>
      <c r="AB247" s="3766"/>
      <c r="AC247" s="3766"/>
      <c r="AD247" s="3766"/>
      <c r="AE247" s="3766"/>
      <c r="AF247" s="2898"/>
      <c r="AG247" s="3758" t="str">
        <f>AG2</f>
        <v>5003 (Flower)</v>
      </c>
      <c r="AH247" s="3759"/>
      <c r="AI247" s="3759"/>
      <c r="AJ247" s="3759"/>
      <c r="AK247" s="3759"/>
      <c r="AL247" s="3759"/>
      <c r="AM247" s="3767"/>
      <c r="AN247" s="3760"/>
      <c r="AO247" s="2898"/>
      <c r="AP247" s="3758" t="str">
        <f>AP2</f>
        <v>6001 (Goli)</v>
      </c>
      <c r="AQ247" s="3759"/>
      <c r="AR247" s="3759"/>
      <c r="AS247" s="3759"/>
      <c r="AT247" s="3759"/>
      <c r="AU247" s="3759"/>
      <c r="AV247" s="3759"/>
      <c r="AW247" s="3760"/>
      <c r="AX247" s="2898"/>
      <c r="AY247" s="3758" t="str">
        <f>AY2</f>
        <v>6002 (Chattai)</v>
      </c>
      <c r="AZ247" s="3759"/>
      <c r="BA247" s="3759"/>
      <c r="BB247" s="3759"/>
      <c r="BC247" s="3759"/>
      <c r="BD247" s="3759"/>
      <c r="BE247" s="3759"/>
      <c r="BF247" s="3760"/>
      <c r="BG247" s="2898"/>
      <c r="BH247" s="3758" t="str">
        <f>BH2</f>
        <v>6003 (Patti)</v>
      </c>
      <c r="BI247" s="3759"/>
      <c r="BJ247" s="3759"/>
      <c r="BK247" s="3759"/>
      <c r="BL247" s="3759"/>
      <c r="BM247" s="3759"/>
      <c r="BN247" s="3759"/>
      <c r="BO247" s="3760"/>
      <c r="BP247" s="2898"/>
      <c r="BQ247" s="3758">
        <f>BQ2</f>
        <v>2002</v>
      </c>
      <c r="BR247" s="3759"/>
      <c r="BS247" s="3759"/>
      <c r="BT247" s="3759"/>
      <c r="BU247" s="3759"/>
      <c r="BV247" s="3759"/>
      <c r="BW247" s="3759"/>
      <c r="BX247" s="3760"/>
      <c r="BY247" s="2899"/>
      <c r="BZ247" s="3758" t="str">
        <f>BZ2</f>
        <v xml:space="preserve">10001 New (Goli) </v>
      </c>
      <c r="CA247" s="3759"/>
      <c r="CB247" s="3759"/>
      <c r="CC247" s="3759"/>
      <c r="CD247" s="3759"/>
      <c r="CE247" s="3759"/>
      <c r="CF247" s="3759"/>
      <c r="CG247" s="3760"/>
      <c r="CH247" s="1562"/>
      <c r="CI247" s="3768"/>
      <c r="CJ247" s="3768"/>
      <c r="CK247" s="3768"/>
      <c r="CL247" s="3768"/>
      <c r="CM247" s="3768"/>
      <c r="CN247" s="3769"/>
    </row>
    <row r="248" spans="1:92" s="1063" customFormat="1" ht="27" thickBot="1">
      <c r="A248" s="1521" t="s">
        <v>148</v>
      </c>
      <c r="B248" s="1522" t="s">
        <v>68</v>
      </c>
      <c r="C248" s="1522" t="s">
        <v>69</v>
      </c>
      <c r="D248" s="1523" t="s">
        <v>70</v>
      </c>
      <c r="E248" s="1524"/>
      <c r="F248" s="1525" t="s">
        <v>71</v>
      </c>
      <c r="G248" s="744" t="s">
        <v>533</v>
      </c>
      <c r="H248" s="48" t="s">
        <v>73</v>
      </c>
      <c r="I248" s="744" t="s">
        <v>94</v>
      </c>
      <c r="J248" s="771" t="s">
        <v>75</v>
      </c>
      <c r="K248" s="48" t="s">
        <v>76</v>
      </c>
      <c r="L248" s="1543" t="s">
        <v>77</v>
      </c>
      <c r="M248" s="914" t="s">
        <v>53</v>
      </c>
      <c r="N248" s="3108"/>
      <c r="O248" s="1525" t="s">
        <v>71</v>
      </c>
      <c r="P248" s="770" t="s">
        <v>72</v>
      </c>
      <c r="Q248" s="770" t="s">
        <v>78</v>
      </c>
      <c r="R248" s="770" t="s">
        <v>74</v>
      </c>
      <c r="S248" s="1563" t="s">
        <v>75</v>
      </c>
      <c r="T248" s="770" t="s">
        <v>79</v>
      </c>
      <c r="U248" s="1563" t="s">
        <v>77</v>
      </c>
      <c r="V248" s="1564" t="s">
        <v>80</v>
      </c>
      <c r="W248" s="3099"/>
      <c r="X248" s="743" t="s">
        <v>94</v>
      </c>
      <c r="Y248" s="744" t="s">
        <v>96</v>
      </c>
      <c r="Z248" s="744" t="s">
        <v>81</v>
      </c>
      <c r="AA248" s="744" t="s">
        <v>82</v>
      </c>
      <c r="AB248" s="880" t="s">
        <v>75</v>
      </c>
      <c r="AC248" s="744" t="s">
        <v>83</v>
      </c>
      <c r="AD248" s="744" t="s">
        <v>87</v>
      </c>
      <c r="AE248" s="936" t="s">
        <v>84</v>
      </c>
      <c r="AF248" s="3099"/>
      <c r="AG248" s="88" t="s">
        <v>85</v>
      </c>
      <c r="AH248" s="30" t="s">
        <v>86</v>
      </c>
      <c r="AI248" s="30" t="s">
        <v>77</v>
      </c>
      <c r="AJ248" s="89" t="s">
        <v>75</v>
      </c>
      <c r="AK248" s="30" t="s">
        <v>78</v>
      </c>
      <c r="AL248" s="89" t="s">
        <v>53</v>
      </c>
      <c r="AM248" s="112" t="s">
        <v>88</v>
      </c>
      <c r="AN248" s="87" t="s">
        <v>94</v>
      </c>
      <c r="AO248" s="3099"/>
      <c r="AP248" s="743" t="s">
        <v>86</v>
      </c>
      <c r="AQ248" s="744" t="s">
        <v>123</v>
      </c>
      <c r="AR248" s="744" t="s">
        <v>90</v>
      </c>
      <c r="AS248" s="744" t="s">
        <v>92</v>
      </c>
      <c r="AT248" s="880" t="s">
        <v>250</v>
      </c>
      <c r="AU248" s="744" t="s">
        <v>85</v>
      </c>
      <c r="AV248" s="880" t="s">
        <v>381</v>
      </c>
      <c r="AW248" s="936" t="s">
        <v>481</v>
      </c>
      <c r="AX248" s="3099"/>
      <c r="AY248" s="743" t="s">
        <v>82</v>
      </c>
      <c r="AZ248" s="744" t="s">
        <v>93</v>
      </c>
      <c r="BA248" s="744" t="s">
        <v>94</v>
      </c>
      <c r="BB248" s="744" t="s">
        <v>95</v>
      </c>
      <c r="BC248" s="880" t="s">
        <v>75</v>
      </c>
      <c r="BD248" s="744" t="s">
        <v>53</v>
      </c>
      <c r="BE248" s="880" t="s">
        <v>96</v>
      </c>
      <c r="BF248" s="936" t="s">
        <v>97</v>
      </c>
      <c r="BG248" s="3099"/>
      <c r="BH248" s="1525" t="s">
        <v>71</v>
      </c>
      <c r="BI248" s="744" t="s">
        <v>465</v>
      </c>
      <c r="BJ248" s="770" t="s">
        <v>136</v>
      </c>
      <c r="BK248" s="770" t="s">
        <v>100</v>
      </c>
      <c r="BL248" s="1563" t="s">
        <v>75</v>
      </c>
      <c r="BM248" s="51" t="s">
        <v>466</v>
      </c>
      <c r="BN248" s="1563" t="s">
        <v>77</v>
      </c>
      <c r="BO248" s="936" t="s">
        <v>170</v>
      </c>
      <c r="BP248" s="3099"/>
      <c r="BQ248" s="743" t="s">
        <v>250</v>
      </c>
      <c r="BR248" s="744" t="s">
        <v>466</v>
      </c>
      <c r="BS248" s="744" t="s">
        <v>92</v>
      </c>
      <c r="BT248" s="744" t="s">
        <v>53</v>
      </c>
      <c r="BU248" s="880" t="s">
        <v>469</v>
      </c>
      <c r="BV248" s="744"/>
      <c r="BW248" s="880" t="s">
        <v>149</v>
      </c>
      <c r="BX248" s="936"/>
      <c r="BY248" s="3099"/>
      <c r="BZ248" s="1013" t="s">
        <v>80</v>
      </c>
      <c r="CA248" s="879" t="s">
        <v>72</v>
      </c>
      <c r="CB248" s="880" t="s">
        <v>118</v>
      </c>
      <c r="CC248" s="880" t="s">
        <v>103</v>
      </c>
      <c r="CD248" s="1318" t="s">
        <v>579</v>
      </c>
      <c r="CE248" s="1318" t="s">
        <v>585</v>
      </c>
      <c r="CF248" s="744" t="s">
        <v>77</v>
      </c>
      <c r="CG248" s="936" t="s">
        <v>93</v>
      </c>
      <c r="CH248" s="1587"/>
      <c r="CI248" s="1588" t="s">
        <v>104</v>
      </c>
      <c r="CJ248" s="1599"/>
      <c r="CK248" s="1599" t="s">
        <v>150</v>
      </c>
      <c r="CL248" s="536" t="s">
        <v>106</v>
      </c>
      <c r="CM248" s="1599" t="s">
        <v>107</v>
      </c>
      <c r="CN248" s="536" t="s">
        <v>108</v>
      </c>
    </row>
    <row r="249" spans="1:92" s="1063" customFormat="1" ht="20.25">
      <c r="A249" s="547" t="s">
        <v>618</v>
      </c>
      <c r="B249" s="545"/>
      <c r="C249" s="539"/>
      <c r="D249" s="544">
        <v>46116</v>
      </c>
      <c r="E249" s="1526"/>
      <c r="F249" s="3100"/>
      <c r="G249" s="3101"/>
      <c r="H249" s="3102"/>
      <c r="I249" s="3101"/>
      <c r="J249" s="3101"/>
      <c r="K249" s="3101"/>
      <c r="L249" s="3101"/>
      <c r="M249" s="3103"/>
      <c r="N249" s="1544"/>
      <c r="O249" s="1583"/>
      <c r="P249" s="3104"/>
      <c r="Q249" s="3104"/>
      <c r="R249" s="3104"/>
      <c r="S249" s="3104"/>
      <c r="T249" s="3104"/>
      <c r="U249" s="3102"/>
      <c r="V249" s="3105"/>
      <c r="W249" s="1565"/>
      <c r="X249" s="1583"/>
      <c r="Y249" s="3104"/>
      <c r="Z249" s="3104"/>
      <c r="AA249" s="3104"/>
      <c r="AB249" s="3104"/>
      <c r="AC249" s="3104"/>
      <c r="AD249" s="3102"/>
      <c r="AE249" s="3105"/>
      <c r="AF249" s="1565"/>
      <c r="AG249" s="1583"/>
      <c r="AH249" s="3104"/>
      <c r="AI249" s="3104">
        <f>3*16</f>
        <v>48</v>
      </c>
      <c r="AJ249" s="3104"/>
      <c r="AK249" s="3104"/>
      <c r="AL249" s="3102"/>
      <c r="AM249" s="3106"/>
      <c r="AN249" s="3102"/>
      <c r="AO249" s="1565"/>
      <c r="AP249" s="1583"/>
      <c r="AQ249" s="3104"/>
      <c r="AR249" s="3104"/>
      <c r="AS249" s="3104"/>
      <c r="AT249" s="3104"/>
      <c r="AU249" s="3104"/>
      <c r="AV249" s="3102"/>
      <c r="AW249" s="3107"/>
      <c r="AX249" s="1565"/>
      <c r="AY249" s="1583"/>
      <c r="AZ249" s="3104"/>
      <c r="BA249" s="3104"/>
      <c r="BB249" s="3104"/>
      <c r="BC249" s="3104"/>
      <c r="BD249" s="3104"/>
      <c r="BE249" s="3102"/>
      <c r="BF249" s="3107"/>
      <c r="BG249" s="1565"/>
      <c r="BH249" s="1583"/>
      <c r="BI249" s="3104"/>
      <c r="BJ249" s="3104"/>
      <c r="BK249" s="3104"/>
      <c r="BL249" s="3104"/>
      <c r="BM249" s="3104"/>
      <c r="BN249" s="3102"/>
      <c r="BO249" s="3107"/>
      <c r="BP249" s="1565"/>
      <c r="BQ249" s="1583"/>
      <c r="BR249" s="3104"/>
      <c r="BS249" s="3104"/>
      <c r="BT249" s="3104"/>
      <c r="BU249" s="3104"/>
      <c r="BV249" s="3104"/>
      <c r="BW249" s="3102"/>
      <c r="BX249" s="3107"/>
      <c r="BY249" s="1565"/>
      <c r="BZ249" s="1583"/>
      <c r="CA249" s="3102"/>
      <c r="CB249" s="3102"/>
      <c r="CC249" s="3102"/>
      <c r="CD249" s="3102"/>
      <c r="CE249" s="3102"/>
      <c r="CF249" s="3104"/>
      <c r="CG249" s="3107"/>
      <c r="CH249" s="1589"/>
      <c r="CI249" s="1590">
        <f t="shared" ref="CI249:CI284" si="101">SUM(F249:CG249)</f>
        <v>48</v>
      </c>
      <c r="CJ249" s="1600"/>
      <c r="CK249" s="1600"/>
      <c r="CL249" s="1601">
        <f>CI249+CJ249+CK249</f>
        <v>48</v>
      </c>
      <c r="CM249" s="1602"/>
      <c r="CN249" s="1603">
        <f>CL249+CM249</f>
        <v>48</v>
      </c>
    </row>
    <row r="250" spans="1:92" s="1063" customFormat="1" ht="20.25">
      <c r="A250" s="537" t="s">
        <v>619</v>
      </c>
      <c r="B250" s="545"/>
      <c r="C250" s="539"/>
      <c r="D250" s="544">
        <v>46116</v>
      </c>
      <c r="E250" s="1199"/>
      <c r="F250" s="1527"/>
      <c r="G250" s="1528"/>
      <c r="H250" s="1529"/>
      <c r="I250" s="1528"/>
      <c r="J250" s="1528"/>
      <c r="K250" s="1528"/>
      <c r="L250" s="1528"/>
      <c r="M250" s="1545"/>
      <c r="N250" s="1546"/>
      <c r="O250" s="1547"/>
      <c r="P250" s="1548"/>
      <c r="Q250" s="1548"/>
      <c r="R250" s="1548"/>
      <c r="S250" s="1548"/>
      <c r="T250" s="1548"/>
      <c r="U250" s="1529"/>
      <c r="V250" s="1566"/>
      <c r="W250" s="1567"/>
      <c r="X250" s="1547"/>
      <c r="Y250" s="1548"/>
      <c r="Z250" s="1548"/>
      <c r="AA250" s="1548"/>
      <c r="AB250" s="1548"/>
      <c r="AC250" s="1548"/>
      <c r="AD250" s="1529"/>
      <c r="AE250" s="1566"/>
      <c r="AF250" s="1567"/>
      <c r="AG250" s="1547"/>
      <c r="AH250" s="1548"/>
      <c r="AI250" s="1548">
        <f>5*16</f>
        <v>80</v>
      </c>
      <c r="AJ250" s="1548"/>
      <c r="AK250" s="1548"/>
      <c r="AL250" s="1529"/>
      <c r="AM250" s="1574">
        <f>5*16</f>
        <v>80</v>
      </c>
      <c r="AN250" s="1529"/>
      <c r="AO250" s="1567"/>
      <c r="AP250" s="1547"/>
      <c r="AQ250" s="1548"/>
      <c r="AR250" s="1548"/>
      <c r="AS250" s="1548"/>
      <c r="AT250" s="1548"/>
      <c r="AU250" s="1548"/>
      <c r="AV250" s="1529"/>
      <c r="AW250" s="1553"/>
      <c r="AX250" s="1567"/>
      <c r="AY250" s="1547"/>
      <c r="AZ250" s="1548"/>
      <c r="BA250" s="1548">
        <f>4*16</f>
        <v>64</v>
      </c>
      <c r="BB250" s="1548"/>
      <c r="BC250" s="1548"/>
      <c r="BD250" s="1548">
        <f>4*16</f>
        <v>64</v>
      </c>
      <c r="BE250" s="1529"/>
      <c r="BF250" s="1553"/>
      <c r="BG250" s="1567"/>
      <c r="BH250" s="1547"/>
      <c r="BI250" s="1548"/>
      <c r="BJ250" s="1548">
        <f>4*16</f>
        <v>64</v>
      </c>
      <c r="BK250" s="1548"/>
      <c r="BL250" s="1548"/>
      <c r="BM250" s="1548"/>
      <c r="BN250" s="1529"/>
      <c r="BO250" s="1553"/>
      <c r="BP250" s="1567"/>
      <c r="BQ250" s="1547"/>
      <c r="BR250" s="1548"/>
      <c r="BS250" s="1548"/>
      <c r="BT250" s="1548"/>
      <c r="BU250" s="1548"/>
      <c r="BV250" s="1548"/>
      <c r="BW250" s="1529"/>
      <c r="BX250" s="1553"/>
      <c r="BY250" s="1567"/>
      <c r="BZ250" s="1547"/>
      <c r="CA250" s="1529"/>
      <c r="CB250" s="1529"/>
      <c r="CC250" s="1529"/>
      <c r="CD250" s="1529"/>
      <c r="CE250" s="1529"/>
      <c r="CF250" s="1548"/>
      <c r="CG250" s="1553"/>
      <c r="CH250" s="1591"/>
      <c r="CI250" s="1592">
        <f t="shared" si="101"/>
        <v>352</v>
      </c>
      <c r="CJ250" s="1604"/>
      <c r="CK250" s="1604"/>
      <c r="CL250" s="1605">
        <f t="shared" ref="CL250:CL315" si="102">CI250+CJ250+CK250</f>
        <v>352</v>
      </c>
      <c r="CM250" s="1606"/>
      <c r="CN250" s="1607">
        <f t="shared" ref="CN250:CN315" si="103">CL250+CM250</f>
        <v>352</v>
      </c>
    </row>
    <row r="251" spans="1:92" s="1230" customFormat="1" ht="20.25">
      <c r="A251" s="537" t="s">
        <v>621</v>
      </c>
      <c r="B251" s="545"/>
      <c r="C251" s="539"/>
      <c r="D251" s="544">
        <v>46119</v>
      </c>
      <c r="E251" s="1199"/>
      <c r="F251" s="1527"/>
      <c r="G251" s="1528"/>
      <c r="H251" s="1529"/>
      <c r="I251" s="1528"/>
      <c r="J251" s="1528"/>
      <c r="K251" s="1528"/>
      <c r="L251" s="1528"/>
      <c r="M251" s="1545"/>
      <c r="N251" s="1546"/>
      <c r="O251" s="1547"/>
      <c r="P251" s="1548"/>
      <c r="Q251" s="1548"/>
      <c r="R251" s="1548"/>
      <c r="S251" s="1548"/>
      <c r="T251" s="1548"/>
      <c r="U251" s="1529"/>
      <c r="V251" s="1566"/>
      <c r="W251" s="1567"/>
      <c r="X251" s="1547"/>
      <c r="Y251" s="1548"/>
      <c r="Z251" s="1548"/>
      <c r="AA251" s="1548"/>
      <c r="AB251" s="1548"/>
      <c r="AC251" s="1548"/>
      <c r="AD251" s="1529"/>
      <c r="AE251" s="1566"/>
      <c r="AF251" s="1567"/>
      <c r="AG251" s="1547"/>
      <c r="AH251" s="1548"/>
      <c r="AI251" s="1548"/>
      <c r="AJ251" s="1548"/>
      <c r="AK251" s="1548"/>
      <c r="AL251" s="1529"/>
      <c r="AM251" s="1574"/>
      <c r="AN251" s="1529"/>
      <c r="AO251" s="1567"/>
      <c r="AP251" s="1547"/>
      <c r="AQ251" s="1548"/>
      <c r="AR251" s="1548"/>
      <c r="AS251" s="1548"/>
      <c r="AT251" s="1548"/>
      <c r="AU251" s="1548"/>
      <c r="AV251" s="1529"/>
      <c r="AW251" s="1553"/>
      <c r="AX251" s="1567"/>
      <c r="AY251" s="1547"/>
      <c r="AZ251" s="1548"/>
      <c r="BA251" s="1548"/>
      <c r="BB251" s="1548"/>
      <c r="BC251" s="1548"/>
      <c r="BD251" s="1548">
        <f>5*16</f>
        <v>80</v>
      </c>
      <c r="BE251" s="1529"/>
      <c r="BF251" s="1553"/>
      <c r="BG251" s="1567"/>
      <c r="BH251" s="1547"/>
      <c r="BI251" s="1548"/>
      <c r="BJ251" s="1548"/>
      <c r="BK251" s="1548"/>
      <c r="BL251" s="1548"/>
      <c r="BM251" s="1548"/>
      <c r="BN251" s="1529"/>
      <c r="BO251" s="1553"/>
      <c r="BP251" s="1567"/>
      <c r="BQ251" s="1547"/>
      <c r="BR251" s="1548"/>
      <c r="BS251" s="1548"/>
      <c r="BT251" s="1548"/>
      <c r="BU251" s="1548"/>
      <c r="BV251" s="1548"/>
      <c r="BW251" s="1529"/>
      <c r="BX251" s="1553"/>
      <c r="BY251" s="1567"/>
      <c r="BZ251" s="1547"/>
      <c r="CA251" s="1529"/>
      <c r="CB251" s="1529"/>
      <c r="CC251" s="1529"/>
      <c r="CD251" s="1529"/>
      <c r="CE251" s="1529"/>
      <c r="CF251" s="1548"/>
      <c r="CG251" s="1553"/>
      <c r="CH251" s="1591"/>
      <c r="CI251" s="1592">
        <f t="shared" si="101"/>
        <v>80</v>
      </c>
      <c r="CJ251" s="1604"/>
      <c r="CK251" s="1604"/>
      <c r="CL251" s="1605">
        <f t="shared" si="102"/>
        <v>80</v>
      </c>
      <c r="CM251" s="1606"/>
      <c r="CN251" s="1607">
        <f t="shared" si="103"/>
        <v>80</v>
      </c>
    </row>
    <row r="252" spans="1:92" s="1063" customFormat="1" ht="20.25">
      <c r="A252" s="537" t="s">
        <v>622</v>
      </c>
      <c r="B252" s="545"/>
      <c r="C252" s="539"/>
      <c r="D252" s="544">
        <v>46119</v>
      </c>
      <c r="E252" s="1199"/>
      <c r="F252" s="1527"/>
      <c r="G252" s="1528"/>
      <c r="H252" s="1529"/>
      <c r="I252" s="1528"/>
      <c r="J252" s="1528"/>
      <c r="K252" s="1528"/>
      <c r="L252" s="1528"/>
      <c r="M252" s="1545"/>
      <c r="N252" s="1546"/>
      <c r="O252" s="1547"/>
      <c r="P252" s="1548"/>
      <c r="Q252" s="1548"/>
      <c r="R252" s="1548"/>
      <c r="S252" s="1548"/>
      <c r="T252" s="1548"/>
      <c r="U252" s="1529"/>
      <c r="V252" s="1566"/>
      <c r="W252" s="1567"/>
      <c r="X252" s="1547"/>
      <c r="Y252" s="1548"/>
      <c r="Z252" s="1548"/>
      <c r="AA252" s="1548"/>
      <c r="AB252" s="1548"/>
      <c r="AC252" s="1548"/>
      <c r="AD252" s="1529"/>
      <c r="AE252" s="1566"/>
      <c r="AF252" s="1567"/>
      <c r="AG252" s="1547"/>
      <c r="AH252" s="1548"/>
      <c r="AI252" s="1529">
        <f>3*16</f>
        <v>48</v>
      </c>
      <c r="AJ252" s="1548"/>
      <c r="AK252" s="1548"/>
      <c r="AL252" s="1529"/>
      <c r="AM252" s="1574"/>
      <c r="AN252" s="1529"/>
      <c r="AO252" s="1567"/>
      <c r="AP252" s="1547"/>
      <c r="AQ252" s="1548"/>
      <c r="AR252" s="1548"/>
      <c r="AS252" s="1548"/>
      <c r="AT252" s="1548"/>
      <c r="AU252" s="1548"/>
      <c r="AV252" s="1529"/>
      <c r="AW252" s="1553"/>
      <c r="AX252" s="1567"/>
      <c r="AY252" s="1547"/>
      <c r="AZ252" s="1548"/>
      <c r="BA252" s="1548"/>
      <c r="BB252" s="1548"/>
      <c r="BC252" s="1548"/>
      <c r="BD252" s="1548"/>
      <c r="BE252" s="1529"/>
      <c r="BF252" s="1553"/>
      <c r="BG252" s="1567"/>
      <c r="BH252" s="1547"/>
      <c r="BI252" s="1548">
        <f>6*16</f>
        <v>96</v>
      </c>
      <c r="BJ252" s="1548"/>
      <c r="BK252" s="1548"/>
      <c r="BL252" s="1548"/>
      <c r="BM252" s="1548"/>
      <c r="BN252" s="1529"/>
      <c r="BO252" s="1553"/>
      <c r="BP252" s="1567"/>
      <c r="BQ252" s="1547"/>
      <c r="BR252" s="1548"/>
      <c r="BS252" s="1548"/>
      <c r="BT252" s="1548"/>
      <c r="BU252" s="1548"/>
      <c r="BV252" s="1548"/>
      <c r="BW252" s="1529"/>
      <c r="BX252" s="1553"/>
      <c r="BY252" s="1567"/>
      <c r="BZ252" s="1547">
        <f>20*16</f>
        <v>320</v>
      </c>
      <c r="CA252" s="1529"/>
      <c r="CB252" s="1529"/>
      <c r="CC252" s="1529"/>
      <c r="CD252" s="1529"/>
      <c r="CE252" s="1529"/>
      <c r="CF252" s="1548"/>
      <c r="CG252" s="1553"/>
      <c r="CH252" s="1591"/>
      <c r="CI252" s="1592">
        <f t="shared" si="101"/>
        <v>464</v>
      </c>
      <c r="CJ252" s="1604"/>
      <c r="CK252" s="1604"/>
      <c r="CL252" s="1605">
        <f t="shared" si="102"/>
        <v>464</v>
      </c>
      <c r="CM252" s="1606"/>
      <c r="CN252" s="1607">
        <f t="shared" si="103"/>
        <v>464</v>
      </c>
    </row>
    <row r="253" spans="1:92" s="1230" customFormat="1" ht="20.25">
      <c r="A253" s="537" t="s">
        <v>623</v>
      </c>
      <c r="B253" s="545"/>
      <c r="C253" s="539"/>
      <c r="D253" s="544">
        <v>46119</v>
      </c>
      <c r="E253" s="1199"/>
      <c r="F253" s="1527"/>
      <c r="G253" s="1528"/>
      <c r="H253" s="1529"/>
      <c r="I253" s="1528"/>
      <c r="J253" s="1528"/>
      <c r="K253" s="1528"/>
      <c r="L253" s="1528"/>
      <c r="M253" s="1545"/>
      <c r="N253" s="1546"/>
      <c r="O253" s="1547"/>
      <c r="P253" s="1548"/>
      <c r="Q253" s="1548"/>
      <c r="R253" s="1548"/>
      <c r="S253" s="1548"/>
      <c r="T253" s="1548"/>
      <c r="U253" s="1529"/>
      <c r="V253" s="1566"/>
      <c r="W253" s="1567"/>
      <c r="X253" s="1547"/>
      <c r="Y253" s="1548"/>
      <c r="Z253" s="1548"/>
      <c r="AA253" s="1548"/>
      <c r="AB253" s="1548"/>
      <c r="AC253" s="1548"/>
      <c r="AD253" s="1529"/>
      <c r="AE253" s="1566"/>
      <c r="AF253" s="1567"/>
      <c r="AG253" s="1547"/>
      <c r="AH253" s="1548"/>
      <c r="AI253" s="1529">
        <f>4*16</f>
        <v>64</v>
      </c>
      <c r="AJ253" s="1548"/>
      <c r="AK253" s="1548"/>
      <c r="AL253" s="1529"/>
      <c r="AM253" s="1574">
        <f>4*16</f>
        <v>64</v>
      </c>
      <c r="AN253" s="1529"/>
      <c r="AO253" s="1567"/>
      <c r="AP253" s="1547"/>
      <c r="AQ253" s="1548"/>
      <c r="AR253" s="1548"/>
      <c r="AS253" s="1548"/>
      <c r="AT253" s="1548"/>
      <c r="AU253" s="1548"/>
      <c r="AV253" s="1529"/>
      <c r="AW253" s="1553"/>
      <c r="AX253" s="1567"/>
      <c r="AY253" s="1547"/>
      <c r="AZ253" s="1548"/>
      <c r="BA253" s="1548">
        <f>2*16</f>
        <v>32</v>
      </c>
      <c r="BB253" s="1548"/>
      <c r="BC253" s="1548"/>
      <c r="BD253" s="1548">
        <f>6*16</f>
        <v>96</v>
      </c>
      <c r="BE253" s="1529"/>
      <c r="BF253" s="1553"/>
      <c r="BG253" s="1567"/>
      <c r="BH253" s="1547"/>
      <c r="BI253" s="1548">
        <f>2*16</f>
        <v>32</v>
      </c>
      <c r="BJ253" s="1548"/>
      <c r="BK253" s="1548">
        <f>2*16</f>
        <v>32</v>
      </c>
      <c r="BL253" s="1548"/>
      <c r="BM253" s="1548"/>
      <c r="BN253" s="1529"/>
      <c r="BO253" s="1553"/>
      <c r="BP253" s="1567"/>
      <c r="BQ253" s="1547"/>
      <c r="BR253" s="1548"/>
      <c r="BS253" s="1548"/>
      <c r="BT253" s="1548"/>
      <c r="BU253" s="1548"/>
      <c r="BV253" s="1548"/>
      <c r="BW253" s="1529"/>
      <c r="BX253" s="1553"/>
      <c r="BY253" s="1567"/>
      <c r="BZ253" s="1547"/>
      <c r="CA253" s="1529"/>
      <c r="CB253" s="1529"/>
      <c r="CC253" s="1529"/>
      <c r="CD253" s="1529"/>
      <c r="CE253" s="1529"/>
      <c r="CF253" s="1548"/>
      <c r="CG253" s="1553"/>
      <c r="CH253" s="1591"/>
      <c r="CI253" s="1592">
        <f t="shared" si="101"/>
        <v>320</v>
      </c>
      <c r="CJ253" s="1604"/>
      <c r="CK253" s="1604"/>
      <c r="CL253" s="1605">
        <f t="shared" si="102"/>
        <v>320</v>
      </c>
      <c r="CM253" s="1606"/>
      <c r="CN253" s="1607">
        <f t="shared" si="103"/>
        <v>320</v>
      </c>
    </row>
    <row r="254" spans="1:92" s="1230" customFormat="1" ht="20.25">
      <c r="A254" s="537" t="s">
        <v>624</v>
      </c>
      <c r="B254" s="545"/>
      <c r="C254" s="539"/>
      <c r="D254" s="544">
        <v>46120</v>
      </c>
      <c r="E254" s="1199"/>
      <c r="F254" s="1527"/>
      <c r="G254" s="1528"/>
      <c r="H254" s="1529"/>
      <c r="I254" s="1528"/>
      <c r="J254" s="1528"/>
      <c r="K254" s="1528"/>
      <c r="L254" s="1528"/>
      <c r="M254" s="1545"/>
      <c r="N254" s="1546"/>
      <c r="O254" s="1547"/>
      <c r="P254" s="1548"/>
      <c r="Q254" s="1548"/>
      <c r="R254" s="1548"/>
      <c r="S254" s="1548"/>
      <c r="T254" s="1548"/>
      <c r="U254" s="1529"/>
      <c r="V254" s="1566"/>
      <c r="W254" s="1567"/>
      <c r="X254" s="1547"/>
      <c r="Y254" s="1548"/>
      <c r="Z254" s="1548"/>
      <c r="AA254" s="1548"/>
      <c r="AB254" s="1548"/>
      <c r="AC254" s="1548"/>
      <c r="AD254" s="1529"/>
      <c r="AE254" s="1566"/>
      <c r="AF254" s="1567"/>
      <c r="AG254" s="1547"/>
      <c r="AH254" s="1548"/>
      <c r="AI254" s="1529"/>
      <c r="AJ254" s="1548"/>
      <c r="AK254" s="1548">
        <f>2*16</f>
        <v>32</v>
      </c>
      <c r="AL254" s="1529"/>
      <c r="AM254" s="1574">
        <f>4*16</f>
        <v>64</v>
      </c>
      <c r="AN254" s="1529"/>
      <c r="AO254" s="1567"/>
      <c r="AP254" s="1547"/>
      <c r="AQ254" s="1548"/>
      <c r="AR254" s="1548"/>
      <c r="AS254" s="1548"/>
      <c r="AT254" s="1548"/>
      <c r="AU254" s="1548"/>
      <c r="AV254" s="1529"/>
      <c r="AW254" s="1553"/>
      <c r="AX254" s="1567"/>
      <c r="AY254" s="1547"/>
      <c r="AZ254" s="1548"/>
      <c r="BA254" s="1548">
        <f>1*16</f>
        <v>16</v>
      </c>
      <c r="BB254" s="1548"/>
      <c r="BC254" s="1548"/>
      <c r="BD254" s="1548"/>
      <c r="BE254" s="1529"/>
      <c r="BF254" s="1553">
        <f>4*16</f>
        <v>64</v>
      </c>
      <c r="BG254" s="1567"/>
      <c r="BH254" s="1547"/>
      <c r="BI254" s="1548"/>
      <c r="BJ254" s="1548"/>
      <c r="BK254" s="1548"/>
      <c r="BL254" s="1548"/>
      <c r="BM254" s="1548"/>
      <c r="BN254" s="1529"/>
      <c r="BO254" s="1553"/>
      <c r="BP254" s="1567"/>
      <c r="BQ254" s="1547"/>
      <c r="BR254" s="1548"/>
      <c r="BS254" s="1548"/>
      <c r="BT254" s="1548"/>
      <c r="BU254" s="1548"/>
      <c r="BV254" s="1548"/>
      <c r="BW254" s="1529"/>
      <c r="BX254" s="1553"/>
      <c r="BY254" s="1567"/>
      <c r="BZ254" s="1547"/>
      <c r="CA254" s="1529"/>
      <c r="CB254" s="1529"/>
      <c r="CC254" s="1529"/>
      <c r="CD254" s="1529"/>
      <c r="CE254" s="1529"/>
      <c r="CF254" s="1548"/>
      <c r="CG254" s="1553"/>
      <c r="CH254" s="1591"/>
      <c r="CI254" s="1592">
        <f t="shared" si="101"/>
        <v>176</v>
      </c>
      <c r="CJ254" s="1604"/>
      <c r="CK254" s="1604"/>
      <c r="CL254" s="1605">
        <f t="shared" si="102"/>
        <v>176</v>
      </c>
      <c r="CM254" s="1606"/>
      <c r="CN254" s="1607">
        <f t="shared" si="103"/>
        <v>176</v>
      </c>
    </row>
    <row r="255" spans="1:92" s="1230" customFormat="1" ht="20.25">
      <c r="A255" s="537" t="s">
        <v>625</v>
      </c>
      <c r="B255" s="545"/>
      <c r="C255" s="539"/>
      <c r="D255" s="544">
        <v>46121</v>
      </c>
      <c r="E255" s="1107"/>
      <c r="F255" s="1530"/>
      <c r="G255" s="1003"/>
      <c r="H255" s="1531"/>
      <c r="I255" s="1003"/>
      <c r="J255" s="1003"/>
      <c r="K255" s="1003"/>
      <c r="L255" s="1003"/>
      <c r="M255" s="1549"/>
      <c r="N255" s="1550"/>
      <c r="O255" s="1551"/>
      <c r="P255" s="1552"/>
      <c r="Q255" s="1552"/>
      <c r="R255" s="1552"/>
      <c r="S255" s="1552"/>
      <c r="T255" s="1552"/>
      <c r="U255" s="1531"/>
      <c r="V255" s="1568"/>
      <c r="W255" s="1569"/>
      <c r="X255" s="1551"/>
      <c r="Y255" s="1552"/>
      <c r="Z255" s="1552"/>
      <c r="AA255" s="1552"/>
      <c r="AB255" s="1552"/>
      <c r="AC255" s="1552"/>
      <c r="AD255" s="1531"/>
      <c r="AE255" s="1568"/>
      <c r="AF255" s="1569"/>
      <c r="AG255" s="1551"/>
      <c r="AH255" s="1552"/>
      <c r="AI255" s="1531"/>
      <c r="AJ255" s="1552"/>
      <c r="AK255" s="1552"/>
      <c r="AL255" s="1531"/>
      <c r="AM255" s="1575"/>
      <c r="AN255" s="1531"/>
      <c r="AO255" s="1569"/>
      <c r="AP255" s="1551"/>
      <c r="AQ255" s="1552"/>
      <c r="AR255" s="1552"/>
      <c r="AS255" s="1552"/>
      <c r="AT255" s="1552"/>
      <c r="AU255" s="1552"/>
      <c r="AV255" s="1531"/>
      <c r="AW255" s="1554"/>
      <c r="AX255" s="1569"/>
      <c r="AY255" s="1551"/>
      <c r="AZ255" s="1552"/>
      <c r="BA255" s="1552"/>
      <c r="BB255" s="1552"/>
      <c r="BC255" s="1552"/>
      <c r="BD255" s="1552"/>
      <c r="BE255" s="1531"/>
      <c r="BF255" s="1554"/>
      <c r="BG255" s="1569"/>
      <c r="BH255" s="1551"/>
      <c r="BI255" s="1552">
        <f>4*16</f>
        <v>64</v>
      </c>
      <c r="BJ255" s="1552">
        <f>4*16</f>
        <v>64</v>
      </c>
      <c r="BK255" s="1552"/>
      <c r="BL255" s="1552"/>
      <c r="BM255" s="1552"/>
      <c r="BN255" s="1531"/>
      <c r="BO255" s="1554"/>
      <c r="BP255" s="1569"/>
      <c r="BQ255" s="1551"/>
      <c r="BR255" s="1552"/>
      <c r="BS255" s="1552"/>
      <c r="BT255" s="1552"/>
      <c r="BU255" s="1552"/>
      <c r="BV255" s="1552"/>
      <c r="BW255" s="1531"/>
      <c r="BX255" s="1554"/>
      <c r="BY255" s="1569"/>
      <c r="BZ255" s="1551"/>
      <c r="CA255" s="1531"/>
      <c r="CB255" s="1531"/>
      <c r="CC255" s="1531"/>
      <c r="CD255" s="1531"/>
      <c r="CE255" s="1531"/>
      <c r="CF255" s="1552"/>
      <c r="CG255" s="1554"/>
      <c r="CH255" s="1593"/>
      <c r="CI255" s="1594">
        <f t="shared" si="101"/>
        <v>128</v>
      </c>
      <c r="CJ255" s="1608"/>
      <c r="CK255" s="1608"/>
      <c r="CL255" s="1609">
        <f t="shared" si="102"/>
        <v>128</v>
      </c>
      <c r="CM255" s="1610"/>
      <c r="CN255" s="1611">
        <f t="shared" si="103"/>
        <v>128</v>
      </c>
    </row>
    <row r="256" spans="1:92" s="1063" customFormat="1" ht="20.25">
      <c r="A256" s="537" t="s">
        <v>627</v>
      </c>
      <c r="B256" s="545"/>
      <c r="C256" s="539"/>
      <c r="D256" s="544">
        <v>46122</v>
      </c>
      <c r="E256" s="1107"/>
      <c r="F256" s="1530"/>
      <c r="G256" s="1003"/>
      <c r="H256" s="1531"/>
      <c r="I256" s="1003"/>
      <c r="J256" s="1003"/>
      <c r="K256" s="1003"/>
      <c r="L256" s="1003"/>
      <c r="M256" s="1549"/>
      <c r="N256" s="1550"/>
      <c r="O256" s="1551"/>
      <c r="P256" s="1552"/>
      <c r="Q256" s="1552"/>
      <c r="R256" s="1552"/>
      <c r="S256" s="1552"/>
      <c r="T256" s="1552"/>
      <c r="U256" s="1531"/>
      <c r="V256" s="1568"/>
      <c r="W256" s="1569"/>
      <c r="X256" s="1551"/>
      <c r="Y256" s="1552"/>
      <c r="Z256" s="1552"/>
      <c r="AA256" s="1552"/>
      <c r="AB256" s="1552"/>
      <c r="AC256" s="1552"/>
      <c r="AD256" s="1531"/>
      <c r="AE256" s="1568"/>
      <c r="AF256" s="1569"/>
      <c r="AG256" s="1551"/>
      <c r="AH256" s="1552"/>
      <c r="AI256" s="1531"/>
      <c r="AJ256" s="1552"/>
      <c r="AK256" s="1552"/>
      <c r="AL256" s="1531"/>
      <c r="AM256" s="1575">
        <f>10*16</f>
        <v>160</v>
      </c>
      <c r="AN256" s="1531"/>
      <c r="AO256" s="1569"/>
      <c r="AP256" s="1551"/>
      <c r="AQ256" s="1552"/>
      <c r="AR256" s="1552"/>
      <c r="AS256" s="1552"/>
      <c r="AT256" s="1552"/>
      <c r="AU256" s="1552"/>
      <c r="AV256" s="1531"/>
      <c r="AW256" s="1554"/>
      <c r="AX256" s="1569"/>
      <c r="AY256" s="1551"/>
      <c r="AZ256" s="1552"/>
      <c r="BA256" s="1552"/>
      <c r="BB256" s="1552"/>
      <c r="BC256" s="1552"/>
      <c r="BD256" s="1552"/>
      <c r="BE256" s="1531"/>
      <c r="BF256" s="1554"/>
      <c r="BG256" s="1569"/>
      <c r="BH256" s="1551"/>
      <c r="BI256" s="1552"/>
      <c r="BJ256" s="1552"/>
      <c r="BK256" s="1552"/>
      <c r="BL256" s="1552"/>
      <c r="BM256" s="1552"/>
      <c r="BN256" s="1531"/>
      <c r="BO256" s="1554"/>
      <c r="BP256" s="1569"/>
      <c r="BQ256" s="1551"/>
      <c r="BR256" s="1552"/>
      <c r="BS256" s="1552"/>
      <c r="BT256" s="1552"/>
      <c r="BU256" s="1552"/>
      <c r="BV256" s="1552"/>
      <c r="BW256" s="1003"/>
      <c r="BX256" s="1554"/>
      <c r="BY256" s="1569"/>
      <c r="BZ256" s="1551"/>
      <c r="CA256" s="1531"/>
      <c r="CB256" s="1531"/>
      <c r="CC256" s="1531"/>
      <c r="CD256" s="1531"/>
      <c r="CE256" s="1531"/>
      <c r="CF256" s="1552"/>
      <c r="CG256" s="1554"/>
      <c r="CH256" s="1593"/>
      <c r="CI256" s="1594">
        <f t="shared" si="101"/>
        <v>160</v>
      </c>
      <c r="CJ256" s="1608"/>
      <c r="CK256" s="1608"/>
      <c r="CL256" s="1609">
        <f t="shared" si="102"/>
        <v>160</v>
      </c>
      <c r="CM256" s="1610"/>
      <c r="CN256" s="1611">
        <f t="shared" si="103"/>
        <v>160</v>
      </c>
    </row>
    <row r="257" spans="1:95" s="1231" customFormat="1" ht="20.25">
      <c r="A257" s="537" t="s">
        <v>628</v>
      </c>
      <c r="B257" s="545"/>
      <c r="C257" s="539"/>
      <c r="D257" s="544">
        <v>46122</v>
      </c>
      <c r="E257" s="1107"/>
      <c r="F257" s="1530"/>
      <c r="G257" s="1003"/>
      <c r="H257" s="1531"/>
      <c r="I257" s="1003"/>
      <c r="J257" s="1003"/>
      <c r="K257" s="1003"/>
      <c r="L257" s="1003"/>
      <c r="M257" s="1549"/>
      <c r="N257" s="1550"/>
      <c r="O257" s="1551"/>
      <c r="P257" s="1552"/>
      <c r="Q257" s="1552"/>
      <c r="R257" s="1552"/>
      <c r="S257" s="1552"/>
      <c r="T257" s="1552"/>
      <c r="U257" s="1531"/>
      <c r="V257" s="1568"/>
      <c r="W257" s="1569"/>
      <c r="X257" s="1551"/>
      <c r="Y257" s="1552"/>
      <c r="Z257" s="1552"/>
      <c r="AA257" s="1552"/>
      <c r="AB257" s="1552"/>
      <c r="AC257" s="1552"/>
      <c r="AD257" s="1531"/>
      <c r="AE257" s="1568"/>
      <c r="AF257" s="1569"/>
      <c r="AG257" s="1551"/>
      <c r="AH257" s="1552"/>
      <c r="AI257" s="1531">
        <f>2*16</f>
        <v>32</v>
      </c>
      <c r="AJ257" s="1552"/>
      <c r="AK257" s="1552"/>
      <c r="AL257" s="1531"/>
      <c r="AM257" s="1575">
        <f>3*16</f>
        <v>48</v>
      </c>
      <c r="AN257" s="1531"/>
      <c r="AO257" s="1569"/>
      <c r="AP257" s="1551"/>
      <c r="AQ257" s="1552"/>
      <c r="AR257" s="1552"/>
      <c r="AS257" s="1552"/>
      <c r="AT257" s="1552"/>
      <c r="AU257" s="1552"/>
      <c r="AV257" s="1531"/>
      <c r="AW257" s="1554"/>
      <c r="AX257" s="1569"/>
      <c r="AY257" s="1551"/>
      <c r="AZ257" s="1552"/>
      <c r="BA257" s="1552">
        <f>3*16</f>
        <v>48</v>
      </c>
      <c r="BB257" s="1552"/>
      <c r="BC257" s="1552"/>
      <c r="BD257" s="1552">
        <f>5*16</f>
        <v>80</v>
      </c>
      <c r="BE257" s="1531"/>
      <c r="BF257" s="1554"/>
      <c r="BG257" s="1569"/>
      <c r="BH257" s="1551"/>
      <c r="BI257" s="1552"/>
      <c r="BJ257" s="1552"/>
      <c r="BK257" s="1552"/>
      <c r="BL257" s="1552"/>
      <c r="BM257" s="1552"/>
      <c r="BN257" s="1531"/>
      <c r="BO257" s="1554"/>
      <c r="BP257" s="1569"/>
      <c r="BQ257" s="1551"/>
      <c r="BR257" s="1552"/>
      <c r="BS257" s="1552"/>
      <c r="BT257" s="1552"/>
      <c r="BU257" s="1552"/>
      <c r="BV257" s="1552"/>
      <c r="BW257" s="1531"/>
      <c r="BX257" s="1554"/>
      <c r="BY257" s="1569"/>
      <c r="BZ257" s="1551"/>
      <c r="CA257" s="1531"/>
      <c r="CB257" s="1531"/>
      <c r="CC257" s="1531"/>
      <c r="CD257" s="1531"/>
      <c r="CE257" s="1531"/>
      <c r="CF257" s="1552"/>
      <c r="CG257" s="1554"/>
      <c r="CH257" s="1593"/>
      <c r="CI257" s="1594">
        <f t="shared" si="101"/>
        <v>208</v>
      </c>
      <c r="CJ257" s="1608"/>
      <c r="CK257" s="1608"/>
      <c r="CL257" s="1609">
        <f t="shared" si="102"/>
        <v>208</v>
      </c>
      <c r="CM257" s="1610"/>
      <c r="CN257" s="1611">
        <f t="shared" si="103"/>
        <v>208</v>
      </c>
      <c r="CQ257" s="1231" t="s">
        <v>4</v>
      </c>
    </row>
    <row r="258" spans="1:95" s="1063" customFormat="1" ht="20.25">
      <c r="A258" s="537" t="s">
        <v>629</v>
      </c>
      <c r="B258" s="545"/>
      <c r="C258" s="549"/>
      <c r="D258" s="544">
        <v>46122</v>
      </c>
      <c r="E258" s="1107"/>
      <c r="F258" s="1530"/>
      <c r="G258" s="1003"/>
      <c r="H258" s="1531"/>
      <c r="I258" s="1003"/>
      <c r="J258" s="1003"/>
      <c r="K258" s="1003"/>
      <c r="L258" s="1003"/>
      <c r="M258" s="1549"/>
      <c r="N258" s="1550"/>
      <c r="O258" s="1551"/>
      <c r="P258" s="1552"/>
      <c r="Q258" s="1552"/>
      <c r="R258" s="1552"/>
      <c r="S258" s="1552"/>
      <c r="T258" s="1552"/>
      <c r="U258" s="1531"/>
      <c r="V258" s="1568"/>
      <c r="W258" s="1569"/>
      <c r="X258" s="1551"/>
      <c r="Y258" s="1552"/>
      <c r="Z258" s="1552"/>
      <c r="AA258" s="1552"/>
      <c r="AB258" s="1552"/>
      <c r="AC258" s="1552"/>
      <c r="AD258" s="1531"/>
      <c r="AE258" s="1568"/>
      <c r="AF258" s="1569"/>
      <c r="AG258" s="1551"/>
      <c r="AH258" s="1552"/>
      <c r="AI258" s="1531"/>
      <c r="AJ258" s="1552"/>
      <c r="AK258" s="1552"/>
      <c r="AL258" s="1531"/>
      <c r="AM258" s="1575"/>
      <c r="AN258" s="1531"/>
      <c r="AO258" s="1569"/>
      <c r="AP258" s="1551"/>
      <c r="AQ258" s="1552"/>
      <c r="AR258" s="1552"/>
      <c r="AS258" s="1552"/>
      <c r="AT258" s="1552"/>
      <c r="AU258" s="1552"/>
      <c r="AV258" s="1531"/>
      <c r="AW258" s="1554"/>
      <c r="AX258" s="1569"/>
      <c r="AY258" s="1551"/>
      <c r="AZ258" s="1552"/>
      <c r="BA258" s="1552">
        <f>7*16</f>
        <v>112</v>
      </c>
      <c r="BB258" s="1552"/>
      <c r="BC258" s="1552"/>
      <c r="BD258" s="1552">
        <f>7*16</f>
        <v>112</v>
      </c>
      <c r="BE258" s="1531"/>
      <c r="BF258" s="1554"/>
      <c r="BG258" s="1569"/>
      <c r="BH258" s="1551"/>
      <c r="BI258" s="1552"/>
      <c r="BJ258" s="1552"/>
      <c r="BK258" s="1552"/>
      <c r="BL258" s="1552"/>
      <c r="BM258" s="1552"/>
      <c r="BN258" s="1531"/>
      <c r="BO258" s="1554"/>
      <c r="BP258" s="1569"/>
      <c r="BQ258" s="1551"/>
      <c r="BR258" s="1552"/>
      <c r="BS258" s="1552"/>
      <c r="BT258" s="1552"/>
      <c r="BU258" s="1552"/>
      <c r="BV258" s="1552"/>
      <c r="BW258" s="1531"/>
      <c r="BX258" s="1554"/>
      <c r="BY258" s="1569"/>
      <c r="BZ258" s="1551"/>
      <c r="CA258" s="1531"/>
      <c r="CB258" s="1531"/>
      <c r="CC258" s="1531"/>
      <c r="CD258" s="1531"/>
      <c r="CE258" s="1531"/>
      <c r="CF258" s="1552"/>
      <c r="CG258" s="1554"/>
      <c r="CH258" s="1593"/>
      <c r="CI258" s="1594">
        <f t="shared" si="101"/>
        <v>224</v>
      </c>
      <c r="CJ258" s="1608"/>
      <c r="CK258" s="1608"/>
      <c r="CL258" s="1609">
        <f t="shared" si="102"/>
        <v>224</v>
      </c>
      <c r="CM258" s="1610"/>
      <c r="CN258" s="1611">
        <f t="shared" si="103"/>
        <v>224</v>
      </c>
    </row>
    <row r="259" spans="1:95" s="1230" customFormat="1" ht="20.25">
      <c r="A259" s="537" t="s">
        <v>630</v>
      </c>
      <c r="B259" s="545"/>
      <c r="C259" s="549"/>
      <c r="D259" s="544">
        <v>46122</v>
      </c>
      <c r="E259" s="1107"/>
      <c r="F259" s="1530"/>
      <c r="G259" s="1003"/>
      <c r="H259" s="1531"/>
      <c r="I259" s="1003"/>
      <c r="J259" s="1003"/>
      <c r="K259" s="1003"/>
      <c r="L259" s="1003"/>
      <c r="M259" s="1549"/>
      <c r="N259" s="1550"/>
      <c r="O259" s="1551"/>
      <c r="P259" s="1552"/>
      <c r="Q259" s="1552"/>
      <c r="R259" s="1552"/>
      <c r="S259" s="1552"/>
      <c r="T259" s="1552"/>
      <c r="U259" s="1531"/>
      <c r="V259" s="1568"/>
      <c r="W259" s="1569"/>
      <c r="X259" s="1551"/>
      <c r="Y259" s="1552"/>
      <c r="Z259" s="1552"/>
      <c r="AA259" s="1552"/>
      <c r="AB259" s="1552"/>
      <c r="AC259" s="1552"/>
      <c r="AD259" s="1531"/>
      <c r="AE259" s="1568"/>
      <c r="AF259" s="1569"/>
      <c r="AG259" s="1551"/>
      <c r="AH259" s="1552"/>
      <c r="AI259" s="1531"/>
      <c r="AJ259" s="1552"/>
      <c r="AK259" s="1552"/>
      <c r="AL259" s="1531"/>
      <c r="AM259" s="1575"/>
      <c r="AN259" s="1531"/>
      <c r="AO259" s="1569"/>
      <c r="AP259" s="1551"/>
      <c r="AQ259" s="1552"/>
      <c r="AR259" s="1552"/>
      <c r="AS259" s="1552"/>
      <c r="AT259" s="1552"/>
      <c r="AU259" s="1552"/>
      <c r="AV259" s="1531"/>
      <c r="AW259" s="1554"/>
      <c r="AX259" s="1569"/>
      <c r="AY259" s="1551"/>
      <c r="AZ259" s="1552"/>
      <c r="BA259" s="1552"/>
      <c r="BB259" s="1552"/>
      <c r="BC259" s="1552"/>
      <c r="BD259" s="1552"/>
      <c r="BE259" s="1531"/>
      <c r="BF259" s="1554"/>
      <c r="BG259" s="1569"/>
      <c r="BH259" s="1551"/>
      <c r="BI259" s="1552"/>
      <c r="BJ259" s="1552"/>
      <c r="BK259" s="1552"/>
      <c r="BL259" s="1552"/>
      <c r="BM259" s="1552"/>
      <c r="BN259" s="1531"/>
      <c r="BO259" s="1554"/>
      <c r="BP259" s="1569"/>
      <c r="BQ259" s="1551"/>
      <c r="BR259" s="1552"/>
      <c r="BS259" s="1552"/>
      <c r="BT259" s="1552"/>
      <c r="BU259" s="1552"/>
      <c r="BV259" s="1552"/>
      <c r="BW259" s="1531"/>
      <c r="BX259" s="1554"/>
      <c r="BY259" s="1569"/>
      <c r="BZ259" s="1551">
        <f>24*16</f>
        <v>384</v>
      </c>
      <c r="CA259" s="1531"/>
      <c r="CB259" s="1531"/>
      <c r="CC259" s="1531"/>
      <c r="CD259" s="1531"/>
      <c r="CE259" s="1531"/>
      <c r="CF259" s="1552"/>
      <c r="CG259" s="1554"/>
      <c r="CH259" s="1593"/>
      <c r="CI259" s="1594">
        <f t="shared" si="101"/>
        <v>384</v>
      </c>
      <c r="CJ259" s="1608"/>
      <c r="CK259" s="1608"/>
      <c r="CL259" s="1609">
        <f t="shared" si="102"/>
        <v>384</v>
      </c>
      <c r="CM259" s="1610"/>
      <c r="CN259" s="1611">
        <f t="shared" si="103"/>
        <v>384</v>
      </c>
    </row>
    <row r="260" spans="1:95" s="1232" customFormat="1" ht="20.25">
      <c r="A260" s="537" t="s">
        <v>633</v>
      </c>
      <c r="B260" s="545"/>
      <c r="C260" s="539"/>
      <c r="D260" s="544">
        <v>46124</v>
      </c>
      <c r="E260" s="1107"/>
      <c r="F260" s="1530"/>
      <c r="G260" s="1003"/>
      <c r="H260" s="1531"/>
      <c r="I260" s="1003"/>
      <c r="J260" s="1003"/>
      <c r="K260" s="1003"/>
      <c r="L260" s="1003"/>
      <c r="M260" s="1549"/>
      <c r="N260" s="1550"/>
      <c r="O260" s="1551"/>
      <c r="P260" s="1552"/>
      <c r="Q260" s="1552"/>
      <c r="R260" s="1552"/>
      <c r="S260" s="1552"/>
      <c r="T260" s="1552"/>
      <c r="U260" s="1531"/>
      <c r="V260" s="1568"/>
      <c r="W260" s="1569"/>
      <c r="X260" s="1551"/>
      <c r="Y260" s="1552"/>
      <c r="Z260" s="1552"/>
      <c r="AA260" s="1552"/>
      <c r="AB260" s="1552"/>
      <c r="AC260" s="1552"/>
      <c r="AD260" s="1531"/>
      <c r="AE260" s="1568"/>
      <c r="AF260" s="1569"/>
      <c r="AG260" s="1551"/>
      <c r="AH260" s="1552"/>
      <c r="AI260" s="1552"/>
      <c r="AJ260" s="1552"/>
      <c r="AK260" s="1552"/>
      <c r="AL260" s="1531"/>
      <c r="AM260" s="1575"/>
      <c r="AN260" s="1554"/>
      <c r="AO260" s="1569"/>
      <c r="AP260" s="1551"/>
      <c r="AQ260" s="1552"/>
      <c r="AR260" s="1552"/>
      <c r="AS260" s="1552"/>
      <c r="AT260" s="1552"/>
      <c r="AU260" s="1552"/>
      <c r="AV260" s="1531"/>
      <c r="AW260" s="1554"/>
      <c r="AX260" s="1569"/>
      <c r="AY260" s="1551"/>
      <c r="AZ260" s="1552"/>
      <c r="BA260" s="1552">
        <f>10*16</f>
        <v>160</v>
      </c>
      <c r="BB260" s="1552"/>
      <c r="BC260" s="1552"/>
      <c r="BD260" s="1552"/>
      <c r="BE260" s="1531"/>
      <c r="BF260" s="1554">
        <f>5*16</f>
        <v>80</v>
      </c>
      <c r="BG260" s="1569"/>
      <c r="BH260" s="1551"/>
      <c r="BI260" s="1552"/>
      <c r="BJ260" s="1552"/>
      <c r="BK260" s="1552"/>
      <c r="BL260" s="1552"/>
      <c r="BM260" s="1552"/>
      <c r="BN260" s="1531"/>
      <c r="BO260" s="1554"/>
      <c r="BP260" s="1569"/>
      <c r="BQ260" s="1551"/>
      <c r="BR260" s="1552"/>
      <c r="BS260" s="1552"/>
      <c r="BT260" s="1552"/>
      <c r="BU260" s="1552"/>
      <c r="BV260" s="1552"/>
      <c r="BW260" s="1531"/>
      <c r="BX260" s="1554"/>
      <c r="BY260" s="1569"/>
      <c r="BZ260" s="1551"/>
      <c r="CA260" s="1531"/>
      <c r="CB260" s="1531"/>
      <c r="CC260" s="1531"/>
      <c r="CD260" s="1531"/>
      <c r="CE260" s="1531"/>
      <c r="CF260" s="1552"/>
      <c r="CG260" s="1554"/>
      <c r="CH260" s="1593"/>
      <c r="CI260" s="1594">
        <f t="shared" ref="CI260" si="104">SUM(F260:CG260)</f>
        <v>240</v>
      </c>
      <c r="CJ260" s="1608"/>
      <c r="CK260" s="1608"/>
      <c r="CL260" s="1609">
        <f t="shared" si="102"/>
        <v>240</v>
      </c>
      <c r="CM260" s="1610"/>
      <c r="CN260" s="1611">
        <f t="shared" si="103"/>
        <v>240</v>
      </c>
    </row>
    <row r="261" spans="1:95" s="1232" customFormat="1" ht="20.25">
      <c r="A261" s="537" t="s">
        <v>634</v>
      </c>
      <c r="B261" s="545"/>
      <c r="C261" s="553"/>
      <c r="D261" s="555">
        <v>46124</v>
      </c>
      <c r="E261" s="1532"/>
      <c r="F261" s="1533"/>
      <c r="G261" s="1533"/>
      <c r="H261" s="1534"/>
      <c r="I261" s="1533"/>
      <c r="J261" s="1533"/>
      <c r="K261" s="1533"/>
      <c r="L261" s="1533"/>
      <c r="M261" s="1533"/>
      <c r="N261" s="1546"/>
      <c r="O261" s="1553"/>
      <c r="P261" s="1548"/>
      <c r="Q261" s="1548"/>
      <c r="R261" s="1548"/>
      <c r="S261" s="1548"/>
      <c r="T261" s="1548"/>
      <c r="U261" s="1529"/>
      <c r="V261" s="1566"/>
      <c r="W261" s="1567"/>
      <c r="X261" s="1547"/>
      <c r="Y261" s="1548"/>
      <c r="Z261" s="1548"/>
      <c r="AA261" s="1548"/>
      <c r="AB261" s="1548"/>
      <c r="AC261" s="1548"/>
      <c r="AD261" s="1529"/>
      <c r="AE261" s="1566"/>
      <c r="AF261" s="1567"/>
      <c r="AG261" s="1529"/>
      <c r="AH261" s="1548"/>
      <c r="AI261" s="1529">
        <f>2*16</f>
        <v>32</v>
      </c>
      <c r="AJ261" s="1548"/>
      <c r="AK261" s="1548"/>
      <c r="AL261" s="1529"/>
      <c r="AM261" s="1574">
        <f>2*16</f>
        <v>32</v>
      </c>
      <c r="AN261" s="1553"/>
      <c r="AO261" s="1567"/>
      <c r="AP261" s="1547"/>
      <c r="AQ261" s="1548"/>
      <c r="AR261" s="1548"/>
      <c r="AS261" s="1548"/>
      <c r="AT261" s="1548"/>
      <c r="AU261" s="1548"/>
      <c r="AV261" s="1529"/>
      <c r="AW261" s="1553"/>
      <c r="AX261" s="1567"/>
      <c r="AY261" s="1547"/>
      <c r="AZ261" s="1548"/>
      <c r="BA261" s="1548">
        <f>4*16</f>
        <v>64</v>
      </c>
      <c r="BB261" s="1548"/>
      <c r="BC261" s="1548"/>
      <c r="BD261" s="1548">
        <f>4*16</f>
        <v>64</v>
      </c>
      <c r="BE261" s="1529"/>
      <c r="BF261" s="1553"/>
      <c r="BG261" s="1567"/>
      <c r="BH261" s="1547"/>
      <c r="BI261" s="1548"/>
      <c r="BJ261" s="1548"/>
      <c r="BK261" s="1548"/>
      <c r="BL261" s="1548"/>
      <c r="BM261" s="1548"/>
      <c r="BN261" s="1529"/>
      <c r="BO261" s="1553"/>
      <c r="BP261" s="1567"/>
      <c r="BQ261" s="1547"/>
      <c r="BR261" s="1548"/>
      <c r="BS261" s="1548"/>
      <c r="BT261" s="1548"/>
      <c r="BU261" s="1548"/>
      <c r="BV261" s="1548"/>
      <c r="BW261" s="1529"/>
      <c r="BX261" s="1553"/>
      <c r="BY261" s="1567"/>
      <c r="BZ261" s="1584"/>
      <c r="CA261" s="1585"/>
      <c r="CB261" s="1586"/>
      <c r="CC261" s="1586"/>
      <c r="CD261" s="1529"/>
      <c r="CE261" s="1529"/>
      <c r="CF261" s="1548"/>
      <c r="CG261" s="1553"/>
      <c r="CH261" s="1591"/>
      <c r="CI261" s="1592">
        <f t="shared" si="101"/>
        <v>192</v>
      </c>
      <c r="CJ261" s="1604"/>
      <c r="CK261" s="1604"/>
      <c r="CL261" s="1605">
        <f t="shared" si="102"/>
        <v>192</v>
      </c>
      <c r="CM261" s="1606"/>
      <c r="CN261" s="1607">
        <f t="shared" si="103"/>
        <v>192</v>
      </c>
    </row>
    <row r="262" spans="1:95" s="1232" customFormat="1" ht="20.25">
      <c r="A262" s="537" t="s">
        <v>635</v>
      </c>
      <c r="B262" s="545"/>
      <c r="C262" s="553"/>
      <c r="D262" s="544">
        <v>46125</v>
      </c>
      <c r="E262" s="1199"/>
      <c r="F262" s="1003"/>
      <c r="G262" s="1003"/>
      <c r="H262" s="1531"/>
      <c r="I262" s="1003"/>
      <c r="J262" s="1003"/>
      <c r="K262" s="1003"/>
      <c r="L262" s="1003"/>
      <c r="M262" s="1003"/>
      <c r="N262" s="1550"/>
      <c r="O262" s="1554"/>
      <c r="P262" s="1552"/>
      <c r="Q262" s="1552"/>
      <c r="R262" s="1552"/>
      <c r="S262" s="1552"/>
      <c r="T262" s="1552"/>
      <c r="U262" s="1531"/>
      <c r="V262" s="1568"/>
      <c r="W262" s="1569"/>
      <c r="X262" s="1551"/>
      <c r="Y262" s="1552"/>
      <c r="Z262" s="1552"/>
      <c r="AA262" s="1552"/>
      <c r="AB262" s="1552"/>
      <c r="AC262" s="1552"/>
      <c r="AD262" s="1531"/>
      <c r="AE262" s="1568"/>
      <c r="AF262" s="1569"/>
      <c r="AG262" s="1531"/>
      <c r="AH262" s="1552"/>
      <c r="AI262" s="1531">
        <f>2*16</f>
        <v>32</v>
      </c>
      <c r="AJ262" s="1552"/>
      <c r="AK262" s="1552"/>
      <c r="AL262" s="1531"/>
      <c r="AM262" s="1575">
        <f>5*16</f>
        <v>80</v>
      </c>
      <c r="AN262" s="1554"/>
      <c r="AO262" s="1569"/>
      <c r="AP262" s="1551"/>
      <c r="AQ262" s="1552"/>
      <c r="AR262" s="1552"/>
      <c r="AS262" s="1552"/>
      <c r="AT262" s="1552"/>
      <c r="AU262" s="1552"/>
      <c r="AV262" s="1531"/>
      <c r="AW262" s="1554"/>
      <c r="AX262" s="1569"/>
      <c r="AY262" s="1551"/>
      <c r="AZ262" s="1552"/>
      <c r="BA262" s="1582">
        <f>4*16</f>
        <v>64</v>
      </c>
      <c r="BB262" s="1552"/>
      <c r="BC262" s="1552"/>
      <c r="BD262" s="1552">
        <f>3*16</f>
        <v>48</v>
      </c>
      <c r="BE262" s="1531"/>
      <c r="BF262" s="1554">
        <f>3*16</f>
        <v>48</v>
      </c>
      <c r="BG262" s="1569"/>
      <c r="BH262" s="1551"/>
      <c r="BI262" s="1552"/>
      <c r="BJ262" s="1552"/>
      <c r="BK262" s="1552"/>
      <c r="BL262" s="1552"/>
      <c r="BM262" s="1552"/>
      <c r="BN262" s="1531"/>
      <c r="BO262" s="1554"/>
      <c r="BP262" s="1569"/>
      <c r="BQ262" s="1551"/>
      <c r="BR262" s="1552"/>
      <c r="BS262" s="1552"/>
      <c r="BT262" s="1552"/>
      <c r="BU262" s="1552"/>
      <c r="BV262" s="1552"/>
      <c r="BW262" s="1531"/>
      <c r="BX262" s="1554"/>
      <c r="BY262" s="1569"/>
      <c r="BZ262" s="1551"/>
      <c r="CA262" s="1531"/>
      <c r="CB262" s="1531"/>
      <c r="CC262" s="1531"/>
      <c r="CD262" s="1531"/>
      <c r="CE262" s="1531"/>
      <c r="CF262" s="1552"/>
      <c r="CG262" s="1554"/>
      <c r="CH262" s="1591"/>
      <c r="CI262" s="1592">
        <f t="shared" si="101"/>
        <v>272</v>
      </c>
      <c r="CJ262" s="1604"/>
      <c r="CK262" s="1604"/>
      <c r="CL262" s="1605">
        <f t="shared" si="102"/>
        <v>272</v>
      </c>
      <c r="CM262" s="1606"/>
      <c r="CN262" s="1607">
        <f t="shared" si="103"/>
        <v>272</v>
      </c>
    </row>
    <row r="263" spans="1:95" s="1232" customFormat="1" ht="20.25">
      <c r="A263" s="561" t="s">
        <v>623</v>
      </c>
      <c r="B263" s="545"/>
      <c r="C263" s="539"/>
      <c r="D263" s="544">
        <v>46126</v>
      </c>
      <c r="E263" s="1107"/>
      <c r="F263" s="1530">
        <f>1*16</f>
        <v>16</v>
      </c>
      <c r="G263" s="1003"/>
      <c r="H263" s="1531"/>
      <c r="I263" s="1003"/>
      <c r="J263" s="1003"/>
      <c r="K263" s="1003"/>
      <c r="L263" s="1003"/>
      <c r="M263" s="1549"/>
      <c r="N263" s="1550"/>
      <c r="O263" s="1551"/>
      <c r="P263" s="1552"/>
      <c r="Q263" s="1552"/>
      <c r="R263" s="1552"/>
      <c r="S263" s="1552"/>
      <c r="T263" s="1552"/>
      <c r="U263" s="1531"/>
      <c r="V263" s="1568"/>
      <c r="W263" s="1569"/>
      <c r="X263" s="1551"/>
      <c r="Y263" s="1552"/>
      <c r="Z263" s="1552"/>
      <c r="AA263" s="1552"/>
      <c r="AB263" s="1552"/>
      <c r="AC263" s="1552"/>
      <c r="AD263" s="1531"/>
      <c r="AE263" s="1568"/>
      <c r="AF263" s="1569"/>
      <c r="AG263" s="1551"/>
      <c r="AH263" s="1552"/>
      <c r="AI263" s="1531"/>
      <c r="AJ263" s="1552"/>
      <c r="AK263" s="1552">
        <f>1*16</f>
        <v>16</v>
      </c>
      <c r="AL263" s="1531"/>
      <c r="AM263" s="1575"/>
      <c r="AN263" s="1531"/>
      <c r="AO263" s="1569"/>
      <c r="AP263" s="1551"/>
      <c r="AQ263" s="1552"/>
      <c r="AR263" s="1552"/>
      <c r="AS263" s="1552"/>
      <c r="AT263" s="1552"/>
      <c r="AU263" s="1552"/>
      <c r="AV263" s="1531"/>
      <c r="AW263" s="1554"/>
      <c r="AX263" s="1569"/>
      <c r="AY263" s="1551"/>
      <c r="AZ263" s="1552"/>
      <c r="BA263" s="1552"/>
      <c r="BB263" s="1552"/>
      <c r="BC263" s="1552"/>
      <c r="BD263" s="1552"/>
      <c r="BE263" s="1531"/>
      <c r="BF263" s="1554"/>
      <c r="BG263" s="1569"/>
      <c r="BH263" s="1551"/>
      <c r="BI263" s="1552"/>
      <c r="BJ263" s="1552">
        <f>1*16</f>
        <v>16</v>
      </c>
      <c r="BK263" s="1552"/>
      <c r="BL263" s="1552"/>
      <c r="BM263" s="1552"/>
      <c r="BN263" s="1531"/>
      <c r="BO263" s="1554"/>
      <c r="BP263" s="1569"/>
      <c r="BQ263" s="1551"/>
      <c r="BR263" s="1552"/>
      <c r="BS263" s="1552"/>
      <c r="BT263" s="1552"/>
      <c r="BU263" s="1552"/>
      <c r="BV263" s="1552"/>
      <c r="BW263" s="1531"/>
      <c r="BX263" s="1554"/>
      <c r="BY263" s="1569"/>
      <c r="BZ263" s="1551"/>
      <c r="CA263" s="1531"/>
      <c r="CB263" s="1531"/>
      <c r="CC263" s="1531"/>
      <c r="CD263" s="1531"/>
      <c r="CE263" s="1531"/>
      <c r="CF263" s="1552"/>
      <c r="CG263" s="1554"/>
      <c r="CH263" s="1593"/>
      <c r="CI263" s="1594">
        <f t="shared" si="101"/>
        <v>48</v>
      </c>
      <c r="CJ263" s="3513"/>
      <c r="CK263" s="1608"/>
      <c r="CL263" s="1609">
        <f t="shared" si="102"/>
        <v>48</v>
      </c>
      <c r="CM263" s="1610"/>
      <c r="CN263" s="1611">
        <f t="shared" si="103"/>
        <v>48</v>
      </c>
    </row>
    <row r="264" spans="1:95" s="1230" customFormat="1" ht="20.25">
      <c r="A264" s="551" t="s">
        <v>623</v>
      </c>
      <c r="B264" s="545"/>
      <c r="C264" s="539"/>
      <c r="D264" s="544">
        <v>46126</v>
      </c>
      <c r="E264" s="1107"/>
      <c r="F264" s="1530"/>
      <c r="G264" s="1003"/>
      <c r="H264" s="1531"/>
      <c r="I264" s="1003"/>
      <c r="J264" s="1003"/>
      <c r="K264" s="1003"/>
      <c r="L264" s="1003"/>
      <c r="M264" s="1549"/>
      <c r="N264" s="1550"/>
      <c r="O264" s="1551"/>
      <c r="P264" s="1552"/>
      <c r="Q264" s="1552"/>
      <c r="R264" s="1552"/>
      <c r="S264" s="1552"/>
      <c r="T264" s="1552"/>
      <c r="U264" s="1531"/>
      <c r="V264" s="1568"/>
      <c r="W264" s="1569"/>
      <c r="X264" s="1551"/>
      <c r="Y264" s="1552"/>
      <c r="Z264" s="1552"/>
      <c r="AA264" s="1552"/>
      <c r="AB264" s="1552"/>
      <c r="AC264" s="1552"/>
      <c r="AD264" s="1531"/>
      <c r="AE264" s="1568"/>
      <c r="AF264" s="1569"/>
      <c r="AG264" s="1551"/>
      <c r="AH264" s="1552"/>
      <c r="AI264" s="1552"/>
      <c r="AJ264" s="1552"/>
      <c r="AK264" s="1552"/>
      <c r="AL264" s="1531"/>
      <c r="AM264" s="1575"/>
      <c r="AN264" s="1554"/>
      <c r="AO264" s="1569"/>
      <c r="AP264" s="1551"/>
      <c r="AQ264" s="1552"/>
      <c r="AR264" s="1552"/>
      <c r="AS264" s="1552"/>
      <c r="AT264" s="1552"/>
      <c r="AU264" s="1552"/>
      <c r="AV264" s="1531"/>
      <c r="AW264" s="1554"/>
      <c r="AX264" s="1569"/>
      <c r="AY264" s="1551"/>
      <c r="AZ264" s="1552"/>
      <c r="BA264" s="1552"/>
      <c r="BB264" s="1552"/>
      <c r="BC264" s="1552"/>
      <c r="BD264" s="1552"/>
      <c r="BE264" s="1531"/>
      <c r="BF264" s="1554"/>
      <c r="BG264" s="1569"/>
      <c r="BH264" s="1551"/>
      <c r="BI264" s="1552"/>
      <c r="BJ264" s="1552"/>
      <c r="BK264" s="1552"/>
      <c r="BL264" s="1552"/>
      <c r="BM264" s="1552"/>
      <c r="BN264" s="1531"/>
      <c r="BO264" s="1554"/>
      <c r="BP264" s="1569"/>
      <c r="BQ264" s="1551"/>
      <c r="BR264" s="1552"/>
      <c r="BS264" s="1552"/>
      <c r="BT264" s="1552"/>
      <c r="BU264" s="1552"/>
      <c r="BV264" s="1552">
        <f>1*16</f>
        <v>16</v>
      </c>
      <c r="BW264" s="1531"/>
      <c r="BX264" s="1554"/>
      <c r="BY264" s="1569"/>
      <c r="BZ264" s="1551"/>
      <c r="CA264" s="1531"/>
      <c r="CB264" s="1531"/>
      <c r="CC264" s="1531"/>
      <c r="CD264" s="1531"/>
      <c r="CE264" s="1531"/>
      <c r="CF264" s="1552"/>
      <c r="CG264" s="1554"/>
      <c r="CH264" s="1593"/>
      <c r="CI264" s="1594">
        <f t="shared" ref="CI264:CI268" si="105">SUM(F264:CG264)</f>
        <v>16</v>
      </c>
      <c r="CJ264" s="1608"/>
      <c r="CK264" s="1608"/>
      <c r="CL264" s="1609">
        <f t="shared" ref="CL264:CL268" si="106">CI264+CJ264+CK264</f>
        <v>16</v>
      </c>
      <c r="CM264" s="1610"/>
      <c r="CN264" s="1611">
        <f t="shared" ref="CN264:CN268" si="107">CL264+CM264</f>
        <v>16</v>
      </c>
    </row>
    <row r="265" spans="1:95" s="1232" customFormat="1" ht="20.25">
      <c r="A265" s="537" t="s">
        <v>637</v>
      </c>
      <c r="B265" s="545"/>
      <c r="C265" s="539"/>
      <c r="D265" s="544" t="s">
        <v>638</v>
      </c>
      <c r="E265" s="1107"/>
      <c r="F265" s="1530"/>
      <c r="G265" s="1003"/>
      <c r="H265" s="1531"/>
      <c r="I265" s="1003"/>
      <c r="J265" s="1003"/>
      <c r="K265" s="1003"/>
      <c r="L265" s="1003"/>
      <c r="M265" s="1549"/>
      <c r="N265" s="1550"/>
      <c r="O265" s="1551"/>
      <c r="P265" s="1552"/>
      <c r="Q265" s="1552"/>
      <c r="R265" s="1552"/>
      <c r="S265" s="1552"/>
      <c r="T265" s="1552"/>
      <c r="U265" s="1531"/>
      <c r="V265" s="1568"/>
      <c r="W265" s="1569"/>
      <c r="X265" s="1551"/>
      <c r="Y265" s="1552"/>
      <c r="Z265" s="1552"/>
      <c r="AA265" s="1552"/>
      <c r="AB265" s="1552"/>
      <c r="AC265" s="1552"/>
      <c r="AD265" s="1531"/>
      <c r="AE265" s="1568"/>
      <c r="AF265" s="1569"/>
      <c r="AG265" s="1551"/>
      <c r="AH265" s="1552"/>
      <c r="AI265" s="1552"/>
      <c r="AJ265" s="1552"/>
      <c r="AK265" s="1552"/>
      <c r="AL265" s="1531"/>
      <c r="AM265" s="1575">
        <f>10*16</f>
        <v>160</v>
      </c>
      <c r="AN265" s="1554"/>
      <c r="AO265" s="1569"/>
      <c r="AP265" s="1551"/>
      <c r="AQ265" s="1552"/>
      <c r="AR265" s="1552"/>
      <c r="AS265" s="1552"/>
      <c r="AT265" s="1552"/>
      <c r="AU265" s="1552"/>
      <c r="AV265" s="1531"/>
      <c r="AW265" s="1554"/>
      <c r="AX265" s="1569"/>
      <c r="AY265" s="1551"/>
      <c r="AZ265" s="1552"/>
      <c r="BA265" s="1552">
        <f>10*16</f>
        <v>160</v>
      </c>
      <c r="BB265" s="1552">
        <f>2*16</f>
        <v>32</v>
      </c>
      <c r="BC265" s="1552">
        <f>2*16</f>
        <v>32</v>
      </c>
      <c r="BD265" s="1552">
        <f>20*16</f>
        <v>320</v>
      </c>
      <c r="BE265" s="1531"/>
      <c r="BF265" s="1554"/>
      <c r="BG265" s="1569"/>
      <c r="BH265" s="1551"/>
      <c r="BI265" s="1552"/>
      <c r="BJ265" s="1552"/>
      <c r="BK265" s="1552"/>
      <c r="BL265" s="1552"/>
      <c r="BM265" s="1552"/>
      <c r="BN265" s="1531"/>
      <c r="BO265" s="1554"/>
      <c r="BP265" s="1569"/>
      <c r="BQ265" s="1551"/>
      <c r="BR265" s="1552"/>
      <c r="BS265" s="1552"/>
      <c r="BT265" s="1552"/>
      <c r="BU265" s="1552"/>
      <c r="BV265" s="1552"/>
      <c r="BW265" s="1531"/>
      <c r="BX265" s="1554"/>
      <c r="BY265" s="1569"/>
      <c r="BZ265" s="1551"/>
      <c r="CA265" s="1531"/>
      <c r="CB265" s="1531"/>
      <c r="CC265" s="1531"/>
      <c r="CD265" s="1531"/>
      <c r="CE265" s="1531"/>
      <c r="CF265" s="1552"/>
      <c r="CG265" s="1554"/>
      <c r="CH265" s="1593"/>
      <c r="CI265" s="1594">
        <f t="shared" si="105"/>
        <v>704</v>
      </c>
      <c r="CJ265" s="1608"/>
      <c r="CK265" s="1608"/>
      <c r="CL265" s="1609">
        <f t="shared" si="106"/>
        <v>704</v>
      </c>
      <c r="CM265" s="1610"/>
      <c r="CN265" s="1611">
        <f t="shared" si="107"/>
        <v>704</v>
      </c>
    </row>
    <row r="266" spans="1:95" s="1232" customFormat="1" ht="20.25">
      <c r="A266" s="561" t="s">
        <v>639</v>
      </c>
      <c r="B266" s="545"/>
      <c r="C266" s="3514"/>
      <c r="D266" s="544">
        <v>46126</v>
      </c>
      <c r="E266" s="861"/>
      <c r="F266" s="1535"/>
      <c r="G266" s="1536"/>
      <c r="H266" s="1537"/>
      <c r="I266" s="1536"/>
      <c r="J266" s="1536"/>
      <c r="K266" s="1536"/>
      <c r="L266" s="1536"/>
      <c r="M266" s="1144"/>
      <c r="N266" s="1555"/>
      <c r="O266" s="1556"/>
      <c r="P266" s="1557"/>
      <c r="Q266" s="1557"/>
      <c r="R266" s="1557"/>
      <c r="S266" s="1557"/>
      <c r="T266" s="1557"/>
      <c r="U266" s="1537"/>
      <c r="V266" s="1570"/>
      <c r="W266" s="1571"/>
      <c r="X266" s="1556"/>
      <c r="Y266" s="1557"/>
      <c r="Z266" s="1557"/>
      <c r="AA266" s="1557"/>
      <c r="AB266" s="1557"/>
      <c r="AC266" s="1557"/>
      <c r="AD266" s="1537"/>
      <c r="AE266" s="1570"/>
      <c r="AF266" s="1571"/>
      <c r="AG266" s="1556"/>
      <c r="AH266" s="1557"/>
      <c r="AI266" s="1557"/>
      <c r="AJ266" s="1557"/>
      <c r="AK266" s="1557"/>
      <c r="AL266" s="1537"/>
      <c r="AM266" s="1576"/>
      <c r="AN266" s="1578"/>
      <c r="AO266" s="1571"/>
      <c r="AP266" s="1556"/>
      <c r="AQ266" s="1557"/>
      <c r="AR266" s="1557"/>
      <c r="AS266" s="1557"/>
      <c r="AT266" s="1557"/>
      <c r="AU266" s="1557"/>
      <c r="AV266" s="1537"/>
      <c r="AW266" s="1578"/>
      <c r="AX266" s="1571"/>
      <c r="AY266" s="1556"/>
      <c r="AZ266" s="1557"/>
      <c r="BA266" s="1557">
        <f>5*16</f>
        <v>80</v>
      </c>
      <c r="BB266" s="1557"/>
      <c r="BC266" s="1557"/>
      <c r="BD266" s="1557"/>
      <c r="BE266" s="1537"/>
      <c r="BF266" s="1578">
        <f>25*16</f>
        <v>400</v>
      </c>
      <c r="BG266" s="1571"/>
      <c r="BH266" s="1556"/>
      <c r="BI266" s="1557">
        <f>5*16</f>
        <v>80</v>
      </c>
      <c r="BJ266" s="1557"/>
      <c r="BK266" s="1557"/>
      <c r="BL266" s="1557"/>
      <c r="BM266" s="1557"/>
      <c r="BN266" s="1537"/>
      <c r="BO266" s="1578"/>
      <c r="BP266" s="1571"/>
      <c r="BQ266" s="1556"/>
      <c r="BR266" s="1557"/>
      <c r="BS266" s="1557"/>
      <c r="BT266" s="1557"/>
      <c r="BU266" s="1557"/>
      <c r="BV266" s="1557"/>
      <c r="BW266" s="1537"/>
      <c r="BX266" s="1578"/>
      <c r="BY266" s="1571"/>
      <c r="BZ266" s="1556"/>
      <c r="CA266" s="1537"/>
      <c r="CB266" s="1537"/>
      <c r="CC266" s="1537"/>
      <c r="CD266" s="1537"/>
      <c r="CE266" s="1537"/>
      <c r="CF266" s="1557"/>
      <c r="CG266" s="1578"/>
      <c r="CH266" s="1595"/>
      <c r="CI266" s="1596">
        <f t="shared" ref="CI266" si="108">SUM(F266:CG266)</f>
        <v>560</v>
      </c>
      <c r="CJ266" s="1612"/>
      <c r="CK266" s="1612"/>
      <c r="CL266" s="1613">
        <f t="shared" si="106"/>
        <v>560</v>
      </c>
      <c r="CM266" s="1141"/>
      <c r="CN266" s="1614">
        <f t="shared" si="107"/>
        <v>560</v>
      </c>
    </row>
    <row r="267" spans="1:95" s="234" customFormat="1" ht="20.25">
      <c r="A267" s="537" t="s">
        <v>643</v>
      </c>
      <c r="B267" s="545"/>
      <c r="C267" s="539"/>
      <c r="D267" s="544">
        <v>46128</v>
      </c>
      <c r="E267" s="1107"/>
      <c r="F267" s="1530"/>
      <c r="G267" s="1003"/>
      <c r="H267" s="1531"/>
      <c r="I267" s="1003"/>
      <c r="J267" s="1003"/>
      <c r="K267" s="1003"/>
      <c r="L267" s="1003"/>
      <c r="M267" s="1549"/>
      <c r="N267" s="1550"/>
      <c r="O267" s="1551"/>
      <c r="P267" s="1552"/>
      <c r="Q267" s="1552"/>
      <c r="R267" s="1552"/>
      <c r="S267" s="1552"/>
      <c r="T267" s="1552"/>
      <c r="U267" s="1531"/>
      <c r="V267" s="1568"/>
      <c r="W267" s="1569"/>
      <c r="X267" s="1551"/>
      <c r="Y267" s="1552"/>
      <c r="Z267" s="1552"/>
      <c r="AA267" s="1552"/>
      <c r="AB267" s="1552"/>
      <c r="AC267" s="1552"/>
      <c r="AD267" s="1531"/>
      <c r="AE267" s="1568"/>
      <c r="AF267" s="1569"/>
      <c r="AG267" s="1551"/>
      <c r="AH267" s="1552"/>
      <c r="AI267" s="1552"/>
      <c r="AJ267" s="1552"/>
      <c r="AK267" s="1552"/>
      <c r="AL267" s="1531"/>
      <c r="AM267" s="1575"/>
      <c r="AN267" s="1554"/>
      <c r="AO267" s="1569"/>
      <c r="AP267" s="1551"/>
      <c r="AQ267" s="1552"/>
      <c r="AR267" s="1552"/>
      <c r="AS267" s="1552"/>
      <c r="AT267" s="1552"/>
      <c r="AU267" s="1552"/>
      <c r="AV267" s="1531"/>
      <c r="AW267" s="1554"/>
      <c r="AX267" s="1569"/>
      <c r="AY267" s="1551"/>
      <c r="AZ267" s="1552"/>
      <c r="BA267" s="1552"/>
      <c r="BB267" s="1552"/>
      <c r="BC267" s="1552"/>
      <c r="BD267" s="1552"/>
      <c r="BE267" s="1531"/>
      <c r="BF267" s="1554"/>
      <c r="BG267" s="1569"/>
      <c r="BH267" s="1551"/>
      <c r="BI267" s="1552"/>
      <c r="BJ267" s="1552"/>
      <c r="BK267" s="1552"/>
      <c r="BL267" s="1552"/>
      <c r="BM267" s="1552"/>
      <c r="BN267" s="1531"/>
      <c r="BO267" s="1554"/>
      <c r="BP267" s="1569"/>
      <c r="BQ267" s="1551"/>
      <c r="BR267" s="1552"/>
      <c r="BS267" s="1552"/>
      <c r="BT267" s="1552"/>
      <c r="BU267" s="1552"/>
      <c r="BV267" s="1552"/>
      <c r="BW267" s="1531"/>
      <c r="BX267" s="1554"/>
      <c r="BY267" s="1569"/>
      <c r="BZ267" s="1551">
        <f>105*16</f>
        <v>1680</v>
      </c>
      <c r="CA267" s="1531"/>
      <c r="CB267" s="1531"/>
      <c r="CC267" s="1531"/>
      <c r="CD267" s="1531"/>
      <c r="CE267" s="1531"/>
      <c r="CF267" s="1552"/>
      <c r="CG267" s="1554"/>
      <c r="CH267" s="1593"/>
      <c r="CI267" s="1594">
        <f t="shared" si="105"/>
        <v>1680</v>
      </c>
      <c r="CJ267" s="1608"/>
      <c r="CK267" s="1608"/>
      <c r="CL267" s="1609">
        <f t="shared" si="106"/>
        <v>1680</v>
      </c>
      <c r="CM267" s="1610"/>
      <c r="CN267" s="1611">
        <f t="shared" si="107"/>
        <v>1680</v>
      </c>
    </row>
    <row r="268" spans="1:95" ht="20.25">
      <c r="A268" s="561" t="s">
        <v>627</v>
      </c>
      <c r="B268" s="545"/>
      <c r="C268" s="539"/>
      <c r="D268" s="544">
        <v>46128</v>
      </c>
      <c r="E268" s="1107"/>
      <c r="F268" s="1530">
        <f>10*16</f>
        <v>160</v>
      </c>
      <c r="G268" s="1003"/>
      <c r="H268" s="1531"/>
      <c r="I268" s="1003"/>
      <c r="J268" s="1003"/>
      <c r="K268" s="1003"/>
      <c r="L268" s="1003"/>
      <c r="M268" s="1549"/>
      <c r="N268" s="1550"/>
      <c r="O268" s="1551"/>
      <c r="P268" s="1552"/>
      <c r="Q268" s="1552"/>
      <c r="R268" s="1552"/>
      <c r="S268" s="1552"/>
      <c r="T268" s="1552"/>
      <c r="U268" s="1531"/>
      <c r="V268" s="1568"/>
      <c r="W268" s="1569"/>
      <c r="X268" s="1551"/>
      <c r="Y268" s="1552"/>
      <c r="Z268" s="1552"/>
      <c r="AA268" s="1552"/>
      <c r="AB268" s="1552"/>
      <c r="AC268" s="1552"/>
      <c r="AD268" s="1531"/>
      <c r="AE268" s="1568"/>
      <c r="AF268" s="1569"/>
      <c r="AG268" s="1551"/>
      <c r="AH268" s="1552"/>
      <c r="AI268" s="1552"/>
      <c r="AJ268" s="1552"/>
      <c r="AK268" s="1552"/>
      <c r="AL268" s="1531"/>
      <c r="AM268" s="1575"/>
      <c r="AN268" s="1554"/>
      <c r="AO268" s="1569"/>
      <c r="AP268" s="1551"/>
      <c r="AQ268" s="1552"/>
      <c r="AR268" s="1552"/>
      <c r="AS268" s="1552"/>
      <c r="AT268" s="1552"/>
      <c r="AU268" s="1552"/>
      <c r="AV268" s="1531"/>
      <c r="AW268" s="1554"/>
      <c r="AX268" s="1569"/>
      <c r="AY268" s="1551"/>
      <c r="AZ268" s="1552"/>
      <c r="BA268" s="1552"/>
      <c r="BB268" s="1552"/>
      <c r="BC268" s="1552"/>
      <c r="BD268" s="1552"/>
      <c r="BE268" s="1531"/>
      <c r="BF268" s="1554"/>
      <c r="BG268" s="1569"/>
      <c r="BH268" s="1551"/>
      <c r="BI268" s="1552">
        <f>7*16</f>
        <v>112</v>
      </c>
      <c r="BJ268" s="1552">
        <f>7*16</f>
        <v>112</v>
      </c>
      <c r="BK268" s="1552">
        <f>10*16</f>
        <v>160</v>
      </c>
      <c r="BL268" s="1552"/>
      <c r="BM268" s="1552"/>
      <c r="BN268" s="1531">
        <f>7*16</f>
        <v>112</v>
      </c>
      <c r="BO268" s="1554"/>
      <c r="BP268" s="1569"/>
      <c r="BQ268" s="1551"/>
      <c r="BR268" s="1552"/>
      <c r="BS268" s="1552"/>
      <c r="BT268" s="1552"/>
      <c r="BU268" s="1552"/>
      <c r="BV268" s="1552"/>
      <c r="BW268" s="1531"/>
      <c r="BX268" s="1554"/>
      <c r="BY268" s="1569"/>
      <c r="BZ268" s="1551"/>
      <c r="CA268" s="1531"/>
      <c r="CB268" s="1531"/>
      <c r="CC268" s="1531"/>
      <c r="CD268" s="1531"/>
      <c r="CE268" s="1531"/>
      <c r="CF268" s="1552"/>
      <c r="CG268" s="1554"/>
      <c r="CH268" s="1593"/>
      <c r="CI268" s="1594">
        <f t="shared" si="105"/>
        <v>656</v>
      </c>
      <c r="CJ268" s="1608"/>
      <c r="CK268" s="1608"/>
      <c r="CL268" s="1609">
        <f t="shared" si="106"/>
        <v>656</v>
      </c>
      <c r="CM268" s="1610"/>
      <c r="CN268" s="1611">
        <f t="shared" si="107"/>
        <v>656</v>
      </c>
    </row>
    <row r="269" spans="1:95" ht="20.25">
      <c r="A269" s="561" t="s">
        <v>624</v>
      </c>
      <c r="B269" s="545"/>
      <c r="C269" s="539"/>
      <c r="D269" s="544">
        <v>46129</v>
      </c>
      <c r="E269" s="1199"/>
      <c r="F269" s="1527"/>
      <c r="G269" s="1528"/>
      <c r="H269" s="1529"/>
      <c r="I269" s="1528"/>
      <c r="J269" s="1528"/>
      <c r="K269" s="1528"/>
      <c r="L269" s="1528"/>
      <c r="M269" s="1545"/>
      <c r="N269" s="1546"/>
      <c r="O269" s="1547"/>
      <c r="P269" s="1548"/>
      <c r="Q269" s="1548"/>
      <c r="R269" s="1548"/>
      <c r="S269" s="1548"/>
      <c r="T269" s="1548"/>
      <c r="U269" s="1529"/>
      <c r="V269" s="1566"/>
      <c r="W269" s="1567"/>
      <c r="X269" s="1547"/>
      <c r="Y269" s="1548"/>
      <c r="Z269" s="1548"/>
      <c r="AA269" s="1548"/>
      <c r="AB269" s="1548"/>
      <c r="AC269" s="1548"/>
      <c r="AD269" s="1529"/>
      <c r="AE269" s="1566"/>
      <c r="AF269" s="1567"/>
      <c r="AG269" s="1547"/>
      <c r="AH269" s="1548"/>
      <c r="AI269" s="1529"/>
      <c r="AJ269" s="1548"/>
      <c r="AK269" s="1548">
        <f>2*16</f>
        <v>32</v>
      </c>
      <c r="AL269" s="1529"/>
      <c r="AM269" s="1574">
        <f>3*16</f>
        <v>48</v>
      </c>
      <c r="AN269" s="1529"/>
      <c r="AO269" s="1567"/>
      <c r="AP269" s="1547"/>
      <c r="AQ269" s="1548"/>
      <c r="AR269" s="1548"/>
      <c r="AS269" s="1548"/>
      <c r="AT269" s="1548"/>
      <c r="AU269" s="1548"/>
      <c r="AV269" s="1529"/>
      <c r="AW269" s="1553"/>
      <c r="AX269" s="1567"/>
      <c r="AY269" s="1547"/>
      <c r="AZ269" s="1548"/>
      <c r="BA269" s="1548"/>
      <c r="BB269" s="1548"/>
      <c r="BC269" s="1548"/>
      <c r="BD269" s="1548">
        <f>2*16</f>
        <v>32</v>
      </c>
      <c r="BE269" s="1529"/>
      <c r="BF269" s="1553"/>
      <c r="BG269" s="1567"/>
      <c r="BH269" s="1547"/>
      <c r="BI269" s="1548"/>
      <c r="BJ269" s="1548"/>
      <c r="BK269" s="1548"/>
      <c r="BL269" s="1548"/>
      <c r="BM269" s="1548"/>
      <c r="BN269" s="1529"/>
      <c r="BO269" s="1553"/>
      <c r="BP269" s="1567"/>
      <c r="BQ269" s="1547"/>
      <c r="BR269" s="1548"/>
      <c r="BS269" s="1548"/>
      <c r="BT269" s="1548"/>
      <c r="BU269" s="1548"/>
      <c r="BV269" s="1548">
        <f>3*16</f>
        <v>48</v>
      </c>
      <c r="BW269" s="1529"/>
      <c r="BX269" s="1553"/>
      <c r="BY269" s="1567"/>
      <c r="BZ269" s="1584"/>
      <c r="CA269" s="1586"/>
      <c r="CB269" s="1586"/>
      <c r="CC269" s="1586"/>
      <c r="CD269" s="1529">
        <f>3*16</f>
        <v>48</v>
      </c>
      <c r="CE269" s="1529"/>
      <c r="CF269" s="1548"/>
      <c r="CG269" s="1553"/>
      <c r="CH269" s="1591"/>
      <c r="CI269" s="1592">
        <f t="shared" si="101"/>
        <v>208</v>
      </c>
      <c r="CJ269" s="1604"/>
      <c r="CK269" s="1604"/>
      <c r="CL269" s="1605">
        <f t="shared" si="102"/>
        <v>208</v>
      </c>
      <c r="CM269" s="1606"/>
      <c r="CN269" s="1607">
        <f t="shared" si="103"/>
        <v>208</v>
      </c>
    </row>
    <row r="270" spans="1:95" ht="20.25">
      <c r="A270" s="547" t="s">
        <v>629</v>
      </c>
      <c r="B270" s="545"/>
      <c r="C270" s="539"/>
      <c r="D270" s="544">
        <v>46129</v>
      </c>
      <c r="E270" s="1199"/>
      <c r="F270" s="1527">
        <f>6*16</f>
        <v>96</v>
      </c>
      <c r="G270" s="1528"/>
      <c r="H270" s="1529"/>
      <c r="I270" s="1528"/>
      <c r="J270" s="1528"/>
      <c r="K270" s="1528"/>
      <c r="L270" s="1528">
        <f>5*16</f>
        <v>80</v>
      </c>
      <c r="M270" s="1545"/>
      <c r="N270" s="1546"/>
      <c r="O270" s="1547"/>
      <c r="P270" s="1548"/>
      <c r="Q270" s="1548"/>
      <c r="R270" s="1548"/>
      <c r="S270" s="1548"/>
      <c r="T270" s="1548"/>
      <c r="U270" s="1529"/>
      <c r="V270" s="1566"/>
      <c r="W270" s="1567"/>
      <c r="X270" s="1547"/>
      <c r="Y270" s="1548"/>
      <c r="Z270" s="1548"/>
      <c r="AA270" s="1548"/>
      <c r="AB270" s="1548"/>
      <c r="AC270" s="1548"/>
      <c r="AD270" s="1529"/>
      <c r="AE270" s="1566"/>
      <c r="AF270" s="1567"/>
      <c r="AG270" s="1547"/>
      <c r="AH270" s="1548"/>
      <c r="AI270" s="1548">
        <f>5*16</f>
        <v>80</v>
      </c>
      <c r="AJ270" s="1548"/>
      <c r="AK270" s="1548"/>
      <c r="AL270" s="1529"/>
      <c r="AM270" s="1574">
        <f>6*16</f>
        <v>96</v>
      </c>
      <c r="AN270" s="1529"/>
      <c r="AO270" s="1567"/>
      <c r="AP270" s="1547"/>
      <c r="AQ270" s="1548"/>
      <c r="AR270" s="1548"/>
      <c r="AS270" s="1548"/>
      <c r="AT270" s="1548"/>
      <c r="AU270" s="1548"/>
      <c r="AV270" s="1529"/>
      <c r="AW270" s="1553"/>
      <c r="AX270" s="1567"/>
      <c r="AY270" s="1547"/>
      <c r="AZ270" s="1548"/>
      <c r="BA270" s="1548">
        <f>15*16</f>
        <v>240</v>
      </c>
      <c r="BB270" s="1548"/>
      <c r="BC270" s="1548"/>
      <c r="BD270" s="1548">
        <f>15*16</f>
        <v>240</v>
      </c>
      <c r="BE270" s="1529"/>
      <c r="BF270" s="1553"/>
      <c r="BG270" s="1567"/>
      <c r="BH270" s="1547"/>
      <c r="BI270" s="1548"/>
      <c r="BJ270" s="1548"/>
      <c r="BK270" s="1548"/>
      <c r="BL270" s="1548"/>
      <c r="BM270" s="1548"/>
      <c r="BN270" s="1529"/>
      <c r="BO270" s="1553"/>
      <c r="BP270" s="1567"/>
      <c r="BQ270" s="1547"/>
      <c r="BR270" s="1548"/>
      <c r="BS270" s="1548"/>
      <c r="BT270" s="1548"/>
      <c r="BU270" s="1548"/>
      <c r="BV270" s="1548"/>
      <c r="BW270" s="1529"/>
      <c r="BX270" s="1553"/>
      <c r="BY270" s="1567"/>
      <c r="BZ270" s="1584"/>
      <c r="CA270" s="1585"/>
      <c r="CB270" s="1586"/>
      <c r="CC270" s="1586"/>
      <c r="CD270" s="1529"/>
      <c r="CE270" s="1529"/>
      <c r="CF270" s="1548"/>
      <c r="CG270" s="1553"/>
      <c r="CH270" s="1591"/>
      <c r="CI270" s="1592">
        <f t="shared" si="101"/>
        <v>832</v>
      </c>
      <c r="CJ270" s="1604"/>
      <c r="CK270" s="1604"/>
      <c r="CL270" s="1605">
        <f t="shared" si="102"/>
        <v>832</v>
      </c>
      <c r="CM270" s="1606"/>
      <c r="CN270" s="1607">
        <f t="shared" si="103"/>
        <v>832</v>
      </c>
    </row>
    <row r="271" spans="1:95" ht="20.25">
      <c r="A271" s="547" t="s">
        <v>647</v>
      </c>
      <c r="B271" s="545"/>
      <c r="C271" s="539"/>
      <c r="D271" s="544">
        <v>46130</v>
      </c>
      <c r="E271" s="861"/>
      <c r="F271" s="1535">
        <f>2*16</f>
        <v>32</v>
      </c>
      <c r="G271" s="1536"/>
      <c r="H271" s="1537">
        <f>2*16</f>
        <v>32</v>
      </c>
      <c r="I271" s="1536"/>
      <c r="J271" s="1536"/>
      <c r="K271" s="1536"/>
      <c r="L271" s="1536"/>
      <c r="M271" s="1144"/>
      <c r="N271" s="1555"/>
      <c r="O271" s="1556"/>
      <c r="P271" s="1557"/>
      <c r="Q271" s="1557"/>
      <c r="R271" s="1557"/>
      <c r="S271" s="1557"/>
      <c r="T271" s="1557"/>
      <c r="U271" s="1537"/>
      <c r="V271" s="1570"/>
      <c r="W271" s="1571"/>
      <c r="X271" s="1556"/>
      <c r="Y271" s="1557"/>
      <c r="Z271" s="1557"/>
      <c r="AA271" s="1557"/>
      <c r="AB271" s="1557"/>
      <c r="AC271" s="1557"/>
      <c r="AD271" s="1537"/>
      <c r="AE271" s="1570"/>
      <c r="AF271" s="1571"/>
      <c r="AG271" s="1556"/>
      <c r="AH271" s="1557"/>
      <c r="AI271" s="1557"/>
      <c r="AJ271" s="1557"/>
      <c r="AK271" s="1557"/>
      <c r="AL271" s="1537"/>
      <c r="AM271" s="1576"/>
      <c r="AN271" s="1537"/>
      <c r="AO271" s="1571"/>
      <c r="AP271" s="1556"/>
      <c r="AQ271" s="1557"/>
      <c r="AR271" s="1557"/>
      <c r="AS271" s="1557"/>
      <c r="AT271" s="1557"/>
      <c r="AU271" s="1557"/>
      <c r="AV271" s="1537"/>
      <c r="AW271" s="1578"/>
      <c r="AX271" s="1571"/>
      <c r="AY271" s="1556"/>
      <c r="AZ271" s="1557"/>
      <c r="BA271" s="1557"/>
      <c r="BB271" s="1557"/>
      <c r="BC271" s="1557"/>
      <c r="BD271" s="1557"/>
      <c r="BE271" s="1537"/>
      <c r="BF271" s="1578"/>
      <c r="BG271" s="1571"/>
      <c r="BH271" s="1556"/>
      <c r="BI271" s="1557"/>
      <c r="BJ271" s="1557"/>
      <c r="BK271" s="1557"/>
      <c r="BL271" s="1557"/>
      <c r="BM271" s="1557"/>
      <c r="BN271" s="1537"/>
      <c r="BO271" s="1578"/>
      <c r="BP271" s="1571"/>
      <c r="BQ271" s="1556"/>
      <c r="BR271" s="1557"/>
      <c r="BS271" s="1557"/>
      <c r="BT271" s="1557"/>
      <c r="BU271" s="1557"/>
      <c r="BV271" s="1557"/>
      <c r="BW271" s="1537"/>
      <c r="BX271" s="1578"/>
      <c r="BY271" s="1571"/>
      <c r="BZ271" s="1556"/>
      <c r="CA271" s="1537"/>
      <c r="CB271" s="1537"/>
      <c r="CC271" s="1537"/>
      <c r="CD271" s="1537"/>
      <c r="CE271" s="1537"/>
      <c r="CF271" s="1557"/>
      <c r="CG271" s="1578"/>
      <c r="CH271" s="1595"/>
      <c r="CI271" s="1596">
        <f t="shared" si="101"/>
        <v>64</v>
      </c>
      <c r="CJ271" s="1612"/>
      <c r="CK271" s="1612"/>
      <c r="CL271" s="1613">
        <f t="shared" si="102"/>
        <v>64</v>
      </c>
      <c r="CM271" s="1141"/>
      <c r="CN271" s="1614">
        <f t="shared" si="103"/>
        <v>64</v>
      </c>
    </row>
    <row r="272" spans="1:95" ht="20.25">
      <c r="A272" s="547" t="s">
        <v>653</v>
      </c>
      <c r="B272" s="545"/>
      <c r="C272" s="797"/>
      <c r="D272" s="544">
        <v>46130</v>
      </c>
      <c r="E272" s="861"/>
      <c r="F272" s="1535"/>
      <c r="G272" s="1536"/>
      <c r="H272" s="1537"/>
      <c r="I272" s="1536"/>
      <c r="J272" s="1536"/>
      <c r="K272" s="1536"/>
      <c r="L272" s="1536"/>
      <c r="M272" s="1144"/>
      <c r="N272" s="1555"/>
      <c r="O272" s="1556"/>
      <c r="P272" s="1557"/>
      <c r="Q272" s="1557"/>
      <c r="R272" s="1557"/>
      <c r="S272" s="1557"/>
      <c r="T272" s="1557"/>
      <c r="U272" s="1537"/>
      <c r="V272" s="1570"/>
      <c r="W272" s="1571"/>
      <c r="X272" s="1556"/>
      <c r="Y272" s="1557"/>
      <c r="Z272" s="1557"/>
      <c r="AA272" s="1557"/>
      <c r="AB272" s="1557"/>
      <c r="AC272" s="1557"/>
      <c r="AD272" s="1537"/>
      <c r="AE272" s="1570"/>
      <c r="AF272" s="1571"/>
      <c r="AG272" s="1556"/>
      <c r="AH272" s="1557"/>
      <c r="AI272" s="1557">
        <f>2*16</f>
        <v>32</v>
      </c>
      <c r="AJ272" s="1557"/>
      <c r="AK272" s="1557">
        <f>2*16</f>
        <v>32</v>
      </c>
      <c r="AL272" s="1537"/>
      <c r="AM272" s="1576"/>
      <c r="AN272" s="1578"/>
      <c r="AO272" s="1571"/>
      <c r="AP272" s="1556"/>
      <c r="AQ272" s="1557"/>
      <c r="AR272" s="1557"/>
      <c r="AS272" s="1557"/>
      <c r="AT272" s="1557"/>
      <c r="AU272" s="1557"/>
      <c r="AV272" s="1537"/>
      <c r="AW272" s="1578"/>
      <c r="AX272" s="1571"/>
      <c r="AY272" s="1556"/>
      <c r="AZ272" s="1557"/>
      <c r="BA272" s="1557"/>
      <c r="BB272" s="1557"/>
      <c r="BC272" s="1557"/>
      <c r="BD272" s="1557"/>
      <c r="BE272" s="1537"/>
      <c r="BF272" s="1578"/>
      <c r="BG272" s="1571"/>
      <c r="BH272" s="1556"/>
      <c r="BI272" s="1557"/>
      <c r="BJ272" s="1557"/>
      <c r="BK272" s="1557"/>
      <c r="BL272" s="1557"/>
      <c r="BM272" s="1557"/>
      <c r="BN272" s="1537"/>
      <c r="BO272" s="1578"/>
      <c r="BP272" s="1571"/>
      <c r="BQ272" s="1556"/>
      <c r="BR272" s="1557"/>
      <c r="BS272" s="1557"/>
      <c r="BT272" s="1557"/>
      <c r="BU272" s="1557"/>
      <c r="BV272" s="1557">
        <f>4*16</f>
        <v>64</v>
      </c>
      <c r="BW272" s="1537"/>
      <c r="BX272" s="1578"/>
      <c r="BY272" s="1571"/>
      <c r="BZ272" s="1556"/>
      <c r="CA272" s="1537"/>
      <c r="CB272" s="1537"/>
      <c r="CC272" s="1537"/>
      <c r="CD272" s="1537">
        <f>2*16</f>
        <v>32</v>
      </c>
      <c r="CE272" s="1537"/>
      <c r="CF272" s="1557"/>
      <c r="CG272" s="1578"/>
      <c r="CH272" s="1595"/>
      <c r="CI272" s="1596">
        <f t="shared" si="101"/>
        <v>160</v>
      </c>
      <c r="CJ272" s="1612"/>
      <c r="CK272" s="1612"/>
      <c r="CL272" s="1613">
        <f t="shared" si="102"/>
        <v>160</v>
      </c>
      <c r="CM272" s="1615"/>
      <c r="CN272" s="1614">
        <f t="shared" si="103"/>
        <v>160</v>
      </c>
    </row>
    <row r="273" spans="1:92" ht="20.25">
      <c r="A273" s="547" t="s">
        <v>654</v>
      </c>
      <c r="B273" s="545"/>
      <c r="C273" s="3514"/>
      <c r="D273" s="544">
        <v>46130</v>
      </c>
      <c r="E273" s="861"/>
      <c r="F273" s="1535"/>
      <c r="G273" s="1536"/>
      <c r="H273" s="1537"/>
      <c r="I273" s="1536"/>
      <c r="J273" s="1536"/>
      <c r="K273" s="1536"/>
      <c r="L273" s="1536"/>
      <c r="M273" s="1144"/>
      <c r="N273" s="1555"/>
      <c r="O273" s="1556"/>
      <c r="P273" s="1557"/>
      <c r="Q273" s="1557"/>
      <c r="R273" s="1557"/>
      <c r="S273" s="1557"/>
      <c r="T273" s="1557"/>
      <c r="U273" s="1537"/>
      <c r="V273" s="1570"/>
      <c r="W273" s="1571"/>
      <c r="X273" s="1556"/>
      <c r="Y273" s="1557"/>
      <c r="Z273" s="1557"/>
      <c r="AA273" s="1557"/>
      <c r="AB273" s="1557"/>
      <c r="AC273" s="1557"/>
      <c r="AD273" s="1537"/>
      <c r="AE273" s="1570"/>
      <c r="AF273" s="1571"/>
      <c r="AG273" s="1556"/>
      <c r="AH273" s="1557"/>
      <c r="AI273" s="1557"/>
      <c r="AJ273" s="1557"/>
      <c r="AK273" s="1557"/>
      <c r="AL273" s="1537"/>
      <c r="AM273" s="1576"/>
      <c r="AN273" s="1578"/>
      <c r="AO273" s="1571"/>
      <c r="AP273" s="1556"/>
      <c r="AQ273" s="1557"/>
      <c r="AR273" s="1557"/>
      <c r="AS273" s="1557"/>
      <c r="AT273" s="1557"/>
      <c r="AU273" s="1557"/>
      <c r="AV273" s="1537"/>
      <c r="AW273" s="1578"/>
      <c r="AX273" s="1571"/>
      <c r="AY273" s="1556"/>
      <c r="AZ273" s="1557"/>
      <c r="BA273" s="1557"/>
      <c r="BB273" s="1557"/>
      <c r="BC273" s="1557"/>
      <c r="BD273" s="1557"/>
      <c r="BE273" s="1537"/>
      <c r="BF273" s="1578"/>
      <c r="BG273" s="1571"/>
      <c r="BH273" s="1556"/>
      <c r="BI273" s="1557"/>
      <c r="BJ273" s="1557"/>
      <c r="BK273" s="1557"/>
      <c r="BL273" s="1557"/>
      <c r="BM273" s="1557"/>
      <c r="BN273" s="1537"/>
      <c r="BO273" s="1578"/>
      <c r="BP273" s="1571"/>
      <c r="BQ273" s="1556"/>
      <c r="BR273" s="1557"/>
      <c r="BS273" s="1557"/>
      <c r="BT273" s="1557"/>
      <c r="BU273" s="1557"/>
      <c r="BV273" s="1557"/>
      <c r="BW273" s="1537"/>
      <c r="BX273" s="1578"/>
      <c r="BY273" s="1571"/>
      <c r="BZ273" s="1556">
        <f>140*16</f>
        <v>2240</v>
      </c>
      <c r="CA273" s="1537"/>
      <c r="CB273" s="1537"/>
      <c r="CC273" s="1537"/>
      <c r="CD273" s="1537"/>
      <c r="CE273" s="1537"/>
      <c r="CF273" s="1557"/>
      <c r="CG273" s="1578"/>
      <c r="CH273" s="1595"/>
      <c r="CI273" s="1596">
        <f t="shared" si="101"/>
        <v>2240</v>
      </c>
      <c r="CJ273" s="1612"/>
      <c r="CK273" s="1612"/>
      <c r="CL273" s="1613">
        <f t="shared" si="102"/>
        <v>2240</v>
      </c>
      <c r="CM273" s="1141"/>
      <c r="CN273" s="1614">
        <f t="shared" si="103"/>
        <v>2240</v>
      </c>
    </row>
    <row r="274" spans="1:92" ht="20.25">
      <c r="A274" s="547" t="s">
        <v>655</v>
      </c>
      <c r="B274" s="545"/>
      <c r="C274" s="539"/>
      <c r="D274" s="544">
        <v>46131</v>
      </c>
      <c r="E274" s="1107"/>
      <c r="F274" s="1530"/>
      <c r="G274" s="1003"/>
      <c r="H274" s="1531"/>
      <c r="I274" s="1003"/>
      <c r="J274" s="1003"/>
      <c r="K274" s="1003"/>
      <c r="L274" s="1003"/>
      <c r="M274" s="1549"/>
      <c r="N274" s="1550"/>
      <c r="O274" s="1551"/>
      <c r="P274" s="1552"/>
      <c r="Q274" s="1552"/>
      <c r="R274" s="1552"/>
      <c r="S274" s="1552"/>
      <c r="T274" s="1552"/>
      <c r="U274" s="1531"/>
      <c r="V274" s="1568"/>
      <c r="W274" s="1569"/>
      <c r="X274" s="1551"/>
      <c r="Y274" s="1552"/>
      <c r="Z274" s="1552"/>
      <c r="AA274" s="1552"/>
      <c r="AB274" s="1552"/>
      <c r="AC274" s="1552"/>
      <c r="AD274" s="1531"/>
      <c r="AE274" s="1568"/>
      <c r="AF274" s="1569"/>
      <c r="AG274" s="1551"/>
      <c r="AH274" s="1552"/>
      <c r="AI274" s="1552"/>
      <c r="AJ274" s="1552"/>
      <c r="AK274" s="1552"/>
      <c r="AL274" s="1531"/>
      <c r="AM274" s="1575"/>
      <c r="AN274" s="1554"/>
      <c r="AO274" s="1569"/>
      <c r="AP274" s="1551"/>
      <c r="AQ274" s="1552"/>
      <c r="AR274" s="1552"/>
      <c r="AS274" s="1552"/>
      <c r="AT274" s="1552"/>
      <c r="AU274" s="1552"/>
      <c r="AV274" s="1531"/>
      <c r="AW274" s="1554"/>
      <c r="AX274" s="1569"/>
      <c r="AY274" s="1551"/>
      <c r="AZ274" s="1552"/>
      <c r="BA274" s="1552">
        <f>10*16</f>
        <v>160</v>
      </c>
      <c r="BB274" s="1552"/>
      <c r="BC274" s="1552"/>
      <c r="BD274" s="1552">
        <f>9*16</f>
        <v>144</v>
      </c>
      <c r="BE274" s="1531"/>
      <c r="BF274" s="1554"/>
      <c r="BG274" s="1569"/>
      <c r="BH274" s="1551"/>
      <c r="BI274" s="1552">
        <f>1*16</f>
        <v>16</v>
      </c>
      <c r="BJ274" s="1552">
        <f>2*16</f>
        <v>32</v>
      </c>
      <c r="BK274" s="1552"/>
      <c r="BL274" s="1552"/>
      <c r="BM274" s="1552"/>
      <c r="BN274" s="1531"/>
      <c r="BO274" s="1554"/>
      <c r="BP274" s="1569"/>
      <c r="BQ274" s="1551"/>
      <c r="BR274" s="1552"/>
      <c r="BS274" s="1552"/>
      <c r="BT274" s="1552"/>
      <c r="BU274" s="1552"/>
      <c r="BV274" s="1552"/>
      <c r="BW274" s="1531"/>
      <c r="BX274" s="1554"/>
      <c r="BY274" s="1569"/>
      <c r="BZ274" s="1551"/>
      <c r="CA274" s="1531"/>
      <c r="CB274" s="1531"/>
      <c r="CC274" s="1531"/>
      <c r="CD274" s="1531"/>
      <c r="CE274" s="1531"/>
      <c r="CF274" s="1552"/>
      <c r="CG274" s="1554"/>
      <c r="CH274" s="1593"/>
      <c r="CI274" s="1594">
        <f t="shared" si="101"/>
        <v>352</v>
      </c>
      <c r="CJ274" s="1608"/>
      <c r="CK274" s="1608"/>
      <c r="CL274" s="1609">
        <f t="shared" si="102"/>
        <v>352</v>
      </c>
      <c r="CM274" s="1610"/>
      <c r="CN274" s="1611">
        <f t="shared" si="103"/>
        <v>352</v>
      </c>
    </row>
    <row r="275" spans="1:92" ht="20.25">
      <c r="A275" s="547" t="s">
        <v>634</v>
      </c>
      <c r="B275" s="545"/>
      <c r="C275" s="539"/>
      <c r="D275" s="544">
        <v>46131</v>
      </c>
      <c r="E275" s="861"/>
      <c r="F275" s="1535"/>
      <c r="G275" s="1536"/>
      <c r="H275" s="1537"/>
      <c r="I275" s="1536"/>
      <c r="J275" s="1536"/>
      <c r="K275" s="1536"/>
      <c r="L275" s="1536"/>
      <c r="M275" s="1144"/>
      <c r="N275" s="1555"/>
      <c r="O275" s="1556"/>
      <c r="P275" s="1557"/>
      <c r="Q275" s="1557"/>
      <c r="R275" s="1557"/>
      <c r="S275" s="1557"/>
      <c r="T275" s="1557"/>
      <c r="U275" s="1537"/>
      <c r="V275" s="1570"/>
      <c r="W275" s="1571"/>
      <c r="X275" s="1556"/>
      <c r="Y275" s="1557"/>
      <c r="Z275" s="1557"/>
      <c r="AA275" s="1557"/>
      <c r="AB275" s="1557"/>
      <c r="AC275" s="1557"/>
      <c r="AD275" s="1537"/>
      <c r="AE275" s="1570"/>
      <c r="AF275" s="1571"/>
      <c r="AG275" s="1556"/>
      <c r="AH275" s="1557"/>
      <c r="AI275" s="1557"/>
      <c r="AJ275" s="1557"/>
      <c r="AK275" s="1557"/>
      <c r="AL275" s="1537"/>
      <c r="AM275" s="1576"/>
      <c r="AN275" s="1578"/>
      <c r="AO275" s="1571"/>
      <c r="AP275" s="1556"/>
      <c r="AQ275" s="1557"/>
      <c r="AR275" s="1557"/>
      <c r="AS275" s="1557"/>
      <c r="AT275" s="1557"/>
      <c r="AU275" s="1557"/>
      <c r="AV275" s="1537"/>
      <c r="AW275" s="1578"/>
      <c r="AX275" s="1571"/>
      <c r="AY275" s="1556"/>
      <c r="AZ275" s="1557"/>
      <c r="BA275" s="1557">
        <f>5*16</f>
        <v>80</v>
      </c>
      <c r="BB275" s="1557"/>
      <c r="BC275" s="1557"/>
      <c r="BD275" s="1557">
        <f>5*16</f>
        <v>80</v>
      </c>
      <c r="BE275" s="1537"/>
      <c r="BF275" s="1578"/>
      <c r="BG275" s="1571"/>
      <c r="BH275" s="1556"/>
      <c r="BI275" s="1557"/>
      <c r="BJ275" s="1557"/>
      <c r="BK275" s="1557"/>
      <c r="BL275" s="1557"/>
      <c r="BM275" s="1557"/>
      <c r="BN275" s="1537"/>
      <c r="BO275" s="1578"/>
      <c r="BP275" s="1571"/>
      <c r="BQ275" s="1556"/>
      <c r="BR275" s="1557"/>
      <c r="BS275" s="1557"/>
      <c r="BT275" s="1557"/>
      <c r="BU275" s="1557"/>
      <c r="BV275" s="1557"/>
      <c r="BW275" s="1537"/>
      <c r="BX275" s="1578"/>
      <c r="BY275" s="1571"/>
      <c r="BZ275" s="1556"/>
      <c r="CA275" s="1537"/>
      <c r="CB275" s="1537"/>
      <c r="CC275" s="1537"/>
      <c r="CD275" s="1537"/>
      <c r="CE275" s="1537"/>
      <c r="CF275" s="1557"/>
      <c r="CG275" s="1578"/>
      <c r="CH275" s="1595"/>
      <c r="CI275" s="1596">
        <f t="shared" si="101"/>
        <v>160</v>
      </c>
      <c r="CJ275" s="1612"/>
      <c r="CK275" s="1612"/>
      <c r="CL275" s="1613">
        <f t="shared" si="102"/>
        <v>160</v>
      </c>
      <c r="CM275" s="1141"/>
      <c r="CN275" s="1614">
        <f t="shared" si="103"/>
        <v>160</v>
      </c>
    </row>
    <row r="276" spans="1:92" ht="20.25">
      <c r="A276" s="561" t="s">
        <v>656</v>
      </c>
      <c r="B276" s="545"/>
      <c r="C276" s="553"/>
      <c r="D276" s="544">
        <v>46131</v>
      </c>
      <c r="E276" s="546"/>
      <c r="F276" s="1538">
        <f>4*16</f>
        <v>64</v>
      </c>
      <c r="G276" s="1539"/>
      <c r="H276" s="1540"/>
      <c r="I276" s="1539"/>
      <c r="J276" s="1539"/>
      <c r="K276" s="1539"/>
      <c r="L276" s="1539">
        <f>2*16</f>
        <v>32</v>
      </c>
      <c r="M276" s="1558"/>
      <c r="N276" s="1559"/>
      <c r="O276" s="1560"/>
      <c r="P276" s="1561"/>
      <c r="Q276" s="1561"/>
      <c r="R276" s="1561"/>
      <c r="S276" s="1561"/>
      <c r="T276" s="1561"/>
      <c r="U276" s="1540"/>
      <c r="V276" s="1572"/>
      <c r="W276" s="1573"/>
      <c r="X276" s="1560"/>
      <c r="Y276" s="1561"/>
      <c r="Z276" s="1561"/>
      <c r="AA276" s="1561"/>
      <c r="AB276" s="1561"/>
      <c r="AC276" s="1561"/>
      <c r="AD276" s="1540"/>
      <c r="AE276" s="1572"/>
      <c r="AF276" s="1573"/>
      <c r="AG276" s="1560"/>
      <c r="AH276" s="1561"/>
      <c r="AI276" s="1561">
        <f>2*16</f>
        <v>32</v>
      </c>
      <c r="AJ276" s="1561"/>
      <c r="AK276" s="1561"/>
      <c r="AL276" s="1540"/>
      <c r="AM276" s="1577">
        <f>6*16</f>
        <v>96</v>
      </c>
      <c r="AN276" s="1579"/>
      <c r="AO276" s="1573"/>
      <c r="AP276" s="1560"/>
      <c r="AQ276" s="1561"/>
      <c r="AR276" s="1561"/>
      <c r="AS276" s="1561"/>
      <c r="AT276" s="1561"/>
      <c r="AU276" s="1561"/>
      <c r="AV276" s="1540"/>
      <c r="AW276" s="1579"/>
      <c r="AX276" s="1573"/>
      <c r="AY276" s="1560"/>
      <c r="AZ276" s="1561"/>
      <c r="BA276" s="1561">
        <f>5*16</f>
        <v>80</v>
      </c>
      <c r="BB276" s="1561"/>
      <c r="BC276" s="1561"/>
      <c r="BD276" s="1561">
        <f>5*16</f>
        <v>80</v>
      </c>
      <c r="BE276" s="1540"/>
      <c r="BF276" s="1579"/>
      <c r="BG276" s="1573"/>
      <c r="BH276" s="1560"/>
      <c r="BI276" s="1561">
        <f>2*16</f>
        <v>32</v>
      </c>
      <c r="BJ276" s="1561">
        <f>2*16</f>
        <v>32</v>
      </c>
      <c r="BK276" s="1561"/>
      <c r="BL276" s="1561"/>
      <c r="BM276" s="1561"/>
      <c r="BN276" s="1540"/>
      <c r="BO276" s="1579"/>
      <c r="BP276" s="1573"/>
      <c r="BQ276" s="1560"/>
      <c r="BR276" s="1561"/>
      <c r="BS276" s="1561"/>
      <c r="BT276" s="1561"/>
      <c r="BU276" s="1561"/>
      <c r="BV276" s="1561"/>
      <c r="BW276" s="1540"/>
      <c r="BX276" s="1579"/>
      <c r="BY276" s="1573"/>
      <c r="BZ276" s="1560"/>
      <c r="CA276" s="1540"/>
      <c r="CB276" s="1540"/>
      <c r="CC276" s="1540"/>
      <c r="CD276" s="1540"/>
      <c r="CE276" s="1540"/>
      <c r="CF276" s="1561"/>
      <c r="CG276" s="1579"/>
      <c r="CH276" s="1597"/>
      <c r="CI276" s="1598">
        <f t="shared" ref="CI276" si="109">SUM(F276:CG276)</f>
        <v>448</v>
      </c>
      <c r="CJ276" s="1616"/>
      <c r="CK276" s="1616"/>
      <c r="CL276" s="1617">
        <f t="shared" ref="CL276" si="110">CI276+CJ276+CK276</f>
        <v>448</v>
      </c>
      <c r="CM276" s="1618"/>
      <c r="CN276" s="1619">
        <f t="shared" ref="CN276" si="111">CL276+CM276</f>
        <v>448</v>
      </c>
    </row>
    <row r="277" spans="1:92" ht="20.25">
      <c r="A277" s="547" t="s">
        <v>657</v>
      </c>
      <c r="B277" s="545"/>
      <c r="C277" s="797"/>
      <c r="D277" s="544">
        <v>46132</v>
      </c>
      <c r="E277" s="861"/>
      <c r="F277" s="1535"/>
      <c r="G277" s="1536"/>
      <c r="H277" s="1537"/>
      <c r="I277" s="1536"/>
      <c r="J277" s="1536"/>
      <c r="K277" s="1536"/>
      <c r="L277" s="1536"/>
      <c r="M277" s="1144"/>
      <c r="N277" s="1555"/>
      <c r="O277" s="1556"/>
      <c r="P277" s="1557"/>
      <c r="Q277" s="1557"/>
      <c r="R277" s="1557"/>
      <c r="S277" s="1557"/>
      <c r="T277" s="1557"/>
      <c r="U277" s="1537"/>
      <c r="V277" s="1570"/>
      <c r="W277" s="1571"/>
      <c r="X277" s="1556"/>
      <c r="Y277" s="1557"/>
      <c r="Z277" s="1557"/>
      <c r="AA277" s="1557"/>
      <c r="AB277" s="1557"/>
      <c r="AC277" s="1557"/>
      <c r="AD277" s="1537"/>
      <c r="AE277" s="1570"/>
      <c r="AF277" s="1571"/>
      <c r="AG277" s="1556"/>
      <c r="AH277" s="1557"/>
      <c r="AI277" s="1557"/>
      <c r="AJ277" s="1557"/>
      <c r="AK277" s="1557"/>
      <c r="AL277" s="1537"/>
      <c r="AM277" s="1576"/>
      <c r="AN277" s="1578"/>
      <c r="AO277" s="1571"/>
      <c r="AP277" s="1556"/>
      <c r="AQ277" s="1557"/>
      <c r="AR277" s="1557"/>
      <c r="AS277" s="1557"/>
      <c r="AT277" s="1557"/>
      <c r="AU277" s="1557"/>
      <c r="AV277" s="1537"/>
      <c r="AW277" s="1578"/>
      <c r="AX277" s="1571"/>
      <c r="AY277" s="1556"/>
      <c r="AZ277" s="1557"/>
      <c r="BA277" s="1557">
        <f>4*16</f>
        <v>64</v>
      </c>
      <c r="BB277" s="1557"/>
      <c r="BC277" s="1557"/>
      <c r="BD277" s="1557">
        <f>4*16</f>
        <v>64</v>
      </c>
      <c r="BE277" s="1537"/>
      <c r="BF277" s="1578"/>
      <c r="BG277" s="1571"/>
      <c r="BH277" s="1556"/>
      <c r="BI277" s="1557">
        <f>4*16</f>
        <v>64</v>
      </c>
      <c r="BJ277" s="1557"/>
      <c r="BK277" s="1557"/>
      <c r="BL277" s="1557"/>
      <c r="BM277" s="1557"/>
      <c r="BN277" s="1537"/>
      <c r="BO277" s="1578"/>
      <c r="BP277" s="1571"/>
      <c r="BQ277" s="1556"/>
      <c r="BR277" s="1557"/>
      <c r="BS277" s="1557"/>
      <c r="BT277" s="1557"/>
      <c r="BU277" s="1557"/>
      <c r="BV277" s="1557"/>
      <c r="BW277" s="1537"/>
      <c r="BX277" s="1578"/>
      <c r="BY277" s="1571"/>
      <c r="BZ277" s="1556"/>
      <c r="CA277" s="1537"/>
      <c r="CB277" s="1537"/>
      <c r="CC277" s="1537"/>
      <c r="CD277" s="1537"/>
      <c r="CE277" s="1537"/>
      <c r="CF277" s="1557"/>
      <c r="CG277" s="1578"/>
      <c r="CH277" s="1595"/>
      <c r="CI277" s="1596">
        <f t="shared" si="101"/>
        <v>192</v>
      </c>
      <c r="CJ277" s="1612"/>
      <c r="CK277" s="1612"/>
      <c r="CL277" s="1613">
        <f t="shared" si="102"/>
        <v>192</v>
      </c>
      <c r="CM277" s="1141"/>
      <c r="CN277" s="1614">
        <f t="shared" si="103"/>
        <v>192</v>
      </c>
    </row>
    <row r="278" spans="1:92" ht="20.25">
      <c r="A278" s="547" t="s">
        <v>643</v>
      </c>
      <c r="B278" s="545"/>
      <c r="C278" s="549"/>
      <c r="D278" s="544">
        <v>46132</v>
      </c>
      <c r="E278" s="1107"/>
      <c r="F278" s="1530"/>
      <c r="G278" s="1003"/>
      <c r="H278" s="1531"/>
      <c r="I278" s="1003"/>
      <c r="J278" s="1003"/>
      <c r="K278" s="1003"/>
      <c r="L278" s="1003"/>
      <c r="M278" s="1549"/>
      <c r="N278" s="1550"/>
      <c r="O278" s="1551"/>
      <c r="P278" s="1552"/>
      <c r="Q278" s="1552"/>
      <c r="R278" s="1552"/>
      <c r="S278" s="1552"/>
      <c r="T278" s="1552"/>
      <c r="U278" s="1531"/>
      <c r="V278" s="1568"/>
      <c r="W278" s="1569"/>
      <c r="X278" s="1551"/>
      <c r="Y278" s="1552"/>
      <c r="Z278" s="1552"/>
      <c r="AA278" s="1552"/>
      <c r="AB278" s="1552"/>
      <c r="AC278" s="1552"/>
      <c r="AD278" s="1531"/>
      <c r="AE278" s="1568"/>
      <c r="AF278" s="1569"/>
      <c r="AG278" s="1551"/>
      <c r="AH278" s="1552"/>
      <c r="AI278" s="1552"/>
      <c r="AJ278" s="1552"/>
      <c r="AK278" s="1552"/>
      <c r="AL278" s="1531"/>
      <c r="AM278" s="1575"/>
      <c r="AN278" s="1554"/>
      <c r="AO278" s="1569"/>
      <c r="AP278" s="1551"/>
      <c r="AQ278" s="1552"/>
      <c r="AR278" s="1552"/>
      <c r="AS278" s="1552"/>
      <c r="AT278" s="1552"/>
      <c r="AU278" s="1552"/>
      <c r="AV278" s="1531"/>
      <c r="AW278" s="1554"/>
      <c r="AX278" s="1569"/>
      <c r="AY278" s="1551"/>
      <c r="AZ278" s="1552"/>
      <c r="BA278" s="1552"/>
      <c r="BB278" s="1552"/>
      <c r="BC278" s="1552"/>
      <c r="BD278" s="1552"/>
      <c r="BE278" s="1531"/>
      <c r="BF278" s="1554"/>
      <c r="BG278" s="1569"/>
      <c r="BH278" s="1551"/>
      <c r="BI278" s="1552"/>
      <c r="BJ278" s="1552"/>
      <c r="BK278" s="1552"/>
      <c r="BL278" s="1552"/>
      <c r="BM278" s="1552"/>
      <c r="BN278" s="1531"/>
      <c r="BO278" s="1554"/>
      <c r="BP278" s="1569"/>
      <c r="BQ278" s="1551"/>
      <c r="BR278" s="1552"/>
      <c r="BS278" s="1552"/>
      <c r="BT278" s="1552"/>
      <c r="BU278" s="1552"/>
      <c r="BV278" s="1552"/>
      <c r="BW278" s="1531"/>
      <c r="BX278" s="1554"/>
      <c r="BY278" s="1569"/>
      <c r="BZ278" s="1551">
        <f>112*16</f>
        <v>1792</v>
      </c>
      <c r="CA278" s="1531"/>
      <c r="CB278" s="1531"/>
      <c r="CC278" s="1531"/>
      <c r="CD278" s="1531"/>
      <c r="CE278" s="1531"/>
      <c r="CF278" s="1552"/>
      <c r="CG278" s="1554"/>
      <c r="CH278" s="1593"/>
      <c r="CI278" s="1594">
        <f t="shared" si="101"/>
        <v>1792</v>
      </c>
      <c r="CJ278" s="1608"/>
      <c r="CK278" s="1608"/>
      <c r="CL278" s="1609">
        <f t="shared" si="102"/>
        <v>1792</v>
      </c>
      <c r="CM278" s="1610"/>
      <c r="CN278" s="1611">
        <f t="shared" si="103"/>
        <v>1792</v>
      </c>
    </row>
    <row r="279" spans="1:92" ht="20.25">
      <c r="A279" s="551" t="s">
        <v>623</v>
      </c>
      <c r="B279" s="545"/>
      <c r="C279" s="553"/>
      <c r="D279" s="544">
        <v>46132</v>
      </c>
      <c r="E279" s="546"/>
      <c r="F279" s="1538"/>
      <c r="G279" s="1539"/>
      <c r="H279" s="1540"/>
      <c r="I279" s="1539"/>
      <c r="J279" s="1539"/>
      <c r="K279" s="1539"/>
      <c r="L279" s="1539"/>
      <c r="M279" s="1558"/>
      <c r="N279" s="1559"/>
      <c r="O279" s="1560"/>
      <c r="P279" s="1561"/>
      <c r="Q279" s="1561"/>
      <c r="R279" s="1561"/>
      <c r="S279" s="1561"/>
      <c r="T279" s="1561"/>
      <c r="U279" s="1540"/>
      <c r="V279" s="1572"/>
      <c r="W279" s="1573"/>
      <c r="X279" s="1560"/>
      <c r="Y279" s="1561"/>
      <c r="Z279" s="1561"/>
      <c r="AA279" s="1561"/>
      <c r="AB279" s="1561"/>
      <c r="AC279" s="1561"/>
      <c r="AD279" s="1540"/>
      <c r="AE279" s="1572"/>
      <c r="AF279" s="1573"/>
      <c r="AG279" s="1560"/>
      <c r="AH279" s="1561"/>
      <c r="AI279" s="1561"/>
      <c r="AJ279" s="1561"/>
      <c r="AK279" s="1561"/>
      <c r="AL279" s="1540"/>
      <c r="AM279" s="1577"/>
      <c r="AN279" s="1579"/>
      <c r="AO279" s="1573"/>
      <c r="AP279" s="1560"/>
      <c r="AQ279" s="1561"/>
      <c r="AR279" s="1561"/>
      <c r="AS279" s="1561"/>
      <c r="AT279" s="1561"/>
      <c r="AU279" s="1561"/>
      <c r="AV279" s="1540"/>
      <c r="AW279" s="1579"/>
      <c r="AX279" s="1573"/>
      <c r="AY279" s="1560"/>
      <c r="AZ279" s="1561"/>
      <c r="BA279" s="1561"/>
      <c r="BB279" s="1561"/>
      <c r="BC279" s="1561"/>
      <c r="BD279" s="1561"/>
      <c r="BE279" s="1540"/>
      <c r="BF279" s="1579"/>
      <c r="BG279" s="1573"/>
      <c r="BH279" s="1560"/>
      <c r="BI279" s="1561"/>
      <c r="BJ279" s="1561"/>
      <c r="BK279" s="1561"/>
      <c r="BL279" s="1561"/>
      <c r="BM279" s="1561"/>
      <c r="BN279" s="1540"/>
      <c r="BO279" s="1579"/>
      <c r="BP279" s="1573"/>
      <c r="BQ279" s="1560"/>
      <c r="BR279" s="1561"/>
      <c r="BS279" s="1561"/>
      <c r="BT279" s="1561"/>
      <c r="BU279" s="1561"/>
      <c r="BV279" s="1561"/>
      <c r="BW279" s="1540"/>
      <c r="BX279" s="1579"/>
      <c r="BY279" s="1573"/>
      <c r="BZ279" s="1560">
        <f>20*16</f>
        <v>320</v>
      </c>
      <c r="CA279" s="1540"/>
      <c r="CB279" s="1540"/>
      <c r="CC279" s="1540"/>
      <c r="CD279" s="1540"/>
      <c r="CE279" s="1540"/>
      <c r="CF279" s="1561"/>
      <c r="CG279" s="1579"/>
      <c r="CH279" s="1597"/>
      <c r="CI279" s="1598">
        <f t="shared" si="101"/>
        <v>320</v>
      </c>
      <c r="CJ279" s="1616"/>
      <c r="CK279" s="1616"/>
      <c r="CL279" s="1617">
        <f t="shared" si="102"/>
        <v>320</v>
      </c>
      <c r="CM279" s="1618"/>
      <c r="CN279" s="1619">
        <f t="shared" si="103"/>
        <v>320</v>
      </c>
    </row>
    <row r="280" spans="1:92" ht="20.25">
      <c r="A280" s="547" t="s">
        <v>659</v>
      </c>
      <c r="B280" s="545"/>
      <c r="C280" s="553"/>
      <c r="D280" s="544">
        <v>46132</v>
      </c>
      <c r="E280" s="546"/>
      <c r="F280" s="1538"/>
      <c r="G280" s="1539"/>
      <c r="H280" s="1540"/>
      <c r="I280" s="1539"/>
      <c r="J280" s="1539"/>
      <c r="K280" s="1539"/>
      <c r="L280" s="1539"/>
      <c r="M280" s="1558"/>
      <c r="N280" s="1559"/>
      <c r="O280" s="1560"/>
      <c r="P280" s="1561"/>
      <c r="Q280" s="1561"/>
      <c r="R280" s="1561"/>
      <c r="S280" s="1561"/>
      <c r="T280" s="1561"/>
      <c r="U280" s="1540"/>
      <c r="V280" s="1572"/>
      <c r="W280" s="1573"/>
      <c r="X280" s="1560"/>
      <c r="Y280" s="1561"/>
      <c r="Z280" s="1561"/>
      <c r="AA280" s="1561"/>
      <c r="AB280" s="1561"/>
      <c r="AC280" s="1561"/>
      <c r="AD280" s="1540"/>
      <c r="AE280" s="1572"/>
      <c r="AF280" s="1573"/>
      <c r="AG280" s="1560"/>
      <c r="AH280" s="1561"/>
      <c r="AI280" s="1561">
        <f>3*16</f>
        <v>48</v>
      </c>
      <c r="AJ280" s="1561"/>
      <c r="AK280" s="1561"/>
      <c r="AL280" s="1540"/>
      <c r="AM280" s="1577">
        <f>3*16</f>
        <v>48</v>
      </c>
      <c r="AN280" s="1579"/>
      <c r="AO280" s="1573"/>
      <c r="AP280" s="1560"/>
      <c r="AQ280" s="1561"/>
      <c r="AR280" s="1561"/>
      <c r="AS280" s="1561"/>
      <c r="AT280" s="1561"/>
      <c r="AU280" s="1561"/>
      <c r="AV280" s="1540"/>
      <c r="AW280" s="1579"/>
      <c r="AX280" s="1573"/>
      <c r="AY280" s="1560"/>
      <c r="AZ280" s="1561"/>
      <c r="BA280" s="1561">
        <f>3*16</f>
        <v>48</v>
      </c>
      <c r="BB280" s="1561"/>
      <c r="BC280" s="1561"/>
      <c r="BD280" s="1561"/>
      <c r="BE280" s="1540"/>
      <c r="BF280" s="1579">
        <f>6*16</f>
        <v>96</v>
      </c>
      <c r="BG280" s="1573"/>
      <c r="BH280" s="1560"/>
      <c r="BI280" s="1561"/>
      <c r="BJ280" s="1561"/>
      <c r="BK280" s="1561"/>
      <c r="BL280" s="1561"/>
      <c r="BM280" s="1561"/>
      <c r="BN280" s="1540"/>
      <c r="BO280" s="1579"/>
      <c r="BP280" s="1573"/>
      <c r="BQ280" s="1560"/>
      <c r="BR280" s="1561"/>
      <c r="BS280" s="1561"/>
      <c r="BT280" s="1561"/>
      <c r="BU280" s="1561"/>
      <c r="BV280" s="1561"/>
      <c r="BW280" s="1540"/>
      <c r="BX280" s="1579"/>
      <c r="BY280" s="1573"/>
      <c r="BZ280" s="1560"/>
      <c r="CA280" s="1540"/>
      <c r="CB280" s="1540"/>
      <c r="CC280" s="1540"/>
      <c r="CD280" s="1540"/>
      <c r="CE280" s="1540"/>
      <c r="CF280" s="1561"/>
      <c r="CG280" s="1579"/>
      <c r="CH280" s="1597"/>
      <c r="CI280" s="1598">
        <f t="shared" si="101"/>
        <v>240</v>
      </c>
      <c r="CJ280" s="1616"/>
      <c r="CK280" s="1616"/>
      <c r="CL280" s="1617">
        <f t="shared" si="102"/>
        <v>240</v>
      </c>
      <c r="CM280" s="1618"/>
      <c r="CN280" s="1619">
        <f t="shared" si="103"/>
        <v>240</v>
      </c>
    </row>
    <row r="281" spans="1:92" ht="20.25">
      <c r="A281" s="551" t="s">
        <v>623</v>
      </c>
      <c r="B281" s="545"/>
      <c r="C281" s="553"/>
      <c r="D281" s="544">
        <v>46133</v>
      </c>
      <c r="E281" s="546"/>
      <c r="F281" s="1538"/>
      <c r="G281" s="1539"/>
      <c r="H281" s="1540"/>
      <c r="I281" s="1539"/>
      <c r="J281" s="1539"/>
      <c r="K281" s="1539"/>
      <c r="L281" s="1539"/>
      <c r="M281" s="1558"/>
      <c r="N281" s="1559"/>
      <c r="O281" s="1560"/>
      <c r="P281" s="1561"/>
      <c r="Q281" s="1561"/>
      <c r="R281" s="1561"/>
      <c r="S281" s="1561"/>
      <c r="T281" s="1561"/>
      <c r="U281" s="1540"/>
      <c r="V281" s="1572"/>
      <c r="W281" s="1573"/>
      <c r="X281" s="1560"/>
      <c r="Y281" s="1561"/>
      <c r="Z281" s="1561"/>
      <c r="AA281" s="1561"/>
      <c r="AB281" s="1561"/>
      <c r="AC281" s="1561"/>
      <c r="AD281" s="1540"/>
      <c r="AE281" s="1572"/>
      <c r="AF281" s="1573"/>
      <c r="AG281" s="1560"/>
      <c r="AH281" s="1561"/>
      <c r="AI281" s="1540"/>
      <c r="AJ281" s="1561"/>
      <c r="AK281" s="1561">
        <f>2*16</f>
        <v>32</v>
      </c>
      <c r="AL281" s="1540"/>
      <c r="AM281" s="1577">
        <f>5*16</f>
        <v>80</v>
      </c>
      <c r="AN281" s="1579"/>
      <c r="AO281" s="1573"/>
      <c r="AP281" s="1560"/>
      <c r="AQ281" s="1561"/>
      <c r="AR281" s="1561"/>
      <c r="AS281" s="1561"/>
      <c r="AT281" s="1561"/>
      <c r="AU281" s="1561"/>
      <c r="AV281" s="1540"/>
      <c r="AW281" s="1579"/>
      <c r="AX281" s="1573"/>
      <c r="AY281" s="1560"/>
      <c r="AZ281" s="1561"/>
      <c r="BA281" s="1561">
        <f>3*16</f>
        <v>48</v>
      </c>
      <c r="BB281" s="1561"/>
      <c r="BC281" s="1561">
        <f>2*16</f>
        <v>32</v>
      </c>
      <c r="BD281" s="1561">
        <f>4*16</f>
        <v>64</v>
      </c>
      <c r="BE281" s="1540"/>
      <c r="BF281" s="1579"/>
      <c r="BG281" s="1573"/>
      <c r="BH281" s="1560"/>
      <c r="BI281" s="1561">
        <f>2*16</f>
        <v>32</v>
      </c>
      <c r="BJ281" s="1561"/>
      <c r="BK281" s="1561">
        <f>2*16</f>
        <v>32</v>
      </c>
      <c r="BL281" s="1561"/>
      <c r="BM281" s="1561"/>
      <c r="BN281" s="1540"/>
      <c r="BO281" s="1579"/>
      <c r="BP281" s="1573"/>
      <c r="BQ281" s="1560"/>
      <c r="BR281" s="1561"/>
      <c r="BS281" s="1561"/>
      <c r="BT281" s="1561"/>
      <c r="BU281" s="1561"/>
      <c r="BV281" s="1561"/>
      <c r="BW281" s="1540"/>
      <c r="BX281" s="1579"/>
      <c r="BY281" s="1573"/>
      <c r="BZ281" s="1560"/>
      <c r="CA281" s="1540"/>
      <c r="CB281" s="1540"/>
      <c r="CC281" s="1540"/>
      <c r="CD281" s="1540"/>
      <c r="CE281" s="1540"/>
      <c r="CF281" s="1561"/>
      <c r="CG281" s="1579"/>
      <c r="CH281" s="1597"/>
      <c r="CI281" s="1598">
        <f t="shared" si="101"/>
        <v>320</v>
      </c>
      <c r="CJ281" s="1616"/>
      <c r="CK281" s="1616"/>
      <c r="CL281" s="1617">
        <f t="shared" si="102"/>
        <v>320</v>
      </c>
      <c r="CM281" s="1618"/>
      <c r="CN281" s="1619">
        <f t="shared" si="103"/>
        <v>320</v>
      </c>
    </row>
    <row r="282" spans="1:92" ht="20.25">
      <c r="A282" s="551" t="s">
        <v>634</v>
      </c>
      <c r="B282" s="545"/>
      <c r="C282" s="539"/>
      <c r="D282" s="555">
        <v>46133</v>
      </c>
      <c r="E282" s="546"/>
      <c r="F282" s="1538"/>
      <c r="G282" s="1539"/>
      <c r="H282" s="1540"/>
      <c r="I282" s="1539"/>
      <c r="J282" s="1539"/>
      <c r="K282" s="1539"/>
      <c r="L282" s="1539"/>
      <c r="M282" s="1558"/>
      <c r="N282" s="1559"/>
      <c r="O282" s="1560"/>
      <c r="P282" s="1561"/>
      <c r="Q282" s="1561"/>
      <c r="R282" s="1561"/>
      <c r="S282" s="1561"/>
      <c r="T282" s="1561"/>
      <c r="U282" s="1540"/>
      <c r="V282" s="1572"/>
      <c r="W282" s="1573"/>
      <c r="X282" s="1560"/>
      <c r="Y282" s="1561"/>
      <c r="Z282" s="1561"/>
      <c r="AA282" s="1561"/>
      <c r="AB282" s="1561"/>
      <c r="AC282" s="1561"/>
      <c r="AD282" s="1540"/>
      <c r="AE282" s="1572"/>
      <c r="AF282" s="1573"/>
      <c r="AG282" s="1560"/>
      <c r="AH282" s="1561"/>
      <c r="AI282" s="1540">
        <f>2*16</f>
        <v>32</v>
      </c>
      <c r="AJ282" s="1561"/>
      <c r="AK282" s="1561"/>
      <c r="AL282" s="1540"/>
      <c r="AM282" s="1577">
        <f>3*16</f>
        <v>48</v>
      </c>
      <c r="AN282" s="1579"/>
      <c r="AO282" s="1573"/>
      <c r="AP282" s="1560"/>
      <c r="AQ282" s="1561"/>
      <c r="AR282" s="1561"/>
      <c r="AS282" s="1561"/>
      <c r="AT282" s="1561"/>
      <c r="AU282" s="1561"/>
      <c r="AV282" s="1540"/>
      <c r="AW282" s="1579"/>
      <c r="AX282" s="1573"/>
      <c r="AY282" s="1560"/>
      <c r="AZ282" s="1561"/>
      <c r="BA282" s="1561">
        <f>5*16</f>
        <v>80</v>
      </c>
      <c r="BB282" s="1561"/>
      <c r="BC282" s="1561"/>
      <c r="BD282" s="1561">
        <f>5*16</f>
        <v>80</v>
      </c>
      <c r="BE282" s="1540"/>
      <c r="BF282" s="1579"/>
      <c r="BG282" s="1573"/>
      <c r="BH282" s="1560"/>
      <c r="BI282" s="1561"/>
      <c r="BJ282" s="1561"/>
      <c r="BK282" s="1561"/>
      <c r="BL282" s="1561"/>
      <c r="BM282" s="1561"/>
      <c r="BN282" s="1540"/>
      <c r="BO282" s="1579"/>
      <c r="BP282" s="1573"/>
      <c r="BQ282" s="1560"/>
      <c r="BR282" s="1561"/>
      <c r="BS282" s="1561"/>
      <c r="BT282" s="1561"/>
      <c r="BU282" s="1561"/>
      <c r="BV282" s="1561"/>
      <c r="BW282" s="1540"/>
      <c r="BX282" s="1579"/>
      <c r="BY282" s="1573"/>
      <c r="BZ282" s="1560"/>
      <c r="CA282" s="1540"/>
      <c r="CB282" s="1540"/>
      <c r="CC282" s="1540"/>
      <c r="CD282" s="1540"/>
      <c r="CE282" s="1540"/>
      <c r="CF282" s="1561"/>
      <c r="CG282" s="1579"/>
      <c r="CH282" s="1597"/>
      <c r="CI282" s="1598">
        <f t="shared" si="101"/>
        <v>240</v>
      </c>
      <c r="CJ282" s="1616"/>
      <c r="CK282" s="1616"/>
      <c r="CL282" s="1617">
        <f t="shared" si="102"/>
        <v>240</v>
      </c>
      <c r="CM282" s="1618"/>
      <c r="CN282" s="1619">
        <f t="shared" si="103"/>
        <v>240</v>
      </c>
    </row>
    <row r="283" spans="1:92" ht="20.25">
      <c r="A283" s="537" t="s">
        <v>623</v>
      </c>
      <c r="B283" s="545"/>
      <c r="C283" s="539"/>
      <c r="D283" s="544">
        <v>46134</v>
      </c>
      <c r="E283" s="546"/>
      <c r="F283" s="1538"/>
      <c r="G283" s="1539"/>
      <c r="H283" s="1540"/>
      <c r="I283" s="1539"/>
      <c r="J283" s="1539"/>
      <c r="K283" s="1539"/>
      <c r="L283" s="1539"/>
      <c r="M283" s="1558"/>
      <c r="N283" s="1559"/>
      <c r="O283" s="1560"/>
      <c r="P283" s="1561"/>
      <c r="Q283" s="1561"/>
      <c r="R283" s="1561"/>
      <c r="S283" s="1561"/>
      <c r="T283" s="1561"/>
      <c r="U283" s="1540"/>
      <c r="V283" s="1572"/>
      <c r="W283" s="1573"/>
      <c r="X283" s="1560"/>
      <c r="Y283" s="1561"/>
      <c r="Z283" s="1561"/>
      <c r="AA283" s="1561"/>
      <c r="AB283" s="1561"/>
      <c r="AC283" s="1561"/>
      <c r="AD283" s="1540"/>
      <c r="AE283" s="1572"/>
      <c r="AF283" s="1573"/>
      <c r="AG283" s="1560"/>
      <c r="AH283" s="1561"/>
      <c r="AI283" s="1540"/>
      <c r="AJ283" s="1561"/>
      <c r="AK283" s="1561"/>
      <c r="AL283" s="1540"/>
      <c r="AM283" s="1577"/>
      <c r="AN283" s="1579"/>
      <c r="AO283" s="1573"/>
      <c r="AP283" s="1560"/>
      <c r="AQ283" s="1561"/>
      <c r="AR283" s="1561"/>
      <c r="AS283" s="1561"/>
      <c r="AT283" s="1561"/>
      <c r="AU283" s="1561"/>
      <c r="AV283" s="1540"/>
      <c r="AW283" s="1579"/>
      <c r="AX283" s="1573"/>
      <c r="AY283" s="1560"/>
      <c r="AZ283" s="1561"/>
      <c r="BA283" s="1561"/>
      <c r="BB283" s="1561"/>
      <c r="BC283" s="1561"/>
      <c r="BD283" s="1561"/>
      <c r="BE283" s="1540"/>
      <c r="BF283" s="1579"/>
      <c r="BG283" s="1573"/>
      <c r="BH283" s="1560"/>
      <c r="BI283" s="1561">
        <f>1*16</f>
        <v>16</v>
      </c>
      <c r="BJ283" s="1561"/>
      <c r="BK283" s="1561"/>
      <c r="BL283" s="1561"/>
      <c r="BM283" s="1561"/>
      <c r="BN283" s="1540"/>
      <c r="BO283" s="1579"/>
      <c r="BP283" s="1573"/>
      <c r="BQ283" s="1560"/>
      <c r="BR283" s="1561"/>
      <c r="BS283" s="1561"/>
      <c r="BT283" s="1561"/>
      <c r="BU283" s="1561"/>
      <c r="BV283" s="1561"/>
      <c r="BW283" s="1540"/>
      <c r="BX283" s="1579"/>
      <c r="BY283" s="1573"/>
      <c r="BZ283" s="1560"/>
      <c r="CA283" s="1540"/>
      <c r="CB283" s="1540"/>
      <c r="CC283" s="1540"/>
      <c r="CD283" s="1540"/>
      <c r="CE283" s="1540"/>
      <c r="CF283" s="1561"/>
      <c r="CG283" s="1579"/>
      <c r="CH283" s="1597"/>
      <c r="CI283" s="1598">
        <f t="shared" si="101"/>
        <v>16</v>
      </c>
      <c r="CJ283" s="1616"/>
      <c r="CK283" s="1616"/>
      <c r="CL283" s="1617">
        <f t="shared" si="102"/>
        <v>16</v>
      </c>
      <c r="CM283" s="1618"/>
      <c r="CN283" s="1619">
        <f t="shared" si="103"/>
        <v>16</v>
      </c>
    </row>
    <row r="284" spans="1:92" ht="20.25">
      <c r="A284" s="537" t="s">
        <v>664</v>
      </c>
      <c r="B284" s="545"/>
      <c r="C284" s="553"/>
      <c r="D284" s="544">
        <v>46134</v>
      </c>
      <c r="E284" s="546"/>
      <c r="F284" s="1538"/>
      <c r="G284" s="1539"/>
      <c r="H284" s="1540"/>
      <c r="I284" s="1539"/>
      <c r="J284" s="1539"/>
      <c r="K284" s="1539"/>
      <c r="L284" s="1539"/>
      <c r="M284" s="1558"/>
      <c r="N284" s="1559"/>
      <c r="O284" s="1560"/>
      <c r="P284" s="1561"/>
      <c r="Q284" s="1561"/>
      <c r="R284" s="1561"/>
      <c r="S284" s="1561"/>
      <c r="T284" s="1561"/>
      <c r="U284" s="1540"/>
      <c r="V284" s="1572"/>
      <c r="W284" s="1573"/>
      <c r="X284" s="1560"/>
      <c r="Y284" s="1561"/>
      <c r="Z284" s="1561"/>
      <c r="AA284" s="1561"/>
      <c r="AB284" s="1561"/>
      <c r="AC284" s="1561"/>
      <c r="AD284" s="1540"/>
      <c r="AE284" s="1572"/>
      <c r="AF284" s="1573"/>
      <c r="AG284" s="1560"/>
      <c r="AH284" s="1561"/>
      <c r="AI284" s="1540">
        <f>3*16</f>
        <v>48</v>
      </c>
      <c r="AJ284" s="1561"/>
      <c r="AK284" s="1561"/>
      <c r="AL284" s="1540"/>
      <c r="AM284" s="1577">
        <f>3*16</f>
        <v>48</v>
      </c>
      <c r="AN284" s="1579"/>
      <c r="AO284" s="1573"/>
      <c r="AP284" s="1560"/>
      <c r="AQ284" s="1561"/>
      <c r="AR284" s="1561"/>
      <c r="AS284" s="1561"/>
      <c r="AT284" s="1561"/>
      <c r="AU284" s="1561"/>
      <c r="AV284" s="1540"/>
      <c r="AW284" s="1579"/>
      <c r="AX284" s="1573"/>
      <c r="AY284" s="1560"/>
      <c r="AZ284" s="1561"/>
      <c r="BA284" s="1561"/>
      <c r="BB284" s="1561"/>
      <c r="BC284" s="1561"/>
      <c r="BD284" s="1561">
        <f>5*16</f>
        <v>80</v>
      </c>
      <c r="BE284" s="1540"/>
      <c r="BF284" s="1579"/>
      <c r="BG284" s="1573"/>
      <c r="BH284" s="1560"/>
      <c r="BI284" s="1561"/>
      <c r="BJ284" s="1561"/>
      <c r="BK284" s="1561"/>
      <c r="BL284" s="1561"/>
      <c r="BM284" s="1561"/>
      <c r="BN284" s="1540"/>
      <c r="BO284" s="1579"/>
      <c r="BP284" s="1573"/>
      <c r="BQ284" s="1560"/>
      <c r="BR284" s="1561"/>
      <c r="BS284" s="1561"/>
      <c r="BT284" s="1561"/>
      <c r="BU284" s="1561"/>
      <c r="BV284" s="1561"/>
      <c r="BW284" s="1540"/>
      <c r="BX284" s="1579"/>
      <c r="BY284" s="1573"/>
      <c r="BZ284" s="1560"/>
      <c r="CA284" s="1540"/>
      <c r="CB284" s="1540"/>
      <c r="CC284" s="1540"/>
      <c r="CD284" s="1540"/>
      <c r="CE284" s="1540"/>
      <c r="CF284" s="1561"/>
      <c r="CG284" s="1579"/>
      <c r="CH284" s="1597"/>
      <c r="CI284" s="1598">
        <f t="shared" si="101"/>
        <v>176</v>
      </c>
      <c r="CJ284" s="1616"/>
      <c r="CK284" s="1616"/>
      <c r="CL284" s="1617">
        <f t="shared" si="102"/>
        <v>176</v>
      </c>
      <c r="CM284" s="1618"/>
      <c r="CN284" s="1619">
        <f t="shared" si="103"/>
        <v>176</v>
      </c>
    </row>
    <row r="285" spans="1:92" ht="20.25">
      <c r="A285" s="561" t="s">
        <v>665</v>
      </c>
      <c r="B285" s="545"/>
      <c r="C285" s="553"/>
      <c r="D285" s="544">
        <v>46134</v>
      </c>
      <c r="E285" s="546"/>
      <c r="F285" s="1538">
        <f>11*16</f>
        <v>176</v>
      </c>
      <c r="G285" s="1539"/>
      <c r="H285" s="1540"/>
      <c r="I285" s="1539"/>
      <c r="J285" s="1539"/>
      <c r="K285" s="1539"/>
      <c r="L285" s="1539">
        <f>5*16</f>
        <v>80</v>
      </c>
      <c r="M285" s="1558"/>
      <c r="N285" s="1559"/>
      <c r="O285" s="1560"/>
      <c r="P285" s="1561"/>
      <c r="Q285" s="1561"/>
      <c r="R285" s="1561"/>
      <c r="S285" s="1561"/>
      <c r="T285" s="1561"/>
      <c r="U285" s="1540"/>
      <c r="V285" s="1572"/>
      <c r="W285" s="1573"/>
      <c r="X285" s="1560"/>
      <c r="Y285" s="1561"/>
      <c r="Z285" s="1561"/>
      <c r="AA285" s="1561"/>
      <c r="AB285" s="1561"/>
      <c r="AC285" s="1561"/>
      <c r="AD285" s="1540"/>
      <c r="AE285" s="1572"/>
      <c r="AF285" s="1573"/>
      <c r="AG285" s="1560"/>
      <c r="AH285" s="1561"/>
      <c r="AI285" s="1540"/>
      <c r="AJ285" s="1561"/>
      <c r="AK285" s="1561"/>
      <c r="AL285" s="1540"/>
      <c r="AM285" s="1577"/>
      <c r="AN285" s="1579"/>
      <c r="AO285" s="1573"/>
      <c r="AP285" s="1560"/>
      <c r="AQ285" s="1561"/>
      <c r="AR285" s="1561"/>
      <c r="AS285" s="1561"/>
      <c r="AT285" s="1561"/>
      <c r="AU285" s="1561"/>
      <c r="AV285" s="1540"/>
      <c r="AW285" s="1579"/>
      <c r="AX285" s="1573"/>
      <c r="AY285" s="1560"/>
      <c r="AZ285" s="1561"/>
      <c r="BA285" s="1561"/>
      <c r="BB285" s="1561"/>
      <c r="BC285" s="1561"/>
      <c r="BD285" s="1561">
        <f>15*16</f>
        <v>240</v>
      </c>
      <c r="BE285" s="1540"/>
      <c r="BF285" s="1579"/>
      <c r="BG285" s="1573"/>
      <c r="BH285" s="1560"/>
      <c r="BI285" s="1561"/>
      <c r="BJ285" s="1561"/>
      <c r="BK285" s="1561"/>
      <c r="BL285" s="1561"/>
      <c r="BM285" s="1561"/>
      <c r="BN285" s="1540"/>
      <c r="BO285" s="1579"/>
      <c r="BP285" s="1573"/>
      <c r="BQ285" s="1560"/>
      <c r="BR285" s="1561"/>
      <c r="BS285" s="1561"/>
      <c r="BT285" s="1561"/>
      <c r="BU285" s="1561"/>
      <c r="BV285" s="1561"/>
      <c r="BW285" s="1540"/>
      <c r="BX285" s="1579"/>
      <c r="BY285" s="1573"/>
      <c r="BZ285" s="1560"/>
      <c r="CA285" s="1540"/>
      <c r="CB285" s="1540"/>
      <c r="CC285" s="1540"/>
      <c r="CD285" s="1540"/>
      <c r="CE285" s="1540"/>
      <c r="CF285" s="1561"/>
      <c r="CG285" s="1579"/>
      <c r="CH285" s="1597"/>
      <c r="CI285" s="1598">
        <f t="shared" ref="CI285:CI316" si="112">SUM(F285:CG285)</f>
        <v>496</v>
      </c>
      <c r="CJ285" s="1616"/>
      <c r="CK285" s="1616"/>
      <c r="CL285" s="1617">
        <f t="shared" si="102"/>
        <v>496</v>
      </c>
      <c r="CM285" s="1618"/>
      <c r="CN285" s="1619">
        <f t="shared" si="103"/>
        <v>496</v>
      </c>
    </row>
    <row r="286" spans="1:92" ht="20.25">
      <c r="A286" s="537" t="s">
        <v>643</v>
      </c>
      <c r="B286" s="545"/>
      <c r="C286" s="553"/>
      <c r="D286" s="544">
        <v>46134</v>
      </c>
      <c r="E286" s="546"/>
      <c r="F286" s="1538"/>
      <c r="G286" s="1539"/>
      <c r="H286" s="1540"/>
      <c r="I286" s="1539"/>
      <c r="J286" s="1539"/>
      <c r="K286" s="1539"/>
      <c r="L286" s="1539"/>
      <c r="M286" s="1558"/>
      <c r="N286" s="1559"/>
      <c r="O286" s="1560"/>
      <c r="P286" s="1561"/>
      <c r="Q286" s="1561"/>
      <c r="R286" s="1561"/>
      <c r="S286" s="1561"/>
      <c r="T286" s="1561"/>
      <c r="U286" s="1540"/>
      <c r="V286" s="1572"/>
      <c r="W286" s="1573"/>
      <c r="X286" s="1560"/>
      <c r="Y286" s="1561"/>
      <c r="Z286" s="1561"/>
      <c r="AA286" s="1561"/>
      <c r="AB286" s="1561"/>
      <c r="AC286" s="1561"/>
      <c r="AD286" s="1540"/>
      <c r="AE286" s="1572"/>
      <c r="AF286" s="1573"/>
      <c r="AG286" s="1560"/>
      <c r="AH286" s="1561"/>
      <c r="AI286" s="1540"/>
      <c r="AJ286" s="1561"/>
      <c r="AK286" s="1561"/>
      <c r="AL286" s="1540"/>
      <c r="AM286" s="1577"/>
      <c r="AN286" s="1580"/>
      <c r="AO286" s="1573"/>
      <c r="AP286" s="1560"/>
      <c r="AQ286" s="1561"/>
      <c r="AR286" s="1561"/>
      <c r="AS286" s="1561"/>
      <c r="AT286" s="1561"/>
      <c r="AU286" s="1561"/>
      <c r="AV286" s="1540"/>
      <c r="AW286" s="1579"/>
      <c r="AX286" s="1573"/>
      <c r="AY286" s="1560"/>
      <c r="AZ286" s="1561"/>
      <c r="BA286" s="1561"/>
      <c r="BB286" s="1561"/>
      <c r="BC286" s="1561"/>
      <c r="BD286" s="1561"/>
      <c r="BE286" s="1540"/>
      <c r="BF286" s="1579"/>
      <c r="BG286" s="1573"/>
      <c r="BH286" s="1560"/>
      <c r="BI286" s="1561"/>
      <c r="BJ286" s="1561"/>
      <c r="BK286" s="1561"/>
      <c r="BL286" s="1561"/>
      <c r="BM286" s="1561"/>
      <c r="BN286" s="1540"/>
      <c r="BO286" s="1579"/>
      <c r="BP286" s="1573"/>
      <c r="BQ286" s="1560"/>
      <c r="BR286" s="1561"/>
      <c r="BS286" s="1561"/>
      <c r="BT286" s="1561"/>
      <c r="BU286" s="1561"/>
      <c r="BV286" s="1561"/>
      <c r="BW286" s="1540"/>
      <c r="BX286" s="1579"/>
      <c r="BY286" s="1573"/>
      <c r="BZ286" s="1560">
        <f>120*16</f>
        <v>1920</v>
      </c>
      <c r="CA286" s="1540"/>
      <c r="CB286" s="1540"/>
      <c r="CC286" s="1540"/>
      <c r="CD286" s="1540"/>
      <c r="CE286" s="1540"/>
      <c r="CF286" s="1561"/>
      <c r="CG286" s="1579"/>
      <c r="CH286" s="1597"/>
      <c r="CI286" s="1598">
        <f t="shared" si="112"/>
        <v>1920</v>
      </c>
      <c r="CJ286" s="1616"/>
      <c r="CK286" s="1616"/>
      <c r="CL286" s="1617">
        <f t="shared" si="102"/>
        <v>1920</v>
      </c>
      <c r="CM286" s="1618"/>
      <c r="CN286" s="1619">
        <f t="shared" si="103"/>
        <v>1920</v>
      </c>
    </row>
    <row r="287" spans="1:92" ht="21" thickBot="1">
      <c r="A287" s="537" t="s">
        <v>637</v>
      </c>
      <c r="B287" s="545"/>
      <c r="C287" s="553"/>
      <c r="D287" s="544">
        <v>46134</v>
      </c>
      <c r="E287" s="546"/>
      <c r="F287" s="1538"/>
      <c r="G287" s="1539"/>
      <c r="H287" s="1540"/>
      <c r="I287" s="1539"/>
      <c r="J287" s="1539"/>
      <c r="K287" s="1539"/>
      <c r="L287" s="1539"/>
      <c r="M287" s="1558"/>
      <c r="N287" s="1559"/>
      <c r="O287" s="1560"/>
      <c r="P287" s="1561"/>
      <c r="Q287" s="1561"/>
      <c r="R287" s="1561"/>
      <c r="S287" s="1561"/>
      <c r="T287" s="1561"/>
      <c r="U287" s="1540"/>
      <c r="V287" s="1572"/>
      <c r="W287" s="1573"/>
      <c r="X287" s="1560"/>
      <c r="Y287" s="1561"/>
      <c r="Z287" s="1561"/>
      <c r="AA287" s="1561"/>
      <c r="AB287" s="1561"/>
      <c r="AC287" s="1561"/>
      <c r="AD287" s="1540"/>
      <c r="AE287" s="1572"/>
      <c r="AF287" s="1573"/>
      <c r="AG287" s="1560"/>
      <c r="AH287" s="1561"/>
      <c r="AI287" s="1540"/>
      <c r="AJ287" s="1561"/>
      <c r="AK287" s="1561"/>
      <c r="AL287" s="1540"/>
      <c r="AM287" s="1577"/>
      <c r="AN287" s="1580"/>
      <c r="AO287" s="1573"/>
      <c r="AP287" s="1560"/>
      <c r="AQ287" s="1561"/>
      <c r="AR287" s="1561"/>
      <c r="AS287" s="1561"/>
      <c r="AT287" s="1561"/>
      <c r="AU287" s="1561"/>
      <c r="AV287" s="1540"/>
      <c r="AW287" s="1579"/>
      <c r="AX287" s="1573"/>
      <c r="AY287" s="1560"/>
      <c r="AZ287" s="1561"/>
      <c r="BA287" s="1561">
        <f>5*16</f>
        <v>80</v>
      </c>
      <c r="BB287" s="1561">
        <f>10*16</f>
        <v>160</v>
      </c>
      <c r="BC287" s="1561">
        <f>4*16</f>
        <v>64</v>
      </c>
      <c r="BD287" s="1561">
        <f>20*16</f>
        <v>320</v>
      </c>
      <c r="BE287" s="1540"/>
      <c r="BF287" s="1579"/>
      <c r="BG287" s="1573"/>
      <c r="BH287" s="1560"/>
      <c r="BI287" s="1561"/>
      <c r="BJ287" s="1561"/>
      <c r="BK287" s="1561"/>
      <c r="BL287" s="1561"/>
      <c r="BM287" s="1561"/>
      <c r="BN287" s="1540"/>
      <c r="BO287" s="1579"/>
      <c r="BP287" s="1573"/>
      <c r="BQ287" s="1560"/>
      <c r="BR287" s="1561"/>
      <c r="BS287" s="1561"/>
      <c r="BT287" s="1561"/>
      <c r="BU287" s="1561"/>
      <c r="BV287" s="1561"/>
      <c r="BW287" s="1540"/>
      <c r="BX287" s="1579"/>
      <c r="BY287" s="1573"/>
      <c r="BZ287" s="1560"/>
      <c r="CA287" s="1540"/>
      <c r="CB287" s="1540"/>
      <c r="CC287" s="1540"/>
      <c r="CD287" s="1540"/>
      <c r="CE287" s="1540"/>
      <c r="CF287" s="1561"/>
      <c r="CG287" s="1579"/>
      <c r="CH287" s="1597"/>
      <c r="CI287" s="1598">
        <f t="shared" si="112"/>
        <v>624</v>
      </c>
      <c r="CJ287" s="1616"/>
      <c r="CK287" s="1616"/>
      <c r="CL287" s="1617">
        <f t="shared" si="102"/>
        <v>624</v>
      </c>
      <c r="CM287" s="1618"/>
      <c r="CN287" s="1619">
        <f t="shared" si="103"/>
        <v>624</v>
      </c>
    </row>
    <row r="288" spans="1:92" ht="21" thickBot="1">
      <c r="A288" s="547" t="s">
        <v>621</v>
      </c>
      <c r="B288" s="552"/>
      <c r="C288" s="553"/>
      <c r="D288" s="2569">
        <v>46134</v>
      </c>
      <c r="E288" s="546"/>
      <c r="F288" s="1538"/>
      <c r="G288" s="1539"/>
      <c r="H288" s="1540"/>
      <c r="I288" s="1539"/>
      <c r="J288" s="1539"/>
      <c r="K288" s="1539"/>
      <c r="L288" s="1539"/>
      <c r="M288" s="1558"/>
      <c r="N288" s="1559"/>
      <c r="O288" s="1560"/>
      <c r="P288" s="1561"/>
      <c r="Q288" s="1561"/>
      <c r="R288" s="1561"/>
      <c r="S288" s="1561"/>
      <c r="T288" s="1561"/>
      <c r="U288" s="1540"/>
      <c r="V288" s="1572"/>
      <c r="W288" s="1573"/>
      <c r="X288" s="1560"/>
      <c r="Y288" s="1561"/>
      <c r="Z288" s="1561"/>
      <c r="AA288" s="1561"/>
      <c r="AB288" s="1561"/>
      <c r="AC288" s="1561"/>
      <c r="AD288" s="1540"/>
      <c r="AE288" s="1572"/>
      <c r="AF288" s="1573"/>
      <c r="AG288" s="1560"/>
      <c r="AH288" s="1561"/>
      <c r="AI288" s="1540"/>
      <c r="AJ288" s="1561"/>
      <c r="AK288" s="1561">
        <f>1*16</f>
        <v>16</v>
      </c>
      <c r="AL288" s="1540"/>
      <c r="AM288" s="1577">
        <f>1*16</f>
        <v>16</v>
      </c>
      <c r="AN288" s="1580"/>
      <c r="AO288" s="1573"/>
      <c r="AP288" s="1560"/>
      <c r="AQ288" s="1561"/>
      <c r="AR288" s="1561"/>
      <c r="AS288" s="1561"/>
      <c r="AT288" s="1561"/>
      <c r="AU288" s="1561"/>
      <c r="AV288" s="1540"/>
      <c r="AW288" s="1579"/>
      <c r="AX288" s="1573"/>
      <c r="AY288" s="1560"/>
      <c r="AZ288" s="1561"/>
      <c r="BA288" s="1561"/>
      <c r="BB288" s="1561"/>
      <c r="BC288" s="1561">
        <f>3*16</f>
        <v>48</v>
      </c>
      <c r="BD288" s="1561">
        <f>4*16</f>
        <v>64</v>
      </c>
      <c r="BE288" s="1540"/>
      <c r="BF288" s="1579"/>
      <c r="BG288" s="1573"/>
      <c r="BH288" s="1560"/>
      <c r="BI288" s="1561"/>
      <c r="BJ288" s="1561"/>
      <c r="BK288" s="1561"/>
      <c r="BL288" s="1561"/>
      <c r="BM288" s="1561"/>
      <c r="BN288" s="1540"/>
      <c r="BO288" s="1579"/>
      <c r="BP288" s="1573"/>
      <c r="BQ288" s="1560"/>
      <c r="BR288" s="1561"/>
      <c r="BS288" s="1561"/>
      <c r="BT288" s="1561"/>
      <c r="BU288" s="1561"/>
      <c r="BV288" s="1561"/>
      <c r="BW288" s="1540"/>
      <c r="BX288" s="1579"/>
      <c r="BY288" s="1573"/>
      <c r="BZ288" s="1560"/>
      <c r="CA288" s="1540"/>
      <c r="CB288" s="1540"/>
      <c r="CC288" s="1540"/>
      <c r="CD288" s="1540"/>
      <c r="CE288" s="1540"/>
      <c r="CF288" s="1561"/>
      <c r="CG288" s="1579"/>
      <c r="CH288" s="1597"/>
      <c r="CI288" s="1598">
        <f t="shared" si="112"/>
        <v>144</v>
      </c>
      <c r="CJ288" s="1616"/>
      <c r="CK288" s="1616"/>
      <c r="CL288" s="1617">
        <f t="shared" si="102"/>
        <v>144</v>
      </c>
      <c r="CM288" s="1618"/>
      <c r="CN288" s="1619">
        <f t="shared" si="103"/>
        <v>144</v>
      </c>
    </row>
    <row r="289" spans="1:94" ht="21" thickBot="1">
      <c r="A289" s="537" t="s">
        <v>668</v>
      </c>
      <c r="B289" s="552"/>
      <c r="C289" s="553"/>
      <c r="D289" s="544">
        <v>46135</v>
      </c>
      <c r="E289" s="546"/>
      <c r="F289" s="1538"/>
      <c r="G289" s="1539"/>
      <c r="H289" s="1540"/>
      <c r="I289" s="1539"/>
      <c r="J289" s="1539"/>
      <c r="K289" s="1539"/>
      <c r="L289" s="1539"/>
      <c r="M289" s="1558"/>
      <c r="N289" s="1559"/>
      <c r="O289" s="1560"/>
      <c r="P289" s="1561"/>
      <c r="Q289" s="1561"/>
      <c r="R289" s="1561"/>
      <c r="S289" s="1561"/>
      <c r="T289" s="1561"/>
      <c r="U289" s="1540"/>
      <c r="V289" s="1572"/>
      <c r="W289" s="1573"/>
      <c r="X289" s="1560"/>
      <c r="Y289" s="1561"/>
      <c r="Z289" s="1561"/>
      <c r="AA289" s="1561"/>
      <c r="AB289" s="1561"/>
      <c r="AC289" s="1561"/>
      <c r="AD289" s="1540"/>
      <c r="AE289" s="1572"/>
      <c r="AF289" s="1573"/>
      <c r="AG289" s="1560"/>
      <c r="AH289" s="1561"/>
      <c r="AI289" s="1540">
        <f>4*16</f>
        <v>64</v>
      </c>
      <c r="AJ289" s="1561"/>
      <c r="AK289" s="1561"/>
      <c r="AL289" s="1540"/>
      <c r="AM289" s="1577">
        <f>4*16</f>
        <v>64</v>
      </c>
      <c r="AN289" s="1581"/>
      <c r="AO289" s="1573"/>
      <c r="AP289" s="1560"/>
      <c r="AQ289" s="1561"/>
      <c r="AR289" s="1561"/>
      <c r="AS289" s="1561"/>
      <c r="AT289" s="1561"/>
      <c r="AU289" s="1561"/>
      <c r="AV289" s="1540"/>
      <c r="AW289" s="1579"/>
      <c r="AX289" s="1573"/>
      <c r="AY289" s="1560"/>
      <c r="AZ289" s="1561"/>
      <c r="BA289" s="1561"/>
      <c r="BB289" s="1561"/>
      <c r="BC289" s="1561"/>
      <c r="BD289" s="1561"/>
      <c r="BE289" s="1540"/>
      <c r="BF289" s="1579"/>
      <c r="BG289" s="1573"/>
      <c r="BH289" s="1560"/>
      <c r="BI289" s="1561"/>
      <c r="BJ289" s="1561"/>
      <c r="BK289" s="1561"/>
      <c r="BL289" s="1561"/>
      <c r="BM289" s="1561"/>
      <c r="BN289" s="1540"/>
      <c r="BO289" s="1579"/>
      <c r="BP289" s="1573"/>
      <c r="BQ289" s="1560"/>
      <c r="BR289" s="1561"/>
      <c r="BS289" s="1561"/>
      <c r="BT289" s="1561"/>
      <c r="BU289" s="1561"/>
      <c r="BV289" s="1561"/>
      <c r="BW289" s="1540"/>
      <c r="BX289" s="1579"/>
      <c r="BY289" s="1573"/>
      <c r="BZ289" s="1560">
        <f>5*16</f>
        <v>80</v>
      </c>
      <c r="CA289" s="1540"/>
      <c r="CB289" s="1540"/>
      <c r="CC289" s="1540"/>
      <c r="CD289" s="1540"/>
      <c r="CE289" s="1540"/>
      <c r="CF289" s="1561"/>
      <c r="CG289" s="1579"/>
      <c r="CH289" s="1597"/>
      <c r="CI289" s="1598">
        <f t="shared" si="112"/>
        <v>208</v>
      </c>
      <c r="CJ289" s="1616"/>
      <c r="CK289" s="1616"/>
      <c r="CL289" s="1617">
        <f t="shared" si="102"/>
        <v>208</v>
      </c>
      <c r="CM289" s="1618"/>
      <c r="CN289" s="1619">
        <f t="shared" si="103"/>
        <v>208</v>
      </c>
    </row>
    <row r="290" spans="1:94" ht="21" thickBot="1">
      <c r="A290" s="547" t="s">
        <v>619</v>
      </c>
      <c r="B290" s="552"/>
      <c r="C290" s="553"/>
      <c r="D290" s="544">
        <v>46135</v>
      </c>
      <c r="E290" s="546"/>
      <c r="F290" s="1538"/>
      <c r="G290" s="1539"/>
      <c r="H290" s="1540"/>
      <c r="I290" s="1539"/>
      <c r="J290" s="1539"/>
      <c r="K290" s="1539"/>
      <c r="L290" s="1539"/>
      <c r="M290" s="1558"/>
      <c r="N290" s="1559"/>
      <c r="O290" s="1560"/>
      <c r="P290" s="1561"/>
      <c r="Q290" s="1561"/>
      <c r="R290" s="1561"/>
      <c r="S290" s="1561"/>
      <c r="T290" s="1561"/>
      <c r="U290" s="1540"/>
      <c r="V290" s="1572"/>
      <c r="W290" s="1573"/>
      <c r="X290" s="1560"/>
      <c r="Y290" s="1561"/>
      <c r="Z290" s="1561"/>
      <c r="AA290" s="1561"/>
      <c r="AB290" s="1561"/>
      <c r="AC290" s="1561"/>
      <c r="AD290" s="1540"/>
      <c r="AE290" s="1572"/>
      <c r="AF290" s="1573"/>
      <c r="AG290" s="1560"/>
      <c r="AH290" s="1561"/>
      <c r="AI290" s="1540"/>
      <c r="AJ290" s="1561"/>
      <c r="AK290" s="1561"/>
      <c r="AL290" s="1540"/>
      <c r="AM290" s="1577">
        <f>3*16</f>
        <v>48</v>
      </c>
      <c r="AN290" s="1581"/>
      <c r="AO290" s="1573"/>
      <c r="AP290" s="1560"/>
      <c r="AQ290" s="1561"/>
      <c r="AR290" s="1561"/>
      <c r="AS290" s="1561"/>
      <c r="AT290" s="1561"/>
      <c r="AU290" s="1561"/>
      <c r="AV290" s="1540"/>
      <c r="AW290" s="1579"/>
      <c r="AX290" s="1573"/>
      <c r="AY290" s="1560"/>
      <c r="AZ290" s="1561"/>
      <c r="BA290" s="1561"/>
      <c r="BB290" s="1561"/>
      <c r="BC290" s="1561"/>
      <c r="BD290" s="1561"/>
      <c r="BE290" s="1540"/>
      <c r="BF290" s="1579"/>
      <c r="BG290" s="1573"/>
      <c r="BH290" s="1560"/>
      <c r="BI290" s="1561"/>
      <c r="BJ290" s="1561"/>
      <c r="BK290" s="1561"/>
      <c r="BL290" s="1561"/>
      <c r="BM290" s="1561"/>
      <c r="BN290" s="1540"/>
      <c r="BO290" s="1579"/>
      <c r="BP290" s="1573"/>
      <c r="BQ290" s="1560"/>
      <c r="BR290" s="1561"/>
      <c r="BS290" s="1561"/>
      <c r="BT290" s="1561"/>
      <c r="BU290" s="1561"/>
      <c r="BV290" s="1561"/>
      <c r="BW290" s="1540"/>
      <c r="BX290" s="1579"/>
      <c r="BY290" s="1573"/>
      <c r="BZ290" s="1560"/>
      <c r="CA290" s="1540"/>
      <c r="CB290" s="1540"/>
      <c r="CC290" s="1540"/>
      <c r="CD290" s="1540"/>
      <c r="CE290" s="1540"/>
      <c r="CF290" s="1561"/>
      <c r="CG290" s="1579"/>
      <c r="CH290" s="1597"/>
      <c r="CI290" s="1598">
        <f t="shared" si="112"/>
        <v>48</v>
      </c>
      <c r="CJ290" s="1616"/>
      <c r="CK290" s="1616"/>
      <c r="CL290" s="1617">
        <f t="shared" si="102"/>
        <v>48</v>
      </c>
      <c r="CM290" s="1618"/>
      <c r="CN290" s="1619">
        <f t="shared" si="103"/>
        <v>48</v>
      </c>
    </row>
    <row r="291" spans="1:94" ht="21" thickBot="1">
      <c r="A291" s="547" t="s">
        <v>671</v>
      </c>
      <c r="B291" s="552"/>
      <c r="C291" s="553"/>
      <c r="D291" s="544">
        <v>46136</v>
      </c>
      <c r="E291" s="546"/>
      <c r="F291" s="1538"/>
      <c r="G291" s="1539"/>
      <c r="H291" s="1540"/>
      <c r="I291" s="1539"/>
      <c r="J291" s="1539"/>
      <c r="K291" s="1539"/>
      <c r="L291" s="1539"/>
      <c r="M291" s="1558"/>
      <c r="N291" s="1559"/>
      <c r="O291" s="1560"/>
      <c r="P291" s="1561"/>
      <c r="Q291" s="1561"/>
      <c r="R291" s="1561"/>
      <c r="S291" s="1561"/>
      <c r="T291" s="1561"/>
      <c r="U291" s="1540"/>
      <c r="V291" s="1572"/>
      <c r="W291" s="1573"/>
      <c r="X291" s="1560"/>
      <c r="Y291" s="1561"/>
      <c r="Z291" s="1561"/>
      <c r="AA291" s="1561"/>
      <c r="AB291" s="1561"/>
      <c r="AC291" s="1561"/>
      <c r="AD291" s="1540"/>
      <c r="AE291" s="1572"/>
      <c r="AF291" s="1573"/>
      <c r="AG291" s="1560"/>
      <c r="AH291" s="1561"/>
      <c r="AI291" s="1540"/>
      <c r="AJ291" s="1561"/>
      <c r="AK291" s="1561"/>
      <c r="AL291" s="1540"/>
      <c r="AM291" s="1577"/>
      <c r="AN291" s="1581"/>
      <c r="AO291" s="1573"/>
      <c r="AP291" s="1560"/>
      <c r="AQ291" s="1561"/>
      <c r="AR291" s="1561"/>
      <c r="AS291" s="1561"/>
      <c r="AT291" s="1561"/>
      <c r="AU291" s="1561"/>
      <c r="AV291" s="1540"/>
      <c r="AW291" s="1579"/>
      <c r="AX291" s="1573"/>
      <c r="AY291" s="1560"/>
      <c r="AZ291" s="1561"/>
      <c r="BA291" s="1561"/>
      <c r="BB291" s="1561"/>
      <c r="BC291" s="1561"/>
      <c r="BD291" s="1561"/>
      <c r="BE291" s="1540"/>
      <c r="BF291" s="1579"/>
      <c r="BG291" s="1573"/>
      <c r="BH291" s="1560"/>
      <c r="BI291" s="1561"/>
      <c r="BJ291" s="1561"/>
      <c r="BK291" s="1561"/>
      <c r="BL291" s="1561"/>
      <c r="BM291" s="1561"/>
      <c r="BN291" s="1540"/>
      <c r="BO291" s="1579"/>
      <c r="BP291" s="1573"/>
      <c r="BQ291" s="1560"/>
      <c r="BR291" s="1561"/>
      <c r="BS291" s="1561"/>
      <c r="BT291" s="1561"/>
      <c r="BU291" s="1561"/>
      <c r="BV291" s="1561"/>
      <c r="BW291" s="1540"/>
      <c r="BX291" s="1579"/>
      <c r="BY291" s="1573"/>
      <c r="BZ291" s="1560">
        <f>105*16</f>
        <v>1680</v>
      </c>
      <c r="CA291" s="1540"/>
      <c r="CB291" s="1540"/>
      <c r="CC291" s="1540"/>
      <c r="CD291" s="1540"/>
      <c r="CE291" s="1540"/>
      <c r="CF291" s="1561"/>
      <c r="CG291" s="1579"/>
      <c r="CH291" s="1597"/>
      <c r="CI291" s="1598">
        <f t="shared" si="112"/>
        <v>1680</v>
      </c>
      <c r="CJ291" s="1616"/>
      <c r="CK291" s="1616"/>
      <c r="CL291" s="1617">
        <f t="shared" si="102"/>
        <v>1680</v>
      </c>
      <c r="CM291" s="1618"/>
      <c r="CN291" s="1619">
        <f t="shared" si="103"/>
        <v>1680</v>
      </c>
    </row>
    <row r="292" spans="1:94" ht="21" thickBot="1">
      <c r="A292" s="551" t="s">
        <v>672</v>
      </c>
      <c r="B292" s="552"/>
      <c r="C292" s="553"/>
      <c r="D292" s="544">
        <v>46136</v>
      </c>
      <c r="E292" s="546"/>
      <c r="F292" s="1538"/>
      <c r="G292" s="1539"/>
      <c r="H292" s="1540"/>
      <c r="I292" s="1539"/>
      <c r="J292" s="1539"/>
      <c r="K292" s="1539"/>
      <c r="L292" s="1539"/>
      <c r="M292" s="1558"/>
      <c r="N292" s="1559"/>
      <c r="O292" s="1560"/>
      <c r="P292" s="1561"/>
      <c r="Q292" s="1561"/>
      <c r="R292" s="1561"/>
      <c r="S292" s="1561"/>
      <c r="T292" s="1561"/>
      <c r="U292" s="1540"/>
      <c r="V292" s="1572"/>
      <c r="W292" s="1573"/>
      <c r="X292" s="1560"/>
      <c r="Y292" s="1561"/>
      <c r="Z292" s="1561"/>
      <c r="AA292" s="1561"/>
      <c r="AB292" s="1561"/>
      <c r="AC292" s="1561"/>
      <c r="AD292" s="1540"/>
      <c r="AE292" s="1572"/>
      <c r="AF292" s="1573"/>
      <c r="AG292" s="1560"/>
      <c r="AH292" s="1561"/>
      <c r="AI292" s="1540"/>
      <c r="AJ292" s="1561"/>
      <c r="AK292" s="1561"/>
      <c r="AL292" s="1540"/>
      <c r="AM292" s="1577"/>
      <c r="AN292" s="1581"/>
      <c r="AO292" s="1573"/>
      <c r="AP292" s="1560"/>
      <c r="AQ292" s="1561"/>
      <c r="AR292" s="1561"/>
      <c r="AS292" s="1561"/>
      <c r="AT292" s="1561"/>
      <c r="AU292" s="1561"/>
      <c r="AV292" s="1540"/>
      <c r="AW292" s="1579"/>
      <c r="AX292" s="1573"/>
      <c r="AY292" s="1560"/>
      <c r="AZ292" s="1561"/>
      <c r="BA292" s="1561"/>
      <c r="BB292" s="1561"/>
      <c r="BC292" s="1561"/>
      <c r="BD292" s="1561"/>
      <c r="BE292" s="1540"/>
      <c r="BF292" s="1579"/>
      <c r="BG292" s="1573"/>
      <c r="BH292" s="1560"/>
      <c r="BI292" s="1561"/>
      <c r="BJ292" s="1561"/>
      <c r="BK292" s="1561"/>
      <c r="BL292" s="1561"/>
      <c r="BM292" s="1561"/>
      <c r="BN292" s="1540"/>
      <c r="BO292" s="1579"/>
      <c r="BP292" s="1573"/>
      <c r="BQ292" s="1560"/>
      <c r="BR292" s="1561"/>
      <c r="BS292" s="1561"/>
      <c r="BT292" s="1561"/>
      <c r="BU292" s="1561"/>
      <c r="BV292" s="1561">
        <f>4*16</f>
        <v>64</v>
      </c>
      <c r="BW292" s="1540"/>
      <c r="BX292" s="1579"/>
      <c r="BY292" s="1573"/>
      <c r="BZ292" s="1560"/>
      <c r="CA292" s="1540"/>
      <c r="CB292" s="1540"/>
      <c r="CC292" s="1540"/>
      <c r="CD292" s="1540"/>
      <c r="CE292" s="1540"/>
      <c r="CF292" s="1561"/>
      <c r="CG292" s="1579"/>
      <c r="CH292" s="1597"/>
      <c r="CI292" s="1598">
        <f t="shared" si="112"/>
        <v>64</v>
      </c>
      <c r="CJ292" s="1616"/>
      <c r="CK292" s="1616"/>
      <c r="CL292" s="1617">
        <f t="shared" si="102"/>
        <v>64</v>
      </c>
      <c r="CM292" s="1618"/>
      <c r="CN292" s="1619">
        <f t="shared" si="103"/>
        <v>64</v>
      </c>
    </row>
    <row r="293" spans="1:94" ht="21" thickBot="1">
      <c r="A293" s="547" t="s">
        <v>675</v>
      </c>
      <c r="B293" s="552"/>
      <c r="C293" s="553"/>
      <c r="D293" s="559">
        <v>46137</v>
      </c>
      <c r="E293" s="546"/>
      <c r="F293" s="1538"/>
      <c r="G293" s="1539"/>
      <c r="H293" s="1540"/>
      <c r="I293" s="1539"/>
      <c r="J293" s="1539"/>
      <c r="K293" s="1539"/>
      <c r="L293" s="1539"/>
      <c r="M293" s="1558"/>
      <c r="N293" s="1559"/>
      <c r="O293" s="1560"/>
      <c r="P293" s="1561"/>
      <c r="Q293" s="1561"/>
      <c r="R293" s="1561"/>
      <c r="S293" s="1561"/>
      <c r="T293" s="1561"/>
      <c r="U293" s="1540"/>
      <c r="V293" s="1572"/>
      <c r="W293" s="1573"/>
      <c r="X293" s="1560"/>
      <c r="Y293" s="1561"/>
      <c r="Z293" s="1561"/>
      <c r="AA293" s="1561"/>
      <c r="AB293" s="1561"/>
      <c r="AC293" s="1561"/>
      <c r="AD293" s="1540"/>
      <c r="AE293" s="1572"/>
      <c r="AF293" s="1573"/>
      <c r="AG293" s="1560"/>
      <c r="AH293" s="1561"/>
      <c r="AI293" s="1540"/>
      <c r="AJ293" s="1561"/>
      <c r="AK293" s="1561"/>
      <c r="AL293" s="1540"/>
      <c r="AM293" s="1577"/>
      <c r="AN293" s="1581"/>
      <c r="AO293" s="1573"/>
      <c r="AP293" s="1560"/>
      <c r="AQ293" s="1561"/>
      <c r="AR293" s="1561"/>
      <c r="AS293" s="1561"/>
      <c r="AT293" s="1561"/>
      <c r="AU293" s="1561"/>
      <c r="AV293" s="1540"/>
      <c r="AW293" s="1579"/>
      <c r="AX293" s="1573"/>
      <c r="AY293" s="1560"/>
      <c r="AZ293" s="1561"/>
      <c r="BA293" s="1561"/>
      <c r="BB293" s="1561"/>
      <c r="BC293" s="1561"/>
      <c r="BD293" s="1561"/>
      <c r="BE293" s="1540"/>
      <c r="BF293" s="1579"/>
      <c r="BG293" s="1573"/>
      <c r="BH293" s="1560"/>
      <c r="BI293" s="1561">
        <f>3*16</f>
        <v>48</v>
      </c>
      <c r="BJ293" s="1561">
        <f>3*16</f>
        <v>48</v>
      </c>
      <c r="BK293" s="1561">
        <f>3*16</f>
        <v>48</v>
      </c>
      <c r="BL293" s="1561"/>
      <c r="BM293" s="1561"/>
      <c r="BN293" s="1540">
        <f>3*16</f>
        <v>48</v>
      </c>
      <c r="BO293" s="1579"/>
      <c r="BP293" s="1573"/>
      <c r="BQ293" s="1560"/>
      <c r="BR293" s="1561"/>
      <c r="BS293" s="1561"/>
      <c r="BT293" s="1561"/>
      <c r="BU293" s="1561"/>
      <c r="BV293" s="1561"/>
      <c r="BW293" s="1540"/>
      <c r="BX293" s="1579"/>
      <c r="BY293" s="1573"/>
      <c r="BZ293" s="1560"/>
      <c r="CA293" s="1540"/>
      <c r="CB293" s="1540"/>
      <c r="CC293" s="1540"/>
      <c r="CD293" s="1540"/>
      <c r="CE293" s="1540"/>
      <c r="CF293" s="1561"/>
      <c r="CG293" s="1579"/>
      <c r="CH293" s="1597"/>
      <c r="CI293" s="1598">
        <f t="shared" si="112"/>
        <v>192</v>
      </c>
      <c r="CJ293" s="1616"/>
      <c r="CK293" s="1616"/>
      <c r="CL293" s="1617">
        <f t="shared" si="102"/>
        <v>192</v>
      </c>
      <c r="CM293" s="1618"/>
      <c r="CN293" s="1619">
        <f t="shared" si="103"/>
        <v>192</v>
      </c>
    </row>
    <row r="294" spans="1:94" ht="21" thickBot="1">
      <c r="A294" s="551" t="s">
        <v>634</v>
      </c>
      <c r="B294" s="552"/>
      <c r="C294" s="553"/>
      <c r="D294" s="544">
        <v>46138</v>
      </c>
      <c r="E294" s="546"/>
      <c r="F294" s="1538"/>
      <c r="G294" s="1539"/>
      <c r="H294" s="1540"/>
      <c r="I294" s="1539"/>
      <c r="J294" s="1539"/>
      <c r="K294" s="1539"/>
      <c r="L294" s="1539"/>
      <c r="M294" s="1558"/>
      <c r="N294" s="1559"/>
      <c r="O294" s="1560"/>
      <c r="P294" s="1561"/>
      <c r="Q294" s="1561"/>
      <c r="R294" s="1561"/>
      <c r="S294" s="1561"/>
      <c r="T294" s="1561"/>
      <c r="U294" s="1540"/>
      <c r="V294" s="1572"/>
      <c r="W294" s="1573"/>
      <c r="X294" s="1560"/>
      <c r="Y294" s="1561"/>
      <c r="Z294" s="1561"/>
      <c r="AA294" s="1561"/>
      <c r="AB294" s="1561"/>
      <c r="AC294" s="1561"/>
      <c r="AD294" s="1540"/>
      <c r="AE294" s="1572"/>
      <c r="AF294" s="1573"/>
      <c r="AG294" s="1560"/>
      <c r="AH294" s="1561"/>
      <c r="AI294" s="1540"/>
      <c r="AJ294" s="1561"/>
      <c r="AK294" s="1561"/>
      <c r="AL294" s="1540"/>
      <c r="AM294" s="1577"/>
      <c r="AN294" s="1581"/>
      <c r="AO294" s="1573"/>
      <c r="AP294" s="1560"/>
      <c r="AQ294" s="1561"/>
      <c r="AR294" s="1561"/>
      <c r="AS294" s="1561"/>
      <c r="AT294" s="1561"/>
      <c r="AU294" s="1561"/>
      <c r="AV294" s="1540"/>
      <c r="AW294" s="1579"/>
      <c r="AX294" s="1573"/>
      <c r="AY294" s="1560"/>
      <c r="AZ294" s="1561"/>
      <c r="BA294" s="1561">
        <f>1*16</f>
        <v>16</v>
      </c>
      <c r="BB294" s="1561"/>
      <c r="BC294" s="1561"/>
      <c r="BD294" s="1561">
        <f>2*16</f>
        <v>32</v>
      </c>
      <c r="BE294" s="1540"/>
      <c r="BF294" s="1579"/>
      <c r="BG294" s="1573"/>
      <c r="BH294" s="1560"/>
      <c r="BI294" s="1561"/>
      <c r="BJ294" s="1561"/>
      <c r="BK294" s="1561"/>
      <c r="BL294" s="1561"/>
      <c r="BM294" s="1561"/>
      <c r="BN294" s="1540"/>
      <c r="BO294" s="1579"/>
      <c r="BP294" s="1573"/>
      <c r="BQ294" s="1560"/>
      <c r="BR294" s="1561"/>
      <c r="BS294" s="1561"/>
      <c r="BT294" s="1561"/>
      <c r="BU294" s="1561"/>
      <c r="BV294" s="1561"/>
      <c r="BW294" s="1540"/>
      <c r="BX294" s="1579"/>
      <c r="BY294" s="1573"/>
      <c r="BZ294" s="1560"/>
      <c r="CA294" s="1540"/>
      <c r="CB294" s="1540"/>
      <c r="CC294" s="1540"/>
      <c r="CD294" s="1540"/>
      <c r="CE294" s="1540"/>
      <c r="CF294" s="1561"/>
      <c r="CG294" s="1579"/>
      <c r="CH294" s="1597"/>
      <c r="CI294" s="1598">
        <f t="shared" si="112"/>
        <v>48</v>
      </c>
      <c r="CJ294" s="1616"/>
      <c r="CK294" s="1616"/>
      <c r="CL294" s="1617">
        <f t="shared" si="102"/>
        <v>48</v>
      </c>
      <c r="CM294" s="1618"/>
      <c r="CN294" s="1619">
        <f t="shared" si="103"/>
        <v>48</v>
      </c>
    </row>
    <row r="295" spans="1:94" ht="21" thickBot="1">
      <c r="A295" s="547" t="s">
        <v>676</v>
      </c>
      <c r="B295" s="563"/>
      <c r="C295" s="553"/>
      <c r="D295" s="544">
        <v>46138</v>
      </c>
      <c r="E295" s="546"/>
      <c r="F295" s="1538"/>
      <c r="G295" s="1539"/>
      <c r="H295" s="1540"/>
      <c r="I295" s="1539"/>
      <c r="J295" s="1539"/>
      <c r="K295" s="1539"/>
      <c r="L295" s="1539"/>
      <c r="M295" s="1558"/>
      <c r="N295" s="1559"/>
      <c r="O295" s="1560"/>
      <c r="P295" s="1561"/>
      <c r="Q295" s="1561"/>
      <c r="R295" s="1561"/>
      <c r="S295" s="1561"/>
      <c r="T295" s="1561"/>
      <c r="U295" s="1540"/>
      <c r="V295" s="1572"/>
      <c r="W295" s="1573"/>
      <c r="X295" s="1560"/>
      <c r="Y295" s="1561"/>
      <c r="Z295" s="1561"/>
      <c r="AA295" s="1561"/>
      <c r="AB295" s="1561"/>
      <c r="AC295" s="1561"/>
      <c r="AD295" s="1540"/>
      <c r="AE295" s="1572"/>
      <c r="AF295" s="1573"/>
      <c r="AG295" s="1560"/>
      <c r="AH295" s="1561"/>
      <c r="AI295" s="1540"/>
      <c r="AJ295" s="1561"/>
      <c r="AK295" s="1561"/>
      <c r="AL295" s="1540"/>
      <c r="AM295" s="1577"/>
      <c r="AN295" s="1581"/>
      <c r="AO295" s="1573"/>
      <c r="AP295" s="1560"/>
      <c r="AQ295" s="1561"/>
      <c r="AR295" s="1561"/>
      <c r="AS295" s="1561"/>
      <c r="AT295" s="1561"/>
      <c r="AU295" s="1561"/>
      <c r="AV295" s="1540"/>
      <c r="AW295" s="1579"/>
      <c r="AX295" s="1573"/>
      <c r="AY295" s="1560"/>
      <c r="AZ295" s="1561"/>
      <c r="BA295" s="1561">
        <f>3*16</f>
        <v>48</v>
      </c>
      <c r="BB295" s="1561"/>
      <c r="BC295" s="1561"/>
      <c r="BD295" s="1561"/>
      <c r="BE295" s="1540"/>
      <c r="BF295" s="1579"/>
      <c r="BG295" s="1573"/>
      <c r="BH295" s="1560"/>
      <c r="BI295" s="1561"/>
      <c r="BJ295" s="1561"/>
      <c r="BK295" s="1561"/>
      <c r="BL295" s="1561"/>
      <c r="BM295" s="1561"/>
      <c r="BN295" s="1540"/>
      <c r="BO295" s="1579"/>
      <c r="BP295" s="1573"/>
      <c r="BQ295" s="1560"/>
      <c r="BR295" s="1561"/>
      <c r="BS295" s="1561"/>
      <c r="BT295" s="1561"/>
      <c r="BU295" s="1561"/>
      <c r="BV295" s="1561"/>
      <c r="BW295" s="1540"/>
      <c r="BX295" s="1579"/>
      <c r="BY295" s="1573"/>
      <c r="BZ295" s="1560"/>
      <c r="CA295" s="1540"/>
      <c r="CB295" s="1540"/>
      <c r="CC295" s="1540"/>
      <c r="CD295" s="1540"/>
      <c r="CE295" s="1540"/>
      <c r="CF295" s="1561"/>
      <c r="CG295" s="1579"/>
      <c r="CH295" s="1597"/>
      <c r="CI295" s="1598">
        <f t="shared" si="112"/>
        <v>48</v>
      </c>
      <c r="CJ295" s="1616"/>
      <c r="CK295" s="1616"/>
      <c r="CL295" s="1617">
        <f t="shared" si="102"/>
        <v>48</v>
      </c>
      <c r="CM295" s="1618"/>
      <c r="CN295" s="1619">
        <f t="shared" si="103"/>
        <v>48</v>
      </c>
    </row>
    <row r="296" spans="1:94" ht="21" thickBot="1">
      <c r="A296" s="537" t="s">
        <v>629</v>
      </c>
      <c r="B296" s="552"/>
      <c r="C296" s="553"/>
      <c r="D296" s="544">
        <v>46138</v>
      </c>
      <c r="E296" s="546"/>
      <c r="F296" s="1538">
        <f>5*16</f>
        <v>80</v>
      </c>
      <c r="G296" s="1539"/>
      <c r="H296" s="1540"/>
      <c r="I296" s="1539"/>
      <c r="J296" s="1539"/>
      <c r="K296" s="1539"/>
      <c r="L296" s="1539">
        <f>5*16</f>
        <v>80</v>
      </c>
      <c r="M296" s="1558"/>
      <c r="N296" s="1559"/>
      <c r="O296" s="1560"/>
      <c r="P296" s="1561"/>
      <c r="Q296" s="1561"/>
      <c r="R296" s="1561"/>
      <c r="S296" s="1561"/>
      <c r="T296" s="1561"/>
      <c r="U296" s="1540"/>
      <c r="V296" s="1572"/>
      <c r="W296" s="1573"/>
      <c r="X296" s="1560"/>
      <c r="Y296" s="1561"/>
      <c r="Z296" s="1561"/>
      <c r="AA296" s="1561"/>
      <c r="AB296" s="1561"/>
      <c r="AC296" s="1561"/>
      <c r="AD296" s="1540"/>
      <c r="AE296" s="1572"/>
      <c r="AF296" s="1573"/>
      <c r="AG296" s="1560"/>
      <c r="AH296" s="1561"/>
      <c r="AI296" s="1540"/>
      <c r="AJ296" s="1561"/>
      <c r="AK296" s="1561"/>
      <c r="AL296" s="1540"/>
      <c r="AM296" s="1577"/>
      <c r="AN296" s="1581"/>
      <c r="AO296" s="1573"/>
      <c r="AP296" s="1560"/>
      <c r="AQ296" s="1561"/>
      <c r="AR296" s="1561"/>
      <c r="AS296" s="1561"/>
      <c r="AT296" s="1561"/>
      <c r="AU296" s="1561"/>
      <c r="AV296" s="1540"/>
      <c r="AW296" s="1579"/>
      <c r="AX296" s="1573"/>
      <c r="AY296" s="1560"/>
      <c r="AZ296" s="1561"/>
      <c r="BA296" s="1561"/>
      <c r="BB296" s="1561"/>
      <c r="BC296" s="1561"/>
      <c r="BD296" s="1561">
        <f>25*16</f>
        <v>400</v>
      </c>
      <c r="BE296" s="1540"/>
      <c r="BF296" s="1579"/>
      <c r="BG296" s="1573"/>
      <c r="BH296" s="1560"/>
      <c r="BI296" s="1561"/>
      <c r="BJ296" s="1561"/>
      <c r="BK296" s="1561"/>
      <c r="BL296" s="1561"/>
      <c r="BM296" s="1561"/>
      <c r="BN296" s="1540"/>
      <c r="BO296" s="1579"/>
      <c r="BP296" s="1573"/>
      <c r="BQ296" s="1560"/>
      <c r="BR296" s="1561"/>
      <c r="BS296" s="1561"/>
      <c r="BT296" s="1561"/>
      <c r="BU296" s="1561"/>
      <c r="BV296" s="1561"/>
      <c r="BW296" s="1540"/>
      <c r="BX296" s="1579"/>
      <c r="BY296" s="1573"/>
      <c r="BZ296" s="1560"/>
      <c r="CA296" s="1540"/>
      <c r="CB296" s="1540"/>
      <c r="CC296" s="1540"/>
      <c r="CD296" s="1540"/>
      <c r="CE296" s="1540"/>
      <c r="CF296" s="1561"/>
      <c r="CG296" s="1579"/>
      <c r="CH296" s="1597"/>
      <c r="CI296" s="1598">
        <f t="shared" si="112"/>
        <v>560</v>
      </c>
      <c r="CJ296" s="1616"/>
      <c r="CK296" s="1616"/>
      <c r="CL296" s="1617">
        <f t="shared" si="102"/>
        <v>560</v>
      </c>
      <c r="CM296" s="1618"/>
      <c r="CN296" s="1619">
        <f t="shared" si="103"/>
        <v>560</v>
      </c>
    </row>
    <row r="297" spans="1:94" ht="21" thickBot="1">
      <c r="A297" s="551" t="s">
        <v>634</v>
      </c>
      <c r="B297" s="538"/>
      <c r="C297" s="539"/>
      <c r="D297" s="544">
        <v>46138</v>
      </c>
      <c r="E297" s="546"/>
      <c r="F297" s="1538"/>
      <c r="G297" s="1539"/>
      <c r="H297" s="1540"/>
      <c r="I297" s="1539"/>
      <c r="J297" s="1539"/>
      <c r="K297" s="1539"/>
      <c r="L297" s="1539"/>
      <c r="M297" s="1558"/>
      <c r="N297" s="1559"/>
      <c r="O297" s="1560"/>
      <c r="P297" s="1561"/>
      <c r="Q297" s="1561"/>
      <c r="R297" s="1561"/>
      <c r="S297" s="1561"/>
      <c r="T297" s="1561"/>
      <c r="U297" s="1540"/>
      <c r="V297" s="1572"/>
      <c r="W297" s="1573"/>
      <c r="X297" s="1560"/>
      <c r="Y297" s="1561"/>
      <c r="Z297" s="1561"/>
      <c r="AA297" s="1561"/>
      <c r="AB297" s="1561"/>
      <c r="AC297" s="1561"/>
      <c r="AD297" s="1540"/>
      <c r="AE297" s="1572"/>
      <c r="AF297" s="1573"/>
      <c r="AG297" s="1560"/>
      <c r="AH297" s="1561"/>
      <c r="AI297" s="1540">
        <f>2*16</f>
        <v>32</v>
      </c>
      <c r="AJ297" s="1561"/>
      <c r="AK297" s="1561"/>
      <c r="AL297" s="1540"/>
      <c r="AM297" s="1577">
        <f>2*16</f>
        <v>32</v>
      </c>
      <c r="AN297" s="1581"/>
      <c r="AO297" s="1573"/>
      <c r="AP297" s="1560"/>
      <c r="AQ297" s="1561"/>
      <c r="AR297" s="1561"/>
      <c r="AS297" s="1561"/>
      <c r="AT297" s="1561"/>
      <c r="AU297" s="1561"/>
      <c r="AV297" s="1540"/>
      <c r="AW297" s="1579"/>
      <c r="AX297" s="1573"/>
      <c r="AY297" s="1560"/>
      <c r="AZ297" s="1561"/>
      <c r="BA297" s="1561">
        <f>3*16</f>
        <v>48</v>
      </c>
      <c r="BB297" s="1561"/>
      <c r="BC297" s="1561"/>
      <c r="BD297" s="1561">
        <f>3*16</f>
        <v>48</v>
      </c>
      <c r="BE297" s="1540"/>
      <c r="BF297" s="1579"/>
      <c r="BG297" s="1573"/>
      <c r="BH297" s="1560"/>
      <c r="BI297" s="1561"/>
      <c r="BJ297" s="1561"/>
      <c r="BK297" s="1561"/>
      <c r="BL297" s="1561"/>
      <c r="BM297" s="1561"/>
      <c r="BN297" s="1540"/>
      <c r="BO297" s="1579"/>
      <c r="BP297" s="1573"/>
      <c r="BQ297" s="1560"/>
      <c r="BR297" s="1561"/>
      <c r="BS297" s="1561"/>
      <c r="BT297" s="1561"/>
      <c r="BU297" s="1561"/>
      <c r="BV297" s="1561"/>
      <c r="BW297" s="1540"/>
      <c r="BX297" s="1579"/>
      <c r="BY297" s="1573"/>
      <c r="BZ297" s="1560"/>
      <c r="CA297" s="1540"/>
      <c r="CB297" s="1540"/>
      <c r="CC297" s="1540"/>
      <c r="CD297" s="1540"/>
      <c r="CE297" s="1540"/>
      <c r="CF297" s="1561"/>
      <c r="CG297" s="1579"/>
      <c r="CH297" s="1597"/>
      <c r="CI297" s="1598">
        <f t="shared" si="112"/>
        <v>160</v>
      </c>
      <c r="CJ297" s="1616"/>
      <c r="CK297" s="1616"/>
      <c r="CL297" s="1617">
        <f t="shared" si="102"/>
        <v>160</v>
      </c>
      <c r="CM297" s="1618"/>
      <c r="CN297" s="1619">
        <f t="shared" si="103"/>
        <v>160</v>
      </c>
    </row>
    <row r="298" spans="1:94" ht="21" thickBot="1">
      <c r="A298" s="537" t="s">
        <v>679</v>
      </c>
      <c r="B298" s="552"/>
      <c r="C298" s="553"/>
      <c r="D298" s="544">
        <v>46139</v>
      </c>
      <c r="E298" s="546"/>
      <c r="F298" s="1538"/>
      <c r="G298" s="1539"/>
      <c r="H298" s="1540"/>
      <c r="I298" s="1539"/>
      <c r="J298" s="1539"/>
      <c r="K298" s="1539"/>
      <c r="L298" s="1539"/>
      <c r="M298" s="1558"/>
      <c r="N298" s="1559"/>
      <c r="O298" s="1560"/>
      <c r="P298" s="1561"/>
      <c r="Q298" s="1561"/>
      <c r="R298" s="1561"/>
      <c r="S298" s="1561"/>
      <c r="T298" s="1561"/>
      <c r="U298" s="1540"/>
      <c r="V298" s="1572"/>
      <c r="W298" s="1573"/>
      <c r="X298" s="1560"/>
      <c r="Y298" s="1561"/>
      <c r="Z298" s="1561"/>
      <c r="AA298" s="1561"/>
      <c r="AB298" s="1561"/>
      <c r="AC298" s="1561"/>
      <c r="AD298" s="1540"/>
      <c r="AE298" s="1572"/>
      <c r="AF298" s="1573"/>
      <c r="AG298" s="1560"/>
      <c r="AH298" s="1561"/>
      <c r="AI298" s="1540"/>
      <c r="AJ298" s="1561"/>
      <c r="AK298" s="1561">
        <f>2*16</f>
        <v>32</v>
      </c>
      <c r="AL298" s="1540"/>
      <c r="AM298" s="1577">
        <f>3*16</f>
        <v>48</v>
      </c>
      <c r="AN298" s="1581"/>
      <c r="AO298" s="1573"/>
      <c r="AP298" s="1560"/>
      <c r="AQ298" s="1561"/>
      <c r="AR298" s="1561"/>
      <c r="AS298" s="1561"/>
      <c r="AT298" s="1561"/>
      <c r="AU298" s="1561"/>
      <c r="AV298" s="1540"/>
      <c r="AW298" s="1579"/>
      <c r="AX298" s="1573"/>
      <c r="AY298" s="1560"/>
      <c r="AZ298" s="1561"/>
      <c r="BA298" s="1561">
        <f>2*16</f>
        <v>32</v>
      </c>
      <c r="BB298" s="1561"/>
      <c r="BC298" s="1561"/>
      <c r="BD298" s="1561"/>
      <c r="BE298" s="1540"/>
      <c r="BF298" s="1579">
        <f>3*16</f>
        <v>48</v>
      </c>
      <c r="BG298" s="1573"/>
      <c r="BH298" s="1560"/>
      <c r="BI298" s="1561"/>
      <c r="BJ298" s="1561"/>
      <c r="BK298" s="1561"/>
      <c r="BL298" s="1561"/>
      <c r="BM298" s="1561"/>
      <c r="BN298" s="1540"/>
      <c r="BO298" s="1579"/>
      <c r="BP298" s="1573"/>
      <c r="BQ298" s="1560"/>
      <c r="BR298" s="1561"/>
      <c r="BS298" s="1561"/>
      <c r="BT298" s="1561"/>
      <c r="BU298" s="1561"/>
      <c r="BV298" s="1561"/>
      <c r="BW298" s="1540"/>
      <c r="BX298" s="1579"/>
      <c r="BY298" s="1573"/>
      <c r="BZ298" s="1560"/>
      <c r="CA298" s="1540"/>
      <c r="CB298" s="1540"/>
      <c r="CC298" s="1540"/>
      <c r="CD298" s="1540"/>
      <c r="CE298" s="1540"/>
      <c r="CF298" s="1561"/>
      <c r="CG298" s="1579"/>
      <c r="CH298" s="1597"/>
      <c r="CI298" s="1598">
        <f t="shared" si="112"/>
        <v>160</v>
      </c>
      <c r="CJ298" s="1616"/>
      <c r="CK298" s="1616"/>
      <c r="CL298" s="1617">
        <f t="shared" si="102"/>
        <v>160</v>
      </c>
      <c r="CM298" s="1618"/>
      <c r="CN298" s="1619">
        <f t="shared" si="103"/>
        <v>160</v>
      </c>
    </row>
    <row r="299" spans="1:94" ht="21" thickBot="1">
      <c r="A299" s="537" t="s">
        <v>680</v>
      </c>
      <c r="B299" s="552"/>
      <c r="C299" s="553"/>
      <c r="D299" s="555">
        <v>46139</v>
      </c>
      <c r="E299" s="546"/>
      <c r="F299" s="1538"/>
      <c r="G299" s="1539"/>
      <c r="H299" s="1540"/>
      <c r="I299" s="1539"/>
      <c r="J299" s="1539"/>
      <c r="K299" s="1539"/>
      <c r="L299" s="1539"/>
      <c r="M299" s="1558"/>
      <c r="N299" s="1559"/>
      <c r="O299" s="1560"/>
      <c r="P299" s="1561"/>
      <c r="Q299" s="1561"/>
      <c r="R299" s="1561"/>
      <c r="S299" s="1561"/>
      <c r="T299" s="1561"/>
      <c r="U299" s="1540"/>
      <c r="V299" s="1572"/>
      <c r="W299" s="1573"/>
      <c r="X299" s="1560"/>
      <c r="Y299" s="1561"/>
      <c r="Z299" s="1561"/>
      <c r="AA299" s="1561"/>
      <c r="AB299" s="1561"/>
      <c r="AC299" s="1561"/>
      <c r="AD299" s="1540"/>
      <c r="AE299" s="1572"/>
      <c r="AF299" s="1573"/>
      <c r="AG299" s="1560"/>
      <c r="AH299" s="1561"/>
      <c r="AI299" s="1540"/>
      <c r="AJ299" s="1561"/>
      <c r="AK299" s="1561"/>
      <c r="AL299" s="1540"/>
      <c r="AM299" s="1577">
        <f>18*16</f>
        <v>288</v>
      </c>
      <c r="AN299" s="1581"/>
      <c r="AO299" s="1573"/>
      <c r="AP299" s="1560"/>
      <c r="AQ299" s="1561"/>
      <c r="AR299" s="1561"/>
      <c r="AS299" s="1561"/>
      <c r="AT299" s="1561"/>
      <c r="AU299" s="1561"/>
      <c r="AV299" s="1540"/>
      <c r="AW299" s="1579"/>
      <c r="AX299" s="1573"/>
      <c r="AY299" s="1560"/>
      <c r="AZ299" s="1561"/>
      <c r="BA299" s="1561">
        <f>8*16</f>
        <v>128</v>
      </c>
      <c r="BB299" s="1561"/>
      <c r="BC299" s="1561"/>
      <c r="BD299" s="1561">
        <f>8*16</f>
        <v>128</v>
      </c>
      <c r="BE299" s="1540"/>
      <c r="BF299" s="1579"/>
      <c r="BG299" s="1573"/>
      <c r="BH299" s="1560"/>
      <c r="BI299" s="1561"/>
      <c r="BJ299" s="1561"/>
      <c r="BK299" s="1561"/>
      <c r="BL299" s="1561"/>
      <c r="BM299" s="1561"/>
      <c r="BN299" s="1540"/>
      <c r="BO299" s="1579"/>
      <c r="BP299" s="1573"/>
      <c r="BQ299" s="1560"/>
      <c r="BR299" s="1561"/>
      <c r="BS299" s="1561"/>
      <c r="BT299" s="1561"/>
      <c r="BU299" s="1561"/>
      <c r="BV299" s="1561"/>
      <c r="BW299" s="1540"/>
      <c r="BX299" s="1579"/>
      <c r="BY299" s="1573"/>
      <c r="BZ299" s="1560"/>
      <c r="CA299" s="1540"/>
      <c r="CB299" s="1540"/>
      <c r="CC299" s="1540"/>
      <c r="CD299" s="1540"/>
      <c r="CE299" s="1540"/>
      <c r="CF299" s="1561"/>
      <c r="CG299" s="1579"/>
      <c r="CH299" s="1597"/>
      <c r="CI299" s="1598">
        <f t="shared" si="112"/>
        <v>544</v>
      </c>
      <c r="CJ299" s="1616"/>
      <c r="CK299" s="1616"/>
      <c r="CL299" s="1617">
        <f t="shared" si="102"/>
        <v>544</v>
      </c>
      <c r="CM299" s="1618"/>
      <c r="CN299" s="1619">
        <f t="shared" si="103"/>
        <v>544</v>
      </c>
    </row>
    <row r="300" spans="1:94" ht="21.75" customHeight="1" thickBot="1">
      <c r="A300" s="551" t="s">
        <v>654</v>
      </c>
      <c r="B300" s="552"/>
      <c r="C300" s="553"/>
      <c r="D300" s="555">
        <v>46139</v>
      </c>
      <c r="E300" s="546"/>
      <c r="F300" s="1538"/>
      <c r="G300" s="1539"/>
      <c r="H300" s="1540"/>
      <c r="I300" s="1539"/>
      <c r="J300" s="1539"/>
      <c r="K300" s="1539"/>
      <c r="L300" s="1539"/>
      <c r="M300" s="1558"/>
      <c r="N300" s="1559"/>
      <c r="O300" s="1560"/>
      <c r="P300" s="1561"/>
      <c r="Q300" s="1561"/>
      <c r="R300" s="1561"/>
      <c r="S300" s="1561"/>
      <c r="T300" s="1561"/>
      <c r="U300" s="1540"/>
      <c r="V300" s="1572"/>
      <c r="W300" s="1573"/>
      <c r="X300" s="1560"/>
      <c r="Y300" s="1561"/>
      <c r="Z300" s="1561"/>
      <c r="AA300" s="1561"/>
      <c r="AB300" s="1561"/>
      <c r="AC300" s="1561"/>
      <c r="AD300" s="1540"/>
      <c r="AE300" s="1572"/>
      <c r="AF300" s="1573"/>
      <c r="AG300" s="1560"/>
      <c r="AH300" s="1561"/>
      <c r="AI300" s="1540"/>
      <c r="AJ300" s="1561"/>
      <c r="AK300" s="1561"/>
      <c r="AL300" s="1540"/>
      <c r="AM300" s="1577"/>
      <c r="AN300" s="1581"/>
      <c r="AO300" s="1573"/>
      <c r="AP300" s="1560"/>
      <c r="AQ300" s="1561"/>
      <c r="AR300" s="1561"/>
      <c r="AS300" s="1561"/>
      <c r="AT300" s="1561"/>
      <c r="AU300" s="1561"/>
      <c r="AV300" s="1540"/>
      <c r="AW300" s="1579"/>
      <c r="AX300" s="1573"/>
      <c r="AY300" s="1560"/>
      <c r="AZ300" s="1561"/>
      <c r="BA300" s="1561"/>
      <c r="BB300" s="1561"/>
      <c r="BC300" s="1561"/>
      <c r="BD300" s="1561"/>
      <c r="BE300" s="1540"/>
      <c r="BF300" s="1579"/>
      <c r="BG300" s="1573"/>
      <c r="BH300" s="1560"/>
      <c r="BI300" s="1561"/>
      <c r="BJ300" s="1561"/>
      <c r="BK300" s="1561"/>
      <c r="BL300" s="1561"/>
      <c r="BM300" s="1561"/>
      <c r="BN300" s="1540"/>
      <c r="BO300" s="1579"/>
      <c r="BP300" s="1573"/>
      <c r="BQ300" s="1560"/>
      <c r="BR300" s="1561"/>
      <c r="BS300" s="1561"/>
      <c r="BT300" s="1561"/>
      <c r="BU300" s="1561"/>
      <c r="BV300" s="1561"/>
      <c r="BW300" s="1540"/>
      <c r="BX300" s="1579"/>
      <c r="BY300" s="1573"/>
      <c r="BZ300" s="1560">
        <f>120*16</f>
        <v>1920</v>
      </c>
      <c r="CA300" s="1540"/>
      <c r="CB300" s="1540"/>
      <c r="CC300" s="1540"/>
      <c r="CD300" s="1540"/>
      <c r="CE300" s="1540"/>
      <c r="CF300" s="1561"/>
      <c r="CG300" s="1579"/>
      <c r="CH300" s="1597"/>
      <c r="CI300" s="1598">
        <f t="shared" si="112"/>
        <v>1920</v>
      </c>
      <c r="CJ300" s="1616"/>
      <c r="CK300" s="1616"/>
      <c r="CL300" s="1617">
        <f t="shared" si="102"/>
        <v>1920</v>
      </c>
      <c r="CM300" s="1618"/>
      <c r="CN300" s="1619">
        <f t="shared" si="103"/>
        <v>1920</v>
      </c>
      <c r="CP300" s="1660"/>
    </row>
    <row r="301" spans="1:94" ht="21" thickBot="1">
      <c r="A301" s="547" t="s">
        <v>682</v>
      </c>
      <c r="B301" s="563"/>
      <c r="C301" s="553"/>
      <c r="D301" s="544">
        <v>46140</v>
      </c>
      <c r="E301" s="546"/>
      <c r="F301" s="1538">
        <f>6*16</f>
        <v>96</v>
      </c>
      <c r="G301" s="1539"/>
      <c r="H301" s="1540"/>
      <c r="I301" s="1539"/>
      <c r="J301" s="1539"/>
      <c r="K301" s="1539"/>
      <c r="L301" s="1539">
        <f>6*16</f>
        <v>96</v>
      </c>
      <c r="M301" s="1558"/>
      <c r="N301" s="1559"/>
      <c r="O301" s="1560"/>
      <c r="P301" s="1561"/>
      <c r="Q301" s="1561"/>
      <c r="R301" s="1561"/>
      <c r="S301" s="1561"/>
      <c r="T301" s="1561"/>
      <c r="U301" s="1540"/>
      <c r="V301" s="1572"/>
      <c r="W301" s="1573"/>
      <c r="X301" s="1560"/>
      <c r="Y301" s="1561"/>
      <c r="Z301" s="1561"/>
      <c r="AA301" s="1561"/>
      <c r="AB301" s="1561"/>
      <c r="AC301" s="1561"/>
      <c r="AD301" s="1540"/>
      <c r="AE301" s="1572"/>
      <c r="AF301" s="1573"/>
      <c r="AG301" s="1560"/>
      <c r="AH301" s="1561"/>
      <c r="AI301" s="1540"/>
      <c r="AJ301" s="1561"/>
      <c r="AK301" s="1561">
        <f>12*16</f>
        <v>192</v>
      </c>
      <c r="AL301" s="1540"/>
      <c r="AM301" s="1577">
        <f>9*16</f>
        <v>144</v>
      </c>
      <c r="AN301" s="1581"/>
      <c r="AO301" s="1573"/>
      <c r="AP301" s="1560"/>
      <c r="AQ301" s="1561"/>
      <c r="AR301" s="1561"/>
      <c r="AS301" s="1561"/>
      <c r="AT301" s="1561"/>
      <c r="AU301" s="1561"/>
      <c r="AV301" s="1540"/>
      <c r="AW301" s="1579"/>
      <c r="AX301" s="1573"/>
      <c r="AY301" s="1560"/>
      <c r="AZ301" s="1561"/>
      <c r="BA301" s="1561">
        <f>6*16</f>
        <v>96</v>
      </c>
      <c r="BB301" s="1561"/>
      <c r="BC301" s="1561"/>
      <c r="BD301" s="1561"/>
      <c r="BE301" s="1540"/>
      <c r="BF301" s="1579"/>
      <c r="BG301" s="1573"/>
      <c r="BH301" s="1560"/>
      <c r="BI301" s="1561"/>
      <c r="BJ301" s="1561"/>
      <c r="BK301" s="1561"/>
      <c r="BL301" s="1561"/>
      <c r="BM301" s="1561"/>
      <c r="BN301" s="1540"/>
      <c r="BO301" s="1579"/>
      <c r="BP301" s="1573"/>
      <c r="BQ301" s="1560"/>
      <c r="BR301" s="1561"/>
      <c r="BS301" s="1561"/>
      <c r="BT301" s="1561"/>
      <c r="BU301" s="1561"/>
      <c r="BV301" s="1561"/>
      <c r="BW301" s="1540"/>
      <c r="BX301" s="1579"/>
      <c r="BY301" s="1573"/>
      <c r="BZ301" s="1560"/>
      <c r="CA301" s="1540"/>
      <c r="CB301" s="1540"/>
      <c r="CC301" s="1540"/>
      <c r="CD301" s="1540"/>
      <c r="CE301" s="1540"/>
      <c r="CF301" s="1561"/>
      <c r="CG301" s="1579"/>
      <c r="CH301" s="1597"/>
      <c r="CI301" s="1598">
        <f t="shared" si="112"/>
        <v>624</v>
      </c>
      <c r="CJ301" s="1616"/>
      <c r="CK301" s="1616"/>
      <c r="CL301" s="1617">
        <f t="shared" si="102"/>
        <v>624</v>
      </c>
      <c r="CM301" s="1618"/>
      <c r="CN301" s="1619">
        <f t="shared" si="103"/>
        <v>624</v>
      </c>
    </row>
    <row r="302" spans="1:94" ht="21" thickBot="1">
      <c r="A302" s="551" t="s">
        <v>654</v>
      </c>
      <c r="B302" s="552"/>
      <c r="C302" s="553"/>
      <c r="D302" s="544">
        <v>46140</v>
      </c>
      <c r="E302" s="546"/>
      <c r="F302" s="1538"/>
      <c r="G302" s="1539"/>
      <c r="H302" s="1540"/>
      <c r="I302" s="1539"/>
      <c r="J302" s="1539"/>
      <c r="K302" s="1539"/>
      <c r="L302" s="1539"/>
      <c r="M302" s="1558"/>
      <c r="N302" s="1559"/>
      <c r="O302" s="1560"/>
      <c r="P302" s="1561"/>
      <c r="Q302" s="1561"/>
      <c r="R302" s="1561"/>
      <c r="S302" s="1561"/>
      <c r="T302" s="1561"/>
      <c r="U302" s="1540"/>
      <c r="V302" s="1572"/>
      <c r="W302" s="1573"/>
      <c r="X302" s="1560"/>
      <c r="Y302" s="1561"/>
      <c r="Z302" s="1561"/>
      <c r="AA302" s="1561"/>
      <c r="AB302" s="1561"/>
      <c r="AC302" s="1561"/>
      <c r="AD302" s="1540"/>
      <c r="AE302" s="1572"/>
      <c r="AF302" s="1573"/>
      <c r="AG302" s="1560"/>
      <c r="AH302" s="1561"/>
      <c r="AI302" s="1540"/>
      <c r="AJ302" s="1561"/>
      <c r="AK302" s="1561"/>
      <c r="AL302" s="1540"/>
      <c r="AM302" s="1560"/>
      <c r="AN302" s="1581"/>
      <c r="AO302" s="1573"/>
      <c r="AP302" s="1560"/>
      <c r="AQ302" s="1561"/>
      <c r="AR302" s="1561"/>
      <c r="AS302" s="1561"/>
      <c r="AT302" s="1561"/>
      <c r="AU302" s="1561"/>
      <c r="AV302" s="1540"/>
      <c r="AW302" s="1579"/>
      <c r="AX302" s="1573"/>
      <c r="AY302" s="1560"/>
      <c r="AZ302" s="1561"/>
      <c r="BA302" s="1561"/>
      <c r="BB302" s="1561"/>
      <c r="BC302" s="1561"/>
      <c r="BD302" s="1561"/>
      <c r="BE302" s="1540"/>
      <c r="BF302" s="1579"/>
      <c r="BG302" s="1573"/>
      <c r="BH302" s="1560"/>
      <c r="BI302" s="1561"/>
      <c r="BJ302" s="1561"/>
      <c r="BK302" s="1561"/>
      <c r="BL302" s="1561"/>
      <c r="BM302" s="1561"/>
      <c r="BN302" s="1540"/>
      <c r="BO302" s="1579"/>
      <c r="BP302" s="1573"/>
      <c r="BQ302" s="1560"/>
      <c r="BR302" s="1561"/>
      <c r="BS302" s="1561"/>
      <c r="BT302" s="1561"/>
      <c r="BU302" s="1561"/>
      <c r="BV302" s="1561"/>
      <c r="BW302" s="1540"/>
      <c r="BX302" s="1579"/>
      <c r="BY302" s="1573"/>
      <c r="BZ302" s="1560">
        <f>120*16</f>
        <v>1920</v>
      </c>
      <c r="CA302" s="1540"/>
      <c r="CB302" s="1540"/>
      <c r="CC302" s="1540"/>
      <c r="CD302" s="1540"/>
      <c r="CE302" s="1540"/>
      <c r="CF302" s="1561"/>
      <c r="CG302" s="1579"/>
      <c r="CH302" s="1597"/>
      <c r="CI302" s="1598">
        <f t="shared" si="112"/>
        <v>1920</v>
      </c>
      <c r="CJ302" s="1616"/>
      <c r="CK302" s="1616"/>
      <c r="CL302" s="1617">
        <f t="shared" si="102"/>
        <v>1920</v>
      </c>
      <c r="CM302" s="1618"/>
      <c r="CN302" s="1619">
        <f t="shared" si="103"/>
        <v>1920</v>
      </c>
    </row>
    <row r="303" spans="1:94" ht="21" thickBot="1">
      <c r="A303" s="537" t="s">
        <v>684</v>
      </c>
      <c r="B303" s="552"/>
      <c r="C303" s="553"/>
      <c r="D303" s="544">
        <v>46140</v>
      </c>
      <c r="E303" s="546"/>
      <c r="F303" s="1538"/>
      <c r="G303" s="1539"/>
      <c r="H303" s="1540"/>
      <c r="I303" s="1539"/>
      <c r="J303" s="1539"/>
      <c r="K303" s="1539"/>
      <c r="L303" s="1539"/>
      <c r="M303" s="1558"/>
      <c r="N303" s="1559"/>
      <c r="O303" s="1560"/>
      <c r="P303" s="1561"/>
      <c r="Q303" s="1561"/>
      <c r="R303" s="1561"/>
      <c r="S303" s="1561"/>
      <c r="T303" s="1561"/>
      <c r="U303" s="1540"/>
      <c r="V303" s="1572"/>
      <c r="W303" s="1573"/>
      <c r="X303" s="1560"/>
      <c r="Y303" s="1561"/>
      <c r="Z303" s="1561"/>
      <c r="AA303" s="1561"/>
      <c r="AB303" s="1561"/>
      <c r="AC303" s="1561"/>
      <c r="AD303" s="1540"/>
      <c r="AE303" s="1572"/>
      <c r="AF303" s="1573"/>
      <c r="AG303" s="1560"/>
      <c r="AH303" s="1561"/>
      <c r="AI303" s="1540"/>
      <c r="AJ303" s="1561"/>
      <c r="AK303" s="1561"/>
      <c r="AL303" s="1540"/>
      <c r="AM303" s="1560"/>
      <c r="AN303" s="1581"/>
      <c r="AO303" s="1573"/>
      <c r="AP303" s="1560"/>
      <c r="AQ303" s="1561"/>
      <c r="AR303" s="1561"/>
      <c r="AS303" s="1561"/>
      <c r="AT303" s="1561"/>
      <c r="AU303" s="1561"/>
      <c r="AV303" s="1540"/>
      <c r="AW303" s="1579"/>
      <c r="AX303" s="1573"/>
      <c r="AY303" s="1560"/>
      <c r="AZ303" s="1561"/>
      <c r="BA303" s="1561"/>
      <c r="BB303" s="1561"/>
      <c r="BC303" s="1561"/>
      <c r="BD303" s="1561"/>
      <c r="BE303" s="1540"/>
      <c r="BF303" s="1579"/>
      <c r="BG303" s="1573"/>
      <c r="BH303" s="1560"/>
      <c r="BI303" s="1561"/>
      <c r="BJ303" s="1561"/>
      <c r="BK303" s="1561"/>
      <c r="BL303" s="1561"/>
      <c r="BM303" s="1561"/>
      <c r="BN303" s="1540"/>
      <c r="BO303" s="1579"/>
      <c r="BP303" s="1573"/>
      <c r="BQ303" s="1560"/>
      <c r="BR303" s="1561"/>
      <c r="BS303" s="1561"/>
      <c r="BT303" s="1561"/>
      <c r="BU303" s="1561"/>
      <c r="BV303" s="1561">
        <f>2*16</f>
        <v>32</v>
      </c>
      <c r="BW303" s="1540"/>
      <c r="BX303" s="1579"/>
      <c r="BY303" s="1573"/>
      <c r="BZ303" s="1560"/>
      <c r="CA303" s="1540"/>
      <c r="CB303" s="1540"/>
      <c r="CC303" s="1540"/>
      <c r="CD303" s="1540">
        <f>2*16</f>
        <v>32</v>
      </c>
      <c r="CE303" s="1540"/>
      <c r="CF303" s="1561"/>
      <c r="CG303" s="1579"/>
      <c r="CH303" s="1597"/>
      <c r="CI303" s="1598">
        <f t="shared" si="112"/>
        <v>64</v>
      </c>
      <c r="CJ303" s="1616"/>
      <c r="CK303" s="1616"/>
      <c r="CL303" s="1617">
        <f t="shared" si="102"/>
        <v>64</v>
      </c>
      <c r="CM303" s="1618"/>
      <c r="CN303" s="1619">
        <f t="shared" si="103"/>
        <v>64</v>
      </c>
    </row>
    <row r="304" spans="1:94" ht="21" thickBot="1">
      <c r="A304" s="537" t="s">
        <v>639</v>
      </c>
      <c r="B304" s="538"/>
      <c r="C304" s="3079"/>
      <c r="D304" s="544">
        <v>46140</v>
      </c>
      <c r="E304" s="546"/>
      <c r="F304" s="1538"/>
      <c r="G304" s="1539"/>
      <c r="H304" s="1540"/>
      <c r="I304" s="1539"/>
      <c r="J304" s="1539"/>
      <c r="K304" s="1539"/>
      <c r="L304" s="1539"/>
      <c r="M304" s="1558"/>
      <c r="N304" s="1559"/>
      <c r="O304" s="1560"/>
      <c r="P304" s="1561"/>
      <c r="Q304" s="1561"/>
      <c r="R304" s="1561"/>
      <c r="S304" s="1561"/>
      <c r="T304" s="1561"/>
      <c r="U304" s="1540"/>
      <c r="V304" s="1572"/>
      <c r="W304" s="1573"/>
      <c r="X304" s="1560"/>
      <c r="Y304" s="1561"/>
      <c r="Z304" s="1561"/>
      <c r="AA304" s="1561"/>
      <c r="AB304" s="1561"/>
      <c r="AC304" s="1561"/>
      <c r="AD304" s="1540"/>
      <c r="AE304" s="1572"/>
      <c r="AF304" s="1573"/>
      <c r="AG304" s="1560"/>
      <c r="AH304" s="1561"/>
      <c r="AI304" s="1540"/>
      <c r="AJ304" s="1561"/>
      <c r="AK304" s="1561">
        <f>5*16</f>
        <v>80</v>
      </c>
      <c r="AL304" s="1540"/>
      <c r="AM304" s="1577"/>
      <c r="AN304" s="1581"/>
      <c r="AO304" s="1573"/>
      <c r="AP304" s="1560"/>
      <c r="AQ304" s="1561"/>
      <c r="AR304" s="1561"/>
      <c r="AS304" s="1561"/>
      <c r="AT304" s="1561"/>
      <c r="AU304" s="1561"/>
      <c r="AV304" s="1540"/>
      <c r="AW304" s="1579"/>
      <c r="AX304" s="1573"/>
      <c r="AY304" s="1560"/>
      <c r="AZ304" s="1561"/>
      <c r="BA304" s="1561">
        <f>10*16</f>
        <v>160</v>
      </c>
      <c r="BB304" s="1561"/>
      <c r="BC304" s="1561"/>
      <c r="BD304" s="1561">
        <f>14*16</f>
        <v>224</v>
      </c>
      <c r="BE304" s="1540"/>
      <c r="BF304" s="1579"/>
      <c r="BG304" s="1573"/>
      <c r="BH304" s="1560"/>
      <c r="BI304" s="1561"/>
      <c r="BJ304" s="1561"/>
      <c r="BK304" s="1561"/>
      <c r="BL304" s="1561"/>
      <c r="BM304" s="1561"/>
      <c r="BN304" s="1540"/>
      <c r="BO304" s="1579"/>
      <c r="BP304" s="1573"/>
      <c r="BQ304" s="1560"/>
      <c r="BR304" s="1561"/>
      <c r="BS304" s="1561"/>
      <c r="BT304" s="1561"/>
      <c r="BU304" s="1561"/>
      <c r="BV304" s="1561"/>
      <c r="BW304" s="1540"/>
      <c r="BX304" s="1579"/>
      <c r="BY304" s="1573"/>
      <c r="BZ304" s="1560"/>
      <c r="CA304" s="1540"/>
      <c r="CB304" s="1540"/>
      <c r="CC304" s="1540"/>
      <c r="CD304" s="1540"/>
      <c r="CE304" s="1540"/>
      <c r="CF304" s="1561"/>
      <c r="CG304" s="1579"/>
      <c r="CH304" s="1597"/>
      <c r="CI304" s="1598">
        <f t="shared" si="112"/>
        <v>464</v>
      </c>
      <c r="CJ304" s="1616"/>
      <c r="CK304" s="1616"/>
      <c r="CL304" s="1617">
        <f t="shared" si="102"/>
        <v>464</v>
      </c>
      <c r="CM304" s="1618"/>
      <c r="CN304" s="1619">
        <f t="shared" si="103"/>
        <v>464</v>
      </c>
    </row>
    <row r="305" spans="1:92" ht="21" thickBot="1">
      <c r="A305" s="547" t="s">
        <v>685</v>
      </c>
      <c r="B305" s="552"/>
      <c r="D305" s="544">
        <v>46141</v>
      </c>
      <c r="E305" s="546"/>
      <c r="F305" s="1538"/>
      <c r="G305" s="1539"/>
      <c r="H305" s="1540"/>
      <c r="I305" s="1539"/>
      <c r="J305" s="1539"/>
      <c r="K305" s="1539"/>
      <c r="L305" s="1539"/>
      <c r="M305" s="1558"/>
      <c r="N305" s="1559"/>
      <c r="O305" s="1560"/>
      <c r="P305" s="1561"/>
      <c r="Q305" s="1561"/>
      <c r="R305" s="1561"/>
      <c r="S305" s="1561"/>
      <c r="T305" s="1561"/>
      <c r="U305" s="1540"/>
      <c r="V305" s="1572"/>
      <c r="W305" s="1573"/>
      <c r="X305" s="1560"/>
      <c r="Y305" s="1561"/>
      <c r="Z305" s="1561"/>
      <c r="AA305" s="1561"/>
      <c r="AB305" s="1561"/>
      <c r="AC305" s="1561"/>
      <c r="AD305" s="1540"/>
      <c r="AE305" s="1572"/>
      <c r="AF305" s="1573"/>
      <c r="AG305" s="1560"/>
      <c r="AH305" s="1561"/>
      <c r="AI305" s="1540"/>
      <c r="AJ305" s="1561"/>
      <c r="AK305" s="1561"/>
      <c r="AL305" s="1540"/>
      <c r="AM305" s="1560"/>
      <c r="AN305" s="1581"/>
      <c r="AO305" s="1573"/>
      <c r="AP305" s="1560"/>
      <c r="AQ305" s="1561"/>
      <c r="AR305" s="1561"/>
      <c r="AS305" s="1561"/>
      <c r="AT305" s="1561"/>
      <c r="AU305" s="1561"/>
      <c r="AV305" s="1540"/>
      <c r="AW305" s="1579"/>
      <c r="AX305" s="1573"/>
      <c r="AY305" s="1560"/>
      <c r="AZ305" s="1561"/>
      <c r="BA305" s="1561"/>
      <c r="BB305" s="1561"/>
      <c r="BC305" s="1561"/>
      <c r="BD305" s="1561">
        <f>7*16</f>
        <v>112</v>
      </c>
      <c r="BE305" s="1540"/>
      <c r="BF305" s="1579"/>
      <c r="BG305" s="1573"/>
      <c r="BH305" s="1560"/>
      <c r="BI305" s="1561"/>
      <c r="BJ305" s="1561"/>
      <c r="BK305" s="1561"/>
      <c r="BL305" s="1561"/>
      <c r="BM305" s="1561"/>
      <c r="BN305" s="1540"/>
      <c r="BO305" s="1579"/>
      <c r="BP305" s="1573"/>
      <c r="BQ305" s="1560"/>
      <c r="BR305" s="1561"/>
      <c r="BS305" s="1561"/>
      <c r="BT305" s="1561"/>
      <c r="BU305" s="1561"/>
      <c r="BV305" s="1561"/>
      <c r="BW305" s="1540"/>
      <c r="BX305" s="1579"/>
      <c r="BY305" s="1573"/>
      <c r="BZ305" s="1560"/>
      <c r="CA305" s="1540"/>
      <c r="CB305" s="1540"/>
      <c r="CC305" s="1540"/>
      <c r="CD305" s="1540"/>
      <c r="CE305" s="1540"/>
      <c r="CF305" s="1561"/>
      <c r="CG305" s="1579"/>
      <c r="CH305" s="1597"/>
      <c r="CI305" s="1598">
        <f t="shared" si="112"/>
        <v>112</v>
      </c>
      <c r="CJ305" s="1616"/>
      <c r="CK305" s="1616"/>
      <c r="CL305" s="1617">
        <f t="shared" si="102"/>
        <v>112</v>
      </c>
      <c r="CM305" s="1618"/>
      <c r="CN305" s="1619">
        <f t="shared" si="103"/>
        <v>112</v>
      </c>
    </row>
    <row r="306" spans="1:92" ht="21" thickBot="1">
      <c r="A306" s="551" t="s">
        <v>637</v>
      </c>
      <c r="B306" s="552"/>
      <c r="C306" s="553"/>
      <c r="D306" s="544">
        <v>46141</v>
      </c>
      <c r="E306" s="546"/>
      <c r="F306" s="1538"/>
      <c r="G306" s="1539"/>
      <c r="H306" s="1540"/>
      <c r="I306" s="1539"/>
      <c r="J306" s="1539"/>
      <c r="K306" s="1539"/>
      <c r="L306" s="1539"/>
      <c r="M306" s="1558"/>
      <c r="N306" s="1559"/>
      <c r="O306" s="1560"/>
      <c r="P306" s="1561"/>
      <c r="Q306" s="1561"/>
      <c r="R306" s="1561"/>
      <c r="S306" s="1561"/>
      <c r="T306" s="1561"/>
      <c r="U306" s="1540"/>
      <c r="V306" s="1572"/>
      <c r="W306" s="1573"/>
      <c r="X306" s="1560"/>
      <c r="Y306" s="1561"/>
      <c r="Z306" s="1561"/>
      <c r="AA306" s="1561"/>
      <c r="AB306" s="1561"/>
      <c r="AC306" s="1561"/>
      <c r="AD306" s="1540"/>
      <c r="AE306" s="1572"/>
      <c r="AF306" s="1573"/>
      <c r="AG306" s="1560"/>
      <c r="AH306" s="1561"/>
      <c r="AI306" s="1540"/>
      <c r="AJ306" s="1561"/>
      <c r="AK306" s="1561"/>
      <c r="AL306" s="1540"/>
      <c r="AM306" s="1560"/>
      <c r="AN306" s="1581"/>
      <c r="AO306" s="1573"/>
      <c r="AP306" s="1560"/>
      <c r="AQ306" s="1561"/>
      <c r="AR306" s="1561"/>
      <c r="AS306" s="1561"/>
      <c r="AT306" s="1561"/>
      <c r="AU306" s="1561"/>
      <c r="AV306" s="1540"/>
      <c r="AW306" s="1579"/>
      <c r="AX306" s="1573"/>
      <c r="AY306" s="1560"/>
      <c r="AZ306" s="1561"/>
      <c r="BA306" s="1561">
        <f>15*16</f>
        <v>240</v>
      </c>
      <c r="BB306" s="1561"/>
      <c r="BC306" s="1561"/>
      <c r="BD306" s="1561">
        <f>25*16</f>
        <v>400</v>
      </c>
      <c r="BE306" s="1540"/>
      <c r="BF306" s="1579"/>
      <c r="BG306" s="1573"/>
      <c r="BH306" s="1560"/>
      <c r="BI306" s="1561"/>
      <c r="BJ306" s="1561"/>
      <c r="BK306" s="1561"/>
      <c r="BL306" s="1561"/>
      <c r="BM306" s="1561"/>
      <c r="BN306" s="1540"/>
      <c r="BO306" s="1579"/>
      <c r="BP306" s="1573"/>
      <c r="BQ306" s="1560"/>
      <c r="BR306" s="1561"/>
      <c r="BS306" s="1561"/>
      <c r="BT306" s="1561"/>
      <c r="BU306" s="1561"/>
      <c r="BV306" s="1561"/>
      <c r="BW306" s="1540"/>
      <c r="BX306" s="1579"/>
      <c r="BY306" s="1573"/>
      <c r="BZ306" s="1560"/>
      <c r="CA306" s="1540"/>
      <c r="CB306" s="1540"/>
      <c r="CC306" s="1540"/>
      <c r="CD306" s="1540"/>
      <c r="CE306" s="1540"/>
      <c r="CF306" s="1561"/>
      <c r="CG306" s="1579"/>
      <c r="CH306" s="1597"/>
      <c r="CI306" s="1598">
        <f t="shared" si="112"/>
        <v>640</v>
      </c>
      <c r="CJ306" s="1616"/>
      <c r="CK306" s="1616"/>
      <c r="CL306" s="1617">
        <f t="shared" si="102"/>
        <v>640</v>
      </c>
      <c r="CM306" s="1618"/>
      <c r="CN306" s="1619">
        <f t="shared" si="103"/>
        <v>640</v>
      </c>
    </row>
    <row r="307" spans="1:92" ht="21" thickBot="1">
      <c r="A307" s="537" t="s">
        <v>635</v>
      </c>
      <c r="B307" s="550"/>
      <c r="C307" s="549"/>
      <c r="D307" s="544">
        <v>46141</v>
      </c>
      <c r="E307" s="546"/>
      <c r="F307" s="1538"/>
      <c r="G307" s="1539"/>
      <c r="H307" s="1540"/>
      <c r="I307" s="1539"/>
      <c r="J307" s="1539"/>
      <c r="K307" s="1539"/>
      <c r="L307" s="1539"/>
      <c r="M307" s="1558"/>
      <c r="N307" s="1559"/>
      <c r="O307" s="1560"/>
      <c r="P307" s="1561"/>
      <c r="Q307" s="1561"/>
      <c r="R307" s="1561"/>
      <c r="S307" s="1561"/>
      <c r="T307" s="1561"/>
      <c r="U307" s="1540"/>
      <c r="V307" s="1572"/>
      <c r="W307" s="1573"/>
      <c r="X307" s="1560"/>
      <c r="Y307" s="1561"/>
      <c r="Z307" s="1561"/>
      <c r="AA307" s="1561"/>
      <c r="AB307" s="1561"/>
      <c r="AC307" s="1561"/>
      <c r="AD307" s="1540"/>
      <c r="AE307" s="1572"/>
      <c r="AF307" s="1573"/>
      <c r="AG307" s="1560"/>
      <c r="AH307" s="1561"/>
      <c r="AI307" s="1540"/>
      <c r="AJ307" s="1561"/>
      <c r="AK307" s="1561"/>
      <c r="AL307" s="1540"/>
      <c r="AM307" s="1577"/>
      <c r="AN307" s="1581"/>
      <c r="AO307" s="1573"/>
      <c r="AP307" s="1560"/>
      <c r="AQ307" s="1561"/>
      <c r="AR307" s="1561"/>
      <c r="AS307" s="1561"/>
      <c r="AT307" s="1561"/>
      <c r="AU307" s="1561"/>
      <c r="AV307" s="1540"/>
      <c r="AW307" s="1579"/>
      <c r="AX307" s="1573"/>
      <c r="AY307" s="1560"/>
      <c r="AZ307" s="1561"/>
      <c r="BA307" s="1561">
        <f>8*16</f>
        <v>128</v>
      </c>
      <c r="BB307" s="1561"/>
      <c r="BC307" s="1561"/>
      <c r="BD307" s="1561">
        <f>6*16</f>
        <v>96</v>
      </c>
      <c r="BE307" s="1540"/>
      <c r="BF307" s="1579"/>
      <c r="BG307" s="1573"/>
      <c r="BH307" s="1560"/>
      <c r="BI307" s="1561">
        <f>2*16</f>
        <v>32</v>
      </c>
      <c r="BJ307" s="1561"/>
      <c r="BK307" s="1561"/>
      <c r="BL307" s="1561"/>
      <c r="BM307" s="1561"/>
      <c r="BN307" s="1540"/>
      <c r="BO307" s="1579"/>
      <c r="BP307" s="1573"/>
      <c r="BQ307" s="1560"/>
      <c r="BR307" s="1561"/>
      <c r="BS307" s="1561"/>
      <c r="BT307" s="1561"/>
      <c r="BU307" s="1561"/>
      <c r="BV307" s="1561"/>
      <c r="BW307" s="1540"/>
      <c r="BX307" s="1579"/>
      <c r="BY307" s="1573"/>
      <c r="BZ307" s="1560"/>
      <c r="CA307" s="1540"/>
      <c r="CB307" s="1540"/>
      <c r="CC307" s="1540"/>
      <c r="CD307" s="1540"/>
      <c r="CE307" s="1540"/>
      <c r="CF307" s="1561"/>
      <c r="CG307" s="1579"/>
      <c r="CH307" s="1597"/>
      <c r="CI307" s="1598">
        <f t="shared" si="112"/>
        <v>256</v>
      </c>
      <c r="CJ307" s="1616"/>
      <c r="CK307" s="1616"/>
      <c r="CL307" s="1617">
        <f t="shared" si="102"/>
        <v>256</v>
      </c>
      <c r="CM307" s="1618"/>
      <c r="CN307" s="1619">
        <f t="shared" si="103"/>
        <v>256</v>
      </c>
    </row>
    <row r="308" spans="1:92" ht="21" thickBot="1">
      <c r="A308" s="547" t="s">
        <v>686</v>
      </c>
      <c r="B308" s="538"/>
      <c r="C308" s="539"/>
      <c r="D308" s="544">
        <v>46141</v>
      </c>
      <c r="E308" s="546"/>
      <c r="F308" s="1538"/>
      <c r="G308" s="1539"/>
      <c r="H308" s="1540"/>
      <c r="I308" s="1539"/>
      <c r="J308" s="1539"/>
      <c r="K308" s="1539"/>
      <c r="L308" s="1539"/>
      <c r="M308" s="1558"/>
      <c r="N308" s="1559"/>
      <c r="O308" s="1560"/>
      <c r="P308" s="1561"/>
      <c r="Q308" s="1561"/>
      <c r="R308" s="1561"/>
      <c r="S308" s="1561"/>
      <c r="T308" s="1561"/>
      <c r="U308" s="1540"/>
      <c r="V308" s="1572"/>
      <c r="W308" s="1573"/>
      <c r="X308" s="1560"/>
      <c r="Y308" s="1561"/>
      <c r="Z308" s="1561"/>
      <c r="AA308" s="1561"/>
      <c r="AB308" s="1561"/>
      <c r="AC308" s="1561"/>
      <c r="AD308" s="1540"/>
      <c r="AE308" s="1572"/>
      <c r="AF308" s="1573"/>
      <c r="AG308" s="1560"/>
      <c r="AH308" s="1561"/>
      <c r="AI308" s="1540"/>
      <c r="AJ308" s="1561"/>
      <c r="AK308" s="1561"/>
      <c r="AL308" s="1540"/>
      <c r="AM308" s="1577"/>
      <c r="AN308" s="1581"/>
      <c r="AO308" s="1573"/>
      <c r="AP308" s="1560"/>
      <c r="AQ308" s="1561"/>
      <c r="AR308" s="1561"/>
      <c r="AS308" s="1561"/>
      <c r="AT308" s="1561"/>
      <c r="AU308" s="1561"/>
      <c r="AV308" s="1540"/>
      <c r="AW308" s="1579"/>
      <c r="AX308" s="1573"/>
      <c r="AY308" s="1560"/>
      <c r="AZ308" s="1561"/>
      <c r="BA308" s="1561">
        <f>8*16</f>
        <v>128</v>
      </c>
      <c r="BB308" s="1561"/>
      <c r="BC308" s="1561"/>
      <c r="BD308" s="1561">
        <f>8*16</f>
        <v>128</v>
      </c>
      <c r="BE308" s="1540"/>
      <c r="BF308" s="1579"/>
      <c r="BG308" s="1573"/>
      <c r="BH308" s="1560"/>
      <c r="BI308" s="1561"/>
      <c r="BJ308" s="1561"/>
      <c r="BK308" s="1561"/>
      <c r="BL308" s="1561"/>
      <c r="BM308" s="1561"/>
      <c r="BN308" s="1540"/>
      <c r="BO308" s="1579"/>
      <c r="BP308" s="1573"/>
      <c r="BQ308" s="1560"/>
      <c r="BR308" s="1561"/>
      <c r="BS308" s="1561"/>
      <c r="BT308" s="1561"/>
      <c r="BU308" s="1561"/>
      <c r="BV308" s="1561"/>
      <c r="BW308" s="1540"/>
      <c r="BX308" s="1579"/>
      <c r="BY308" s="1573"/>
      <c r="BZ308" s="1560"/>
      <c r="CA308" s="1540"/>
      <c r="CB308" s="1540"/>
      <c r="CC308" s="1540"/>
      <c r="CD308" s="1540"/>
      <c r="CE308" s="1540"/>
      <c r="CF308" s="1561"/>
      <c r="CG308" s="1579"/>
      <c r="CH308" s="1597"/>
      <c r="CI308" s="1598">
        <f t="shared" si="112"/>
        <v>256</v>
      </c>
      <c r="CJ308" s="1616"/>
      <c r="CK308" s="1616"/>
      <c r="CL308" s="1617">
        <f t="shared" si="102"/>
        <v>256</v>
      </c>
      <c r="CM308" s="1618"/>
      <c r="CN308" s="1619">
        <f t="shared" si="103"/>
        <v>256</v>
      </c>
    </row>
    <row r="309" spans="1:92" ht="21" thickBot="1">
      <c r="A309" s="537" t="s">
        <v>687</v>
      </c>
      <c r="B309" s="1112"/>
      <c r="C309" s="1113"/>
      <c r="D309" s="1114">
        <v>46141</v>
      </c>
      <c r="E309" s="546"/>
      <c r="F309" s="1538">
        <f>3*16</f>
        <v>48</v>
      </c>
      <c r="G309" s="1539"/>
      <c r="H309" s="1540"/>
      <c r="I309" s="1539"/>
      <c r="J309" s="1539"/>
      <c r="K309" s="1539"/>
      <c r="L309" s="1539">
        <f>2*16</f>
        <v>32</v>
      </c>
      <c r="M309" s="1558"/>
      <c r="N309" s="1559"/>
      <c r="O309" s="1560"/>
      <c r="P309" s="1561"/>
      <c r="Q309" s="1561"/>
      <c r="R309" s="1561"/>
      <c r="S309" s="1561"/>
      <c r="T309" s="1561"/>
      <c r="U309" s="1540"/>
      <c r="V309" s="1572"/>
      <c r="W309" s="1573"/>
      <c r="X309" s="1560"/>
      <c r="Y309" s="1561"/>
      <c r="Z309" s="1561"/>
      <c r="AA309" s="1561"/>
      <c r="AB309" s="1561"/>
      <c r="AC309" s="1561"/>
      <c r="AD309" s="1540"/>
      <c r="AE309" s="1572"/>
      <c r="AF309" s="1573"/>
      <c r="AG309" s="1560"/>
      <c r="AH309" s="1561"/>
      <c r="AI309" s="1561"/>
      <c r="AJ309" s="1561"/>
      <c r="AK309" s="1561"/>
      <c r="AL309" s="1540"/>
      <c r="AM309" s="1577"/>
      <c r="AN309" s="1581"/>
      <c r="AO309" s="1573"/>
      <c r="AP309" s="1560"/>
      <c r="AQ309" s="1561"/>
      <c r="AR309" s="1561"/>
      <c r="AS309" s="1561"/>
      <c r="AT309" s="1561"/>
      <c r="AU309" s="1561"/>
      <c r="AV309" s="1540"/>
      <c r="AW309" s="1579"/>
      <c r="AX309" s="1573"/>
      <c r="AY309" s="1560"/>
      <c r="AZ309" s="1561"/>
      <c r="BA309" s="1561">
        <f>4*16</f>
        <v>64</v>
      </c>
      <c r="BB309" s="1561"/>
      <c r="BC309" s="1561"/>
      <c r="BD309" s="1561"/>
      <c r="BE309" s="1540"/>
      <c r="BF309" s="1579"/>
      <c r="BG309" s="1573"/>
      <c r="BH309" s="1560"/>
      <c r="BI309" s="1561">
        <f>4*16</f>
        <v>64</v>
      </c>
      <c r="BJ309" s="1561">
        <f>2*16</f>
        <v>32</v>
      </c>
      <c r="BK309" s="1561"/>
      <c r="BL309" s="1561"/>
      <c r="BM309" s="1561"/>
      <c r="BN309" s="1540"/>
      <c r="BO309" s="1579"/>
      <c r="BP309" s="1573"/>
      <c r="BQ309" s="1560"/>
      <c r="BR309" s="1561"/>
      <c r="BS309" s="1561"/>
      <c r="BT309" s="1561"/>
      <c r="BU309" s="1561"/>
      <c r="BV309" s="1561"/>
      <c r="BW309" s="1540"/>
      <c r="BX309" s="1579"/>
      <c r="BY309" s="1573"/>
      <c r="BZ309" s="1560"/>
      <c r="CA309" s="1540"/>
      <c r="CB309" s="1540"/>
      <c r="CC309" s="1540"/>
      <c r="CD309" s="1540"/>
      <c r="CE309" s="1540"/>
      <c r="CF309" s="1561"/>
      <c r="CG309" s="1579"/>
      <c r="CH309" s="1597"/>
      <c r="CI309" s="1598">
        <f t="shared" si="112"/>
        <v>240</v>
      </c>
      <c r="CJ309" s="1616"/>
      <c r="CK309" s="1616"/>
      <c r="CL309" s="1617">
        <f t="shared" si="102"/>
        <v>240</v>
      </c>
      <c r="CM309" s="1618"/>
      <c r="CN309" s="1619">
        <f t="shared" si="103"/>
        <v>240</v>
      </c>
    </row>
    <row r="310" spans="1:92" ht="21" thickBot="1">
      <c r="A310" s="561" t="s">
        <v>643</v>
      </c>
      <c r="B310" s="1112"/>
      <c r="C310" s="1113"/>
      <c r="D310" s="1114">
        <v>46142</v>
      </c>
      <c r="E310" s="546"/>
      <c r="F310" s="1538"/>
      <c r="G310" s="1539"/>
      <c r="H310" s="1540"/>
      <c r="I310" s="1539"/>
      <c r="J310" s="1539"/>
      <c r="K310" s="1539"/>
      <c r="L310" s="1539"/>
      <c r="M310" s="1558"/>
      <c r="N310" s="1559"/>
      <c r="O310" s="1560"/>
      <c r="P310" s="1561"/>
      <c r="Q310" s="1561"/>
      <c r="R310" s="1561"/>
      <c r="S310" s="1561"/>
      <c r="T310" s="1561"/>
      <c r="U310" s="1540"/>
      <c r="V310" s="1572"/>
      <c r="W310" s="1573"/>
      <c r="X310" s="1560"/>
      <c r="Y310" s="1561"/>
      <c r="Z310" s="1561"/>
      <c r="AA310" s="1561"/>
      <c r="AB310" s="1561"/>
      <c r="AC310" s="1561"/>
      <c r="AD310" s="1540"/>
      <c r="AE310" s="1572"/>
      <c r="AF310" s="1573"/>
      <c r="AG310" s="1560"/>
      <c r="AH310" s="1561"/>
      <c r="AI310" s="1561"/>
      <c r="AJ310" s="1561"/>
      <c r="AK310" s="1561"/>
      <c r="AL310" s="1540"/>
      <c r="AM310" s="1577"/>
      <c r="AN310" s="1581"/>
      <c r="AO310" s="1573"/>
      <c r="AP310" s="1560"/>
      <c r="AQ310" s="1561"/>
      <c r="AR310" s="1561"/>
      <c r="AS310" s="1561"/>
      <c r="AT310" s="1561"/>
      <c r="AU310" s="1561"/>
      <c r="AV310" s="1540"/>
      <c r="AW310" s="1579"/>
      <c r="AX310" s="1573"/>
      <c r="AY310" s="1560"/>
      <c r="AZ310" s="1561"/>
      <c r="BA310" s="1561"/>
      <c r="BB310" s="1561"/>
      <c r="BC310" s="1561"/>
      <c r="BD310" s="1561"/>
      <c r="BE310" s="1540"/>
      <c r="BF310" s="1579"/>
      <c r="BG310" s="1573"/>
      <c r="BH310" s="1560"/>
      <c r="BI310" s="1561"/>
      <c r="BJ310" s="1561"/>
      <c r="BK310" s="1561"/>
      <c r="BL310" s="1561"/>
      <c r="BM310" s="1561"/>
      <c r="BN310" s="1540"/>
      <c r="BO310" s="1579"/>
      <c r="BP310" s="1573"/>
      <c r="BQ310" s="1560"/>
      <c r="BR310" s="1561"/>
      <c r="BS310" s="1561"/>
      <c r="BT310" s="1561"/>
      <c r="BU310" s="1561"/>
      <c r="BV310" s="1561"/>
      <c r="BW310" s="1540"/>
      <c r="BX310" s="1579"/>
      <c r="BY310" s="1573"/>
      <c r="BZ310" s="1560">
        <f>120*16</f>
        <v>1920</v>
      </c>
      <c r="CA310" s="1540"/>
      <c r="CB310" s="1540"/>
      <c r="CC310" s="1540"/>
      <c r="CD310" s="1540"/>
      <c r="CE310" s="1540"/>
      <c r="CF310" s="1561"/>
      <c r="CG310" s="1579"/>
      <c r="CH310" s="1597"/>
      <c r="CI310" s="1598">
        <f t="shared" si="112"/>
        <v>1920</v>
      </c>
      <c r="CJ310" s="1616"/>
      <c r="CK310" s="1616"/>
      <c r="CL310" s="1617">
        <f t="shared" si="102"/>
        <v>1920</v>
      </c>
      <c r="CM310" s="1618"/>
      <c r="CN310" s="1619">
        <f t="shared" si="103"/>
        <v>1920</v>
      </c>
    </row>
    <row r="311" spans="1:92" ht="21" thickBot="1">
      <c r="A311" s="537" t="s">
        <v>659</v>
      </c>
      <c r="B311" s="552"/>
      <c r="C311" s="553"/>
      <c r="D311" s="544">
        <v>46142</v>
      </c>
      <c r="E311" s="546"/>
      <c r="F311" s="1538"/>
      <c r="G311" s="1539"/>
      <c r="H311" s="1540"/>
      <c r="I311" s="1539"/>
      <c r="J311" s="1539"/>
      <c r="K311" s="1539"/>
      <c r="L311" s="1539"/>
      <c r="M311" s="1558"/>
      <c r="N311" s="1559"/>
      <c r="O311" s="1560"/>
      <c r="P311" s="1561"/>
      <c r="Q311" s="1561"/>
      <c r="R311" s="1561"/>
      <c r="S311" s="1561"/>
      <c r="T311" s="1561"/>
      <c r="U311" s="1540"/>
      <c r="V311" s="1572"/>
      <c r="W311" s="1573"/>
      <c r="X311" s="1560"/>
      <c r="Y311" s="1561"/>
      <c r="Z311" s="1561"/>
      <c r="AA311" s="1561"/>
      <c r="AB311" s="1561"/>
      <c r="AC311" s="1561"/>
      <c r="AD311" s="1540"/>
      <c r="AE311" s="1572"/>
      <c r="AF311" s="1573"/>
      <c r="AG311" s="1560"/>
      <c r="AH311" s="1561"/>
      <c r="AI311" s="1561"/>
      <c r="AJ311" s="1561"/>
      <c r="AK311" s="1561"/>
      <c r="AL311" s="1540"/>
      <c r="AM311" s="1577">
        <f>7*16</f>
        <v>112</v>
      </c>
      <c r="AN311" s="1581"/>
      <c r="AO311" s="1573"/>
      <c r="AP311" s="1560"/>
      <c r="AQ311" s="1561"/>
      <c r="AR311" s="1561"/>
      <c r="AS311" s="1561"/>
      <c r="AT311" s="1561"/>
      <c r="AU311" s="1561"/>
      <c r="AV311" s="1540"/>
      <c r="AW311" s="1579"/>
      <c r="AX311" s="1573"/>
      <c r="AY311" s="1560"/>
      <c r="AZ311" s="1561"/>
      <c r="BA311" s="1561">
        <f>2*16</f>
        <v>32</v>
      </c>
      <c r="BB311" s="1561"/>
      <c r="BC311" s="1561">
        <f>2*16</f>
        <v>32</v>
      </c>
      <c r="BD311" s="1561"/>
      <c r="BE311" s="1540"/>
      <c r="BF311" s="1579">
        <f>4*16</f>
        <v>64</v>
      </c>
      <c r="BG311" s="1573"/>
      <c r="BH311" s="1560"/>
      <c r="BI311" s="1561"/>
      <c r="BJ311" s="1561"/>
      <c r="BK311" s="1561"/>
      <c r="BL311" s="1561"/>
      <c r="BM311" s="1561"/>
      <c r="BN311" s="1540"/>
      <c r="BO311" s="1579"/>
      <c r="BP311" s="1573"/>
      <c r="BQ311" s="1560"/>
      <c r="BR311" s="1561"/>
      <c r="BS311" s="1561"/>
      <c r="BT311" s="1561"/>
      <c r="BU311" s="1561"/>
      <c r="BV311" s="1561">
        <f>4*16</f>
        <v>64</v>
      </c>
      <c r="BW311" s="1540"/>
      <c r="BX311" s="1579"/>
      <c r="BY311" s="1573"/>
      <c r="BZ311" s="1560"/>
      <c r="CA311" s="1540"/>
      <c r="CB311" s="1540"/>
      <c r="CC311" s="1540"/>
      <c r="CD311" s="1540"/>
      <c r="CE311" s="1540"/>
      <c r="CF311" s="1561"/>
      <c r="CG311" s="1579"/>
      <c r="CH311" s="1597"/>
      <c r="CI311" s="1598">
        <f t="shared" si="112"/>
        <v>304</v>
      </c>
      <c r="CJ311" s="1616"/>
      <c r="CK311" s="1616"/>
      <c r="CL311" s="1617">
        <f t="shared" si="102"/>
        <v>304</v>
      </c>
      <c r="CM311" s="1618"/>
      <c r="CN311" s="1619">
        <f t="shared" si="103"/>
        <v>304</v>
      </c>
    </row>
    <row r="312" spans="1:92" ht="21" thickBot="1">
      <c r="A312" s="537" t="s">
        <v>665</v>
      </c>
      <c r="B312" s="552"/>
      <c r="C312" s="553"/>
      <c r="D312" s="544">
        <v>46142</v>
      </c>
      <c r="E312" s="546"/>
      <c r="F312" s="1538">
        <f>13*16</f>
        <v>208</v>
      </c>
      <c r="G312" s="1539"/>
      <c r="H312" s="1540"/>
      <c r="I312" s="1539"/>
      <c r="J312" s="1539"/>
      <c r="K312" s="1539"/>
      <c r="L312" s="1539">
        <f>6*16</f>
        <v>96</v>
      </c>
      <c r="M312" s="1558"/>
      <c r="N312" s="1559"/>
      <c r="O312" s="1560"/>
      <c r="P312" s="1561"/>
      <c r="Q312" s="1561"/>
      <c r="R312" s="1561"/>
      <c r="S312" s="1561"/>
      <c r="T312" s="1561"/>
      <c r="U312" s="1540"/>
      <c r="V312" s="1572"/>
      <c r="W312" s="1573"/>
      <c r="X312" s="1560"/>
      <c r="Y312" s="1561"/>
      <c r="Z312" s="1561"/>
      <c r="AA312" s="1561"/>
      <c r="AB312" s="1561"/>
      <c r="AC312" s="1561"/>
      <c r="AD312" s="1540"/>
      <c r="AE312" s="1572"/>
      <c r="AF312" s="1573"/>
      <c r="AG312" s="1560"/>
      <c r="AH312" s="1561"/>
      <c r="AI312" s="1561"/>
      <c r="AJ312" s="1561"/>
      <c r="AK312" s="1561"/>
      <c r="AL312" s="1540"/>
      <c r="AM312" s="1577"/>
      <c r="AN312" s="1581"/>
      <c r="AO312" s="1573"/>
      <c r="AP312" s="1560"/>
      <c r="AQ312" s="1561"/>
      <c r="AR312" s="1561"/>
      <c r="AS312" s="1561"/>
      <c r="AT312" s="1561"/>
      <c r="AU312" s="1561"/>
      <c r="AV312" s="1540"/>
      <c r="AW312" s="1579"/>
      <c r="AX312" s="1573"/>
      <c r="AY312" s="1560"/>
      <c r="AZ312" s="1561"/>
      <c r="BA312" s="1561">
        <f>25*16</f>
        <v>400</v>
      </c>
      <c r="BB312" s="1561"/>
      <c r="BC312" s="1561"/>
      <c r="BD312" s="1561">
        <f>10*16</f>
        <v>160</v>
      </c>
      <c r="BE312" s="1540"/>
      <c r="BF312" s="1579"/>
      <c r="BG312" s="1573"/>
      <c r="BH312" s="1560"/>
      <c r="BI312" s="1561"/>
      <c r="BJ312" s="1561"/>
      <c r="BK312" s="1561"/>
      <c r="BL312" s="1561"/>
      <c r="BM312" s="1561"/>
      <c r="BN312" s="1540"/>
      <c r="BO312" s="1579"/>
      <c r="BP312" s="1573"/>
      <c r="BQ312" s="1560"/>
      <c r="BR312" s="1561"/>
      <c r="BS312" s="1561"/>
      <c r="BT312" s="1561"/>
      <c r="BU312" s="1561"/>
      <c r="BV312" s="1561"/>
      <c r="BW312" s="1540"/>
      <c r="BX312" s="1579"/>
      <c r="BY312" s="1573"/>
      <c r="BZ312" s="1560"/>
      <c r="CA312" s="1540"/>
      <c r="CB312" s="1540"/>
      <c r="CC312" s="1540"/>
      <c r="CD312" s="1540"/>
      <c r="CE312" s="1540"/>
      <c r="CF312" s="1561"/>
      <c r="CG312" s="1579"/>
      <c r="CH312" s="1597"/>
      <c r="CI312" s="1598">
        <f t="shared" si="112"/>
        <v>864</v>
      </c>
      <c r="CJ312" s="1616"/>
      <c r="CK312" s="1616"/>
      <c r="CL312" s="1617">
        <f t="shared" si="102"/>
        <v>864</v>
      </c>
      <c r="CM312" s="1618"/>
      <c r="CN312" s="1619">
        <f t="shared" si="103"/>
        <v>864</v>
      </c>
    </row>
    <row r="313" spans="1:92" ht="21" thickBot="1">
      <c r="A313" s="551" t="s">
        <v>619</v>
      </c>
      <c r="B313" s="550"/>
      <c r="C313" s="549"/>
      <c r="D313" s="544">
        <v>46142</v>
      </c>
      <c r="E313" s="546"/>
      <c r="F313" s="1538"/>
      <c r="G313" s="1539"/>
      <c r="H313" s="1540"/>
      <c r="I313" s="1539"/>
      <c r="J313" s="1539"/>
      <c r="K313" s="1539"/>
      <c r="L313" s="1539"/>
      <c r="M313" s="1558"/>
      <c r="N313" s="1559"/>
      <c r="O313" s="1560"/>
      <c r="P313" s="1561"/>
      <c r="Q313" s="1561"/>
      <c r="R313" s="1561"/>
      <c r="S313" s="1561"/>
      <c r="T313" s="1561"/>
      <c r="U313" s="1540"/>
      <c r="V313" s="1572"/>
      <c r="W313" s="1573"/>
      <c r="X313" s="1560"/>
      <c r="Y313" s="1561"/>
      <c r="Z313" s="1561"/>
      <c r="AA313" s="1561"/>
      <c r="AB313" s="1561"/>
      <c r="AC313" s="1561"/>
      <c r="AD313" s="1540"/>
      <c r="AE313" s="1572"/>
      <c r="AF313" s="1573"/>
      <c r="AG313" s="1560"/>
      <c r="AH313" s="1561"/>
      <c r="AI313" s="1561"/>
      <c r="AJ313" s="1561"/>
      <c r="AK313" s="1561"/>
      <c r="AL313" s="1540"/>
      <c r="AM313" s="1577">
        <f>7*16</f>
        <v>112</v>
      </c>
      <c r="AN313" s="1581"/>
      <c r="AO313" s="1573"/>
      <c r="AP313" s="1560"/>
      <c r="AQ313" s="1561"/>
      <c r="AR313" s="1561"/>
      <c r="AS313" s="1561"/>
      <c r="AT313" s="1561"/>
      <c r="AU313" s="1561"/>
      <c r="AV313" s="1540"/>
      <c r="AW313" s="1579"/>
      <c r="AX313" s="1573"/>
      <c r="AY313" s="1560"/>
      <c r="AZ313" s="1561"/>
      <c r="BA313" s="1561"/>
      <c r="BB313" s="1561"/>
      <c r="BC313" s="1561"/>
      <c r="BD313" s="1561"/>
      <c r="BE313" s="1540"/>
      <c r="BF313" s="1579"/>
      <c r="BG313" s="1573"/>
      <c r="BH313" s="1560"/>
      <c r="BI313" s="1561"/>
      <c r="BJ313" s="1561">
        <f>5*16</f>
        <v>80</v>
      </c>
      <c r="BK313" s="1561"/>
      <c r="BL313" s="1561"/>
      <c r="BM313" s="1561"/>
      <c r="BN313" s="1540"/>
      <c r="BO313" s="1579"/>
      <c r="BP313" s="1573"/>
      <c r="BQ313" s="1560"/>
      <c r="BR313" s="1561"/>
      <c r="BS313" s="1561"/>
      <c r="BT313" s="1561"/>
      <c r="BU313" s="1561"/>
      <c r="BV313" s="1561"/>
      <c r="BW313" s="1540"/>
      <c r="BX313" s="1579"/>
      <c r="BY313" s="1573"/>
      <c r="BZ313" s="1560"/>
      <c r="CA313" s="1540"/>
      <c r="CB313" s="1540"/>
      <c r="CC313" s="1540"/>
      <c r="CD313" s="1540"/>
      <c r="CE313" s="1540"/>
      <c r="CF313" s="1561"/>
      <c r="CG313" s="1579"/>
      <c r="CH313" s="1597"/>
      <c r="CI313" s="1598">
        <f t="shared" si="112"/>
        <v>192</v>
      </c>
      <c r="CJ313" s="1616"/>
      <c r="CK313" s="1616"/>
      <c r="CL313" s="1617">
        <f t="shared" si="102"/>
        <v>192</v>
      </c>
      <c r="CM313" s="1618"/>
      <c r="CN313" s="1619">
        <f t="shared" si="103"/>
        <v>192</v>
      </c>
    </row>
    <row r="314" spans="1:92" ht="21" thickBot="1">
      <c r="A314" s="551"/>
      <c r="B314" s="550"/>
      <c r="C314" s="549"/>
      <c r="D314" s="544"/>
      <c r="E314" s="546"/>
      <c r="F314" s="1538"/>
      <c r="G314" s="1539"/>
      <c r="H314" s="1540"/>
      <c r="I314" s="1539"/>
      <c r="J314" s="1539"/>
      <c r="K314" s="1539"/>
      <c r="L314" s="1539"/>
      <c r="M314" s="1558"/>
      <c r="N314" s="1559"/>
      <c r="O314" s="1560"/>
      <c r="P314" s="1561"/>
      <c r="Q314" s="1561"/>
      <c r="R314" s="1561"/>
      <c r="S314" s="1561"/>
      <c r="T314" s="1561"/>
      <c r="U314" s="1540"/>
      <c r="V314" s="1572"/>
      <c r="W314" s="1573"/>
      <c r="X314" s="1560"/>
      <c r="Y314" s="1561"/>
      <c r="Z314" s="1561"/>
      <c r="AA314" s="1561"/>
      <c r="AB314" s="1561"/>
      <c r="AC314" s="1561"/>
      <c r="AD314" s="1540"/>
      <c r="AE314" s="1572"/>
      <c r="AF314" s="1573"/>
      <c r="AG314" s="1560"/>
      <c r="AH314" s="1561"/>
      <c r="AI314" s="1561"/>
      <c r="AJ314" s="1561"/>
      <c r="AK314" s="1561"/>
      <c r="AL314" s="1540"/>
      <c r="AM314" s="1577"/>
      <c r="AN314" s="1581"/>
      <c r="AO314" s="1573"/>
      <c r="AP314" s="1560"/>
      <c r="AQ314" s="1561"/>
      <c r="AR314" s="1561"/>
      <c r="AS314" s="1561"/>
      <c r="AT314" s="1561"/>
      <c r="AU314" s="1561"/>
      <c r="AV314" s="1540"/>
      <c r="AW314" s="1579"/>
      <c r="AX314" s="1573"/>
      <c r="AY314" s="1560"/>
      <c r="AZ314" s="1561"/>
      <c r="BA314" s="1561"/>
      <c r="BB314" s="1561"/>
      <c r="BC314" s="1561"/>
      <c r="BD314" s="1561"/>
      <c r="BE314" s="1540"/>
      <c r="BF314" s="1579"/>
      <c r="BG314" s="1573"/>
      <c r="BH314" s="1560"/>
      <c r="BI314" s="1561"/>
      <c r="BJ314" s="1561"/>
      <c r="BK314" s="1561"/>
      <c r="BL314" s="1561"/>
      <c r="BM314" s="1561"/>
      <c r="BN314" s="1540"/>
      <c r="BO314" s="1579"/>
      <c r="BP314" s="1573"/>
      <c r="BQ314" s="1560"/>
      <c r="BR314" s="1561"/>
      <c r="BS314" s="1561"/>
      <c r="BT314" s="1561"/>
      <c r="BU314" s="1561"/>
      <c r="BV314" s="1561"/>
      <c r="BW314" s="1540"/>
      <c r="BX314" s="1579"/>
      <c r="BY314" s="1573"/>
      <c r="BZ314" s="1560"/>
      <c r="CA314" s="1540"/>
      <c r="CB314" s="1540"/>
      <c r="CC314" s="1540"/>
      <c r="CD314" s="1540"/>
      <c r="CE314" s="1540"/>
      <c r="CF314" s="1561"/>
      <c r="CG314" s="1579"/>
      <c r="CH314" s="1597"/>
      <c r="CI314" s="1598">
        <f t="shared" si="112"/>
        <v>0</v>
      </c>
      <c r="CJ314" s="1616"/>
      <c r="CK314" s="1616"/>
      <c r="CL314" s="1617">
        <f t="shared" si="102"/>
        <v>0</v>
      </c>
      <c r="CM314" s="1618"/>
      <c r="CN314" s="1619">
        <f t="shared" si="103"/>
        <v>0</v>
      </c>
    </row>
    <row r="315" spans="1:92" ht="21" thickBot="1">
      <c r="A315" s="537"/>
      <c r="B315" s="550"/>
      <c r="C315" s="549"/>
      <c r="D315" s="544"/>
      <c r="E315" s="546"/>
      <c r="F315" s="1538"/>
      <c r="G315" s="1539"/>
      <c r="H315" s="1540"/>
      <c r="I315" s="1539"/>
      <c r="J315" s="1539"/>
      <c r="K315" s="1539"/>
      <c r="L315" s="1539"/>
      <c r="M315" s="1558"/>
      <c r="N315" s="1559"/>
      <c r="O315" s="1560"/>
      <c r="P315" s="1561"/>
      <c r="Q315" s="1561"/>
      <c r="R315" s="1561"/>
      <c r="S315" s="1561"/>
      <c r="T315" s="1561"/>
      <c r="U315" s="1540"/>
      <c r="V315" s="1572"/>
      <c r="W315" s="1573"/>
      <c r="X315" s="1560"/>
      <c r="Y315" s="1561"/>
      <c r="Z315" s="1561"/>
      <c r="AA315" s="1561"/>
      <c r="AB315" s="1561"/>
      <c r="AC315" s="1561"/>
      <c r="AD315" s="1540"/>
      <c r="AE315" s="1572"/>
      <c r="AF315" s="1573"/>
      <c r="AG315" s="1560"/>
      <c r="AH315" s="1561"/>
      <c r="AI315" s="1561"/>
      <c r="AJ315" s="1561"/>
      <c r="AK315" s="1561"/>
      <c r="AL315" s="1540"/>
      <c r="AM315" s="1577"/>
      <c r="AN315" s="1581"/>
      <c r="AO315" s="1573"/>
      <c r="AP315" s="1560"/>
      <c r="AQ315" s="1561"/>
      <c r="AR315" s="1561"/>
      <c r="AS315" s="1561"/>
      <c r="AT315" s="1561"/>
      <c r="AU315" s="1561"/>
      <c r="AV315" s="1540"/>
      <c r="AW315" s="1579"/>
      <c r="AX315" s="1573"/>
      <c r="AY315" s="1560"/>
      <c r="AZ315" s="1561"/>
      <c r="BA315" s="1561"/>
      <c r="BB315" s="1561"/>
      <c r="BC315" s="1561"/>
      <c r="BD315" s="1561"/>
      <c r="BE315" s="1540"/>
      <c r="BF315" s="1579"/>
      <c r="BG315" s="1573"/>
      <c r="BH315" s="1560"/>
      <c r="BI315" s="1561"/>
      <c r="BJ315" s="1561"/>
      <c r="BK315" s="1561"/>
      <c r="BL315" s="1561"/>
      <c r="BM315" s="1561"/>
      <c r="BN315" s="1540"/>
      <c r="BO315" s="1579"/>
      <c r="BP315" s="1573"/>
      <c r="BQ315" s="1560"/>
      <c r="BR315" s="1561"/>
      <c r="BS315" s="1561"/>
      <c r="BT315" s="1561"/>
      <c r="BU315" s="1561"/>
      <c r="BV315" s="1561"/>
      <c r="BW315" s="1540"/>
      <c r="BX315" s="1579"/>
      <c r="BY315" s="1573"/>
      <c r="BZ315" s="1560"/>
      <c r="CA315" s="1540"/>
      <c r="CB315" s="1540"/>
      <c r="CC315" s="1540"/>
      <c r="CD315" s="1540"/>
      <c r="CE315" s="1540"/>
      <c r="CF315" s="1561"/>
      <c r="CG315" s="1579"/>
      <c r="CH315" s="1597"/>
      <c r="CI315" s="1598">
        <f t="shared" si="112"/>
        <v>0</v>
      </c>
      <c r="CJ315" s="1616"/>
      <c r="CK315" s="1616"/>
      <c r="CL315" s="1617">
        <f t="shared" si="102"/>
        <v>0</v>
      </c>
      <c r="CM315" s="1618"/>
      <c r="CN315" s="1619">
        <f t="shared" si="103"/>
        <v>0</v>
      </c>
    </row>
    <row r="316" spans="1:92" ht="21" thickBot="1">
      <c r="A316" s="537"/>
      <c r="B316" s="550"/>
      <c r="C316" s="549"/>
      <c r="D316" s="544"/>
      <c r="E316" s="546"/>
      <c r="F316" s="1538"/>
      <c r="G316" s="1539"/>
      <c r="H316" s="1540"/>
      <c r="I316" s="1539"/>
      <c r="J316" s="1539"/>
      <c r="K316" s="1539"/>
      <c r="L316" s="1539"/>
      <c r="M316" s="1558"/>
      <c r="N316" s="1559"/>
      <c r="O316" s="1560"/>
      <c r="P316" s="1561"/>
      <c r="Q316" s="1561"/>
      <c r="R316" s="1561"/>
      <c r="S316" s="1561"/>
      <c r="T316" s="1561"/>
      <c r="U316" s="1540"/>
      <c r="V316" s="1572"/>
      <c r="W316" s="1573"/>
      <c r="X316" s="1560"/>
      <c r="Y316" s="1561"/>
      <c r="Z316" s="1561"/>
      <c r="AA316" s="1561"/>
      <c r="AB316" s="1561"/>
      <c r="AC316" s="1561"/>
      <c r="AD316" s="1540"/>
      <c r="AE316" s="1572"/>
      <c r="AF316" s="1573"/>
      <c r="AG316" s="1560"/>
      <c r="AH316" s="1561"/>
      <c r="AI316" s="1561"/>
      <c r="AJ316" s="1561"/>
      <c r="AK316" s="1561"/>
      <c r="AL316" s="1540"/>
      <c r="AM316" s="1577"/>
      <c r="AN316" s="1581"/>
      <c r="AO316" s="1573"/>
      <c r="AP316" s="1560"/>
      <c r="AQ316" s="1561"/>
      <c r="AR316" s="1561"/>
      <c r="AS316" s="1561"/>
      <c r="AT316" s="1561"/>
      <c r="AU316" s="1561"/>
      <c r="AV316" s="1540"/>
      <c r="AW316" s="1579"/>
      <c r="AX316" s="1573"/>
      <c r="AY316" s="1560"/>
      <c r="AZ316" s="1561"/>
      <c r="BA316" s="1561"/>
      <c r="BB316" s="1561"/>
      <c r="BC316" s="1561"/>
      <c r="BD316" s="1561"/>
      <c r="BE316" s="1540"/>
      <c r="BF316" s="1579"/>
      <c r="BG316" s="1573"/>
      <c r="BH316" s="1560"/>
      <c r="BI316" s="1561"/>
      <c r="BJ316" s="1561"/>
      <c r="BK316" s="1561"/>
      <c r="BL316" s="1561"/>
      <c r="BM316" s="1561"/>
      <c r="BN316" s="1540"/>
      <c r="BO316" s="1579"/>
      <c r="BP316" s="1573"/>
      <c r="BQ316" s="1560"/>
      <c r="BR316" s="1561"/>
      <c r="BS316" s="1561"/>
      <c r="BT316" s="1561"/>
      <c r="BU316" s="1561"/>
      <c r="BV316" s="1561"/>
      <c r="BW316" s="1540"/>
      <c r="BX316" s="1579"/>
      <c r="BY316" s="1573"/>
      <c r="BZ316" s="1560"/>
      <c r="CA316" s="1540"/>
      <c r="CB316" s="1540"/>
      <c r="CC316" s="1540"/>
      <c r="CD316" s="1540"/>
      <c r="CE316" s="1540"/>
      <c r="CF316" s="1561"/>
      <c r="CG316" s="1579"/>
      <c r="CH316" s="1597"/>
      <c r="CI316" s="1598">
        <f t="shared" si="112"/>
        <v>0</v>
      </c>
      <c r="CJ316" s="1616"/>
      <c r="CK316" s="1616"/>
      <c r="CL316" s="1617">
        <f t="shared" ref="CL316:CL349" si="113">CI316+CJ316+CK316</f>
        <v>0</v>
      </c>
      <c r="CM316" s="1618"/>
      <c r="CN316" s="1619">
        <f t="shared" ref="CN316:CN349" si="114">CL316+CM316</f>
        <v>0</v>
      </c>
    </row>
    <row r="317" spans="1:92" ht="21" thickBot="1">
      <c r="A317" s="551"/>
      <c r="B317" s="550"/>
      <c r="C317" s="549"/>
      <c r="D317" s="544"/>
      <c r="E317" s="546"/>
      <c r="F317" s="1538"/>
      <c r="G317" s="1539"/>
      <c r="H317" s="1540"/>
      <c r="I317" s="1539"/>
      <c r="J317" s="1539"/>
      <c r="K317" s="1539"/>
      <c r="L317" s="1539"/>
      <c r="M317" s="1558"/>
      <c r="N317" s="1559"/>
      <c r="O317" s="1560"/>
      <c r="P317" s="1561"/>
      <c r="Q317" s="1561"/>
      <c r="R317" s="1561"/>
      <c r="S317" s="1561"/>
      <c r="T317" s="1561"/>
      <c r="U317" s="1540"/>
      <c r="V317" s="1572"/>
      <c r="W317" s="1573"/>
      <c r="X317" s="1560"/>
      <c r="Y317" s="1561"/>
      <c r="Z317" s="1561"/>
      <c r="AA317" s="1561"/>
      <c r="AB317" s="1561"/>
      <c r="AC317" s="1561"/>
      <c r="AD317" s="1540"/>
      <c r="AE317" s="1572"/>
      <c r="AF317" s="1573"/>
      <c r="AG317" s="1560"/>
      <c r="AH317" s="1561"/>
      <c r="AI317" s="1561"/>
      <c r="AJ317" s="1561"/>
      <c r="AK317" s="1561"/>
      <c r="AL317" s="1540"/>
      <c r="AM317" s="1577"/>
      <c r="AN317" s="1581"/>
      <c r="AO317" s="1573"/>
      <c r="AP317" s="1560"/>
      <c r="AQ317" s="1561"/>
      <c r="AR317" s="1561"/>
      <c r="AS317" s="1561"/>
      <c r="AT317" s="1561"/>
      <c r="AU317" s="1561"/>
      <c r="AV317" s="1540"/>
      <c r="AW317" s="1579"/>
      <c r="AX317" s="1573"/>
      <c r="AY317" s="1560"/>
      <c r="AZ317" s="1561"/>
      <c r="BA317" s="1561"/>
      <c r="BB317" s="1561"/>
      <c r="BC317" s="1561"/>
      <c r="BD317" s="1561"/>
      <c r="BE317" s="1540"/>
      <c r="BF317" s="1579"/>
      <c r="BG317" s="1573"/>
      <c r="BH317" s="1560"/>
      <c r="BI317" s="1561"/>
      <c r="BJ317" s="1561"/>
      <c r="BK317" s="1561"/>
      <c r="BL317" s="1561"/>
      <c r="BM317" s="1561"/>
      <c r="BN317" s="1540"/>
      <c r="BO317" s="1579"/>
      <c r="BP317" s="1573"/>
      <c r="BQ317" s="1560"/>
      <c r="BR317" s="1561"/>
      <c r="BS317" s="1561"/>
      <c r="BT317" s="1561"/>
      <c r="BU317" s="1561"/>
      <c r="BV317" s="1561"/>
      <c r="BW317" s="1540"/>
      <c r="BX317" s="1579"/>
      <c r="BY317" s="1573"/>
      <c r="BZ317" s="1560"/>
      <c r="CA317" s="1540"/>
      <c r="CB317" s="1540"/>
      <c r="CC317" s="1540"/>
      <c r="CD317" s="1540"/>
      <c r="CE317" s="1540"/>
      <c r="CF317" s="1561"/>
      <c r="CG317" s="1579"/>
      <c r="CH317" s="1597"/>
      <c r="CI317" s="1598">
        <f t="shared" ref="CI317:CI349" si="115">SUM(F317:CG317)</f>
        <v>0</v>
      </c>
      <c r="CJ317" s="1616"/>
      <c r="CK317" s="1616"/>
      <c r="CL317" s="1617">
        <f t="shared" si="113"/>
        <v>0</v>
      </c>
      <c r="CM317" s="1618"/>
      <c r="CN317" s="1619">
        <f t="shared" si="114"/>
        <v>0</v>
      </c>
    </row>
    <row r="318" spans="1:92" ht="21" thickBot="1">
      <c r="A318" s="551"/>
      <c r="B318" s="550"/>
      <c r="C318" s="549"/>
      <c r="D318" s="544"/>
      <c r="E318" s="546"/>
      <c r="F318" s="1538"/>
      <c r="G318" s="1539"/>
      <c r="H318" s="1540"/>
      <c r="I318" s="1539"/>
      <c r="J318" s="1539"/>
      <c r="K318" s="1539"/>
      <c r="L318" s="1539"/>
      <c r="M318" s="1558"/>
      <c r="N318" s="1559"/>
      <c r="O318" s="1560"/>
      <c r="P318" s="1561"/>
      <c r="Q318" s="1561"/>
      <c r="R318" s="1561"/>
      <c r="S318" s="1561"/>
      <c r="T318" s="1561"/>
      <c r="U318" s="1540"/>
      <c r="V318" s="1572"/>
      <c r="W318" s="1573"/>
      <c r="X318" s="1560"/>
      <c r="Y318" s="1561"/>
      <c r="Z318" s="1561"/>
      <c r="AA318" s="1561"/>
      <c r="AB318" s="1561"/>
      <c r="AC318" s="1561"/>
      <c r="AD318" s="1540"/>
      <c r="AE318" s="1572"/>
      <c r="AF318" s="1573"/>
      <c r="AG318" s="1560"/>
      <c r="AH318" s="1561"/>
      <c r="AI318" s="1561"/>
      <c r="AJ318" s="1561"/>
      <c r="AK318" s="1561"/>
      <c r="AL318" s="1540"/>
      <c r="AM318" s="1577"/>
      <c r="AN318" s="1581"/>
      <c r="AO318" s="1573"/>
      <c r="AP318" s="1560"/>
      <c r="AQ318" s="1561"/>
      <c r="AR318" s="1561"/>
      <c r="AS318" s="1561"/>
      <c r="AT318" s="1561"/>
      <c r="AU318" s="1561"/>
      <c r="AV318" s="1540"/>
      <c r="AW318" s="1579"/>
      <c r="AX318" s="1573"/>
      <c r="AY318" s="1560"/>
      <c r="AZ318" s="1561"/>
      <c r="BA318" s="1561"/>
      <c r="BB318" s="1561"/>
      <c r="BC318" s="1561"/>
      <c r="BD318" s="1561"/>
      <c r="BE318" s="1540"/>
      <c r="BF318" s="1579"/>
      <c r="BG318" s="1573"/>
      <c r="BH318" s="1560"/>
      <c r="BI318" s="1561"/>
      <c r="BJ318" s="1561"/>
      <c r="BK318" s="1561"/>
      <c r="BL318" s="1561"/>
      <c r="BM318" s="1561"/>
      <c r="BN318" s="1540"/>
      <c r="BO318" s="1579"/>
      <c r="BP318" s="1573"/>
      <c r="BQ318" s="1560"/>
      <c r="BR318" s="1561"/>
      <c r="BS318" s="1561"/>
      <c r="BT318" s="1561"/>
      <c r="BU318" s="1561"/>
      <c r="BV318" s="1561"/>
      <c r="BW318" s="1540"/>
      <c r="BX318" s="1579"/>
      <c r="BY318" s="1573"/>
      <c r="BZ318" s="1560"/>
      <c r="CA318" s="1540"/>
      <c r="CB318" s="1540"/>
      <c r="CC318" s="1540"/>
      <c r="CD318" s="1540"/>
      <c r="CE318" s="1540"/>
      <c r="CF318" s="1561"/>
      <c r="CG318" s="1579"/>
      <c r="CH318" s="1597"/>
      <c r="CI318" s="1598">
        <f t="shared" si="115"/>
        <v>0</v>
      </c>
      <c r="CJ318" s="1616"/>
      <c r="CK318" s="1616"/>
      <c r="CL318" s="1617">
        <f t="shared" si="113"/>
        <v>0</v>
      </c>
      <c r="CM318" s="1618"/>
      <c r="CN318" s="1619">
        <f t="shared" si="114"/>
        <v>0</v>
      </c>
    </row>
    <row r="319" spans="1:92" ht="21" thickBot="1">
      <c r="A319" s="537"/>
      <c r="B319" s="550"/>
      <c r="C319" s="549"/>
      <c r="D319" s="544"/>
      <c r="E319" s="546"/>
      <c r="F319" s="1538"/>
      <c r="G319" s="1539"/>
      <c r="H319" s="1540"/>
      <c r="I319" s="1539"/>
      <c r="J319" s="1539"/>
      <c r="K319" s="1539"/>
      <c r="L319" s="1539"/>
      <c r="M319" s="1558"/>
      <c r="N319" s="1559"/>
      <c r="O319" s="1560"/>
      <c r="P319" s="1561"/>
      <c r="Q319" s="1561"/>
      <c r="R319" s="1561"/>
      <c r="S319" s="1561"/>
      <c r="T319" s="1561"/>
      <c r="U319" s="1540"/>
      <c r="V319" s="1572"/>
      <c r="W319" s="1573"/>
      <c r="X319" s="1560"/>
      <c r="Y319" s="1561"/>
      <c r="Z319" s="1561"/>
      <c r="AA319" s="1561"/>
      <c r="AB319" s="1561"/>
      <c r="AC319" s="1561"/>
      <c r="AD319" s="1540"/>
      <c r="AE319" s="1572"/>
      <c r="AF319" s="1573"/>
      <c r="AG319" s="1560"/>
      <c r="AH319" s="1561"/>
      <c r="AI319" s="1561"/>
      <c r="AJ319" s="1561"/>
      <c r="AK319" s="1561"/>
      <c r="AL319" s="1540"/>
      <c r="AM319" s="1577"/>
      <c r="AN319" s="1581"/>
      <c r="AO319" s="1573"/>
      <c r="AP319" s="1560"/>
      <c r="AQ319" s="1561"/>
      <c r="AR319" s="1561"/>
      <c r="AS319" s="1561"/>
      <c r="AT319" s="1561"/>
      <c r="AU319" s="1561"/>
      <c r="AV319" s="1540"/>
      <c r="AW319" s="1579"/>
      <c r="AX319" s="1573"/>
      <c r="AY319" s="1560"/>
      <c r="AZ319" s="1561"/>
      <c r="BA319" s="1561"/>
      <c r="BB319" s="1561"/>
      <c r="BC319" s="1561"/>
      <c r="BD319" s="1561"/>
      <c r="BE319" s="1540"/>
      <c r="BF319" s="1579"/>
      <c r="BG319" s="1573"/>
      <c r="BH319" s="1560"/>
      <c r="BI319" s="1561"/>
      <c r="BJ319" s="1561"/>
      <c r="BK319" s="1561"/>
      <c r="BL319" s="1561"/>
      <c r="BM319" s="1561"/>
      <c r="BN319" s="1540"/>
      <c r="BO319" s="1579"/>
      <c r="BP319" s="1573"/>
      <c r="BQ319" s="1560"/>
      <c r="BR319" s="1561"/>
      <c r="BS319" s="1561"/>
      <c r="BT319" s="1561"/>
      <c r="BU319" s="1561"/>
      <c r="BV319" s="1561"/>
      <c r="BW319" s="1540"/>
      <c r="BX319" s="1579"/>
      <c r="BY319" s="1573"/>
      <c r="BZ319" s="1560"/>
      <c r="CA319" s="1540"/>
      <c r="CB319" s="1540"/>
      <c r="CC319" s="1540"/>
      <c r="CD319" s="1540"/>
      <c r="CE319" s="1540"/>
      <c r="CF319" s="1561"/>
      <c r="CG319" s="1579"/>
      <c r="CH319" s="1597"/>
      <c r="CI319" s="1598">
        <f t="shared" si="115"/>
        <v>0</v>
      </c>
      <c r="CJ319" s="1616"/>
      <c r="CK319" s="1616"/>
      <c r="CL319" s="1617">
        <f t="shared" si="113"/>
        <v>0</v>
      </c>
      <c r="CM319" s="1618"/>
      <c r="CN319" s="1619">
        <f t="shared" si="114"/>
        <v>0</v>
      </c>
    </row>
    <row r="320" spans="1:92" ht="21" thickBot="1">
      <c r="A320" s="1111"/>
      <c r="B320" s="550"/>
      <c r="C320" s="549"/>
      <c r="D320" s="544"/>
      <c r="E320" s="546"/>
      <c r="F320" s="1538"/>
      <c r="G320" s="1539"/>
      <c r="H320" s="1540"/>
      <c r="I320" s="1539"/>
      <c r="J320" s="1539"/>
      <c r="K320" s="1539"/>
      <c r="L320" s="1539"/>
      <c r="M320" s="1558"/>
      <c r="N320" s="1559"/>
      <c r="O320" s="1560"/>
      <c r="P320" s="1561"/>
      <c r="Q320" s="1561"/>
      <c r="R320" s="1561"/>
      <c r="S320" s="1561"/>
      <c r="T320" s="1561"/>
      <c r="U320" s="1540"/>
      <c r="V320" s="1572"/>
      <c r="W320" s="1573"/>
      <c r="X320" s="1560"/>
      <c r="Y320" s="1561"/>
      <c r="Z320" s="1561"/>
      <c r="AA320" s="1561"/>
      <c r="AB320" s="1561"/>
      <c r="AC320" s="1561"/>
      <c r="AD320" s="1540"/>
      <c r="AE320" s="1572"/>
      <c r="AF320" s="1573"/>
      <c r="AG320" s="1560"/>
      <c r="AH320" s="1561"/>
      <c r="AI320" s="1561"/>
      <c r="AJ320" s="1561"/>
      <c r="AK320" s="1561"/>
      <c r="AL320" s="1540"/>
      <c r="AM320" s="1577"/>
      <c r="AN320" s="1581"/>
      <c r="AO320" s="1573"/>
      <c r="AP320" s="1560"/>
      <c r="AQ320" s="1561"/>
      <c r="AR320" s="1561"/>
      <c r="AS320" s="1561"/>
      <c r="AT320" s="1561"/>
      <c r="AU320" s="1561"/>
      <c r="AV320" s="1540"/>
      <c r="AW320" s="1579"/>
      <c r="AX320" s="1573"/>
      <c r="AY320" s="1560"/>
      <c r="AZ320" s="1561"/>
      <c r="BA320" s="1561"/>
      <c r="BB320" s="1561"/>
      <c r="BC320" s="1561"/>
      <c r="BD320" s="1561"/>
      <c r="BE320" s="1540"/>
      <c r="BF320" s="1579"/>
      <c r="BG320" s="1573"/>
      <c r="BH320" s="1560"/>
      <c r="BI320" s="1561"/>
      <c r="BJ320" s="1561"/>
      <c r="BK320" s="1561"/>
      <c r="BL320" s="1561"/>
      <c r="BM320" s="1561"/>
      <c r="BN320" s="1540"/>
      <c r="BO320" s="1579"/>
      <c r="BP320" s="1573"/>
      <c r="BQ320" s="1560"/>
      <c r="BR320" s="1561"/>
      <c r="BS320" s="545"/>
      <c r="BT320" s="1561"/>
      <c r="BU320" s="1561"/>
      <c r="BV320" s="1561"/>
      <c r="BW320" s="1540"/>
      <c r="BX320" s="1579"/>
      <c r="BY320" s="1573"/>
      <c r="BZ320" s="1560"/>
      <c r="CA320" s="1540"/>
      <c r="CB320" s="1540"/>
      <c r="CC320" s="1540"/>
      <c r="CD320" s="1540"/>
      <c r="CE320" s="1540"/>
      <c r="CF320" s="1561"/>
      <c r="CG320" s="1579"/>
      <c r="CH320" s="1597"/>
      <c r="CI320" s="1598">
        <f t="shared" si="115"/>
        <v>0</v>
      </c>
      <c r="CJ320" s="1616"/>
      <c r="CK320" s="1616"/>
      <c r="CL320" s="1617">
        <f t="shared" si="113"/>
        <v>0</v>
      </c>
      <c r="CM320" s="1618"/>
      <c r="CN320" s="1619">
        <f t="shared" si="114"/>
        <v>0</v>
      </c>
    </row>
    <row r="321" spans="1:92" ht="21" thickBot="1">
      <c r="A321" s="537"/>
      <c r="B321" s="550"/>
      <c r="C321" s="549"/>
      <c r="D321" s="544"/>
      <c r="E321" s="546"/>
      <c r="F321" s="1538"/>
      <c r="G321" s="1539"/>
      <c r="H321" s="1540"/>
      <c r="I321" s="1539"/>
      <c r="J321" s="1539"/>
      <c r="K321" s="1539"/>
      <c r="L321" s="1539"/>
      <c r="M321" s="1558"/>
      <c r="N321" s="1559"/>
      <c r="O321" s="1560"/>
      <c r="P321" s="1561"/>
      <c r="Q321" s="1561"/>
      <c r="R321" s="1561"/>
      <c r="S321" s="1561"/>
      <c r="T321" s="1561"/>
      <c r="U321" s="1540"/>
      <c r="V321" s="1572"/>
      <c r="W321" s="1573"/>
      <c r="X321" s="1560"/>
      <c r="Y321" s="1561"/>
      <c r="Z321" s="1561"/>
      <c r="AA321" s="1561"/>
      <c r="AB321" s="1561"/>
      <c r="AC321" s="1561"/>
      <c r="AD321" s="1540"/>
      <c r="AE321" s="1572"/>
      <c r="AF321" s="1573"/>
      <c r="AG321" s="1560"/>
      <c r="AH321" s="1561"/>
      <c r="AI321" s="1561"/>
      <c r="AJ321" s="1561"/>
      <c r="AK321" s="1561"/>
      <c r="AL321" s="1540"/>
      <c r="AM321" s="1577"/>
      <c r="AN321" s="1581"/>
      <c r="AO321" s="1573"/>
      <c r="AP321" s="1560"/>
      <c r="AQ321" s="1561"/>
      <c r="AR321" s="1561"/>
      <c r="AS321" s="1561"/>
      <c r="AT321" s="1561"/>
      <c r="AU321" s="1561"/>
      <c r="AV321" s="1540"/>
      <c r="AW321" s="1579"/>
      <c r="AX321" s="1573"/>
      <c r="AY321" s="1560"/>
      <c r="AZ321" s="1561"/>
      <c r="BA321" s="1561"/>
      <c r="BB321" s="1561"/>
      <c r="BC321" s="1561"/>
      <c r="BD321" s="1561"/>
      <c r="BE321" s="1540"/>
      <c r="BF321" s="1579"/>
      <c r="BG321" s="1573"/>
      <c r="BH321" s="1560"/>
      <c r="BI321" s="1561"/>
      <c r="BJ321" s="1561"/>
      <c r="BK321" s="1561"/>
      <c r="BL321" s="1561"/>
      <c r="BM321" s="1561"/>
      <c r="BN321" s="1540"/>
      <c r="BO321" s="1579"/>
      <c r="BP321" s="1573"/>
      <c r="BQ321" s="1560"/>
      <c r="BR321" s="1561"/>
      <c r="BS321" s="1561"/>
      <c r="BT321" s="1561"/>
      <c r="BU321" s="1561"/>
      <c r="BV321" s="1561"/>
      <c r="BW321" s="1540"/>
      <c r="BX321" s="1579"/>
      <c r="BY321" s="1573"/>
      <c r="BZ321" s="1560"/>
      <c r="CA321" s="1540"/>
      <c r="CB321" s="1540"/>
      <c r="CC321" s="1540"/>
      <c r="CD321" s="1540"/>
      <c r="CE321" s="1540"/>
      <c r="CF321" s="1561"/>
      <c r="CG321" s="1579"/>
      <c r="CH321" s="1597"/>
      <c r="CI321" s="1598">
        <f t="shared" ref="CI321" si="116">SUM(F321:CG321)</f>
        <v>0</v>
      </c>
      <c r="CJ321" s="1616"/>
      <c r="CK321" s="1616"/>
      <c r="CL321" s="1617">
        <f t="shared" ref="CL321" si="117">CI321+CJ321+CK321</f>
        <v>0</v>
      </c>
      <c r="CM321" s="1618"/>
      <c r="CN321" s="1619">
        <f t="shared" ref="CN321" si="118">CL321+CM321</f>
        <v>0</v>
      </c>
    </row>
    <row r="322" spans="1:92" ht="21" thickBot="1">
      <c r="A322" s="537"/>
      <c r="B322" s="1112"/>
      <c r="C322" s="1113"/>
      <c r="D322" s="1114"/>
      <c r="E322" s="546"/>
      <c r="F322" s="1538"/>
      <c r="G322" s="1539"/>
      <c r="H322" s="1540"/>
      <c r="I322" s="1539"/>
      <c r="J322" s="1539"/>
      <c r="K322" s="1539"/>
      <c r="L322" s="1539"/>
      <c r="M322" s="1558"/>
      <c r="N322" s="1559"/>
      <c r="O322" s="1560"/>
      <c r="P322" s="1561"/>
      <c r="Q322" s="1561"/>
      <c r="R322" s="1561"/>
      <c r="S322" s="1561"/>
      <c r="T322" s="1561"/>
      <c r="U322" s="1540"/>
      <c r="V322" s="1572"/>
      <c r="W322" s="1573"/>
      <c r="X322" s="1560"/>
      <c r="Y322" s="1561"/>
      <c r="Z322" s="1561"/>
      <c r="AA322" s="1561"/>
      <c r="AB322" s="1561"/>
      <c r="AC322" s="1561"/>
      <c r="AD322" s="1540"/>
      <c r="AE322" s="1572"/>
      <c r="AF322" s="1573"/>
      <c r="AG322" s="1560"/>
      <c r="AH322" s="1561"/>
      <c r="AI322" s="1561"/>
      <c r="AJ322" s="1561"/>
      <c r="AK322" s="1561"/>
      <c r="AL322" s="1540"/>
      <c r="AM322" s="1577"/>
      <c r="AN322" s="1581"/>
      <c r="AO322" s="1573"/>
      <c r="AP322" s="1560"/>
      <c r="AQ322" s="1561"/>
      <c r="AR322" s="1561"/>
      <c r="AS322" s="1561"/>
      <c r="AT322" s="1561"/>
      <c r="AU322" s="1561"/>
      <c r="AV322" s="1540"/>
      <c r="AW322" s="1579"/>
      <c r="AX322" s="1573"/>
      <c r="AY322" s="1560"/>
      <c r="AZ322" s="1561"/>
      <c r="BA322" s="1561"/>
      <c r="BB322" s="1561"/>
      <c r="BC322" s="1561"/>
      <c r="BD322" s="1561"/>
      <c r="BE322" s="1540"/>
      <c r="BF322" s="1579"/>
      <c r="BG322" s="1573"/>
      <c r="BH322" s="1560"/>
      <c r="BI322" s="1561"/>
      <c r="BJ322" s="1561"/>
      <c r="BK322" s="1561"/>
      <c r="BL322" s="1561"/>
      <c r="BM322" s="1561"/>
      <c r="BN322" s="1540"/>
      <c r="BO322" s="1579"/>
      <c r="BP322" s="1573"/>
      <c r="BQ322" s="1560"/>
      <c r="BR322" s="1561"/>
      <c r="BS322" s="1561"/>
      <c r="BT322" s="1561"/>
      <c r="BU322" s="1561"/>
      <c r="BV322" s="1561"/>
      <c r="BW322" s="1540"/>
      <c r="BX322" s="1579"/>
      <c r="BY322" s="1573"/>
      <c r="BZ322" s="1560"/>
      <c r="CA322" s="1540"/>
      <c r="CB322" s="1540"/>
      <c r="CC322" s="1540"/>
      <c r="CD322" s="1540"/>
      <c r="CE322" s="1540"/>
      <c r="CF322" s="1561"/>
      <c r="CG322" s="1579"/>
      <c r="CH322" s="1597"/>
      <c r="CI322" s="1598">
        <f t="shared" si="115"/>
        <v>0</v>
      </c>
      <c r="CJ322" s="1616"/>
      <c r="CK322" s="1616"/>
      <c r="CL322" s="1617">
        <f t="shared" si="113"/>
        <v>0</v>
      </c>
      <c r="CM322" s="1618"/>
      <c r="CN322" s="1619">
        <f t="shared" si="114"/>
        <v>0</v>
      </c>
    </row>
    <row r="323" spans="1:92" ht="21" thickBot="1">
      <c r="A323" s="537"/>
      <c r="B323" s="550"/>
      <c r="C323" s="549"/>
      <c r="D323" s="544"/>
      <c r="E323" s="546"/>
      <c r="F323" s="1538"/>
      <c r="G323" s="1539"/>
      <c r="H323" s="1540"/>
      <c r="I323" s="1539"/>
      <c r="J323" s="1539"/>
      <c r="K323" s="1539"/>
      <c r="L323" s="1539"/>
      <c r="M323" s="1558"/>
      <c r="N323" s="1559"/>
      <c r="O323" s="1560"/>
      <c r="P323" s="1561"/>
      <c r="Q323" s="1561"/>
      <c r="R323" s="1561"/>
      <c r="S323" s="1561"/>
      <c r="T323" s="1561"/>
      <c r="U323" s="1540"/>
      <c r="V323" s="1572"/>
      <c r="W323" s="1573"/>
      <c r="X323" s="1560"/>
      <c r="Y323" s="1561"/>
      <c r="Z323" s="1561"/>
      <c r="AA323" s="1561"/>
      <c r="AB323" s="1561"/>
      <c r="AC323" s="1561"/>
      <c r="AD323" s="1540"/>
      <c r="AE323" s="1572"/>
      <c r="AF323" s="1573"/>
      <c r="AG323" s="1560"/>
      <c r="AH323" s="1561"/>
      <c r="AI323" s="1561"/>
      <c r="AJ323" s="1561"/>
      <c r="AK323" s="1561"/>
      <c r="AL323" s="1540"/>
      <c r="AM323" s="1577"/>
      <c r="AN323" s="1581"/>
      <c r="AO323" s="1573"/>
      <c r="AP323" s="1560"/>
      <c r="AQ323" s="1561"/>
      <c r="AR323" s="1561"/>
      <c r="AS323" s="1561"/>
      <c r="AT323" s="1561"/>
      <c r="AU323" s="1561"/>
      <c r="AV323" s="1540"/>
      <c r="AW323" s="1579"/>
      <c r="AX323" s="1573"/>
      <c r="AY323" s="1560"/>
      <c r="AZ323" s="1561"/>
      <c r="BA323" s="1561"/>
      <c r="BB323" s="1561"/>
      <c r="BC323" s="1561"/>
      <c r="BD323" s="1561"/>
      <c r="BE323" s="1540"/>
      <c r="BF323" s="1579"/>
      <c r="BG323" s="1573"/>
      <c r="BH323" s="1560"/>
      <c r="BI323" s="1561"/>
      <c r="BJ323" s="1561"/>
      <c r="BK323" s="1561"/>
      <c r="BL323" s="1561"/>
      <c r="BM323" s="1561"/>
      <c r="BN323" s="1540"/>
      <c r="BO323" s="1579"/>
      <c r="BP323" s="1573"/>
      <c r="BQ323" s="1560"/>
      <c r="BR323" s="1561"/>
      <c r="BS323" s="1561"/>
      <c r="BT323" s="1561"/>
      <c r="BU323" s="1561"/>
      <c r="BV323" s="1561"/>
      <c r="BW323" s="1540"/>
      <c r="BX323" s="1579"/>
      <c r="BY323" s="1573"/>
      <c r="BZ323" s="1560"/>
      <c r="CA323" s="1540"/>
      <c r="CB323" s="1540"/>
      <c r="CC323" s="1540"/>
      <c r="CD323" s="1540"/>
      <c r="CE323" s="1540"/>
      <c r="CF323" s="1561"/>
      <c r="CG323" s="1579"/>
      <c r="CH323" s="1597"/>
      <c r="CI323" s="1598">
        <f t="shared" si="115"/>
        <v>0</v>
      </c>
      <c r="CJ323" s="1616"/>
      <c r="CK323" s="1616"/>
      <c r="CL323" s="1617">
        <f t="shared" si="113"/>
        <v>0</v>
      </c>
      <c r="CM323" s="1618"/>
      <c r="CN323" s="1619">
        <f t="shared" si="114"/>
        <v>0</v>
      </c>
    </row>
    <row r="324" spans="1:92" ht="21" thickBot="1">
      <c r="A324" s="537"/>
      <c r="B324" s="550"/>
      <c r="C324" s="549"/>
      <c r="D324" s="544"/>
      <c r="E324" s="546"/>
      <c r="F324" s="1538"/>
      <c r="G324" s="1539"/>
      <c r="H324" s="1540"/>
      <c r="I324" s="1539"/>
      <c r="J324" s="1539"/>
      <c r="K324" s="1539"/>
      <c r="L324" s="1539"/>
      <c r="M324" s="1558"/>
      <c r="N324" s="1559"/>
      <c r="O324" s="1560"/>
      <c r="P324" s="1561"/>
      <c r="Q324" s="1561"/>
      <c r="R324" s="1561"/>
      <c r="S324" s="1561"/>
      <c r="T324" s="1561"/>
      <c r="U324" s="1540"/>
      <c r="V324" s="1572"/>
      <c r="W324" s="1573"/>
      <c r="X324" s="1560"/>
      <c r="Y324" s="1561"/>
      <c r="Z324" s="1561"/>
      <c r="AA324" s="1561"/>
      <c r="AB324" s="1561"/>
      <c r="AC324" s="1561"/>
      <c r="AD324" s="1540"/>
      <c r="AE324" s="1572"/>
      <c r="AF324" s="1573"/>
      <c r="AG324" s="1560"/>
      <c r="AH324" s="1561"/>
      <c r="AI324" s="1561"/>
      <c r="AJ324" s="1561"/>
      <c r="AK324" s="1561"/>
      <c r="AL324" s="1540"/>
      <c r="AM324" s="1577"/>
      <c r="AN324" s="1581"/>
      <c r="AO324" s="1573"/>
      <c r="AP324" s="1560"/>
      <c r="AQ324" s="1561"/>
      <c r="AR324" s="1561"/>
      <c r="AS324" s="1561"/>
      <c r="AT324" s="1561"/>
      <c r="AU324" s="1561"/>
      <c r="AV324" s="1540"/>
      <c r="AW324" s="1579"/>
      <c r="AX324" s="1573"/>
      <c r="AY324" s="1560"/>
      <c r="AZ324" s="1561"/>
      <c r="BA324" s="1561"/>
      <c r="BB324" s="1561"/>
      <c r="BC324" s="1561"/>
      <c r="BD324" s="1561"/>
      <c r="BE324" s="1540"/>
      <c r="BF324" s="1579"/>
      <c r="BG324" s="1573"/>
      <c r="BH324" s="1560"/>
      <c r="BI324" s="1561"/>
      <c r="BJ324" s="1561"/>
      <c r="BK324" s="1561"/>
      <c r="BL324" s="1561"/>
      <c r="BM324" s="1561"/>
      <c r="BN324" s="1540"/>
      <c r="BO324" s="1579"/>
      <c r="BP324" s="1573"/>
      <c r="BQ324" s="1560"/>
      <c r="BR324" s="1561"/>
      <c r="BS324" s="1561"/>
      <c r="BT324" s="1561"/>
      <c r="BU324" s="1561"/>
      <c r="BV324" s="1561"/>
      <c r="BW324" s="1540"/>
      <c r="BX324" s="1579"/>
      <c r="BY324" s="1573"/>
      <c r="BZ324" s="1560"/>
      <c r="CA324" s="1540"/>
      <c r="CB324" s="1540"/>
      <c r="CC324" s="1540"/>
      <c r="CD324" s="1540"/>
      <c r="CE324" s="1540"/>
      <c r="CF324" s="1561"/>
      <c r="CG324" s="1579"/>
      <c r="CH324" s="1597"/>
      <c r="CI324" s="1598">
        <f t="shared" si="115"/>
        <v>0</v>
      </c>
      <c r="CJ324" s="1616"/>
      <c r="CK324" s="1616"/>
      <c r="CL324" s="1617">
        <f t="shared" si="113"/>
        <v>0</v>
      </c>
      <c r="CM324" s="1618"/>
      <c r="CN324" s="1619">
        <f t="shared" si="114"/>
        <v>0</v>
      </c>
    </row>
    <row r="325" spans="1:92" ht="21" thickBot="1">
      <c r="A325" s="537"/>
      <c r="B325" s="550"/>
      <c r="C325" s="549"/>
      <c r="D325" s="544"/>
      <c r="E325" s="546"/>
      <c r="F325" s="1538"/>
      <c r="G325" s="1539"/>
      <c r="H325" s="1540"/>
      <c r="I325" s="1539"/>
      <c r="J325" s="1539"/>
      <c r="K325" s="1539"/>
      <c r="L325" s="1539"/>
      <c r="M325" s="1558"/>
      <c r="N325" s="1559"/>
      <c r="O325" s="1560"/>
      <c r="P325" s="1561"/>
      <c r="Q325" s="1561"/>
      <c r="R325" s="1561"/>
      <c r="S325" s="1561"/>
      <c r="T325" s="1561"/>
      <c r="U325" s="1540"/>
      <c r="V325" s="1572"/>
      <c r="W325" s="1573"/>
      <c r="X325" s="1560"/>
      <c r="Y325" s="1561"/>
      <c r="Z325" s="1561"/>
      <c r="AA325" s="1561"/>
      <c r="AB325" s="1561"/>
      <c r="AC325" s="1561"/>
      <c r="AD325" s="1540"/>
      <c r="AE325" s="1572"/>
      <c r="AF325" s="1573"/>
      <c r="AG325" s="1560"/>
      <c r="AH325" s="1561"/>
      <c r="AI325" s="1561"/>
      <c r="AJ325" s="1561"/>
      <c r="AK325" s="1561"/>
      <c r="AL325" s="1540"/>
      <c r="AM325" s="1577"/>
      <c r="AN325" s="1581"/>
      <c r="AO325" s="1573"/>
      <c r="AP325" s="1560"/>
      <c r="AQ325" s="1561"/>
      <c r="AR325" s="1561"/>
      <c r="AS325" s="1561"/>
      <c r="AT325" s="1561"/>
      <c r="AU325" s="1561"/>
      <c r="AV325" s="1540"/>
      <c r="AW325" s="1579"/>
      <c r="AX325" s="1573"/>
      <c r="AY325" s="1560"/>
      <c r="AZ325" s="1561"/>
      <c r="BA325" s="1561"/>
      <c r="BB325" s="1561"/>
      <c r="BC325" s="1561"/>
      <c r="BD325" s="1561"/>
      <c r="BE325" s="1540"/>
      <c r="BF325" s="1579"/>
      <c r="BG325" s="1573"/>
      <c r="BH325" s="1560"/>
      <c r="BI325" s="1561"/>
      <c r="BJ325" s="1561"/>
      <c r="BK325" s="1561"/>
      <c r="BL325" s="1561"/>
      <c r="BM325" s="1561"/>
      <c r="BN325" s="1540"/>
      <c r="BO325" s="1579"/>
      <c r="BP325" s="1573"/>
      <c r="BQ325" s="1560"/>
      <c r="BR325" s="1561"/>
      <c r="BS325" s="1561"/>
      <c r="BT325" s="1561"/>
      <c r="BU325" s="1561"/>
      <c r="BV325" s="1561"/>
      <c r="BW325" s="1540"/>
      <c r="BX325" s="1579"/>
      <c r="BY325" s="1573"/>
      <c r="BZ325" s="1560"/>
      <c r="CA325" s="1540"/>
      <c r="CB325" s="1540"/>
      <c r="CC325" s="1540"/>
      <c r="CD325" s="1540"/>
      <c r="CE325" s="1540"/>
      <c r="CF325" s="1561"/>
      <c r="CG325" s="1579"/>
      <c r="CH325" s="1597"/>
      <c r="CI325" s="1598">
        <f t="shared" si="115"/>
        <v>0</v>
      </c>
      <c r="CJ325" s="1616"/>
      <c r="CK325" s="1616"/>
      <c r="CL325" s="1617">
        <f t="shared" si="113"/>
        <v>0</v>
      </c>
      <c r="CM325" s="1618"/>
      <c r="CN325" s="1619">
        <f t="shared" si="114"/>
        <v>0</v>
      </c>
    </row>
    <row r="326" spans="1:92" ht="21" thickBot="1">
      <c r="A326" s="537"/>
      <c r="B326" s="550"/>
      <c r="C326" s="549"/>
      <c r="D326" s="544"/>
      <c r="E326" s="546"/>
      <c r="F326" s="1538"/>
      <c r="G326" s="1539"/>
      <c r="H326" s="1540"/>
      <c r="I326" s="1539"/>
      <c r="J326" s="1539"/>
      <c r="K326" s="1539"/>
      <c r="L326" s="1539"/>
      <c r="M326" s="1558"/>
      <c r="N326" s="1559"/>
      <c r="O326" s="1560"/>
      <c r="P326" s="1561"/>
      <c r="Q326" s="1561"/>
      <c r="R326" s="1561"/>
      <c r="S326" s="1561"/>
      <c r="T326" s="1561"/>
      <c r="U326" s="1540"/>
      <c r="V326" s="1572"/>
      <c r="W326" s="1573"/>
      <c r="X326" s="1560"/>
      <c r="Y326" s="1561"/>
      <c r="Z326" s="1561"/>
      <c r="AA326" s="1561"/>
      <c r="AB326" s="1561"/>
      <c r="AC326" s="1561"/>
      <c r="AD326" s="1540"/>
      <c r="AE326" s="1572"/>
      <c r="AF326" s="1573"/>
      <c r="AG326" s="1560"/>
      <c r="AH326" s="1561"/>
      <c r="AI326" s="1561"/>
      <c r="AJ326" s="1561"/>
      <c r="AK326" s="1561"/>
      <c r="AL326" s="1540"/>
      <c r="AM326" s="1577"/>
      <c r="AN326" s="1581"/>
      <c r="AO326" s="1573"/>
      <c r="AP326" s="1560"/>
      <c r="AQ326" s="1561"/>
      <c r="AR326" s="1561"/>
      <c r="AS326" s="1561"/>
      <c r="AT326" s="1561"/>
      <c r="AU326" s="1561"/>
      <c r="AV326" s="1540"/>
      <c r="AW326" s="1579"/>
      <c r="AX326" s="1573"/>
      <c r="AY326" s="1560"/>
      <c r="AZ326" s="1561"/>
      <c r="BA326" s="1561"/>
      <c r="BB326" s="1561"/>
      <c r="BC326" s="1561"/>
      <c r="BD326" s="1561"/>
      <c r="BE326" s="1540"/>
      <c r="BF326" s="1579"/>
      <c r="BG326" s="1573"/>
      <c r="BH326" s="1560"/>
      <c r="BI326" s="1561"/>
      <c r="BJ326" s="1561"/>
      <c r="BK326" s="1561"/>
      <c r="BL326" s="1561"/>
      <c r="BM326" s="1561"/>
      <c r="BN326" s="1540"/>
      <c r="BO326" s="1579"/>
      <c r="BP326" s="1573"/>
      <c r="BQ326" s="1560"/>
      <c r="BR326" s="1561"/>
      <c r="BS326" s="1561"/>
      <c r="BT326" s="1561"/>
      <c r="BU326" s="1561"/>
      <c r="BV326" s="1561"/>
      <c r="BW326" s="1540"/>
      <c r="BX326" s="1579"/>
      <c r="BY326" s="1573"/>
      <c r="BZ326" s="1560"/>
      <c r="CA326" s="1540"/>
      <c r="CB326" s="1540"/>
      <c r="CC326" s="1540"/>
      <c r="CD326" s="1540"/>
      <c r="CE326" s="1540"/>
      <c r="CF326" s="1561"/>
      <c r="CG326" s="1579"/>
      <c r="CH326" s="1597"/>
      <c r="CI326" s="1598">
        <f t="shared" si="115"/>
        <v>0</v>
      </c>
      <c r="CJ326" s="1616"/>
      <c r="CK326" s="1616"/>
      <c r="CL326" s="1617">
        <f t="shared" si="113"/>
        <v>0</v>
      </c>
      <c r="CM326" s="1618"/>
      <c r="CN326" s="1619">
        <f t="shared" si="114"/>
        <v>0</v>
      </c>
    </row>
    <row r="327" spans="1:92" ht="21" thickBot="1">
      <c r="A327" s="537"/>
      <c r="B327" s="550"/>
      <c r="C327" s="549"/>
      <c r="D327" s="544"/>
      <c r="E327" s="546"/>
      <c r="F327" s="1538"/>
      <c r="G327" s="1539"/>
      <c r="H327" s="1540"/>
      <c r="I327" s="1539"/>
      <c r="J327" s="1539"/>
      <c r="K327" s="1539"/>
      <c r="L327" s="1539"/>
      <c r="M327" s="1558"/>
      <c r="N327" s="1559"/>
      <c r="O327" s="1560"/>
      <c r="P327" s="1561"/>
      <c r="Q327" s="1561"/>
      <c r="R327" s="1561"/>
      <c r="S327" s="1561"/>
      <c r="T327" s="1561"/>
      <c r="U327" s="1540"/>
      <c r="V327" s="1572"/>
      <c r="W327" s="1573"/>
      <c r="X327" s="1560"/>
      <c r="Y327" s="1561"/>
      <c r="Z327" s="1561"/>
      <c r="AA327" s="1561"/>
      <c r="AB327" s="1561"/>
      <c r="AC327" s="1561"/>
      <c r="AD327" s="1540"/>
      <c r="AE327" s="1572"/>
      <c r="AF327" s="1573"/>
      <c r="AG327" s="1560"/>
      <c r="AH327" s="1561"/>
      <c r="AI327" s="1561"/>
      <c r="AJ327" s="1561"/>
      <c r="AK327" s="1561"/>
      <c r="AL327" s="1540"/>
      <c r="AM327" s="1577"/>
      <c r="AN327" s="1581"/>
      <c r="AO327" s="1573"/>
      <c r="AP327" s="1560"/>
      <c r="AQ327" s="1561"/>
      <c r="AR327" s="1561"/>
      <c r="AS327" s="1561"/>
      <c r="AT327" s="1561"/>
      <c r="AU327" s="1561"/>
      <c r="AV327" s="1540"/>
      <c r="AW327" s="1579"/>
      <c r="AX327" s="1573"/>
      <c r="AY327" s="1560"/>
      <c r="AZ327" s="1561"/>
      <c r="BA327" s="1561"/>
      <c r="BB327" s="1561"/>
      <c r="BC327" s="1561"/>
      <c r="BD327" s="1561"/>
      <c r="BE327" s="1540"/>
      <c r="BF327" s="1579"/>
      <c r="BG327" s="1573"/>
      <c r="BH327" s="1560"/>
      <c r="BI327" s="1561"/>
      <c r="BJ327" s="1561"/>
      <c r="BK327" s="1561"/>
      <c r="BL327" s="1561"/>
      <c r="BM327" s="1561"/>
      <c r="BN327" s="1540"/>
      <c r="BO327" s="1579"/>
      <c r="BP327" s="1573"/>
      <c r="BQ327" s="1560"/>
      <c r="BR327" s="1561"/>
      <c r="BS327" s="1561"/>
      <c r="BT327" s="1561"/>
      <c r="BU327" s="1561"/>
      <c r="BV327" s="1561"/>
      <c r="BW327" s="1540"/>
      <c r="BX327" s="1579"/>
      <c r="BY327" s="1573"/>
      <c r="BZ327" s="1560"/>
      <c r="CA327" s="1540"/>
      <c r="CB327" s="1540"/>
      <c r="CC327" s="1540"/>
      <c r="CD327" s="1540"/>
      <c r="CE327" s="1540"/>
      <c r="CF327" s="1561"/>
      <c r="CG327" s="1579"/>
      <c r="CH327" s="1597"/>
      <c r="CI327" s="1598">
        <f t="shared" si="115"/>
        <v>0</v>
      </c>
      <c r="CJ327" s="1616"/>
      <c r="CK327" s="1616"/>
      <c r="CL327" s="1617">
        <f t="shared" si="113"/>
        <v>0</v>
      </c>
      <c r="CM327" s="1618"/>
      <c r="CN327" s="1619">
        <f t="shared" si="114"/>
        <v>0</v>
      </c>
    </row>
    <row r="328" spans="1:92" ht="21" thickBot="1">
      <c r="A328" s="537"/>
      <c r="B328" s="550"/>
      <c r="C328" s="549"/>
      <c r="D328" s="544"/>
      <c r="E328" s="546"/>
      <c r="F328" s="1538"/>
      <c r="G328" s="1539"/>
      <c r="H328" s="1540"/>
      <c r="I328" s="1539"/>
      <c r="J328" s="1539"/>
      <c r="K328" s="1539"/>
      <c r="L328" s="1539"/>
      <c r="M328" s="1558"/>
      <c r="N328" s="1559"/>
      <c r="O328" s="1560"/>
      <c r="P328" s="1561"/>
      <c r="Q328" s="1561"/>
      <c r="R328" s="1561"/>
      <c r="S328" s="1561"/>
      <c r="T328" s="1561"/>
      <c r="U328" s="1540"/>
      <c r="V328" s="1572"/>
      <c r="W328" s="1573"/>
      <c r="X328" s="1560"/>
      <c r="Y328" s="1561"/>
      <c r="Z328" s="1561"/>
      <c r="AA328" s="1561"/>
      <c r="AB328" s="1561"/>
      <c r="AC328" s="1561"/>
      <c r="AD328" s="1540"/>
      <c r="AE328" s="1572"/>
      <c r="AF328" s="1573"/>
      <c r="AG328" s="1560"/>
      <c r="AH328" s="1561"/>
      <c r="AI328" s="1561"/>
      <c r="AJ328" s="1561"/>
      <c r="AK328" s="1561"/>
      <c r="AL328" s="1540"/>
      <c r="AM328" s="1577"/>
      <c r="AN328" s="1581"/>
      <c r="AO328" s="1573"/>
      <c r="AP328" s="1560"/>
      <c r="AQ328" s="1561"/>
      <c r="AR328" s="1561"/>
      <c r="AS328" s="1561"/>
      <c r="AT328" s="1561"/>
      <c r="AU328" s="1561"/>
      <c r="AV328" s="1540"/>
      <c r="AW328" s="1579"/>
      <c r="AX328" s="1573"/>
      <c r="AY328" s="1560"/>
      <c r="AZ328" s="1561"/>
      <c r="BA328" s="1561"/>
      <c r="BB328" s="1561"/>
      <c r="BC328" s="1561"/>
      <c r="BD328" s="1561"/>
      <c r="BE328" s="1540"/>
      <c r="BF328" s="1579"/>
      <c r="BG328" s="1573"/>
      <c r="BH328" s="1560"/>
      <c r="BI328" s="1561"/>
      <c r="BJ328" s="1561"/>
      <c r="BK328" s="1561"/>
      <c r="BL328" s="1561"/>
      <c r="BM328" s="1561"/>
      <c r="BN328" s="1540"/>
      <c r="BO328" s="1579"/>
      <c r="BP328" s="1573"/>
      <c r="BQ328" s="1560"/>
      <c r="BR328" s="1561"/>
      <c r="BS328" s="1561"/>
      <c r="BT328" s="1561"/>
      <c r="BU328" s="1561"/>
      <c r="BV328" s="1561"/>
      <c r="BW328" s="1540"/>
      <c r="BX328" s="1579"/>
      <c r="BY328" s="1573"/>
      <c r="BZ328" s="1560"/>
      <c r="CA328" s="1540"/>
      <c r="CB328" s="1540"/>
      <c r="CC328" s="1540"/>
      <c r="CD328" s="1540"/>
      <c r="CE328" s="1540"/>
      <c r="CF328" s="1561"/>
      <c r="CG328" s="1579"/>
      <c r="CH328" s="1597"/>
      <c r="CI328" s="1598">
        <f t="shared" si="115"/>
        <v>0</v>
      </c>
      <c r="CJ328" s="1616"/>
      <c r="CK328" s="1616"/>
      <c r="CL328" s="1617">
        <f t="shared" si="113"/>
        <v>0</v>
      </c>
      <c r="CM328" s="1618"/>
      <c r="CN328" s="1619">
        <f t="shared" si="114"/>
        <v>0</v>
      </c>
    </row>
    <row r="329" spans="1:92" ht="21" thickBot="1">
      <c r="A329" s="537"/>
      <c r="B329" s="550"/>
      <c r="C329" s="549"/>
      <c r="D329" s="544"/>
      <c r="E329" s="546"/>
      <c r="F329" s="1538"/>
      <c r="G329" s="1539"/>
      <c r="H329" s="1540"/>
      <c r="I329" s="1539"/>
      <c r="J329" s="1539"/>
      <c r="K329" s="1539"/>
      <c r="L329" s="1539"/>
      <c r="M329" s="1558"/>
      <c r="N329" s="1559"/>
      <c r="O329" s="1560"/>
      <c r="P329" s="1561"/>
      <c r="Q329" s="1561"/>
      <c r="R329" s="1561"/>
      <c r="S329" s="1561"/>
      <c r="T329" s="1561"/>
      <c r="U329" s="1540"/>
      <c r="V329" s="1572"/>
      <c r="W329" s="1573"/>
      <c r="X329" s="1560"/>
      <c r="Y329" s="1561"/>
      <c r="Z329" s="1561"/>
      <c r="AA329" s="1561"/>
      <c r="AB329" s="1561"/>
      <c r="AC329" s="1561"/>
      <c r="AD329" s="1540"/>
      <c r="AE329" s="1572"/>
      <c r="AF329" s="1573"/>
      <c r="AG329" s="1560"/>
      <c r="AH329" s="1561"/>
      <c r="AI329" s="1561"/>
      <c r="AJ329" s="1561"/>
      <c r="AK329" s="1561"/>
      <c r="AL329" s="1540"/>
      <c r="AM329" s="1577"/>
      <c r="AN329" s="1581"/>
      <c r="AO329" s="1573"/>
      <c r="AP329" s="1560"/>
      <c r="AQ329" s="1561"/>
      <c r="AR329" s="1561"/>
      <c r="AS329" s="1561"/>
      <c r="AT329" s="1561"/>
      <c r="AU329" s="1561"/>
      <c r="AV329" s="1540"/>
      <c r="AW329" s="1579"/>
      <c r="AX329" s="1573"/>
      <c r="AY329" s="1560"/>
      <c r="AZ329" s="1561"/>
      <c r="BA329" s="1561"/>
      <c r="BB329" s="1561"/>
      <c r="BC329" s="1561"/>
      <c r="BD329" s="1561"/>
      <c r="BE329" s="1540"/>
      <c r="BF329" s="1579"/>
      <c r="BG329" s="1573"/>
      <c r="BH329" s="1560"/>
      <c r="BI329" s="1561"/>
      <c r="BJ329" s="1561"/>
      <c r="BK329" s="1561"/>
      <c r="BL329" s="1561"/>
      <c r="BM329" s="1561"/>
      <c r="BN329" s="1540"/>
      <c r="BO329" s="1579"/>
      <c r="BP329" s="1573"/>
      <c r="BQ329" s="1560"/>
      <c r="BR329" s="1561"/>
      <c r="BS329" s="1561"/>
      <c r="BT329" s="1561"/>
      <c r="BU329" s="1561"/>
      <c r="BV329" s="1561"/>
      <c r="BW329" s="1540"/>
      <c r="BX329" s="1579"/>
      <c r="BY329" s="1573"/>
      <c r="BZ329" s="1560"/>
      <c r="CA329" s="1540"/>
      <c r="CB329" s="1540"/>
      <c r="CC329" s="1540"/>
      <c r="CD329" s="1540"/>
      <c r="CE329" s="1540"/>
      <c r="CF329" s="1561"/>
      <c r="CG329" s="1579"/>
      <c r="CH329" s="1597"/>
      <c r="CI329" s="1598">
        <f t="shared" si="115"/>
        <v>0</v>
      </c>
      <c r="CJ329" s="1616"/>
      <c r="CK329" s="1616"/>
      <c r="CL329" s="1617">
        <f t="shared" si="113"/>
        <v>0</v>
      </c>
      <c r="CM329" s="1618"/>
      <c r="CN329" s="1619">
        <f t="shared" si="114"/>
        <v>0</v>
      </c>
    </row>
    <row r="330" spans="1:92" ht="21" thickBot="1">
      <c r="A330" s="537"/>
      <c r="B330" s="550"/>
      <c r="C330" s="549"/>
      <c r="D330" s="544"/>
      <c r="E330" s="546"/>
      <c r="F330" s="1538"/>
      <c r="G330" s="1539"/>
      <c r="H330" s="1540"/>
      <c r="I330" s="1539"/>
      <c r="J330" s="1539"/>
      <c r="K330" s="1539"/>
      <c r="L330" s="1539"/>
      <c r="M330" s="1558"/>
      <c r="N330" s="1559"/>
      <c r="O330" s="1560"/>
      <c r="P330" s="1561"/>
      <c r="Q330" s="1561"/>
      <c r="R330" s="1561"/>
      <c r="S330" s="1561"/>
      <c r="T330" s="1561"/>
      <c r="U330" s="1540"/>
      <c r="V330" s="1572"/>
      <c r="W330" s="1573"/>
      <c r="X330" s="1560"/>
      <c r="Y330" s="1561"/>
      <c r="Z330" s="1561"/>
      <c r="AA330" s="1561"/>
      <c r="AB330" s="1561"/>
      <c r="AC330" s="1561"/>
      <c r="AD330" s="1540"/>
      <c r="AE330" s="1572"/>
      <c r="AF330" s="1573"/>
      <c r="AG330" s="1560"/>
      <c r="AH330" s="1561"/>
      <c r="AI330" s="1561"/>
      <c r="AJ330" s="1561"/>
      <c r="AK330" s="1561"/>
      <c r="AL330" s="1540"/>
      <c r="AM330" s="1577"/>
      <c r="AN330" s="1581"/>
      <c r="AO330" s="1573"/>
      <c r="AP330" s="1560"/>
      <c r="AQ330" s="1561"/>
      <c r="AR330" s="1561"/>
      <c r="AS330" s="1561"/>
      <c r="AT330" s="1561"/>
      <c r="AU330" s="1561"/>
      <c r="AV330" s="1540"/>
      <c r="AW330" s="1579"/>
      <c r="AX330" s="1573"/>
      <c r="AY330" s="1560"/>
      <c r="AZ330" s="1561"/>
      <c r="BA330" s="1561"/>
      <c r="BB330" s="1561"/>
      <c r="BC330" s="1561"/>
      <c r="BD330" s="1561"/>
      <c r="BE330" s="1540"/>
      <c r="BF330" s="1579"/>
      <c r="BG330" s="1573"/>
      <c r="BH330" s="1560"/>
      <c r="BI330" s="1561"/>
      <c r="BJ330" s="1561"/>
      <c r="BK330" s="1561"/>
      <c r="BL330" s="1561"/>
      <c r="BM330" s="1561"/>
      <c r="BN330" s="1540"/>
      <c r="BO330" s="1579"/>
      <c r="BP330" s="1573"/>
      <c r="BQ330" s="1560"/>
      <c r="BR330" s="1561"/>
      <c r="BS330" s="1561"/>
      <c r="BT330" s="1561"/>
      <c r="BU330" s="1561"/>
      <c r="BV330" s="1561"/>
      <c r="BW330" s="1540"/>
      <c r="BX330" s="1579"/>
      <c r="BY330" s="1573"/>
      <c r="BZ330" s="1560"/>
      <c r="CA330" s="1540"/>
      <c r="CB330" s="1540"/>
      <c r="CC330" s="1540"/>
      <c r="CD330" s="1540"/>
      <c r="CE330" s="1540"/>
      <c r="CF330" s="1561"/>
      <c r="CG330" s="1579"/>
      <c r="CH330" s="1597"/>
      <c r="CI330" s="1598">
        <f t="shared" si="115"/>
        <v>0</v>
      </c>
      <c r="CJ330" s="1616"/>
      <c r="CK330" s="1616"/>
      <c r="CL330" s="1617">
        <f t="shared" si="113"/>
        <v>0</v>
      </c>
      <c r="CM330" s="1618"/>
      <c r="CN330" s="1619">
        <f t="shared" si="114"/>
        <v>0</v>
      </c>
    </row>
    <row r="331" spans="1:92" ht="21" thickBot="1">
      <c r="A331" s="551"/>
      <c r="B331" s="550"/>
      <c r="C331" s="549"/>
      <c r="D331" s="544"/>
      <c r="E331" s="546"/>
      <c r="F331" s="1538"/>
      <c r="G331" s="1539"/>
      <c r="H331" s="1540"/>
      <c r="I331" s="1539"/>
      <c r="J331" s="1539"/>
      <c r="K331" s="1539"/>
      <c r="L331" s="1539"/>
      <c r="M331" s="1558"/>
      <c r="N331" s="1559"/>
      <c r="O331" s="1560"/>
      <c r="P331" s="1561"/>
      <c r="Q331" s="1561"/>
      <c r="R331" s="1561"/>
      <c r="S331" s="1561"/>
      <c r="T331" s="1561"/>
      <c r="U331" s="1540"/>
      <c r="V331" s="1572"/>
      <c r="W331" s="1573"/>
      <c r="X331" s="1560"/>
      <c r="Y331" s="1561"/>
      <c r="Z331" s="1561"/>
      <c r="AA331" s="1561"/>
      <c r="AB331" s="1561"/>
      <c r="AC331" s="1561"/>
      <c r="AD331" s="1540"/>
      <c r="AE331" s="1572"/>
      <c r="AF331" s="1573"/>
      <c r="AG331" s="1560"/>
      <c r="AH331" s="1561"/>
      <c r="AI331" s="1561"/>
      <c r="AJ331" s="1561"/>
      <c r="AK331" s="1561"/>
      <c r="AL331" s="1540"/>
      <c r="AM331" s="1577"/>
      <c r="AN331" s="1581"/>
      <c r="AO331" s="1573"/>
      <c r="AP331" s="1560"/>
      <c r="AQ331" s="1561"/>
      <c r="AR331" s="1561"/>
      <c r="AS331" s="1561"/>
      <c r="AT331" s="1561"/>
      <c r="AU331" s="1561"/>
      <c r="AV331" s="1540"/>
      <c r="AW331" s="1579"/>
      <c r="AX331" s="1573"/>
      <c r="AY331" s="1560"/>
      <c r="AZ331" s="1561"/>
      <c r="BA331" s="1561"/>
      <c r="BB331" s="1561"/>
      <c r="BC331" s="1561"/>
      <c r="BD331" s="1561"/>
      <c r="BE331" s="1540"/>
      <c r="BF331" s="1579"/>
      <c r="BG331" s="1573"/>
      <c r="BH331" s="1560"/>
      <c r="BI331" s="1561"/>
      <c r="BJ331" s="1561"/>
      <c r="BK331" s="1561"/>
      <c r="BL331" s="1561"/>
      <c r="BM331" s="1561"/>
      <c r="BN331" s="1540"/>
      <c r="BO331" s="1579"/>
      <c r="BP331" s="1573"/>
      <c r="BQ331" s="1560"/>
      <c r="BR331" s="1561"/>
      <c r="BS331" s="1561"/>
      <c r="BT331" s="1561"/>
      <c r="BU331" s="1561"/>
      <c r="BV331" s="1561"/>
      <c r="BW331" s="1540"/>
      <c r="BX331" s="1579"/>
      <c r="BY331" s="1573"/>
      <c r="BZ331" s="1560"/>
      <c r="CA331" s="1540"/>
      <c r="CB331" s="1540"/>
      <c r="CC331" s="1540"/>
      <c r="CD331" s="1540"/>
      <c r="CE331" s="1540"/>
      <c r="CF331" s="1561"/>
      <c r="CG331" s="1579"/>
      <c r="CH331" s="1597"/>
      <c r="CI331" s="1598">
        <f t="shared" si="115"/>
        <v>0</v>
      </c>
      <c r="CJ331" s="1616"/>
      <c r="CK331" s="1616"/>
      <c r="CL331" s="1617">
        <f t="shared" si="113"/>
        <v>0</v>
      </c>
      <c r="CM331" s="1618"/>
      <c r="CN331" s="1619">
        <f t="shared" si="114"/>
        <v>0</v>
      </c>
    </row>
    <row r="332" spans="1:92" ht="21" thickBot="1">
      <c r="A332" s="537"/>
      <c r="B332" s="550"/>
      <c r="C332" s="549"/>
      <c r="D332" s="544"/>
      <c r="E332" s="546"/>
      <c r="F332" s="1538"/>
      <c r="G332" s="1539"/>
      <c r="H332" s="1540"/>
      <c r="I332" s="1539"/>
      <c r="J332" s="1539"/>
      <c r="K332" s="1539"/>
      <c r="L332" s="1539"/>
      <c r="M332" s="1558"/>
      <c r="N332" s="1559"/>
      <c r="O332" s="1560"/>
      <c r="P332" s="1561"/>
      <c r="Q332" s="1561"/>
      <c r="R332" s="1561"/>
      <c r="S332" s="1561"/>
      <c r="T332" s="1561"/>
      <c r="U332" s="1540"/>
      <c r="V332" s="1572"/>
      <c r="W332" s="1573"/>
      <c r="X332" s="1560"/>
      <c r="Y332" s="1561"/>
      <c r="Z332" s="1561"/>
      <c r="AA332" s="1561"/>
      <c r="AB332" s="1561"/>
      <c r="AC332" s="1561"/>
      <c r="AD332" s="1540"/>
      <c r="AE332" s="1572"/>
      <c r="AF332" s="1573"/>
      <c r="AG332" s="1560"/>
      <c r="AH332" s="1561"/>
      <c r="AI332" s="1561"/>
      <c r="AJ332" s="1561"/>
      <c r="AK332" s="1561"/>
      <c r="AL332" s="1540"/>
      <c r="AM332" s="1577"/>
      <c r="AN332" s="1581"/>
      <c r="AO332" s="1573"/>
      <c r="AP332" s="1560"/>
      <c r="AQ332" s="1561"/>
      <c r="AR332" s="1561"/>
      <c r="AS332" s="1561"/>
      <c r="AT332" s="1561"/>
      <c r="AU332" s="1561"/>
      <c r="AV332" s="1540"/>
      <c r="AW332" s="1579"/>
      <c r="AX332" s="1573"/>
      <c r="AY332" s="1560"/>
      <c r="AZ332" s="1561"/>
      <c r="BA332" s="1561"/>
      <c r="BB332" s="1561"/>
      <c r="BC332" s="1561"/>
      <c r="BD332" s="1561"/>
      <c r="BE332" s="1540"/>
      <c r="BF332" s="1579"/>
      <c r="BG332" s="1573"/>
      <c r="BH332" s="1560"/>
      <c r="BI332" s="1561"/>
      <c r="BJ332" s="1561"/>
      <c r="BK332" s="1561"/>
      <c r="BL332" s="1561"/>
      <c r="BM332" s="1561"/>
      <c r="BN332" s="1540"/>
      <c r="BO332" s="1579"/>
      <c r="BP332" s="1573"/>
      <c r="BQ332" s="1560"/>
      <c r="BR332" s="1561"/>
      <c r="BS332" s="1561"/>
      <c r="BT332" s="1561"/>
      <c r="BU332" s="1561"/>
      <c r="BV332" s="1561"/>
      <c r="BW332" s="1540"/>
      <c r="BX332" s="1579"/>
      <c r="BY332" s="1573"/>
      <c r="BZ332" s="1560"/>
      <c r="CA332" s="1540"/>
      <c r="CB332" s="1540"/>
      <c r="CC332" s="1540"/>
      <c r="CD332" s="1540"/>
      <c r="CE332" s="1540"/>
      <c r="CF332" s="1561"/>
      <c r="CG332" s="1579"/>
      <c r="CH332" s="1597"/>
      <c r="CI332" s="1598">
        <f t="shared" si="115"/>
        <v>0</v>
      </c>
      <c r="CJ332" s="1616"/>
      <c r="CK332" s="1616"/>
      <c r="CL332" s="1617">
        <f t="shared" si="113"/>
        <v>0</v>
      </c>
      <c r="CM332" s="1618"/>
      <c r="CN332" s="1619">
        <f t="shared" si="114"/>
        <v>0</v>
      </c>
    </row>
    <row r="333" spans="1:92" ht="21" thickBot="1">
      <c r="A333" s="551"/>
      <c r="B333" s="552"/>
      <c r="C333" s="553"/>
      <c r="D333" s="544"/>
      <c r="E333" s="546"/>
      <c r="F333" s="1538"/>
      <c r="G333" s="1539"/>
      <c r="H333" s="1540"/>
      <c r="I333" s="1539"/>
      <c r="J333" s="1539"/>
      <c r="K333" s="1539"/>
      <c r="L333" s="1539"/>
      <c r="M333" s="1558"/>
      <c r="N333" s="1559"/>
      <c r="O333" s="1560"/>
      <c r="P333" s="1561"/>
      <c r="Q333" s="1561"/>
      <c r="R333" s="1561"/>
      <c r="S333" s="1561"/>
      <c r="T333" s="1561"/>
      <c r="U333" s="1540"/>
      <c r="V333" s="1572"/>
      <c r="W333" s="1573"/>
      <c r="X333" s="1560"/>
      <c r="Y333" s="1561"/>
      <c r="Z333" s="1561"/>
      <c r="AA333" s="1561"/>
      <c r="AB333" s="1561"/>
      <c r="AC333" s="1561"/>
      <c r="AD333" s="1540"/>
      <c r="AE333" s="1572"/>
      <c r="AF333" s="1573"/>
      <c r="AG333" s="1560"/>
      <c r="AH333" s="1561"/>
      <c r="AI333" s="1561"/>
      <c r="AJ333" s="1561"/>
      <c r="AK333" s="1561"/>
      <c r="AL333" s="1540"/>
      <c r="AM333" s="1577"/>
      <c r="AN333" s="1581"/>
      <c r="AO333" s="1573"/>
      <c r="AP333" s="1560"/>
      <c r="AQ333" s="1561"/>
      <c r="AR333" s="1561"/>
      <c r="AS333" s="1561"/>
      <c r="AT333" s="1561"/>
      <c r="AU333" s="1561"/>
      <c r="AV333" s="1540"/>
      <c r="AW333" s="1579"/>
      <c r="AX333" s="1573"/>
      <c r="AY333" s="1560"/>
      <c r="AZ333" s="1561"/>
      <c r="BA333" s="1561"/>
      <c r="BB333" s="1561"/>
      <c r="BC333" s="1561"/>
      <c r="BD333" s="1561"/>
      <c r="BE333" s="1540"/>
      <c r="BF333" s="1579"/>
      <c r="BG333" s="1573"/>
      <c r="BH333" s="1560"/>
      <c r="BI333" s="1561"/>
      <c r="BJ333" s="1561"/>
      <c r="BK333" s="1561"/>
      <c r="BL333" s="1561"/>
      <c r="BM333" s="1561"/>
      <c r="BN333" s="1540"/>
      <c r="BO333" s="1579"/>
      <c r="BP333" s="1573"/>
      <c r="BQ333" s="1560"/>
      <c r="BR333" s="1561"/>
      <c r="BS333" s="1561"/>
      <c r="BT333" s="1561"/>
      <c r="BU333" s="1561"/>
      <c r="BV333" s="1561"/>
      <c r="BW333" s="1540"/>
      <c r="BX333" s="1579"/>
      <c r="BY333" s="1573"/>
      <c r="BZ333" s="1560"/>
      <c r="CA333" s="1540"/>
      <c r="CB333" s="1540"/>
      <c r="CC333" s="1540"/>
      <c r="CD333" s="1540"/>
      <c r="CE333" s="1540"/>
      <c r="CF333" s="1561"/>
      <c r="CG333" s="1579"/>
      <c r="CH333" s="1597"/>
      <c r="CI333" s="1598">
        <f t="shared" si="115"/>
        <v>0</v>
      </c>
      <c r="CJ333" s="1616"/>
      <c r="CK333" s="1616"/>
      <c r="CL333" s="1617">
        <f t="shared" si="113"/>
        <v>0</v>
      </c>
      <c r="CM333" s="1618"/>
      <c r="CN333" s="1619">
        <f t="shared" si="114"/>
        <v>0</v>
      </c>
    </row>
    <row r="334" spans="1:92" ht="21" thickBot="1">
      <c r="A334" s="537"/>
      <c r="B334" s="550"/>
      <c r="C334" s="549"/>
      <c r="D334" s="544"/>
      <c r="E334" s="546"/>
      <c r="F334" s="1538"/>
      <c r="G334" s="1539"/>
      <c r="H334" s="1540"/>
      <c r="I334" s="1539"/>
      <c r="J334" s="1539"/>
      <c r="K334" s="1539"/>
      <c r="L334" s="1539"/>
      <c r="M334" s="1558"/>
      <c r="N334" s="1559"/>
      <c r="O334" s="1560"/>
      <c r="P334" s="1561"/>
      <c r="Q334" s="1561"/>
      <c r="R334" s="1561"/>
      <c r="S334" s="1561"/>
      <c r="T334" s="1561"/>
      <c r="U334" s="1540"/>
      <c r="V334" s="1572"/>
      <c r="W334" s="1573"/>
      <c r="X334" s="1560"/>
      <c r="Y334" s="1561"/>
      <c r="Z334" s="1561"/>
      <c r="AA334" s="1561"/>
      <c r="AB334" s="1561"/>
      <c r="AC334" s="1561"/>
      <c r="AD334" s="1540"/>
      <c r="AE334" s="1572"/>
      <c r="AF334" s="1573"/>
      <c r="AG334" s="1560"/>
      <c r="AH334" s="1561"/>
      <c r="AI334" s="1561"/>
      <c r="AJ334" s="1561"/>
      <c r="AK334" s="1561"/>
      <c r="AL334" s="1540"/>
      <c r="AM334" s="1577"/>
      <c r="AN334" s="1581"/>
      <c r="AO334" s="1573"/>
      <c r="AP334" s="1560"/>
      <c r="AQ334" s="1561"/>
      <c r="AR334" s="1561"/>
      <c r="AS334" s="1561"/>
      <c r="AT334" s="1561"/>
      <c r="AU334" s="1561"/>
      <c r="AV334" s="1540"/>
      <c r="AW334" s="1579"/>
      <c r="AX334" s="1573"/>
      <c r="AY334" s="1560"/>
      <c r="AZ334" s="1561"/>
      <c r="BA334" s="1561"/>
      <c r="BB334" s="1561"/>
      <c r="BC334" s="1561"/>
      <c r="BD334" s="1561"/>
      <c r="BE334" s="1540"/>
      <c r="BF334" s="1579"/>
      <c r="BG334" s="1573"/>
      <c r="BH334" s="1560"/>
      <c r="BI334" s="1561"/>
      <c r="BJ334" s="1561"/>
      <c r="BK334" s="1561"/>
      <c r="BL334" s="1561"/>
      <c r="BM334" s="1561"/>
      <c r="BN334" s="1540"/>
      <c r="BO334" s="1579"/>
      <c r="BP334" s="1573"/>
      <c r="BQ334" s="1560"/>
      <c r="BR334" s="1561"/>
      <c r="BS334" s="1561"/>
      <c r="BT334" s="1561"/>
      <c r="BU334" s="1561"/>
      <c r="BV334" s="1561"/>
      <c r="BW334" s="1540"/>
      <c r="BX334" s="1579"/>
      <c r="BY334" s="1573"/>
      <c r="BZ334" s="1560"/>
      <c r="CA334" s="1540"/>
      <c r="CB334" s="1540"/>
      <c r="CC334" s="1540"/>
      <c r="CD334" s="1540"/>
      <c r="CE334" s="1540"/>
      <c r="CF334" s="1561"/>
      <c r="CG334" s="1579"/>
      <c r="CH334" s="1597"/>
      <c r="CI334" s="1598">
        <f t="shared" si="115"/>
        <v>0</v>
      </c>
      <c r="CJ334" s="1616"/>
      <c r="CK334" s="1616"/>
      <c r="CL334" s="1617">
        <f t="shared" si="113"/>
        <v>0</v>
      </c>
      <c r="CM334" s="1618"/>
      <c r="CN334" s="1619">
        <f t="shared" si="114"/>
        <v>0</v>
      </c>
    </row>
    <row r="335" spans="1:92" ht="21" thickBot="1">
      <c r="A335" s="1111"/>
      <c r="B335" s="550"/>
      <c r="C335" s="549"/>
      <c r="D335" s="544"/>
      <c r="E335" s="546"/>
      <c r="F335" s="1538"/>
      <c r="G335" s="1539"/>
      <c r="H335" s="1540"/>
      <c r="I335" s="1539"/>
      <c r="J335" s="1539"/>
      <c r="K335" s="1539"/>
      <c r="L335" s="1539"/>
      <c r="M335" s="1558"/>
      <c r="N335" s="1559"/>
      <c r="O335" s="1560"/>
      <c r="P335" s="1561"/>
      <c r="Q335" s="1561"/>
      <c r="R335" s="1561"/>
      <c r="S335" s="1561"/>
      <c r="T335" s="1561"/>
      <c r="U335" s="1540"/>
      <c r="V335" s="1572"/>
      <c r="W335" s="1573"/>
      <c r="X335" s="1560"/>
      <c r="Y335" s="1561"/>
      <c r="Z335" s="1561"/>
      <c r="AA335" s="1561"/>
      <c r="AB335" s="1561"/>
      <c r="AC335" s="1561"/>
      <c r="AD335" s="1540"/>
      <c r="AE335" s="1572"/>
      <c r="AF335" s="1573"/>
      <c r="AG335" s="1560"/>
      <c r="AH335" s="1561"/>
      <c r="AI335" s="1561"/>
      <c r="AJ335" s="1561"/>
      <c r="AK335" s="1561"/>
      <c r="AL335" s="1540"/>
      <c r="AM335" s="1577"/>
      <c r="AN335" s="1581"/>
      <c r="AO335" s="1573"/>
      <c r="AP335" s="1560"/>
      <c r="AQ335" s="1561"/>
      <c r="AR335" s="1561"/>
      <c r="AS335" s="1561"/>
      <c r="AT335" s="1561"/>
      <c r="AU335" s="1561"/>
      <c r="AV335" s="1540"/>
      <c r="AW335" s="1579"/>
      <c r="AX335" s="1573"/>
      <c r="AY335" s="1560"/>
      <c r="AZ335" s="1561"/>
      <c r="BA335" s="1561"/>
      <c r="BB335" s="1561"/>
      <c r="BC335" s="1561"/>
      <c r="BD335" s="1561"/>
      <c r="BE335" s="1540"/>
      <c r="BF335" s="1579"/>
      <c r="BG335" s="1573"/>
      <c r="BH335" s="1560"/>
      <c r="BI335" s="1561"/>
      <c r="BJ335" s="1561"/>
      <c r="BK335" s="1561"/>
      <c r="BL335" s="1561"/>
      <c r="BM335" s="1561"/>
      <c r="BN335" s="1540"/>
      <c r="BO335" s="1579"/>
      <c r="BP335" s="1573"/>
      <c r="BQ335" s="1560"/>
      <c r="BR335" s="1561"/>
      <c r="BS335" s="1561"/>
      <c r="BT335" s="1561"/>
      <c r="BU335" s="1561"/>
      <c r="BV335" s="1561"/>
      <c r="BW335" s="1540"/>
      <c r="BX335" s="1579"/>
      <c r="BY335" s="1573"/>
      <c r="BZ335" s="1560"/>
      <c r="CA335" s="1540"/>
      <c r="CB335" s="1540"/>
      <c r="CC335" s="1540"/>
      <c r="CD335" s="1540"/>
      <c r="CE335" s="1540"/>
      <c r="CF335" s="1561"/>
      <c r="CG335" s="1579"/>
      <c r="CH335" s="1597"/>
      <c r="CI335" s="1598">
        <f t="shared" si="115"/>
        <v>0</v>
      </c>
      <c r="CJ335" s="1616"/>
      <c r="CK335" s="1616"/>
      <c r="CL335" s="1617">
        <f t="shared" si="113"/>
        <v>0</v>
      </c>
      <c r="CM335" s="1618"/>
      <c r="CN335" s="1619">
        <f t="shared" si="114"/>
        <v>0</v>
      </c>
    </row>
    <row r="336" spans="1:92" ht="21" thickBot="1">
      <c r="A336" s="537"/>
      <c r="B336" s="550"/>
      <c r="C336" s="549"/>
      <c r="D336" s="544"/>
      <c r="E336" s="546"/>
      <c r="F336" s="1538"/>
      <c r="G336" s="1539"/>
      <c r="H336" s="1540"/>
      <c r="I336" s="1539"/>
      <c r="J336" s="1539"/>
      <c r="K336" s="1539"/>
      <c r="L336" s="1539"/>
      <c r="M336" s="1558"/>
      <c r="N336" s="1559"/>
      <c r="O336" s="1560"/>
      <c r="P336" s="1561"/>
      <c r="Q336" s="1561"/>
      <c r="R336" s="1561"/>
      <c r="S336" s="1561"/>
      <c r="T336" s="1561"/>
      <c r="U336" s="1540"/>
      <c r="V336" s="1572"/>
      <c r="W336" s="1573"/>
      <c r="X336" s="1560"/>
      <c r="Y336" s="1561"/>
      <c r="Z336" s="1561"/>
      <c r="AA336" s="1561"/>
      <c r="AB336" s="1561"/>
      <c r="AC336" s="1561"/>
      <c r="AD336" s="1540"/>
      <c r="AE336" s="1572"/>
      <c r="AF336" s="1573"/>
      <c r="AG336" s="1560"/>
      <c r="AH336" s="1561"/>
      <c r="AI336" s="1561"/>
      <c r="AJ336" s="1561"/>
      <c r="AK336" s="1561"/>
      <c r="AL336" s="1540"/>
      <c r="AM336" s="1577"/>
      <c r="AN336" s="1581"/>
      <c r="AO336" s="1573"/>
      <c r="AP336" s="1560"/>
      <c r="AQ336" s="1561"/>
      <c r="AR336" s="1561"/>
      <c r="AS336" s="1561"/>
      <c r="AT336" s="1561"/>
      <c r="AU336" s="1561"/>
      <c r="AV336" s="1540"/>
      <c r="AW336" s="1579"/>
      <c r="AX336" s="1573"/>
      <c r="AY336" s="1560"/>
      <c r="AZ336" s="1561"/>
      <c r="BA336" s="1561"/>
      <c r="BB336" s="1561"/>
      <c r="BC336" s="1561"/>
      <c r="BD336" s="1561"/>
      <c r="BE336" s="1540"/>
      <c r="BF336" s="1579"/>
      <c r="BG336" s="1573"/>
      <c r="BH336" s="1560"/>
      <c r="BI336" s="1561"/>
      <c r="BJ336" s="1561"/>
      <c r="BK336" s="1561"/>
      <c r="BL336" s="1561"/>
      <c r="BM336" s="1561"/>
      <c r="BN336" s="1540"/>
      <c r="BO336" s="1579"/>
      <c r="BP336" s="1573"/>
      <c r="BQ336" s="1560"/>
      <c r="BR336" s="1561"/>
      <c r="BS336" s="1561"/>
      <c r="BT336" s="1561"/>
      <c r="BU336" s="1561"/>
      <c r="BV336" s="1561"/>
      <c r="BW336" s="1540"/>
      <c r="BX336" s="1579"/>
      <c r="BY336" s="1573"/>
      <c r="BZ336" s="1560"/>
      <c r="CA336" s="1540"/>
      <c r="CB336" s="1540"/>
      <c r="CC336" s="1540"/>
      <c r="CD336" s="1540"/>
      <c r="CE336" s="1540"/>
      <c r="CF336" s="1561"/>
      <c r="CG336" s="1579"/>
      <c r="CH336" s="1597"/>
      <c r="CI336" s="1598">
        <f t="shared" si="115"/>
        <v>0</v>
      </c>
      <c r="CJ336" s="1616"/>
      <c r="CK336" s="1616"/>
      <c r="CL336" s="1617">
        <f t="shared" si="113"/>
        <v>0</v>
      </c>
      <c r="CM336" s="1618"/>
      <c r="CN336" s="1619">
        <f t="shared" si="114"/>
        <v>0</v>
      </c>
    </row>
    <row r="337" spans="1:95" ht="21" thickBot="1">
      <c r="A337" s="537"/>
      <c r="B337" s="550"/>
      <c r="C337" s="549"/>
      <c r="D337" s="544"/>
      <c r="E337" s="546"/>
      <c r="F337" s="1538"/>
      <c r="G337" s="1539"/>
      <c r="H337" s="1540"/>
      <c r="I337" s="1539"/>
      <c r="J337" s="1539"/>
      <c r="K337" s="1539"/>
      <c r="L337" s="1539"/>
      <c r="M337" s="1558"/>
      <c r="N337" s="1559"/>
      <c r="O337" s="1560"/>
      <c r="P337" s="1561"/>
      <c r="Q337" s="1561"/>
      <c r="R337" s="1561"/>
      <c r="S337" s="1561"/>
      <c r="T337" s="1561"/>
      <c r="U337" s="1540"/>
      <c r="V337" s="1572"/>
      <c r="W337" s="1573"/>
      <c r="X337" s="1560"/>
      <c r="Y337" s="1561"/>
      <c r="Z337" s="1561"/>
      <c r="AA337" s="1561"/>
      <c r="AB337" s="1561"/>
      <c r="AC337" s="1561"/>
      <c r="AD337" s="1540"/>
      <c r="AE337" s="1572"/>
      <c r="AF337" s="1573"/>
      <c r="AG337" s="1560"/>
      <c r="AH337" s="1561"/>
      <c r="AI337" s="1561"/>
      <c r="AJ337" s="1561"/>
      <c r="AK337" s="1561"/>
      <c r="AL337" s="1540"/>
      <c r="AM337" s="1577"/>
      <c r="AN337" s="1581"/>
      <c r="AO337" s="1573"/>
      <c r="AP337" s="1560"/>
      <c r="AQ337" s="1561"/>
      <c r="AR337" s="1561"/>
      <c r="AS337" s="1561"/>
      <c r="AT337" s="1561"/>
      <c r="AU337" s="1561"/>
      <c r="AV337" s="1540"/>
      <c r="AW337" s="1579"/>
      <c r="AX337" s="1573"/>
      <c r="AY337" s="1560"/>
      <c r="AZ337" s="1561"/>
      <c r="BA337" s="1561"/>
      <c r="BB337" s="1561"/>
      <c r="BC337" s="1561"/>
      <c r="BD337" s="1561"/>
      <c r="BE337" s="1540"/>
      <c r="BF337" s="1579"/>
      <c r="BG337" s="1573"/>
      <c r="BH337" s="1560"/>
      <c r="BI337" s="1561"/>
      <c r="BJ337" s="1561"/>
      <c r="BK337" s="1561"/>
      <c r="BL337" s="1561"/>
      <c r="BM337" s="1561"/>
      <c r="BN337" s="1540"/>
      <c r="BO337" s="1579"/>
      <c r="BP337" s="1573"/>
      <c r="BQ337" s="1560"/>
      <c r="BR337" s="1561"/>
      <c r="BS337" s="1561"/>
      <c r="BT337" s="1561"/>
      <c r="BU337" s="1561"/>
      <c r="BV337" s="1561"/>
      <c r="BW337" s="1540"/>
      <c r="BX337" s="1579"/>
      <c r="BY337" s="1573"/>
      <c r="BZ337" s="1560"/>
      <c r="CA337" s="1540"/>
      <c r="CB337" s="1540"/>
      <c r="CC337" s="1540"/>
      <c r="CD337" s="1540"/>
      <c r="CE337" s="1540"/>
      <c r="CF337" s="1561"/>
      <c r="CG337" s="1579"/>
      <c r="CH337" s="1597"/>
      <c r="CI337" s="1598">
        <f t="shared" si="115"/>
        <v>0</v>
      </c>
      <c r="CJ337" s="1616"/>
      <c r="CK337" s="1616"/>
      <c r="CL337" s="1617">
        <f t="shared" si="113"/>
        <v>0</v>
      </c>
      <c r="CM337" s="1618"/>
      <c r="CN337" s="1619">
        <f t="shared" si="114"/>
        <v>0</v>
      </c>
    </row>
    <row r="338" spans="1:95" s="1227" customFormat="1" ht="21" thickBot="1">
      <c r="A338" s="537"/>
      <c r="B338" s="550"/>
      <c r="C338" s="549"/>
      <c r="D338" s="544"/>
      <c r="E338" s="546"/>
      <c r="F338" s="1538"/>
      <c r="G338" s="1539"/>
      <c r="H338" s="1540"/>
      <c r="I338" s="1539"/>
      <c r="J338" s="1539"/>
      <c r="K338" s="1539"/>
      <c r="L338" s="1539"/>
      <c r="M338" s="1558"/>
      <c r="N338" s="1559"/>
      <c r="O338" s="1560"/>
      <c r="P338" s="1561"/>
      <c r="Q338" s="1561"/>
      <c r="R338" s="1561"/>
      <c r="S338" s="1561"/>
      <c r="T338" s="1561"/>
      <c r="U338" s="1540"/>
      <c r="V338" s="1572"/>
      <c r="W338" s="1573"/>
      <c r="X338" s="1560"/>
      <c r="Y338" s="1561"/>
      <c r="Z338" s="1561"/>
      <c r="AA338" s="1561"/>
      <c r="AB338" s="1561"/>
      <c r="AC338" s="1561"/>
      <c r="AD338" s="1540"/>
      <c r="AE338" s="1572"/>
      <c r="AF338" s="1573"/>
      <c r="AG338" s="1560"/>
      <c r="AH338" s="1561"/>
      <c r="AI338" s="1561"/>
      <c r="AJ338" s="1561"/>
      <c r="AK338" s="1561"/>
      <c r="AL338" s="1540"/>
      <c r="AM338" s="1577"/>
      <c r="AN338" s="1581"/>
      <c r="AO338" s="1573"/>
      <c r="AP338" s="1560"/>
      <c r="AQ338" s="1561"/>
      <c r="AR338" s="1561"/>
      <c r="AS338" s="1561"/>
      <c r="AT338" s="1561"/>
      <c r="AU338" s="1561"/>
      <c r="AV338" s="1540"/>
      <c r="AW338" s="1579"/>
      <c r="AX338" s="1573"/>
      <c r="AY338" s="1560"/>
      <c r="AZ338" s="1561"/>
      <c r="BA338" s="1561"/>
      <c r="BB338" s="1561"/>
      <c r="BC338" s="1561"/>
      <c r="BD338" s="1561"/>
      <c r="BE338" s="1540"/>
      <c r="BF338" s="1579"/>
      <c r="BG338" s="1573"/>
      <c r="BH338" s="1560"/>
      <c r="BI338" s="1561"/>
      <c r="BJ338" s="1561"/>
      <c r="BK338" s="1561"/>
      <c r="BL338" s="1561"/>
      <c r="BM338" s="1561"/>
      <c r="BN338" s="1540"/>
      <c r="BO338" s="1579"/>
      <c r="BP338" s="1573"/>
      <c r="BQ338" s="1560"/>
      <c r="BR338" s="1561"/>
      <c r="BS338" s="1561"/>
      <c r="BT338" s="1561"/>
      <c r="BU338" s="1561"/>
      <c r="BV338" s="1561"/>
      <c r="BW338" s="1540"/>
      <c r="BX338" s="1579"/>
      <c r="BY338" s="1573"/>
      <c r="BZ338" s="1560"/>
      <c r="CA338" s="1540"/>
      <c r="CB338" s="1540"/>
      <c r="CC338" s="1540"/>
      <c r="CD338" s="1540"/>
      <c r="CE338" s="1540"/>
      <c r="CF338" s="1561"/>
      <c r="CG338" s="1579"/>
      <c r="CH338" s="1597"/>
      <c r="CI338" s="1598">
        <f t="shared" si="115"/>
        <v>0</v>
      </c>
      <c r="CJ338" s="1616"/>
      <c r="CK338" s="1616"/>
      <c r="CL338" s="1617">
        <f t="shared" si="113"/>
        <v>0</v>
      </c>
      <c r="CM338" s="1618"/>
      <c r="CN338" s="1619">
        <f t="shared" si="114"/>
        <v>0</v>
      </c>
      <c r="CO338" s="403"/>
      <c r="CP338" s="403"/>
      <c r="CQ338" s="403"/>
    </row>
    <row r="339" spans="1:95" s="1223" customFormat="1" ht="21" thickBot="1">
      <c r="A339" s="537"/>
      <c r="B339" s="550"/>
      <c r="C339" s="549"/>
      <c r="D339" s="544"/>
      <c r="E339" s="546"/>
      <c r="F339" s="1538"/>
      <c r="G339" s="1539"/>
      <c r="H339" s="1540"/>
      <c r="I339" s="1539"/>
      <c r="J339" s="1539"/>
      <c r="K339" s="1539"/>
      <c r="L339" s="1539"/>
      <c r="M339" s="1558"/>
      <c r="N339" s="1559"/>
      <c r="O339" s="1560"/>
      <c r="P339" s="1561"/>
      <c r="Q339" s="1561"/>
      <c r="R339" s="1561"/>
      <c r="S339" s="1561"/>
      <c r="T339" s="1561"/>
      <c r="U339" s="1540"/>
      <c r="V339" s="1572"/>
      <c r="W339" s="1573"/>
      <c r="X339" s="1560"/>
      <c r="Y339" s="1561"/>
      <c r="Z339" s="1561"/>
      <c r="AA339" s="1561"/>
      <c r="AB339" s="1561"/>
      <c r="AC339" s="1561"/>
      <c r="AD339" s="1540"/>
      <c r="AE339" s="1572"/>
      <c r="AF339" s="1573"/>
      <c r="AG339" s="1560"/>
      <c r="AH339" s="1561"/>
      <c r="AI339" s="1561"/>
      <c r="AJ339" s="1561"/>
      <c r="AK339" s="1561"/>
      <c r="AL339" s="1540"/>
      <c r="AM339" s="1577"/>
      <c r="AN339" s="1581"/>
      <c r="AO339" s="1573"/>
      <c r="AP339" s="1560"/>
      <c r="AQ339" s="1561"/>
      <c r="AR339" s="1561"/>
      <c r="AS339" s="1561"/>
      <c r="AT339" s="1561"/>
      <c r="AU339" s="1561"/>
      <c r="AV339" s="1540"/>
      <c r="AW339" s="1579"/>
      <c r="AX339" s="1573"/>
      <c r="AY339" s="1560"/>
      <c r="AZ339" s="1561"/>
      <c r="BA339" s="1561"/>
      <c r="BB339" s="1561"/>
      <c r="BC339" s="1561"/>
      <c r="BD339" s="1561"/>
      <c r="BE339" s="1540"/>
      <c r="BF339" s="1579"/>
      <c r="BG339" s="1573"/>
      <c r="BH339" s="1560"/>
      <c r="BI339" s="1561"/>
      <c r="BJ339" s="1561"/>
      <c r="BK339" s="1561"/>
      <c r="BL339" s="1561"/>
      <c r="BM339" s="1561"/>
      <c r="BN339" s="1540"/>
      <c r="BO339" s="1579"/>
      <c r="BP339" s="1573"/>
      <c r="BQ339" s="1560"/>
      <c r="BR339" s="1561"/>
      <c r="BS339" s="1561"/>
      <c r="BT339" s="1561"/>
      <c r="BU339" s="1561"/>
      <c r="BV339" s="1561"/>
      <c r="BW339" s="1540"/>
      <c r="BX339" s="1579"/>
      <c r="BY339" s="1573"/>
      <c r="BZ339" s="1560"/>
      <c r="CA339" s="1540"/>
      <c r="CB339" s="1540"/>
      <c r="CC339" s="1540"/>
      <c r="CD339" s="1540"/>
      <c r="CE339" s="1540"/>
      <c r="CF339" s="1561"/>
      <c r="CG339" s="1579"/>
      <c r="CH339" s="1597"/>
      <c r="CI339" s="1598">
        <f t="shared" si="115"/>
        <v>0</v>
      </c>
      <c r="CJ339" s="1616"/>
      <c r="CK339" s="1616"/>
      <c r="CL339" s="1617">
        <f t="shared" si="113"/>
        <v>0</v>
      </c>
      <c r="CM339" s="1618"/>
      <c r="CN339" s="1619">
        <f t="shared" si="114"/>
        <v>0</v>
      </c>
    </row>
    <row r="340" spans="1:95" s="283" customFormat="1" ht="21" thickBot="1">
      <c r="A340" s="537"/>
      <c r="B340" s="550"/>
      <c r="C340" s="549"/>
      <c r="D340" s="544"/>
      <c r="E340" s="546"/>
      <c r="F340" s="1538"/>
      <c r="G340" s="1539"/>
      <c r="H340" s="1540"/>
      <c r="I340" s="1539"/>
      <c r="J340" s="1539"/>
      <c r="K340" s="1539"/>
      <c r="L340" s="1539"/>
      <c r="M340" s="1558"/>
      <c r="N340" s="1559"/>
      <c r="O340" s="1560"/>
      <c r="P340" s="1561"/>
      <c r="Q340" s="1561"/>
      <c r="R340" s="1561"/>
      <c r="S340" s="1561"/>
      <c r="T340" s="1561"/>
      <c r="U340" s="1540"/>
      <c r="V340" s="1572"/>
      <c r="W340" s="1573"/>
      <c r="X340" s="1560"/>
      <c r="Y340" s="1561"/>
      <c r="Z340" s="1561"/>
      <c r="AA340" s="1561"/>
      <c r="AB340" s="1561"/>
      <c r="AC340" s="1561"/>
      <c r="AD340" s="1540"/>
      <c r="AE340" s="1572"/>
      <c r="AF340" s="1573"/>
      <c r="AG340" s="1560"/>
      <c r="AH340" s="1561"/>
      <c r="AI340" s="1561"/>
      <c r="AJ340" s="1561"/>
      <c r="AK340" s="1561"/>
      <c r="AL340" s="1540"/>
      <c r="AM340" s="1577"/>
      <c r="AN340" s="1581"/>
      <c r="AO340" s="1573"/>
      <c r="AP340" s="1560"/>
      <c r="AQ340" s="1561"/>
      <c r="AR340" s="1561"/>
      <c r="AS340" s="1561"/>
      <c r="AT340" s="1561"/>
      <c r="AU340" s="1561"/>
      <c r="AV340" s="1540"/>
      <c r="AW340" s="1579"/>
      <c r="AX340" s="1573"/>
      <c r="AY340" s="1560"/>
      <c r="AZ340" s="1561"/>
      <c r="BA340" s="1561"/>
      <c r="BB340" s="1561"/>
      <c r="BC340" s="1561"/>
      <c r="BD340" s="1561"/>
      <c r="BE340" s="1540"/>
      <c r="BF340" s="1579"/>
      <c r="BG340" s="1573"/>
      <c r="BH340" s="1560"/>
      <c r="BI340" s="1561"/>
      <c r="BJ340" s="1561"/>
      <c r="BK340" s="1561"/>
      <c r="BL340" s="1561"/>
      <c r="BM340" s="1561"/>
      <c r="BN340" s="1540"/>
      <c r="BO340" s="1579"/>
      <c r="BP340" s="1573"/>
      <c r="BQ340" s="1560"/>
      <c r="BR340" s="1561"/>
      <c r="BS340" s="1561"/>
      <c r="BT340" s="1561"/>
      <c r="BU340" s="1561"/>
      <c r="BV340" s="1561"/>
      <c r="BW340" s="1540"/>
      <c r="BX340" s="1579"/>
      <c r="BY340" s="1573"/>
      <c r="BZ340" s="1560"/>
      <c r="CA340" s="1540"/>
      <c r="CB340" s="1540"/>
      <c r="CC340" s="1540"/>
      <c r="CD340" s="1540"/>
      <c r="CE340" s="1540"/>
      <c r="CF340" s="1561"/>
      <c r="CG340" s="1579"/>
      <c r="CH340" s="1597"/>
      <c r="CI340" s="1598">
        <f t="shared" si="115"/>
        <v>0</v>
      </c>
      <c r="CJ340" s="1616"/>
      <c r="CK340" s="1616"/>
      <c r="CL340" s="1617">
        <f t="shared" si="113"/>
        <v>0</v>
      </c>
      <c r="CM340" s="1618"/>
      <c r="CN340" s="1619">
        <f t="shared" si="114"/>
        <v>0</v>
      </c>
      <c r="CP340" s="1500"/>
    </row>
    <row r="341" spans="1:95" s="283" customFormat="1" ht="21" thickBot="1">
      <c r="A341" s="551"/>
      <c r="B341" s="550"/>
      <c r="C341" s="549"/>
      <c r="D341" s="544"/>
      <c r="E341" s="546"/>
      <c r="F341" s="1538"/>
      <c r="G341" s="1539"/>
      <c r="H341" s="1540"/>
      <c r="I341" s="1539"/>
      <c r="J341" s="1539"/>
      <c r="K341" s="1539"/>
      <c r="L341" s="1539"/>
      <c r="M341" s="1558"/>
      <c r="N341" s="1559"/>
      <c r="O341" s="1560"/>
      <c r="P341" s="1561"/>
      <c r="Q341" s="1561"/>
      <c r="R341" s="1561"/>
      <c r="S341" s="1561"/>
      <c r="T341" s="1561"/>
      <c r="U341" s="1540"/>
      <c r="V341" s="1572"/>
      <c r="W341" s="1573"/>
      <c r="X341" s="1560"/>
      <c r="Y341" s="1561"/>
      <c r="Z341" s="1561"/>
      <c r="AA341" s="1561"/>
      <c r="AB341" s="1561"/>
      <c r="AC341" s="1561"/>
      <c r="AD341" s="1540"/>
      <c r="AE341" s="1572"/>
      <c r="AF341" s="1573"/>
      <c r="AG341" s="1560"/>
      <c r="AH341" s="1561"/>
      <c r="AI341" s="1561"/>
      <c r="AJ341" s="1561"/>
      <c r="AK341" s="1561"/>
      <c r="AL341" s="1540"/>
      <c r="AM341" s="1577"/>
      <c r="AN341" s="1581"/>
      <c r="AO341" s="1573"/>
      <c r="AP341" s="1560"/>
      <c r="AQ341" s="1561"/>
      <c r="AR341" s="1561"/>
      <c r="AS341" s="1561"/>
      <c r="AT341" s="1561"/>
      <c r="AU341" s="1561"/>
      <c r="AV341" s="1540"/>
      <c r="AW341" s="1579"/>
      <c r="AX341" s="1573"/>
      <c r="AY341" s="1560"/>
      <c r="AZ341" s="1561"/>
      <c r="BA341" s="1561"/>
      <c r="BB341" s="1561"/>
      <c r="BC341" s="1561"/>
      <c r="BD341" s="1561"/>
      <c r="BE341" s="1540"/>
      <c r="BF341" s="1579"/>
      <c r="BG341" s="1573"/>
      <c r="BH341" s="1560"/>
      <c r="BI341" s="1561"/>
      <c r="BJ341" s="1561"/>
      <c r="BK341" s="1561"/>
      <c r="BL341" s="1561"/>
      <c r="BM341" s="1561"/>
      <c r="BN341" s="1540"/>
      <c r="BO341" s="1579"/>
      <c r="BP341" s="1573"/>
      <c r="BQ341" s="1560"/>
      <c r="BR341" s="1561"/>
      <c r="BS341" s="1561"/>
      <c r="BT341" s="1561"/>
      <c r="BU341" s="1561"/>
      <c r="BV341" s="1561"/>
      <c r="BW341" s="1540"/>
      <c r="BX341" s="1579"/>
      <c r="BY341" s="1573"/>
      <c r="BZ341" s="1560"/>
      <c r="CA341" s="1540"/>
      <c r="CB341" s="1540"/>
      <c r="CC341" s="1540"/>
      <c r="CD341" s="1540"/>
      <c r="CE341" s="1540"/>
      <c r="CF341" s="1561"/>
      <c r="CG341" s="1579"/>
      <c r="CH341" s="1597"/>
      <c r="CI341" s="1598">
        <f t="shared" si="115"/>
        <v>0</v>
      </c>
      <c r="CJ341" s="1616"/>
      <c r="CK341" s="1616"/>
      <c r="CL341" s="1617">
        <f t="shared" si="113"/>
        <v>0</v>
      </c>
      <c r="CM341" s="1618"/>
      <c r="CN341" s="1619">
        <f t="shared" si="114"/>
        <v>0</v>
      </c>
      <c r="CP341" s="1500"/>
    </row>
    <row r="342" spans="1:95" s="283" customFormat="1" ht="21" thickBot="1">
      <c r="A342" s="537"/>
      <c r="B342" s="550"/>
      <c r="C342" s="549"/>
      <c r="D342" s="544"/>
      <c r="E342" s="546"/>
      <c r="F342" s="1538"/>
      <c r="G342" s="1539"/>
      <c r="H342" s="1540"/>
      <c r="I342" s="1539"/>
      <c r="J342" s="1539"/>
      <c r="K342" s="1539"/>
      <c r="L342" s="1539"/>
      <c r="M342" s="1558"/>
      <c r="N342" s="1559"/>
      <c r="O342" s="1560"/>
      <c r="P342" s="1561"/>
      <c r="Q342" s="1561"/>
      <c r="R342" s="1561"/>
      <c r="S342" s="1561"/>
      <c r="T342" s="1561"/>
      <c r="U342" s="1540"/>
      <c r="V342" s="1572"/>
      <c r="W342" s="1573"/>
      <c r="X342" s="1560"/>
      <c r="Y342" s="1561"/>
      <c r="Z342" s="1561"/>
      <c r="AA342" s="1561"/>
      <c r="AB342" s="1561"/>
      <c r="AC342" s="1561"/>
      <c r="AD342" s="1540"/>
      <c r="AE342" s="1572"/>
      <c r="AF342" s="1573"/>
      <c r="AG342" s="1560"/>
      <c r="AH342" s="1561"/>
      <c r="AI342" s="1561"/>
      <c r="AJ342" s="1561"/>
      <c r="AK342" s="1561"/>
      <c r="AL342" s="1540"/>
      <c r="AM342" s="1577"/>
      <c r="AN342" s="1581"/>
      <c r="AO342" s="1573"/>
      <c r="AP342" s="1560"/>
      <c r="AQ342" s="1561"/>
      <c r="AR342" s="1561"/>
      <c r="AS342" s="1561"/>
      <c r="AT342" s="1561"/>
      <c r="AU342" s="1561"/>
      <c r="AV342" s="1540"/>
      <c r="AW342" s="1579"/>
      <c r="AX342" s="1573"/>
      <c r="AY342" s="1560"/>
      <c r="AZ342" s="1561"/>
      <c r="BA342" s="1561"/>
      <c r="BB342" s="1561"/>
      <c r="BC342" s="1561"/>
      <c r="BD342" s="1561"/>
      <c r="BE342" s="1540"/>
      <c r="BF342" s="1579"/>
      <c r="BG342" s="1573"/>
      <c r="BH342" s="1560"/>
      <c r="BI342" s="1561"/>
      <c r="BJ342" s="1561"/>
      <c r="BK342" s="1561"/>
      <c r="BL342" s="1561"/>
      <c r="BM342" s="1561"/>
      <c r="BN342" s="1540"/>
      <c r="BO342" s="1579"/>
      <c r="BP342" s="1573"/>
      <c r="BQ342" s="1560"/>
      <c r="BR342" s="1561"/>
      <c r="BS342" s="1561"/>
      <c r="BT342" s="1561"/>
      <c r="BU342" s="1561"/>
      <c r="BV342" s="1561"/>
      <c r="BW342" s="1540"/>
      <c r="BX342" s="1579"/>
      <c r="BY342" s="1573"/>
      <c r="BZ342" s="1560"/>
      <c r="CA342" s="1540"/>
      <c r="CB342" s="1540"/>
      <c r="CC342" s="1540"/>
      <c r="CD342" s="1540"/>
      <c r="CE342" s="1540"/>
      <c r="CF342" s="1561"/>
      <c r="CG342" s="1579"/>
      <c r="CH342" s="1597"/>
      <c r="CI342" s="1598">
        <f t="shared" si="115"/>
        <v>0</v>
      </c>
      <c r="CJ342" s="1616"/>
      <c r="CK342" s="1616"/>
      <c r="CL342" s="1617">
        <f t="shared" si="113"/>
        <v>0</v>
      </c>
      <c r="CM342" s="1618"/>
      <c r="CN342" s="1619">
        <f t="shared" si="114"/>
        <v>0</v>
      </c>
    </row>
    <row r="343" spans="1:95" s="1227" customFormat="1" ht="21" thickBot="1">
      <c r="A343" s="537"/>
      <c r="B343" s="550"/>
      <c r="C343" s="549"/>
      <c r="D343" s="544"/>
      <c r="E343" s="546"/>
      <c r="F343" s="1538"/>
      <c r="G343" s="1539"/>
      <c r="H343" s="1540"/>
      <c r="I343" s="1539"/>
      <c r="J343" s="1539"/>
      <c r="K343" s="1539"/>
      <c r="L343" s="1539"/>
      <c r="M343" s="1558"/>
      <c r="N343" s="1559"/>
      <c r="O343" s="1560"/>
      <c r="P343" s="1561"/>
      <c r="Q343" s="1561"/>
      <c r="R343" s="1561"/>
      <c r="S343" s="1561"/>
      <c r="T343" s="1561"/>
      <c r="U343" s="1540"/>
      <c r="V343" s="1572"/>
      <c r="W343" s="1573"/>
      <c r="X343" s="1560"/>
      <c r="Y343" s="1561"/>
      <c r="Z343" s="1561"/>
      <c r="AA343" s="1561"/>
      <c r="AB343" s="1561"/>
      <c r="AC343" s="1561"/>
      <c r="AD343" s="1540"/>
      <c r="AE343" s="1572"/>
      <c r="AF343" s="1573"/>
      <c r="AG343" s="1560"/>
      <c r="AH343" s="1561"/>
      <c r="AI343" s="1561"/>
      <c r="AJ343" s="1561"/>
      <c r="AK343" s="1561"/>
      <c r="AL343" s="1540"/>
      <c r="AM343" s="1577"/>
      <c r="AN343" s="1581"/>
      <c r="AO343" s="1573"/>
      <c r="AP343" s="1560"/>
      <c r="AQ343" s="1561"/>
      <c r="AR343" s="1561"/>
      <c r="AS343" s="1561"/>
      <c r="AT343" s="1561"/>
      <c r="AU343" s="1561"/>
      <c r="AV343" s="1540"/>
      <c r="AW343" s="1579"/>
      <c r="AX343" s="1573"/>
      <c r="AY343" s="1560"/>
      <c r="AZ343" s="1561"/>
      <c r="BA343" s="1561"/>
      <c r="BB343" s="1561"/>
      <c r="BC343" s="1561"/>
      <c r="BD343" s="1561"/>
      <c r="BE343" s="1540"/>
      <c r="BF343" s="1579"/>
      <c r="BG343" s="1573"/>
      <c r="BH343" s="1560"/>
      <c r="BI343" s="1561"/>
      <c r="BJ343" s="1561"/>
      <c r="BK343" s="1561"/>
      <c r="BL343" s="1561"/>
      <c r="BM343" s="1561"/>
      <c r="BN343" s="1540"/>
      <c r="BO343" s="1579"/>
      <c r="BP343" s="1573"/>
      <c r="BQ343" s="1560"/>
      <c r="BR343" s="1561"/>
      <c r="BS343" s="1561"/>
      <c r="BT343" s="1561"/>
      <c r="BU343" s="1561"/>
      <c r="BV343" s="1561"/>
      <c r="BW343" s="1540"/>
      <c r="BX343" s="1579"/>
      <c r="BY343" s="1573"/>
      <c r="BZ343" s="1560"/>
      <c r="CA343" s="1540"/>
      <c r="CB343" s="1540"/>
      <c r="CC343" s="1540"/>
      <c r="CD343" s="1540"/>
      <c r="CE343" s="1540"/>
      <c r="CF343" s="1561"/>
      <c r="CG343" s="1579"/>
      <c r="CH343" s="1597"/>
      <c r="CI343" s="1598">
        <f t="shared" si="115"/>
        <v>0</v>
      </c>
      <c r="CJ343" s="1616"/>
      <c r="CK343" s="1616"/>
      <c r="CL343" s="1617">
        <f t="shared" si="113"/>
        <v>0</v>
      </c>
      <c r="CM343" s="1618"/>
      <c r="CN343" s="1619">
        <f t="shared" si="114"/>
        <v>0</v>
      </c>
      <c r="CO343" s="403"/>
      <c r="CP343" s="403"/>
      <c r="CQ343" s="403"/>
    </row>
    <row r="344" spans="1:95" s="1" customFormat="1" ht="21" thickBot="1">
      <c r="A344" s="551"/>
      <c r="B344" s="550"/>
      <c r="C344" s="549"/>
      <c r="D344" s="544"/>
      <c r="E344" s="546"/>
      <c r="F344" s="1538"/>
      <c r="G344" s="1539"/>
      <c r="H344" s="1540"/>
      <c r="I344" s="1539"/>
      <c r="J344" s="1539"/>
      <c r="K344" s="1539"/>
      <c r="L344" s="1539"/>
      <c r="M344" s="1558"/>
      <c r="N344" s="1559"/>
      <c r="O344" s="1560"/>
      <c r="P344" s="1561"/>
      <c r="Q344" s="1561"/>
      <c r="R344" s="1561"/>
      <c r="S344" s="1561"/>
      <c r="T344" s="1561"/>
      <c r="U344" s="1540"/>
      <c r="V344" s="1572"/>
      <c r="W344" s="1573"/>
      <c r="X344" s="1560"/>
      <c r="Y344" s="1561"/>
      <c r="Z344" s="1561"/>
      <c r="AA344" s="1561"/>
      <c r="AB344" s="1561"/>
      <c r="AC344" s="1561"/>
      <c r="AD344" s="1540"/>
      <c r="AE344" s="1572"/>
      <c r="AF344" s="1573"/>
      <c r="AG344" s="1560"/>
      <c r="AH344" s="1561"/>
      <c r="AI344" s="1561"/>
      <c r="AJ344" s="1561"/>
      <c r="AK344" s="1561"/>
      <c r="AL344" s="1540"/>
      <c r="AM344" s="1577"/>
      <c r="AN344" s="1581"/>
      <c r="AO344" s="1573"/>
      <c r="AP344" s="1560"/>
      <c r="AQ344" s="1561"/>
      <c r="AR344" s="1561"/>
      <c r="AS344" s="1561"/>
      <c r="AT344" s="1561"/>
      <c r="AU344" s="1561"/>
      <c r="AV344" s="1540"/>
      <c r="AW344" s="1579"/>
      <c r="AX344" s="1573"/>
      <c r="AY344" s="1560"/>
      <c r="AZ344" s="1561"/>
      <c r="BA344" s="1561"/>
      <c r="BB344" s="1561"/>
      <c r="BC344" s="1561"/>
      <c r="BD344" s="1561"/>
      <c r="BE344" s="1540"/>
      <c r="BF344" s="1579"/>
      <c r="BG344" s="1573"/>
      <c r="BH344" s="1560"/>
      <c r="BI344" s="1561"/>
      <c r="BJ344" s="1561"/>
      <c r="BK344" s="1561"/>
      <c r="BL344" s="1561"/>
      <c r="BM344" s="1561"/>
      <c r="BN344" s="1540"/>
      <c r="BO344" s="1579"/>
      <c r="BP344" s="1573"/>
      <c r="BQ344" s="1560"/>
      <c r="BR344" s="1561"/>
      <c r="BS344" s="1561"/>
      <c r="BT344" s="1561"/>
      <c r="BU344" s="1561"/>
      <c r="BV344" s="1561"/>
      <c r="BW344" s="1540"/>
      <c r="BX344" s="1579"/>
      <c r="BY344" s="1573"/>
      <c r="BZ344" s="1560"/>
      <c r="CA344" s="1540"/>
      <c r="CB344" s="1540"/>
      <c r="CC344" s="1540"/>
      <c r="CD344" s="1540"/>
      <c r="CE344" s="1540"/>
      <c r="CF344" s="1561"/>
      <c r="CG344" s="1579"/>
      <c r="CH344" s="1597"/>
      <c r="CI344" s="1598">
        <f t="shared" si="115"/>
        <v>0</v>
      </c>
      <c r="CJ344" s="1616"/>
      <c r="CK344" s="1616"/>
      <c r="CL344" s="1617">
        <f t="shared" si="113"/>
        <v>0</v>
      </c>
      <c r="CM344" s="1618"/>
      <c r="CN344" s="1619">
        <f t="shared" si="114"/>
        <v>0</v>
      </c>
    </row>
    <row r="345" spans="1:95" s="1" customFormat="1" ht="21" thickBot="1">
      <c r="A345" s="537"/>
      <c r="B345" s="550"/>
      <c r="C345" s="549"/>
      <c r="D345" s="544"/>
      <c r="E345" s="546"/>
      <c r="F345" s="1538"/>
      <c r="G345" s="1539"/>
      <c r="H345" s="1540"/>
      <c r="I345" s="1539"/>
      <c r="J345" s="1539"/>
      <c r="K345" s="1539"/>
      <c r="L345" s="1539"/>
      <c r="M345" s="1558"/>
      <c r="N345" s="1559"/>
      <c r="O345" s="1560"/>
      <c r="P345" s="1561"/>
      <c r="Q345" s="1561"/>
      <c r="R345" s="1561"/>
      <c r="S345" s="1561"/>
      <c r="T345" s="1561"/>
      <c r="U345" s="1540"/>
      <c r="V345" s="1572"/>
      <c r="W345" s="1573"/>
      <c r="X345" s="1560"/>
      <c r="Y345" s="1561"/>
      <c r="Z345" s="1561"/>
      <c r="AA345" s="1561"/>
      <c r="AB345" s="1561"/>
      <c r="AC345" s="1561"/>
      <c r="AD345" s="1540"/>
      <c r="AE345" s="1572"/>
      <c r="AF345" s="1573"/>
      <c r="AG345" s="1560"/>
      <c r="AH345" s="1561"/>
      <c r="AI345" s="1561"/>
      <c r="AJ345" s="1561"/>
      <c r="AK345" s="1561"/>
      <c r="AL345" s="1540"/>
      <c r="AM345" s="1577"/>
      <c r="AN345" s="1581"/>
      <c r="AO345" s="1573"/>
      <c r="AP345" s="1560"/>
      <c r="AQ345" s="1561"/>
      <c r="AR345" s="1561"/>
      <c r="AS345" s="1561"/>
      <c r="AT345" s="1561"/>
      <c r="AU345" s="1561"/>
      <c r="AV345" s="1540"/>
      <c r="AW345" s="1579"/>
      <c r="AX345" s="1573"/>
      <c r="AY345" s="1560"/>
      <c r="AZ345" s="1561"/>
      <c r="BA345" s="1561"/>
      <c r="BB345" s="1561"/>
      <c r="BC345" s="1561"/>
      <c r="BD345" s="1561"/>
      <c r="BE345" s="1540"/>
      <c r="BF345" s="1579"/>
      <c r="BG345" s="1573"/>
      <c r="BH345" s="1560"/>
      <c r="BI345" s="1561"/>
      <c r="BJ345" s="1561"/>
      <c r="BK345" s="1561"/>
      <c r="BL345" s="1561"/>
      <c r="BM345" s="1561"/>
      <c r="BN345" s="1540"/>
      <c r="BO345" s="1579"/>
      <c r="BP345" s="1573"/>
      <c r="BQ345" s="1560"/>
      <c r="BR345" s="1561"/>
      <c r="BS345" s="1561"/>
      <c r="BT345" s="1561"/>
      <c r="BU345" s="1561"/>
      <c r="BV345" s="1561"/>
      <c r="BW345" s="1540"/>
      <c r="BX345" s="1579"/>
      <c r="BY345" s="1573"/>
      <c r="BZ345" s="1560"/>
      <c r="CA345" s="1540"/>
      <c r="CB345" s="1540"/>
      <c r="CC345" s="1540"/>
      <c r="CD345" s="1540"/>
      <c r="CE345" s="1540"/>
      <c r="CF345" s="1561"/>
      <c r="CG345" s="1579"/>
      <c r="CH345" s="1597"/>
      <c r="CI345" s="1598">
        <f t="shared" si="115"/>
        <v>0</v>
      </c>
      <c r="CJ345" s="1616"/>
      <c r="CK345" s="1616"/>
      <c r="CL345" s="1617">
        <f t="shared" si="113"/>
        <v>0</v>
      </c>
      <c r="CM345" s="1618"/>
      <c r="CN345" s="1619">
        <f t="shared" si="114"/>
        <v>0</v>
      </c>
    </row>
    <row r="346" spans="1:95" ht="21" thickBot="1">
      <c r="A346" s="537"/>
      <c r="B346" s="550"/>
      <c r="C346" s="549"/>
      <c r="D346" s="544"/>
      <c r="E346" s="546"/>
      <c r="F346" s="1538"/>
      <c r="G346" s="1539"/>
      <c r="H346" s="1540"/>
      <c r="I346" s="1539"/>
      <c r="J346" s="1539"/>
      <c r="K346" s="1539"/>
      <c r="L346" s="1539"/>
      <c r="M346" s="1558"/>
      <c r="N346" s="1559"/>
      <c r="O346" s="1560"/>
      <c r="P346" s="1561"/>
      <c r="Q346" s="1561"/>
      <c r="R346" s="1561"/>
      <c r="S346" s="1561"/>
      <c r="T346" s="1561"/>
      <c r="U346" s="1540"/>
      <c r="V346" s="1572"/>
      <c r="W346" s="1573"/>
      <c r="X346" s="1560"/>
      <c r="Y346" s="1561"/>
      <c r="Z346" s="1561"/>
      <c r="AA346" s="1561"/>
      <c r="AB346" s="1561"/>
      <c r="AC346" s="1561"/>
      <c r="AD346" s="1540"/>
      <c r="AE346" s="1572"/>
      <c r="AF346" s="1573"/>
      <c r="AG346" s="1560"/>
      <c r="AH346" s="1561"/>
      <c r="AI346" s="1561"/>
      <c r="AJ346" s="1561"/>
      <c r="AK346" s="1561"/>
      <c r="AL346" s="1540"/>
      <c r="AM346" s="1577"/>
      <c r="AN346" s="1581"/>
      <c r="AO346" s="1573"/>
      <c r="AP346" s="1560"/>
      <c r="AQ346" s="1561"/>
      <c r="AR346" s="1561"/>
      <c r="AS346" s="1561"/>
      <c r="AT346" s="1561"/>
      <c r="AU346" s="1561"/>
      <c r="AV346" s="1540"/>
      <c r="AW346" s="1579"/>
      <c r="AX346" s="1573"/>
      <c r="AY346" s="1560"/>
      <c r="AZ346" s="1561"/>
      <c r="BA346" s="1561"/>
      <c r="BB346" s="1561"/>
      <c r="BC346" s="1561"/>
      <c r="BD346" s="1561"/>
      <c r="BE346" s="1540"/>
      <c r="BF346" s="1579"/>
      <c r="BG346" s="1573"/>
      <c r="BH346" s="1560"/>
      <c r="BI346" s="1561"/>
      <c r="BJ346" s="1561"/>
      <c r="BK346" s="1561"/>
      <c r="BL346" s="1561"/>
      <c r="BM346" s="1561"/>
      <c r="BN346" s="1540"/>
      <c r="BO346" s="1579"/>
      <c r="BP346" s="1573"/>
      <c r="BQ346" s="1560"/>
      <c r="BR346" s="1561"/>
      <c r="BS346" s="1561"/>
      <c r="BT346" s="1561"/>
      <c r="BU346" s="1561"/>
      <c r="BV346" s="1561"/>
      <c r="BW346" s="1540"/>
      <c r="BX346" s="1579"/>
      <c r="BY346" s="1573"/>
      <c r="BZ346" s="1560"/>
      <c r="CA346" s="1540"/>
      <c r="CB346" s="1540"/>
      <c r="CC346" s="1540"/>
      <c r="CD346" s="1540"/>
      <c r="CE346" s="1540"/>
      <c r="CF346" s="1561"/>
      <c r="CG346" s="1579"/>
      <c r="CH346" s="1597"/>
      <c r="CI346" s="1598">
        <f t="shared" si="115"/>
        <v>0</v>
      </c>
      <c r="CJ346" s="1616"/>
      <c r="CK346" s="1616"/>
      <c r="CL346" s="1617">
        <f t="shared" si="113"/>
        <v>0</v>
      </c>
      <c r="CM346" s="1618"/>
      <c r="CN346" s="1619">
        <f t="shared" si="114"/>
        <v>0</v>
      </c>
    </row>
    <row r="347" spans="1:95" ht="21" thickBot="1">
      <c r="A347" s="537"/>
      <c r="B347" s="550"/>
      <c r="C347" s="549"/>
      <c r="D347" s="544"/>
      <c r="E347" s="546"/>
      <c r="F347" s="1538"/>
      <c r="G347" s="1539"/>
      <c r="H347" s="1540"/>
      <c r="I347" s="1539"/>
      <c r="J347" s="1539"/>
      <c r="K347" s="1539"/>
      <c r="L347" s="1539"/>
      <c r="M347" s="1558"/>
      <c r="N347" s="1559"/>
      <c r="O347" s="1560"/>
      <c r="P347" s="1561"/>
      <c r="Q347" s="1561"/>
      <c r="R347" s="1561"/>
      <c r="S347" s="1561"/>
      <c r="T347" s="1561"/>
      <c r="U347" s="1540"/>
      <c r="V347" s="1572"/>
      <c r="W347" s="1573"/>
      <c r="X347" s="1560"/>
      <c r="Y347" s="1561"/>
      <c r="Z347" s="1561"/>
      <c r="AA347" s="1561"/>
      <c r="AB347" s="1561"/>
      <c r="AC347" s="1561"/>
      <c r="AD347" s="1540"/>
      <c r="AE347" s="1572"/>
      <c r="AF347" s="1573"/>
      <c r="AG347" s="1560"/>
      <c r="AH347" s="1561"/>
      <c r="AI347" s="1561"/>
      <c r="AJ347" s="1561"/>
      <c r="AK347" s="1561"/>
      <c r="AL347" s="1540"/>
      <c r="AM347" s="1577"/>
      <c r="AN347" s="1581"/>
      <c r="AO347" s="1573"/>
      <c r="AP347" s="1560"/>
      <c r="AQ347" s="1561"/>
      <c r="AR347" s="1561"/>
      <c r="AS347" s="1561"/>
      <c r="AT347" s="1561"/>
      <c r="AU347" s="1561"/>
      <c r="AV347" s="1540"/>
      <c r="AW347" s="1579"/>
      <c r="AX347" s="1573"/>
      <c r="AY347" s="1560"/>
      <c r="AZ347" s="1561"/>
      <c r="BA347" s="1561"/>
      <c r="BB347" s="1561"/>
      <c r="BC347" s="1561"/>
      <c r="BD347" s="1561"/>
      <c r="BE347" s="1540"/>
      <c r="BF347" s="1579"/>
      <c r="BG347" s="1573"/>
      <c r="BH347" s="1560"/>
      <c r="BI347" s="1561"/>
      <c r="BJ347" s="1561"/>
      <c r="BK347" s="1561"/>
      <c r="BL347" s="1561"/>
      <c r="BM347" s="1561"/>
      <c r="BN347" s="1540"/>
      <c r="BO347" s="1579"/>
      <c r="BP347" s="1573"/>
      <c r="BQ347" s="1560"/>
      <c r="BR347" s="1561"/>
      <c r="BS347" s="1561"/>
      <c r="BT347" s="1561"/>
      <c r="BU347" s="1561"/>
      <c r="BV347" s="1561"/>
      <c r="BW347" s="1540"/>
      <c r="BX347" s="1579"/>
      <c r="BY347" s="1573"/>
      <c r="BZ347" s="1560"/>
      <c r="CA347" s="1540"/>
      <c r="CB347" s="1540"/>
      <c r="CC347" s="1540"/>
      <c r="CD347" s="1540"/>
      <c r="CE347" s="1540"/>
      <c r="CF347" s="1561"/>
      <c r="CG347" s="1579"/>
      <c r="CH347" s="1597"/>
      <c r="CI347" s="1598">
        <f t="shared" si="115"/>
        <v>0</v>
      </c>
      <c r="CJ347" s="1616"/>
      <c r="CK347" s="1616"/>
      <c r="CL347" s="1617">
        <f t="shared" si="113"/>
        <v>0</v>
      </c>
      <c r="CM347" s="1618"/>
      <c r="CN347" s="1619">
        <f t="shared" si="114"/>
        <v>0</v>
      </c>
    </row>
    <row r="348" spans="1:95" ht="21" thickBot="1">
      <c r="A348" s="551"/>
      <c r="B348" s="1201"/>
      <c r="C348" s="553"/>
      <c r="D348" s="544"/>
      <c r="E348" s="546"/>
      <c r="F348" s="1538"/>
      <c r="G348" s="1539"/>
      <c r="H348" s="1540"/>
      <c r="I348" s="1539"/>
      <c r="J348" s="1539"/>
      <c r="K348" s="1539"/>
      <c r="L348" s="1539"/>
      <c r="M348" s="1558"/>
      <c r="N348" s="1559"/>
      <c r="O348" s="1560"/>
      <c r="P348" s="1561"/>
      <c r="Q348" s="1561"/>
      <c r="R348" s="1561"/>
      <c r="S348" s="1561"/>
      <c r="T348" s="1561"/>
      <c r="U348" s="1540"/>
      <c r="V348" s="1572"/>
      <c r="W348" s="1573"/>
      <c r="X348" s="1560"/>
      <c r="Y348" s="1561"/>
      <c r="Z348" s="1561"/>
      <c r="AA348" s="1561"/>
      <c r="AB348" s="1561"/>
      <c r="AC348" s="1561"/>
      <c r="AD348" s="1540"/>
      <c r="AE348" s="1572"/>
      <c r="AF348" s="1573"/>
      <c r="AG348" s="1560"/>
      <c r="AH348" s="1561"/>
      <c r="AI348" s="1561"/>
      <c r="AJ348" s="1561"/>
      <c r="AK348" s="1561"/>
      <c r="AL348" s="1540"/>
      <c r="AM348" s="1577"/>
      <c r="AN348" s="1581"/>
      <c r="AO348" s="1573"/>
      <c r="AP348" s="1560"/>
      <c r="AQ348" s="1561"/>
      <c r="AR348" s="1561"/>
      <c r="AS348" s="1561"/>
      <c r="AT348" s="1561"/>
      <c r="AU348" s="1561"/>
      <c r="AV348" s="1540"/>
      <c r="AW348" s="1579"/>
      <c r="AX348" s="1573"/>
      <c r="AY348" s="1560"/>
      <c r="AZ348" s="1561"/>
      <c r="BA348" s="1561"/>
      <c r="BB348" s="1561"/>
      <c r="BC348" s="1561"/>
      <c r="BD348" s="1561"/>
      <c r="BE348" s="1540"/>
      <c r="BF348" s="1579"/>
      <c r="BG348" s="1573"/>
      <c r="BH348" s="1560"/>
      <c r="BI348" s="1561"/>
      <c r="BJ348" s="1561"/>
      <c r="BK348" s="1561"/>
      <c r="BL348" s="1561"/>
      <c r="BM348" s="1561"/>
      <c r="BN348" s="1540"/>
      <c r="BO348" s="1579"/>
      <c r="BP348" s="1573"/>
      <c r="BQ348" s="1560"/>
      <c r="BR348" s="1561"/>
      <c r="BS348" s="1561"/>
      <c r="BT348" s="1561"/>
      <c r="BU348" s="1561"/>
      <c r="BV348" s="1561"/>
      <c r="BW348" s="1540"/>
      <c r="BX348" s="1579"/>
      <c r="BY348" s="1573"/>
      <c r="BZ348" s="1560"/>
      <c r="CA348" s="1540"/>
      <c r="CB348" s="1540"/>
      <c r="CC348" s="1540"/>
      <c r="CD348" s="1540"/>
      <c r="CE348" s="1540"/>
      <c r="CF348" s="1561"/>
      <c r="CG348" s="1579"/>
      <c r="CH348" s="1597"/>
      <c r="CI348" s="1598">
        <f t="shared" si="115"/>
        <v>0</v>
      </c>
      <c r="CJ348" s="1616"/>
      <c r="CK348" s="1616"/>
      <c r="CL348" s="1617">
        <f t="shared" si="113"/>
        <v>0</v>
      </c>
      <c r="CM348" s="1618"/>
      <c r="CN348" s="1619">
        <f t="shared" si="114"/>
        <v>0</v>
      </c>
    </row>
    <row r="349" spans="1:95" ht="21" thickBot="1">
      <c r="A349" s="1620"/>
      <c r="B349" s="1621"/>
      <c r="C349" s="1622"/>
      <c r="D349" s="1623"/>
      <c r="E349" s="546"/>
      <c r="F349" s="1538"/>
      <c r="G349" s="1539"/>
      <c r="H349" s="1540"/>
      <c r="I349" s="1539"/>
      <c r="J349" s="1539"/>
      <c r="K349" s="1539"/>
      <c r="L349" s="1539"/>
      <c r="M349" s="1558"/>
      <c r="N349" s="1559"/>
      <c r="O349" s="1560"/>
      <c r="P349" s="1561"/>
      <c r="Q349" s="1561"/>
      <c r="R349" s="1561"/>
      <c r="S349" s="1561"/>
      <c r="T349" s="1561"/>
      <c r="U349" s="1540"/>
      <c r="V349" s="1572"/>
      <c r="W349" s="1573"/>
      <c r="X349" s="1560"/>
      <c r="Y349" s="1561"/>
      <c r="Z349" s="1561"/>
      <c r="AA349" s="1561"/>
      <c r="AB349" s="1561"/>
      <c r="AC349" s="1561"/>
      <c r="AD349" s="1540"/>
      <c r="AE349" s="1572"/>
      <c r="AF349" s="1573"/>
      <c r="AG349" s="1560"/>
      <c r="AH349" s="1561"/>
      <c r="AI349" s="1561"/>
      <c r="AJ349" s="1561"/>
      <c r="AK349" s="1561"/>
      <c r="AL349" s="1540"/>
      <c r="AM349" s="1577"/>
      <c r="AN349" s="1581"/>
      <c r="AO349" s="1573"/>
      <c r="AP349" s="1560"/>
      <c r="AQ349" s="1561"/>
      <c r="AR349" s="1561"/>
      <c r="AS349" s="1561"/>
      <c r="AT349" s="1561"/>
      <c r="AU349" s="1561"/>
      <c r="AV349" s="1540"/>
      <c r="AW349" s="1579"/>
      <c r="AX349" s="1573"/>
      <c r="AY349" s="1560"/>
      <c r="AZ349" s="1561"/>
      <c r="BA349" s="1561"/>
      <c r="BB349" s="1561"/>
      <c r="BC349" s="1561"/>
      <c r="BD349" s="1561"/>
      <c r="BE349" s="1540"/>
      <c r="BF349" s="1579"/>
      <c r="BG349" s="1573"/>
      <c r="BH349" s="1560"/>
      <c r="BI349" s="1561"/>
      <c r="BJ349" s="1561"/>
      <c r="BK349" s="1561"/>
      <c r="BL349" s="1561"/>
      <c r="BM349" s="1561"/>
      <c r="BN349" s="1540"/>
      <c r="BO349" s="1579"/>
      <c r="BP349" s="1573"/>
      <c r="BQ349" s="1560"/>
      <c r="BR349" s="1561"/>
      <c r="BS349" s="1561"/>
      <c r="BT349" s="1561"/>
      <c r="BU349" s="1561"/>
      <c r="BV349" s="1561"/>
      <c r="BW349" s="1540"/>
      <c r="BX349" s="1579"/>
      <c r="BY349" s="1573"/>
      <c r="BZ349" s="1560"/>
      <c r="CA349" s="1540"/>
      <c r="CB349" s="1540"/>
      <c r="CC349" s="1540"/>
      <c r="CD349" s="1540"/>
      <c r="CE349" s="1540"/>
      <c r="CF349" s="1561"/>
      <c r="CG349" s="1579"/>
      <c r="CH349" s="1597"/>
      <c r="CI349" s="1598">
        <f t="shared" si="115"/>
        <v>0</v>
      </c>
      <c r="CJ349" s="1616"/>
      <c r="CK349" s="1616"/>
      <c r="CL349" s="1617">
        <f t="shared" si="113"/>
        <v>0</v>
      </c>
      <c r="CM349" s="1618"/>
      <c r="CN349" s="1619">
        <f t="shared" si="114"/>
        <v>0</v>
      </c>
    </row>
    <row r="350" spans="1:95" ht="21" thickBot="1">
      <c r="A350" s="626" t="s">
        <v>151</v>
      </c>
      <c r="B350" s="627"/>
      <c r="C350" s="627"/>
      <c r="D350" s="628"/>
      <c r="E350" s="529"/>
      <c r="F350" s="691">
        <f t="shared" ref="F350:AK350" si="119">SUM(F249:F349)</f>
        <v>976</v>
      </c>
      <c r="G350" s="691">
        <f t="shared" si="119"/>
        <v>0</v>
      </c>
      <c r="H350" s="691">
        <f t="shared" si="119"/>
        <v>32</v>
      </c>
      <c r="I350" s="691">
        <f t="shared" si="119"/>
        <v>0</v>
      </c>
      <c r="J350" s="691">
        <f t="shared" si="119"/>
        <v>0</v>
      </c>
      <c r="K350" s="691">
        <f t="shared" si="119"/>
        <v>0</v>
      </c>
      <c r="L350" s="691">
        <f t="shared" si="119"/>
        <v>496</v>
      </c>
      <c r="M350" s="691">
        <f t="shared" si="119"/>
        <v>0</v>
      </c>
      <c r="N350" s="691">
        <f t="shared" si="119"/>
        <v>0</v>
      </c>
      <c r="O350" s="691">
        <f t="shared" si="119"/>
        <v>0</v>
      </c>
      <c r="P350" s="691">
        <f t="shared" si="119"/>
        <v>0</v>
      </c>
      <c r="Q350" s="691">
        <f t="shared" si="119"/>
        <v>0</v>
      </c>
      <c r="R350" s="691">
        <f t="shared" si="119"/>
        <v>0</v>
      </c>
      <c r="S350" s="691">
        <f t="shared" si="119"/>
        <v>0</v>
      </c>
      <c r="T350" s="691">
        <f t="shared" si="119"/>
        <v>0</v>
      </c>
      <c r="U350" s="691">
        <f t="shared" si="119"/>
        <v>0</v>
      </c>
      <c r="V350" s="691">
        <f t="shared" si="119"/>
        <v>0</v>
      </c>
      <c r="W350" s="691">
        <f t="shared" si="119"/>
        <v>0</v>
      </c>
      <c r="X350" s="691">
        <f t="shared" si="119"/>
        <v>0</v>
      </c>
      <c r="Y350" s="691">
        <f t="shared" si="119"/>
        <v>0</v>
      </c>
      <c r="Z350" s="691">
        <f t="shared" si="119"/>
        <v>0</v>
      </c>
      <c r="AA350" s="691">
        <f t="shared" si="119"/>
        <v>0</v>
      </c>
      <c r="AB350" s="691">
        <f t="shared" si="119"/>
        <v>0</v>
      </c>
      <c r="AC350" s="691">
        <f t="shared" si="119"/>
        <v>0</v>
      </c>
      <c r="AD350" s="691">
        <f t="shared" si="119"/>
        <v>0</v>
      </c>
      <c r="AE350" s="691">
        <f t="shared" si="119"/>
        <v>0</v>
      </c>
      <c r="AF350" s="691">
        <f t="shared" si="119"/>
        <v>0</v>
      </c>
      <c r="AG350" s="691">
        <f t="shared" si="119"/>
        <v>0</v>
      </c>
      <c r="AH350" s="691">
        <f t="shared" si="119"/>
        <v>0</v>
      </c>
      <c r="AI350" s="691">
        <f t="shared" si="119"/>
        <v>704</v>
      </c>
      <c r="AJ350" s="691">
        <f t="shared" si="119"/>
        <v>0</v>
      </c>
      <c r="AK350" s="691">
        <f t="shared" si="119"/>
        <v>464</v>
      </c>
      <c r="AL350" s="691">
        <f t="shared" ref="AL350:BQ350" si="120">SUM(AL249:AL349)</f>
        <v>0</v>
      </c>
      <c r="AM350" s="691">
        <f t="shared" si="120"/>
        <v>2016</v>
      </c>
      <c r="AN350" s="691">
        <f t="shared" si="120"/>
        <v>0</v>
      </c>
      <c r="AO350" s="691">
        <f t="shared" si="120"/>
        <v>0</v>
      </c>
      <c r="AP350" s="691">
        <f t="shared" si="120"/>
        <v>0</v>
      </c>
      <c r="AQ350" s="691">
        <f t="shared" si="120"/>
        <v>0</v>
      </c>
      <c r="AR350" s="691">
        <f t="shared" si="120"/>
        <v>0</v>
      </c>
      <c r="AS350" s="691">
        <f t="shared" si="120"/>
        <v>0</v>
      </c>
      <c r="AT350" s="691">
        <f t="shared" si="120"/>
        <v>0</v>
      </c>
      <c r="AU350" s="691">
        <f t="shared" si="120"/>
        <v>0</v>
      </c>
      <c r="AV350" s="691">
        <f t="shared" si="120"/>
        <v>0</v>
      </c>
      <c r="AW350" s="691">
        <f t="shared" si="120"/>
        <v>0</v>
      </c>
      <c r="AX350" s="691">
        <f t="shared" si="120"/>
        <v>0</v>
      </c>
      <c r="AY350" s="691">
        <f t="shared" si="120"/>
        <v>0</v>
      </c>
      <c r="AZ350" s="691">
        <f t="shared" si="120"/>
        <v>0</v>
      </c>
      <c r="BA350" s="691">
        <f t="shared" si="120"/>
        <v>3200</v>
      </c>
      <c r="BB350" s="691">
        <f t="shared" si="120"/>
        <v>192</v>
      </c>
      <c r="BC350" s="691">
        <f t="shared" si="120"/>
        <v>208</v>
      </c>
      <c r="BD350" s="691">
        <f t="shared" si="120"/>
        <v>4080</v>
      </c>
      <c r="BE350" s="691">
        <f t="shared" si="120"/>
        <v>0</v>
      </c>
      <c r="BF350" s="691">
        <f t="shared" si="120"/>
        <v>800</v>
      </c>
      <c r="BG350" s="691">
        <f t="shared" si="120"/>
        <v>0</v>
      </c>
      <c r="BH350" s="691">
        <f t="shared" si="120"/>
        <v>0</v>
      </c>
      <c r="BI350" s="691">
        <f t="shared" si="120"/>
        <v>688</v>
      </c>
      <c r="BJ350" s="691">
        <f t="shared" si="120"/>
        <v>480</v>
      </c>
      <c r="BK350" s="691">
        <f t="shared" si="120"/>
        <v>272</v>
      </c>
      <c r="BL350" s="691">
        <f t="shared" si="120"/>
        <v>0</v>
      </c>
      <c r="BM350" s="691">
        <f t="shared" si="120"/>
        <v>0</v>
      </c>
      <c r="BN350" s="691">
        <f t="shared" si="120"/>
        <v>160</v>
      </c>
      <c r="BO350" s="691">
        <f t="shared" si="120"/>
        <v>0</v>
      </c>
      <c r="BP350" s="691">
        <f t="shared" si="120"/>
        <v>0</v>
      </c>
      <c r="BQ350" s="691">
        <f t="shared" si="120"/>
        <v>0</v>
      </c>
      <c r="BR350" s="691">
        <f t="shared" ref="BR350:CN350" si="121">SUM(BR249:BR349)</f>
        <v>0</v>
      </c>
      <c r="BS350" s="691">
        <f t="shared" si="121"/>
        <v>0</v>
      </c>
      <c r="BT350" s="691">
        <f t="shared" si="121"/>
        <v>0</v>
      </c>
      <c r="BU350" s="691">
        <f t="shared" si="121"/>
        <v>0</v>
      </c>
      <c r="BV350" s="691">
        <f t="shared" si="121"/>
        <v>288</v>
      </c>
      <c r="BW350" s="691">
        <f t="shared" si="121"/>
        <v>0</v>
      </c>
      <c r="BX350" s="691">
        <f t="shared" si="121"/>
        <v>0</v>
      </c>
      <c r="BY350" s="691">
        <f t="shared" si="121"/>
        <v>0</v>
      </c>
      <c r="BZ350" s="691">
        <f t="shared" si="121"/>
        <v>16176</v>
      </c>
      <c r="CA350" s="691">
        <f t="shared" si="121"/>
        <v>0</v>
      </c>
      <c r="CB350" s="691">
        <f t="shared" si="121"/>
        <v>0</v>
      </c>
      <c r="CC350" s="691">
        <f t="shared" si="121"/>
        <v>0</v>
      </c>
      <c r="CD350" s="691">
        <f t="shared" si="121"/>
        <v>112</v>
      </c>
      <c r="CE350" s="691">
        <f t="shared" si="121"/>
        <v>0</v>
      </c>
      <c r="CF350" s="691">
        <f t="shared" si="121"/>
        <v>0</v>
      </c>
      <c r="CG350" s="691">
        <f t="shared" si="121"/>
        <v>0</v>
      </c>
      <c r="CH350" s="691">
        <f t="shared" si="121"/>
        <v>0</v>
      </c>
      <c r="CI350" s="691">
        <f t="shared" si="121"/>
        <v>31344</v>
      </c>
      <c r="CJ350" s="691">
        <f t="shared" si="121"/>
        <v>0</v>
      </c>
      <c r="CK350" s="691">
        <f t="shared" si="121"/>
        <v>0</v>
      </c>
      <c r="CL350" s="691">
        <f t="shared" si="121"/>
        <v>31344</v>
      </c>
      <c r="CM350" s="691">
        <f t="shared" si="121"/>
        <v>0</v>
      </c>
      <c r="CN350" s="691">
        <f t="shared" si="121"/>
        <v>31344</v>
      </c>
    </row>
    <row r="351" spans="1:95" ht="21" thickBot="1">
      <c r="A351" s="530" t="s">
        <v>152</v>
      </c>
      <c r="B351" s="531"/>
      <c r="C351" s="531"/>
      <c r="D351" s="630"/>
      <c r="E351" s="533"/>
      <c r="F351" s="533">
        <f t="shared" ref="F351:BP351" si="122">F350/16</f>
        <v>61</v>
      </c>
      <c r="G351" s="533">
        <f t="shared" si="122"/>
        <v>0</v>
      </c>
      <c r="H351" s="533">
        <f t="shared" si="122"/>
        <v>2</v>
      </c>
      <c r="I351" s="533">
        <f t="shared" si="122"/>
        <v>0</v>
      </c>
      <c r="J351" s="533">
        <f t="shared" si="122"/>
        <v>0</v>
      </c>
      <c r="K351" s="533">
        <f t="shared" si="122"/>
        <v>0</v>
      </c>
      <c r="L351" s="533">
        <f t="shared" si="122"/>
        <v>31</v>
      </c>
      <c r="M351" s="533">
        <f t="shared" si="122"/>
        <v>0</v>
      </c>
      <c r="N351" s="533">
        <f t="shared" si="122"/>
        <v>0</v>
      </c>
      <c r="O351" s="533">
        <f t="shared" si="122"/>
        <v>0</v>
      </c>
      <c r="P351" s="533">
        <f t="shared" si="122"/>
        <v>0</v>
      </c>
      <c r="Q351" s="533">
        <f t="shared" si="122"/>
        <v>0</v>
      </c>
      <c r="R351" s="533">
        <f t="shared" si="122"/>
        <v>0</v>
      </c>
      <c r="S351" s="533">
        <f t="shared" si="122"/>
        <v>0</v>
      </c>
      <c r="T351" s="533">
        <f t="shared" si="122"/>
        <v>0</v>
      </c>
      <c r="U351" s="533">
        <f t="shared" si="122"/>
        <v>0</v>
      </c>
      <c r="V351" s="533">
        <f t="shared" si="122"/>
        <v>0</v>
      </c>
      <c r="W351" s="533">
        <f t="shared" si="122"/>
        <v>0</v>
      </c>
      <c r="X351" s="533">
        <f t="shared" si="122"/>
        <v>0</v>
      </c>
      <c r="Y351" s="533">
        <f t="shared" si="122"/>
        <v>0</v>
      </c>
      <c r="Z351" s="533">
        <f t="shared" si="122"/>
        <v>0</v>
      </c>
      <c r="AA351" s="533">
        <f t="shared" si="122"/>
        <v>0</v>
      </c>
      <c r="AB351" s="533">
        <f t="shared" si="122"/>
        <v>0</v>
      </c>
      <c r="AC351" s="533">
        <f t="shared" si="122"/>
        <v>0</v>
      </c>
      <c r="AD351" s="533">
        <f t="shared" si="122"/>
        <v>0</v>
      </c>
      <c r="AE351" s="533">
        <f t="shared" si="122"/>
        <v>0</v>
      </c>
      <c r="AF351" s="533">
        <f t="shared" si="122"/>
        <v>0</v>
      </c>
      <c r="AG351" s="533">
        <f t="shared" si="122"/>
        <v>0</v>
      </c>
      <c r="AH351" s="533">
        <f t="shared" si="122"/>
        <v>0</v>
      </c>
      <c r="AI351" s="533">
        <f t="shared" si="122"/>
        <v>44</v>
      </c>
      <c r="AJ351" s="533">
        <f t="shared" si="122"/>
        <v>0</v>
      </c>
      <c r="AK351" s="533">
        <f t="shared" si="122"/>
        <v>29</v>
      </c>
      <c r="AL351" s="533">
        <f t="shared" si="122"/>
        <v>0</v>
      </c>
      <c r="AM351" s="533">
        <f t="shared" si="122"/>
        <v>126</v>
      </c>
      <c r="AN351" s="533">
        <f t="shared" si="122"/>
        <v>0</v>
      </c>
      <c r="AO351" s="533">
        <f t="shared" si="122"/>
        <v>0</v>
      </c>
      <c r="AP351" s="533">
        <f t="shared" si="122"/>
        <v>0</v>
      </c>
      <c r="AQ351" s="533">
        <f t="shared" si="122"/>
        <v>0</v>
      </c>
      <c r="AR351" s="533">
        <f t="shared" si="122"/>
        <v>0</v>
      </c>
      <c r="AS351" s="533">
        <f t="shared" si="122"/>
        <v>0</v>
      </c>
      <c r="AT351" s="533">
        <f t="shared" si="122"/>
        <v>0</v>
      </c>
      <c r="AU351" s="533">
        <f t="shared" si="122"/>
        <v>0</v>
      </c>
      <c r="AV351" s="533">
        <f t="shared" si="122"/>
        <v>0</v>
      </c>
      <c r="AW351" s="533">
        <f t="shared" si="122"/>
        <v>0</v>
      </c>
      <c r="AX351" s="533">
        <f t="shared" si="122"/>
        <v>0</v>
      </c>
      <c r="AY351" s="533">
        <f t="shared" si="122"/>
        <v>0</v>
      </c>
      <c r="AZ351" s="533">
        <f t="shared" si="122"/>
        <v>0</v>
      </c>
      <c r="BA351" s="533">
        <f t="shared" si="122"/>
        <v>200</v>
      </c>
      <c r="BB351" s="533">
        <f t="shared" si="122"/>
        <v>12</v>
      </c>
      <c r="BC351" s="533">
        <f t="shared" si="122"/>
        <v>13</v>
      </c>
      <c r="BD351" s="533">
        <f t="shared" si="122"/>
        <v>255</v>
      </c>
      <c r="BE351" s="533">
        <f t="shared" si="122"/>
        <v>0</v>
      </c>
      <c r="BF351" s="533">
        <f t="shared" si="122"/>
        <v>50</v>
      </c>
      <c r="BG351" s="533">
        <f t="shared" si="122"/>
        <v>0</v>
      </c>
      <c r="BH351" s="533">
        <f t="shared" si="122"/>
        <v>0</v>
      </c>
      <c r="BI351" s="533">
        <f t="shared" si="122"/>
        <v>43</v>
      </c>
      <c r="BJ351" s="533">
        <f t="shared" si="122"/>
        <v>30</v>
      </c>
      <c r="BK351" s="533">
        <f t="shared" si="122"/>
        <v>17</v>
      </c>
      <c r="BL351" s="533">
        <f t="shared" si="122"/>
        <v>0</v>
      </c>
      <c r="BM351" s="533">
        <f t="shared" si="122"/>
        <v>0</v>
      </c>
      <c r="BN351" s="533">
        <f t="shared" si="122"/>
        <v>10</v>
      </c>
      <c r="BO351" s="533">
        <f t="shared" si="122"/>
        <v>0</v>
      </c>
      <c r="BP351" s="533">
        <f t="shared" si="122"/>
        <v>0</v>
      </c>
      <c r="BQ351" s="533">
        <f t="shared" ref="BQ351:CN351" si="123">BQ350/16</f>
        <v>0</v>
      </c>
      <c r="BR351" s="533">
        <f t="shared" si="123"/>
        <v>0</v>
      </c>
      <c r="BS351" s="533">
        <f t="shared" si="123"/>
        <v>0</v>
      </c>
      <c r="BT351" s="533">
        <f t="shared" si="123"/>
        <v>0</v>
      </c>
      <c r="BU351" s="533">
        <f t="shared" si="123"/>
        <v>0</v>
      </c>
      <c r="BV351" s="533">
        <f t="shared" si="123"/>
        <v>18</v>
      </c>
      <c r="BW351" s="533">
        <f t="shared" si="123"/>
        <v>0</v>
      </c>
      <c r="BX351" s="533">
        <f t="shared" si="123"/>
        <v>0</v>
      </c>
      <c r="BY351" s="533">
        <f t="shared" si="123"/>
        <v>0</v>
      </c>
      <c r="BZ351" s="533">
        <f t="shared" si="123"/>
        <v>1011</v>
      </c>
      <c r="CA351" s="533">
        <f t="shared" si="123"/>
        <v>0</v>
      </c>
      <c r="CB351" s="533">
        <f t="shared" si="123"/>
        <v>0</v>
      </c>
      <c r="CC351" s="533">
        <f t="shared" si="123"/>
        <v>0</v>
      </c>
      <c r="CD351" s="533">
        <f t="shared" si="123"/>
        <v>7</v>
      </c>
      <c r="CE351" s="533">
        <f t="shared" si="123"/>
        <v>0</v>
      </c>
      <c r="CF351" s="533">
        <f t="shared" si="123"/>
        <v>0</v>
      </c>
      <c r="CG351" s="533">
        <f t="shared" si="123"/>
        <v>0</v>
      </c>
      <c r="CH351" s="533">
        <f t="shared" si="123"/>
        <v>0</v>
      </c>
      <c r="CI351" s="533">
        <f t="shared" si="123"/>
        <v>1959</v>
      </c>
      <c r="CJ351" s="533">
        <f t="shared" si="123"/>
        <v>0</v>
      </c>
      <c r="CK351" s="533">
        <f t="shared" si="123"/>
        <v>0</v>
      </c>
      <c r="CL351" s="533">
        <f t="shared" si="123"/>
        <v>1959</v>
      </c>
      <c r="CM351" s="533">
        <f t="shared" si="123"/>
        <v>0</v>
      </c>
      <c r="CN351" s="533">
        <f t="shared" si="123"/>
        <v>1959</v>
      </c>
    </row>
    <row r="352" spans="1:95" ht="21" thickBot="1">
      <c r="A352" s="306"/>
      <c r="B352" s="1268"/>
      <c r="C352" s="1268"/>
      <c r="D352" s="1269"/>
      <c r="E352" s="1270"/>
      <c r="F352" s="1271"/>
      <c r="G352" s="1271"/>
      <c r="H352" s="1271"/>
      <c r="I352" s="1271"/>
      <c r="J352" s="1271"/>
      <c r="K352" s="1271"/>
      <c r="L352" s="1271"/>
      <c r="M352" s="1271"/>
      <c r="N352" s="1271"/>
      <c r="O352" s="1634"/>
      <c r="P352" s="1635"/>
      <c r="Q352" s="1635"/>
      <c r="R352" s="1635"/>
      <c r="S352" s="1635"/>
      <c r="T352" s="1635"/>
      <c r="U352" s="1635"/>
      <c r="V352" s="1645"/>
      <c r="W352" s="1343"/>
      <c r="X352" s="1271"/>
      <c r="Y352" s="1271"/>
      <c r="Z352" s="1271"/>
      <c r="AA352" s="1271"/>
      <c r="AB352" s="1271"/>
      <c r="AC352" s="1271"/>
      <c r="AD352" s="1271"/>
      <c r="AE352" s="1271"/>
      <c r="AF352" s="1343"/>
      <c r="AG352" s="1271"/>
      <c r="AH352" s="1271"/>
      <c r="AI352" s="1271"/>
      <c r="AJ352" s="1271"/>
      <c r="AK352" s="1271"/>
      <c r="AL352" s="1271"/>
      <c r="AM352" s="1271"/>
      <c r="AN352" s="1271"/>
      <c r="AO352" s="1343"/>
      <c r="AP352" s="1271"/>
      <c r="AQ352" s="1271"/>
      <c r="AR352" s="1271"/>
      <c r="AS352" s="1271"/>
      <c r="AT352" s="1271"/>
      <c r="AU352" s="1271"/>
      <c r="AV352" s="1271"/>
      <c r="AW352" s="1271"/>
      <c r="AX352" s="1343"/>
      <c r="AY352" s="1271"/>
      <c r="AZ352" s="1271"/>
      <c r="BA352" s="1271"/>
      <c r="BB352" s="1271"/>
      <c r="BC352" s="1271"/>
      <c r="BD352" s="1271"/>
      <c r="BE352" s="1271"/>
      <c r="BF352" s="1271"/>
      <c r="BG352" s="1343"/>
      <c r="BH352" s="1271"/>
      <c r="BI352" s="1271"/>
      <c r="BJ352" s="1271"/>
      <c r="BK352" s="1271"/>
      <c r="BL352" s="1271"/>
      <c r="BM352" s="1271"/>
      <c r="BN352" s="1271"/>
      <c r="BO352" s="1271"/>
      <c r="BP352" s="1343"/>
      <c r="BQ352" s="1271"/>
      <c r="BR352" s="1271"/>
      <c r="BS352" s="1271"/>
      <c r="BT352" s="1271"/>
      <c r="BU352" s="1271"/>
      <c r="BV352" s="1271"/>
      <c r="BW352" s="1271"/>
      <c r="BX352" s="1271"/>
      <c r="BY352" s="1343"/>
      <c r="BZ352" s="1271"/>
      <c r="CA352" s="1271"/>
      <c r="CB352" s="1271"/>
      <c r="CC352" s="1271"/>
      <c r="CD352" s="1271"/>
      <c r="CE352" s="1271"/>
      <c r="CF352" s="1271"/>
      <c r="CG352" s="1271"/>
      <c r="CH352" s="1389"/>
      <c r="CI352" s="1390"/>
      <c r="CJ352" s="1434"/>
      <c r="CK352" s="1390"/>
      <c r="CL352" s="1390"/>
      <c r="CM352" s="1390"/>
      <c r="CN352" s="1390"/>
    </row>
    <row r="353" spans="1:92" ht="18.75" thickBot="1">
      <c r="A353" s="3770"/>
      <c r="B353" s="3771"/>
      <c r="C353" s="3772"/>
      <c r="D353" s="1273"/>
      <c r="E353" s="288"/>
      <c r="F353" s="743"/>
      <c r="G353" s="744"/>
      <c r="H353" s="744"/>
      <c r="I353" s="744"/>
      <c r="J353" s="744"/>
      <c r="K353" s="49"/>
      <c r="L353" s="914"/>
      <c r="M353" s="1279"/>
      <c r="N353" s="1486"/>
      <c r="O353" s="1636"/>
      <c r="P353" s="1637"/>
      <c r="Q353" s="1637"/>
      <c r="R353" s="1637"/>
      <c r="S353" s="1646"/>
      <c r="T353" s="1637"/>
      <c r="U353" s="1646"/>
      <c r="V353" s="1647"/>
      <c r="W353" s="2897"/>
      <c r="X353" s="743" t="s">
        <v>94</v>
      </c>
      <c r="Y353" s="744" t="s">
        <v>96</v>
      </c>
      <c r="Z353" s="744" t="s">
        <v>81</v>
      </c>
      <c r="AA353" s="744" t="s">
        <v>82</v>
      </c>
      <c r="AB353" s="880" t="s">
        <v>75</v>
      </c>
      <c r="AC353" s="744" t="s">
        <v>83</v>
      </c>
      <c r="AD353" s="744" t="s">
        <v>87</v>
      </c>
      <c r="AE353" s="936" t="s">
        <v>84</v>
      </c>
      <c r="AF353" s="288"/>
      <c r="AG353" s="88" t="s">
        <v>85</v>
      </c>
      <c r="AH353" s="30" t="s">
        <v>86</v>
      </c>
      <c r="AI353" s="30" t="s">
        <v>77</v>
      </c>
      <c r="AJ353" s="89" t="s">
        <v>75</v>
      </c>
      <c r="AK353" s="30" t="s">
        <v>78</v>
      </c>
      <c r="AL353" s="89" t="s">
        <v>53</v>
      </c>
      <c r="AM353" s="112" t="s">
        <v>88</v>
      </c>
      <c r="AN353" s="87" t="s">
        <v>94</v>
      </c>
      <c r="AO353" s="288"/>
      <c r="AP353" s="743" t="s">
        <v>86</v>
      </c>
      <c r="AQ353" s="744" t="s">
        <v>123</v>
      </c>
      <c r="AR353" s="744" t="s">
        <v>90</v>
      </c>
      <c r="AS353" s="744" t="s">
        <v>92</v>
      </c>
      <c r="AT353" s="880" t="s">
        <v>250</v>
      </c>
      <c r="AU353" s="744" t="s">
        <v>85</v>
      </c>
      <c r="AV353" s="880" t="s">
        <v>381</v>
      </c>
      <c r="AW353" s="936" t="s">
        <v>81</v>
      </c>
      <c r="AX353" s="288"/>
      <c r="AY353" s="743" t="s">
        <v>82</v>
      </c>
      <c r="AZ353" s="744" t="s">
        <v>93</v>
      </c>
      <c r="BA353" s="744" t="s">
        <v>94</v>
      </c>
      <c r="BB353" s="744" t="s">
        <v>95</v>
      </c>
      <c r="BC353" s="880" t="s">
        <v>75</v>
      </c>
      <c r="BD353" s="744" t="s">
        <v>53</v>
      </c>
      <c r="BE353" s="880" t="s">
        <v>96</v>
      </c>
      <c r="BF353" s="936" t="s">
        <v>97</v>
      </c>
      <c r="BG353" s="288"/>
      <c r="BH353" s="755"/>
      <c r="BI353" s="744"/>
      <c r="BJ353" s="744"/>
      <c r="BK353" s="50"/>
      <c r="BL353" s="1013"/>
      <c r="BM353" s="51"/>
      <c r="BN353" s="1344"/>
      <c r="BO353" s="1344"/>
      <c r="BP353" s="288"/>
      <c r="BQ353" s="743" t="s">
        <v>250</v>
      </c>
      <c r="BR353" s="744"/>
      <c r="BS353" s="744" t="s">
        <v>92</v>
      </c>
      <c r="BT353" s="744"/>
      <c r="BU353" s="880" t="s">
        <v>469</v>
      </c>
      <c r="BV353" s="744"/>
      <c r="BW353" s="880" t="s">
        <v>149</v>
      </c>
      <c r="BX353" s="936"/>
      <c r="BY353" s="288"/>
      <c r="BZ353" s="901"/>
      <c r="CA353" s="880"/>
      <c r="CB353" s="880"/>
      <c r="CC353" s="1318" t="s">
        <v>103</v>
      </c>
      <c r="CD353" s="880"/>
      <c r="CE353" s="880"/>
      <c r="CF353" s="744"/>
      <c r="CG353" s="1279"/>
      <c r="CH353" s="288"/>
      <c r="CI353" s="1391" t="s">
        <v>104</v>
      </c>
      <c r="CJ353" s="1344" t="s">
        <v>105</v>
      </c>
      <c r="CK353" s="1013"/>
      <c r="CL353" s="2897" t="s">
        <v>106</v>
      </c>
      <c r="CM353" s="1013" t="s">
        <v>107</v>
      </c>
      <c r="CN353" s="288" t="s">
        <v>108</v>
      </c>
    </row>
    <row r="354" spans="1:92" ht="20.25">
      <c r="A354" s="322"/>
      <c r="B354" s="431"/>
      <c r="C354" s="431"/>
      <c r="D354" s="432"/>
      <c r="E354" s="1248"/>
      <c r="F354" s="1475"/>
      <c r="G354" s="1357"/>
      <c r="H354" s="1357"/>
      <c r="I354" s="1357"/>
      <c r="J354" s="1357"/>
      <c r="K354" s="1254"/>
      <c r="L354" s="1487"/>
      <c r="M354" s="1487"/>
      <c r="N354" s="1638"/>
      <c r="O354" s="1253"/>
      <c r="P354" s="1254"/>
      <c r="Q354" s="1357"/>
      <c r="R354" s="1648"/>
      <c r="S354" s="1357"/>
      <c r="T354" s="1357"/>
      <c r="U354" s="1357"/>
      <c r="V354" s="1649"/>
      <c r="W354" s="1650"/>
      <c r="X354" s="1298"/>
      <c r="Y354" s="1357"/>
      <c r="Z354" s="1357"/>
      <c r="AA354" s="1357"/>
      <c r="AB354" s="1333"/>
      <c r="AC354" s="1333"/>
      <c r="AD354" s="1353"/>
      <c r="AE354" s="1333"/>
      <c r="AF354" s="1491"/>
      <c r="AG354" s="1298"/>
      <c r="AH354" s="1357"/>
      <c r="AI354" s="1357"/>
      <c r="AJ354" s="1333"/>
      <c r="AK354" s="1333"/>
      <c r="AL354" s="1333"/>
      <c r="AM354" s="1333"/>
      <c r="AN354" s="1333"/>
      <c r="AO354" s="1491"/>
      <c r="AP354" s="1298"/>
      <c r="AQ354" s="1357"/>
      <c r="AR354" s="1357"/>
      <c r="AS354" s="1357"/>
      <c r="AT354" s="1333"/>
      <c r="AU354" s="1333"/>
      <c r="AV354" s="1333"/>
      <c r="AW354" s="1333"/>
      <c r="AX354" s="1491"/>
      <c r="AY354" s="1298"/>
      <c r="AZ354" s="1357"/>
      <c r="BA354" s="1357"/>
      <c r="BB354" s="1357"/>
      <c r="BC354" s="1333"/>
      <c r="BD354" s="1333"/>
      <c r="BE354" s="1333"/>
      <c r="BF354" s="1333"/>
      <c r="BG354" s="1491"/>
      <c r="BH354" s="1298"/>
      <c r="BI354" s="1357"/>
      <c r="BJ354" s="1357"/>
      <c r="BK354" s="1357"/>
      <c r="BL354" s="1333"/>
      <c r="BM354" s="1333"/>
      <c r="BN354" s="1333"/>
      <c r="BO354" s="1333"/>
      <c r="BP354" s="1491"/>
      <c r="BQ354" s="1298"/>
      <c r="BR354" s="1357"/>
      <c r="BS354" s="1357"/>
      <c r="BT354" s="1357"/>
      <c r="BU354" s="1333"/>
      <c r="BV354" s="1333"/>
      <c r="BW354" s="1333"/>
      <c r="BX354" s="1333"/>
      <c r="BY354" s="1491"/>
      <c r="BZ354" s="1298"/>
      <c r="CA354" s="1357"/>
      <c r="CB354" s="1357"/>
      <c r="CC354" s="1357"/>
      <c r="CD354" s="1357"/>
      <c r="CE354" s="1254"/>
      <c r="CF354" s="1333"/>
      <c r="CG354" s="1333"/>
      <c r="CH354" s="1491"/>
      <c r="CI354" s="1467">
        <f>SUM(F354:CG354)</f>
        <v>0</v>
      </c>
      <c r="CJ354" s="1501"/>
      <c r="CK354" s="1502"/>
      <c r="CL354" s="1503">
        <f t="shared" ref="CL354:CL355" si="124">CI354+CJ354</f>
        <v>0</v>
      </c>
      <c r="CM354" s="1502"/>
      <c r="CN354" s="1661">
        <f t="shared" ref="CN354:CN355" si="125">CL354+CM354</f>
        <v>0</v>
      </c>
    </row>
    <row r="355" spans="1:92" ht="21" thickBot="1">
      <c r="A355" s="430"/>
      <c r="B355" s="431"/>
      <c r="C355" s="431"/>
      <c r="D355" s="432"/>
      <c r="E355" s="1248"/>
      <c r="F355" s="1475"/>
      <c r="G355" s="1357"/>
      <c r="H355" s="1357"/>
      <c r="I355" s="1357"/>
      <c r="J355" s="1357"/>
      <c r="K355" s="1254"/>
      <c r="L355" s="1487"/>
      <c r="M355" s="1487"/>
      <c r="N355" s="1638"/>
      <c r="O355" s="1639"/>
      <c r="P355" s="1295"/>
      <c r="Q355" s="1295"/>
      <c r="R355" s="1295"/>
      <c r="S355" s="1295"/>
      <c r="T355" s="1295"/>
      <c r="U355" s="1295"/>
      <c r="V355" s="1651"/>
      <c r="W355" s="1650"/>
      <c r="X355" s="1294"/>
      <c r="Y355" s="1295"/>
      <c r="Z355" s="1295"/>
      <c r="AA355" s="1295"/>
      <c r="AB355" s="1362"/>
      <c r="AC355" s="1362"/>
      <c r="AD355" s="1352"/>
      <c r="AE355" s="1362"/>
      <c r="AF355" s="1491"/>
      <c r="AG355" s="1294"/>
      <c r="AH355" s="1295"/>
      <c r="AI355" s="1295"/>
      <c r="AJ355" s="1362"/>
      <c r="AK355" s="1362"/>
      <c r="AL355" s="1362"/>
      <c r="AM355" s="1362"/>
      <c r="AN355" s="1362"/>
      <c r="AO355" s="1491"/>
      <c r="AP355" s="1294"/>
      <c r="AQ355" s="1295"/>
      <c r="AR355" s="1295"/>
      <c r="AS355" s="1295"/>
      <c r="AT355" s="1362"/>
      <c r="AU355" s="1362"/>
      <c r="AV355" s="1362"/>
      <c r="AW355" s="1362"/>
      <c r="AX355" s="1491"/>
      <c r="AY355" s="1294"/>
      <c r="AZ355" s="1295"/>
      <c r="BA355" s="1295"/>
      <c r="BB355" s="1295"/>
      <c r="BC355" s="1362"/>
      <c r="BD355" s="1362"/>
      <c r="BE355" s="1362"/>
      <c r="BF355" s="1362"/>
      <c r="BG355" s="1491"/>
      <c r="BH355" s="1294"/>
      <c r="BI355" s="1295"/>
      <c r="BJ355" s="1295"/>
      <c r="BK355" s="1295"/>
      <c r="BL355" s="1362"/>
      <c r="BM355" s="1362"/>
      <c r="BN355" s="1362"/>
      <c r="BO355" s="1362"/>
      <c r="BP355" s="1491"/>
      <c r="BQ355" s="1294"/>
      <c r="BR355" s="1295"/>
      <c r="BS355" s="1295"/>
      <c r="BT355" s="1295"/>
      <c r="BU355" s="1362"/>
      <c r="BV355" s="1362"/>
      <c r="BW355" s="1362"/>
      <c r="BX355" s="1362"/>
      <c r="BY355" s="1491"/>
      <c r="BZ355" s="1294"/>
      <c r="CA355" s="1295"/>
      <c r="CB355" s="1295"/>
      <c r="CC355" s="1295"/>
      <c r="CD355" s="1295"/>
      <c r="CE355" s="1250"/>
      <c r="CF355" s="1362"/>
      <c r="CG355" s="1362"/>
      <c r="CH355" s="1491"/>
      <c r="CI355" s="1467">
        <f>SUM(F355:CG355)</f>
        <v>0</v>
      </c>
      <c r="CJ355" s="1662"/>
      <c r="CK355" s="1663"/>
      <c r="CL355" s="1467">
        <f t="shared" si="124"/>
        <v>0</v>
      </c>
      <c r="CM355" s="1663"/>
      <c r="CN355" s="1488">
        <f t="shared" si="125"/>
        <v>0</v>
      </c>
    </row>
    <row r="356" spans="1:92" ht="21" thickBot="1">
      <c r="A356" s="1477" t="s">
        <v>153</v>
      </c>
      <c r="B356" s="1478"/>
      <c r="C356" s="1478"/>
      <c r="D356" s="1479"/>
      <c r="E356" s="1480"/>
      <c r="F356" s="1481">
        <f t="shared" ref="F356:M356" si="126">SUM(F354:F355)</f>
        <v>0</v>
      </c>
      <c r="G356" s="1481">
        <f t="shared" si="126"/>
        <v>0</v>
      </c>
      <c r="H356" s="1481">
        <f t="shared" si="126"/>
        <v>0</v>
      </c>
      <c r="I356" s="1481">
        <f t="shared" si="126"/>
        <v>0</v>
      </c>
      <c r="J356" s="1481">
        <f t="shared" si="126"/>
        <v>0</v>
      </c>
      <c r="K356" s="1481">
        <f t="shared" si="126"/>
        <v>0</v>
      </c>
      <c r="L356" s="1481">
        <f t="shared" si="126"/>
        <v>0</v>
      </c>
      <c r="M356" s="1481">
        <f t="shared" si="126"/>
        <v>0</v>
      </c>
      <c r="N356" s="1640"/>
      <c r="O356" s="1641">
        <f>SUM(O354:O355)</f>
        <v>0</v>
      </c>
      <c r="P356" s="1641">
        <f t="shared" ref="P356:V356" si="127">SUM(P354:P355)</f>
        <v>0</v>
      </c>
      <c r="Q356" s="1641">
        <f t="shared" si="127"/>
        <v>0</v>
      </c>
      <c r="R356" s="1641">
        <f t="shared" si="127"/>
        <v>0</v>
      </c>
      <c r="S356" s="1641">
        <f t="shared" si="127"/>
        <v>0</v>
      </c>
      <c r="T356" s="1641">
        <f t="shared" si="127"/>
        <v>0</v>
      </c>
      <c r="U356" s="1641">
        <f t="shared" si="127"/>
        <v>0</v>
      </c>
      <c r="V356" s="1641">
        <f t="shared" si="127"/>
        <v>0</v>
      </c>
      <c r="W356" s="1652"/>
      <c r="X356" s="1481">
        <f t="shared" ref="X356:AW356" si="128">SUM(X354:X355)</f>
        <v>0</v>
      </c>
      <c r="Y356" s="1481">
        <f t="shared" si="128"/>
        <v>0</v>
      </c>
      <c r="Z356" s="1481">
        <f t="shared" si="128"/>
        <v>0</v>
      </c>
      <c r="AA356" s="1481">
        <f t="shared" si="128"/>
        <v>0</v>
      </c>
      <c r="AB356" s="1481">
        <f t="shared" si="128"/>
        <v>0</v>
      </c>
      <c r="AC356" s="1481">
        <f t="shared" si="128"/>
        <v>0</v>
      </c>
      <c r="AD356" s="1481">
        <f t="shared" si="128"/>
        <v>0</v>
      </c>
      <c r="AE356" s="1481">
        <f t="shared" si="128"/>
        <v>0</v>
      </c>
      <c r="AF356" s="1492"/>
      <c r="AG356" s="1490">
        <f t="shared" ref="AG356:AN356" si="129">SUM(AG354:AG355)</f>
        <v>0</v>
      </c>
      <c r="AH356" s="1481">
        <f t="shared" si="129"/>
        <v>0</v>
      </c>
      <c r="AI356" s="1481">
        <f t="shared" si="129"/>
        <v>0</v>
      </c>
      <c r="AJ356" s="1481">
        <f t="shared" si="129"/>
        <v>0</v>
      </c>
      <c r="AK356" s="1481">
        <f t="shared" si="129"/>
        <v>0</v>
      </c>
      <c r="AL356" s="1481">
        <f t="shared" si="129"/>
        <v>0</v>
      </c>
      <c r="AM356" s="1481">
        <f t="shared" si="129"/>
        <v>0</v>
      </c>
      <c r="AN356" s="1481">
        <f t="shared" si="129"/>
        <v>0</v>
      </c>
      <c r="AO356" s="1492"/>
      <c r="AP356" s="1490">
        <f t="shared" si="128"/>
        <v>0</v>
      </c>
      <c r="AQ356" s="1481">
        <f t="shared" si="128"/>
        <v>0</v>
      </c>
      <c r="AR356" s="1481">
        <f t="shared" si="128"/>
        <v>0</v>
      </c>
      <c r="AS356" s="1481">
        <f t="shared" si="128"/>
        <v>0</v>
      </c>
      <c r="AT356" s="1481">
        <f t="shared" si="128"/>
        <v>0</v>
      </c>
      <c r="AU356" s="1481">
        <f t="shared" si="128"/>
        <v>0</v>
      </c>
      <c r="AV356" s="1481">
        <f t="shared" si="128"/>
        <v>0</v>
      </c>
      <c r="AW356" s="1481">
        <f t="shared" si="128"/>
        <v>0</v>
      </c>
      <c r="AX356" s="1492"/>
      <c r="AY356" s="1490">
        <f t="shared" ref="AY356:BO356" si="130">SUM(AY354:AY355)</f>
        <v>0</v>
      </c>
      <c r="AZ356" s="1481">
        <f t="shared" si="130"/>
        <v>0</v>
      </c>
      <c r="BA356" s="1481">
        <f t="shared" si="130"/>
        <v>0</v>
      </c>
      <c r="BB356" s="1481">
        <f t="shared" si="130"/>
        <v>0</v>
      </c>
      <c r="BC356" s="1481">
        <f t="shared" si="130"/>
        <v>0</v>
      </c>
      <c r="BD356" s="1481">
        <f t="shared" si="130"/>
        <v>0</v>
      </c>
      <c r="BE356" s="1481">
        <f t="shared" si="130"/>
        <v>0</v>
      </c>
      <c r="BF356" s="1481">
        <f t="shared" si="130"/>
        <v>0</v>
      </c>
      <c r="BG356" s="1492"/>
      <c r="BH356" s="1490">
        <f t="shared" si="130"/>
        <v>0</v>
      </c>
      <c r="BI356" s="1481">
        <f t="shared" si="130"/>
        <v>0</v>
      </c>
      <c r="BJ356" s="1481">
        <f t="shared" si="130"/>
        <v>0</v>
      </c>
      <c r="BK356" s="1481">
        <f t="shared" si="130"/>
        <v>0</v>
      </c>
      <c r="BL356" s="1481">
        <f t="shared" si="130"/>
        <v>0</v>
      </c>
      <c r="BM356" s="1481">
        <f t="shared" si="130"/>
        <v>0</v>
      </c>
      <c r="BN356" s="1481">
        <f t="shared" si="130"/>
        <v>0</v>
      </c>
      <c r="BO356" s="1481">
        <f t="shared" si="130"/>
        <v>0</v>
      </c>
      <c r="BP356" s="1492"/>
      <c r="BQ356" s="1490">
        <f t="shared" ref="BQ356:BX356" si="131">SUM(BQ354:BQ355)</f>
        <v>0</v>
      </c>
      <c r="BR356" s="1481">
        <f t="shared" si="131"/>
        <v>0</v>
      </c>
      <c r="BS356" s="1481">
        <f t="shared" si="131"/>
        <v>0</v>
      </c>
      <c r="BT356" s="1481">
        <f t="shared" si="131"/>
        <v>0</v>
      </c>
      <c r="BU356" s="1481">
        <f t="shared" si="131"/>
        <v>0</v>
      </c>
      <c r="BV356" s="1481">
        <f t="shared" si="131"/>
        <v>0</v>
      </c>
      <c r="BW356" s="1481">
        <f t="shared" si="131"/>
        <v>0</v>
      </c>
      <c r="BX356" s="1481">
        <f t="shared" si="131"/>
        <v>0</v>
      </c>
      <c r="BY356" s="1492"/>
      <c r="BZ356" s="1490">
        <f t="shared" ref="BZ356:CG356" si="132">SUM(BZ354:BZ355)</f>
        <v>0</v>
      </c>
      <c r="CA356" s="1481">
        <f t="shared" si="132"/>
        <v>0</v>
      </c>
      <c r="CB356" s="1481">
        <f t="shared" si="132"/>
        <v>0</v>
      </c>
      <c r="CC356" s="1481">
        <f t="shared" si="132"/>
        <v>0</v>
      </c>
      <c r="CD356" s="1481">
        <f t="shared" si="132"/>
        <v>0</v>
      </c>
      <c r="CE356" s="1481">
        <f t="shared" si="132"/>
        <v>0</v>
      </c>
      <c r="CF356" s="1481">
        <f t="shared" si="132"/>
        <v>0</v>
      </c>
      <c r="CG356" s="1481">
        <f t="shared" si="132"/>
        <v>0</v>
      </c>
      <c r="CH356" s="1496"/>
      <c r="CI356" s="1497">
        <f>SUM(CI354:CI355)</f>
        <v>0</v>
      </c>
      <c r="CJ356" s="1505">
        <f>SUM(CJ354:CJ355)</f>
        <v>0</v>
      </c>
      <c r="CK356" s="1506"/>
      <c r="CL356" s="1497">
        <f>SUM(CL354:CL355)</f>
        <v>0</v>
      </c>
      <c r="CM356" s="1497">
        <f>SUM(CM354:CM355)</f>
        <v>0</v>
      </c>
      <c r="CN356" s="1497">
        <f>SUM(CN354:CN355)</f>
        <v>0</v>
      </c>
    </row>
    <row r="357" spans="1:92" ht="21" thickBot="1">
      <c r="A357" s="1118"/>
      <c r="B357" s="1624"/>
      <c r="C357" s="1624"/>
      <c r="D357" s="1625"/>
      <c r="E357" s="1626"/>
      <c r="F357" s="1627"/>
      <c r="G357" s="1628"/>
      <c r="H357" s="1628"/>
      <c r="I357" s="1628"/>
      <c r="J357" s="1628"/>
      <c r="K357" s="1628"/>
      <c r="L357" s="1628"/>
      <c r="M357" s="1642"/>
      <c r="N357" s="1643"/>
      <c r="O357" s="1627"/>
      <c r="P357" s="1628"/>
      <c r="Q357" s="1628"/>
      <c r="R357" s="1628"/>
      <c r="S357" s="1628"/>
      <c r="T357" s="1628"/>
      <c r="U357" s="1628"/>
      <c r="V357" s="1642"/>
      <c r="W357" s="1653"/>
      <c r="X357" s="743" t="s">
        <v>94</v>
      </c>
      <c r="Y357" s="744" t="s">
        <v>96</v>
      </c>
      <c r="Z357" s="744" t="s">
        <v>81</v>
      </c>
      <c r="AA357" s="744" t="s">
        <v>82</v>
      </c>
      <c r="AB357" s="880" t="s">
        <v>75</v>
      </c>
      <c r="AC357" s="744" t="s">
        <v>83</v>
      </c>
      <c r="AD357" s="744" t="s">
        <v>87</v>
      </c>
      <c r="AE357" s="936" t="s">
        <v>84</v>
      </c>
      <c r="AF357" s="1653"/>
      <c r="AG357" s="88" t="s">
        <v>85</v>
      </c>
      <c r="AH357" s="30" t="s">
        <v>86</v>
      </c>
      <c r="AI357" s="30" t="s">
        <v>77</v>
      </c>
      <c r="AJ357" s="89" t="s">
        <v>75</v>
      </c>
      <c r="AK357" s="30" t="s">
        <v>78</v>
      </c>
      <c r="AL357" s="89" t="s">
        <v>53</v>
      </c>
      <c r="AM357" s="112" t="s">
        <v>88</v>
      </c>
      <c r="AN357" s="87" t="s">
        <v>94</v>
      </c>
      <c r="AO357" s="1653"/>
      <c r="AP357" s="743" t="s">
        <v>86</v>
      </c>
      <c r="AQ357" s="744" t="s">
        <v>123</v>
      </c>
      <c r="AR357" s="744" t="s">
        <v>90</v>
      </c>
      <c r="AS357" s="744" t="s">
        <v>92</v>
      </c>
      <c r="AT357" s="880" t="s">
        <v>250</v>
      </c>
      <c r="AU357" s="744" t="s">
        <v>85</v>
      </c>
      <c r="AV357" s="880" t="s">
        <v>381</v>
      </c>
      <c r="AW357" s="936" t="s">
        <v>81</v>
      </c>
      <c r="AX357" s="1653"/>
      <c r="AY357" s="743" t="s">
        <v>82</v>
      </c>
      <c r="AZ357" s="744" t="s">
        <v>93</v>
      </c>
      <c r="BA357" s="744" t="s">
        <v>94</v>
      </c>
      <c r="BB357" s="744" t="s">
        <v>95</v>
      </c>
      <c r="BC357" s="880" t="s">
        <v>75</v>
      </c>
      <c r="BD357" s="744" t="s">
        <v>53</v>
      </c>
      <c r="BE357" s="880" t="s">
        <v>96</v>
      </c>
      <c r="BF357" s="936" t="s">
        <v>97</v>
      </c>
      <c r="BG357" s="1653"/>
      <c r="BH357" s="743" t="s">
        <v>71</v>
      </c>
      <c r="BI357" s="744" t="s">
        <v>465</v>
      </c>
      <c r="BJ357" s="744" t="s">
        <v>99</v>
      </c>
      <c r="BK357" s="744" t="s">
        <v>100</v>
      </c>
      <c r="BL357" s="880" t="s">
        <v>75</v>
      </c>
      <c r="BM357" s="51" t="s">
        <v>466</v>
      </c>
      <c r="BN357" s="880" t="s">
        <v>77</v>
      </c>
      <c r="BO357" s="936" t="s">
        <v>170</v>
      </c>
      <c r="BP357" s="1653"/>
      <c r="BQ357" s="743" t="s">
        <v>250</v>
      </c>
      <c r="BR357" s="744"/>
      <c r="BS357" s="744" t="s">
        <v>92</v>
      </c>
      <c r="BT357" s="744"/>
      <c r="BU357" s="880" t="s">
        <v>469</v>
      </c>
      <c r="BV357" s="744"/>
      <c r="BW357" s="880" t="s">
        <v>149</v>
      </c>
      <c r="BX357" s="936"/>
      <c r="BY357" s="1653"/>
      <c r="BZ357" s="1627"/>
      <c r="CA357" s="1628"/>
      <c r="CB357" s="1628"/>
      <c r="CC357" s="1628"/>
      <c r="CD357" s="1628"/>
      <c r="CE357" s="1628"/>
      <c r="CF357" s="1628"/>
      <c r="CG357" s="1642"/>
      <c r="CH357" s="1656"/>
      <c r="CI357" s="1657"/>
      <c r="CJ357" s="1664"/>
      <c r="CK357" s="1657"/>
      <c r="CL357" s="1657"/>
      <c r="CM357" s="1657"/>
      <c r="CN357" s="1657"/>
    </row>
    <row r="358" spans="1:92" ht="21" thickBot="1">
      <c r="A358" s="1"/>
      <c r="B358" s="1"/>
      <c r="C358" s="1"/>
      <c r="D358" s="1"/>
      <c r="E358" s="1629"/>
      <c r="F358" s="694"/>
      <c r="G358" s="1630"/>
      <c r="H358" s="707"/>
      <c r="I358" s="1630"/>
      <c r="J358" s="1630"/>
      <c r="K358" s="707"/>
      <c r="L358" s="707"/>
      <c r="M358" s="707"/>
      <c r="N358" s="1630"/>
      <c r="O358" s="1630"/>
      <c r="P358" s="694"/>
      <c r="Q358" s="1630"/>
      <c r="R358" s="1630"/>
      <c r="S358" s="1630"/>
      <c r="T358" s="1630"/>
      <c r="U358" s="694"/>
      <c r="V358" s="694"/>
      <c r="W358" s="1630"/>
      <c r="X358" s="1630"/>
      <c r="Y358" s="694"/>
      <c r="Z358" s="1630"/>
      <c r="AA358" s="1630"/>
      <c r="AB358" s="1630"/>
      <c r="AC358" s="1630"/>
      <c r="AD358" s="707"/>
      <c r="AE358" s="694"/>
      <c r="AF358" s="1630"/>
      <c r="AG358" s="1630"/>
      <c r="AH358" s="694"/>
      <c r="AI358" s="1630"/>
      <c r="AJ358" s="1630"/>
      <c r="AK358" s="1630"/>
      <c r="AL358" s="694"/>
      <c r="AM358" s="694"/>
      <c r="AN358" s="694"/>
      <c r="AO358" s="1630"/>
      <c r="AP358" s="1630"/>
      <c r="AQ358" s="694"/>
      <c r="AR358" s="1630"/>
      <c r="AS358" s="1630"/>
      <c r="AT358" s="1630"/>
      <c r="AU358" s="1630"/>
      <c r="AV358" s="694"/>
      <c r="AW358" s="694"/>
      <c r="AX358" s="1630"/>
      <c r="AY358" s="1630"/>
      <c r="AZ358" s="694"/>
      <c r="BA358" s="1630"/>
      <c r="BB358" s="1630"/>
      <c r="BC358" s="1630"/>
      <c r="BD358" s="1630"/>
      <c r="BE358" s="694"/>
      <c r="BF358" s="694"/>
      <c r="BG358" s="1630"/>
      <c r="BH358" s="1630"/>
      <c r="BI358" s="694"/>
      <c r="BJ358" s="1630"/>
      <c r="BK358" s="1630"/>
      <c r="BL358" s="1630"/>
      <c r="BM358" s="1630"/>
      <c r="BN358" s="694"/>
      <c r="BO358" s="694"/>
      <c r="BP358" s="1630"/>
      <c r="BQ358" s="1630"/>
      <c r="BR358" s="694"/>
      <c r="BS358" s="1630"/>
      <c r="BT358" s="1630"/>
      <c r="BU358" s="1630"/>
      <c r="BV358" s="1630"/>
      <c r="BW358" s="694"/>
      <c r="BX358" s="694"/>
      <c r="BY358" s="1630"/>
      <c r="BZ358" s="1655"/>
      <c r="CA358" s="1630"/>
      <c r="CB358" s="1630"/>
      <c r="CC358" s="1630"/>
      <c r="CD358" s="1630"/>
      <c r="CE358" s="1658"/>
      <c r="CF358" s="1655"/>
      <c r="CG358" s="1655"/>
      <c r="CH358" s="1655"/>
      <c r="CI358" s="1659"/>
      <c r="CJ358" s="1665"/>
      <c r="CK358" s="1665"/>
      <c r="CL358" s="1659"/>
      <c r="CM358" s="1665"/>
      <c r="CN358" s="1666"/>
    </row>
    <row r="359" spans="1:92" ht="21" thickBot="1">
      <c r="A359" s="991" t="s">
        <v>154</v>
      </c>
      <c r="B359" s="1045"/>
      <c r="C359" s="1045"/>
      <c r="D359" s="1631"/>
      <c r="E359" s="1632"/>
      <c r="F359" s="665">
        <f t="shared" ref="F359:M359" si="133">F244-F350+F356</f>
        <v>0</v>
      </c>
      <c r="G359" s="665">
        <f t="shared" si="133"/>
        <v>0</v>
      </c>
      <c r="H359" s="665">
        <f t="shared" si="133"/>
        <v>1232</v>
      </c>
      <c r="I359" s="665">
        <f t="shared" si="133"/>
        <v>0</v>
      </c>
      <c r="J359" s="665">
        <f t="shared" si="133"/>
        <v>768</v>
      </c>
      <c r="K359" s="665">
        <f t="shared" si="133"/>
        <v>0</v>
      </c>
      <c r="L359" s="665">
        <f t="shared" si="133"/>
        <v>416</v>
      </c>
      <c r="M359" s="665">
        <f t="shared" si="133"/>
        <v>0</v>
      </c>
      <c r="N359" s="665"/>
      <c r="O359" s="665">
        <f t="shared" ref="O359:V359" si="134">O244-O350+O356</f>
        <v>0</v>
      </c>
      <c r="P359" s="665">
        <f t="shared" si="134"/>
        <v>0</v>
      </c>
      <c r="Q359" s="665">
        <f t="shared" si="134"/>
        <v>0</v>
      </c>
      <c r="R359" s="665">
        <f t="shared" si="134"/>
        <v>0</v>
      </c>
      <c r="S359" s="665">
        <f t="shared" si="134"/>
        <v>0</v>
      </c>
      <c r="T359" s="665">
        <f t="shared" si="134"/>
        <v>0</v>
      </c>
      <c r="U359" s="665">
        <f t="shared" si="134"/>
        <v>0</v>
      </c>
      <c r="V359" s="665">
        <f t="shared" si="134"/>
        <v>0</v>
      </c>
      <c r="W359" s="665"/>
      <c r="X359" s="665">
        <f t="shared" ref="X359:AE359" si="135">X244-X350+X356</f>
        <v>0</v>
      </c>
      <c r="Y359" s="665">
        <f t="shared" si="135"/>
        <v>128</v>
      </c>
      <c r="Z359" s="665">
        <f t="shared" si="135"/>
        <v>0</v>
      </c>
      <c r="AA359" s="665">
        <f t="shared" si="135"/>
        <v>0</v>
      </c>
      <c r="AB359" s="665">
        <f t="shared" si="135"/>
        <v>0</v>
      </c>
      <c r="AC359" s="665">
        <f t="shared" si="135"/>
        <v>0</v>
      </c>
      <c r="AD359" s="1654">
        <f t="shared" si="135"/>
        <v>32</v>
      </c>
      <c r="AE359" s="665">
        <f t="shared" si="135"/>
        <v>272</v>
      </c>
      <c r="AF359" s="665"/>
      <c r="AG359" s="665">
        <f t="shared" ref="AG359:AN359" si="136">AG244-AG350+AG356</f>
        <v>0</v>
      </c>
      <c r="AH359" s="665">
        <f t="shared" si="136"/>
        <v>0</v>
      </c>
      <c r="AI359" s="665">
        <f t="shared" si="136"/>
        <v>0</v>
      </c>
      <c r="AJ359" s="665">
        <f t="shared" si="136"/>
        <v>0</v>
      </c>
      <c r="AK359" s="665">
        <f t="shared" si="136"/>
        <v>992</v>
      </c>
      <c r="AL359" s="665">
        <f t="shared" si="136"/>
        <v>0</v>
      </c>
      <c r="AM359" s="665">
        <f t="shared" si="136"/>
        <v>-176</v>
      </c>
      <c r="AN359" s="665">
        <f t="shared" si="136"/>
        <v>0</v>
      </c>
      <c r="AO359" s="665"/>
      <c r="AP359" s="665">
        <f t="shared" ref="AP359:AW359" si="137">AP244-AP350+AP356</f>
        <v>32</v>
      </c>
      <c r="AQ359" s="665">
        <f t="shared" si="137"/>
        <v>368</v>
      </c>
      <c r="AR359" s="665">
        <f t="shared" si="137"/>
        <v>48</v>
      </c>
      <c r="AS359" s="665">
        <f t="shared" si="137"/>
        <v>0</v>
      </c>
      <c r="AT359" s="665">
        <f t="shared" si="137"/>
        <v>0</v>
      </c>
      <c r="AU359" s="665">
        <f t="shared" si="137"/>
        <v>0</v>
      </c>
      <c r="AV359" s="665">
        <f t="shared" si="137"/>
        <v>0</v>
      </c>
      <c r="AW359" s="665">
        <f t="shared" si="137"/>
        <v>0</v>
      </c>
      <c r="AX359" s="665"/>
      <c r="AY359" s="665">
        <f t="shared" ref="AY359:BF359" si="138">AY244-AY350+AY356</f>
        <v>0</v>
      </c>
      <c r="AZ359" s="665">
        <f t="shared" si="138"/>
        <v>0</v>
      </c>
      <c r="BA359" s="665">
        <f t="shared" si="138"/>
        <v>1552</v>
      </c>
      <c r="BB359" s="665">
        <f t="shared" si="138"/>
        <v>-192</v>
      </c>
      <c r="BC359" s="665">
        <f t="shared" si="138"/>
        <v>416</v>
      </c>
      <c r="BD359" s="665">
        <f t="shared" si="138"/>
        <v>1504</v>
      </c>
      <c r="BE359" s="665">
        <f t="shared" si="138"/>
        <v>0</v>
      </c>
      <c r="BF359" s="665">
        <f t="shared" si="138"/>
        <v>-800</v>
      </c>
      <c r="BG359" s="665"/>
      <c r="BH359" s="665">
        <f t="shared" ref="BH359:BO359" si="139">BH244-BH350+BH356</f>
        <v>0</v>
      </c>
      <c r="BI359" s="665">
        <f t="shared" si="139"/>
        <v>1216</v>
      </c>
      <c r="BJ359" s="665">
        <f t="shared" si="139"/>
        <v>848</v>
      </c>
      <c r="BK359" s="665">
        <f t="shared" si="139"/>
        <v>192</v>
      </c>
      <c r="BL359" s="665">
        <f t="shared" si="139"/>
        <v>0</v>
      </c>
      <c r="BM359" s="665">
        <f t="shared" si="139"/>
        <v>0</v>
      </c>
      <c r="BN359" s="665">
        <f t="shared" si="139"/>
        <v>0</v>
      </c>
      <c r="BO359" s="665">
        <f t="shared" si="139"/>
        <v>0</v>
      </c>
      <c r="BP359" s="665"/>
      <c r="BQ359" s="665">
        <f t="shared" ref="BQ359:BX359" si="140">BQ244-BQ350+BQ356</f>
        <v>16</v>
      </c>
      <c r="BR359" s="665">
        <f t="shared" si="140"/>
        <v>0</v>
      </c>
      <c r="BS359" s="665">
        <f t="shared" si="140"/>
        <v>0</v>
      </c>
      <c r="BT359" s="665">
        <f t="shared" si="140"/>
        <v>0</v>
      </c>
      <c r="BU359" s="665">
        <f t="shared" si="140"/>
        <v>0</v>
      </c>
      <c r="BV359" s="665">
        <f t="shared" si="140"/>
        <v>272</v>
      </c>
      <c r="BW359" s="665">
        <f t="shared" si="140"/>
        <v>0</v>
      </c>
      <c r="BX359" s="665">
        <f t="shared" si="140"/>
        <v>464</v>
      </c>
      <c r="BY359" s="665"/>
      <c r="BZ359" s="665">
        <f t="shared" ref="BZ359:CG359" si="141">BZ244-BZ350+BZ356</f>
        <v>-448</v>
      </c>
      <c r="CA359" s="665">
        <f t="shared" si="141"/>
        <v>0</v>
      </c>
      <c r="CB359" s="665">
        <f t="shared" si="141"/>
        <v>0</v>
      </c>
      <c r="CC359" s="665">
        <f t="shared" si="141"/>
        <v>0</v>
      </c>
      <c r="CD359" s="665">
        <f t="shared" si="141"/>
        <v>288</v>
      </c>
      <c r="CE359" s="1654">
        <f t="shared" si="141"/>
        <v>0</v>
      </c>
      <c r="CF359" s="665">
        <f t="shared" si="141"/>
        <v>0</v>
      </c>
      <c r="CG359" s="665">
        <f t="shared" si="141"/>
        <v>0</v>
      </c>
      <c r="CH359" s="665"/>
      <c r="CI359" s="665">
        <f>CI244-CI350+CI356</f>
        <v>9440</v>
      </c>
      <c r="CJ359" s="2714">
        <f>CJ244-CJ350-CK350+CJ356</f>
        <v>37</v>
      </c>
      <c r="CK359" s="851"/>
      <c r="CL359" s="665">
        <f>CL244-CL350+CL356</f>
        <v>9477</v>
      </c>
      <c r="CM359" s="665">
        <f>CM244-CM350+CM356</f>
        <v>437</v>
      </c>
      <c r="CN359" s="2900">
        <f>CN244-CN350+CN356</f>
        <v>9914</v>
      </c>
    </row>
    <row r="360" spans="1:92" ht="21" thickBot="1">
      <c r="A360" s="2902" t="s">
        <v>155</v>
      </c>
      <c r="B360" s="2903"/>
      <c r="C360" s="2903"/>
      <c r="D360" s="2903"/>
      <c r="E360" s="1513"/>
      <c r="F360" s="1633">
        <f>F359/16</f>
        <v>0</v>
      </c>
      <c r="G360" s="1633">
        <f>G359/16</f>
        <v>0</v>
      </c>
      <c r="H360" s="1633">
        <f t="shared" ref="H360:CN360" si="142">H359/16</f>
        <v>77</v>
      </c>
      <c r="I360" s="1633">
        <f t="shared" si="142"/>
        <v>0</v>
      </c>
      <c r="J360" s="1633">
        <f t="shared" si="142"/>
        <v>48</v>
      </c>
      <c r="K360" s="1644">
        <f t="shared" si="142"/>
        <v>0</v>
      </c>
      <c r="L360" s="1633">
        <f t="shared" si="142"/>
        <v>26</v>
      </c>
      <c r="M360" s="1633">
        <f t="shared" si="142"/>
        <v>0</v>
      </c>
      <c r="N360" s="1633"/>
      <c r="O360" s="1633">
        <f t="shared" si="142"/>
        <v>0</v>
      </c>
      <c r="P360" s="1633">
        <f t="shared" si="142"/>
        <v>0</v>
      </c>
      <c r="Q360" s="1633">
        <f t="shared" si="142"/>
        <v>0</v>
      </c>
      <c r="R360" s="1633">
        <f t="shared" si="142"/>
        <v>0</v>
      </c>
      <c r="S360" s="1633">
        <f t="shared" si="142"/>
        <v>0</v>
      </c>
      <c r="T360" s="1633">
        <f t="shared" si="142"/>
        <v>0</v>
      </c>
      <c r="U360" s="1633">
        <f t="shared" si="142"/>
        <v>0</v>
      </c>
      <c r="V360" s="1633">
        <f t="shared" si="142"/>
        <v>0</v>
      </c>
      <c r="W360" s="1633"/>
      <c r="X360" s="1633">
        <f t="shared" ref="X360:AW360" si="143">X359/16</f>
        <v>0</v>
      </c>
      <c r="Y360" s="1633">
        <f t="shared" si="143"/>
        <v>8</v>
      </c>
      <c r="Z360" s="1633">
        <f t="shared" si="143"/>
        <v>0</v>
      </c>
      <c r="AA360" s="1633">
        <f t="shared" si="143"/>
        <v>0</v>
      </c>
      <c r="AB360" s="1633">
        <f t="shared" si="143"/>
        <v>0</v>
      </c>
      <c r="AC360" s="1633">
        <f t="shared" si="143"/>
        <v>0</v>
      </c>
      <c r="AD360" s="1644">
        <f t="shared" si="143"/>
        <v>2</v>
      </c>
      <c r="AE360" s="1633">
        <f t="shared" si="143"/>
        <v>17</v>
      </c>
      <c r="AF360" s="1633"/>
      <c r="AG360" s="1633">
        <f t="shared" ref="AG360:AN360" si="144">AG359/16</f>
        <v>0</v>
      </c>
      <c r="AH360" s="1633">
        <f t="shared" si="144"/>
        <v>0</v>
      </c>
      <c r="AI360" s="1633">
        <f t="shared" si="144"/>
        <v>0</v>
      </c>
      <c r="AJ360" s="1633">
        <f t="shared" si="144"/>
        <v>0</v>
      </c>
      <c r="AK360" s="1633">
        <f t="shared" si="144"/>
        <v>62</v>
      </c>
      <c r="AL360" s="1633">
        <f t="shared" si="144"/>
        <v>0</v>
      </c>
      <c r="AM360" s="1633">
        <f t="shared" si="144"/>
        <v>-11</v>
      </c>
      <c r="AN360" s="1633">
        <f t="shared" si="144"/>
        <v>0</v>
      </c>
      <c r="AO360" s="1633"/>
      <c r="AP360" s="1633">
        <f t="shared" si="143"/>
        <v>2</v>
      </c>
      <c r="AQ360" s="1633">
        <f t="shared" si="143"/>
        <v>23</v>
      </c>
      <c r="AR360" s="1633">
        <f t="shared" si="143"/>
        <v>3</v>
      </c>
      <c r="AS360" s="1633">
        <f t="shared" si="143"/>
        <v>0</v>
      </c>
      <c r="AT360" s="1633">
        <f t="shared" si="143"/>
        <v>0</v>
      </c>
      <c r="AU360" s="1633">
        <f t="shared" si="143"/>
        <v>0</v>
      </c>
      <c r="AV360" s="1633">
        <f t="shared" si="143"/>
        <v>0</v>
      </c>
      <c r="AW360" s="1633">
        <f t="shared" si="143"/>
        <v>0</v>
      </c>
      <c r="AX360" s="1633"/>
      <c r="AY360" s="1633">
        <f t="shared" ref="AY360:BO360" si="145">AY359/16</f>
        <v>0</v>
      </c>
      <c r="AZ360" s="1633">
        <f t="shared" si="145"/>
        <v>0</v>
      </c>
      <c r="BA360" s="1633">
        <f t="shared" si="145"/>
        <v>97</v>
      </c>
      <c r="BB360" s="1633">
        <f t="shared" si="145"/>
        <v>-12</v>
      </c>
      <c r="BC360" s="1633">
        <f t="shared" si="145"/>
        <v>26</v>
      </c>
      <c r="BD360" s="1633">
        <f t="shared" si="145"/>
        <v>94</v>
      </c>
      <c r="BE360" s="1633">
        <f t="shared" si="145"/>
        <v>0</v>
      </c>
      <c r="BF360" s="1633">
        <f t="shared" si="145"/>
        <v>-50</v>
      </c>
      <c r="BG360" s="1633"/>
      <c r="BH360" s="1633">
        <f t="shared" si="145"/>
        <v>0</v>
      </c>
      <c r="BI360" s="1633">
        <f t="shared" si="145"/>
        <v>76</v>
      </c>
      <c r="BJ360" s="1633">
        <f t="shared" si="145"/>
        <v>53</v>
      </c>
      <c r="BK360" s="1633">
        <f t="shared" si="145"/>
        <v>12</v>
      </c>
      <c r="BL360" s="1633">
        <f t="shared" si="145"/>
        <v>0</v>
      </c>
      <c r="BM360" s="1633">
        <f t="shared" si="145"/>
        <v>0</v>
      </c>
      <c r="BN360" s="1633">
        <f t="shared" si="145"/>
        <v>0</v>
      </c>
      <c r="BO360" s="1633">
        <f t="shared" si="145"/>
        <v>0</v>
      </c>
      <c r="BP360" s="1633"/>
      <c r="BQ360" s="1633">
        <f t="shared" ref="BQ360:BX360" si="146">BQ359/16</f>
        <v>1</v>
      </c>
      <c r="BR360" s="1633">
        <f t="shared" si="146"/>
        <v>0</v>
      </c>
      <c r="BS360" s="1633">
        <f t="shared" si="146"/>
        <v>0</v>
      </c>
      <c r="BT360" s="1633">
        <f t="shared" si="146"/>
        <v>0</v>
      </c>
      <c r="BU360" s="1633">
        <f t="shared" si="146"/>
        <v>0</v>
      </c>
      <c r="BV360" s="1633">
        <f t="shared" si="146"/>
        <v>17</v>
      </c>
      <c r="BW360" s="1633">
        <f t="shared" si="146"/>
        <v>0</v>
      </c>
      <c r="BX360" s="1633">
        <f t="shared" si="146"/>
        <v>29</v>
      </c>
      <c r="BY360" s="1633"/>
      <c r="BZ360" s="529">
        <f t="shared" si="142"/>
        <v>-28</v>
      </c>
      <c r="CA360" s="1633">
        <f t="shared" si="142"/>
        <v>0</v>
      </c>
      <c r="CB360" s="1633">
        <f t="shared" si="142"/>
        <v>0</v>
      </c>
      <c r="CC360" s="1633">
        <f t="shared" si="142"/>
        <v>0</v>
      </c>
      <c r="CD360" s="1633">
        <f t="shared" si="142"/>
        <v>18</v>
      </c>
      <c r="CE360" s="1644">
        <f t="shared" si="142"/>
        <v>0</v>
      </c>
      <c r="CF360" s="1633">
        <f t="shared" si="142"/>
        <v>0</v>
      </c>
      <c r="CG360" s="1633">
        <f t="shared" si="142"/>
        <v>0</v>
      </c>
      <c r="CH360" s="1633"/>
      <c r="CI360" s="1633">
        <f>CI359/16</f>
        <v>590</v>
      </c>
      <c r="CJ360" s="3773">
        <f>CJ359/16</f>
        <v>2.3125</v>
      </c>
      <c r="CK360" s="3774"/>
      <c r="CL360" s="1633">
        <f>CL359/16</f>
        <v>592.3125</v>
      </c>
      <c r="CM360" s="1633">
        <f t="shared" si="142"/>
        <v>27.3125</v>
      </c>
      <c r="CN360" s="1667">
        <f t="shared" si="142"/>
        <v>619.625</v>
      </c>
    </row>
    <row r="361" spans="1:92" ht="21" thickBot="1">
      <c r="A361" s="2902" t="s">
        <v>156</v>
      </c>
      <c r="B361" s="2903"/>
      <c r="C361" s="2903"/>
      <c r="D361" s="2903"/>
      <c r="E361" s="1513"/>
      <c r="F361" s="3775">
        <f>SUM(F360:M360)</f>
        <v>151</v>
      </c>
      <c r="G361" s="3776"/>
      <c r="H361" s="3776"/>
      <c r="I361" s="3776"/>
      <c r="J361" s="3776"/>
      <c r="K361" s="3776"/>
      <c r="L361" s="3776"/>
      <c r="M361" s="3777"/>
      <c r="N361" s="705"/>
      <c r="O361" s="3778">
        <f>SUM(O360:V360)</f>
        <v>0</v>
      </c>
      <c r="P361" s="3779"/>
      <c r="Q361" s="3779"/>
      <c r="R361" s="3779"/>
      <c r="S361" s="3779"/>
      <c r="T361" s="3779"/>
      <c r="U361" s="3779"/>
      <c r="V361" s="3780"/>
      <c r="W361" s="693"/>
      <c r="X361" s="3778">
        <f>SUM(X360:AE360)</f>
        <v>27</v>
      </c>
      <c r="Y361" s="3779"/>
      <c r="Z361" s="3779"/>
      <c r="AA361" s="3779"/>
      <c r="AB361" s="3779"/>
      <c r="AC361" s="3779"/>
      <c r="AD361" s="3779"/>
      <c r="AE361" s="3780"/>
      <c r="AF361" s="693"/>
      <c r="AG361" s="3778">
        <f>SUM(AG360:AN360)</f>
        <v>51</v>
      </c>
      <c r="AH361" s="3779"/>
      <c r="AI361" s="3779"/>
      <c r="AJ361" s="3779"/>
      <c r="AK361" s="3779"/>
      <c r="AL361" s="3779"/>
      <c r="AM361" s="3779"/>
      <c r="AN361" s="3780"/>
      <c r="AO361" s="693"/>
      <c r="AP361" s="3778">
        <f>SUM(AP360:AW360)</f>
        <v>28</v>
      </c>
      <c r="AQ361" s="3779"/>
      <c r="AR361" s="3779"/>
      <c r="AS361" s="3779"/>
      <c r="AT361" s="3779"/>
      <c r="AU361" s="3779"/>
      <c r="AV361" s="3779"/>
      <c r="AW361" s="3780"/>
      <c r="AX361" s="693"/>
      <c r="AY361" s="3778">
        <f>SUM(AY360:BF360)</f>
        <v>155</v>
      </c>
      <c r="AZ361" s="3779"/>
      <c r="BA361" s="3779"/>
      <c r="BB361" s="3779"/>
      <c r="BC361" s="3779"/>
      <c r="BD361" s="3779"/>
      <c r="BE361" s="3779"/>
      <c r="BF361" s="3780"/>
      <c r="BG361" s="693"/>
      <c r="BH361" s="3778">
        <f>SUM(BH360:BO360)</f>
        <v>141</v>
      </c>
      <c r="BI361" s="3779"/>
      <c r="BJ361" s="3779"/>
      <c r="BK361" s="3779"/>
      <c r="BL361" s="3779"/>
      <c r="BM361" s="3779"/>
      <c r="BN361" s="3779"/>
      <c r="BO361" s="3780"/>
      <c r="BP361" s="693"/>
      <c r="BQ361" s="3778">
        <f>SUM(BQ360:BX360)</f>
        <v>47</v>
      </c>
      <c r="BR361" s="3779"/>
      <c r="BS361" s="3779"/>
      <c r="BT361" s="3779"/>
      <c r="BU361" s="3779"/>
      <c r="BV361" s="3779"/>
      <c r="BW361" s="3779"/>
      <c r="BX361" s="3780"/>
      <c r="BY361" s="693"/>
      <c r="BZ361" s="3781">
        <f>SUM(BZ360:CG360)</f>
        <v>-10</v>
      </c>
      <c r="CA361" s="3782"/>
      <c r="CB361" s="3782"/>
      <c r="CC361" s="3782"/>
      <c r="CD361" s="3782"/>
      <c r="CE361" s="3782"/>
      <c r="CF361" s="3782"/>
      <c r="CG361" s="3783"/>
      <c r="CH361" s="673"/>
      <c r="CI361" s="694"/>
      <c r="CJ361" s="707"/>
      <c r="CK361" s="694"/>
      <c r="CL361" s="1668"/>
      <c r="CM361" s="1669"/>
      <c r="CN361" s="694"/>
    </row>
    <row r="362" spans="1:92" ht="21" thickBot="1">
      <c r="A362" s="3784" t="s">
        <v>157</v>
      </c>
      <c r="B362" s="3785"/>
      <c r="C362" s="3785"/>
      <c r="D362" s="3785"/>
      <c r="E362" s="1670"/>
      <c r="F362" s="3786">
        <f>SUM(F359:M359)</f>
        <v>2416</v>
      </c>
      <c r="G362" s="3787"/>
      <c r="H362" s="3787"/>
      <c r="I362" s="3787"/>
      <c r="J362" s="3787"/>
      <c r="K362" s="3787"/>
      <c r="L362" s="3787"/>
      <c r="M362" s="3787"/>
      <c r="N362" s="1672"/>
      <c r="O362" s="3788">
        <f>SUM(O359:V359)</f>
        <v>0</v>
      </c>
      <c r="P362" s="3788"/>
      <c r="Q362" s="3788"/>
      <c r="R362" s="3788"/>
      <c r="S362" s="3788"/>
      <c r="T362" s="3788"/>
      <c r="U362" s="3788"/>
      <c r="V362" s="3788"/>
      <c r="W362" s="676"/>
      <c r="X362" s="3788">
        <f>SUM(X359:AE359)</f>
        <v>432</v>
      </c>
      <c r="Y362" s="3788"/>
      <c r="Z362" s="3788"/>
      <c r="AA362" s="3788"/>
      <c r="AB362" s="3788"/>
      <c r="AC362" s="3788"/>
      <c r="AD362" s="3788"/>
      <c r="AE362" s="3788"/>
      <c r="AF362" s="676"/>
      <c r="AG362" s="3788">
        <f>SUM(AG359:AN359)</f>
        <v>816</v>
      </c>
      <c r="AH362" s="3788"/>
      <c r="AI362" s="3788"/>
      <c r="AJ362" s="3788"/>
      <c r="AK362" s="3788"/>
      <c r="AL362" s="3788"/>
      <c r="AM362" s="3788"/>
      <c r="AN362" s="3788"/>
      <c r="AO362" s="676"/>
      <c r="AP362" s="3788">
        <f>SUM(AP359:AW359)</f>
        <v>448</v>
      </c>
      <c r="AQ362" s="3788"/>
      <c r="AR362" s="3788"/>
      <c r="AS362" s="3788"/>
      <c r="AT362" s="3788"/>
      <c r="AU362" s="3788"/>
      <c r="AV362" s="3788"/>
      <c r="AW362" s="3788"/>
      <c r="AX362" s="676"/>
      <c r="AY362" s="3788">
        <f>SUM(AY359:BF359)</f>
        <v>2480</v>
      </c>
      <c r="AZ362" s="3788"/>
      <c r="BA362" s="3788"/>
      <c r="BB362" s="3788"/>
      <c r="BC362" s="3788"/>
      <c r="BD362" s="3788"/>
      <c r="BE362" s="3788"/>
      <c r="BF362" s="3788"/>
      <c r="BG362" s="676"/>
      <c r="BH362" s="3788">
        <f>SUM(BH359:BO359)</f>
        <v>2256</v>
      </c>
      <c r="BI362" s="3788"/>
      <c r="BJ362" s="3788"/>
      <c r="BK362" s="3788"/>
      <c r="BL362" s="3788"/>
      <c r="BM362" s="3788"/>
      <c r="BN362" s="3788"/>
      <c r="BO362" s="3788"/>
      <c r="BP362" s="676"/>
      <c r="BQ362" s="3788">
        <f>SUM(BQ359:BX359)</f>
        <v>752</v>
      </c>
      <c r="BR362" s="3788"/>
      <c r="BS362" s="3788"/>
      <c r="BT362" s="3788"/>
      <c r="BU362" s="3788"/>
      <c r="BV362" s="3788"/>
      <c r="BW362" s="3788"/>
      <c r="BX362" s="3788"/>
      <c r="BY362" s="676"/>
      <c r="BZ362" s="3789">
        <f>SUM(BZ359:CG359)</f>
        <v>-160</v>
      </c>
      <c r="CA362" s="3790"/>
      <c r="CB362" s="3790"/>
      <c r="CC362" s="3790"/>
      <c r="CD362" s="3790"/>
      <c r="CE362" s="3790"/>
      <c r="CF362" s="3791"/>
      <c r="CG362" s="3792"/>
      <c r="CH362" s="663"/>
      <c r="CI362" s="1673"/>
      <c r="CJ362" s="704"/>
      <c r="CK362" s="663"/>
      <c r="CL362" s="1673"/>
      <c r="CM362" s="1673"/>
      <c r="CN362" s="704"/>
    </row>
    <row r="363" spans="1:92" ht="18.75">
      <c r="A363" s="216"/>
      <c r="B363" s="4"/>
      <c r="C363" s="4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  <c r="AB363" s="216"/>
      <c r="AC363" s="216"/>
      <c r="AD363" s="216"/>
      <c r="AE363" s="216"/>
      <c r="AF363" s="216"/>
      <c r="AG363" s="216"/>
      <c r="AH363" s="216"/>
      <c r="AI363" s="216"/>
      <c r="AJ363" s="216"/>
      <c r="AK363" s="216"/>
      <c r="AL363" s="216"/>
      <c r="AM363" s="216"/>
      <c r="AN363" s="216"/>
      <c r="AO363" s="216"/>
      <c r="AP363" s="216"/>
      <c r="AQ363" s="216"/>
      <c r="AR363" s="216"/>
      <c r="AS363" s="216"/>
      <c r="AT363" s="216"/>
      <c r="AU363" s="216"/>
      <c r="AV363" s="216"/>
      <c r="AW363" s="216"/>
      <c r="AX363" s="216"/>
      <c r="AY363" s="216"/>
      <c r="AZ363" s="216"/>
      <c r="BA363" s="216"/>
      <c r="BB363" s="216"/>
      <c r="BC363" s="216"/>
      <c r="BD363" s="216"/>
      <c r="BE363" s="216"/>
      <c r="BF363" s="216"/>
      <c r="BG363" s="216"/>
      <c r="BH363" s="216"/>
      <c r="BI363" s="216"/>
      <c r="BJ363" s="216"/>
      <c r="BK363" s="216"/>
      <c r="BL363" s="216"/>
      <c r="BM363" s="216"/>
      <c r="BN363" s="216"/>
      <c r="BO363" s="216"/>
      <c r="BP363" s="216"/>
      <c r="BQ363" s="216"/>
      <c r="BR363" s="216"/>
      <c r="BS363" s="216"/>
      <c r="BT363" s="216"/>
      <c r="BU363" s="216"/>
      <c r="BV363" s="216"/>
      <c r="BW363" s="216"/>
      <c r="BX363" s="216"/>
      <c r="BY363" s="216"/>
      <c r="BZ363" s="216"/>
      <c r="CA363" s="216"/>
      <c r="CB363" s="216"/>
      <c r="CC363" s="216"/>
      <c r="CD363" s="216"/>
      <c r="CE363" s="216"/>
      <c r="CF363" s="216"/>
      <c r="CG363" s="216"/>
      <c r="CH363" s="216"/>
      <c r="CI363" s="217"/>
      <c r="CJ363" s="4"/>
      <c r="CK363" s="4"/>
      <c r="CL363" s="4"/>
      <c r="CM363" s="216"/>
      <c r="CN363" s="216"/>
    </row>
    <row r="364" spans="1:92" ht="15.75" thickBot="1">
      <c r="A364" s="1671"/>
      <c r="B364" s="696"/>
      <c r="C364" s="696"/>
      <c r="D364" s="1671"/>
      <c r="E364" s="1671"/>
      <c r="F364" s="1671"/>
      <c r="G364" s="1671"/>
      <c r="H364" s="1671"/>
      <c r="I364" s="1671"/>
      <c r="J364" s="1671"/>
      <c r="K364" s="1671"/>
      <c r="L364" s="1671"/>
      <c r="M364" s="1671"/>
      <c r="N364" s="1671"/>
      <c r="O364" s="1671"/>
      <c r="P364" s="1671"/>
      <c r="Q364" s="1671"/>
      <c r="R364" s="1671"/>
      <c r="S364" s="1671"/>
      <c r="T364" s="1671"/>
      <c r="U364" s="1671"/>
      <c r="V364" s="1671"/>
      <c r="W364" s="1671"/>
      <c r="X364" s="1671"/>
      <c r="Y364" s="1671"/>
      <c r="Z364" s="1671"/>
      <c r="AA364" s="1671"/>
      <c r="AB364" s="1671"/>
      <c r="AC364" s="1671"/>
      <c r="AD364" s="1671"/>
      <c r="AE364" s="1671"/>
      <c r="AF364" s="1671"/>
      <c r="AG364" s="1671"/>
      <c r="AH364" s="1671"/>
      <c r="AI364" s="1671"/>
      <c r="AJ364" s="1671"/>
      <c r="AK364" s="1671"/>
      <c r="AL364" s="1671"/>
      <c r="AM364" s="1671"/>
      <c r="AN364" s="1671"/>
      <c r="AO364" s="1671"/>
      <c r="AP364" s="1671"/>
      <c r="AQ364" s="1671"/>
      <c r="AR364" s="1671"/>
      <c r="AS364" s="1671"/>
      <c r="AT364" s="1671"/>
      <c r="AU364" s="1671"/>
      <c r="AV364" s="1671"/>
      <c r="AW364" s="1671"/>
      <c r="AX364" s="1671"/>
      <c r="AY364" s="1671"/>
      <c r="AZ364" s="1671"/>
      <c r="BA364" s="1671"/>
      <c r="BB364" s="1671"/>
      <c r="BC364" s="1671"/>
      <c r="BD364" s="1671"/>
      <c r="BE364" s="1671"/>
      <c r="BF364" s="1671"/>
      <c r="BG364" s="1671"/>
      <c r="BH364" s="1671"/>
      <c r="BI364" s="1671"/>
      <c r="BJ364" s="1671"/>
      <c r="BK364" s="1671"/>
      <c r="BL364" s="1671"/>
      <c r="BM364" s="1671"/>
      <c r="BN364" s="1671"/>
      <c r="BO364" s="1671"/>
      <c r="BP364" s="1671"/>
      <c r="BQ364" s="1671"/>
      <c r="BR364" s="1671"/>
      <c r="BS364" s="1671"/>
      <c r="BT364" s="1671"/>
      <c r="BU364" s="1671"/>
      <c r="BV364" s="1671"/>
      <c r="BW364" s="1671"/>
      <c r="BX364" s="1671"/>
      <c r="BY364" s="1671"/>
      <c r="BZ364" s="1671"/>
      <c r="CA364" s="1671"/>
      <c r="CB364" s="1671"/>
      <c r="CC364" s="1671"/>
      <c r="CD364" s="1671"/>
      <c r="CE364" s="1671"/>
      <c r="CF364" s="1671"/>
      <c r="CG364" s="1671"/>
      <c r="CH364" s="1671"/>
      <c r="CI364" s="1671"/>
      <c r="CJ364" s="696"/>
      <c r="CK364" s="696"/>
      <c r="CL364" s="696"/>
      <c r="CM364" s="1671"/>
      <c r="CN364" s="1671"/>
    </row>
    <row r="365" spans="1:92" ht="27.75" thickBot="1">
      <c r="A365" s="1671"/>
      <c r="B365" s="696"/>
      <c r="C365" s="696"/>
      <c r="D365" s="1671"/>
      <c r="E365" s="1671"/>
      <c r="F365" s="1671"/>
      <c r="G365" s="1671"/>
      <c r="H365" s="1671"/>
      <c r="I365" s="1671"/>
      <c r="J365" s="1671"/>
      <c r="K365" s="1671"/>
      <c r="L365" s="1671"/>
      <c r="M365" s="1671"/>
      <c r="N365" s="1671"/>
      <c r="O365" s="1671"/>
      <c r="P365" s="1671"/>
      <c r="R365" s="1671"/>
      <c r="S365" s="1671"/>
      <c r="T365" s="1671"/>
      <c r="U365" s="1671"/>
      <c r="V365" s="1671"/>
      <c r="X365" s="1671"/>
      <c r="Y365" s="1671"/>
      <c r="AA365" s="1671"/>
      <c r="AB365" s="1671"/>
      <c r="AC365" s="1671"/>
      <c r="AD365" s="1671"/>
      <c r="AE365" s="1671"/>
      <c r="AG365" s="1671"/>
      <c r="AH365" s="1671"/>
      <c r="AI365" s="1671"/>
      <c r="AJ365" s="1671"/>
      <c r="AK365" s="1671"/>
      <c r="AL365" s="1671"/>
      <c r="AM365" s="1671"/>
      <c r="AN365" s="1671"/>
      <c r="AP365" s="1671"/>
      <c r="AQ365" s="1671"/>
      <c r="AS365" s="1671"/>
      <c r="AT365" s="1671"/>
      <c r="AU365" s="1671"/>
      <c r="AV365" s="1671"/>
      <c r="AW365" s="1671"/>
      <c r="AY365" s="1671"/>
      <c r="AZ365" s="1671"/>
      <c r="BB365" s="1671"/>
      <c r="BC365" s="1671"/>
      <c r="BD365" s="1671"/>
      <c r="BE365" s="1671"/>
      <c r="BF365" s="1671"/>
      <c r="BH365" s="1671"/>
      <c r="BI365" s="1671"/>
      <c r="BK365" s="1671"/>
      <c r="BL365" s="1671"/>
      <c r="BM365" s="1671"/>
      <c r="BN365" s="1671"/>
      <c r="BO365" s="1671"/>
      <c r="BQ365" s="1671"/>
      <c r="BR365" s="1671"/>
      <c r="BT365" s="1671"/>
      <c r="BU365" s="1671"/>
      <c r="BV365" s="1671"/>
      <c r="BW365" s="1671"/>
      <c r="BX365" s="1671"/>
      <c r="BZ365" s="2908" t="s">
        <v>158</v>
      </c>
      <c r="CA365" s="2909"/>
      <c r="CB365" s="2909"/>
      <c r="CC365" s="246"/>
      <c r="CD365" s="2906"/>
      <c r="CE365" s="3793">
        <f>CI359</f>
        <v>9440</v>
      </c>
      <c r="CF365" s="3794"/>
      <c r="CG365" s="3795"/>
      <c r="CH365" s="2904"/>
      <c r="CI365" s="1674"/>
      <c r="CJ365" s="696"/>
      <c r="CK365" s="696"/>
      <c r="CL365" s="696"/>
      <c r="CM365" s="1671"/>
      <c r="CN365" s="1671"/>
    </row>
    <row r="366" spans="1:92" ht="27.75" thickBot="1">
      <c r="A366" s="1671"/>
      <c r="B366" s="696"/>
      <c r="C366" s="696"/>
      <c r="D366" s="1671"/>
      <c r="E366" s="1671"/>
      <c r="F366" s="1671"/>
      <c r="G366" s="1671"/>
      <c r="H366" s="1671"/>
      <c r="I366" s="1671"/>
      <c r="J366" s="1671"/>
      <c r="K366" s="1671"/>
      <c r="L366" s="1671"/>
      <c r="M366" s="1671"/>
      <c r="N366" s="1671"/>
      <c r="O366" s="1671"/>
      <c r="P366" s="1671"/>
      <c r="S366" s="1671"/>
      <c r="T366" s="1671"/>
      <c r="U366" s="1671"/>
      <c r="V366" s="1671"/>
      <c r="X366" s="1671"/>
      <c r="Y366" s="1671"/>
      <c r="AB366" s="1671"/>
      <c r="AC366" s="1671"/>
      <c r="AD366" s="1671"/>
      <c r="AE366" s="1671"/>
      <c r="AG366" s="1671"/>
      <c r="AH366" s="1671"/>
      <c r="AJ366" s="1671" t="s">
        <v>4</v>
      </c>
      <c r="AK366" s="1671"/>
      <c r="AL366" s="1671"/>
      <c r="AM366" s="1671"/>
      <c r="AN366" s="1671"/>
      <c r="AP366" s="1671"/>
      <c r="AQ366" s="1671"/>
      <c r="AT366" s="1671"/>
      <c r="AU366" s="1671"/>
      <c r="AV366" s="1671"/>
      <c r="AW366" s="1671"/>
      <c r="AY366" s="1671"/>
      <c r="AZ366" s="1671"/>
      <c r="BC366" s="1671"/>
      <c r="BD366" s="1671"/>
      <c r="BE366" s="1671"/>
      <c r="BF366" s="1671"/>
      <c r="BH366" s="1671"/>
      <c r="BI366" s="1671"/>
      <c r="BL366" s="1671"/>
      <c r="BM366" s="1671"/>
      <c r="BN366" s="1671"/>
      <c r="BO366" s="1671"/>
      <c r="BQ366" s="1671"/>
      <c r="BR366" s="1671"/>
      <c r="BU366" s="1671"/>
      <c r="BV366" s="1671"/>
      <c r="BW366" s="1671"/>
      <c r="BX366" s="1671"/>
      <c r="BZ366" s="2908" t="s">
        <v>159</v>
      </c>
      <c r="CA366" s="2909"/>
      <c r="CB366" s="2909"/>
      <c r="CC366" s="246"/>
      <c r="CD366" s="2906"/>
      <c r="CE366" s="3796">
        <f>'Jordan Chair'!AE250</f>
        <v>2412</v>
      </c>
      <c r="CF366" s="3797"/>
      <c r="CG366" s="3798"/>
      <c r="CH366" s="2904"/>
      <c r="CI366" s="1674"/>
      <c r="CJ366" s="696"/>
      <c r="CK366" s="696"/>
      <c r="CL366" s="696"/>
      <c r="CM366" s="1671"/>
      <c r="CN366" s="1671"/>
    </row>
    <row r="367" spans="1:92" ht="27.75" thickBot="1">
      <c r="A367" s="1671"/>
      <c r="B367" s="696"/>
      <c r="C367" s="696"/>
      <c r="D367" s="1671"/>
      <c r="E367" s="1671"/>
      <c r="F367" s="1671"/>
      <c r="G367" s="1671"/>
      <c r="H367" s="1671"/>
      <c r="I367" s="1671"/>
      <c r="J367" s="1671"/>
      <c r="K367" s="1671"/>
      <c r="L367" s="1671"/>
      <c r="M367" s="1671"/>
      <c r="N367" s="1671"/>
      <c r="O367" s="1671"/>
      <c r="P367" s="1671"/>
      <c r="R367" s="1671"/>
      <c r="S367" s="1671"/>
      <c r="T367" s="1671"/>
      <c r="U367" s="1671"/>
      <c r="V367" s="1671"/>
      <c r="X367" s="1671"/>
      <c r="Y367" s="1671"/>
      <c r="AA367" s="1671"/>
      <c r="AB367" s="1671"/>
      <c r="AC367" s="1671"/>
      <c r="AD367" s="1671"/>
      <c r="AE367" s="1671"/>
      <c r="AG367" s="1671"/>
      <c r="AH367" s="1671"/>
      <c r="AI367" s="1671"/>
      <c r="AJ367" s="1671"/>
      <c r="AK367" s="1671"/>
      <c r="AL367" s="1671"/>
      <c r="AM367" s="1671"/>
      <c r="AN367" s="1671"/>
      <c r="AP367" s="1671"/>
      <c r="AQ367" s="1671"/>
      <c r="AS367" s="1671"/>
      <c r="AT367" s="1671"/>
      <c r="AU367" s="1671"/>
      <c r="AV367" s="1671"/>
      <c r="AW367" s="1671"/>
      <c r="AY367" s="1671"/>
      <c r="AZ367" s="1671"/>
      <c r="BB367" s="1671"/>
      <c r="BC367" s="1671"/>
      <c r="BD367" s="1671"/>
      <c r="BE367" s="1671"/>
      <c r="BF367" s="1671"/>
      <c r="BH367" s="1671"/>
      <c r="BI367" s="1671"/>
      <c r="BK367" s="1671"/>
      <c r="BL367" s="1671"/>
      <c r="BM367" s="1671"/>
      <c r="BN367" s="1671"/>
      <c r="BO367" s="1671"/>
      <c r="BQ367" s="1671"/>
      <c r="BR367" s="1671"/>
      <c r="BT367" s="1671"/>
      <c r="BU367" s="1671"/>
      <c r="BV367" s="1671"/>
      <c r="BW367" s="1671"/>
      <c r="BX367" s="1671"/>
      <c r="BZ367" s="2908" t="s">
        <v>160</v>
      </c>
      <c r="CA367" s="2909"/>
      <c r="CB367" s="2909"/>
      <c r="CC367" s="246"/>
      <c r="CD367" s="2906"/>
      <c r="CE367" s="3796">
        <f>CJ359</f>
        <v>37</v>
      </c>
      <c r="CF367" s="3797"/>
      <c r="CG367" s="3798"/>
      <c r="CH367" s="2904"/>
      <c r="CI367" s="1674"/>
      <c r="CJ367" s="696"/>
      <c r="CK367" s="696"/>
      <c r="CL367" s="1676"/>
      <c r="CM367" s="1671"/>
      <c r="CN367" s="1671"/>
    </row>
    <row r="368" spans="1:92" ht="27.75" thickBot="1">
      <c r="A368" s="1671"/>
      <c r="B368" s="696"/>
      <c r="C368" s="696"/>
      <c r="D368" s="1671"/>
      <c r="E368" s="1671"/>
      <c r="F368" s="1671"/>
      <c r="G368" s="1671"/>
      <c r="H368" s="1671"/>
      <c r="I368" s="1671"/>
      <c r="J368" s="1671"/>
      <c r="K368" s="1671"/>
      <c r="L368" s="1671"/>
      <c r="M368" s="1671"/>
      <c r="N368" s="1671"/>
      <c r="O368" s="1671"/>
      <c r="P368" s="1671"/>
      <c r="R368" s="1671"/>
      <c r="S368" s="1671"/>
      <c r="T368" s="1671"/>
      <c r="U368" s="1671"/>
      <c r="V368" s="1671"/>
      <c r="X368" s="1671"/>
      <c r="Y368" s="1671"/>
      <c r="AA368" s="1671"/>
      <c r="AB368" s="1671"/>
      <c r="AC368" s="1671"/>
      <c r="AD368" s="1671"/>
      <c r="AE368" s="1671"/>
      <c r="AG368" s="1671"/>
      <c r="AH368" s="1671"/>
      <c r="AI368" s="1671"/>
      <c r="AJ368" s="1671"/>
      <c r="AK368" s="1671"/>
      <c r="AL368" s="1671"/>
      <c r="AM368" s="1671"/>
      <c r="AN368" s="1671"/>
      <c r="AP368" s="1671"/>
      <c r="AQ368" s="1671"/>
      <c r="AS368" s="1671"/>
      <c r="AT368" s="1671"/>
      <c r="AU368" s="1671"/>
      <c r="AV368" s="1671"/>
      <c r="AW368" s="1671"/>
      <c r="AY368" s="1671"/>
      <c r="AZ368" s="1671"/>
      <c r="BB368" s="1671"/>
      <c r="BC368" s="1671"/>
      <c r="BD368" s="1671"/>
      <c r="BE368" s="1671"/>
      <c r="BF368" s="1671"/>
      <c r="BH368" s="1671"/>
      <c r="BI368" s="1671"/>
      <c r="BK368" s="1671"/>
      <c r="BL368" s="1671"/>
      <c r="BM368" s="1671"/>
      <c r="BN368" s="1671"/>
      <c r="BO368" s="1671"/>
      <c r="BQ368" s="1671"/>
      <c r="BR368" s="1671"/>
      <c r="BT368" s="1671"/>
      <c r="BU368" s="1671"/>
      <c r="BV368" s="1671"/>
      <c r="BW368" s="1671"/>
      <c r="BX368" s="1671"/>
      <c r="BZ368" s="2908" t="s">
        <v>161</v>
      </c>
      <c r="CA368" s="2909"/>
      <c r="CB368" s="2909"/>
      <c r="CC368" s="246"/>
      <c r="CD368" s="2906"/>
      <c r="CE368" s="3796">
        <f>'Jordan Chair'!AF250</f>
        <v>3</v>
      </c>
      <c r="CF368" s="3797"/>
      <c r="CG368" s="3798"/>
      <c r="CH368" s="2904"/>
      <c r="CI368" s="1674"/>
      <c r="CJ368" s="696"/>
      <c r="CK368" s="696"/>
      <c r="CL368" s="1676"/>
      <c r="CM368" s="1671"/>
      <c r="CN368" s="1671"/>
    </row>
    <row r="369" spans="1:92" ht="27.75" thickBot="1">
      <c r="A369" s="1671"/>
      <c r="B369" s="696"/>
      <c r="C369" s="696"/>
      <c r="D369" s="1671"/>
      <c r="E369" s="1671"/>
      <c r="F369" s="1671"/>
      <c r="G369" s="1671"/>
      <c r="H369" s="1671"/>
      <c r="I369" s="1671"/>
      <c r="J369" s="1671"/>
      <c r="K369" s="1671"/>
      <c r="L369" s="1671"/>
      <c r="M369" s="1671"/>
      <c r="N369" s="1671"/>
      <c r="O369" s="1671"/>
      <c r="P369" s="1671"/>
      <c r="R369" s="1671"/>
      <c r="S369" s="1671"/>
      <c r="T369" s="1671"/>
      <c r="U369" s="1671"/>
      <c r="V369" s="1671"/>
      <c r="X369" s="1671"/>
      <c r="Y369" s="1671"/>
      <c r="AA369" s="1671"/>
      <c r="AB369" s="1671"/>
      <c r="AC369" s="1671"/>
      <c r="AD369" s="1671"/>
      <c r="AE369" s="1671"/>
      <c r="AG369" s="1671"/>
      <c r="AH369" s="1671"/>
      <c r="AI369" s="1671"/>
      <c r="AJ369" s="1671"/>
      <c r="AK369" s="1671"/>
      <c r="AL369" s="1671"/>
      <c r="AM369" s="1671"/>
      <c r="AN369" s="1671"/>
      <c r="AP369" s="1671"/>
      <c r="AQ369" s="1671"/>
      <c r="AS369" s="1671"/>
      <c r="AT369" s="1671"/>
      <c r="AU369" s="1671"/>
      <c r="AV369" s="1671"/>
      <c r="AW369" s="1671"/>
      <c r="AY369" s="1671"/>
      <c r="AZ369" s="1671"/>
      <c r="BB369" s="1671"/>
      <c r="BC369" s="1671"/>
      <c r="BD369" s="1671"/>
      <c r="BE369" s="1671"/>
      <c r="BF369" s="1671"/>
      <c r="BH369" s="1671"/>
      <c r="BI369" s="1671"/>
      <c r="BK369" s="1671"/>
      <c r="BL369" s="1671"/>
      <c r="BM369" s="1671"/>
      <c r="BN369" s="1671"/>
      <c r="BO369" s="1671"/>
      <c r="BQ369" s="1671"/>
      <c r="BR369" s="1671"/>
      <c r="BT369" s="1671"/>
      <c r="BU369" s="1671"/>
      <c r="BV369" s="1671"/>
      <c r="BW369" s="1671"/>
      <c r="BX369" s="1671"/>
      <c r="BZ369" s="2908" t="s">
        <v>162</v>
      </c>
      <c r="CA369" s="2909"/>
      <c r="CB369" s="2909"/>
      <c r="CC369" s="246"/>
      <c r="CD369" s="2906"/>
      <c r="CE369" s="3799">
        <f>'Tea Table'!U285</f>
        <v>2676</v>
      </c>
      <c r="CF369" s="3800"/>
      <c r="CG369" s="3801"/>
      <c r="CH369" s="2904"/>
      <c r="CI369" s="1674"/>
      <c r="CJ369" s="696"/>
      <c r="CK369" s="696"/>
      <c r="CL369" s="696"/>
      <c r="CM369" s="1671"/>
      <c r="CN369" s="1671"/>
    </row>
    <row r="370" spans="1:92" ht="27.75" thickBot="1">
      <c r="A370" s="1671"/>
      <c r="B370" s="696"/>
      <c r="C370" s="696"/>
      <c r="D370" s="1671"/>
      <c r="E370" s="1671"/>
      <c r="F370" s="1671"/>
      <c r="G370" s="1671"/>
      <c r="H370" s="1671"/>
      <c r="I370" s="1671"/>
      <c r="J370" s="1671"/>
      <c r="K370" s="1671"/>
      <c r="L370" s="1671"/>
      <c r="M370" s="1671"/>
      <c r="N370" s="1671"/>
      <c r="O370" s="1671"/>
      <c r="P370" s="1671"/>
      <c r="R370" s="1671"/>
      <c r="S370" s="1671"/>
      <c r="T370" s="1671"/>
      <c r="U370" s="1671"/>
      <c r="V370" s="1671"/>
      <c r="X370" s="1671"/>
      <c r="Y370" s="1671"/>
      <c r="AA370" s="1671"/>
      <c r="AB370" s="1671"/>
      <c r="AC370" s="1671"/>
      <c r="AD370" s="1671"/>
      <c r="AE370" s="1671"/>
      <c r="AG370" s="1671"/>
      <c r="AH370" s="1671"/>
      <c r="AI370" s="1671"/>
      <c r="AJ370" s="1671"/>
      <c r="AK370" s="1671"/>
      <c r="AL370" s="1671"/>
      <c r="AM370" s="1671"/>
      <c r="AN370" s="1671"/>
      <c r="AP370" s="1671"/>
      <c r="AQ370" s="1671"/>
      <c r="AS370" s="1671"/>
      <c r="AT370" s="1671"/>
      <c r="AU370" s="1671"/>
      <c r="AV370" s="1671"/>
      <c r="AW370" s="1671"/>
      <c r="AY370" s="1671"/>
      <c r="AZ370" s="1671"/>
      <c r="BB370" s="1671"/>
      <c r="BC370" s="1671"/>
      <c r="BD370" s="1671"/>
      <c r="BE370" s="1671"/>
      <c r="BF370" s="1671"/>
      <c r="BH370" s="1671"/>
      <c r="BI370" s="1671"/>
      <c r="BK370" s="1671"/>
      <c r="BL370" s="1671"/>
      <c r="BM370" s="1671"/>
      <c r="BN370" s="1671"/>
      <c r="BO370" s="1671"/>
      <c r="BQ370" s="1671"/>
      <c r="BR370" s="1671"/>
      <c r="BT370" s="1671"/>
      <c r="BU370" s="1671"/>
      <c r="BV370" s="1671"/>
      <c r="BW370" s="1671"/>
      <c r="BX370" s="1671"/>
      <c r="BZ370" s="2908" t="s">
        <v>163</v>
      </c>
      <c r="CA370" s="2909"/>
      <c r="CB370" s="2909"/>
      <c r="CC370" s="246"/>
      <c r="CD370" s="2906"/>
      <c r="CE370" s="3796">
        <f>'Tea Table'!V285</f>
        <v>29</v>
      </c>
      <c r="CF370" s="3797"/>
      <c r="CG370" s="3798"/>
      <c r="CH370" s="2904"/>
      <c r="CI370" s="1674"/>
      <c r="CJ370" s="696"/>
      <c r="CK370" s="696"/>
      <c r="CL370" s="696"/>
      <c r="CM370" s="1671"/>
      <c r="CN370" s="1671"/>
    </row>
    <row r="371" spans="1:92" ht="27.75" thickBot="1">
      <c r="A371" s="1671"/>
      <c r="B371" s="1671"/>
      <c r="C371" s="1671"/>
      <c r="D371" s="1671"/>
      <c r="E371" s="1671"/>
      <c r="F371" s="1671"/>
      <c r="G371" s="1671"/>
      <c r="H371" s="1671"/>
      <c r="I371" s="1671"/>
      <c r="J371" s="1671"/>
      <c r="K371" s="1671"/>
      <c r="L371" s="1671"/>
      <c r="M371" s="1671"/>
      <c r="N371" s="1671"/>
      <c r="O371" s="1671"/>
      <c r="P371" s="1671"/>
      <c r="Q371" s="1671"/>
      <c r="R371" s="1671"/>
      <c r="S371" s="1671"/>
      <c r="T371" s="1671"/>
      <c r="U371" s="1671"/>
      <c r="V371" s="1671"/>
      <c r="W371" s="1671"/>
      <c r="X371" s="1671"/>
      <c r="Y371" s="1671"/>
      <c r="Z371" s="1671"/>
      <c r="AA371" s="1671"/>
      <c r="AB371" s="1671"/>
      <c r="AC371" s="1671"/>
      <c r="AD371" s="1671"/>
      <c r="AE371" s="1671"/>
      <c r="AF371" s="1671"/>
      <c r="AG371" s="1671"/>
      <c r="AH371" s="1671"/>
      <c r="AI371" s="1671"/>
      <c r="AJ371" s="1671"/>
      <c r="AK371" s="1671"/>
      <c r="AL371" s="1671"/>
      <c r="AM371" s="1671"/>
      <c r="AN371" s="1671"/>
      <c r="AO371" s="1671"/>
      <c r="AP371" s="1671"/>
      <c r="AQ371" s="1671"/>
      <c r="AR371" s="1671"/>
      <c r="AS371" s="1671"/>
      <c r="AT371" s="1671"/>
      <c r="AU371" s="1671"/>
      <c r="AV371" s="1671"/>
      <c r="AW371" s="1671"/>
      <c r="AX371" s="1671"/>
      <c r="AY371" s="1671"/>
      <c r="AZ371" s="1671"/>
      <c r="BA371" s="1671"/>
      <c r="BB371" s="1671"/>
      <c r="BC371" s="1671"/>
      <c r="BD371" s="1671"/>
      <c r="BE371" s="1671"/>
      <c r="BF371" s="1671"/>
      <c r="BG371" s="1671"/>
      <c r="BH371" s="1671"/>
      <c r="BI371" s="1671"/>
      <c r="BJ371" s="1671"/>
      <c r="BK371" s="1671"/>
      <c r="BL371" s="1671"/>
      <c r="BM371" s="1671"/>
      <c r="BN371" s="1671"/>
      <c r="BO371" s="1671"/>
      <c r="BP371" s="1671"/>
      <c r="BQ371" s="1671"/>
      <c r="BR371" s="1671"/>
      <c r="BS371" s="1671"/>
      <c r="BT371" s="1671"/>
      <c r="BU371" s="1671"/>
      <c r="BV371" s="1671"/>
      <c r="BW371" s="1671"/>
      <c r="BX371" s="1671"/>
      <c r="BY371" s="1671"/>
      <c r="BZ371" s="3808"/>
      <c r="CA371" s="3809"/>
      <c r="CB371" s="3809"/>
      <c r="CC371" s="3809"/>
      <c r="CD371" s="2907"/>
      <c r="CE371" s="3810"/>
      <c r="CF371" s="3809"/>
      <c r="CG371" s="3811"/>
      <c r="CH371" s="1675"/>
      <c r="CI371" s="1674"/>
      <c r="CJ371" s="1671"/>
      <c r="CK371" s="1671"/>
      <c r="CL371" s="1671"/>
      <c r="CM371" s="1671"/>
      <c r="CN371" s="1671"/>
    </row>
    <row r="372" spans="1:92" ht="27.75" thickBot="1">
      <c r="A372" s="1671"/>
      <c r="B372" s="1671"/>
      <c r="C372" s="1671"/>
      <c r="D372" s="1671"/>
      <c r="E372" s="1671"/>
      <c r="F372" s="1671"/>
      <c r="G372" s="1671"/>
      <c r="H372" s="1671"/>
      <c r="I372" s="1671"/>
      <c r="J372" s="1671"/>
      <c r="K372" s="1671"/>
      <c r="L372" s="1671"/>
      <c r="M372" s="1671"/>
      <c r="N372" s="1671"/>
      <c r="O372" s="1671"/>
      <c r="P372" s="1671"/>
      <c r="Q372" s="1671"/>
      <c r="R372" s="1671"/>
      <c r="S372" s="1671"/>
      <c r="T372" s="1671"/>
      <c r="U372" s="1671"/>
      <c r="V372" s="1671"/>
      <c r="W372" s="1671"/>
      <c r="X372" s="1671"/>
      <c r="Y372" s="1671"/>
      <c r="Z372" s="1671"/>
      <c r="AA372" s="1671"/>
      <c r="AB372" s="1671"/>
      <c r="AC372" s="1671"/>
      <c r="AD372" s="1671"/>
      <c r="AE372" s="1671"/>
      <c r="AF372" s="1671"/>
      <c r="AG372" s="1671"/>
      <c r="AH372" s="1671"/>
      <c r="AI372" s="1671"/>
      <c r="AJ372" s="1671"/>
      <c r="AK372" s="1671"/>
      <c r="AL372" s="1671"/>
      <c r="AM372" s="1671"/>
      <c r="AN372" s="1671"/>
      <c r="AO372" s="1671"/>
      <c r="AP372" s="1671"/>
      <c r="AQ372" s="1671"/>
      <c r="AR372" s="1671"/>
      <c r="AS372" s="1671"/>
      <c r="AT372" s="1671"/>
      <c r="AU372" s="1671"/>
      <c r="AV372" s="1671"/>
      <c r="AW372" s="1671"/>
      <c r="AX372" s="1671"/>
      <c r="AY372" s="1671"/>
      <c r="AZ372" s="1671"/>
      <c r="BA372" s="1671"/>
      <c r="BB372" s="1671"/>
      <c r="BC372" s="1671"/>
      <c r="BD372" s="1671"/>
      <c r="BE372" s="1671"/>
      <c r="BF372" s="1671"/>
      <c r="BG372" s="1671"/>
      <c r="BH372" s="1671"/>
      <c r="BI372" s="1671"/>
      <c r="BJ372" s="1671"/>
      <c r="BK372" s="1671"/>
      <c r="BL372" s="1671"/>
      <c r="BM372" s="1671"/>
      <c r="BN372" s="1671"/>
      <c r="BO372" s="1671"/>
      <c r="BP372" s="1671"/>
      <c r="BQ372" s="1671"/>
      <c r="BR372" s="1671"/>
      <c r="BS372" s="1671"/>
      <c r="BT372" s="1671"/>
      <c r="BU372" s="1671"/>
      <c r="BV372" s="1671"/>
      <c r="BW372" s="1671"/>
      <c r="BX372" s="1671"/>
      <c r="BY372" s="1671"/>
      <c r="BZ372" s="3802" t="s">
        <v>164</v>
      </c>
      <c r="CA372" s="3803"/>
      <c r="CB372" s="3803"/>
      <c r="CC372" s="3804"/>
      <c r="CD372" s="2905"/>
      <c r="CE372" s="3812">
        <f>SUM(CE365:CG370)</f>
        <v>14597</v>
      </c>
      <c r="CF372" s="3797"/>
      <c r="CG372" s="3813"/>
      <c r="CH372" s="2904"/>
      <c r="CI372" s="1674"/>
      <c r="CJ372" s="1671"/>
      <c r="CK372" s="1671"/>
      <c r="CL372" s="1671"/>
      <c r="CM372" s="1671"/>
      <c r="CN372" s="1671"/>
    </row>
    <row r="373" spans="1:92" ht="27.75" thickBot="1">
      <c r="A373" s="1671"/>
      <c r="B373" s="1671"/>
      <c r="C373" s="1671"/>
      <c r="D373" s="1671"/>
      <c r="E373" s="1671"/>
      <c r="F373" s="1671"/>
      <c r="G373" s="1671"/>
      <c r="H373" s="1671"/>
      <c r="I373" s="1671"/>
      <c r="J373" s="1671"/>
      <c r="K373" s="1671"/>
      <c r="L373" s="1671"/>
      <c r="M373" s="1671"/>
      <c r="N373" s="1671"/>
      <c r="O373" s="1671"/>
      <c r="P373" s="1671"/>
      <c r="Q373" s="1671"/>
      <c r="R373" s="1671"/>
      <c r="S373" s="1671"/>
      <c r="T373" s="1671"/>
      <c r="U373" s="1671"/>
      <c r="V373" s="1671"/>
      <c r="W373" s="1671"/>
      <c r="X373" s="1671"/>
      <c r="Y373" s="1671"/>
      <c r="Z373" s="1671"/>
      <c r="AA373" s="1671"/>
      <c r="AB373" s="1671"/>
      <c r="AC373" s="1671"/>
      <c r="AD373" s="1671"/>
      <c r="AE373" s="1671"/>
      <c r="AF373" s="1671"/>
      <c r="AG373" s="1671"/>
      <c r="AH373" s="1671"/>
      <c r="AI373" s="1671"/>
      <c r="AJ373" s="1671"/>
      <c r="AK373" s="1671"/>
      <c r="AL373" s="1671"/>
      <c r="AM373" s="1671"/>
      <c r="AN373" s="1671"/>
      <c r="AO373" s="1671"/>
      <c r="AP373" s="1671"/>
      <c r="AQ373" s="1671"/>
      <c r="AR373" s="1671"/>
      <c r="AS373" s="1671"/>
      <c r="AT373" s="1671"/>
      <c r="AU373" s="1671"/>
      <c r="AV373" s="1671"/>
      <c r="AW373" s="1671"/>
      <c r="AX373" s="1671"/>
      <c r="AY373" s="1671"/>
      <c r="AZ373" s="1671"/>
      <c r="BA373" s="1671"/>
      <c r="BB373" s="1671"/>
      <c r="BC373" s="1671"/>
      <c r="BD373" s="1671"/>
      <c r="BE373" s="1671"/>
      <c r="BF373" s="1671"/>
      <c r="BG373" s="1671"/>
      <c r="BH373" s="1671"/>
      <c r="BI373" s="1671"/>
      <c r="BJ373" s="1671"/>
      <c r="BK373" s="1671"/>
      <c r="BL373" s="1671"/>
      <c r="BM373" s="1671"/>
      <c r="BN373" s="1671"/>
      <c r="BO373" s="1671"/>
      <c r="BP373" s="1671"/>
      <c r="BQ373" s="1671"/>
      <c r="BR373" s="1671"/>
      <c r="BS373" s="1671"/>
      <c r="BT373" s="1671"/>
      <c r="BU373" s="1671"/>
      <c r="BV373" s="1671"/>
      <c r="BW373" s="1671"/>
      <c r="BX373" s="1671"/>
      <c r="BY373" s="1671"/>
      <c r="BZ373" s="3802" t="s">
        <v>165</v>
      </c>
      <c r="CA373" s="3803"/>
      <c r="CB373" s="3803"/>
      <c r="CC373" s="3804"/>
      <c r="CD373" s="2907"/>
      <c r="CE373" s="3805">
        <f>CI360+'Jordan Chair'!AE251+'Tea Table'!U286</f>
        <v>1014</v>
      </c>
      <c r="CF373" s="3806"/>
      <c r="CG373" s="3807"/>
      <c r="CH373" s="2904"/>
      <c r="CI373" s="1674"/>
      <c r="CJ373" s="1671"/>
      <c r="CK373" s="1671"/>
      <c r="CL373" s="1671"/>
      <c r="CM373" s="1671"/>
      <c r="CN373" s="1671"/>
    </row>
    <row r="374" spans="1:92">
      <c r="A374" s="1671"/>
      <c r="B374" s="696"/>
      <c r="C374" s="696"/>
      <c r="D374" s="1671"/>
      <c r="E374" s="1671"/>
      <c r="F374" s="1671"/>
      <c r="G374" s="1671"/>
      <c r="H374" s="1671"/>
      <c r="I374" s="1671"/>
      <c r="J374" s="1671"/>
      <c r="K374" s="1671"/>
      <c r="L374" s="1671"/>
      <c r="M374" s="1671"/>
      <c r="N374" s="1671"/>
      <c r="O374" s="1671"/>
      <c r="P374" s="1671"/>
      <c r="Q374" s="1671"/>
      <c r="R374" s="1671"/>
      <c r="S374" s="1671"/>
      <c r="T374" s="1671"/>
      <c r="U374" s="1671"/>
      <c r="V374" s="1671"/>
      <c r="W374" s="1671"/>
      <c r="X374" s="1671"/>
      <c r="Y374" s="1671"/>
      <c r="Z374" s="1671"/>
      <c r="AA374" s="1671"/>
      <c r="AB374" s="1671"/>
      <c r="AC374" s="1671"/>
      <c r="AD374" s="1671"/>
      <c r="AE374" s="1671"/>
      <c r="AF374" s="1671"/>
      <c r="AG374" s="1671"/>
      <c r="AH374" s="1671"/>
      <c r="AI374" s="1671"/>
      <c r="AJ374" s="1671"/>
      <c r="AK374" s="1671"/>
      <c r="AL374" s="1671"/>
      <c r="AM374" s="1671"/>
      <c r="AN374" s="1671"/>
      <c r="AO374" s="1671"/>
      <c r="AP374" s="1671"/>
      <c r="AQ374" s="1671"/>
      <c r="AR374" s="1671"/>
      <c r="AS374" s="1671"/>
      <c r="AT374" s="1671"/>
      <c r="AU374" s="1671"/>
      <c r="AV374" s="1671"/>
      <c r="AW374" s="1671"/>
      <c r="AX374" s="1671"/>
      <c r="AY374" s="1671"/>
      <c r="AZ374" s="1671"/>
      <c r="BA374" s="1671"/>
      <c r="BB374" s="1671"/>
      <c r="BC374" s="1671"/>
      <c r="BD374" s="1671"/>
      <c r="BE374" s="1671"/>
      <c r="BF374" s="1671"/>
      <c r="BG374" s="1671"/>
      <c r="BH374" s="1671"/>
      <c r="BI374" s="1671"/>
      <c r="BJ374" s="1671"/>
      <c r="BK374" s="1671"/>
      <c r="BL374" s="1671"/>
      <c r="BM374" s="1671"/>
      <c r="BN374" s="1671"/>
      <c r="BO374" s="1671"/>
      <c r="BP374" s="1671"/>
      <c r="BQ374" s="1671"/>
      <c r="BR374" s="1671"/>
      <c r="BS374" s="1671"/>
      <c r="BT374" s="1671"/>
      <c r="BU374" s="1671"/>
      <c r="BV374" s="1671"/>
      <c r="BW374" s="1671"/>
      <c r="BX374" s="1671"/>
      <c r="BY374" s="1671"/>
      <c r="BZ374" s="1671"/>
      <c r="CA374" s="1671"/>
      <c r="CB374" s="1671"/>
      <c r="CC374" s="1671"/>
      <c r="CD374" s="1671"/>
      <c r="CE374" s="1671"/>
      <c r="CF374" s="1671"/>
      <c r="CG374" s="1671"/>
      <c r="CH374" s="1671"/>
      <c r="CI374" s="1671"/>
      <c r="CJ374" s="696"/>
      <c r="CK374" s="696"/>
      <c r="CL374" s="696"/>
      <c r="CM374" s="1671"/>
      <c r="CN374" s="1671"/>
    </row>
    <row r="381" spans="1:92" ht="21">
      <c r="A381" s="152"/>
      <c r="K381"/>
      <c r="AD381"/>
      <c r="CE381"/>
      <c r="CJ381"/>
    </row>
  </sheetData>
  <mergeCells count="88">
    <mergeCell ref="BZ373:CC373"/>
    <mergeCell ref="CE373:CG373"/>
    <mergeCell ref="CE370:CG370"/>
    <mergeCell ref="BZ371:CC371"/>
    <mergeCell ref="CE371:CG371"/>
    <mergeCell ref="BZ372:CC372"/>
    <mergeCell ref="CE372:CG372"/>
    <mergeCell ref="CE365:CG365"/>
    <mergeCell ref="CE366:CG366"/>
    <mergeCell ref="CE367:CG367"/>
    <mergeCell ref="CE368:CG368"/>
    <mergeCell ref="CE369:CG369"/>
    <mergeCell ref="AP362:AW362"/>
    <mergeCell ref="AY362:BF362"/>
    <mergeCell ref="BH362:BO362"/>
    <mergeCell ref="BQ362:BX362"/>
    <mergeCell ref="BZ362:CG362"/>
    <mergeCell ref="A362:D362"/>
    <mergeCell ref="F362:M362"/>
    <mergeCell ref="O362:V362"/>
    <mergeCell ref="X362:AE362"/>
    <mergeCell ref="AG362:AN362"/>
    <mergeCell ref="CI247:CN247"/>
    <mergeCell ref="A353:C353"/>
    <mergeCell ref="CJ360:CK360"/>
    <mergeCell ref="F361:M361"/>
    <mergeCell ref="O361:V361"/>
    <mergeCell ref="X361:AE361"/>
    <mergeCell ref="AG361:AN361"/>
    <mergeCell ref="AP361:AW361"/>
    <mergeCell ref="AY361:BF361"/>
    <mergeCell ref="BH361:BO361"/>
    <mergeCell ref="BQ361:BX361"/>
    <mergeCell ref="BZ361:CG361"/>
    <mergeCell ref="AP247:AW247"/>
    <mergeCell ref="AY247:BF247"/>
    <mergeCell ref="BH247:BO247"/>
    <mergeCell ref="BQ247:BX247"/>
    <mergeCell ref="BZ247:CG247"/>
    <mergeCell ref="A247:D247"/>
    <mergeCell ref="F247:M247"/>
    <mergeCell ref="O247:V247"/>
    <mergeCell ref="X247:AE247"/>
    <mergeCell ref="AG247:AN247"/>
    <mergeCell ref="BP244:BP245"/>
    <mergeCell ref="BY244:BY245"/>
    <mergeCell ref="CH244:CH245"/>
    <mergeCell ref="CK244:CK245"/>
    <mergeCell ref="A246:CN246"/>
    <mergeCell ref="W244:W245"/>
    <mergeCell ref="AF244:AF245"/>
    <mergeCell ref="AO244:AO245"/>
    <mergeCell ref="AX244:AX245"/>
    <mergeCell ref="BG244:BG245"/>
    <mergeCell ref="BH2:BO2"/>
    <mergeCell ref="BQ2:BX2"/>
    <mergeCell ref="J1:K1"/>
    <mergeCell ref="A2:D2"/>
    <mergeCell ref="F2:M2"/>
    <mergeCell ref="O2:V2"/>
    <mergeCell ref="X2:AE2"/>
    <mergeCell ref="BZ2:CG2"/>
    <mergeCell ref="CI2:CN2"/>
    <mergeCell ref="A38:D38"/>
    <mergeCell ref="F38:M38"/>
    <mergeCell ref="O38:V38"/>
    <mergeCell ref="X38:AE38"/>
    <mergeCell ref="AG38:AN38"/>
    <mergeCell ref="AP38:AW38"/>
    <mergeCell ref="AY38:BF38"/>
    <mergeCell ref="BH38:BO38"/>
    <mergeCell ref="BQ38:BX38"/>
    <mergeCell ref="BZ38:CG38"/>
    <mergeCell ref="CI38:CN38"/>
    <mergeCell ref="AG2:AN2"/>
    <mergeCell ref="AP2:AW2"/>
    <mergeCell ref="AY2:BF2"/>
    <mergeCell ref="A79:D79"/>
    <mergeCell ref="F79:M79"/>
    <mergeCell ref="O79:V79"/>
    <mergeCell ref="X79:AE79"/>
    <mergeCell ref="AG79:AN79"/>
    <mergeCell ref="CI79:CN79"/>
    <mergeCell ref="AP79:AW79"/>
    <mergeCell ref="AY79:BF79"/>
    <mergeCell ref="BH79:BO79"/>
    <mergeCell ref="BQ79:BX79"/>
    <mergeCell ref="BZ79:CG79"/>
  </mergeCells>
  <pageMargins left="0.59055118110236204" right="0" top="0.74803149606299202" bottom="0.74803149606299202" header="0.31496062992126" footer="0.31496062992126"/>
  <pageSetup paperSize="9" scale="1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66"/>
  <sheetViews>
    <sheetView zoomScale="106" zoomScaleNormal="106" workbookViewId="0">
      <pane ySplit="3" topLeftCell="A173" activePane="bottomLeft" state="frozen"/>
      <selection activeCell="A256" sqref="A256"/>
      <selection pane="bottomLeft" activeCell="A178" sqref="A178"/>
    </sheetView>
  </sheetViews>
  <sheetFormatPr defaultColWidth="9" defaultRowHeight="23.25"/>
  <cols>
    <col min="1" max="1" width="45.7109375" customWidth="1"/>
    <col min="2" max="2" width="18.140625" style="873" customWidth="1"/>
    <col min="3" max="3" width="12.140625" style="873" customWidth="1"/>
    <col min="4" max="4" width="20.28515625" bestFit="1" customWidth="1"/>
    <col min="5" max="5" width="12" customWidth="1"/>
    <col min="6" max="6" width="12.140625" customWidth="1"/>
    <col min="7" max="7" width="11.42578125" customWidth="1"/>
    <col min="8" max="8" width="12" customWidth="1"/>
    <col min="9" max="9" width="8.7109375" customWidth="1"/>
    <col min="10" max="11" width="12" customWidth="1"/>
    <col min="12" max="12" width="10" customWidth="1"/>
    <col min="13" max="13" width="12" customWidth="1"/>
    <col min="14" max="14" width="10" customWidth="1"/>
    <col min="15" max="15" width="10.7109375" customWidth="1"/>
    <col min="16" max="16" width="8.42578125" customWidth="1"/>
    <col min="17" max="17" width="8.7109375" customWidth="1"/>
    <col min="18" max="18" width="9" customWidth="1"/>
    <col min="19" max="19" width="10.7109375" customWidth="1"/>
    <col min="20" max="20" width="2.85546875" customWidth="1"/>
    <col min="21" max="21" width="10.28515625" customWidth="1"/>
    <col min="22" max="23" width="9.5703125" customWidth="1"/>
    <col min="24" max="24" width="10.28515625" customWidth="1"/>
    <col min="25" max="25" width="11" customWidth="1"/>
    <col min="26" max="26" width="12" customWidth="1"/>
    <col min="27" max="27" width="9.140625" style="1" customWidth="1"/>
    <col min="28" max="28" width="10.85546875" style="1" customWidth="1"/>
    <col min="29" max="29" width="9.28515625" style="1" customWidth="1"/>
    <col min="30" max="38" width="9.140625" style="1" customWidth="1"/>
    <col min="39" max="256" width="10" customWidth="1"/>
  </cols>
  <sheetData>
    <row r="1" spans="1:40" ht="34.5" customHeight="1">
      <c r="A1" s="285" t="s">
        <v>191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906">
        <v>1</v>
      </c>
      <c r="P1" s="335">
        <v>4</v>
      </c>
      <c r="Q1" s="3848">
        <v>2026</v>
      </c>
      <c r="R1" s="3849"/>
      <c r="S1" s="285"/>
      <c r="T1" s="285"/>
      <c r="U1" s="285"/>
      <c r="V1" s="285"/>
      <c r="W1" s="285"/>
      <c r="X1" s="285"/>
      <c r="Y1" s="285"/>
      <c r="Z1" s="285"/>
      <c r="AA1" s="958"/>
      <c r="AB1" s="958"/>
      <c r="AC1" s="958"/>
      <c r="AD1" s="958"/>
      <c r="AE1" s="958"/>
      <c r="AF1" s="958"/>
      <c r="AG1" s="958"/>
      <c r="AH1" s="958"/>
      <c r="AI1" s="958"/>
      <c r="AJ1" s="958"/>
      <c r="AK1" s="958"/>
      <c r="AL1" s="958"/>
      <c r="AM1" s="958"/>
      <c r="AN1" s="958"/>
    </row>
    <row r="2" spans="1:40" ht="26.25">
      <c r="A2" s="874"/>
      <c r="B2" s="875"/>
      <c r="C2" s="875"/>
      <c r="D2" s="876"/>
      <c r="E2" s="3745" t="s">
        <v>192</v>
      </c>
      <c r="F2" s="3850"/>
      <c r="G2" s="3850"/>
      <c r="H2" s="3850"/>
      <c r="I2" s="3850"/>
      <c r="J2" s="3850"/>
      <c r="K2" s="3850"/>
      <c r="L2" s="3850"/>
      <c r="M2" s="3850"/>
      <c r="N2" s="3850"/>
      <c r="O2" s="3850"/>
      <c r="P2" s="3850"/>
      <c r="Q2" s="3850"/>
      <c r="R2" s="3850"/>
      <c r="S2" s="3746"/>
      <c r="T2" s="876"/>
      <c r="U2" s="874"/>
      <c r="V2" s="876"/>
      <c r="W2" s="876"/>
      <c r="X2" s="876"/>
      <c r="Y2" s="876"/>
      <c r="Z2" s="959"/>
    </row>
    <row r="3" spans="1:40" s="282" customFormat="1" ht="21" customHeight="1">
      <c r="A3" s="286" t="s">
        <v>67</v>
      </c>
      <c r="B3" s="877" t="s">
        <v>68</v>
      </c>
      <c r="C3" s="877" t="s">
        <v>69</v>
      </c>
      <c r="D3" s="878" t="s">
        <v>70</v>
      </c>
      <c r="E3" s="879" t="s">
        <v>71</v>
      </c>
      <c r="F3" s="880" t="s">
        <v>178</v>
      </c>
      <c r="G3" s="880" t="s">
        <v>101</v>
      </c>
      <c r="H3" s="879" t="s">
        <v>193</v>
      </c>
      <c r="I3" s="879" t="s">
        <v>582</v>
      </c>
      <c r="J3" s="879" t="s">
        <v>92</v>
      </c>
      <c r="K3" s="879" t="s">
        <v>194</v>
      </c>
      <c r="L3" s="880" t="s">
        <v>195</v>
      </c>
      <c r="M3" s="880" t="s">
        <v>196</v>
      </c>
      <c r="N3" s="880" t="s">
        <v>94</v>
      </c>
      <c r="O3" s="880" t="s">
        <v>86</v>
      </c>
      <c r="P3" s="880" t="s">
        <v>75</v>
      </c>
      <c r="Q3" s="880" t="s">
        <v>95</v>
      </c>
      <c r="R3" s="49" t="s">
        <v>77</v>
      </c>
      <c r="S3" s="914" t="s">
        <v>53</v>
      </c>
      <c r="T3" s="915"/>
      <c r="U3" s="916" t="s">
        <v>104</v>
      </c>
      <c r="V3" s="917" t="s">
        <v>105</v>
      </c>
      <c r="W3" s="917"/>
      <c r="X3" s="918" t="s">
        <v>106</v>
      </c>
      <c r="Y3" s="917" t="s">
        <v>107</v>
      </c>
      <c r="Z3" s="960" t="s">
        <v>108</v>
      </c>
    </row>
    <row r="4" spans="1:40" ht="23.25" customHeight="1">
      <c r="A4" s="881" t="s">
        <v>109</v>
      </c>
      <c r="B4" s="882" t="s">
        <v>472</v>
      </c>
      <c r="C4" s="882"/>
      <c r="D4" s="883"/>
      <c r="E4" s="884"/>
      <c r="F4" s="885"/>
      <c r="G4" s="885"/>
      <c r="H4" s="884"/>
      <c r="I4" s="884"/>
      <c r="J4" s="884"/>
      <c r="K4" s="884"/>
      <c r="L4" s="907"/>
      <c r="M4" s="907"/>
      <c r="N4" s="907">
        <f>13*16</f>
        <v>208</v>
      </c>
      <c r="O4" s="907"/>
      <c r="P4" s="908">
        <f>18*16</f>
        <v>288</v>
      </c>
      <c r="Q4" s="907"/>
      <c r="R4" s="919"/>
      <c r="S4" s="920"/>
      <c r="T4" s="921"/>
      <c r="U4" s="884">
        <f t="shared" ref="U4:U26" si="0">SUM(E4:S4)</f>
        <v>496</v>
      </c>
      <c r="V4" s="907"/>
      <c r="W4" s="907"/>
      <c r="X4" s="919">
        <f t="shared" ref="X4:X26" si="1">U4+V4</f>
        <v>496</v>
      </c>
      <c r="Y4" s="961"/>
      <c r="Z4" s="962">
        <f t="shared" ref="Z4:Z26" si="2">X4+Y4</f>
        <v>496</v>
      </c>
    </row>
    <row r="5" spans="1:40" ht="21">
      <c r="A5" s="886" t="s">
        <v>110</v>
      </c>
      <c r="B5" s="887"/>
      <c r="C5" s="887"/>
      <c r="D5" s="888"/>
      <c r="E5" s="889"/>
      <c r="F5" s="889"/>
      <c r="G5" s="889"/>
      <c r="H5" s="889"/>
      <c r="I5" s="889"/>
      <c r="J5" s="889"/>
      <c r="K5" s="889"/>
      <c r="L5" s="909"/>
      <c r="M5" s="909"/>
      <c r="N5" s="909"/>
      <c r="O5" s="909"/>
      <c r="P5" s="909"/>
      <c r="Q5" s="909"/>
      <c r="R5" s="922"/>
      <c r="S5" s="922"/>
      <c r="T5" s="923"/>
      <c r="U5" s="924">
        <f t="shared" si="0"/>
        <v>0</v>
      </c>
      <c r="V5" s="924"/>
      <c r="W5" s="925"/>
      <c r="X5" s="924">
        <f t="shared" si="1"/>
        <v>0</v>
      </c>
      <c r="Y5" s="963"/>
      <c r="Z5" s="964">
        <f t="shared" si="2"/>
        <v>0</v>
      </c>
    </row>
    <row r="6" spans="1:40">
      <c r="A6" s="890" t="s">
        <v>110</v>
      </c>
      <c r="B6" s="891"/>
      <c r="C6" s="891"/>
      <c r="D6" s="892"/>
      <c r="E6" s="893"/>
      <c r="F6" s="893"/>
      <c r="G6" s="893"/>
      <c r="H6" s="893"/>
      <c r="I6" s="893"/>
      <c r="J6" s="893"/>
      <c r="K6" s="893"/>
      <c r="L6" s="910"/>
      <c r="M6" s="910"/>
      <c r="N6" s="910"/>
      <c r="O6" s="910"/>
      <c r="P6" s="910"/>
      <c r="Q6" s="910"/>
      <c r="R6" s="926"/>
      <c r="S6" s="926"/>
      <c r="T6" s="927"/>
      <c r="U6" s="928">
        <f t="shared" si="0"/>
        <v>0</v>
      </c>
      <c r="V6" s="929"/>
      <c r="W6" s="930"/>
      <c r="X6" s="928">
        <f t="shared" si="1"/>
        <v>0</v>
      </c>
      <c r="Y6" s="929"/>
      <c r="Z6" s="965">
        <f t="shared" si="2"/>
        <v>0</v>
      </c>
    </row>
    <row r="7" spans="1:40">
      <c r="A7" s="890" t="s">
        <v>110</v>
      </c>
      <c r="B7" s="891"/>
      <c r="C7" s="891"/>
      <c r="D7" s="892"/>
      <c r="E7" s="893"/>
      <c r="F7" s="893"/>
      <c r="G7" s="893"/>
      <c r="H7" s="893"/>
      <c r="I7" s="893"/>
      <c r="J7" s="893"/>
      <c r="K7" s="893"/>
      <c r="L7" s="910"/>
      <c r="M7" s="910"/>
      <c r="N7" s="910"/>
      <c r="O7" s="910"/>
      <c r="P7" s="910"/>
      <c r="Q7" s="910"/>
      <c r="R7" s="926"/>
      <c r="S7" s="926"/>
      <c r="T7" s="927"/>
      <c r="U7" s="928">
        <f t="shared" si="0"/>
        <v>0</v>
      </c>
      <c r="V7" s="929"/>
      <c r="W7" s="930"/>
      <c r="X7" s="928">
        <f t="shared" si="1"/>
        <v>0</v>
      </c>
      <c r="Y7" s="929"/>
      <c r="Z7" s="965">
        <f t="shared" si="2"/>
        <v>0</v>
      </c>
    </row>
    <row r="8" spans="1:40">
      <c r="A8" s="890" t="s">
        <v>110</v>
      </c>
      <c r="B8" s="891"/>
      <c r="C8" s="891"/>
      <c r="D8" s="892"/>
      <c r="E8" s="893"/>
      <c r="F8" s="893"/>
      <c r="G8" s="893"/>
      <c r="H8" s="893"/>
      <c r="I8" s="893"/>
      <c r="J8" s="893"/>
      <c r="K8" s="893"/>
      <c r="L8" s="910"/>
      <c r="M8" s="910"/>
      <c r="N8" s="910"/>
      <c r="O8" s="910"/>
      <c r="P8" s="910"/>
      <c r="Q8" s="910"/>
      <c r="R8" s="926"/>
      <c r="S8" s="926"/>
      <c r="T8" s="927"/>
      <c r="U8" s="928">
        <f t="shared" si="0"/>
        <v>0</v>
      </c>
      <c r="V8" s="929"/>
      <c r="W8" s="930"/>
      <c r="X8" s="928">
        <f t="shared" si="1"/>
        <v>0</v>
      </c>
      <c r="Y8" s="929"/>
      <c r="Z8" s="965">
        <f t="shared" si="2"/>
        <v>0</v>
      </c>
    </row>
    <row r="9" spans="1:40">
      <c r="A9" s="890" t="s">
        <v>110</v>
      </c>
      <c r="B9" s="891"/>
      <c r="C9" s="891"/>
      <c r="D9" s="892"/>
      <c r="E9" s="893"/>
      <c r="F9" s="893"/>
      <c r="G9" s="893"/>
      <c r="H9" s="893"/>
      <c r="I9" s="893"/>
      <c r="J9" s="893"/>
      <c r="K9" s="893"/>
      <c r="L9" s="910"/>
      <c r="M9" s="910"/>
      <c r="N9" s="910"/>
      <c r="O9" s="910"/>
      <c r="P9" s="910"/>
      <c r="Q9" s="910"/>
      <c r="R9" s="926"/>
      <c r="S9" s="926"/>
      <c r="T9" s="927"/>
      <c r="U9" s="928">
        <f t="shared" si="0"/>
        <v>0</v>
      </c>
      <c r="V9" s="929"/>
      <c r="W9" s="930"/>
      <c r="X9" s="928">
        <f t="shared" si="1"/>
        <v>0</v>
      </c>
      <c r="Y9" s="929"/>
      <c r="Z9" s="965">
        <f t="shared" si="2"/>
        <v>0</v>
      </c>
    </row>
    <row r="10" spans="1:40">
      <c r="A10" s="890" t="s">
        <v>110</v>
      </c>
      <c r="B10" s="891"/>
      <c r="C10" s="891"/>
      <c r="D10" s="892"/>
      <c r="E10" s="893"/>
      <c r="F10" s="893"/>
      <c r="G10" s="893"/>
      <c r="H10" s="893"/>
      <c r="I10" s="893"/>
      <c r="J10" s="893"/>
      <c r="K10" s="893"/>
      <c r="L10" s="910"/>
      <c r="M10" s="910"/>
      <c r="N10" s="910"/>
      <c r="O10" s="910"/>
      <c r="P10" s="910"/>
      <c r="Q10" s="910"/>
      <c r="R10" s="926"/>
      <c r="S10" s="926"/>
      <c r="T10" s="927"/>
      <c r="U10" s="928">
        <f t="shared" si="0"/>
        <v>0</v>
      </c>
      <c r="V10" s="929"/>
      <c r="W10" s="930"/>
      <c r="X10" s="928">
        <f t="shared" si="1"/>
        <v>0</v>
      </c>
      <c r="Y10" s="929"/>
      <c r="Z10" s="965">
        <f t="shared" si="2"/>
        <v>0</v>
      </c>
    </row>
    <row r="11" spans="1:40">
      <c r="A11" s="890" t="s">
        <v>110</v>
      </c>
      <c r="B11" s="891"/>
      <c r="C11" s="891"/>
      <c r="D11" s="892"/>
      <c r="E11" s="893"/>
      <c r="F11" s="893"/>
      <c r="G11" s="893"/>
      <c r="H11" s="893"/>
      <c r="I11" s="893"/>
      <c r="J11" s="893"/>
      <c r="K11" s="893"/>
      <c r="L11" s="910"/>
      <c r="M11" s="910"/>
      <c r="N11" s="910"/>
      <c r="O11" s="910"/>
      <c r="P11" s="910"/>
      <c r="Q11" s="910"/>
      <c r="R11" s="926"/>
      <c r="S11" s="926"/>
      <c r="T11" s="927"/>
      <c r="U11" s="928">
        <f t="shared" si="0"/>
        <v>0</v>
      </c>
      <c r="V11" s="929"/>
      <c r="W11" s="930"/>
      <c r="X11" s="928">
        <f t="shared" si="1"/>
        <v>0</v>
      </c>
      <c r="Y11" s="929"/>
      <c r="Z11" s="965">
        <f t="shared" si="2"/>
        <v>0</v>
      </c>
    </row>
    <row r="12" spans="1:40">
      <c r="A12" s="890" t="s">
        <v>110</v>
      </c>
      <c r="B12" s="891"/>
      <c r="C12" s="891"/>
      <c r="D12" s="892"/>
      <c r="E12" s="893"/>
      <c r="F12" s="893"/>
      <c r="G12" s="893"/>
      <c r="H12" s="893"/>
      <c r="I12" s="893"/>
      <c r="J12" s="893"/>
      <c r="K12" s="893"/>
      <c r="L12" s="910"/>
      <c r="M12" s="910"/>
      <c r="N12" s="910"/>
      <c r="O12" s="910"/>
      <c r="P12" s="910"/>
      <c r="Q12" s="910"/>
      <c r="R12" s="926"/>
      <c r="S12" s="926"/>
      <c r="T12" s="927"/>
      <c r="U12" s="928">
        <f t="shared" si="0"/>
        <v>0</v>
      </c>
      <c r="V12" s="929"/>
      <c r="W12" s="930"/>
      <c r="X12" s="928">
        <f t="shared" si="1"/>
        <v>0</v>
      </c>
      <c r="Y12" s="929"/>
      <c r="Z12" s="965">
        <f t="shared" si="2"/>
        <v>0</v>
      </c>
    </row>
    <row r="13" spans="1:40">
      <c r="A13" s="890" t="s">
        <v>110</v>
      </c>
      <c r="B13" s="891"/>
      <c r="C13" s="891"/>
      <c r="D13" s="892"/>
      <c r="E13" s="893"/>
      <c r="F13" s="893"/>
      <c r="G13" s="893"/>
      <c r="H13" s="893"/>
      <c r="I13" s="893"/>
      <c r="J13" s="893"/>
      <c r="K13" s="893"/>
      <c r="L13" s="910"/>
      <c r="M13" s="910"/>
      <c r="N13" s="910"/>
      <c r="O13" s="910"/>
      <c r="P13" s="910"/>
      <c r="Q13" s="910"/>
      <c r="R13" s="926"/>
      <c r="S13" s="926"/>
      <c r="T13" s="927"/>
      <c r="U13" s="928">
        <f t="shared" si="0"/>
        <v>0</v>
      </c>
      <c r="V13" s="929"/>
      <c r="W13" s="930"/>
      <c r="X13" s="928">
        <f t="shared" si="1"/>
        <v>0</v>
      </c>
      <c r="Y13" s="929"/>
      <c r="Z13" s="965">
        <f t="shared" si="2"/>
        <v>0</v>
      </c>
    </row>
    <row r="14" spans="1:40">
      <c r="A14" s="890" t="s">
        <v>110</v>
      </c>
      <c r="B14" s="891"/>
      <c r="C14" s="891"/>
      <c r="D14" s="892"/>
      <c r="E14" s="893"/>
      <c r="F14" s="893"/>
      <c r="G14" s="893"/>
      <c r="H14" s="893"/>
      <c r="I14" s="893"/>
      <c r="J14" s="893"/>
      <c r="K14" s="893"/>
      <c r="L14" s="910"/>
      <c r="M14" s="910"/>
      <c r="N14" s="910"/>
      <c r="O14" s="910"/>
      <c r="P14" s="910"/>
      <c r="Q14" s="910"/>
      <c r="R14" s="926"/>
      <c r="S14" s="926"/>
      <c r="T14" s="927"/>
      <c r="U14" s="928">
        <f t="shared" si="0"/>
        <v>0</v>
      </c>
      <c r="V14" s="929"/>
      <c r="W14" s="930"/>
      <c r="X14" s="928">
        <f t="shared" si="1"/>
        <v>0</v>
      </c>
      <c r="Y14" s="929"/>
      <c r="Z14" s="965">
        <f t="shared" si="2"/>
        <v>0</v>
      </c>
    </row>
    <row r="15" spans="1:40">
      <c r="A15" s="890" t="s">
        <v>110</v>
      </c>
      <c r="B15" s="891"/>
      <c r="C15" s="891"/>
      <c r="D15" s="892"/>
      <c r="E15" s="893"/>
      <c r="F15" s="893"/>
      <c r="G15" s="893"/>
      <c r="H15" s="893"/>
      <c r="I15" s="893"/>
      <c r="J15" s="893"/>
      <c r="K15" s="893"/>
      <c r="L15" s="910"/>
      <c r="M15" s="910"/>
      <c r="N15" s="910"/>
      <c r="O15" s="910"/>
      <c r="P15" s="910"/>
      <c r="Q15" s="910"/>
      <c r="R15" s="926"/>
      <c r="S15" s="926"/>
      <c r="T15" s="927"/>
      <c r="U15" s="928">
        <f t="shared" si="0"/>
        <v>0</v>
      </c>
      <c r="V15" s="929"/>
      <c r="W15" s="930"/>
      <c r="X15" s="928">
        <f t="shared" si="1"/>
        <v>0</v>
      </c>
      <c r="Y15" s="929"/>
      <c r="Z15" s="965">
        <f t="shared" si="2"/>
        <v>0</v>
      </c>
    </row>
    <row r="16" spans="1:40">
      <c r="A16" s="890" t="s">
        <v>110</v>
      </c>
      <c r="B16" s="891"/>
      <c r="C16" s="891"/>
      <c r="D16" s="892"/>
      <c r="E16" s="893"/>
      <c r="F16" s="893"/>
      <c r="G16" s="893"/>
      <c r="H16" s="893"/>
      <c r="I16" s="893"/>
      <c r="J16" s="893"/>
      <c r="K16" s="893"/>
      <c r="L16" s="910"/>
      <c r="M16" s="910"/>
      <c r="N16" s="910"/>
      <c r="O16" s="910"/>
      <c r="P16" s="910"/>
      <c r="Q16" s="910"/>
      <c r="R16" s="926"/>
      <c r="S16" s="926"/>
      <c r="T16" s="927"/>
      <c r="U16" s="928">
        <f t="shared" si="0"/>
        <v>0</v>
      </c>
      <c r="V16" s="929"/>
      <c r="W16" s="930"/>
      <c r="X16" s="928">
        <f t="shared" si="1"/>
        <v>0</v>
      </c>
      <c r="Y16" s="929"/>
      <c r="Z16" s="965">
        <f t="shared" si="2"/>
        <v>0</v>
      </c>
    </row>
    <row r="17" spans="1:29">
      <c r="A17" s="890" t="s">
        <v>110</v>
      </c>
      <c r="B17" s="891"/>
      <c r="C17" s="891"/>
      <c r="D17" s="892"/>
      <c r="E17" s="893"/>
      <c r="F17" s="893"/>
      <c r="G17" s="893"/>
      <c r="H17" s="893"/>
      <c r="I17" s="893"/>
      <c r="J17" s="893"/>
      <c r="K17" s="893"/>
      <c r="L17" s="910"/>
      <c r="M17" s="910"/>
      <c r="N17" s="910"/>
      <c r="O17" s="910"/>
      <c r="P17" s="910"/>
      <c r="Q17" s="910"/>
      <c r="R17" s="926"/>
      <c r="S17" s="926"/>
      <c r="T17" s="927"/>
      <c r="U17" s="928">
        <f t="shared" si="0"/>
        <v>0</v>
      </c>
      <c r="V17" s="929"/>
      <c r="W17" s="930"/>
      <c r="X17" s="928">
        <f t="shared" si="1"/>
        <v>0</v>
      </c>
      <c r="Y17" s="929"/>
      <c r="Z17" s="965">
        <f t="shared" si="2"/>
        <v>0</v>
      </c>
    </row>
    <row r="18" spans="1:29">
      <c r="A18" s="890" t="s">
        <v>110</v>
      </c>
      <c r="B18" s="891"/>
      <c r="C18" s="891"/>
      <c r="D18" s="892"/>
      <c r="E18" s="893"/>
      <c r="F18" s="893"/>
      <c r="G18" s="893"/>
      <c r="H18" s="893"/>
      <c r="I18" s="893"/>
      <c r="J18" s="893"/>
      <c r="K18" s="893"/>
      <c r="L18" s="910"/>
      <c r="M18" s="910"/>
      <c r="N18" s="910"/>
      <c r="O18" s="910"/>
      <c r="P18" s="910"/>
      <c r="Q18" s="910"/>
      <c r="R18" s="926"/>
      <c r="S18" s="926"/>
      <c r="T18" s="927"/>
      <c r="U18" s="928">
        <f t="shared" si="0"/>
        <v>0</v>
      </c>
      <c r="V18" s="929"/>
      <c r="W18" s="930"/>
      <c r="X18" s="928">
        <f t="shared" si="1"/>
        <v>0</v>
      </c>
      <c r="Y18" s="929"/>
      <c r="Z18" s="965">
        <f t="shared" si="2"/>
        <v>0</v>
      </c>
    </row>
    <row r="19" spans="1:29">
      <c r="A19" s="890" t="s">
        <v>110</v>
      </c>
      <c r="B19" s="891"/>
      <c r="C19" s="891"/>
      <c r="D19" s="892"/>
      <c r="E19" s="893"/>
      <c r="F19" s="893"/>
      <c r="G19" s="893"/>
      <c r="H19" s="893"/>
      <c r="I19" s="893"/>
      <c r="J19" s="893"/>
      <c r="K19" s="893"/>
      <c r="L19" s="910"/>
      <c r="M19" s="910"/>
      <c r="N19" s="910"/>
      <c r="O19" s="910"/>
      <c r="P19" s="910"/>
      <c r="Q19" s="910"/>
      <c r="R19" s="926"/>
      <c r="S19" s="926"/>
      <c r="T19" s="927"/>
      <c r="U19" s="928">
        <f t="shared" si="0"/>
        <v>0</v>
      </c>
      <c r="V19" s="929"/>
      <c r="W19" s="930"/>
      <c r="X19" s="928">
        <f t="shared" si="1"/>
        <v>0</v>
      </c>
      <c r="Y19" s="929"/>
      <c r="Z19" s="965">
        <f t="shared" si="2"/>
        <v>0</v>
      </c>
    </row>
    <row r="20" spans="1:29">
      <c r="A20" s="890" t="s">
        <v>110</v>
      </c>
      <c r="B20" s="891"/>
      <c r="C20" s="891"/>
      <c r="D20" s="892"/>
      <c r="E20" s="893"/>
      <c r="F20" s="893"/>
      <c r="G20" s="893"/>
      <c r="H20" s="893"/>
      <c r="I20" s="893"/>
      <c r="J20" s="893"/>
      <c r="K20" s="893"/>
      <c r="L20" s="910"/>
      <c r="M20" s="910"/>
      <c r="N20" s="910"/>
      <c r="O20" s="910"/>
      <c r="P20" s="910"/>
      <c r="Q20" s="910"/>
      <c r="R20" s="926"/>
      <c r="S20" s="926"/>
      <c r="T20" s="927"/>
      <c r="U20" s="929">
        <f t="shared" si="0"/>
        <v>0</v>
      </c>
      <c r="V20" s="929"/>
      <c r="W20" s="930"/>
      <c r="X20" s="929">
        <f t="shared" si="1"/>
        <v>0</v>
      </c>
      <c r="Y20" s="929"/>
      <c r="Z20" s="966">
        <f t="shared" si="2"/>
        <v>0</v>
      </c>
      <c r="AA20" s="414" t="s">
        <v>8</v>
      </c>
      <c r="AB20" s="967" t="s">
        <v>197</v>
      </c>
      <c r="AC20" s="415" t="s">
        <v>174</v>
      </c>
    </row>
    <row r="21" spans="1:29">
      <c r="A21" s="890" t="s">
        <v>110</v>
      </c>
      <c r="B21" s="891"/>
      <c r="C21" s="891"/>
      <c r="D21" s="892"/>
      <c r="E21" s="893"/>
      <c r="F21" s="893"/>
      <c r="G21" s="893"/>
      <c r="H21" s="893"/>
      <c r="I21" s="893"/>
      <c r="J21" s="893"/>
      <c r="K21" s="893"/>
      <c r="L21" s="910"/>
      <c r="M21" s="910"/>
      <c r="N21" s="910"/>
      <c r="O21" s="910"/>
      <c r="P21" s="910"/>
      <c r="Q21" s="910"/>
      <c r="R21" s="926"/>
      <c r="S21" s="926"/>
      <c r="T21" s="927"/>
      <c r="U21" s="929">
        <f t="shared" si="0"/>
        <v>0</v>
      </c>
      <c r="V21" s="929"/>
      <c r="W21" s="930"/>
      <c r="X21" s="929">
        <f t="shared" si="1"/>
        <v>0</v>
      </c>
      <c r="Y21" s="929"/>
      <c r="Z21" s="966">
        <f t="shared" si="2"/>
        <v>0</v>
      </c>
      <c r="AA21" s="414" t="s">
        <v>8</v>
      </c>
      <c r="AB21" s="967" t="s">
        <v>197</v>
      </c>
      <c r="AC21" s="415" t="s">
        <v>174</v>
      </c>
    </row>
    <row r="22" spans="1:29">
      <c r="A22" s="890" t="s">
        <v>110</v>
      </c>
      <c r="B22" s="891"/>
      <c r="C22" s="891"/>
      <c r="D22" s="892"/>
      <c r="E22" s="893"/>
      <c r="F22" s="893"/>
      <c r="G22" s="893"/>
      <c r="H22" s="893"/>
      <c r="I22" s="893"/>
      <c r="J22" s="893"/>
      <c r="K22" s="893"/>
      <c r="L22" s="910"/>
      <c r="M22" s="910"/>
      <c r="N22" s="910"/>
      <c r="O22" s="910"/>
      <c r="P22" s="910"/>
      <c r="Q22" s="910"/>
      <c r="R22" s="926"/>
      <c r="S22" s="926"/>
      <c r="T22" s="927"/>
      <c r="U22" s="929">
        <f t="shared" si="0"/>
        <v>0</v>
      </c>
      <c r="V22" s="929"/>
      <c r="W22" s="930"/>
      <c r="X22" s="929">
        <f t="shared" si="1"/>
        <v>0</v>
      </c>
      <c r="Y22" s="929"/>
      <c r="Z22" s="966">
        <f t="shared" si="2"/>
        <v>0</v>
      </c>
      <c r="AA22" s="414" t="s">
        <v>8</v>
      </c>
      <c r="AB22" s="967" t="s">
        <v>197</v>
      </c>
      <c r="AC22" s="415" t="s">
        <v>174</v>
      </c>
    </row>
    <row r="23" spans="1:29">
      <c r="A23" s="890" t="s">
        <v>110</v>
      </c>
      <c r="B23" s="891"/>
      <c r="C23" s="891"/>
      <c r="D23" s="894"/>
      <c r="E23" s="893"/>
      <c r="F23" s="893"/>
      <c r="G23" s="893"/>
      <c r="H23" s="893"/>
      <c r="I23" s="893"/>
      <c r="J23" s="893"/>
      <c r="K23" s="893"/>
      <c r="L23" s="910"/>
      <c r="M23" s="910"/>
      <c r="N23" s="910"/>
      <c r="O23" s="910"/>
      <c r="P23" s="910"/>
      <c r="Q23" s="910"/>
      <c r="R23" s="926"/>
      <c r="S23" s="926"/>
      <c r="T23" s="927"/>
      <c r="U23" s="929">
        <f t="shared" si="0"/>
        <v>0</v>
      </c>
      <c r="V23" s="929"/>
      <c r="W23" s="930"/>
      <c r="X23" s="929">
        <f t="shared" si="1"/>
        <v>0</v>
      </c>
      <c r="Y23" s="929"/>
      <c r="Z23" s="966">
        <f t="shared" si="2"/>
        <v>0</v>
      </c>
      <c r="AA23" s="414" t="s">
        <v>8</v>
      </c>
      <c r="AB23" s="967" t="s">
        <v>197</v>
      </c>
      <c r="AC23" s="415" t="s">
        <v>174</v>
      </c>
    </row>
    <row r="24" spans="1:29">
      <c r="A24" s="890" t="s">
        <v>110</v>
      </c>
      <c r="B24" s="891"/>
      <c r="C24" s="891"/>
      <c r="D24" s="894"/>
      <c r="E24" s="893"/>
      <c r="F24" s="893"/>
      <c r="G24" s="893"/>
      <c r="H24" s="893"/>
      <c r="I24" s="893"/>
      <c r="J24" s="893"/>
      <c r="K24" s="893"/>
      <c r="L24" s="910"/>
      <c r="M24" s="910"/>
      <c r="N24" s="910"/>
      <c r="O24" s="910"/>
      <c r="P24" s="910"/>
      <c r="Q24" s="910"/>
      <c r="R24" s="926"/>
      <c r="S24" s="926"/>
      <c r="T24" s="927"/>
      <c r="U24" s="929">
        <f t="shared" si="0"/>
        <v>0</v>
      </c>
      <c r="V24" s="929"/>
      <c r="W24" s="930"/>
      <c r="X24" s="929">
        <f t="shared" si="1"/>
        <v>0</v>
      </c>
      <c r="Y24" s="929"/>
      <c r="Z24" s="966">
        <f t="shared" si="2"/>
        <v>0</v>
      </c>
      <c r="AA24" s="414" t="s">
        <v>8</v>
      </c>
      <c r="AB24" s="967" t="s">
        <v>197</v>
      </c>
      <c r="AC24" s="415" t="s">
        <v>174</v>
      </c>
    </row>
    <row r="25" spans="1:29">
      <c r="A25" s="890" t="s">
        <v>110</v>
      </c>
      <c r="B25" s="891"/>
      <c r="C25" s="891"/>
      <c r="D25" s="894"/>
      <c r="E25" s="893"/>
      <c r="F25" s="893"/>
      <c r="G25" s="893"/>
      <c r="H25" s="893"/>
      <c r="I25" s="893"/>
      <c r="J25" s="893"/>
      <c r="K25" s="893"/>
      <c r="L25" s="910"/>
      <c r="M25" s="910"/>
      <c r="N25" s="910"/>
      <c r="O25" s="910"/>
      <c r="P25" s="910"/>
      <c r="Q25" s="910"/>
      <c r="R25" s="926"/>
      <c r="S25" s="926"/>
      <c r="T25" s="927"/>
      <c r="U25" s="929">
        <f t="shared" si="0"/>
        <v>0</v>
      </c>
      <c r="V25" s="929"/>
      <c r="W25" s="930"/>
      <c r="X25" s="929">
        <f t="shared" si="1"/>
        <v>0</v>
      </c>
      <c r="Y25" s="929"/>
      <c r="Z25" s="966">
        <f t="shared" si="2"/>
        <v>0</v>
      </c>
      <c r="AA25" s="414" t="s">
        <v>8</v>
      </c>
      <c r="AB25" s="967" t="s">
        <v>197</v>
      </c>
      <c r="AC25" s="415" t="s">
        <v>174</v>
      </c>
    </row>
    <row r="26" spans="1:29">
      <c r="A26" s="890" t="s">
        <v>110</v>
      </c>
      <c r="B26" s="891"/>
      <c r="C26" s="891"/>
      <c r="D26" s="894"/>
      <c r="E26" s="893"/>
      <c r="F26" s="893"/>
      <c r="G26" s="893"/>
      <c r="H26" s="893"/>
      <c r="I26" s="893"/>
      <c r="J26" s="893"/>
      <c r="K26" s="893"/>
      <c r="L26" s="910"/>
      <c r="M26" s="910"/>
      <c r="N26" s="910"/>
      <c r="O26" s="910"/>
      <c r="P26" s="910"/>
      <c r="Q26" s="910"/>
      <c r="R26" s="926"/>
      <c r="S26" s="926"/>
      <c r="T26" s="927"/>
      <c r="U26" s="931">
        <f t="shared" si="0"/>
        <v>0</v>
      </c>
      <c r="V26" s="931"/>
      <c r="W26" s="930"/>
      <c r="X26" s="931">
        <f t="shared" si="1"/>
        <v>0</v>
      </c>
      <c r="Y26" s="929"/>
      <c r="Z26" s="966">
        <f t="shared" si="2"/>
        <v>0</v>
      </c>
      <c r="AA26" s="414" t="s">
        <v>8</v>
      </c>
      <c r="AB26" s="967" t="s">
        <v>197</v>
      </c>
      <c r="AC26" s="415" t="s">
        <v>174</v>
      </c>
    </row>
    <row r="27" spans="1:29" s="870" customFormat="1">
      <c r="A27" s="326" t="s">
        <v>175</v>
      </c>
      <c r="B27" s="895"/>
      <c r="C27" s="895"/>
      <c r="D27" s="896"/>
      <c r="E27" s="897">
        <f t="shared" ref="E27:S27" si="3">SUM(E5:E26)</f>
        <v>0</v>
      </c>
      <c r="F27" s="897">
        <f t="shared" si="3"/>
        <v>0</v>
      </c>
      <c r="G27" s="897">
        <f t="shared" si="3"/>
        <v>0</v>
      </c>
      <c r="H27" s="897">
        <f t="shared" si="3"/>
        <v>0</v>
      </c>
      <c r="I27" s="897">
        <f t="shared" si="3"/>
        <v>0</v>
      </c>
      <c r="J27" s="897">
        <f t="shared" si="3"/>
        <v>0</v>
      </c>
      <c r="K27" s="897">
        <f t="shared" si="3"/>
        <v>0</v>
      </c>
      <c r="L27" s="897">
        <f t="shared" si="3"/>
        <v>0</v>
      </c>
      <c r="M27" s="897">
        <f t="shared" si="3"/>
        <v>0</v>
      </c>
      <c r="N27" s="897">
        <f t="shared" si="3"/>
        <v>0</v>
      </c>
      <c r="O27" s="897">
        <f t="shared" si="3"/>
        <v>0</v>
      </c>
      <c r="P27" s="897">
        <f t="shared" si="3"/>
        <v>0</v>
      </c>
      <c r="Q27" s="897">
        <f t="shared" si="3"/>
        <v>0</v>
      </c>
      <c r="R27" s="897">
        <f t="shared" si="3"/>
        <v>0</v>
      </c>
      <c r="S27" s="897">
        <f t="shared" si="3"/>
        <v>0</v>
      </c>
      <c r="T27" s="932"/>
      <c r="U27" s="933">
        <f t="shared" ref="U27:Z27" si="4">SUM(U5:U26)</f>
        <v>0</v>
      </c>
      <c r="V27" s="934">
        <f t="shared" si="4"/>
        <v>0</v>
      </c>
      <c r="W27" s="934">
        <f t="shared" si="4"/>
        <v>0</v>
      </c>
      <c r="X27" s="935">
        <f t="shared" si="4"/>
        <v>0</v>
      </c>
      <c r="Y27" s="951">
        <f t="shared" si="4"/>
        <v>0</v>
      </c>
      <c r="Z27" s="897">
        <f t="shared" si="4"/>
        <v>0</v>
      </c>
      <c r="AA27" s="399">
        <f>'BIG CHAIR'!CL36</f>
        <v>0</v>
      </c>
      <c r="AB27" s="400">
        <f>'Jordan Chair'!AH38</f>
        <v>627</v>
      </c>
      <c r="AC27" s="401">
        <f>X27+AA27+AB27</f>
        <v>627</v>
      </c>
    </row>
    <row r="28" spans="1:29" s="870" customFormat="1">
      <c r="A28" s="306"/>
      <c r="B28" s="898"/>
      <c r="C28" s="898"/>
      <c r="D28" s="899"/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0"/>
      <c r="S28" s="900"/>
      <c r="T28" s="900"/>
      <c r="U28" s="900"/>
      <c r="V28" s="900"/>
      <c r="W28" s="900"/>
      <c r="X28" s="900"/>
      <c r="Y28" s="900"/>
      <c r="Z28" s="900"/>
      <c r="AA28" s="403"/>
      <c r="AB28" s="403"/>
      <c r="AC28" s="403"/>
    </row>
    <row r="29" spans="1:29" s="870" customFormat="1">
      <c r="A29" s="286" t="s">
        <v>117</v>
      </c>
      <c r="B29" s="877" t="s">
        <v>68</v>
      </c>
      <c r="C29" s="877" t="s">
        <v>69</v>
      </c>
      <c r="D29" s="878" t="s">
        <v>70</v>
      </c>
      <c r="E29" s="901" t="s">
        <v>71</v>
      </c>
      <c r="F29" s="880" t="s">
        <v>178</v>
      </c>
      <c r="G29" s="880" t="s">
        <v>101</v>
      </c>
      <c r="H29" s="879" t="s">
        <v>193</v>
      </c>
      <c r="I29" s="879" t="s">
        <v>170</v>
      </c>
      <c r="J29" s="879" t="s">
        <v>92</v>
      </c>
      <c r="K29" s="879" t="s">
        <v>194</v>
      </c>
      <c r="L29" s="880" t="s">
        <v>195</v>
      </c>
      <c r="M29" s="880" t="s">
        <v>76</v>
      </c>
      <c r="N29" s="880" t="s">
        <v>94</v>
      </c>
      <c r="O29" s="880" t="s">
        <v>86</v>
      </c>
      <c r="P29" s="880" t="s">
        <v>75</v>
      </c>
      <c r="Q29" s="880" t="s">
        <v>95</v>
      </c>
      <c r="R29" s="744" t="s">
        <v>77</v>
      </c>
      <c r="S29" s="936" t="s">
        <v>53</v>
      </c>
      <c r="T29" s="915"/>
      <c r="U29" s="916" t="s">
        <v>104</v>
      </c>
      <c r="V29" s="917" t="s">
        <v>105</v>
      </c>
      <c r="W29" s="917"/>
      <c r="X29" s="918" t="s">
        <v>106</v>
      </c>
      <c r="Y29" s="917" t="s">
        <v>107</v>
      </c>
      <c r="Z29" s="960" t="s">
        <v>108</v>
      </c>
      <c r="AA29" s="403"/>
      <c r="AB29" s="403"/>
      <c r="AC29" s="403"/>
    </row>
    <row r="30" spans="1:29">
      <c r="A30" s="726" t="s">
        <v>120</v>
      </c>
      <c r="B30" s="891"/>
      <c r="C30" s="891"/>
      <c r="D30" s="902"/>
      <c r="E30" s="903"/>
      <c r="F30" s="903"/>
      <c r="G30" s="903"/>
      <c r="H30" s="903"/>
      <c r="I30" s="903"/>
      <c r="J30" s="903"/>
      <c r="K30" s="903"/>
      <c r="L30" s="911"/>
      <c r="M30" s="911"/>
      <c r="N30" s="911"/>
      <c r="O30" s="911"/>
      <c r="P30" s="911"/>
      <c r="Q30" s="911"/>
      <c r="R30" s="937"/>
      <c r="S30" s="937"/>
      <c r="T30" s="938"/>
      <c r="U30" s="939">
        <f t="shared" ref="U30:U55" si="5">SUM(E30:S30)</f>
        <v>0</v>
      </c>
      <c r="V30" s="940"/>
      <c r="W30" s="903"/>
      <c r="X30" s="911">
        <f t="shared" ref="X30:X55" si="6">U30+V30</f>
        <v>0</v>
      </c>
      <c r="Y30" s="911"/>
      <c r="Z30" s="968">
        <f t="shared" ref="Z30:Z55" si="7">X30+Y30</f>
        <v>0</v>
      </c>
      <c r="AA30" s="394"/>
      <c r="AB30" s="394"/>
      <c r="AC30" s="394"/>
    </row>
    <row r="31" spans="1:29">
      <c r="A31" s="726" t="s">
        <v>120</v>
      </c>
      <c r="B31" s="891"/>
      <c r="C31" s="891"/>
      <c r="D31" s="902"/>
      <c r="E31" s="904"/>
      <c r="F31" s="904"/>
      <c r="G31" s="904"/>
      <c r="H31" s="904"/>
      <c r="I31" s="904"/>
      <c r="J31" s="904"/>
      <c r="K31" s="904"/>
      <c r="L31" s="912"/>
      <c r="M31" s="912"/>
      <c r="N31" s="912"/>
      <c r="O31" s="912"/>
      <c r="P31" s="912"/>
      <c r="Q31" s="912"/>
      <c r="R31" s="941"/>
      <c r="S31" s="941"/>
      <c r="T31" s="938"/>
      <c r="U31" s="938">
        <f t="shared" si="5"/>
        <v>0</v>
      </c>
      <c r="V31" s="942"/>
      <c r="W31" s="904"/>
      <c r="X31" s="912">
        <f t="shared" si="6"/>
        <v>0</v>
      </c>
      <c r="Y31" s="912"/>
      <c r="Z31" s="969">
        <f t="shared" si="7"/>
        <v>0</v>
      </c>
      <c r="AA31" s="394"/>
      <c r="AB31" s="394"/>
      <c r="AC31" s="394"/>
    </row>
    <row r="32" spans="1:29">
      <c r="A32" s="726" t="s">
        <v>120</v>
      </c>
      <c r="B32" s="891"/>
      <c r="C32" s="891"/>
      <c r="D32" s="902"/>
      <c r="E32" s="904"/>
      <c r="F32" s="904"/>
      <c r="G32" s="904"/>
      <c r="H32" s="904"/>
      <c r="I32" s="904"/>
      <c r="J32" s="904"/>
      <c r="K32" s="904"/>
      <c r="L32" s="912"/>
      <c r="M32" s="912"/>
      <c r="N32" s="912"/>
      <c r="O32" s="912"/>
      <c r="P32" s="912"/>
      <c r="Q32" s="912"/>
      <c r="R32" s="941"/>
      <c r="S32" s="941"/>
      <c r="T32" s="938"/>
      <c r="U32" s="938">
        <f t="shared" si="5"/>
        <v>0</v>
      </c>
      <c r="V32" s="942"/>
      <c r="W32" s="904"/>
      <c r="X32" s="912">
        <f t="shared" si="6"/>
        <v>0</v>
      </c>
      <c r="Y32" s="912"/>
      <c r="Z32" s="969">
        <f t="shared" si="7"/>
        <v>0</v>
      </c>
      <c r="AA32" s="394"/>
      <c r="AB32" s="394"/>
      <c r="AC32" s="394"/>
    </row>
    <row r="33" spans="1:29">
      <c r="A33" s="726" t="s">
        <v>120</v>
      </c>
      <c r="B33" s="891"/>
      <c r="C33" s="891"/>
      <c r="D33" s="902"/>
      <c r="E33" s="904"/>
      <c r="F33" s="904"/>
      <c r="G33" s="904"/>
      <c r="H33" s="904"/>
      <c r="I33" s="904"/>
      <c r="J33" s="904"/>
      <c r="K33" s="904"/>
      <c r="L33" s="912"/>
      <c r="M33" s="912"/>
      <c r="N33" s="912"/>
      <c r="O33" s="912"/>
      <c r="P33" s="912"/>
      <c r="Q33" s="912"/>
      <c r="R33" s="941"/>
      <c r="S33" s="941"/>
      <c r="T33" s="938"/>
      <c r="U33" s="938">
        <f t="shared" si="5"/>
        <v>0</v>
      </c>
      <c r="V33" s="942"/>
      <c r="W33" s="904"/>
      <c r="X33" s="912">
        <f t="shared" si="6"/>
        <v>0</v>
      </c>
      <c r="Y33" s="912"/>
      <c r="Z33" s="969">
        <f t="shared" si="7"/>
        <v>0</v>
      </c>
      <c r="AA33" s="394"/>
      <c r="AB33" s="394"/>
      <c r="AC33" s="394"/>
    </row>
    <row r="34" spans="1:29">
      <c r="A34" s="726" t="s">
        <v>120</v>
      </c>
      <c r="B34" s="891"/>
      <c r="C34" s="891"/>
      <c r="D34" s="902"/>
      <c r="E34" s="904"/>
      <c r="F34" s="904"/>
      <c r="G34" s="904"/>
      <c r="H34" s="904"/>
      <c r="I34" s="904"/>
      <c r="J34" s="904"/>
      <c r="K34" s="904"/>
      <c r="L34" s="912"/>
      <c r="M34" s="912"/>
      <c r="N34" s="912"/>
      <c r="O34" s="912"/>
      <c r="P34" s="912"/>
      <c r="Q34" s="912"/>
      <c r="R34" s="941"/>
      <c r="S34" s="941"/>
      <c r="T34" s="938"/>
      <c r="U34" s="938">
        <f t="shared" si="5"/>
        <v>0</v>
      </c>
      <c r="V34" s="942"/>
      <c r="W34" s="904"/>
      <c r="X34" s="912">
        <f t="shared" si="6"/>
        <v>0</v>
      </c>
      <c r="Y34" s="912"/>
      <c r="Z34" s="969">
        <f t="shared" si="7"/>
        <v>0</v>
      </c>
      <c r="AA34" s="394"/>
      <c r="AB34" s="394"/>
      <c r="AC34" s="394"/>
    </row>
    <row r="35" spans="1:29">
      <c r="A35" s="726" t="s">
        <v>120</v>
      </c>
      <c r="B35" s="891"/>
      <c r="C35" s="891"/>
      <c r="D35" s="902"/>
      <c r="E35" s="904"/>
      <c r="F35" s="904"/>
      <c r="G35" s="904"/>
      <c r="H35" s="904"/>
      <c r="I35" s="904"/>
      <c r="J35" s="904"/>
      <c r="K35" s="904"/>
      <c r="L35" s="912"/>
      <c r="M35" s="912"/>
      <c r="N35" s="912"/>
      <c r="O35" s="912"/>
      <c r="P35" s="912"/>
      <c r="Q35" s="912"/>
      <c r="R35" s="941"/>
      <c r="S35" s="941"/>
      <c r="T35" s="938"/>
      <c r="U35" s="938">
        <f t="shared" si="5"/>
        <v>0</v>
      </c>
      <c r="V35" s="942"/>
      <c r="W35" s="904"/>
      <c r="X35" s="912">
        <f t="shared" si="6"/>
        <v>0</v>
      </c>
      <c r="Y35" s="912"/>
      <c r="Z35" s="969">
        <f t="shared" si="7"/>
        <v>0</v>
      </c>
      <c r="AA35" s="394"/>
      <c r="AB35" s="394"/>
      <c r="AC35" s="394"/>
    </row>
    <row r="36" spans="1:29">
      <c r="A36" s="726" t="s">
        <v>120</v>
      </c>
      <c r="B36" s="891"/>
      <c r="C36" s="891"/>
      <c r="D36" s="902"/>
      <c r="E36" s="904"/>
      <c r="F36" s="904"/>
      <c r="G36" s="904"/>
      <c r="H36" s="904"/>
      <c r="I36" s="904"/>
      <c r="J36" s="904"/>
      <c r="K36" s="904"/>
      <c r="L36" s="912"/>
      <c r="M36" s="912"/>
      <c r="N36" s="912"/>
      <c r="O36" s="912"/>
      <c r="P36" s="912"/>
      <c r="Q36" s="912"/>
      <c r="R36" s="941"/>
      <c r="S36" s="941"/>
      <c r="T36" s="938"/>
      <c r="U36" s="938">
        <f t="shared" si="5"/>
        <v>0</v>
      </c>
      <c r="V36" s="942"/>
      <c r="W36" s="904"/>
      <c r="X36" s="912">
        <f t="shared" si="6"/>
        <v>0</v>
      </c>
      <c r="Y36" s="912"/>
      <c r="Z36" s="969">
        <f t="shared" si="7"/>
        <v>0</v>
      </c>
      <c r="AA36" s="394"/>
      <c r="AB36" s="394"/>
      <c r="AC36" s="394"/>
    </row>
    <row r="37" spans="1:29">
      <c r="A37" s="726" t="s">
        <v>120</v>
      </c>
      <c r="B37" s="891"/>
      <c r="C37" s="891"/>
      <c r="D37" s="902"/>
      <c r="E37" s="904"/>
      <c r="F37" s="904"/>
      <c r="G37" s="904"/>
      <c r="H37" s="904"/>
      <c r="I37" s="904"/>
      <c r="J37" s="904"/>
      <c r="K37" s="904"/>
      <c r="L37" s="912"/>
      <c r="M37" s="912"/>
      <c r="N37" s="912"/>
      <c r="O37" s="912"/>
      <c r="P37" s="912"/>
      <c r="Q37" s="912"/>
      <c r="R37" s="941"/>
      <c r="S37" s="941"/>
      <c r="T37" s="938"/>
      <c r="U37" s="938">
        <f t="shared" si="5"/>
        <v>0</v>
      </c>
      <c r="V37" s="942"/>
      <c r="W37" s="904"/>
      <c r="X37" s="912">
        <f t="shared" si="6"/>
        <v>0</v>
      </c>
      <c r="Y37" s="912"/>
      <c r="Z37" s="969">
        <f t="shared" si="7"/>
        <v>0</v>
      </c>
      <c r="AA37" s="394"/>
      <c r="AB37" s="394"/>
      <c r="AC37" s="394"/>
    </row>
    <row r="38" spans="1:29">
      <c r="A38" s="726" t="s">
        <v>120</v>
      </c>
      <c r="B38" s="891"/>
      <c r="C38" s="891"/>
      <c r="D38" s="902"/>
      <c r="E38" s="904"/>
      <c r="F38" s="904"/>
      <c r="G38" s="904"/>
      <c r="H38" s="904"/>
      <c r="I38" s="904"/>
      <c r="J38" s="904"/>
      <c r="K38" s="904"/>
      <c r="L38" s="912"/>
      <c r="M38" s="912"/>
      <c r="N38" s="912"/>
      <c r="O38" s="912"/>
      <c r="P38" s="912"/>
      <c r="Q38" s="912"/>
      <c r="R38" s="941"/>
      <c r="S38" s="941"/>
      <c r="T38" s="938"/>
      <c r="U38" s="938">
        <f t="shared" si="5"/>
        <v>0</v>
      </c>
      <c r="V38" s="942"/>
      <c r="W38" s="904"/>
      <c r="X38" s="912">
        <f t="shared" si="6"/>
        <v>0</v>
      </c>
      <c r="Y38" s="912"/>
      <c r="Z38" s="969">
        <f t="shared" si="7"/>
        <v>0</v>
      </c>
      <c r="AA38" s="394"/>
      <c r="AB38" s="394"/>
      <c r="AC38" s="394"/>
    </row>
    <row r="39" spans="1:29">
      <c r="A39" s="726" t="s">
        <v>120</v>
      </c>
      <c r="B39" s="891"/>
      <c r="C39" s="891"/>
      <c r="D39" s="902"/>
      <c r="E39" s="904"/>
      <c r="F39" s="904"/>
      <c r="G39" s="904"/>
      <c r="H39" s="904"/>
      <c r="I39" s="904"/>
      <c r="J39" s="904"/>
      <c r="K39" s="904"/>
      <c r="L39" s="912"/>
      <c r="M39" s="912"/>
      <c r="N39" s="912"/>
      <c r="O39" s="912"/>
      <c r="P39" s="912"/>
      <c r="Q39" s="912"/>
      <c r="R39" s="941"/>
      <c r="S39" s="941"/>
      <c r="T39" s="938"/>
      <c r="U39" s="938">
        <f t="shared" si="5"/>
        <v>0</v>
      </c>
      <c r="V39" s="942"/>
      <c r="W39" s="904"/>
      <c r="X39" s="912">
        <f t="shared" si="6"/>
        <v>0</v>
      </c>
      <c r="Y39" s="912"/>
      <c r="Z39" s="969">
        <f t="shared" si="7"/>
        <v>0</v>
      </c>
      <c r="AA39" s="394"/>
      <c r="AB39" s="394"/>
      <c r="AC39" s="394"/>
    </row>
    <row r="40" spans="1:29">
      <c r="A40" s="726" t="s">
        <v>120</v>
      </c>
      <c r="B40" s="891"/>
      <c r="C40" s="891"/>
      <c r="D40" s="902"/>
      <c r="E40" s="904"/>
      <c r="F40" s="904"/>
      <c r="G40" s="904"/>
      <c r="H40" s="904"/>
      <c r="I40" s="904"/>
      <c r="J40" s="904"/>
      <c r="K40" s="904"/>
      <c r="L40" s="912"/>
      <c r="M40" s="912"/>
      <c r="N40" s="912"/>
      <c r="O40" s="912"/>
      <c r="P40" s="912"/>
      <c r="Q40" s="912"/>
      <c r="R40" s="941"/>
      <c r="S40" s="941"/>
      <c r="T40" s="938"/>
      <c r="U40" s="938">
        <f t="shared" si="5"/>
        <v>0</v>
      </c>
      <c r="V40" s="942"/>
      <c r="W40" s="904"/>
      <c r="X40" s="912">
        <f t="shared" si="6"/>
        <v>0</v>
      </c>
      <c r="Y40" s="912"/>
      <c r="Z40" s="969">
        <f t="shared" si="7"/>
        <v>0</v>
      </c>
      <c r="AA40" s="394"/>
      <c r="AB40" s="394"/>
      <c r="AC40" s="394"/>
    </row>
    <row r="41" spans="1:29">
      <c r="A41" s="726" t="s">
        <v>120</v>
      </c>
      <c r="B41" s="891"/>
      <c r="C41" s="891"/>
      <c r="D41" s="902"/>
      <c r="E41" s="904"/>
      <c r="F41" s="904"/>
      <c r="G41" s="904"/>
      <c r="H41" s="904"/>
      <c r="I41" s="904"/>
      <c r="J41" s="904"/>
      <c r="K41" s="904"/>
      <c r="L41" s="912"/>
      <c r="M41" s="912"/>
      <c r="N41" s="912"/>
      <c r="O41" s="912"/>
      <c r="P41" s="912"/>
      <c r="Q41" s="912"/>
      <c r="R41" s="941"/>
      <c r="S41" s="941"/>
      <c r="T41" s="938"/>
      <c r="U41" s="938">
        <f t="shared" si="5"/>
        <v>0</v>
      </c>
      <c r="V41" s="942"/>
      <c r="W41" s="904"/>
      <c r="X41" s="912">
        <f t="shared" si="6"/>
        <v>0</v>
      </c>
      <c r="Y41" s="912"/>
      <c r="Z41" s="969">
        <f t="shared" si="7"/>
        <v>0</v>
      </c>
      <c r="AA41" s="394"/>
      <c r="AB41" s="394"/>
      <c r="AC41" s="394"/>
    </row>
    <row r="42" spans="1:29">
      <c r="A42" s="726" t="s">
        <v>120</v>
      </c>
      <c r="B42" s="891"/>
      <c r="C42" s="891"/>
      <c r="D42" s="902"/>
      <c r="E42" s="904"/>
      <c r="F42" s="904"/>
      <c r="G42" s="904"/>
      <c r="H42" s="904"/>
      <c r="I42" s="904"/>
      <c r="J42" s="904"/>
      <c r="K42" s="904"/>
      <c r="L42" s="912"/>
      <c r="M42" s="912"/>
      <c r="N42" s="912"/>
      <c r="O42" s="912"/>
      <c r="P42" s="912"/>
      <c r="Q42" s="912"/>
      <c r="R42" s="941"/>
      <c r="S42" s="941"/>
      <c r="T42" s="938"/>
      <c r="U42" s="938">
        <f t="shared" si="5"/>
        <v>0</v>
      </c>
      <c r="V42" s="942"/>
      <c r="W42" s="904"/>
      <c r="X42" s="912">
        <f t="shared" si="6"/>
        <v>0</v>
      </c>
      <c r="Y42" s="912"/>
      <c r="Z42" s="969">
        <f t="shared" si="7"/>
        <v>0</v>
      </c>
      <c r="AA42" s="394"/>
      <c r="AB42" s="394"/>
      <c r="AC42" s="394"/>
    </row>
    <row r="43" spans="1:29">
      <c r="A43" s="726" t="s">
        <v>120</v>
      </c>
      <c r="B43" s="891"/>
      <c r="C43" s="891"/>
      <c r="D43" s="902"/>
      <c r="E43" s="904"/>
      <c r="F43" s="904"/>
      <c r="G43" s="904"/>
      <c r="H43" s="904"/>
      <c r="I43" s="904"/>
      <c r="J43" s="904"/>
      <c r="K43" s="904"/>
      <c r="L43" s="912"/>
      <c r="M43" s="912"/>
      <c r="N43" s="912"/>
      <c r="O43" s="912"/>
      <c r="P43" s="912"/>
      <c r="Q43" s="912"/>
      <c r="R43" s="941"/>
      <c r="S43" s="941"/>
      <c r="T43" s="938"/>
      <c r="U43" s="938">
        <f t="shared" si="5"/>
        <v>0</v>
      </c>
      <c r="V43" s="942"/>
      <c r="W43" s="904"/>
      <c r="X43" s="912">
        <f t="shared" si="6"/>
        <v>0</v>
      </c>
      <c r="Y43" s="912"/>
      <c r="Z43" s="969">
        <f t="shared" si="7"/>
        <v>0</v>
      </c>
      <c r="AA43" s="394"/>
      <c r="AB43" s="394"/>
      <c r="AC43" s="394"/>
    </row>
    <row r="44" spans="1:29">
      <c r="A44" s="726" t="s">
        <v>120</v>
      </c>
      <c r="B44" s="891"/>
      <c r="C44" s="891"/>
      <c r="D44" s="902"/>
      <c r="E44" s="904"/>
      <c r="F44" s="904"/>
      <c r="G44" s="904"/>
      <c r="H44" s="904"/>
      <c r="I44" s="904"/>
      <c r="J44" s="904"/>
      <c r="K44" s="904"/>
      <c r="L44" s="912"/>
      <c r="M44" s="912"/>
      <c r="N44" s="912"/>
      <c r="O44" s="912"/>
      <c r="P44" s="912"/>
      <c r="Q44" s="912"/>
      <c r="R44" s="941"/>
      <c r="S44" s="941"/>
      <c r="T44" s="938"/>
      <c r="U44" s="938">
        <f t="shared" si="5"/>
        <v>0</v>
      </c>
      <c r="V44" s="942"/>
      <c r="W44" s="904"/>
      <c r="X44" s="912">
        <f t="shared" si="6"/>
        <v>0</v>
      </c>
      <c r="Y44" s="912"/>
      <c r="Z44" s="969">
        <f t="shared" si="7"/>
        <v>0</v>
      </c>
      <c r="AA44" s="394"/>
      <c r="AB44" s="394"/>
      <c r="AC44" s="394"/>
    </row>
    <row r="45" spans="1:29">
      <c r="A45" s="726" t="s">
        <v>120</v>
      </c>
      <c r="B45" s="891"/>
      <c r="C45" s="891"/>
      <c r="D45" s="902"/>
      <c r="E45" s="904"/>
      <c r="F45" s="904"/>
      <c r="G45" s="904"/>
      <c r="H45" s="904"/>
      <c r="I45" s="904"/>
      <c r="J45" s="904"/>
      <c r="K45" s="904"/>
      <c r="L45" s="912"/>
      <c r="M45" s="912"/>
      <c r="N45" s="912"/>
      <c r="O45" s="912"/>
      <c r="P45" s="912"/>
      <c r="Q45" s="912"/>
      <c r="R45" s="941"/>
      <c r="S45" s="941"/>
      <c r="T45" s="938"/>
      <c r="U45" s="938">
        <f t="shared" si="5"/>
        <v>0</v>
      </c>
      <c r="V45" s="942"/>
      <c r="W45" s="904"/>
      <c r="X45" s="912">
        <f t="shared" si="6"/>
        <v>0</v>
      </c>
      <c r="Y45" s="912"/>
      <c r="Z45" s="969">
        <f t="shared" si="7"/>
        <v>0</v>
      </c>
      <c r="AA45" s="394"/>
      <c r="AB45" s="394"/>
      <c r="AC45" s="394"/>
    </row>
    <row r="46" spans="1:29">
      <c r="A46" s="726" t="s">
        <v>120</v>
      </c>
      <c r="B46" s="891"/>
      <c r="C46" s="891"/>
      <c r="D46" s="902"/>
      <c r="E46" s="904"/>
      <c r="F46" s="904"/>
      <c r="G46" s="904"/>
      <c r="H46" s="904"/>
      <c r="I46" s="904"/>
      <c r="J46" s="904"/>
      <c r="K46" s="904"/>
      <c r="L46" s="912"/>
      <c r="M46" s="912"/>
      <c r="N46" s="912"/>
      <c r="O46" s="912"/>
      <c r="P46" s="912"/>
      <c r="Q46" s="912"/>
      <c r="R46" s="941"/>
      <c r="S46" s="941"/>
      <c r="T46" s="938"/>
      <c r="U46" s="938">
        <f t="shared" si="5"/>
        <v>0</v>
      </c>
      <c r="V46" s="942"/>
      <c r="W46" s="904"/>
      <c r="X46" s="912">
        <f t="shared" si="6"/>
        <v>0</v>
      </c>
      <c r="Y46" s="912"/>
      <c r="Z46" s="969">
        <f t="shared" si="7"/>
        <v>0</v>
      </c>
      <c r="AA46" s="394"/>
      <c r="AB46" s="394"/>
      <c r="AC46" s="394"/>
    </row>
    <row r="47" spans="1:29">
      <c r="A47" s="726" t="s">
        <v>120</v>
      </c>
      <c r="B47" s="891"/>
      <c r="C47" s="891"/>
      <c r="D47" s="905"/>
      <c r="E47" s="904"/>
      <c r="F47" s="904"/>
      <c r="G47" s="904"/>
      <c r="H47" s="904"/>
      <c r="I47" s="904"/>
      <c r="J47" s="904"/>
      <c r="K47" s="904"/>
      <c r="L47" s="912"/>
      <c r="M47" s="912"/>
      <c r="N47" s="912"/>
      <c r="O47" s="912"/>
      <c r="P47" s="912"/>
      <c r="Q47" s="912"/>
      <c r="R47" s="941"/>
      <c r="S47" s="941"/>
      <c r="T47" s="938"/>
      <c r="U47" s="938">
        <f t="shared" si="5"/>
        <v>0</v>
      </c>
      <c r="V47" s="942"/>
      <c r="W47" s="904"/>
      <c r="X47" s="912">
        <f t="shared" si="6"/>
        <v>0</v>
      </c>
      <c r="Y47" s="912"/>
      <c r="Z47" s="969">
        <f t="shared" si="7"/>
        <v>0</v>
      </c>
      <c r="AA47" s="394"/>
      <c r="AB47" s="394"/>
      <c r="AC47" s="394"/>
    </row>
    <row r="48" spans="1:29">
      <c r="A48" s="726" t="s">
        <v>120</v>
      </c>
      <c r="B48" s="891"/>
      <c r="C48" s="891"/>
      <c r="D48" s="902"/>
      <c r="E48" s="904"/>
      <c r="F48" s="904"/>
      <c r="G48" s="904"/>
      <c r="H48" s="904"/>
      <c r="I48" s="904"/>
      <c r="J48" s="904"/>
      <c r="K48" s="904"/>
      <c r="L48" s="912"/>
      <c r="M48" s="912"/>
      <c r="N48" s="912"/>
      <c r="O48" s="912"/>
      <c r="P48" s="912"/>
      <c r="Q48" s="912"/>
      <c r="R48" s="941"/>
      <c r="S48" s="941"/>
      <c r="T48" s="938"/>
      <c r="U48" s="938">
        <f t="shared" si="5"/>
        <v>0</v>
      </c>
      <c r="V48" s="942"/>
      <c r="W48" s="904"/>
      <c r="X48" s="912">
        <f t="shared" si="6"/>
        <v>0</v>
      </c>
      <c r="Y48" s="912"/>
      <c r="Z48" s="969">
        <f t="shared" si="7"/>
        <v>0</v>
      </c>
      <c r="AA48" s="394"/>
      <c r="AB48" s="394"/>
      <c r="AC48" s="394"/>
    </row>
    <row r="49" spans="1:29">
      <c r="A49" s="726" t="s">
        <v>120</v>
      </c>
      <c r="B49" s="891"/>
      <c r="C49" s="891"/>
      <c r="D49" s="902"/>
      <c r="E49" s="904"/>
      <c r="F49" s="904"/>
      <c r="G49" s="904"/>
      <c r="H49" s="904"/>
      <c r="I49" s="904"/>
      <c r="J49" s="904"/>
      <c r="K49" s="904"/>
      <c r="L49" s="912"/>
      <c r="M49" s="912"/>
      <c r="N49" s="912"/>
      <c r="O49" s="912"/>
      <c r="P49" s="912"/>
      <c r="Q49" s="912"/>
      <c r="R49" s="941"/>
      <c r="S49" s="941"/>
      <c r="T49" s="938"/>
      <c r="U49" s="938">
        <f t="shared" si="5"/>
        <v>0</v>
      </c>
      <c r="V49" s="942"/>
      <c r="W49" s="904"/>
      <c r="X49" s="912">
        <f t="shared" si="6"/>
        <v>0</v>
      </c>
      <c r="Y49" s="912"/>
      <c r="Z49" s="969">
        <f t="shared" si="7"/>
        <v>0</v>
      </c>
      <c r="AA49" s="394"/>
      <c r="AB49" s="394"/>
      <c r="AC49" s="394"/>
    </row>
    <row r="50" spans="1:29">
      <c r="A50" s="726" t="s">
        <v>120</v>
      </c>
      <c r="B50" s="891"/>
      <c r="C50" s="891"/>
      <c r="D50" s="902"/>
      <c r="E50" s="904"/>
      <c r="F50" s="904"/>
      <c r="G50" s="904"/>
      <c r="H50" s="904"/>
      <c r="I50" s="904"/>
      <c r="J50" s="904"/>
      <c r="K50" s="904"/>
      <c r="L50" s="912"/>
      <c r="M50" s="912"/>
      <c r="N50" s="912"/>
      <c r="O50" s="912"/>
      <c r="P50" s="912"/>
      <c r="Q50" s="912"/>
      <c r="R50" s="941"/>
      <c r="S50" s="941"/>
      <c r="T50" s="938"/>
      <c r="U50" s="938">
        <f t="shared" si="5"/>
        <v>0</v>
      </c>
      <c r="V50" s="942"/>
      <c r="W50" s="904"/>
      <c r="X50" s="912">
        <f t="shared" si="6"/>
        <v>0</v>
      </c>
      <c r="Y50" s="912"/>
      <c r="Z50" s="969">
        <f t="shared" si="7"/>
        <v>0</v>
      </c>
      <c r="AA50" s="394"/>
      <c r="AB50" s="394"/>
      <c r="AC50" s="394"/>
    </row>
    <row r="51" spans="1:29">
      <c r="A51" s="726" t="s">
        <v>120</v>
      </c>
      <c r="B51" s="891"/>
      <c r="C51" s="891"/>
      <c r="D51" s="902"/>
      <c r="E51" s="904"/>
      <c r="F51" s="904"/>
      <c r="G51" s="904"/>
      <c r="H51" s="904"/>
      <c r="I51" s="904"/>
      <c r="J51" s="904"/>
      <c r="K51" s="904"/>
      <c r="L51" s="912"/>
      <c r="M51" s="912"/>
      <c r="N51" s="912"/>
      <c r="O51" s="912"/>
      <c r="P51" s="912"/>
      <c r="Q51" s="912"/>
      <c r="R51" s="941"/>
      <c r="S51" s="941"/>
      <c r="T51" s="938"/>
      <c r="U51" s="938">
        <f t="shared" si="5"/>
        <v>0</v>
      </c>
      <c r="V51" s="942"/>
      <c r="W51" s="904"/>
      <c r="X51" s="912">
        <f t="shared" si="6"/>
        <v>0</v>
      </c>
      <c r="Y51" s="912"/>
      <c r="Z51" s="969">
        <f t="shared" si="7"/>
        <v>0</v>
      </c>
      <c r="AA51" s="394"/>
      <c r="AB51" s="394"/>
      <c r="AC51" s="394"/>
    </row>
    <row r="52" spans="1:29">
      <c r="A52" s="726" t="s">
        <v>120</v>
      </c>
      <c r="B52" s="891"/>
      <c r="C52" s="891"/>
      <c r="D52" s="902"/>
      <c r="E52" s="904"/>
      <c r="F52" s="904"/>
      <c r="G52" s="904"/>
      <c r="H52" s="904"/>
      <c r="I52" s="904"/>
      <c r="J52" s="904"/>
      <c r="K52" s="904"/>
      <c r="L52" s="912"/>
      <c r="M52" s="912"/>
      <c r="N52" s="912"/>
      <c r="O52" s="912"/>
      <c r="P52" s="912"/>
      <c r="Q52" s="912"/>
      <c r="R52" s="941"/>
      <c r="S52" s="941"/>
      <c r="T52" s="938"/>
      <c r="U52" s="938">
        <f t="shared" si="5"/>
        <v>0</v>
      </c>
      <c r="V52" s="942"/>
      <c r="W52" s="904"/>
      <c r="X52" s="912">
        <f t="shared" si="6"/>
        <v>0</v>
      </c>
      <c r="Y52" s="912"/>
      <c r="Z52" s="969">
        <f t="shared" si="7"/>
        <v>0</v>
      </c>
      <c r="AA52" s="394"/>
      <c r="AB52" s="394"/>
      <c r="AC52" s="394"/>
    </row>
    <row r="53" spans="1:29">
      <c r="A53" s="726" t="s">
        <v>120</v>
      </c>
      <c r="B53" s="891"/>
      <c r="C53" s="891"/>
      <c r="D53" s="902"/>
      <c r="E53" s="904"/>
      <c r="F53" s="904"/>
      <c r="G53" s="904"/>
      <c r="H53" s="904"/>
      <c r="I53" s="904"/>
      <c r="J53" s="904"/>
      <c r="K53" s="904"/>
      <c r="L53" s="912"/>
      <c r="M53" s="912"/>
      <c r="N53" s="912"/>
      <c r="O53" s="912"/>
      <c r="P53" s="912"/>
      <c r="Q53" s="912"/>
      <c r="R53" s="941"/>
      <c r="S53" s="941"/>
      <c r="T53" s="938"/>
      <c r="U53" s="938">
        <f t="shared" si="5"/>
        <v>0</v>
      </c>
      <c r="V53" s="942"/>
      <c r="W53" s="904"/>
      <c r="X53" s="912">
        <f t="shared" si="6"/>
        <v>0</v>
      </c>
      <c r="Y53" s="912"/>
      <c r="Z53" s="969">
        <f t="shared" si="7"/>
        <v>0</v>
      </c>
      <c r="AA53" s="394"/>
      <c r="AB53" s="394"/>
      <c r="AC53" s="394"/>
    </row>
    <row r="54" spans="1:29">
      <c r="A54" s="726" t="s">
        <v>120</v>
      </c>
      <c r="B54" s="891"/>
      <c r="C54" s="891"/>
      <c r="D54" s="902"/>
      <c r="E54" s="904"/>
      <c r="F54" s="904"/>
      <c r="G54" s="904"/>
      <c r="H54" s="904"/>
      <c r="I54" s="904"/>
      <c r="J54" s="904"/>
      <c r="K54" s="904"/>
      <c r="L54" s="912"/>
      <c r="M54" s="912"/>
      <c r="N54" s="912"/>
      <c r="O54" s="912"/>
      <c r="P54" s="912"/>
      <c r="Q54" s="912"/>
      <c r="R54" s="941"/>
      <c r="S54" s="941"/>
      <c r="T54" s="938"/>
      <c r="U54" s="943">
        <f t="shared" si="5"/>
        <v>0</v>
      </c>
      <c r="V54" s="944"/>
      <c r="W54" s="945"/>
      <c r="X54" s="946">
        <f t="shared" si="6"/>
        <v>0</v>
      </c>
      <c r="Y54" s="946"/>
      <c r="Z54" s="970">
        <f t="shared" si="7"/>
        <v>0</v>
      </c>
      <c r="AA54" s="971" t="s">
        <v>8</v>
      </c>
      <c r="AB54" s="967" t="s">
        <v>197</v>
      </c>
      <c r="AC54" s="398" t="s">
        <v>174</v>
      </c>
    </row>
    <row r="55" spans="1:29">
      <c r="A55" s="726" t="s">
        <v>120</v>
      </c>
      <c r="B55" s="891"/>
      <c r="C55" s="891"/>
      <c r="D55" s="902"/>
      <c r="E55" s="904"/>
      <c r="F55" s="904"/>
      <c r="G55" s="904"/>
      <c r="H55" s="904"/>
      <c r="I55" s="904"/>
      <c r="J55" s="904"/>
      <c r="K55" s="904"/>
      <c r="L55" s="912"/>
      <c r="M55" s="912"/>
      <c r="N55" s="912"/>
      <c r="O55" s="912"/>
      <c r="P55" s="912"/>
      <c r="Q55" s="912"/>
      <c r="R55" s="941"/>
      <c r="S55" s="941"/>
      <c r="T55" s="938"/>
      <c r="U55" s="947">
        <f t="shared" si="5"/>
        <v>0</v>
      </c>
      <c r="V55" s="948"/>
      <c r="W55" s="949"/>
      <c r="X55" s="950">
        <f t="shared" si="6"/>
        <v>0</v>
      </c>
      <c r="Y55" s="950"/>
      <c r="Z55" s="972">
        <f t="shared" si="7"/>
        <v>0</v>
      </c>
      <c r="AA55" s="971" t="s">
        <v>8</v>
      </c>
      <c r="AB55" s="967" t="s">
        <v>197</v>
      </c>
      <c r="AC55" s="398" t="s">
        <v>174</v>
      </c>
    </row>
    <row r="56" spans="1:29" s="870" customFormat="1">
      <c r="A56" s="326" t="s">
        <v>177</v>
      </c>
      <c r="B56" s="895"/>
      <c r="C56" s="895"/>
      <c r="D56" s="896"/>
      <c r="E56" s="897">
        <f t="shared" ref="E56:S56" si="8">SUM(E30:E55)</f>
        <v>0</v>
      </c>
      <c r="F56" s="897">
        <f t="shared" si="8"/>
        <v>0</v>
      </c>
      <c r="G56" s="897">
        <f t="shared" si="8"/>
        <v>0</v>
      </c>
      <c r="H56" s="897">
        <f t="shared" si="8"/>
        <v>0</v>
      </c>
      <c r="I56" s="897">
        <f t="shared" si="8"/>
        <v>0</v>
      </c>
      <c r="J56" s="897">
        <f t="shared" si="8"/>
        <v>0</v>
      </c>
      <c r="K56" s="897">
        <f t="shared" si="8"/>
        <v>0</v>
      </c>
      <c r="L56" s="897">
        <f t="shared" si="8"/>
        <v>0</v>
      </c>
      <c r="M56" s="897">
        <f t="shared" si="8"/>
        <v>0</v>
      </c>
      <c r="N56" s="897">
        <f t="shared" si="8"/>
        <v>0</v>
      </c>
      <c r="O56" s="897">
        <f t="shared" si="8"/>
        <v>0</v>
      </c>
      <c r="P56" s="897">
        <f t="shared" si="8"/>
        <v>0</v>
      </c>
      <c r="Q56" s="897">
        <f t="shared" si="8"/>
        <v>0</v>
      </c>
      <c r="R56" s="897">
        <f t="shared" si="8"/>
        <v>0</v>
      </c>
      <c r="S56" s="897">
        <f t="shared" si="8"/>
        <v>0</v>
      </c>
      <c r="T56" s="932"/>
      <c r="U56" s="932">
        <f t="shared" ref="U56:Z56" si="9">SUM(U30:U55)</f>
        <v>0</v>
      </c>
      <c r="V56" s="951">
        <f t="shared" si="9"/>
        <v>0</v>
      </c>
      <c r="W56" s="897"/>
      <c r="X56" s="934">
        <f t="shared" si="9"/>
        <v>0</v>
      </c>
      <c r="Y56" s="934">
        <f t="shared" si="9"/>
        <v>0</v>
      </c>
      <c r="Z56" s="973">
        <f t="shared" si="9"/>
        <v>0</v>
      </c>
      <c r="AA56" s="399">
        <f>'BIG CHAIR'!CL42</f>
        <v>880</v>
      </c>
      <c r="AB56" s="400">
        <f>'Jordan Chair'!AH26</f>
        <v>0</v>
      </c>
      <c r="AC56" s="401">
        <f>X56+AA56+AB56</f>
        <v>880</v>
      </c>
    </row>
    <row r="57" spans="1:29" s="870" customFormat="1" ht="24" thickBot="1">
      <c r="A57" s="286" t="s">
        <v>122</v>
      </c>
      <c r="B57" s="877" t="s">
        <v>68</v>
      </c>
      <c r="C57" s="877" t="s">
        <v>69</v>
      </c>
      <c r="D57" s="878" t="s">
        <v>70</v>
      </c>
      <c r="E57" s="901" t="s">
        <v>71</v>
      </c>
      <c r="F57" s="880" t="s">
        <v>542</v>
      </c>
      <c r="G57" s="880" t="s">
        <v>101</v>
      </c>
      <c r="H57" s="879" t="s">
        <v>193</v>
      </c>
      <c r="I57" s="879" t="s">
        <v>170</v>
      </c>
      <c r="J57" s="879" t="s">
        <v>92</v>
      </c>
      <c r="K57" s="879" t="s">
        <v>194</v>
      </c>
      <c r="L57" s="880" t="s">
        <v>195</v>
      </c>
      <c r="M57" s="880" t="s">
        <v>76</v>
      </c>
      <c r="N57" s="880" t="s">
        <v>94</v>
      </c>
      <c r="O57" s="880" t="s">
        <v>86</v>
      </c>
      <c r="P57" s="880" t="s">
        <v>75</v>
      </c>
      <c r="Q57" s="880" t="s">
        <v>95</v>
      </c>
      <c r="R57" s="744" t="s">
        <v>77</v>
      </c>
      <c r="S57" s="936" t="s">
        <v>53</v>
      </c>
      <c r="T57" s="915"/>
      <c r="U57" s="952" t="s">
        <v>104</v>
      </c>
      <c r="V57" s="953" t="s">
        <v>105</v>
      </c>
      <c r="W57" s="954"/>
      <c r="X57" s="918" t="s">
        <v>106</v>
      </c>
      <c r="Y57" s="917" t="s">
        <v>107</v>
      </c>
      <c r="Z57" s="960" t="s">
        <v>108</v>
      </c>
      <c r="AA57" s="403"/>
      <c r="AB57" s="403"/>
      <c r="AC57" s="403"/>
    </row>
    <row r="58" spans="1:29" ht="24" thickBot="1">
      <c r="A58" s="726" t="s">
        <v>125</v>
      </c>
      <c r="B58" s="891"/>
      <c r="C58" s="891"/>
      <c r="D58" s="902">
        <v>46127</v>
      </c>
      <c r="E58" s="903"/>
      <c r="F58" s="903"/>
      <c r="G58" s="903"/>
      <c r="H58" s="903"/>
      <c r="I58" s="903"/>
      <c r="J58" s="903"/>
      <c r="K58" s="903"/>
      <c r="L58" s="911"/>
      <c r="M58" s="911"/>
      <c r="N58" s="911"/>
      <c r="O58" s="911"/>
      <c r="P58" s="911"/>
      <c r="Q58" s="911"/>
      <c r="R58" s="937"/>
      <c r="S58" s="937">
        <f>10*16+26*16</f>
        <v>576</v>
      </c>
      <c r="T58" s="938"/>
      <c r="U58" s="3201">
        <f t="shared" ref="U58:U82" si="10">SUM(E58:S58)</f>
        <v>576</v>
      </c>
      <c r="V58" s="957">
        <v>1</v>
      </c>
      <c r="W58" s="554"/>
      <c r="X58" s="942">
        <f t="shared" ref="X58:X82" si="11">U58+V58</f>
        <v>577</v>
      </c>
      <c r="Y58" s="957">
        <f>10+7</f>
        <v>17</v>
      </c>
      <c r="Z58" s="940">
        <f t="shared" ref="Z58:Z82" si="12">X58+Y58</f>
        <v>594</v>
      </c>
      <c r="AA58" s="394"/>
      <c r="AB58" s="394"/>
      <c r="AC58" s="394"/>
    </row>
    <row r="59" spans="1:29" ht="24" thickBot="1">
      <c r="A59" s="726" t="s">
        <v>125</v>
      </c>
      <c r="B59" s="891"/>
      <c r="C59" s="891"/>
      <c r="D59" s="902">
        <v>46128</v>
      </c>
      <c r="E59" s="904"/>
      <c r="F59" s="904"/>
      <c r="G59" s="904"/>
      <c r="H59" s="904"/>
      <c r="I59" s="904"/>
      <c r="J59" s="904"/>
      <c r="K59" s="904"/>
      <c r="L59" s="912"/>
      <c r="M59" s="912"/>
      <c r="N59" s="912"/>
      <c r="O59" s="912"/>
      <c r="P59" s="912"/>
      <c r="Q59" s="912"/>
      <c r="R59" s="941"/>
      <c r="S59" s="941">
        <f>27*16+17*16</f>
        <v>704</v>
      </c>
      <c r="T59" s="938"/>
      <c r="U59" s="938">
        <f t="shared" si="10"/>
        <v>704</v>
      </c>
      <c r="V59" s="942">
        <v>1</v>
      </c>
      <c r="W59" s="957"/>
      <c r="X59" s="942">
        <f t="shared" si="11"/>
        <v>705</v>
      </c>
      <c r="Y59" s="957">
        <f>6+10</f>
        <v>16</v>
      </c>
      <c r="Z59" s="940">
        <f t="shared" si="12"/>
        <v>721</v>
      </c>
      <c r="AA59" s="394"/>
      <c r="AB59" s="394"/>
      <c r="AC59" s="394"/>
    </row>
    <row r="60" spans="1:29">
      <c r="A60" s="726" t="s">
        <v>125</v>
      </c>
      <c r="B60" s="891"/>
      <c r="C60" s="891"/>
      <c r="D60" s="902">
        <v>46129</v>
      </c>
      <c r="E60" s="904"/>
      <c r="F60" s="904"/>
      <c r="G60" s="904"/>
      <c r="H60" s="904"/>
      <c r="I60" s="904"/>
      <c r="J60" s="904"/>
      <c r="K60" s="904"/>
      <c r="L60" s="912"/>
      <c r="M60" s="912"/>
      <c r="N60" s="912">
        <f>24*16</f>
        <v>384</v>
      </c>
      <c r="O60" s="912"/>
      <c r="P60" s="912"/>
      <c r="Q60" s="912"/>
      <c r="R60" s="941"/>
      <c r="S60" s="941">
        <f>6*16</f>
        <v>96</v>
      </c>
      <c r="T60" s="938"/>
      <c r="U60" s="938">
        <f t="shared" si="10"/>
        <v>480</v>
      </c>
      <c r="V60" s="942">
        <v>6</v>
      </c>
      <c r="W60" s="957"/>
      <c r="X60" s="942">
        <f t="shared" si="11"/>
        <v>486</v>
      </c>
      <c r="Y60" s="957">
        <v>2</v>
      </c>
      <c r="Z60" s="940">
        <f t="shared" si="12"/>
        <v>488</v>
      </c>
      <c r="AA60" s="394"/>
      <c r="AB60" s="394"/>
      <c r="AC60" s="394"/>
    </row>
    <row r="61" spans="1:29">
      <c r="A61" s="726" t="s">
        <v>198</v>
      </c>
      <c r="B61" s="891"/>
      <c r="C61" s="891"/>
      <c r="D61" s="902">
        <v>46130</v>
      </c>
      <c r="E61" s="904"/>
      <c r="F61" s="904"/>
      <c r="G61" s="904"/>
      <c r="H61" s="904"/>
      <c r="I61" s="904"/>
      <c r="J61" s="904"/>
      <c r="K61" s="904"/>
      <c r="L61" s="912"/>
      <c r="M61" s="912"/>
      <c r="N61" s="912">
        <f>1*16</f>
        <v>16</v>
      </c>
      <c r="O61" s="912"/>
      <c r="P61" s="912"/>
      <c r="Q61" s="912"/>
      <c r="R61" s="912"/>
      <c r="S61" s="941"/>
      <c r="T61" s="938"/>
      <c r="U61" s="938">
        <f t="shared" si="10"/>
        <v>16</v>
      </c>
      <c r="V61" s="942"/>
      <c r="W61" s="957"/>
      <c r="X61" s="942">
        <f t="shared" si="11"/>
        <v>16</v>
      </c>
      <c r="Y61" s="957"/>
      <c r="Z61" s="940">
        <f t="shared" si="12"/>
        <v>16</v>
      </c>
      <c r="AA61" s="394"/>
      <c r="AB61" s="394"/>
      <c r="AC61" s="394"/>
    </row>
    <row r="62" spans="1:29">
      <c r="A62" s="726" t="s">
        <v>198</v>
      </c>
      <c r="B62" s="891"/>
      <c r="C62" s="891"/>
      <c r="D62" s="902"/>
      <c r="E62" s="904"/>
      <c r="F62" s="904"/>
      <c r="G62" s="904"/>
      <c r="H62" s="904"/>
      <c r="I62" s="904"/>
      <c r="J62" s="904"/>
      <c r="K62" s="904"/>
      <c r="L62" s="912"/>
      <c r="M62" s="912"/>
      <c r="N62" s="912"/>
      <c r="O62" s="912"/>
      <c r="P62" s="913"/>
      <c r="Q62" s="912"/>
      <c r="R62" s="941"/>
      <c r="S62" s="941"/>
      <c r="T62" s="938"/>
      <c r="U62" s="938">
        <f t="shared" si="10"/>
        <v>0</v>
      </c>
      <c r="V62" s="942"/>
      <c r="W62" s="957"/>
      <c r="X62" s="942">
        <f t="shared" si="11"/>
        <v>0</v>
      </c>
      <c r="Y62" s="957"/>
      <c r="Z62" s="942">
        <f t="shared" si="12"/>
        <v>0</v>
      </c>
      <c r="AA62" s="394"/>
      <c r="AB62" s="394"/>
      <c r="AC62" s="394"/>
    </row>
    <row r="63" spans="1:29">
      <c r="A63" s="726" t="s">
        <v>199</v>
      </c>
      <c r="B63" s="891"/>
      <c r="C63" s="891"/>
      <c r="D63" s="902"/>
      <c r="E63" s="904"/>
      <c r="F63" s="904"/>
      <c r="G63" s="904"/>
      <c r="H63" s="904"/>
      <c r="I63" s="904"/>
      <c r="J63" s="904"/>
      <c r="K63" s="904"/>
      <c r="L63" s="912"/>
      <c r="M63" s="912"/>
      <c r="N63" s="912"/>
      <c r="O63" s="912"/>
      <c r="P63" s="912"/>
      <c r="Q63" s="912"/>
      <c r="R63" s="941"/>
      <c r="S63" s="941"/>
      <c r="T63" s="938"/>
      <c r="U63" s="938">
        <f t="shared" si="10"/>
        <v>0</v>
      </c>
      <c r="V63" s="942"/>
      <c r="W63" s="957"/>
      <c r="X63" s="942">
        <f t="shared" si="11"/>
        <v>0</v>
      </c>
      <c r="Y63" s="957"/>
      <c r="Z63" s="942">
        <f t="shared" si="12"/>
        <v>0</v>
      </c>
      <c r="AA63" s="394"/>
      <c r="AB63" s="394"/>
      <c r="AC63" s="394"/>
    </row>
    <row r="64" spans="1:29">
      <c r="A64" s="726" t="s">
        <v>199</v>
      </c>
      <c r="B64" s="891"/>
      <c r="C64" s="891"/>
      <c r="D64" s="902"/>
      <c r="E64" s="904"/>
      <c r="F64" s="904"/>
      <c r="G64" s="904"/>
      <c r="H64" s="904"/>
      <c r="I64" s="904"/>
      <c r="J64" s="904"/>
      <c r="K64" s="904"/>
      <c r="L64" s="912"/>
      <c r="M64" s="912"/>
      <c r="N64" s="912"/>
      <c r="O64" s="912"/>
      <c r="P64" s="912"/>
      <c r="Q64" s="912"/>
      <c r="R64" s="941"/>
      <c r="S64" s="941"/>
      <c r="T64" s="938"/>
      <c r="U64" s="938">
        <f t="shared" si="10"/>
        <v>0</v>
      </c>
      <c r="V64" s="942"/>
      <c r="W64" s="957"/>
      <c r="X64" s="942">
        <f t="shared" si="11"/>
        <v>0</v>
      </c>
      <c r="Y64" s="957"/>
      <c r="Z64" s="942">
        <f t="shared" si="12"/>
        <v>0</v>
      </c>
      <c r="AA64" s="394"/>
      <c r="AB64" s="394"/>
      <c r="AC64" s="394"/>
    </row>
    <row r="65" spans="1:29">
      <c r="A65" s="726" t="s">
        <v>199</v>
      </c>
      <c r="B65" s="891"/>
      <c r="C65" s="891"/>
      <c r="D65" s="902"/>
      <c r="E65" s="904"/>
      <c r="F65" s="904"/>
      <c r="G65" s="904"/>
      <c r="H65" s="904"/>
      <c r="I65" s="904"/>
      <c r="J65" s="904"/>
      <c r="K65" s="904"/>
      <c r="L65" s="912"/>
      <c r="M65" s="912"/>
      <c r="N65" s="912"/>
      <c r="O65" s="912"/>
      <c r="P65" s="912"/>
      <c r="Q65" s="912"/>
      <c r="R65" s="941"/>
      <c r="S65" s="941"/>
      <c r="T65" s="938"/>
      <c r="U65" s="938">
        <f t="shared" si="10"/>
        <v>0</v>
      </c>
      <c r="V65" s="942"/>
      <c r="W65" s="957"/>
      <c r="X65" s="942">
        <f t="shared" si="11"/>
        <v>0</v>
      </c>
      <c r="Y65" s="957"/>
      <c r="Z65" s="942">
        <f t="shared" si="12"/>
        <v>0</v>
      </c>
      <c r="AA65" s="394"/>
      <c r="AB65" s="394"/>
      <c r="AC65" s="394"/>
    </row>
    <row r="66" spans="1:29">
      <c r="A66" s="726" t="s">
        <v>199</v>
      </c>
      <c r="B66" s="891"/>
      <c r="C66" s="891"/>
      <c r="D66" s="902"/>
      <c r="E66" s="904"/>
      <c r="F66" s="904"/>
      <c r="G66" s="904"/>
      <c r="H66" s="904"/>
      <c r="I66" s="904"/>
      <c r="J66" s="904"/>
      <c r="K66" s="904"/>
      <c r="L66" s="912"/>
      <c r="M66" s="912"/>
      <c r="N66" s="912"/>
      <c r="O66" s="912"/>
      <c r="P66" s="912"/>
      <c r="Q66" s="912"/>
      <c r="R66" s="941"/>
      <c r="S66" s="941"/>
      <c r="T66" s="938"/>
      <c r="U66" s="938">
        <f t="shared" si="10"/>
        <v>0</v>
      </c>
      <c r="V66" s="942"/>
      <c r="W66" s="957"/>
      <c r="X66" s="942">
        <f t="shared" si="11"/>
        <v>0</v>
      </c>
      <c r="Y66" s="957"/>
      <c r="Z66" s="942">
        <f t="shared" si="12"/>
        <v>0</v>
      </c>
      <c r="AA66" s="394"/>
      <c r="AB66" s="394"/>
      <c r="AC66" s="394"/>
    </row>
    <row r="67" spans="1:29">
      <c r="A67" s="726" t="s">
        <v>199</v>
      </c>
      <c r="B67" s="891"/>
      <c r="C67" s="891"/>
      <c r="D67" s="902"/>
      <c r="E67" s="904"/>
      <c r="F67" s="904"/>
      <c r="G67" s="904"/>
      <c r="H67" s="904"/>
      <c r="I67" s="904"/>
      <c r="J67" s="904"/>
      <c r="K67" s="904"/>
      <c r="L67" s="912"/>
      <c r="M67" s="912"/>
      <c r="N67" s="912"/>
      <c r="O67" s="912"/>
      <c r="P67" s="912"/>
      <c r="Q67" s="912"/>
      <c r="R67" s="941"/>
      <c r="S67" s="941"/>
      <c r="T67" s="938"/>
      <c r="U67" s="938">
        <f t="shared" si="10"/>
        <v>0</v>
      </c>
      <c r="V67" s="942"/>
      <c r="W67" s="957"/>
      <c r="X67" s="942">
        <f t="shared" si="11"/>
        <v>0</v>
      </c>
      <c r="Y67" s="957"/>
      <c r="Z67" s="942">
        <f t="shared" si="12"/>
        <v>0</v>
      </c>
      <c r="AA67" s="394"/>
      <c r="AB67" s="394"/>
      <c r="AC67" s="394"/>
    </row>
    <row r="68" spans="1:29">
      <c r="A68" s="726" t="s">
        <v>199</v>
      </c>
      <c r="B68" s="891"/>
      <c r="C68" s="891"/>
      <c r="D68" s="902"/>
      <c r="E68" s="904"/>
      <c r="F68" s="904"/>
      <c r="G68" s="904"/>
      <c r="H68" s="904"/>
      <c r="I68" s="904"/>
      <c r="J68" s="904"/>
      <c r="K68" s="904"/>
      <c r="L68" s="912"/>
      <c r="M68" s="912"/>
      <c r="N68" s="912"/>
      <c r="O68" s="912"/>
      <c r="P68" s="912"/>
      <c r="Q68" s="912"/>
      <c r="R68" s="941"/>
      <c r="S68" s="941"/>
      <c r="T68" s="938"/>
      <c r="U68" s="938">
        <f t="shared" si="10"/>
        <v>0</v>
      </c>
      <c r="V68" s="942"/>
      <c r="W68" s="957"/>
      <c r="X68" s="942">
        <f t="shared" si="11"/>
        <v>0</v>
      </c>
      <c r="Y68" s="957"/>
      <c r="Z68" s="942">
        <f t="shared" si="12"/>
        <v>0</v>
      </c>
      <c r="AA68" s="394"/>
      <c r="AB68" s="394"/>
      <c r="AC68" s="394"/>
    </row>
    <row r="69" spans="1:29">
      <c r="A69" s="726" t="s">
        <v>199</v>
      </c>
      <c r="B69" s="891"/>
      <c r="C69" s="891"/>
      <c r="D69" s="902"/>
      <c r="E69" s="904"/>
      <c r="F69" s="904"/>
      <c r="G69" s="904"/>
      <c r="H69" s="904"/>
      <c r="I69" s="904"/>
      <c r="J69" s="904"/>
      <c r="K69" s="904"/>
      <c r="L69" s="912"/>
      <c r="M69" s="912"/>
      <c r="N69" s="912"/>
      <c r="O69" s="912"/>
      <c r="P69" s="912"/>
      <c r="Q69" s="912"/>
      <c r="R69" s="941"/>
      <c r="S69" s="941"/>
      <c r="T69" s="938"/>
      <c r="U69" s="938">
        <f t="shared" si="10"/>
        <v>0</v>
      </c>
      <c r="V69" s="942"/>
      <c r="W69" s="957"/>
      <c r="X69" s="942">
        <f t="shared" si="11"/>
        <v>0</v>
      </c>
      <c r="Y69" s="957"/>
      <c r="Z69" s="942">
        <f t="shared" si="12"/>
        <v>0</v>
      </c>
      <c r="AA69" s="394"/>
      <c r="AB69" s="394"/>
      <c r="AC69" s="394"/>
    </row>
    <row r="70" spans="1:29">
      <c r="A70" s="726" t="s">
        <v>199</v>
      </c>
      <c r="B70" s="891"/>
      <c r="C70" s="891"/>
      <c r="D70" s="902"/>
      <c r="E70" s="904"/>
      <c r="F70" s="904"/>
      <c r="G70" s="904"/>
      <c r="H70" s="904"/>
      <c r="I70" s="904"/>
      <c r="J70" s="904"/>
      <c r="K70" s="904"/>
      <c r="L70" s="912"/>
      <c r="M70" s="912"/>
      <c r="N70" s="912"/>
      <c r="O70" s="912"/>
      <c r="P70" s="912"/>
      <c r="Q70" s="912"/>
      <c r="R70" s="941"/>
      <c r="S70" s="941"/>
      <c r="T70" s="938"/>
      <c r="U70" s="938">
        <f t="shared" si="10"/>
        <v>0</v>
      </c>
      <c r="V70" s="942"/>
      <c r="W70" s="957"/>
      <c r="X70" s="942">
        <f t="shared" si="11"/>
        <v>0</v>
      </c>
      <c r="Y70" s="957"/>
      <c r="Z70" s="942">
        <f t="shared" si="12"/>
        <v>0</v>
      </c>
      <c r="AA70" s="394"/>
      <c r="AB70" s="394"/>
      <c r="AC70" s="394"/>
    </row>
    <row r="71" spans="1:29">
      <c r="A71" s="726" t="s">
        <v>199</v>
      </c>
      <c r="B71" s="891"/>
      <c r="C71" s="891"/>
      <c r="D71" s="902"/>
      <c r="E71" s="904"/>
      <c r="F71" s="904"/>
      <c r="G71" s="904"/>
      <c r="H71" s="904"/>
      <c r="I71" s="904"/>
      <c r="J71" s="904"/>
      <c r="K71" s="904"/>
      <c r="L71" s="912"/>
      <c r="M71" s="912"/>
      <c r="N71" s="912"/>
      <c r="O71" s="912"/>
      <c r="P71" s="912"/>
      <c r="Q71" s="912"/>
      <c r="R71" s="941"/>
      <c r="S71" s="941"/>
      <c r="T71" s="938"/>
      <c r="U71" s="938">
        <f t="shared" si="10"/>
        <v>0</v>
      </c>
      <c r="V71" s="942"/>
      <c r="W71" s="957"/>
      <c r="X71" s="942">
        <f t="shared" si="11"/>
        <v>0</v>
      </c>
      <c r="Y71" s="957"/>
      <c r="Z71" s="942">
        <f t="shared" si="12"/>
        <v>0</v>
      </c>
      <c r="AA71" s="394"/>
      <c r="AB71" s="394"/>
      <c r="AC71" s="394"/>
    </row>
    <row r="72" spans="1:29">
      <c r="A72" s="726" t="s">
        <v>199</v>
      </c>
      <c r="B72" s="891"/>
      <c r="C72" s="891"/>
      <c r="D72" s="902"/>
      <c r="E72" s="904"/>
      <c r="F72" s="904"/>
      <c r="G72" s="904"/>
      <c r="H72" s="904"/>
      <c r="I72" s="904"/>
      <c r="J72" s="904"/>
      <c r="K72" s="904"/>
      <c r="L72" s="912"/>
      <c r="M72" s="912"/>
      <c r="N72" s="912"/>
      <c r="O72" s="912"/>
      <c r="P72" s="912"/>
      <c r="Q72" s="912"/>
      <c r="R72" s="941"/>
      <c r="S72" s="941"/>
      <c r="T72" s="938"/>
      <c r="U72" s="938">
        <f t="shared" si="10"/>
        <v>0</v>
      </c>
      <c r="V72" s="942"/>
      <c r="W72" s="957"/>
      <c r="X72" s="942">
        <f t="shared" si="11"/>
        <v>0</v>
      </c>
      <c r="Y72" s="957"/>
      <c r="Z72" s="942">
        <f t="shared" si="12"/>
        <v>0</v>
      </c>
      <c r="AA72" s="394"/>
      <c r="AB72" s="394"/>
      <c r="AC72" s="394"/>
    </row>
    <row r="73" spans="1:29">
      <c r="A73" s="726" t="s">
        <v>199</v>
      </c>
      <c r="B73" s="891"/>
      <c r="C73" s="891"/>
      <c r="D73" s="902"/>
      <c r="E73" s="904"/>
      <c r="F73" s="904"/>
      <c r="G73" s="904"/>
      <c r="H73" s="904"/>
      <c r="I73" s="904"/>
      <c r="J73" s="904"/>
      <c r="K73" s="904"/>
      <c r="L73" s="912"/>
      <c r="M73" s="912"/>
      <c r="N73" s="912"/>
      <c r="O73" s="912"/>
      <c r="P73" s="912"/>
      <c r="Q73" s="912"/>
      <c r="R73" s="941"/>
      <c r="S73" s="941"/>
      <c r="T73" s="938"/>
      <c r="U73" s="938">
        <f t="shared" si="10"/>
        <v>0</v>
      </c>
      <c r="V73" s="942"/>
      <c r="W73" s="957"/>
      <c r="X73" s="942">
        <f t="shared" si="11"/>
        <v>0</v>
      </c>
      <c r="Y73" s="957"/>
      <c r="Z73" s="942">
        <f t="shared" si="12"/>
        <v>0</v>
      </c>
      <c r="AA73" s="394"/>
      <c r="AB73" s="394"/>
      <c r="AC73" s="394"/>
    </row>
    <row r="74" spans="1:29">
      <c r="A74" s="726" t="s">
        <v>199</v>
      </c>
      <c r="B74" s="891"/>
      <c r="C74" s="891"/>
      <c r="D74" s="902"/>
      <c r="E74" s="904"/>
      <c r="F74" s="904"/>
      <c r="G74" s="904"/>
      <c r="H74" s="904"/>
      <c r="I74" s="904"/>
      <c r="J74" s="904"/>
      <c r="K74" s="904"/>
      <c r="L74" s="912"/>
      <c r="M74" s="912"/>
      <c r="N74" s="912"/>
      <c r="O74" s="912"/>
      <c r="P74" s="912"/>
      <c r="Q74" s="912"/>
      <c r="R74" s="941"/>
      <c r="S74" s="941"/>
      <c r="T74" s="938"/>
      <c r="U74" s="938">
        <f t="shared" si="10"/>
        <v>0</v>
      </c>
      <c r="V74" s="942"/>
      <c r="W74" s="957"/>
      <c r="X74" s="942">
        <f t="shared" si="11"/>
        <v>0</v>
      </c>
      <c r="Y74" s="957"/>
      <c r="Z74" s="942">
        <f t="shared" si="12"/>
        <v>0</v>
      </c>
      <c r="AA74" s="394"/>
      <c r="AB74" s="394"/>
      <c r="AC74" s="394"/>
    </row>
    <row r="75" spans="1:29">
      <c r="A75" s="726" t="s">
        <v>199</v>
      </c>
      <c r="B75" s="891"/>
      <c r="C75" s="891"/>
      <c r="D75" s="902"/>
      <c r="E75" s="904"/>
      <c r="F75" s="904"/>
      <c r="G75" s="904"/>
      <c r="H75" s="904"/>
      <c r="I75" s="904"/>
      <c r="J75" s="904"/>
      <c r="K75" s="904"/>
      <c r="L75" s="912"/>
      <c r="M75" s="912"/>
      <c r="N75" s="912"/>
      <c r="O75" s="912"/>
      <c r="P75" s="912"/>
      <c r="Q75" s="912"/>
      <c r="R75" s="941"/>
      <c r="S75" s="941"/>
      <c r="T75" s="938"/>
      <c r="U75" s="938">
        <f t="shared" si="10"/>
        <v>0</v>
      </c>
      <c r="V75" s="942"/>
      <c r="W75" s="957"/>
      <c r="X75" s="942">
        <f t="shared" si="11"/>
        <v>0</v>
      </c>
      <c r="Y75" s="957"/>
      <c r="Z75" s="942">
        <f t="shared" si="12"/>
        <v>0</v>
      </c>
      <c r="AA75" s="394"/>
      <c r="AB75" s="394"/>
      <c r="AC75" s="394"/>
    </row>
    <row r="76" spans="1:29">
      <c r="A76" s="726" t="s">
        <v>199</v>
      </c>
      <c r="B76" s="891"/>
      <c r="C76" s="891"/>
      <c r="D76" s="902"/>
      <c r="E76" s="904"/>
      <c r="F76" s="904"/>
      <c r="G76" s="904"/>
      <c r="H76" s="904"/>
      <c r="I76" s="904"/>
      <c r="J76" s="904"/>
      <c r="K76" s="904"/>
      <c r="L76" s="912"/>
      <c r="M76" s="912"/>
      <c r="N76" s="912"/>
      <c r="O76" s="912"/>
      <c r="P76" s="912"/>
      <c r="Q76" s="912"/>
      <c r="R76" s="941"/>
      <c r="S76" s="941"/>
      <c r="T76" s="938"/>
      <c r="U76" s="938">
        <f t="shared" si="10"/>
        <v>0</v>
      </c>
      <c r="V76" s="942"/>
      <c r="W76" s="957"/>
      <c r="X76" s="942">
        <f t="shared" si="11"/>
        <v>0</v>
      </c>
      <c r="Y76" s="957"/>
      <c r="Z76" s="942">
        <f t="shared" si="12"/>
        <v>0</v>
      </c>
      <c r="AA76" s="394"/>
      <c r="AB76" s="394"/>
      <c r="AC76" s="394"/>
    </row>
    <row r="77" spans="1:29">
      <c r="A77" s="726" t="s">
        <v>199</v>
      </c>
      <c r="B77" s="891"/>
      <c r="C77" s="891"/>
      <c r="D77" s="902"/>
      <c r="E77" s="904"/>
      <c r="F77" s="904"/>
      <c r="G77" s="904"/>
      <c r="H77" s="904"/>
      <c r="I77" s="904"/>
      <c r="J77" s="904"/>
      <c r="K77" s="904"/>
      <c r="L77" s="912"/>
      <c r="M77" s="912"/>
      <c r="N77" s="912"/>
      <c r="O77" s="912"/>
      <c r="P77" s="912"/>
      <c r="Q77" s="912"/>
      <c r="R77" s="941"/>
      <c r="S77" s="941"/>
      <c r="T77" s="938"/>
      <c r="U77" s="938">
        <f t="shared" si="10"/>
        <v>0</v>
      </c>
      <c r="V77" s="942"/>
      <c r="W77" s="957"/>
      <c r="X77" s="942">
        <f t="shared" si="11"/>
        <v>0</v>
      </c>
      <c r="Y77" s="957"/>
      <c r="Z77" s="942">
        <f t="shared" si="12"/>
        <v>0</v>
      </c>
      <c r="AA77" s="394"/>
      <c r="AB77" s="394"/>
      <c r="AC77" s="394"/>
    </row>
    <row r="78" spans="1:29">
      <c r="A78" s="726" t="s">
        <v>199</v>
      </c>
      <c r="B78" s="891"/>
      <c r="C78" s="891"/>
      <c r="D78" s="902"/>
      <c r="E78" s="904"/>
      <c r="F78" s="904"/>
      <c r="G78" s="904"/>
      <c r="H78" s="904"/>
      <c r="I78" s="904"/>
      <c r="J78" s="904"/>
      <c r="K78" s="904"/>
      <c r="L78" s="912"/>
      <c r="M78" s="912"/>
      <c r="N78" s="912"/>
      <c r="O78" s="912"/>
      <c r="P78" s="912"/>
      <c r="Q78" s="912"/>
      <c r="R78" s="941"/>
      <c r="S78" s="941"/>
      <c r="T78" s="938"/>
      <c r="U78" s="938">
        <f t="shared" si="10"/>
        <v>0</v>
      </c>
      <c r="V78" s="942"/>
      <c r="W78" s="957"/>
      <c r="X78" s="942">
        <f t="shared" si="11"/>
        <v>0</v>
      </c>
      <c r="Y78" s="957"/>
      <c r="Z78" s="942">
        <f t="shared" si="12"/>
        <v>0</v>
      </c>
      <c r="AA78" s="394"/>
      <c r="AB78" s="394"/>
      <c r="AC78" s="394"/>
    </row>
    <row r="79" spans="1:29">
      <c r="A79" s="726" t="s">
        <v>199</v>
      </c>
      <c r="B79" s="891"/>
      <c r="C79" s="891"/>
      <c r="D79" s="902"/>
      <c r="E79" s="904"/>
      <c r="F79" s="904"/>
      <c r="G79" s="904"/>
      <c r="H79" s="904"/>
      <c r="I79" s="904"/>
      <c r="J79" s="904"/>
      <c r="K79" s="904"/>
      <c r="L79" s="912"/>
      <c r="M79" s="912"/>
      <c r="N79" s="912"/>
      <c r="O79" s="912"/>
      <c r="P79" s="912"/>
      <c r="Q79" s="912"/>
      <c r="R79" s="941"/>
      <c r="S79" s="941"/>
      <c r="T79" s="938"/>
      <c r="U79" s="938">
        <f t="shared" si="10"/>
        <v>0</v>
      </c>
      <c r="V79" s="942"/>
      <c r="W79" s="957"/>
      <c r="X79" s="942">
        <f t="shared" si="11"/>
        <v>0</v>
      </c>
      <c r="Y79" s="957"/>
      <c r="Z79" s="942">
        <f t="shared" si="12"/>
        <v>0</v>
      </c>
      <c r="AA79" s="394"/>
      <c r="AB79" s="394"/>
      <c r="AC79" s="394"/>
    </row>
    <row r="80" spans="1:29">
      <c r="A80" s="726" t="s">
        <v>199</v>
      </c>
      <c r="B80" s="891"/>
      <c r="C80" s="891"/>
      <c r="D80" s="902"/>
      <c r="E80" s="904"/>
      <c r="F80" s="904"/>
      <c r="G80" s="904"/>
      <c r="H80" s="904"/>
      <c r="I80" s="904"/>
      <c r="J80" s="904"/>
      <c r="K80" s="904"/>
      <c r="L80" s="912"/>
      <c r="M80" s="912"/>
      <c r="N80" s="912"/>
      <c r="O80" s="912"/>
      <c r="P80" s="912"/>
      <c r="Q80" s="912"/>
      <c r="R80" s="941"/>
      <c r="S80" s="941"/>
      <c r="T80" s="938"/>
      <c r="U80" s="938">
        <f t="shared" si="10"/>
        <v>0</v>
      </c>
      <c r="V80" s="942"/>
      <c r="W80" s="957"/>
      <c r="X80" s="942">
        <f t="shared" si="11"/>
        <v>0</v>
      </c>
      <c r="Y80" s="957"/>
      <c r="Z80" s="942">
        <f t="shared" si="12"/>
        <v>0</v>
      </c>
      <c r="AA80" s="394"/>
      <c r="AB80" s="394"/>
      <c r="AC80" s="394"/>
    </row>
    <row r="81" spans="1:30">
      <c r="A81" s="726" t="s">
        <v>199</v>
      </c>
      <c r="B81" s="891"/>
      <c r="C81" s="891"/>
      <c r="D81" s="902"/>
      <c r="E81" s="904"/>
      <c r="F81" s="904"/>
      <c r="G81" s="904"/>
      <c r="H81" s="904"/>
      <c r="I81" s="904"/>
      <c r="J81" s="904"/>
      <c r="K81" s="904"/>
      <c r="L81" s="912"/>
      <c r="M81" s="912"/>
      <c r="N81" s="912"/>
      <c r="O81" s="912"/>
      <c r="P81" s="912"/>
      <c r="Q81" s="912"/>
      <c r="R81" s="941"/>
      <c r="S81" s="941"/>
      <c r="T81" s="938"/>
      <c r="U81" s="938">
        <f t="shared" si="10"/>
        <v>0</v>
      </c>
      <c r="V81" s="942"/>
      <c r="W81" s="957"/>
      <c r="X81" s="942">
        <f t="shared" si="11"/>
        <v>0</v>
      </c>
      <c r="Y81" s="957"/>
      <c r="Z81" s="942">
        <f t="shared" si="12"/>
        <v>0</v>
      </c>
      <c r="AA81" s="971" t="s">
        <v>8</v>
      </c>
      <c r="AB81" s="967" t="s">
        <v>197</v>
      </c>
      <c r="AC81" s="398" t="s">
        <v>174</v>
      </c>
    </row>
    <row r="82" spans="1:30">
      <c r="A82" s="726" t="s">
        <v>199</v>
      </c>
      <c r="B82" s="891"/>
      <c r="C82" s="891"/>
      <c r="D82" s="902"/>
      <c r="E82" s="904"/>
      <c r="F82" s="904"/>
      <c r="G82" s="904"/>
      <c r="H82" s="904"/>
      <c r="I82" s="904"/>
      <c r="J82" s="904"/>
      <c r="K82" s="904"/>
      <c r="L82" s="912"/>
      <c r="M82" s="912"/>
      <c r="N82" s="912"/>
      <c r="O82" s="912"/>
      <c r="P82" s="912"/>
      <c r="Q82" s="912"/>
      <c r="R82" s="941"/>
      <c r="S82" s="941"/>
      <c r="T82" s="938"/>
      <c r="U82" s="975">
        <f t="shared" si="10"/>
        <v>0</v>
      </c>
      <c r="V82" s="976"/>
      <c r="W82" s="977"/>
      <c r="X82" s="976">
        <f t="shared" si="11"/>
        <v>0</v>
      </c>
      <c r="Y82" s="977"/>
      <c r="Z82" s="976">
        <f t="shared" si="12"/>
        <v>0</v>
      </c>
      <c r="AA82" s="399">
        <f>'BIG CHAIR'!CL77</f>
        <v>14560</v>
      </c>
      <c r="AB82" s="400">
        <f>'Jordan Chair'!AH53</f>
        <v>0</v>
      </c>
      <c r="AC82" s="401">
        <f>X83+AA82+AB82</f>
        <v>16344</v>
      </c>
      <c r="AD82" s="870"/>
    </row>
    <row r="83" spans="1:30" s="870" customFormat="1">
      <c r="A83" s="326" t="s">
        <v>126</v>
      </c>
      <c r="B83" s="895"/>
      <c r="C83" s="895"/>
      <c r="D83" s="896"/>
      <c r="E83" s="897">
        <f>SUM(E58:E82)</f>
        <v>0</v>
      </c>
      <c r="F83" s="897">
        <f t="shared" ref="F83:S83" si="13">SUM(F58:F82)</f>
        <v>0</v>
      </c>
      <c r="G83" s="897">
        <f t="shared" si="13"/>
        <v>0</v>
      </c>
      <c r="H83" s="897">
        <f t="shared" si="13"/>
        <v>0</v>
      </c>
      <c r="I83" s="897">
        <f t="shared" si="13"/>
        <v>0</v>
      </c>
      <c r="J83" s="897">
        <f t="shared" si="13"/>
        <v>0</v>
      </c>
      <c r="K83" s="897">
        <f t="shared" si="13"/>
        <v>0</v>
      </c>
      <c r="L83" s="897">
        <f t="shared" si="13"/>
        <v>0</v>
      </c>
      <c r="M83" s="897">
        <f t="shared" si="13"/>
        <v>0</v>
      </c>
      <c r="N83" s="897">
        <f t="shared" si="13"/>
        <v>400</v>
      </c>
      <c r="O83" s="897">
        <f t="shared" si="13"/>
        <v>0</v>
      </c>
      <c r="P83" s="897">
        <f t="shared" si="13"/>
        <v>0</v>
      </c>
      <c r="Q83" s="897">
        <f t="shared" si="13"/>
        <v>0</v>
      </c>
      <c r="R83" s="897">
        <f t="shared" si="13"/>
        <v>0</v>
      </c>
      <c r="S83" s="897">
        <f t="shared" si="13"/>
        <v>1376</v>
      </c>
      <c r="T83" s="932"/>
      <c r="U83" s="933">
        <f t="shared" ref="U83:Z83" si="14">SUM(U58:U82)</f>
        <v>1776</v>
      </c>
      <c r="V83" s="934">
        <f t="shared" si="14"/>
        <v>8</v>
      </c>
      <c r="W83" s="934"/>
      <c r="X83" s="934">
        <f t="shared" si="14"/>
        <v>1784</v>
      </c>
      <c r="Y83" s="934">
        <f t="shared" si="14"/>
        <v>35</v>
      </c>
      <c r="Z83" s="973">
        <f t="shared" si="14"/>
        <v>1819</v>
      </c>
      <c r="AA83" s="403"/>
      <c r="AB83" s="403"/>
      <c r="AC83" s="403"/>
      <c r="AD83" s="1"/>
    </row>
    <row r="84" spans="1:30">
      <c r="A84" s="286" t="s">
        <v>127</v>
      </c>
      <c r="B84" s="877" t="s">
        <v>68</v>
      </c>
      <c r="C84" s="877" t="s">
        <v>69</v>
      </c>
      <c r="D84" s="878" t="s">
        <v>70</v>
      </c>
      <c r="E84" s="901"/>
      <c r="F84" s="880" t="s">
        <v>178</v>
      </c>
      <c r="G84" s="880" t="s">
        <v>101</v>
      </c>
      <c r="H84" s="879"/>
      <c r="I84" s="879" t="s">
        <v>170</v>
      </c>
      <c r="J84" s="879"/>
      <c r="K84" s="879"/>
      <c r="L84" s="880"/>
      <c r="M84" s="880"/>
      <c r="N84" s="880"/>
      <c r="O84" s="880"/>
      <c r="P84" s="880"/>
      <c r="Q84" s="880"/>
      <c r="R84" s="744"/>
      <c r="S84" s="936"/>
      <c r="T84" s="915"/>
      <c r="U84" s="952" t="s">
        <v>104</v>
      </c>
      <c r="V84" s="953" t="s">
        <v>105</v>
      </c>
      <c r="W84" s="954"/>
      <c r="X84" s="918" t="s">
        <v>106</v>
      </c>
      <c r="Y84" s="917" t="s">
        <v>107</v>
      </c>
      <c r="Z84" s="960" t="s">
        <v>108</v>
      </c>
      <c r="AA84" s="394"/>
      <c r="AB84" s="394"/>
      <c r="AC84" s="394"/>
    </row>
    <row r="85" spans="1:30">
      <c r="A85" s="726" t="s">
        <v>128</v>
      </c>
      <c r="B85" s="891"/>
      <c r="C85" s="891"/>
      <c r="D85" s="902"/>
      <c r="E85" s="903"/>
      <c r="F85" s="903"/>
      <c r="G85" s="903"/>
      <c r="H85" s="903"/>
      <c r="I85" s="903"/>
      <c r="J85" s="903"/>
      <c r="K85" s="903"/>
      <c r="L85" s="911"/>
      <c r="M85" s="911"/>
      <c r="N85" s="911"/>
      <c r="O85" s="911"/>
      <c r="P85" s="911"/>
      <c r="Q85" s="911"/>
      <c r="R85" s="937"/>
      <c r="S85" s="937"/>
      <c r="T85" s="938"/>
      <c r="U85" s="955">
        <f t="shared" ref="U85:U109" si="15">SUM(E85:S85)</f>
        <v>0</v>
      </c>
      <c r="V85" s="956"/>
      <c r="W85" s="742"/>
      <c r="X85" s="940">
        <f t="shared" ref="X85:X109" si="16">U85+V85</f>
        <v>0</v>
      </c>
      <c r="Y85" s="742"/>
      <c r="Z85" s="940">
        <f t="shared" ref="Z85:Z109" si="17">X85+Y85</f>
        <v>0</v>
      </c>
      <c r="AA85" s="394"/>
      <c r="AB85" s="394"/>
      <c r="AC85" s="394"/>
    </row>
    <row r="86" spans="1:30">
      <c r="A86" s="726" t="s">
        <v>128</v>
      </c>
      <c r="B86" s="891"/>
      <c r="C86" s="891"/>
      <c r="D86" s="902"/>
      <c r="E86" s="904"/>
      <c r="F86" s="904"/>
      <c r="G86" s="904"/>
      <c r="H86" s="904"/>
      <c r="I86" s="904"/>
      <c r="J86" s="904"/>
      <c r="K86" s="904"/>
      <c r="L86" s="912"/>
      <c r="M86" s="912"/>
      <c r="N86" s="912"/>
      <c r="O86" s="912"/>
      <c r="P86" s="912"/>
      <c r="Q86" s="912"/>
      <c r="R86" s="941"/>
      <c r="S86" s="941"/>
      <c r="T86" s="938"/>
      <c r="U86" s="938">
        <f t="shared" si="15"/>
        <v>0</v>
      </c>
      <c r="V86" s="942"/>
      <c r="W86" s="957"/>
      <c r="X86" s="942">
        <f t="shared" si="16"/>
        <v>0</v>
      </c>
      <c r="Y86" s="957"/>
      <c r="Z86" s="942">
        <f t="shared" si="17"/>
        <v>0</v>
      </c>
      <c r="AA86" s="394"/>
      <c r="AB86" s="394"/>
      <c r="AC86" s="394"/>
    </row>
    <row r="87" spans="1:30">
      <c r="A87" s="726" t="s">
        <v>128</v>
      </c>
      <c r="B87" s="891"/>
      <c r="C87" s="891"/>
      <c r="D87" s="902"/>
      <c r="E87" s="904"/>
      <c r="F87" s="904"/>
      <c r="G87" s="904"/>
      <c r="H87" s="904"/>
      <c r="I87" s="904"/>
      <c r="J87" s="904"/>
      <c r="K87" s="904"/>
      <c r="L87" s="912"/>
      <c r="M87" s="912"/>
      <c r="N87" s="912"/>
      <c r="O87" s="912"/>
      <c r="P87" s="912"/>
      <c r="Q87" s="912"/>
      <c r="R87" s="941"/>
      <c r="S87" s="941"/>
      <c r="T87" s="938"/>
      <c r="U87" s="938">
        <f t="shared" si="15"/>
        <v>0</v>
      </c>
      <c r="V87" s="942"/>
      <c r="W87" s="957"/>
      <c r="X87" s="942">
        <f t="shared" si="16"/>
        <v>0</v>
      </c>
      <c r="Y87" s="957"/>
      <c r="Z87" s="942">
        <f t="shared" si="17"/>
        <v>0</v>
      </c>
      <c r="AA87" s="394"/>
      <c r="AB87" s="394"/>
      <c r="AC87" s="394"/>
    </row>
    <row r="88" spans="1:30">
      <c r="A88" s="726" t="s">
        <v>128</v>
      </c>
      <c r="B88" s="891"/>
      <c r="C88" s="891"/>
      <c r="D88" s="902"/>
      <c r="E88" s="904"/>
      <c r="F88" s="904"/>
      <c r="G88" s="904"/>
      <c r="H88" s="904"/>
      <c r="I88" s="904"/>
      <c r="J88" s="904"/>
      <c r="K88" s="904"/>
      <c r="L88" s="912"/>
      <c r="M88" s="912"/>
      <c r="N88" s="912"/>
      <c r="O88" s="912"/>
      <c r="P88" s="912"/>
      <c r="Q88" s="912"/>
      <c r="R88" s="912"/>
      <c r="S88" s="941"/>
      <c r="T88" s="938"/>
      <c r="U88" s="938">
        <f t="shared" si="15"/>
        <v>0</v>
      </c>
      <c r="V88" s="942"/>
      <c r="W88" s="957"/>
      <c r="X88" s="942">
        <f t="shared" si="16"/>
        <v>0</v>
      </c>
      <c r="Y88" s="957"/>
      <c r="Z88" s="942">
        <f t="shared" si="17"/>
        <v>0</v>
      </c>
      <c r="AA88" s="394"/>
      <c r="AB88" s="394"/>
      <c r="AC88" s="394"/>
    </row>
    <row r="89" spans="1:30">
      <c r="A89" s="726" t="s">
        <v>128</v>
      </c>
      <c r="B89" s="891"/>
      <c r="C89" s="891"/>
      <c r="D89" s="902"/>
      <c r="E89" s="904"/>
      <c r="F89" s="904"/>
      <c r="G89" s="904"/>
      <c r="H89" s="904"/>
      <c r="I89" s="904"/>
      <c r="J89" s="904"/>
      <c r="K89" s="904"/>
      <c r="L89" s="912"/>
      <c r="M89" s="912"/>
      <c r="N89" s="912"/>
      <c r="O89" s="912"/>
      <c r="P89" s="974"/>
      <c r="Q89" s="912"/>
      <c r="R89" s="941"/>
      <c r="S89" s="941"/>
      <c r="T89" s="938"/>
      <c r="U89" s="938">
        <f t="shared" si="15"/>
        <v>0</v>
      </c>
      <c r="V89" s="942"/>
      <c r="W89" s="957"/>
      <c r="X89" s="942">
        <f t="shared" si="16"/>
        <v>0</v>
      </c>
      <c r="Y89" s="957"/>
      <c r="Z89" s="942">
        <f t="shared" si="17"/>
        <v>0</v>
      </c>
      <c r="AA89" s="394"/>
      <c r="AB89" s="394"/>
      <c r="AC89" s="394"/>
    </row>
    <row r="90" spans="1:30">
      <c r="A90" s="726" t="s">
        <v>128</v>
      </c>
      <c r="B90" s="891"/>
      <c r="C90" s="891"/>
      <c r="D90" s="902"/>
      <c r="E90" s="904"/>
      <c r="F90" s="904"/>
      <c r="G90" s="904"/>
      <c r="H90" s="904"/>
      <c r="I90" s="904"/>
      <c r="J90" s="904"/>
      <c r="K90" s="904"/>
      <c r="L90" s="912"/>
      <c r="M90" s="912"/>
      <c r="N90" s="912"/>
      <c r="O90" s="912"/>
      <c r="P90" s="912"/>
      <c r="Q90" s="912"/>
      <c r="R90" s="941"/>
      <c r="S90" s="941"/>
      <c r="T90" s="938"/>
      <c r="U90" s="938">
        <f t="shared" si="15"/>
        <v>0</v>
      </c>
      <c r="V90" s="942"/>
      <c r="W90" s="957"/>
      <c r="X90" s="942">
        <f t="shared" si="16"/>
        <v>0</v>
      </c>
      <c r="Y90" s="957"/>
      <c r="Z90" s="942">
        <f t="shared" si="17"/>
        <v>0</v>
      </c>
      <c r="AA90" s="394"/>
      <c r="AB90" s="394"/>
      <c r="AC90" s="394"/>
    </row>
    <row r="91" spans="1:30">
      <c r="A91" s="726" t="s">
        <v>128</v>
      </c>
      <c r="B91" s="891"/>
      <c r="C91" s="891"/>
      <c r="D91" s="902"/>
      <c r="E91" s="904"/>
      <c r="F91" s="904"/>
      <c r="G91" s="904"/>
      <c r="H91" s="904"/>
      <c r="I91" s="904"/>
      <c r="J91" s="904"/>
      <c r="K91" s="904"/>
      <c r="L91" s="912"/>
      <c r="M91" s="912"/>
      <c r="N91" s="912"/>
      <c r="O91" s="912"/>
      <c r="P91" s="912"/>
      <c r="Q91" s="912"/>
      <c r="R91" s="941"/>
      <c r="S91" s="941"/>
      <c r="T91" s="938"/>
      <c r="U91" s="938">
        <f t="shared" si="15"/>
        <v>0</v>
      </c>
      <c r="V91" s="942"/>
      <c r="W91" s="957"/>
      <c r="X91" s="942">
        <f t="shared" si="16"/>
        <v>0</v>
      </c>
      <c r="Y91" s="957"/>
      <c r="Z91" s="942">
        <f t="shared" si="17"/>
        <v>0</v>
      </c>
      <c r="AA91" s="394"/>
      <c r="AB91" s="394"/>
      <c r="AC91" s="394"/>
    </row>
    <row r="92" spans="1:30">
      <c r="A92" s="726" t="s">
        <v>128</v>
      </c>
      <c r="B92" s="891"/>
      <c r="C92" s="891"/>
      <c r="D92" s="902"/>
      <c r="E92" s="904"/>
      <c r="F92" s="904"/>
      <c r="G92" s="904"/>
      <c r="H92" s="904"/>
      <c r="I92" s="904"/>
      <c r="J92" s="904"/>
      <c r="K92" s="904"/>
      <c r="L92" s="912"/>
      <c r="M92" s="912"/>
      <c r="N92" s="912"/>
      <c r="O92" s="912"/>
      <c r="P92" s="912"/>
      <c r="Q92" s="912"/>
      <c r="R92" s="941"/>
      <c r="S92" s="941"/>
      <c r="T92" s="938"/>
      <c r="U92" s="938">
        <f t="shared" si="15"/>
        <v>0</v>
      </c>
      <c r="V92" s="942"/>
      <c r="W92" s="957"/>
      <c r="X92" s="942">
        <f t="shared" si="16"/>
        <v>0</v>
      </c>
      <c r="Y92" s="957"/>
      <c r="Z92" s="942">
        <f t="shared" si="17"/>
        <v>0</v>
      </c>
      <c r="AA92" s="394"/>
      <c r="AB92" s="394"/>
      <c r="AC92" s="394"/>
    </row>
    <row r="93" spans="1:30">
      <c r="A93" s="726" t="s">
        <v>128</v>
      </c>
      <c r="B93" s="891"/>
      <c r="C93" s="891"/>
      <c r="D93" s="902"/>
      <c r="E93" s="904"/>
      <c r="F93" s="904"/>
      <c r="G93" s="904"/>
      <c r="H93" s="904"/>
      <c r="I93" s="904"/>
      <c r="J93" s="904"/>
      <c r="K93" s="904"/>
      <c r="L93" s="912"/>
      <c r="M93" s="912"/>
      <c r="N93" s="912"/>
      <c r="O93" s="912"/>
      <c r="P93" s="912"/>
      <c r="Q93" s="912"/>
      <c r="R93" s="941"/>
      <c r="S93" s="941"/>
      <c r="T93" s="938"/>
      <c r="U93" s="938">
        <f t="shared" si="15"/>
        <v>0</v>
      </c>
      <c r="V93" s="942"/>
      <c r="W93" s="957"/>
      <c r="X93" s="942">
        <f t="shared" si="16"/>
        <v>0</v>
      </c>
      <c r="Y93" s="957"/>
      <c r="Z93" s="942">
        <f t="shared" si="17"/>
        <v>0</v>
      </c>
      <c r="AA93" s="394"/>
      <c r="AB93" s="394"/>
      <c r="AC93" s="394"/>
    </row>
    <row r="94" spans="1:30">
      <c r="A94" s="726" t="s">
        <v>128</v>
      </c>
      <c r="B94" s="891"/>
      <c r="C94" s="891"/>
      <c r="D94" s="902"/>
      <c r="E94" s="904"/>
      <c r="F94" s="904"/>
      <c r="G94" s="904"/>
      <c r="H94" s="904"/>
      <c r="I94" s="904"/>
      <c r="J94" s="904"/>
      <c r="K94" s="904"/>
      <c r="L94" s="912"/>
      <c r="M94" s="912"/>
      <c r="N94" s="912"/>
      <c r="O94" s="912"/>
      <c r="P94" s="912"/>
      <c r="Q94" s="912"/>
      <c r="R94" s="941"/>
      <c r="S94" s="941"/>
      <c r="T94" s="938"/>
      <c r="U94" s="938">
        <f t="shared" si="15"/>
        <v>0</v>
      </c>
      <c r="V94" s="942"/>
      <c r="W94" s="957"/>
      <c r="X94" s="942">
        <f t="shared" si="16"/>
        <v>0</v>
      </c>
      <c r="Y94" s="957"/>
      <c r="Z94" s="942">
        <f t="shared" si="17"/>
        <v>0</v>
      </c>
      <c r="AA94" s="394"/>
      <c r="AB94" s="394"/>
      <c r="AC94" s="394"/>
    </row>
    <row r="95" spans="1:30">
      <c r="A95" s="726" t="s">
        <v>128</v>
      </c>
      <c r="B95" s="891"/>
      <c r="C95" s="891"/>
      <c r="D95" s="902"/>
      <c r="E95" s="904"/>
      <c r="F95" s="904"/>
      <c r="G95" s="904"/>
      <c r="H95" s="904"/>
      <c r="I95" s="904"/>
      <c r="J95" s="904"/>
      <c r="K95" s="904"/>
      <c r="L95" s="912"/>
      <c r="M95" s="912"/>
      <c r="N95" s="912"/>
      <c r="O95" s="912"/>
      <c r="P95" s="912"/>
      <c r="Q95" s="912"/>
      <c r="R95" s="941"/>
      <c r="S95" s="941"/>
      <c r="T95" s="938"/>
      <c r="U95" s="938">
        <f t="shared" si="15"/>
        <v>0</v>
      </c>
      <c r="V95" s="942"/>
      <c r="W95" s="957"/>
      <c r="X95" s="942">
        <f t="shared" si="16"/>
        <v>0</v>
      </c>
      <c r="Y95" s="957"/>
      <c r="Z95" s="942">
        <f t="shared" si="17"/>
        <v>0</v>
      </c>
      <c r="AA95" s="394"/>
      <c r="AB95" s="394"/>
      <c r="AC95" s="394"/>
    </row>
    <row r="96" spans="1:30">
      <c r="A96" s="726" t="s">
        <v>128</v>
      </c>
      <c r="B96" s="891"/>
      <c r="C96" s="891"/>
      <c r="D96" s="902"/>
      <c r="E96" s="904"/>
      <c r="F96" s="904"/>
      <c r="G96" s="904"/>
      <c r="H96" s="904"/>
      <c r="I96" s="904"/>
      <c r="J96" s="904"/>
      <c r="K96" s="904"/>
      <c r="L96" s="912"/>
      <c r="M96" s="912"/>
      <c r="N96" s="912"/>
      <c r="O96" s="912"/>
      <c r="P96" s="912"/>
      <c r="Q96" s="912"/>
      <c r="R96" s="941"/>
      <c r="S96" s="941"/>
      <c r="T96" s="938"/>
      <c r="U96" s="938">
        <f t="shared" si="15"/>
        <v>0</v>
      </c>
      <c r="V96" s="942"/>
      <c r="W96" s="957"/>
      <c r="X96" s="942">
        <f t="shared" si="16"/>
        <v>0</v>
      </c>
      <c r="Y96" s="957"/>
      <c r="Z96" s="942">
        <f t="shared" si="17"/>
        <v>0</v>
      </c>
      <c r="AA96" s="394"/>
      <c r="AB96" s="394"/>
      <c r="AC96" s="394"/>
    </row>
    <row r="97" spans="1:30">
      <c r="A97" s="726" t="s">
        <v>128</v>
      </c>
      <c r="B97" s="891"/>
      <c r="C97" s="891"/>
      <c r="D97" s="902"/>
      <c r="E97" s="904"/>
      <c r="F97" s="904"/>
      <c r="G97" s="904"/>
      <c r="H97" s="904"/>
      <c r="I97" s="904"/>
      <c r="J97" s="904"/>
      <c r="K97" s="904"/>
      <c r="L97" s="912"/>
      <c r="M97" s="912"/>
      <c r="N97" s="912"/>
      <c r="O97" s="912"/>
      <c r="P97" s="912"/>
      <c r="Q97" s="912"/>
      <c r="R97" s="941"/>
      <c r="S97" s="941"/>
      <c r="T97" s="938"/>
      <c r="U97" s="938">
        <f t="shared" si="15"/>
        <v>0</v>
      </c>
      <c r="V97" s="942"/>
      <c r="W97" s="957"/>
      <c r="X97" s="942">
        <f t="shared" si="16"/>
        <v>0</v>
      </c>
      <c r="Y97" s="957"/>
      <c r="Z97" s="942">
        <f t="shared" si="17"/>
        <v>0</v>
      </c>
      <c r="AA97" s="394"/>
      <c r="AB97" s="394"/>
      <c r="AC97" s="394"/>
    </row>
    <row r="98" spans="1:30">
      <c r="A98" s="726" t="s">
        <v>128</v>
      </c>
      <c r="B98" s="891"/>
      <c r="C98" s="891"/>
      <c r="D98" s="902"/>
      <c r="E98" s="904"/>
      <c r="F98" s="904"/>
      <c r="G98" s="904"/>
      <c r="H98" s="904"/>
      <c r="I98" s="904"/>
      <c r="J98" s="904"/>
      <c r="K98" s="904"/>
      <c r="L98" s="912"/>
      <c r="M98" s="912"/>
      <c r="N98" s="912"/>
      <c r="O98" s="912"/>
      <c r="P98" s="912"/>
      <c r="Q98" s="912"/>
      <c r="R98" s="941"/>
      <c r="S98" s="941"/>
      <c r="T98" s="938"/>
      <c r="U98" s="938">
        <f t="shared" si="15"/>
        <v>0</v>
      </c>
      <c r="V98" s="942"/>
      <c r="W98" s="957"/>
      <c r="X98" s="942">
        <f t="shared" si="16"/>
        <v>0</v>
      </c>
      <c r="Y98" s="957"/>
      <c r="Z98" s="942">
        <f t="shared" si="17"/>
        <v>0</v>
      </c>
      <c r="AA98" s="394"/>
      <c r="AB98" s="394"/>
      <c r="AC98" s="394"/>
    </row>
    <row r="99" spans="1:30">
      <c r="A99" s="726" t="s">
        <v>128</v>
      </c>
      <c r="B99" s="891"/>
      <c r="C99" s="891"/>
      <c r="D99" s="902"/>
      <c r="E99" s="904"/>
      <c r="F99" s="904"/>
      <c r="G99" s="904"/>
      <c r="H99" s="904"/>
      <c r="I99" s="904"/>
      <c r="J99" s="904"/>
      <c r="K99" s="904"/>
      <c r="L99" s="912"/>
      <c r="M99" s="912"/>
      <c r="N99" s="912"/>
      <c r="O99" s="912"/>
      <c r="P99" s="912"/>
      <c r="Q99" s="912"/>
      <c r="R99" s="941"/>
      <c r="S99" s="941"/>
      <c r="T99" s="938"/>
      <c r="U99" s="938">
        <f t="shared" si="15"/>
        <v>0</v>
      </c>
      <c r="V99" s="942"/>
      <c r="W99" s="957"/>
      <c r="X99" s="942">
        <f t="shared" si="16"/>
        <v>0</v>
      </c>
      <c r="Y99" s="957"/>
      <c r="Z99" s="942">
        <f t="shared" si="17"/>
        <v>0</v>
      </c>
      <c r="AA99" s="394"/>
      <c r="AB99" s="394"/>
      <c r="AC99" s="394"/>
    </row>
    <row r="100" spans="1:30">
      <c r="A100" s="726" t="s">
        <v>128</v>
      </c>
      <c r="B100" s="891"/>
      <c r="C100" s="891"/>
      <c r="D100" s="902"/>
      <c r="E100" s="904"/>
      <c r="F100" s="904"/>
      <c r="G100" s="904"/>
      <c r="H100" s="904"/>
      <c r="I100" s="904"/>
      <c r="J100" s="904"/>
      <c r="K100" s="904"/>
      <c r="L100" s="912"/>
      <c r="M100" s="912"/>
      <c r="N100" s="912"/>
      <c r="O100" s="912"/>
      <c r="P100" s="912"/>
      <c r="Q100" s="912"/>
      <c r="R100" s="941"/>
      <c r="S100" s="941"/>
      <c r="T100" s="938"/>
      <c r="U100" s="938">
        <f t="shared" si="15"/>
        <v>0</v>
      </c>
      <c r="V100" s="942"/>
      <c r="W100" s="957"/>
      <c r="X100" s="942">
        <f t="shared" si="16"/>
        <v>0</v>
      </c>
      <c r="Y100" s="957"/>
      <c r="Z100" s="942">
        <f t="shared" si="17"/>
        <v>0</v>
      </c>
      <c r="AA100" s="394"/>
      <c r="AB100" s="394"/>
      <c r="AC100" s="394"/>
    </row>
    <row r="101" spans="1:30">
      <c r="A101" s="726" t="s">
        <v>128</v>
      </c>
      <c r="B101" s="891"/>
      <c r="C101" s="891"/>
      <c r="D101" s="902"/>
      <c r="E101" s="904"/>
      <c r="F101" s="904"/>
      <c r="G101" s="904"/>
      <c r="H101" s="904"/>
      <c r="I101" s="904"/>
      <c r="J101" s="904"/>
      <c r="K101" s="904"/>
      <c r="L101" s="912"/>
      <c r="M101" s="912"/>
      <c r="N101" s="912"/>
      <c r="O101" s="912"/>
      <c r="P101" s="912"/>
      <c r="Q101" s="912"/>
      <c r="R101" s="941"/>
      <c r="S101" s="941"/>
      <c r="T101" s="938"/>
      <c r="U101" s="938">
        <f t="shared" si="15"/>
        <v>0</v>
      </c>
      <c r="V101" s="942"/>
      <c r="W101" s="957"/>
      <c r="X101" s="942">
        <f t="shared" si="16"/>
        <v>0</v>
      </c>
      <c r="Y101" s="957"/>
      <c r="Z101" s="942">
        <f t="shared" si="17"/>
        <v>0</v>
      </c>
      <c r="AA101" s="394"/>
      <c r="AB101" s="394"/>
      <c r="AC101" s="394"/>
    </row>
    <row r="102" spans="1:30">
      <c r="A102" s="726" t="s">
        <v>128</v>
      </c>
      <c r="B102" s="891"/>
      <c r="C102" s="891"/>
      <c r="D102" s="902"/>
      <c r="E102" s="904"/>
      <c r="F102" s="904"/>
      <c r="G102" s="904"/>
      <c r="H102" s="904"/>
      <c r="I102" s="904"/>
      <c r="J102" s="904"/>
      <c r="K102" s="904"/>
      <c r="L102" s="912"/>
      <c r="M102" s="912"/>
      <c r="N102" s="912"/>
      <c r="O102" s="912"/>
      <c r="P102" s="912"/>
      <c r="Q102" s="912"/>
      <c r="R102" s="941"/>
      <c r="S102" s="941"/>
      <c r="T102" s="938"/>
      <c r="U102" s="938">
        <f t="shared" si="15"/>
        <v>0</v>
      </c>
      <c r="V102" s="942"/>
      <c r="W102" s="957"/>
      <c r="X102" s="942">
        <f t="shared" si="16"/>
        <v>0</v>
      </c>
      <c r="Y102" s="957"/>
      <c r="Z102" s="942">
        <f t="shared" si="17"/>
        <v>0</v>
      </c>
      <c r="AA102" s="394"/>
      <c r="AB102" s="394"/>
      <c r="AC102" s="394"/>
    </row>
    <row r="103" spans="1:30">
      <c r="A103" s="726" t="s">
        <v>128</v>
      </c>
      <c r="B103" s="891"/>
      <c r="C103" s="891"/>
      <c r="D103" s="902"/>
      <c r="E103" s="904"/>
      <c r="F103" s="904"/>
      <c r="G103" s="904"/>
      <c r="H103" s="904"/>
      <c r="I103" s="904"/>
      <c r="J103" s="904"/>
      <c r="K103" s="904"/>
      <c r="L103" s="912"/>
      <c r="M103" s="912"/>
      <c r="N103" s="912"/>
      <c r="O103" s="912"/>
      <c r="P103" s="912"/>
      <c r="Q103" s="912"/>
      <c r="R103" s="941"/>
      <c r="S103" s="941"/>
      <c r="T103" s="938"/>
      <c r="U103" s="938">
        <f t="shared" si="15"/>
        <v>0</v>
      </c>
      <c r="V103" s="942"/>
      <c r="W103" s="957"/>
      <c r="X103" s="942">
        <f t="shared" si="16"/>
        <v>0</v>
      </c>
      <c r="Y103" s="957"/>
      <c r="Z103" s="942">
        <f t="shared" si="17"/>
        <v>0</v>
      </c>
      <c r="AA103" s="394"/>
      <c r="AB103" s="394"/>
      <c r="AC103" s="394"/>
    </row>
    <row r="104" spans="1:30">
      <c r="A104" s="726" t="s">
        <v>128</v>
      </c>
      <c r="B104" s="891"/>
      <c r="C104" s="891"/>
      <c r="D104" s="902"/>
      <c r="E104" s="904"/>
      <c r="F104" s="904"/>
      <c r="G104" s="904"/>
      <c r="H104" s="904"/>
      <c r="I104" s="904"/>
      <c r="J104" s="904"/>
      <c r="K104" s="904"/>
      <c r="L104" s="912"/>
      <c r="M104" s="912"/>
      <c r="N104" s="912"/>
      <c r="O104" s="912"/>
      <c r="P104" s="912"/>
      <c r="Q104" s="912"/>
      <c r="R104" s="941"/>
      <c r="S104" s="941"/>
      <c r="T104" s="938"/>
      <c r="U104" s="938">
        <f t="shared" si="15"/>
        <v>0</v>
      </c>
      <c r="V104" s="942"/>
      <c r="W104" s="957"/>
      <c r="X104" s="942">
        <f t="shared" si="16"/>
        <v>0</v>
      </c>
      <c r="Y104" s="957"/>
      <c r="Z104" s="942">
        <f t="shared" si="17"/>
        <v>0</v>
      </c>
      <c r="AA104" s="394"/>
      <c r="AB104" s="394"/>
      <c r="AC104" s="394"/>
    </row>
    <row r="105" spans="1:30">
      <c r="A105" s="726" t="s">
        <v>128</v>
      </c>
      <c r="B105" s="891"/>
      <c r="C105" s="891"/>
      <c r="D105" s="902"/>
      <c r="E105" s="904"/>
      <c r="F105" s="904"/>
      <c r="G105" s="904"/>
      <c r="H105" s="904"/>
      <c r="I105" s="904"/>
      <c r="J105" s="904"/>
      <c r="K105" s="904"/>
      <c r="L105" s="912"/>
      <c r="M105" s="912"/>
      <c r="N105" s="912"/>
      <c r="O105" s="912"/>
      <c r="P105" s="912"/>
      <c r="Q105" s="912"/>
      <c r="R105" s="941"/>
      <c r="S105" s="941"/>
      <c r="T105" s="938"/>
      <c r="U105" s="938">
        <f t="shared" si="15"/>
        <v>0</v>
      </c>
      <c r="V105" s="942"/>
      <c r="W105" s="957"/>
      <c r="X105" s="942">
        <f t="shared" si="16"/>
        <v>0</v>
      </c>
      <c r="Y105" s="957"/>
      <c r="Z105" s="942">
        <f t="shared" si="17"/>
        <v>0</v>
      </c>
      <c r="AA105" s="394"/>
      <c r="AB105" s="394"/>
      <c r="AC105" s="394"/>
    </row>
    <row r="106" spans="1:30">
      <c r="A106" s="726" t="s">
        <v>128</v>
      </c>
      <c r="B106" s="891"/>
      <c r="C106" s="891"/>
      <c r="D106" s="902"/>
      <c r="E106" s="904"/>
      <c r="F106" s="904"/>
      <c r="G106" s="904"/>
      <c r="H106" s="904"/>
      <c r="I106" s="904"/>
      <c r="J106" s="904"/>
      <c r="K106" s="904"/>
      <c r="L106" s="912"/>
      <c r="M106" s="912"/>
      <c r="N106" s="912"/>
      <c r="O106" s="912"/>
      <c r="P106" s="912"/>
      <c r="Q106" s="912"/>
      <c r="R106" s="941"/>
      <c r="S106" s="941"/>
      <c r="T106" s="938"/>
      <c r="U106" s="938">
        <f t="shared" si="15"/>
        <v>0</v>
      </c>
      <c r="V106" s="942"/>
      <c r="W106" s="957"/>
      <c r="X106" s="942">
        <f t="shared" si="16"/>
        <v>0</v>
      </c>
      <c r="Y106" s="957"/>
      <c r="Z106" s="942">
        <f t="shared" si="17"/>
        <v>0</v>
      </c>
      <c r="AA106" s="394"/>
      <c r="AB106" s="394"/>
      <c r="AC106" s="394"/>
    </row>
    <row r="107" spans="1:30">
      <c r="A107" s="726" t="s">
        <v>128</v>
      </c>
      <c r="B107" s="891"/>
      <c r="C107" s="891"/>
      <c r="D107" s="902"/>
      <c r="E107" s="904"/>
      <c r="F107" s="904"/>
      <c r="G107" s="904"/>
      <c r="H107" s="904"/>
      <c r="I107" s="904"/>
      <c r="J107" s="904"/>
      <c r="K107" s="904"/>
      <c r="L107" s="912"/>
      <c r="M107" s="912"/>
      <c r="N107" s="912"/>
      <c r="O107" s="912"/>
      <c r="P107" s="912"/>
      <c r="Q107" s="912"/>
      <c r="R107" s="941"/>
      <c r="S107" s="941"/>
      <c r="T107" s="938"/>
      <c r="U107" s="938">
        <f t="shared" si="15"/>
        <v>0</v>
      </c>
      <c r="V107" s="942"/>
      <c r="W107" s="957"/>
      <c r="X107" s="942">
        <f t="shared" si="16"/>
        <v>0</v>
      </c>
      <c r="Y107" s="957"/>
      <c r="Z107" s="942">
        <f t="shared" si="17"/>
        <v>0</v>
      </c>
      <c r="AA107" s="394"/>
      <c r="AB107" s="394"/>
      <c r="AC107" s="394"/>
    </row>
    <row r="108" spans="1:30">
      <c r="A108" s="726" t="s">
        <v>128</v>
      </c>
      <c r="B108" s="891"/>
      <c r="C108" s="891"/>
      <c r="D108" s="902"/>
      <c r="E108" s="904"/>
      <c r="F108" s="904"/>
      <c r="G108" s="904"/>
      <c r="H108" s="904"/>
      <c r="I108" s="904"/>
      <c r="J108" s="904"/>
      <c r="K108" s="904"/>
      <c r="L108" s="912"/>
      <c r="M108" s="912"/>
      <c r="N108" s="912"/>
      <c r="O108" s="912"/>
      <c r="P108" s="912"/>
      <c r="Q108" s="912"/>
      <c r="R108" s="941"/>
      <c r="S108" s="941"/>
      <c r="T108" s="938"/>
      <c r="U108" s="938">
        <f t="shared" si="15"/>
        <v>0</v>
      </c>
      <c r="V108" s="942"/>
      <c r="W108" s="957"/>
      <c r="X108" s="942">
        <f t="shared" si="16"/>
        <v>0</v>
      </c>
      <c r="Y108" s="957"/>
      <c r="Z108" s="942">
        <f t="shared" si="17"/>
        <v>0</v>
      </c>
      <c r="AA108" s="971" t="s">
        <v>8</v>
      </c>
      <c r="AB108" s="967" t="s">
        <v>197</v>
      </c>
      <c r="AC108" s="398" t="s">
        <v>174</v>
      </c>
    </row>
    <row r="109" spans="1:30">
      <c r="A109" s="726" t="s">
        <v>128</v>
      </c>
      <c r="B109" s="891"/>
      <c r="C109" s="891"/>
      <c r="D109" s="902"/>
      <c r="E109" s="904"/>
      <c r="F109" s="904"/>
      <c r="G109" s="904"/>
      <c r="H109" s="904"/>
      <c r="I109" s="904"/>
      <c r="J109" s="904"/>
      <c r="K109" s="904"/>
      <c r="L109" s="912"/>
      <c r="M109" s="912"/>
      <c r="N109" s="912"/>
      <c r="O109" s="912"/>
      <c r="P109" s="912"/>
      <c r="Q109" s="912"/>
      <c r="R109" s="941"/>
      <c r="S109" s="941"/>
      <c r="T109" s="938"/>
      <c r="U109" s="975">
        <f t="shared" si="15"/>
        <v>0</v>
      </c>
      <c r="V109" s="976"/>
      <c r="W109" s="977"/>
      <c r="X109" s="976">
        <f t="shared" si="16"/>
        <v>0</v>
      </c>
      <c r="Y109" s="977"/>
      <c r="Z109" s="976">
        <f t="shared" si="17"/>
        <v>0</v>
      </c>
      <c r="AA109" s="399">
        <f>'BIG CHAIR'!CL104</f>
        <v>0</v>
      </c>
      <c r="AB109" s="400">
        <f>'Jordan Chair'!AH145</f>
        <v>0</v>
      </c>
      <c r="AC109" s="401">
        <f>X110+AA109+AB109</f>
        <v>0</v>
      </c>
    </row>
    <row r="110" spans="1:30">
      <c r="A110" s="326" t="s">
        <v>129</v>
      </c>
      <c r="B110" s="895"/>
      <c r="C110" s="895"/>
      <c r="D110" s="896"/>
      <c r="E110" s="897">
        <f t="shared" ref="E110:S110" si="18">SUM(E85:E109)</f>
        <v>0</v>
      </c>
      <c r="F110" s="897">
        <f t="shared" si="18"/>
        <v>0</v>
      </c>
      <c r="G110" s="897">
        <f t="shared" si="18"/>
        <v>0</v>
      </c>
      <c r="H110" s="897">
        <f t="shared" si="18"/>
        <v>0</v>
      </c>
      <c r="I110" s="897">
        <f t="shared" si="18"/>
        <v>0</v>
      </c>
      <c r="J110" s="897">
        <f t="shared" si="18"/>
        <v>0</v>
      </c>
      <c r="K110" s="897">
        <f t="shared" si="18"/>
        <v>0</v>
      </c>
      <c r="L110" s="897">
        <f t="shared" si="18"/>
        <v>0</v>
      </c>
      <c r="M110" s="897">
        <f t="shared" si="18"/>
        <v>0</v>
      </c>
      <c r="N110" s="897">
        <f t="shared" si="18"/>
        <v>0</v>
      </c>
      <c r="O110" s="897">
        <f t="shared" si="18"/>
        <v>0</v>
      </c>
      <c r="P110" s="897">
        <f t="shared" si="18"/>
        <v>0</v>
      </c>
      <c r="Q110" s="897">
        <f t="shared" si="18"/>
        <v>0</v>
      </c>
      <c r="R110" s="897">
        <f t="shared" si="18"/>
        <v>0</v>
      </c>
      <c r="S110" s="897">
        <f t="shared" si="18"/>
        <v>0</v>
      </c>
      <c r="T110" s="932"/>
      <c r="U110" s="933">
        <f t="shared" ref="U110:Z110" si="19">SUM(U85:U109)</f>
        <v>0</v>
      </c>
      <c r="V110" s="933">
        <f t="shared" si="19"/>
        <v>0</v>
      </c>
      <c r="W110" s="934"/>
      <c r="X110" s="934">
        <f t="shared" si="19"/>
        <v>0</v>
      </c>
      <c r="Y110" s="934">
        <f t="shared" si="19"/>
        <v>0</v>
      </c>
      <c r="Z110" s="973">
        <f t="shared" si="19"/>
        <v>0</v>
      </c>
      <c r="AA110" s="403"/>
      <c r="AB110" s="403"/>
      <c r="AC110" s="403"/>
      <c r="AD110" s="870"/>
    </row>
    <row r="111" spans="1:30" s="870" customFormat="1">
      <c r="A111" s="286" t="s">
        <v>130</v>
      </c>
      <c r="B111" s="877" t="s">
        <v>68</v>
      </c>
      <c r="C111" s="877" t="s">
        <v>69</v>
      </c>
      <c r="D111" s="878" t="s">
        <v>70</v>
      </c>
      <c r="E111" s="879" t="s">
        <v>71</v>
      </c>
      <c r="F111" s="880" t="s">
        <v>178</v>
      </c>
      <c r="G111" s="880" t="s">
        <v>101</v>
      </c>
      <c r="H111" s="879" t="s">
        <v>193</v>
      </c>
      <c r="I111" s="879" t="s">
        <v>170</v>
      </c>
      <c r="J111" s="879" t="s">
        <v>92</v>
      </c>
      <c r="K111" s="879" t="s">
        <v>194</v>
      </c>
      <c r="L111" s="880" t="s">
        <v>195</v>
      </c>
      <c r="M111" s="880" t="s">
        <v>196</v>
      </c>
      <c r="N111" s="880" t="s">
        <v>94</v>
      </c>
      <c r="O111" s="880" t="s">
        <v>86</v>
      </c>
      <c r="P111" s="880" t="s">
        <v>75</v>
      </c>
      <c r="Q111" s="880" t="s">
        <v>95</v>
      </c>
      <c r="R111" s="782" t="s">
        <v>77</v>
      </c>
      <c r="S111" s="914" t="s">
        <v>53</v>
      </c>
      <c r="T111" s="915"/>
      <c r="U111" s="952" t="s">
        <v>104</v>
      </c>
      <c r="V111" s="953" t="s">
        <v>105</v>
      </c>
      <c r="W111" s="954"/>
      <c r="X111" s="918" t="s">
        <v>106</v>
      </c>
      <c r="Y111" s="917" t="s">
        <v>107</v>
      </c>
      <c r="Z111" s="960" t="s">
        <v>108</v>
      </c>
      <c r="AA111" s="394"/>
      <c r="AB111" s="394"/>
      <c r="AC111" s="394"/>
      <c r="AD111" s="282"/>
    </row>
    <row r="112" spans="1:30" s="282" customFormat="1" ht="18.75" customHeight="1">
      <c r="A112" s="726" t="s">
        <v>131</v>
      </c>
      <c r="B112" s="891"/>
      <c r="C112" s="891"/>
      <c r="D112" s="902"/>
      <c r="E112" s="903"/>
      <c r="F112" s="903"/>
      <c r="G112" s="903"/>
      <c r="H112" s="903"/>
      <c r="I112" s="903"/>
      <c r="J112" s="903"/>
      <c r="K112" s="903"/>
      <c r="L112" s="911"/>
      <c r="M112" s="911"/>
      <c r="N112" s="911"/>
      <c r="O112" s="911"/>
      <c r="P112" s="911"/>
      <c r="Q112" s="911"/>
      <c r="R112" s="937"/>
      <c r="S112" s="937"/>
      <c r="T112" s="938"/>
      <c r="U112" s="955">
        <f t="shared" ref="U112:U136" si="20">SUM(E112:S112)</f>
        <v>0</v>
      </c>
      <c r="V112" s="956"/>
      <c r="W112" s="742"/>
      <c r="X112" s="940">
        <f t="shared" ref="X112:X136" si="21">U112+V112</f>
        <v>0</v>
      </c>
      <c r="Y112" s="742"/>
      <c r="Z112" s="940">
        <f t="shared" ref="Z112:Z136" si="22">X112+Y112</f>
        <v>0</v>
      </c>
      <c r="AA112" s="394"/>
      <c r="AB112" s="394"/>
      <c r="AC112" s="394"/>
      <c r="AD112" s="1"/>
    </row>
    <row r="113" spans="1:30">
      <c r="A113" s="726" t="s">
        <v>131</v>
      </c>
      <c r="B113" s="891"/>
      <c r="C113" s="891"/>
      <c r="D113" s="902"/>
      <c r="E113" s="904"/>
      <c r="F113" s="904"/>
      <c r="G113" s="904"/>
      <c r="H113" s="904"/>
      <c r="I113" s="904"/>
      <c r="J113" s="904"/>
      <c r="K113" s="904"/>
      <c r="L113" s="912"/>
      <c r="M113" s="912"/>
      <c r="N113" s="912"/>
      <c r="O113" s="912"/>
      <c r="P113" s="912"/>
      <c r="Q113" s="912"/>
      <c r="R113" s="941"/>
      <c r="S113" s="941"/>
      <c r="T113" s="938"/>
      <c r="U113" s="938">
        <f t="shared" si="20"/>
        <v>0</v>
      </c>
      <c r="V113" s="942"/>
      <c r="W113" s="957"/>
      <c r="X113" s="942">
        <f t="shared" si="21"/>
        <v>0</v>
      </c>
      <c r="Y113" s="957"/>
      <c r="Z113" s="942">
        <f t="shared" si="22"/>
        <v>0</v>
      </c>
      <c r="AA113" s="394"/>
      <c r="AB113" s="394"/>
      <c r="AC113" s="394"/>
    </row>
    <row r="114" spans="1:30">
      <c r="A114" s="726" t="s">
        <v>131</v>
      </c>
      <c r="B114" s="891"/>
      <c r="C114" s="891"/>
      <c r="D114" s="902"/>
      <c r="E114" s="904"/>
      <c r="F114" s="904"/>
      <c r="G114" s="904"/>
      <c r="H114" s="904"/>
      <c r="I114" s="904"/>
      <c r="J114" s="904"/>
      <c r="K114" s="904"/>
      <c r="L114" s="912"/>
      <c r="M114" s="912"/>
      <c r="N114" s="912"/>
      <c r="O114" s="912"/>
      <c r="P114" s="912"/>
      <c r="Q114" s="912"/>
      <c r="R114" s="941"/>
      <c r="S114" s="941"/>
      <c r="T114" s="938"/>
      <c r="U114" s="938">
        <f t="shared" si="20"/>
        <v>0</v>
      </c>
      <c r="V114" s="942"/>
      <c r="W114" s="957"/>
      <c r="X114" s="942">
        <f t="shared" si="21"/>
        <v>0</v>
      </c>
      <c r="Y114" s="957"/>
      <c r="Z114" s="942">
        <f t="shared" si="22"/>
        <v>0</v>
      </c>
      <c r="AA114" s="394"/>
      <c r="AB114" s="394"/>
      <c r="AC114" s="394"/>
    </row>
    <row r="115" spans="1:30">
      <c r="A115" s="726" t="s">
        <v>131</v>
      </c>
      <c r="B115" s="891"/>
      <c r="C115" s="891"/>
      <c r="D115" s="902"/>
      <c r="E115" s="904"/>
      <c r="F115" s="904"/>
      <c r="G115" s="904"/>
      <c r="H115" s="904"/>
      <c r="I115" s="904"/>
      <c r="J115" s="904"/>
      <c r="K115" s="904"/>
      <c r="L115" s="912"/>
      <c r="M115" s="912"/>
      <c r="N115" s="912"/>
      <c r="O115" s="912"/>
      <c r="P115" s="912"/>
      <c r="Q115" s="912"/>
      <c r="R115" s="912"/>
      <c r="S115" s="941"/>
      <c r="T115" s="938"/>
      <c r="U115" s="938">
        <f t="shared" si="20"/>
        <v>0</v>
      </c>
      <c r="V115" s="942"/>
      <c r="W115" s="957"/>
      <c r="X115" s="942">
        <f t="shared" si="21"/>
        <v>0</v>
      </c>
      <c r="Y115" s="957"/>
      <c r="Z115" s="942">
        <f t="shared" si="22"/>
        <v>0</v>
      </c>
      <c r="AA115" s="394"/>
      <c r="AB115" s="394"/>
      <c r="AC115" s="394"/>
    </row>
    <row r="116" spans="1:30">
      <c r="A116" s="726" t="s">
        <v>131</v>
      </c>
      <c r="B116" s="891"/>
      <c r="C116" s="891"/>
      <c r="D116" s="902"/>
      <c r="E116" s="904"/>
      <c r="F116" s="904"/>
      <c r="G116" s="904"/>
      <c r="H116" s="904"/>
      <c r="I116" s="904"/>
      <c r="J116" s="904"/>
      <c r="K116" s="904"/>
      <c r="L116" s="912"/>
      <c r="M116" s="912"/>
      <c r="N116" s="912"/>
      <c r="O116" s="912"/>
      <c r="P116" s="974"/>
      <c r="Q116" s="912"/>
      <c r="R116" s="941"/>
      <c r="S116" s="941"/>
      <c r="T116" s="938"/>
      <c r="U116" s="938">
        <f t="shared" si="20"/>
        <v>0</v>
      </c>
      <c r="V116" s="942"/>
      <c r="W116" s="957"/>
      <c r="X116" s="942">
        <f t="shared" si="21"/>
        <v>0</v>
      </c>
      <c r="Y116" s="957"/>
      <c r="Z116" s="942">
        <f t="shared" si="22"/>
        <v>0</v>
      </c>
      <c r="AA116" s="394"/>
      <c r="AB116" s="394"/>
      <c r="AC116" s="394"/>
    </row>
    <row r="117" spans="1:30">
      <c r="A117" s="726" t="s">
        <v>131</v>
      </c>
      <c r="B117" s="891"/>
      <c r="C117" s="891"/>
      <c r="D117" s="902"/>
      <c r="E117" s="904"/>
      <c r="F117" s="904"/>
      <c r="G117" s="904"/>
      <c r="H117" s="904"/>
      <c r="I117" s="904"/>
      <c r="J117" s="904"/>
      <c r="K117" s="904"/>
      <c r="L117" s="912"/>
      <c r="M117" s="912"/>
      <c r="N117" s="912"/>
      <c r="O117" s="912"/>
      <c r="P117" s="912"/>
      <c r="Q117" s="912"/>
      <c r="R117" s="941"/>
      <c r="S117" s="941"/>
      <c r="T117" s="938"/>
      <c r="U117" s="938">
        <f t="shared" si="20"/>
        <v>0</v>
      </c>
      <c r="V117" s="942"/>
      <c r="W117" s="957"/>
      <c r="X117" s="942">
        <f t="shared" si="21"/>
        <v>0</v>
      </c>
      <c r="Y117" s="957"/>
      <c r="Z117" s="942">
        <f t="shared" si="22"/>
        <v>0</v>
      </c>
      <c r="AA117" s="394"/>
      <c r="AB117" s="394"/>
      <c r="AC117" s="394"/>
      <c r="AD117" s="870"/>
    </row>
    <row r="118" spans="1:30" s="870" customFormat="1">
      <c r="A118" s="726" t="s">
        <v>131</v>
      </c>
      <c r="B118" s="891"/>
      <c r="C118" s="891"/>
      <c r="D118" s="902"/>
      <c r="E118" s="904"/>
      <c r="F118" s="904"/>
      <c r="G118" s="904"/>
      <c r="H118" s="904"/>
      <c r="I118" s="904"/>
      <c r="J118" s="904"/>
      <c r="K118" s="904"/>
      <c r="L118" s="912"/>
      <c r="M118" s="912"/>
      <c r="N118" s="912"/>
      <c r="O118" s="912"/>
      <c r="P118" s="912"/>
      <c r="Q118" s="912"/>
      <c r="R118" s="941"/>
      <c r="S118" s="941"/>
      <c r="T118" s="938"/>
      <c r="U118" s="938">
        <f t="shared" si="20"/>
        <v>0</v>
      </c>
      <c r="V118" s="942"/>
      <c r="W118" s="957"/>
      <c r="X118" s="942">
        <f t="shared" si="21"/>
        <v>0</v>
      </c>
      <c r="Y118" s="957"/>
      <c r="Z118" s="942">
        <f t="shared" si="22"/>
        <v>0</v>
      </c>
      <c r="AA118" s="394"/>
      <c r="AB118" s="394"/>
      <c r="AC118" s="394"/>
    </row>
    <row r="119" spans="1:30" s="870" customFormat="1">
      <c r="A119" s="726" t="s">
        <v>131</v>
      </c>
      <c r="B119" s="891"/>
      <c r="C119" s="891"/>
      <c r="D119" s="902"/>
      <c r="E119" s="904"/>
      <c r="F119" s="904"/>
      <c r="G119" s="904"/>
      <c r="H119" s="904"/>
      <c r="I119" s="904"/>
      <c r="J119" s="904"/>
      <c r="K119" s="904"/>
      <c r="L119" s="912"/>
      <c r="M119" s="912"/>
      <c r="N119" s="912"/>
      <c r="O119" s="912"/>
      <c r="P119" s="912"/>
      <c r="Q119" s="912"/>
      <c r="R119" s="941"/>
      <c r="S119" s="941"/>
      <c r="T119" s="938"/>
      <c r="U119" s="938">
        <f t="shared" si="20"/>
        <v>0</v>
      </c>
      <c r="V119" s="942"/>
      <c r="W119" s="957"/>
      <c r="X119" s="942">
        <f t="shared" si="21"/>
        <v>0</v>
      </c>
      <c r="Y119" s="957"/>
      <c r="Z119" s="942">
        <f t="shared" si="22"/>
        <v>0</v>
      </c>
      <c r="AA119" s="394"/>
      <c r="AB119" s="394"/>
      <c r="AC119" s="394"/>
      <c r="AD119" s="282"/>
    </row>
    <row r="120" spans="1:30" s="282" customFormat="1" ht="18.75" customHeight="1">
      <c r="A120" s="726" t="s">
        <v>131</v>
      </c>
      <c r="B120" s="891"/>
      <c r="C120" s="891"/>
      <c r="D120" s="902"/>
      <c r="E120" s="904"/>
      <c r="F120" s="904"/>
      <c r="G120" s="904"/>
      <c r="H120" s="904"/>
      <c r="I120" s="904"/>
      <c r="J120" s="904"/>
      <c r="K120" s="904"/>
      <c r="L120" s="912"/>
      <c r="M120" s="912"/>
      <c r="N120" s="912"/>
      <c r="O120" s="912"/>
      <c r="P120" s="912"/>
      <c r="Q120" s="912"/>
      <c r="R120" s="941"/>
      <c r="S120" s="941"/>
      <c r="T120" s="938"/>
      <c r="U120" s="938">
        <f t="shared" si="20"/>
        <v>0</v>
      </c>
      <c r="V120" s="942"/>
      <c r="W120" s="957"/>
      <c r="X120" s="942">
        <f t="shared" si="21"/>
        <v>0</v>
      </c>
      <c r="Y120" s="957"/>
      <c r="Z120" s="942">
        <f t="shared" si="22"/>
        <v>0</v>
      </c>
      <c r="AA120" s="394"/>
      <c r="AB120" s="394"/>
      <c r="AC120" s="394"/>
      <c r="AD120" s="1"/>
    </row>
    <row r="121" spans="1:30">
      <c r="A121" s="726" t="s">
        <v>131</v>
      </c>
      <c r="B121" s="891"/>
      <c r="C121" s="891"/>
      <c r="D121" s="902"/>
      <c r="E121" s="904"/>
      <c r="F121" s="904"/>
      <c r="G121" s="904"/>
      <c r="H121" s="904"/>
      <c r="I121" s="904"/>
      <c r="J121" s="904"/>
      <c r="K121" s="904"/>
      <c r="L121" s="912"/>
      <c r="M121" s="912"/>
      <c r="N121" s="912"/>
      <c r="O121" s="912"/>
      <c r="P121" s="912"/>
      <c r="Q121" s="912"/>
      <c r="R121" s="941"/>
      <c r="S121" s="941"/>
      <c r="T121" s="938"/>
      <c r="U121" s="938">
        <f t="shared" si="20"/>
        <v>0</v>
      </c>
      <c r="V121" s="942"/>
      <c r="W121" s="957"/>
      <c r="X121" s="942">
        <f t="shared" si="21"/>
        <v>0</v>
      </c>
      <c r="Y121" s="957"/>
      <c r="Z121" s="942">
        <f t="shared" si="22"/>
        <v>0</v>
      </c>
      <c r="AA121" s="394"/>
      <c r="AB121" s="394"/>
      <c r="AC121" s="394"/>
    </row>
    <row r="122" spans="1:30">
      <c r="A122" s="726" t="s">
        <v>131</v>
      </c>
      <c r="B122" s="891"/>
      <c r="C122" s="891"/>
      <c r="D122" s="902"/>
      <c r="E122" s="904"/>
      <c r="F122" s="904"/>
      <c r="G122" s="904"/>
      <c r="H122" s="904"/>
      <c r="I122" s="904"/>
      <c r="J122" s="904"/>
      <c r="K122" s="904"/>
      <c r="L122" s="912"/>
      <c r="M122" s="912"/>
      <c r="N122" s="912"/>
      <c r="O122" s="912"/>
      <c r="P122" s="912"/>
      <c r="Q122" s="912"/>
      <c r="R122" s="941"/>
      <c r="S122" s="941"/>
      <c r="T122" s="938"/>
      <c r="U122" s="938">
        <f t="shared" si="20"/>
        <v>0</v>
      </c>
      <c r="V122" s="942"/>
      <c r="W122" s="957"/>
      <c r="X122" s="942">
        <f t="shared" si="21"/>
        <v>0</v>
      </c>
      <c r="Y122" s="957"/>
      <c r="Z122" s="942">
        <f t="shared" si="22"/>
        <v>0</v>
      </c>
      <c r="AA122" s="394"/>
      <c r="AB122" s="394"/>
      <c r="AC122" s="394"/>
    </row>
    <row r="123" spans="1:30">
      <c r="A123" s="726" t="s">
        <v>131</v>
      </c>
      <c r="B123" s="891"/>
      <c r="C123" s="891"/>
      <c r="D123" s="902"/>
      <c r="E123" s="904"/>
      <c r="F123" s="904"/>
      <c r="G123" s="904"/>
      <c r="H123" s="904"/>
      <c r="I123" s="904"/>
      <c r="J123" s="904"/>
      <c r="K123" s="904"/>
      <c r="L123" s="912"/>
      <c r="M123" s="912"/>
      <c r="N123" s="912"/>
      <c r="O123" s="912"/>
      <c r="P123" s="912"/>
      <c r="Q123" s="912"/>
      <c r="R123" s="941"/>
      <c r="S123" s="941"/>
      <c r="T123" s="938"/>
      <c r="U123" s="938">
        <f t="shared" si="20"/>
        <v>0</v>
      </c>
      <c r="V123" s="942"/>
      <c r="W123" s="957"/>
      <c r="X123" s="942">
        <f t="shared" si="21"/>
        <v>0</v>
      </c>
      <c r="Y123" s="957"/>
      <c r="Z123" s="942">
        <f t="shared" si="22"/>
        <v>0</v>
      </c>
      <c r="AA123" s="394"/>
      <c r="AB123" s="394"/>
      <c r="AC123" s="394"/>
    </row>
    <row r="124" spans="1:30">
      <c r="A124" s="726" t="s">
        <v>131</v>
      </c>
      <c r="B124" s="891"/>
      <c r="C124" s="891"/>
      <c r="D124" s="902"/>
      <c r="E124" s="904"/>
      <c r="F124" s="904"/>
      <c r="G124" s="904"/>
      <c r="H124" s="904"/>
      <c r="I124" s="904"/>
      <c r="J124" s="904"/>
      <c r="K124" s="904"/>
      <c r="L124" s="912"/>
      <c r="M124" s="912"/>
      <c r="N124" s="912"/>
      <c r="O124" s="912"/>
      <c r="P124" s="912"/>
      <c r="Q124" s="912"/>
      <c r="R124" s="941"/>
      <c r="S124" s="941"/>
      <c r="T124" s="938"/>
      <c r="U124" s="938">
        <f t="shared" si="20"/>
        <v>0</v>
      </c>
      <c r="V124" s="942"/>
      <c r="W124" s="957"/>
      <c r="X124" s="942">
        <f t="shared" si="21"/>
        <v>0</v>
      </c>
      <c r="Y124" s="957"/>
      <c r="Z124" s="942">
        <f t="shared" si="22"/>
        <v>0</v>
      </c>
      <c r="AA124" s="394"/>
      <c r="AB124" s="394"/>
      <c r="AC124" s="394"/>
    </row>
    <row r="125" spans="1:30">
      <c r="A125" s="726" t="s">
        <v>131</v>
      </c>
      <c r="B125" s="891"/>
      <c r="C125" s="891"/>
      <c r="D125" s="902"/>
      <c r="E125" s="904"/>
      <c r="F125" s="904"/>
      <c r="G125" s="904"/>
      <c r="H125" s="904"/>
      <c r="I125" s="904"/>
      <c r="J125" s="904"/>
      <c r="K125" s="904"/>
      <c r="L125" s="912"/>
      <c r="M125" s="912"/>
      <c r="N125" s="912"/>
      <c r="O125" s="912"/>
      <c r="P125" s="912"/>
      <c r="Q125" s="912"/>
      <c r="R125" s="941"/>
      <c r="S125" s="941"/>
      <c r="T125" s="938"/>
      <c r="U125" s="938">
        <f t="shared" si="20"/>
        <v>0</v>
      </c>
      <c r="V125" s="942"/>
      <c r="W125" s="957"/>
      <c r="X125" s="942">
        <f t="shared" si="21"/>
        <v>0</v>
      </c>
      <c r="Y125" s="957"/>
      <c r="Z125" s="942">
        <f t="shared" si="22"/>
        <v>0</v>
      </c>
      <c r="AA125" s="394"/>
      <c r="AB125" s="394"/>
      <c r="AC125" s="394"/>
      <c r="AD125" s="870"/>
    </row>
    <row r="126" spans="1:30" s="870" customFormat="1">
      <c r="A126" s="726" t="s">
        <v>131</v>
      </c>
      <c r="B126" s="891"/>
      <c r="C126" s="891"/>
      <c r="D126" s="902"/>
      <c r="E126" s="904"/>
      <c r="F126" s="904"/>
      <c r="G126" s="904"/>
      <c r="H126" s="904"/>
      <c r="I126" s="904"/>
      <c r="J126" s="904"/>
      <c r="K126" s="904"/>
      <c r="L126" s="912"/>
      <c r="M126" s="912"/>
      <c r="N126" s="912"/>
      <c r="O126" s="912"/>
      <c r="P126" s="912"/>
      <c r="Q126" s="912"/>
      <c r="R126" s="941"/>
      <c r="S126" s="941"/>
      <c r="T126" s="938"/>
      <c r="U126" s="938">
        <f t="shared" si="20"/>
        <v>0</v>
      </c>
      <c r="V126" s="942"/>
      <c r="W126" s="957"/>
      <c r="X126" s="942">
        <f t="shared" si="21"/>
        <v>0</v>
      </c>
      <c r="Y126" s="957"/>
      <c r="Z126" s="942">
        <f t="shared" si="22"/>
        <v>0</v>
      </c>
      <c r="AA126" s="394"/>
      <c r="AB126" s="394"/>
      <c r="AC126" s="394"/>
    </row>
    <row r="127" spans="1:30" s="870" customFormat="1">
      <c r="A127" s="726" t="s">
        <v>131</v>
      </c>
      <c r="B127" s="891"/>
      <c r="C127" s="891"/>
      <c r="D127" s="902"/>
      <c r="E127" s="904"/>
      <c r="F127" s="904"/>
      <c r="G127" s="904"/>
      <c r="H127" s="904"/>
      <c r="I127" s="904"/>
      <c r="J127" s="904"/>
      <c r="K127" s="904"/>
      <c r="L127" s="912"/>
      <c r="M127" s="912"/>
      <c r="N127" s="912"/>
      <c r="O127" s="912"/>
      <c r="P127" s="912"/>
      <c r="Q127" s="912"/>
      <c r="R127" s="941"/>
      <c r="S127" s="941"/>
      <c r="T127" s="938"/>
      <c r="U127" s="938">
        <f t="shared" si="20"/>
        <v>0</v>
      </c>
      <c r="V127" s="942"/>
      <c r="W127" s="957"/>
      <c r="X127" s="942">
        <f t="shared" si="21"/>
        <v>0</v>
      </c>
      <c r="Y127" s="957"/>
      <c r="Z127" s="942">
        <f t="shared" si="22"/>
        <v>0</v>
      </c>
      <c r="AA127" s="394"/>
      <c r="AB127" s="394"/>
      <c r="AC127" s="394"/>
      <c r="AD127" s="282"/>
    </row>
    <row r="128" spans="1:30" s="282" customFormat="1" ht="18.75" customHeight="1">
      <c r="A128" s="726" t="s">
        <v>131</v>
      </c>
      <c r="B128" s="891"/>
      <c r="C128" s="891"/>
      <c r="D128" s="902"/>
      <c r="E128" s="904"/>
      <c r="F128" s="904"/>
      <c r="G128" s="904"/>
      <c r="H128" s="904"/>
      <c r="I128" s="904"/>
      <c r="J128" s="904"/>
      <c r="K128" s="904"/>
      <c r="L128" s="912"/>
      <c r="M128" s="912"/>
      <c r="N128" s="912"/>
      <c r="O128" s="912"/>
      <c r="P128" s="912"/>
      <c r="Q128" s="912"/>
      <c r="R128" s="941"/>
      <c r="S128" s="941"/>
      <c r="T128" s="938"/>
      <c r="U128" s="938">
        <f t="shared" si="20"/>
        <v>0</v>
      </c>
      <c r="V128" s="942"/>
      <c r="W128" s="957"/>
      <c r="X128" s="942">
        <f t="shared" si="21"/>
        <v>0</v>
      </c>
      <c r="Y128" s="957"/>
      <c r="Z128" s="942">
        <f t="shared" si="22"/>
        <v>0</v>
      </c>
      <c r="AA128" s="394"/>
      <c r="AB128" s="394"/>
      <c r="AC128" s="394"/>
      <c r="AD128" s="1"/>
    </row>
    <row r="129" spans="1:30">
      <c r="A129" s="726" t="s">
        <v>131</v>
      </c>
      <c r="B129" s="891"/>
      <c r="C129" s="891"/>
      <c r="D129" s="902"/>
      <c r="E129" s="904"/>
      <c r="F129" s="904"/>
      <c r="G129" s="904"/>
      <c r="H129" s="904"/>
      <c r="I129" s="904"/>
      <c r="J129" s="904"/>
      <c r="K129" s="904"/>
      <c r="L129" s="912"/>
      <c r="M129" s="912"/>
      <c r="N129" s="912"/>
      <c r="O129" s="912"/>
      <c r="P129" s="912"/>
      <c r="Q129" s="912"/>
      <c r="R129" s="941"/>
      <c r="S129" s="941"/>
      <c r="T129" s="938"/>
      <c r="U129" s="938">
        <f t="shared" si="20"/>
        <v>0</v>
      </c>
      <c r="V129" s="942"/>
      <c r="W129" s="957"/>
      <c r="X129" s="942">
        <f t="shared" si="21"/>
        <v>0</v>
      </c>
      <c r="Y129" s="957"/>
      <c r="Z129" s="942">
        <f t="shared" si="22"/>
        <v>0</v>
      </c>
      <c r="AA129" s="394"/>
      <c r="AB129" s="394"/>
      <c r="AC129" s="394"/>
    </row>
    <row r="130" spans="1:30">
      <c r="A130" s="726" t="s">
        <v>131</v>
      </c>
      <c r="B130" s="891"/>
      <c r="C130" s="891"/>
      <c r="D130" s="902"/>
      <c r="E130" s="904"/>
      <c r="F130" s="904"/>
      <c r="G130" s="904"/>
      <c r="H130" s="904"/>
      <c r="I130" s="904"/>
      <c r="J130" s="904"/>
      <c r="K130" s="904"/>
      <c r="L130" s="912"/>
      <c r="M130" s="912"/>
      <c r="N130" s="912"/>
      <c r="O130" s="912"/>
      <c r="P130" s="912"/>
      <c r="Q130" s="912"/>
      <c r="R130" s="941"/>
      <c r="S130" s="941"/>
      <c r="T130" s="938"/>
      <c r="U130" s="938">
        <f t="shared" si="20"/>
        <v>0</v>
      </c>
      <c r="V130" s="942"/>
      <c r="W130" s="957"/>
      <c r="X130" s="942">
        <f t="shared" si="21"/>
        <v>0</v>
      </c>
      <c r="Y130" s="957"/>
      <c r="Z130" s="942">
        <f t="shared" si="22"/>
        <v>0</v>
      </c>
      <c r="AA130" s="394"/>
      <c r="AB130" s="394"/>
      <c r="AC130" s="394"/>
    </row>
    <row r="131" spans="1:30">
      <c r="A131" s="726" t="s">
        <v>131</v>
      </c>
      <c r="B131" s="891"/>
      <c r="C131" s="891"/>
      <c r="D131" s="902"/>
      <c r="E131" s="904"/>
      <c r="F131" s="904"/>
      <c r="G131" s="904"/>
      <c r="H131" s="904"/>
      <c r="I131" s="904"/>
      <c r="J131" s="904"/>
      <c r="K131" s="904"/>
      <c r="L131" s="912"/>
      <c r="M131" s="912"/>
      <c r="N131" s="912"/>
      <c r="O131" s="912"/>
      <c r="P131" s="912"/>
      <c r="Q131" s="912"/>
      <c r="R131" s="941"/>
      <c r="S131" s="941"/>
      <c r="T131" s="938"/>
      <c r="U131" s="938">
        <f t="shared" si="20"/>
        <v>0</v>
      </c>
      <c r="V131" s="942"/>
      <c r="W131" s="957"/>
      <c r="X131" s="942">
        <f t="shared" si="21"/>
        <v>0</v>
      </c>
      <c r="Y131" s="957"/>
      <c r="Z131" s="942">
        <f t="shared" si="22"/>
        <v>0</v>
      </c>
      <c r="AA131" s="394"/>
      <c r="AB131" s="394"/>
      <c r="AC131" s="394"/>
    </row>
    <row r="132" spans="1:30">
      <c r="A132" s="726" t="s">
        <v>131</v>
      </c>
      <c r="B132" s="891"/>
      <c r="C132" s="891"/>
      <c r="D132" s="902"/>
      <c r="E132" s="904"/>
      <c r="F132" s="904"/>
      <c r="G132" s="904"/>
      <c r="H132" s="904"/>
      <c r="I132" s="904"/>
      <c r="J132" s="904"/>
      <c r="K132" s="904"/>
      <c r="L132" s="912"/>
      <c r="M132" s="912"/>
      <c r="N132" s="912"/>
      <c r="O132" s="912"/>
      <c r="P132" s="912"/>
      <c r="Q132" s="912"/>
      <c r="R132" s="941"/>
      <c r="S132" s="941"/>
      <c r="T132" s="938"/>
      <c r="U132" s="938">
        <f t="shared" si="20"/>
        <v>0</v>
      </c>
      <c r="V132" s="942"/>
      <c r="W132" s="957"/>
      <c r="X132" s="942">
        <f t="shared" si="21"/>
        <v>0</v>
      </c>
      <c r="Y132" s="957"/>
      <c r="Z132" s="942">
        <f t="shared" si="22"/>
        <v>0</v>
      </c>
      <c r="AA132" s="394"/>
      <c r="AB132" s="394"/>
      <c r="AC132" s="394"/>
    </row>
    <row r="133" spans="1:30">
      <c r="A133" s="726" t="s">
        <v>131</v>
      </c>
      <c r="B133" s="891"/>
      <c r="C133" s="891"/>
      <c r="D133" s="902"/>
      <c r="E133" s="904"/>
      <c r="F133" s="904"/>
      <c r="G133" s="904"/>
      <c r="H133" s="904"/>
      <c r="I133" s="904"/>
      <c r="J133" s="904"/>
      <c r="K133" s="904"/>
      <c r="L133" s="912"/>
      <c r="M133" s="912"/>
      <c r="N133" s="912"/>
      <c r="O133" s="912"/>
      <c r="P133" s="912"/>
      <c r="Q133" s="912"/>
      <c r="R133" s="941"/>
      <c r="S133" s="941"/>
      <c r="T133" s="938"/>
      <c r="U133" s="938">
        <f t="shared" si="20"/>
        <v>0</v>
      </c>
      <c r="V133" s="942"/>
      <c r="W133" s="957"/>
      <c r="X133" s="942">
        <f t="shared" si="21"/>
        <v>0</v>
      </c>
      <c r="Y133" s="957"/>
      <c r="Z133" s="942">
        <f t="shared" si="22"/>
        <v>0</v>
      </c>
      <c r="AA133" s="394"/>
      <c r="AB133" s="394"/>
      <c r="AC133" s="394"/>
      <c r="AD133" s="870"/>
    </row>
    <row r="134" spans="1:30" s="870" customFormat="1">
      <c r="A134" s="726" t="s">
        <v>131</v>
      </c>
      <c r="B134" s="891"/>
      <c r="C134" s="891"/>
      <c r="D134" s="902"/>
      <c r="E134" s="904"/>
      <c r="F134" s="904"/>
      <c r="G134" s="904"/>
      <c r="H134" s="904"/>
      <c r="I134" s="904"/>
      <c r="J134" s="904"/>
      <c r="K134" s="904"/>
      <c r="L134" s="912"/>
      <c r="M134" s="912"/>
      <c r="N134" s="912"/>
      <c r="O134" s="912"/>
      <c r="P134" s="912"/>
      <c r="Q134" s="912"/>
      <c r="R134" s="941"/>
      <c r="S134" s="941"/>
      <c r="T134" s="938"/>
      <c r="U134" s="938">
        <f t="shared" si="20"/>
        <v>0</v>
      </c>
      <c r="V134" s="942"/>
      <c r="W134" s="957"/>
      <c r="X134" s="942">
        <f t="shared" si="21"/>
        <v>0</v>
      </c>
      <c r="Y134" s="957"/>
      <c r="Z134" s="942">
        <f t="shared" si="22"/>
        <v>0</v>
      </c>
      <c r="AA134" s="394"/>
      <c r="AB134" s="394"/>
      <c r="AC134" s="394"/>
    </row>
    <row r="135" spans="1:30" s="870" customFormat="1">
      <c r="A135" s="726" t="s">
        <v>131</v>
      </c>
      <c r="B135" s="891"/>
      <c r="C135" s="891"/>
      <c r="D135" s="902"/>
      <c r="E135" s="904"/>
      <c r="F135" s="904"/>
      <c r="G135" s="904"/>
      <c r="H135" s="904"/>
      <c r="I135" s="904"/>
      <c r="J135" s="904"/>
      <c r="K135" s="904"/>
      <c r="L135" s="912"/>
      <c r="M135" s="912"/>
      <c r="N135" s="912"/>
      <c r="O135" s="912"/>
      <c r="P135" s="912"/>
      <c r="Q135" s="912"/>
      <c r="R135" s="941"/>
      <c r="S135" s="941"/>
      <c r="T135" s="938"/>
      <c r="U135" s="938">
        <f t="shared" si="20"/>
        <v>0</v>
      </c>
      <c r="V135" s="942"/>
      <c r="W135" s="957"/>
      <c r="X135" s="942">
        <f t="shared" si="21"/>
        <v>0</v>
      </c>
      <c r="Y135" s="957"/>
      <c r="Z135" s="942">
        <f t="shared" si="22"/>
        <v>0</v>
      </c>
      <c r="AA135" s="971" t="s">
        <v>8</v>
      </c>
      <c r="AB135" s="967" t="s">
        <v>197</v>
      </c>
      <c r="AC135" s="398" t="s">
        <v>174</v>
      </c>
      <c r="AD135" s="282"/>
    </row>
    <row r="136" spans="1:30" s="282" customFormat="1">
      <c r="A136" s="726" t="s">
        <v>131</v>
      </c>
      <c r="B136" s="891"/>
      <c r="C136" s="891"/>
      <c r="D136" s="902"/>
      <c r="E136" s="904"/>
      <c r="F136" s="904"/>
      <c r="G136" s="904"/>
      <c r="H136" s="904"/>
      <c r="I136" s="904"/>
      <c r="J136" s="904"/>
      <c r="K136" s="904"/>
      <c r="L136" s="912"/>
      <c r="M136" s="912"/>
      <c r="N136" s="912"/>
      <c r="O136" s="912"/>
      <c r="P136" s="912"/>
      <c r="Q136" s="912"/>
      <c r="R136" s="941"/>
      <c r="S136" s="941"/>
      <c r="T136" s="938"/>
      <c r="U136" s="975">
        <f t="shared" si="20"/>
        <v>0</v>
      </c>
      <c r="V136" s="976"/>
      <c r="W136" s="977"/>
      <c r="X136" s="976">
        <f t="shared" si="21"/>
        <v>0</v>
      </c>
      <c r="Y136" s="977"/>
      <c r="Z136" s="976">
        <f t="shared" si="22"/>
        <v>0</v>
      </c>
      <c r="AA136" s="399">
        <f>'BIG CHAIR'!CL132</f>
        <v>0</v>
      </c>
      <c r="AB136" s="400">
        <f>'Jordan Chair'!AH172</f>
        <v>300</v>
      </c>
      <c r="AC136" s="401">
        <f>X137+AA136+AB136</f>
        <v>300</v>
      </c>
      <c r="AD136" s="1"/>
    </row>
    <row r="137" spans="1:30">
      <c r="A137" s="326" t="s">
        <v>132</v>
      </c>
      <c r="B137" s="895"/>
      <c r="C137" s="895"/>
      <c r="D137" s="896"/>
      <c r="E137" s="897">
        <f t="shared" ref="E137:S137" si="23">SUM(E112:E136)</f>
        <v>0</v>
      </c>
      <c r="F137" s="897">
        <f t="shared" si="23"/>
        <v>0</v>
      </c>
      <c r="G137" s="897">
        <f t="shared" si="23"/>
        <v>0</v>
      </c>
      <c r="H137" s="897">
        <f t="shared" si="23"/>
        <v>0</v>
      </c>
      <c r="I137" s="897">
        <f t="shared" si="23"/>
        <v>0</v>
      </c>
      <c r="J137" s="897">
        <f t="shared" si="23"/>
        <v>0</v>
      </c>
      <c r="K137" s="897">
        <f t="shared" si="23"/>
        <v>0</v>
      </c>
      <c r="L137" s="897">
        <f t="shared" si="23"/>
        <v>0</v>
      </c>
      <c r="M137" s="897">
        <f t="shared" si="23"/>
        <v>0</v>
      </c>
      <c r="N137" s="897">
        <f t="shared" si="23"/>
        <v>0</v>
      </c>
      <c r="O137" s="897">
        <f t="shared" si="23"/>
        <v>0</v>
      </c>
      <c r="P137" s="897">
        <f t="shared" si="23"/>
        <v>0</v>
      </c>
      <c r="Q137" s="897">
        <f t="shared" si="23"/>
        <v>0</v>
      </c>
      <c r="R137" s="897">
        <f t="shared" si="23"/>
        <v>0</v>
      </c>
      <c r="S137" s="897">
        <f t="shared" si="23"/>
        <v>0</v>
      </c>
      <c r="T137" s="932"/>
      <c r="U137" s="933">
        <f t="shared" ref="U137:Z137" si="24">SUM(U112:U136)</f>
        <v>0</v>
      </c>
      <c r="V137" s="933">
        <f t="shared" si="24"/>
        <v>0</v>
      </c>
      <c r="W137" s="934"/>
      <c r="X137" s="934">
        <f t="shared" si="24"/>
        <v>0</v>
      </c>
      <c r="Y137" s="934">
        <f t="shared" si="24"/>
        <v>0</v>
      </c>
      <c r="Z137" s="973">
        <f t="shared" si="24"/>
        <v>0</v>
      </c>
      <c r="AA137" s="403"/>
      <c r="AB137" s="403"/>
      <c r="AC137" s="403"/>
    </row>
    <row r="138" spans="1:30">
      <c r="A138" s="978"/>
      <c r="B138" s="979"/>
      <c r="C138" s="979"/>
      <c r="D138" s="980"/>
      <c r="E138" s="981"/>
      <c r="F138" s="981"/>
      <c r="G138" s="981"/>
      <c r="H138" s="981"/>
      <c r="I138" s="981"/>
      <c r="J138" s="981"/>
      <c r="K138" s="981"/>
      <c r="L138" s="981"/>
      <c r="M138" s="981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282"/>
      <c r="AB138" s="282"/>
      <c r="AC138" s="282"/>
    </row>
    <row r="139" spans="1:30">
      <c r="A139" s="982" t="s">
        <v>200</v>
      </c>
      <c r="B139" s="877" t="s">
        <v>68</v>
      </c>
      <c r="C139" s="877" t="s">
        <v>69</v>
      </c>
      <c r="D139" s="878" t="s">
        <v>70</v>
      </c>
      <c r="E139" s="901" t="s">
        <v>71</v>
      </c>
      <c r="F139" s="880" t="s">
        <v>178</v>
      </c>
      <c r="G139" s="880" t="s">
        <v>101</v>
      </c>
      <c r="H139" s="879" t="s">
        <v>193</v>
      </c>
      <c r="I139" s="879" t="s">
        <v>170</v>
      </c>
      <c r="J139" s="879" t="s">
        <v>92</v>
      </c>
      <c r="K139" s="879" t="s">
        <v>194</v>
      </c>
      <c r="L139" s="880" t="s">
        <v>195</v>
      </c>
      <c r="M139" s="880" t="s">
        <v>76</v>
      </c>
      <c r="N139" s="880" t="s">
        <v>94</v>
      </c>
      <c r="O139" s="880" t="s">
        <v>86</v>
      </c>
      <c r="P139" s="880" t="s">
        <v>75</v>
      </c>
      <c r="Q139" s="880" t="s">
        <v>95</v>
      </c>
      <c r="R139" s="744" t="s">
        <v>77</v>
      </c>
      <c r="S139" s="936" t="s">
        <v>53</v>
      </c>
      <c r="T139" s="915"/>
      <c r="U139" s="916" t="s">
        <v>104</v>
      </c>
      <c r="V139" s="917" t="s">
        <v>105</v>
      </c>
      <c r="W139" s="917"/>
      <c r="X139" s="918" t="s">
        <v>106</v>
      </c>
      <c r="Y139" s="917" t="s">
        <v>107</v>
      </c>
      <c r="Z139" s="960" t="s">
        <v>108</v>
      </c>
    </row>
    <row r="140" spans="1:30" ht="21">
      <c r="A140" s="430"/>
      <c r="B140" s="431"/>
      <c r="C140" s="431"/>
      <c r="D140" s="432"/>
      <c r="E140" s="889"/>
      <c r="F140" s="889"/>
      <c r="G140" s="889"/>
      <c r="H140" s="889"/>
      <c r="I140" s="889"/>
      <c r="J140" s="889"/>
      <c r="K140" s="889"/>
      <c r="L140" s="909"/>
      <c r="M140" s="909"/>
      <c r="N140" s="909"/>
      <c r="O140" s="909"/>
      <c r="P140" s="909"/>
      <c r="Q140" s="909"/>
      <c r="R140" s="922"/>
      <c r="S140" s="922"/>
      <c r="T140" s="1006"/>
      <c r="U140" s="924">
        <f t="shared" ref="U140:U144" si="25">SUM(E140:S140)</f>
        <v>0</v>
      </c>
      <c r="V140" s="924"/>
      <c r="W140" s="925"/>
      <c r="X140" s="924">
        <f t="shared" ref="X140:X144" si="26">U140+V140</f>
        <v>0</v>
      </c>
      <c r="Y140" s="925"/>
      <c r="Z140" s="924">
        <f t="shared" ref="Z140:Z144" si="27">X140+Y140</f>
        <v>0</v>
      </c>
    </row>
    <row r="141" spans="1:30" ht="21">
      <c r="A141" s="430"/>
      <c r="B141" s="431"/>
      <c r="C141" s="431"/>
      <c r="D141" s="432"/>
      <c r="E141" s="893"/>
      <c r="F141" s="893"/>
      <c r="G141" s="893"/>
      <c r="H141" s="893"/>
      <c r="I141" s="893"/>
      <c r="J141" s="893"/>
      <c r="K141" s="893"/>
      <c r="L141" s="910"/>
      <c r="M141" s="910"/>
      <c r="N141" s="910"/>
      <c r="O141" s="910"/>
      <c r="P141" s="910"/>
      <c r="Q141" s="910"/>
      <c r="R141" s="926"/>
      <c r="S141" s="926"/>
      <c r="T141" s="927"/>
      <c r="U141" s="928">
        <f t="shared" si="25"/>
        <v>0</v>
      </c>
      <c r="V141" s="929"/>
      <c r="W141" s="930"/>
      <c r="X141" s="928">
        <f t="shared" si="26"/>
        <v>0</v>
      </c>
      <c r="Y141" s="930"/>
      <c r="Z141" s="928">
        <f t="shared" si="27"/>
        <v>0</v>
      </c>
      <c r="AD141" s="870"/>
    </row>
    <row r="142" spans="1:30" s="870" customFormat="1" ht="21">
      <c r="A142" s="983"/>
      <c r="B142" s="929"/>
      <c r="C142" s="929"/>
      <c r="D142" s="984"/>
      <c r="E142" s="893"/>
      <c r="F142" s="893"/>
      <c r="G142" s="893"/>
      <c r="H142" s="893"/>
      <c r="I142" s="893"/>
      <c r="J142" s="893"/>
      <c r="K142" s="893"/>
      <c r="L142" s="910"/>
      <c r="M142" s="910"/>
      <c r="N142" s="910"/>
      <c r="O142" s="910"/>
      <c r="P142" s="910"/>
      <c r="Q142" s="910"/>
      <c r="R142" s="926"/>
      <c r="S142" s="926"/>
      <c r="T142" s="927"/>
      <c r="U142" s="928">
        <f t="shared" si="25"/>
        <v>0</v>
      </c>
      <c r="V142" s="929"/>
      <c r="W142" s="930"/>
      <c r="X142" s="928">
        <f t="shared" si="26"/>
        <v>0</v>
      </c>
      <c r="Y142" s="930"/>
      <c r="Z142" s="928">
        <f t="shared" si="27"/>
        <v>0</v>
      </c>
      <c r="AA142" s="1"/>
      <c r="AB142" s="1"/>
      <c r="AC142" s="1"/>
    </row>
    <row r="143" spans="1:30" s="870" customFormat="1" ht="21">
      <c r="A143" s="983"/>
      <c r="B143" s="929"/>
      <c r="C143" s="929"/>
      <c r="D143" s="984"/>
      <c r="E143" s="893"/>
      <c r="F143" s="893"/>
      <c r="G143" s="893"/>
      <c r="H143" s="893"/>
      <c r="I143" s="893"/>
      <c r="J143" s="893"/>
      <c r="K143" s="893"/>
      <c r="L143" s="910"/>
      <c r="M143" s="910"/>
      <c r="N143" s="910"/>
      <c r="O143" s="910"/>
      <c r="P143" s="910"/>
      <c r="Q143" s="910"/>
      <c r="R143" s="926"/>
      <c r="S143" s="926"/>
      <c r="T143" s="927"/>
      <c r="U143" s="928">
        <f t="shared" si="25"/>
        <v>0</v>
      </c>
      <c r="V143" s="929"/>
      <c r="W143" s="930"/>
      <c r="X143" s="928">
        <f t="shared" si="26"/>
        <v>0</v>
      </c>
      <c r="Y143" s="930"/>
      <c r="Z143" s="928">
        <f t="shared" si="27"/>
        <v>0</v>
      </c>
      <c r="AA143" s="394"/>
      <c r="AB143" s="394"/>
      <c r="AC143" s="394"/>
      <c r="AD143" s="1"/>
    </row>
    <row r="144" spans="1:30" ht="21" customHeight="1">
      <c r="A144" s="983"/>
      <c r="B144" s="929"/>
      <c r="C144" s="929"/>
      <c r="D144" s="984"/>
      <c r="E144" s="893"/>
      <c r="F144" s="893"/>
      <c r="G144" s="893"/>
      <c r="H144" s="893"/>
      <c r="I144" s="893"/>
      <c r="J144" s="893"/>
      <c r="K144" s="893"/>
      <c r="L144" s="910"/>
      <c r="M144" s="910"/>
      <c r="N144" s="910"/>
      <c r="O144" s="910"/>
      <c r="P144" s="910"/>
      <c r="Q144" s="910"/>
      <c r="R144" s="926"/>
      <c r="S144" s="926"/>
      <c r="T144" s="927"/>
      <c r="U144" s="931">
        <f t="shared" si="25"/>
        <v>0</v>
      </c>
      <c r="V144" s="931"/>
      <c r="W144" s="930"/>
      <c r="X144" s="931">
        <f t="shared" si="26"/>
        <v>0</v>
      </c>
      <c r="Y144" s="930"/>
      <c r="Z144" s="931">
        <f t="shared" si="27"/>
        <v>0</v>
      </c>
      <c r="AA144" s="403"/>
      <c r="AB144" s="403"/>
      <c r="AC144" s="403"/>
    </row>
    <row r="145" spans="1:43">
      <c r="A145" s="985" t="s">
        <v>134</v>
      </c>
      <c r="B145" s="895"/>
      <c r="C145" s="895"/>
      <c r="D145" s="896"/>
      <c r="E145" s="986">
        <f t="shared" ref="E145:S145" si="28">SUM(E140:E144)</f>
        <v>0</v>
      </c>
      <c r="F145" s="986">
        <f t="shared" si="28"/>
        <v>0</v>
      </c>
      <c r="G145" s="986">
        <f t="shared" si="28"/>
        <v>0</v>
      </c>
      <c r="H145" s="986">
        <f t="shared" si="28"/>
        <v>0</v>
      </c>
      <c r="I145" s="986">
        <f t="shared" si="28"/>
        <v>0</v>
      </c>
      <c r="J145" s="986">
        <f t="shared" si="28"/>
        <v>0</v>
      </c>
      <c r="K145" s="986">
        <f t="shared" si="28"/>
        <v>0</v>
      </c>
      <c r="L145" s="986">
        <f t="shared" si="28"/>
        <v>0</v>
      </c>
      <c r="M145" s="986">
        <f t="shared" si="28"/>
        <v>0</v>
      </c>
      <c r="N145" s="986">
        <f t="shared" si="28"/>
        <v>0</v>
      </c>
      <c r="O145" s="986">
        <f t="shared" si="28"/>
        <v>0</v>
      </c>
      <c r="P145" s="986">
        <f t="shared" si="28"/>
        <v>0</v>
      </c>
      <c r="Q145" s="986">
        <f t="shared" si="28"/>
        <v>0</v>
      </c>
      <c r="R145" s="986">
        <f t="shared" si="28"/>
        <v>0</v>
      </c>
      <c r="S145" s="986">
        <f t="shared" si="28"/>
        <v>0</v>
      </c>
      <c r="T145" s="1007"/>
      <c r="U145" s="1008">
        <f t="shared" ref="U145:Z145" si="29">SUM(U140:U144)</f>
        <v>0</v>
      </c>
      <c r="V145" s="1009">
        <f t="shared" si="29"/>
        <v>0</v>
      </c>
      <c r="W145" s="1009"/>
      <c r="X145" s="1009">
        <f t="shared" si="29"/>
        <v>0</v>
      </c>
      <c r="Y145" s="1009">
        <f t="shared" si="29"/>
        <v>0</v>
      </c>
      <c r="Z145" s="1025">
        <f t="shared" si="29"/>
        <v>0</v>
      </c>
      <c r="AA145" s="403"/>
      <c r="AB145" s="403"/>
      <c r="AC145" s="403"/>
      <c r="AD145" s="1026"/>
    </row>
    <row r="146" spans="1:43" s="1" customFormat="1" ht="21.75" customHeight="1">
      <c r="A146" s="978"/>
      <c r="B146" s="979"/>
      <c r="C146" s="979"/>
      <c r="D146" s="980"/>
      <c r="E146" s="981"/>
      <c r="F146" s="981"/>
      <c r="G146" s="981"/>
      <c r="H146" s="981"/>
      <c r="I146" s="981"/>
      <c r="J146" s="981"/>
      <c r="K146" s="981"/>
      <c r="L146" s="981"/>
      <c r="M146" s="981"/>
      <c r="N146" s="981"/>
      <c r="O146" s="981"/>
      <c r="P146" s="981"/>
      <c r="Q146" s="981"/>
      <c r="R146" s="981"/>
      <c r="S146" s="981"/>
      <c r="T146" s="981"/>
      <c r="U146" s="981"/>
      <c r="V146" s="981"/>
      <c r="W146" s="981"/>
      <c r="X146" s="981"/>
      <c r="Y146" s="981"/>
      <c r="Z146" s="981"/>
      <c r="AA146" s="282"/>
      <c r="AB146" s="282"/>
      <c r="AC146" s="282"/>
      <c r="AD146" s="276"/>
      <c r="AE146" s="1026"/>
      <c r="AF146" s="1026"/>
      <c r="AG146" s="1026"/>
      <c r="AH146" s="1026"/>
      <c r="AI146" s="1026"/>
      <c r="AJ146" s="1026"/>
      <c r="AK146" s="1026"/>
      <c r="AL146" s="1026"/>
      <c r="AM146" s="1026"/>
      <c r="AN146" s="1026"/>
      <c r="AO146" s="1026"/>
      <c r="AP146" s="1026"/>
      <c r="AQ146" s="1026"/>
    </row>
    <row r="147" spans="1:43" s="276" customFormat="1" ht="30.75" customHeight="1">
      <c r="A147" s="441" t="s">
        <v>135</v>
      </c>
      <c r="B147" s="877" t="s">
        <v>68</v>
      </c>
      <c r="C147" s="877" t="s">
        <v>69</v>
      </c>
      <c r="D147" s="878" t="s">
        <v>70</v>
      </c>
      <c r="E147" s="879" t="s">
        <v>71</v>
      </c>
      <c r="F147" s="880" t="s">
        <v>178</v>
      </c>
      <c r="G147" s="880" t="s">
        <v>101</v>
      </c>
      <c r="H147" s="879" t="s">
        <v>71</v>
      </c>
      <c r="I147" s="879" t="s">
        <v>170</v>
      </c>
      <c r="J147" s="879" t="s">
        <v>92</v>
      </c>
      <c r="K147" s="879" t="s">
        <v>194</v>
      </c>
      <c r="L147" s="880" t="s">
        <v>195</v>
      </c>
      <c r="M147" s="880" t="s">
        <v>196</v>
      </c>
      <c r="N147" s="880" t="s">
        <v>94</v>
      </c>
      <c r="O147" s="880" t="s">
        <v>86</v>
      </c>
      <c r="P147" s="880" t="s">
        <v>75</v>
      </c>
      <c r="Q147" s="880" t="s">
        <v>95</v>
      </c>
      <c r="R147" s="744" t="s">
        <v>77</v>
      </c>
      <c r="S147" s="914" t="s">
        <v>53</v>
      </c>
      <c r="T147" s="915"/>
      <c r="U147" s="916" t="s">
        <v>104</v>
      </c>
      <c r="V147" s="917" t="s">
        <v>105</v>
      </c>
      <c r="W147" s="917"/>
      <c r="X147" s="918" t="s">
        <v>106</v>
      </c>
      <c r="Y147" s="917" t="s">
        <v>107</v>
      </c>
      <c r="Z147" s="960" t="s">
        <v>108</v>
      </c>
      <c r="AA147" s="1"/>
      <c r="AB147" s="1"/>
      <c r="AC147" s="1"/>
      <c r="AD147" s="871"/>
    </row>
    <row r="148" spans="1:43" s="871" customFormat="1" ht="21">
      <c r="A148" s="987"/>
      <c r="B148" s="538"/>
      <c r="C148" s="539"/>
      <c r="D148" s="988"/>
      <c r="E148" s="889"/>
      <c r="F148" s="889"/>
      <c r="G148" s="889"/>
      <c r="H148" s="889"/>
      <c r="I148" s="889"/>
      <c r="J148" s="889"/>
      <c r="K148" s="889"/>
      <c r="L148" s="909"/>
      <c r="M148" s="909"/>
      <c r="N148" s="909"/>
      <c r="O148" s="909"/>
      <c r="P148" s="909"/>
      <c r="Q148" s="909"/>
      <c r="R148" s="922"/>
      <c r="S148" s="922"/>
      <c r="T148" s="1006"/>
      <c r="U148" s="924">
        <f t="shared" ref="U148:U152" si="30">SUM(E148:S148)</f>
        <v>0</v>
      </c>
      <c r="V148" s="924"/>
      <c r="W148" s="925"/>
      <c r="X148" s="924">
        <f t="shared" ref="X148:X152" si="31">U148+V148</f>
        <v>0</v>
      </c>
      <c r="Y148" s="925"/>
      <c r="Z148" s="924">
        <f t="shared" ref="Z148:Z152" si="32">X148+Y148</f>
        <v>0</v>
      </c>
      <c r="AA148" s="1"/>
      <c r="AB148" s="1"/>
      <c r="AC148" s="1"/>
      <c r="AD148" s="872"/>
    </row>
    <row r="149" spans="1:43" s="872" customFormat="1" ht="21">
      <c r="A149" s="983"/>
      <c r="B149" s="929"/>
      <c r="C149" s="929"/>
      <c r="D149" s="984"/>
      <c r="E149" s="893"/>
      <c r="F149" s="893"/>
      <c r="G149" s="893"/>
      <c r="H149" s="893"/>
      <c r="I149" s="893"/>
      <c r="J149" s="893"/>
      <c r="K149" s="893"/>
      <c r="L149" s="910"/>
      <c r="M149" s="910"/>
      <c r="N149" s="910"/>
      <c r="O149" s="910"/>
      <c r="P149" s="910"/>
      <c r="Q149" s="910"/>
      <c r="R149" s="926"/>
      <c r="S149" s="926"/>
      <c r="T149" s="927"/>
      <c r="U149" s="928">
        <f t="shared" si="30"/>
        <v>0</v>
      </c>
      <c r="V149" s="929"/>
      <c r="W149" s="930"/>
      <c r="X149" s="928">
        <f t="shared" si="31"/>
        <v>0</v>
      </c>
      <c r="Y149" s="930"/>
      <c r="Z149" s="928">
        <f t="shared" si="32"/>
        <v>0</v>
      </c>
      <c r="AA149" s="1"/>
      <c r="AB149" s="1"/>
      <c r="AC149" s="1"/>
      <c r="AD149" s="871"/>
    </row>
    <row r="150" spans="1:43" s="871" customFormat="1" ht="21">
      <c r="A150" s="983"/>
      <c r="B150" s="929"/>
      <c r="C150" s="929"/>
      <c r="D150" s="984"/>
      <c r="E150" s="893"/>
      <c r="F150" s="893"/>
      <c r="G150" s="893"/>
      <c r="H150" s="893"/>
      <c r="I150" s="893"/>
      <c r="J150" s="893"/>
      <c r="K150" s="893"/>
      <c r="L150" s="910"/>
      <c r="M150" s="910"/>
      <c r="N150" s="910"/>
      <c r="O150" s="910"/>
      <c r="P150" s="910"/>
      <c r="Q150" s="910"/>
      <c r="R150" s="926"/>
      <c r="S150" s="926"/>
      <c r="T150" s="927"/>
      <c r="U150" s="928">
        <f t="shared" si="30"/>
        <v>0</v>
      </c>
      <c r="V150" s="929"/>
      <c r="W150" s="930"/>
      <c r="X150" s="928">
        <f t="shared" si="31"/>
        <v>0</v>
      </c>
      <c r="Y150" s="930"/>
      <c r="Z150" s="928">
        <f t="shared" si="32"/>
        <v>0</v>
      </c>
      <c r="AA150" s="1"/>
      <c r="AB150" s="1"/>
      <c r="AC150" s="1"/>
      <c r="AD150" s="872"/>
    </row>
    <row r="151" spans="1:43" s="872" customFormat="1" ht="21">
      <c r="A151" s="983"/>
      <c r="B151" s="929"/>
      <c r="C151" s="929"/>
      <c r="D151" s="984"/>
      <c r="E151" s="893"/>
      <c r="F151" s="893"/>
      <c r="G151" s="893"/>
      <c r="H151" s="893"/>
      <c r="I151" s="893"/>
      <c r="J151" s="893"/>
      <c r="K151" s="893"/>
      <c r="L151" s="910"/>
      <c r="M151" s="910"/>
      <c r="N151" s="910"/>
      <c r="O151" s="910"/>
      <c r="P151" s="910"/>
      <c r="Q151" s="910"/>
      <c r="R151" s="926"/>
      <c r="S151" s="926"/>
      <c r="T151" s="927"/>
      <c r="U151" s="928">
        <f t="shared" si="30"/>
        <v>0</v>
      </c>
      <c r="V151" s="929"/>
      <c r="W151" s="930"/>
      <c r="X151" s="928">
        <f t="shared" si="31"/>
        <v>0</v>
      </c>
      <c r="Y151" s="930"/>
      <c r="Z151" s="928">
        <f t="shared" si="32"/>
        <v>0</v>
      </c>
      <c r="AA151" s="394"/>
      <c r="AB151" s="394"/>
      <c r="AC151" s="394"/>
      <c r="AD151" s="871"/>
    </row>
    <row r="152" spans="1:43" s="871" customFormat="1" ht="21">
      <c r="A152" s="983"/>
      <c r="B152" s="929"/>
      <c r="C152" s="929"/>
      <c r="D152" s="984"/>
      <c r="E152" s="893"/>
      <c r="F152" s="893"/>
      <c r="G152" s="893"/>
      <c r="H152" s="893"/>
      <c r="I152" s="893"/>
      <c r="J152" s="893"/>
      <c r="K152" s="893"/>
      <c r="L152" s="910"/>
      <c r="M152" s="910"/>
      <c r="N152" s="910"/>
      <c r="O152" s="910"/>
      <c r="P152" s="910"/>
      <c r="Q152" s="910"/>
      <c r="R152" s="926"/>
      <c r="S152" s="926"/>
      <c r="T152" s="927"/>
      <c r="U152" s="931">
        <f t="shared" si="30"/>
        <v>0</v>
      </c>
      <c r="V152" s="931"/>
      <c r="W152" s="930"/>
      <c r="X152" s="931">
        <f t="shared" si="31"/>
        <v>0</v>
      </c>
      <c r="Y152" s="930"/>
      <c r="Z152" s="931">
        <f t="shared" si="32"/>
        <v>0</v>
      </c>
      <c r="AA152" s="403"/>
      <c r="AB152" s="403"/>
      <c r="AC152" s="403"/>
    </row>
    <row r="153" spans="1:43" s="871" customFormat="1">
      <c r="A153" s="985" t="s">
        <v>134</v>
      </c>
      <c r="B153" s="895"/>
      <c r="C153" s="895"/>
      <c r="D153" s="896"/>
      <c r="E153" s="986">
        <f t="shared" ref="E153:S153" si="33">SUM(E148:E152)</f>
        <v>0</v>
      </c>
      <c r="F153" s="986">
        <f t="shared" si="33"/>
        <v>0</v>
      </c>
      <c r="G153" s="986">
        <f t="shared" si="33"/>
        <v>0</v>
      </c>
      <c r="H153" s="986">
        <f t="shared" si="33"/>
        <v>0</v>
      </c>
      <c r="I153" s="986">
        <f t="shared" si="33"/>
        <v>0</v>
      </c>
      <c r="J153" s="986">
        <f t="shared" si="33"/>
        <v>0</v>
      </c>
      <c r="K153" s="986">
        <f t="shared" si="33"/>
        <v>0</v>
      </c>
      <c r="L153" s="986">
        <f t="shared" si="33"/>
        <v>0</v>
      </c>
      <c r="M153" s="986">
        <f t="shared" si="33"/>
        <v>0</v>
      </c>
      <c r="N153" s="986">
        <f t="shared" si="33"/>
        <v>0</v>
      </c>
      <c r="O153" s="986">
        <f t="shared" si="33"/>
        <v>0</v>
      </c>
      <c r="P153" s="986">
        <f t="shared" si="33"/>
        <v>0</v>
      </c>
      <c r="Q153" s="986">
        <f t="shared" si="33"/>
        <v>0</v>
      </c>
      <c r="R153" s="986">
        <f t="shared" si="33"/>
        <v>0</v>
      </c>
      <c r="S153" s="986">
        <f t="shared" si="33"/>
        <v>0</v>
      </c>
      <c r="T153" s="1007"/>
      <c r="U153" s="1008">
        <f t="shared" ref="U153:Z153" si="34">SUM(U148:U152)</f>
        <v>0</v>
      </c>
      <c r="V153" s="1009">
        <f t="shared" si="34"/>
        <v>0</v>
      </c>
      <c r="W153" s="1009"/>
      <c r="X153" s="1009">
        <f t="shared" si="34"/>
        <v>0</v>
      </c>
      <c r="Y153" s="1009">
        <f t="shared" si="34"/>
        <v>0</v>
      </c>
      <c r="Z153" s="1025">
        <f t="shared" si="34"/>
        <v>0</v>
      </c>
      <c r="AA153" s="403"/>
      <c r="AB153" s="403"/>
      <c r="AC153" s="403"/>
      <c r="AD153" s="872"/>
    </row>
    <row r="154" spans="1:43" s="872" customFormat="1">
      <c r="A154" s="978"/>
      <c r="B154" s="979"/>
      <c r="C154" s="979"/>
      <c r="D154" s="980"/>
      <c r="E154" s="981"/>
      <c r="F154" s="981"/>
      <c r="G154" s="981"/>
      <c r="H154" s="981"/>
      <c r="I154" s="981"/>
      <c r="J154" s="981"/>
      <c r="K154" s="981"/>
      <c r="L154" s="981"/>
      <c r="M154" s="981"/>
      <c r="N154" s="981"/>
      <c r="O154" s="981"/>
      <c r="P154" s="981"/>
      <c r="Q154" s="981"/>
      <c r="R154" s="981"/>
      <c r="S154" s="981"/>
      <c r="T154" s="981"/>
      <c r="U154" s="981"/>
      <c r="V154" s="981"/>
      <c r="W154" s="981"/>
      <c r="X154" s="981"/>
      <c r="Y154" s="981"/>
      <c r="Z154" s="981"/>
      <c r="AA154" s="282"/>
      <c r="AB154" s="282"/>
      <c r="AC154" s="282"/>
      <c r="AD154" s="871"/>
    </row>
    <row r="155" spans="1:43" s="871" customFormat="1">
      <c r="A155" s="989" t="s">
        <v>140</v>
      </c>
      <c r="B155" s="877" t="s">
        <v>68</v>
      </c>
      <c r="C155" s="877" t="s">
        <v>69</v>
      </c>
      <c r="D155" s="878" t="s">
        <v>70</v>
      </c>
      <c r="E155" s="879" t="s">
        <v>71</v>
      </c>
      <c r="F155" s="880" t="s">
        <v>178</v>
      </c>
      <c r="G155" s="880" t="s">
        <v>101</v>
      </c>
      <c r="H155" s="879" t="s">
        <v>71</v>
      </c>
      <c r="I155" s="879" t="s">
        <v>170</v>
      </c>
      <c r="J155" s="879" t="s">
        <v>92</v>
      </c>
      <c r="K155" s="879" t="s">
        <v>194</v>
      </c>
      <c r="L155" s="880" t="s">
        <v>195</v>
      </c>
      <c r="M155" s="880" t="s">
        <v>196</v>
      </c>
      <c r="N155" s="880" t="s">
        <v>94</v>
      </c>
      <c r="O155" s="880" t="s">
        <v>86</v>
      </c>
      <c r="P155" s="880" t="s">
        <v>75</v>
      </c>
      <c r="Q155" s="880" t="s">
        <v>95</v>
      </c>
      <c r="R155" s="744" t="s">
        <v>77</v>
      </c>
      <c r="S155" s="914" t="s">
        <v>53</v>
      </c>
      <c r="T155" s="915"/>
      <c r="U155" s="916" t="s">
        <v>104</v>
      </c>
      <c r="V155" s="917" t="s">
        <v>105</v>
      </c>
      <c r="W155" s="917"/>
      <c r="X155" s="918" t="s">
        <v>106</v>
      </c>
      <c r="Y155" s="917" t="s">
        <v>107</v>
      </c>
      <c r="Z155" s="960" t="s">
        <v>108</v>
      </c>
      <c r="AA155" s="1"/>
      <c r="AB155" s="1"/>
      <c r="AC155" s="1"/>
      <c r="AD155" s="872"/>
    </row>
    <row r="156" spans="1:43" s="872" customFormat="1" ht="21">
      <c r="A156" s="445"/>
      <c r="B156" s="963"/>
      <c r="C156" s="963"/>
      <c r="D156" s="990"/>
      <c r="E156" s="889"/>
      <c r="F156" s="889"/>
      <c r="G156" s="889"/>
      <c r="H156" s="889"/>
      <c r="I156" s="889"/>
      <c r="J156" s="889"/>
      <c r="K156" s="889"/>
      <c r="L156" s="909"/>
      <c r="M156" s="909"/>
      <c r="N156" s="909"/>
      <c r="O156" s="909"/>
      <c r="P156" s="909"/>
      <c r="Q156" s="909"/>
      <c r="R156" s="922"/>
      <c r="S156" s="922"/>
      <c r="T156" s="1006"/>
      <c r="U156" s="924">
        <f t="shared" ref="U156:U160" si="35">SUM(E156:S156)</f>
        <v>0</v>
      </c>
      <c r="V156" s="924"/>
      <c r="W156" s="925"/>
      <c r="X156" s="924">
        <f t="shared" ref="X156:X160" si="36">U156+V156</f>
        <v>0</v>
      </c>
      <c r="Y156" s="925">
        <v>0</v>
      </c>
      <c r="Z156" s="924">
        <f t="shared" ref="Z156:Z160" si="37">X156+Y156</f>
        <v>0</v>
      </c>
      <c r="AA156" s="1"/>
      <c r="AB156" s="1"/>
      <c r="AC156" s="1"/>
      <c r="AD156" s="871"/>
    </row>
    <row r="157" spans="1:43" s="871" customFormat="1" ht="21">
      <c r="A157" s="983"/>
      <c r="B157" s="929"/>
      <c r="C157" s="929"/>
      <c r="D157" s="984"/>
      <c r="E157" s="893"/>
      <c r="F157" s="893"/>
      <c r="G157" s="893"/>
      <c r="H157" s="893"/>
      <c r="I157" s="893"/>
      <c r="J157" s="893"/>
      <c r="K157" s="893"/>
      <c r="L157" s="910"/>
      <c r="M157" s="910"/>
      <c r="N157" s="910"/>
      <c r="O157" s="910"/>
      <c r="P157" s="910"/>
      <c r="Q157" s="910"/>
      <c r="R157" s="926"/>
      <c r="S157" s="926"/>
      <c r="T157" s="927"/>
      <c r="U157" s="928">
        <f t="shared" si="35"/>
        <v>0</v>
      </c>
      <c r="V157" s="929"/>
      <c r="W157" s="930"/>
      <c r="X157" s="928">
        <f t="shared" si="36"/>
        <v>0</v>
      </c>
      <c r="Y157" s="930"/>
      <c r="Z157" s="928">
        <f t="shared" si="37"/>
        <v>0</v>
      </c>
      <c r="AA157" s="1"/>
      <c r="AB157" s="1"/>
      <c r="AC157" s="1"/>
      <c r="AD157" s="872"/>
    </row>
    <row r="158" spans="1:43" s="872" customFormat="1" ht="21">
      <c r="A158" s="983"/>
      <c r="B158" s="929"/>
      <c r="C158" s="929"/>
      <c r="D158" s="984"/>
      <c r="E158" s="893"/>
      <c r="F158" s="893"/>
      <c r="G158" s="893"/>
      <c r="H158" s="893"/>
      <c r="I158" s="893"/>
      <c r="J158" s="893"/>
      <c r="K158" s="893"/>
      <c r="L158" s="910"/>
      <c r="M158" s="910"/>
      <c r="N158" s="910"/>
      <c r="O158" s="910"/>
      <c r="P158" s="910"/>
      <c r="Q158" s="910"/>
      <c r="R158" s="926"/>
      <c r="S158" s="926"/>
      <c r="T158" s="927"/>
      <c r="U158" s="928">
        <f t="shared" si="35"/>
        <v>0</v>
      </c>
      <c r="V158" s="929"/>
      <c r="W158" s="930"/>
      <c r="X158" s="928">
        <f t="shared" si="36"/>
        <v>0</v>
      </c>
      <c r="Y158" s="930"/>
      <c r="Z158" s="928">
        <f t="shared" si="37"/>
        <v>0</v>
      </c>
      <c r="AA158" s="1"/>
      <c r="AB158" s="1"/>
      <c r="AC158" s="1"/>
      <c r="AD158" s="871"/>
    </row>
    <row r="159" spans="1:43" s="871" customFormat="1" ht="21">
      <c r="A159" s="983"/>
      <c r="B159" s="929"/>
      <c r="C159" s="929"/>
      <c r="D159" s="984"/>
      <c r="E159" s="893"/>
      <c r="F159" s="893"/>
      <c r="G159" s="893"/>
      <c r="H159" s="893"/>
      <c r="I159" s="893"/>
      <c r="J159" s="893"/>
      <c r="K159" s="893"/>
      <c r="L159" s="910"/>
      <c r="M159" s="910"/>
      <c r="N159" s="910"/>
      <c r="O159" s="910"/>
      <c r="P159" s="910"/>
      <c r="Q159" s="910"/>
      <c r="R159" s="926"/>
      <c r="S159" s="926"/>
      <c r="T159" s="927"/>
      <c r="U159" s="928">
        <f t="shared" si="35"/>
        <v>0</v>
      </c>
      <c r="V159" s="929"/>
      <c r="W159" s="930"/>
      <c r="X159" s="928">
        <f t="shared" si="36"/>
        <v>0</v>
      </c>
      <c r="Y159" s="930"/>
      <c r="Z159" s="928">
        <f t="shared" si="37"/>
        <v>0</v>
      </c>
      <c r="AA159" s="394"/>
      <c r="AB159" s="394"/>
      <c r="AC159" s="394"/>
      <c r="AD159" s="872"/>
    </row>
    <row r="160" spans="1:43" s="872" customFormat="1" ht="21">
      <c r="A160" s="983"/>
      <c r="B160" s="929"/>
      <c r="C160" s="929"/>
      <c r="D160" s="984"/>
      <c r="E160" s="893"/>
      <c r="F160" s="893"/>
      <c r="G160" s="893"/>
      <c r="H160" s="893"/>
      <c r="I160" s="893"/>
      <c r="J160" s="893"/>
      <c r="K160" s="893"/>
      <c r="L160" s="910"/>
      <c r="M160" s="910"/>
      <c r="N160" s="910"/>
      <c r="O160" s="910"/>
      <c r="P160" s="910"/>
      <c r="Q160" s="910"/>
      <c r="R160" s="926"/>
      <c r="S160" s="926"/>
      <c r="T160" s="927"/>
      <c r="U160" s="931">
        <f t="shared" si="35"/>
        <v>0</v>
      </c>
      <c r="V160" s="931"/>
      <c r="W160" s="930"/>
      <c r="X160" s="931">
        <f t="shared" si="36"/>
        <v>0</v>
      </c>
      <c r="Y160" s="930"/>
      <c r="Z160" s="931">
        <f t="shared" si="37"/>
        <v>0</v>
      </c>
      <c r="AA160" s="403"/>
      <c r="AB160" s="403"/>
      <c r="AC160" s="403"/>
    </row>
    <row r="161" spans="1:30" s="872" customFormat="1">
      <c r="A161" s="985" t="s">
        <v>134</v>
      </c>
      <c r="B161" s="895"/>
      <c r="C161" s="895"/>
      <c r="D161" s="896"/>
      <c r="E161" s="986">
        <f t="shared" ref="E161:S161" si="38">SUM(E156:E160)</f>
        <v>0</v>
      </c>
      <c r="F161" s="986">
        <f t="shared" si="38"/>
        <v>0</v>
      </c>
      <c r="G161" s="986">
        <f t="shared" si="38"/>
        <v>0</v>
      </c>
      <c r="H161" s="986">
        <f t="shared" si="38"/>
        <v>0</v>
      </c>
      <c r="I161" s="986">
        <f t="shared" si="38"/>
        <v>0</v>
      </c>
      <c r="J161" s="986">
        <f t="shared" si="38"/>
        <v>0</v>
      </c>
      <c r="K161" s="986">
        <f t="shared" si="38"/>
        <v>0</v>
      </c>
      <c r="L161" s="986">
        <f t="shared" si="38"/>
        <v>0</v>
      </c>
      <c r="M161" s="986">
        <f t="shared" si="38"/>
        <v>0</v>
      </c>
      <c r="N161" s="986">
        <f t="shared" si="38"/>
        <v>0</v>
      </c>
      <c r="O161" s="986">
        <f t="shared" si="38"/>
        <v>0</v>
      </c>
      <c r="P161" s="986">
        <f t="shared" si="38"/>
        <v>0</v>
      </c>
      <c r="Q161" s="986">
        <f t="shared" si="38"/>
        <v>0</v>
      </c>
      <c r="R161" s="986">
        <f t="shared" si="38"/>
        <v>0</v>
      </c>
      <c r="S161" s="986">
        <f t="shared" si="38"/>
        <v>0</v>
      </c>
      <c r="T161" s="1007"/>
      <c r="U161" s="1008">
        <f t="shared" ref="U161:Z161" si="39">SUM(U156:U160)</f>
        <v>0</v>
      </c>
      <c r="V161" s="1009">
        <f t="shared" si="39"/>
        <v>0</v>
      </c>
      <c r="W161" s="1009"/>
      <c r="X161" s="1009">
        <f t="shared" si="39"/>
        <v>0</v>
      </c>
      <c r="Y161" s="1009">
        <f t="shared" si="39"/>
        <v>0</v>
      </c>
      <c r="Z161" s="1025">
        <f t="shared" si="39"/>
        <v>0</v>
      </c>
      <c r="AA161" s="403"/>
      <c r="AB161" s="403"/>
      <c r="AC161" s="403"/>
      <c r="AD161" s="871"/>
    </row>
    <row r="162" spans="1:30" s="871" customFormat="1">
      <c r="A162" s="978"/>
      <c r="B162" s="979"/>
      <c r="C162" s="979"/>
      <c r="D162" s="980"/>
      <c r="E162" s="981"/>
      <c r="F162" s="981"/>
      <c r="G162" s="981"/>
      <c r="H162" s="981"/>
      <c r="I162" s="981"/>
      <c r="J162" s="981"/>
      <c r="K162" s="981"/>
      <c r="L162" s="981"/>
      <c r="M162" s="981"/>
      <c r="N162" s="981"/>
      <c r="O162" s="981"/>
      <c r="P162" s="981"/>
      <c r="Q162" s="981"/>
      <c r="R162" s="981"/>
      <c r="S162" s="981"/>
      <c r="T162" s="981"/>
      <c r="U162" s="981"/>
      <c r="V162" s="981"/>
      <c r="W162" s="981"/>
      <c r="X162" s="981"/>
      <c r="Y162" s="981"/>
      <c r="Z162" s="981"/>
      <c r="AA162" s="282"/>
      <c r="AB162" s="282"/>
      <c r="AC162" s="282"/>
      <c r="AD162" s="872"/>
    </row>
    <row r="163" spans="1:30" s="872" customFormat="1">
      <c r="A163" s="289" t="s">
        <v>143</v>
      </c>
      <c r="B163" s="877" t="s">
        <v>68</v>
      </c>
      <c r="C163" s="877" t="s">
        <v>69</v>
      </c>
      <c r="D163" s="878" t="s">
        <v>70</v>
      </c>
      <c r="E163" s="879" t="s">
        <v>71</v>
      </c>
      <c r="F163" s="880" t="s">
        <v>178</v>
      </c>
      <c r="G163" s="880" t="s">
        <v>399</v>
      </c>
      <c r="H163" s="879" t="s">
        <v>71</v>
      </c>
      <c r="I163" s="879" t="s">
        <v>170</v>
      </c>
      <c r="J163" s="879" t="s">
        <v>92</v>
      </c>
      <c r="K163" s="879" t="s">
        <v>194</v>
      </c>
      <c r="L163" s="880" t="s">
        <v>195</v>
      </c>
      <c r="M163" s="880" t="s">
        <v>196</v>
      </c>
      <c r="N163" s="880" t="s">
        <v>94</v>
      </c>
      <c r="O163" s="880" t="s">
        <v>86</v>
      </c>
      <c r="P163" s="880" t="s">
        <v>75</v>
      </c>
      <c r="Q163" s="880" t="s">
        <v>95</v>
      </c>
      <c r="R163" s="744" t="s">
        <v>77</v>
      </c>
      <c r="S163" s="914" t="s">
        <v>53</v>
      </c>
      <c r="T163" s="915"/>
      <c r="U163" s="916" t="s">
        <v>104</v>
      </c>
      <c r="V163" s="917" t="s">
        <v>105</v>
      </c>
      <c r="W163" s="917"/>
      <c r="X163" s="918" t="s">
        <v>106</v>
      </c>
      <c r="Y163" s="917" t="s">
        <v>107</v>
      </c>
      <c r="Z163" s="960" t="s">
        <v>108</v>
      </c>
      <c r="AA163" s="1"/>
      <c r="AB163" s="1"/>
      <c r="AC163" s="1"/>
      <c r="AD163" s="871"/>
    </row>
    <row r="164" spans="1:30" s="871" customFormat="1" ht="21">
      <c r="A164" s="445"/>
      <c r="B164" s="323"/>
      <c r="C164" s="323"/>
      <c r="D164" s="324"/>
      <c r="E164" s="889"/>
      <c r="F164" s="889"/>
      <c r="G164" s="889"/>
      <c r="H164" s="889"/>
      <c r="I164" s="889"/>
      <c r="J164" s="889"/>
      <c r="K164" s="889"/>
      <c r="L164" s="909"/>
      <c r="M164" s="909"/>
      <c r="N164" s="909"/>
      <c r="O164" s="909"/>
      <c r="P164" s="909"/>
      <c r="Q164" s="909"/>
      <c r="R164" s="922"/>
      <c r="S164" s="922"/>
      <c r="T164" s="1006"/>
      <c r="U164" s="924">
        <f t="shared" ref="U164:U168" si="40">SUM(E164:S164)</f>
        <v>0</v>
      </c>
      <c r="V164" s="924"/>
      <c r="W164" s="925"/>
      <c r="X164" s="924">
        <f t="shared" ref="X164:X168" si="41">U164+V164</f>
        <v>0</v>
      </c>
      <c r="Y164" s="925"/>
      <c r="Z164" s="924">
        <f t="shared" ref="Z164:Z168" si="42">X164+Y164</f>
        <v>0</v>
      </c>
      <c r="AA164" s="1"/>
      <c r="AB164" s="1"/>
      <c r="AC164" s="1"/>
      <c r="AD164" s="872"/>
    </row>
    <row r="165" spans="1:30" s="872" customFormat="1" ht="21">
      <c r="A165" s="983"/>
      <c r="B165" s="929"/>
      <c r="C165" s="929"/>
      <c r="D165" s="984"/>
      <c r="E165" s="893"/>
      <c r="F165" s="893"/>
      <c r="G165" s="893"/>
      <c r="H165" s="893"/>
      <c r="I165" s="893"/>
      <c r="J165" s="893"/>
      <c r="K165" s="893"/>
      <c r="L165" s="910"/>
      <c r="M165" s="910"/>
      <c r="N165" s="910"/>
      <c r="O165" s="910"/>
      <c r="P165" s="910"/>
      <c r="Q165" s="910"/>
      <c r="R165" s="926"/>
      <c r="S165" s="926"/>
      <c r="T165" s="927"/>
      <c r="U165" s="928">
        <f t="shared" si="40"/>
        <v>0</v>
      </c>
      <c r="V165" s="929"/>
      <c r="W165" s="930"/>
      <c r="X165" s="928">
        <f t="shared" si="41"/>
        <v>0</v>
      </c>
      <c r="Y165" s="930"/>
      <c r="Z165" s="928">
        <f t="shared" si="42"/>
        <v>0</v>
      </c>
      <c r="AA165" s="1"/>
      <c r="AB165" s="1"/>
      <c r="AC165" s="1"/>
      <c r="AD165" s="871"/>
    </row>
    <row r="166" spans="1:30" s="871" customFormat="1" ht="21">
      <c r="A166" s="983"/>
      <c r="B166" s="929"/>
      <c r="C166" s="929"/>
      <c r="D166" s="984"/>
      <c r="E166" s="893"/>
      <c r="F166" s="893"/>
      <c r="G166" s="893"/>
      <c r="H166" s="893"/>
      <c r="I166" s="893"/>
      <c r="J166" s="893"/>
      <c r="K166" s="893"/>
      <c r="L166" s="910"/>
      <c r="M166" s="910"/>
      <c r="N166" s="910"/>
      <c r="O166" s="910"/>
      <c r="P166" s="910"/>
      <c r="Q166" s="910"/>
      <c r="R166" s="926"/>
      <c r="S166" s="926"/>
      <c r="T166" s="927"/>
      <c r="U166" s="928">
        <f t="shared" si="40"/>
        <v>0</v>
      </c>
      <c r="V166" s="929"/>
      <c r="W166" s="930"/>
      <c r="X166" s="928">
        <f t="shared" si="41"/>
        <v>0</v>
      </c>
      <c r="Y166" s="930"/>
      <c r="Z166" s="928">
        <f t="shared" si="42"/>
        <v>0</v>
      </c>
      <c r="AA166" s="1"/>
      <c r="AB166" s="1"/>
      <c r="AC166" s="1"/>
      <c r="AD166" s="872"/>
    </row>
    <row r="167" spans="1:30" s="872" customFormat="1" ht="21">
      <c r="A167" s="983"/>
      <c r="B167" s="929"/>
      <c r="C167" s="929"/>
      <c r="D167" s="984"/>
      <c r="E167" s="893"/>
      <c r="F167" s="893"/>
      <c r="G167" s="893"/>
      <c r="H167" s="893"/>
      <c r="I167" s="893"/>
      <c r="J167" s="893"/>
      <c r="K167" s="893"/>
      <c r="L167" s="910"/>
      <c r="M167" s="910"/>
      <c r="N167" s="910"/>
      <c r="O167" s="910"/>
      <c r="P167" s="910"/>
      <c r="Q167" s="910"/>
      <c r="R167" s="926"/>
      <c r="S167" s="926"/>
      <c r="T167" s="927"/>
      <c r="U167" s="928">
        <f t="shared" si="40"/>
        <v>0</v>
      </c>
      <c r="V167" s="929"/>
      <c r="W167" s="930"/>
      <c r="X167" s="928">
        <f t="shared" si="41"/>
        <v>0</v>
      </c>
      <c r="Y167" s="930"/>
      <c r="Z167" s="928">
        <f t="shared" si="42"/>
        <v>0</v>
      </c>
      <c r="AA167" s="394"/>
      <c r="AB167" s="394"/>
      <c r="AC167" s="394"/>
      <c r="AD167" s="871"/>
    </row>
    <row r="168" spans="1:30" s="871" customFormat="1" ht="21">
      <c r="A168" s="983"/>
      <c r="B168" s="929"/>
      <c r="C168" s="929"/>
      <c r="D168" s="984"/>
      <c r="E168" s="893"/>
      <c r="F168" s="893"/>
      <c r="G168" s="893"/>
      <c r="H168" s="893"/>
      <c r="I168" s="893"/>
      <c r="J168" s="893"/>
      <c r="K168" s="893"/>
      <c r="L168" s="910"/>
      <c r="M168" s="910"/>
      <c r="N168" s="910"/>
      <c r="O168" s="910"/>
      <c r="P168" s="910"/>
      <c r="Q168" s="910"/>
      <c r="R168" s="926"/>
      <c r="S168" s="926"/>
      <c r="T168" s="927"/>
      <c r="U168" s="931">
        <f t="shared" si="40"/>
        <v>0</v>
      </c>
      <c r="V168" s="931"/>
      <c r="W168" s="930"/>
      <c r="X168" s="931">
        <f t="shared" si="41"/>
        <v>0</v>
      </c>
      <c r="Y168" s="930"/>
      <c r="Z168" s="931">
        <f t="shared" si="42"/>
        <v>0</v>
      </c>
      <c r="AA168" s="403"/>
      <c r="AB168" s="403"/>
      <c r="AC168" s="403"/>
      <c r="AD168" s="872"/>
    </row>
    <row r="169" spans="1:30" s="872" customFormat="1">
      <c r="A169" s="985" t="s">
        <v>134</v>
      </c>
      <c r="B169" s="895"/>
      <c r="C169" s="895"/>
      <c r="D169" s="896"/>
      <c r="E169" s="897">
        <f t="shared" ref="E169:S169" si="43">SUM(E164:E168)</f>
        <v>0</v>
      </c>
      <c r="F169" s="897">
        <f t="shared" si="43"/>
        <v>0</v>
      </c>
      <c r="G169" s="897">
        <f t="shared" si="43"/>
        <v>0</v>
      </c>
      <c r="H169" s="897">
        <f t="shared" si="43"/>
        <v>0</v>
      </c>
      <c r="I169" s="897">
        <f t="shared" si="43"/>
        <v>0</v>
      </c>
      <c r="J169" s="897">
        <f t="shared" si="43"/>
        <v>0</v>
      </c>
      <c r="K169" s="897">
        <f t="shared" si="43"/>
        <v>0</v>
      </c>
      <c r="L169" s="897">
        <f t="shared" si="43"/>
        <v>0</v>
      </c>
      <c r="M169" s="897">
        <f t="shared" si="43"/>
        <v>0</v>
      </c>
      <c r="N169" s="897">
        <f t="shared" si="43"/>
        <v>0</v>
      </c>
      <c r="O169" s="897">
        <f t="shared" si="43"/>
        <v>0</v>
      </c>
      <c r="P169" s="897">
        <f t="shared" si="43"/>
        <v>0</v>
      </c>
      <c r="Q169" s="897">
        <f t="shared" si="43"/>
        <v>0</v>
      </c>
      <c r="R169" s="897">
        <f t="shared" si="43"/>
        <v>0</v>
      </c>
      <c r="S169" s="935">
        <f t="shared" si="43"/>
        <v>0</v>
      </c>
      <c r="T169" s="932"/>
      <c r="U169" s="933">
        <f t="shared" ref="U169:Z169" si="44">SUM(U164:U168)</f>
        <v>0</v>
      </c>
      <c r="V169" s="934">
        <f t="shared" si="44"/>
        <v>0</v>
      </c>
      <c r="W169" s="934"/>
      <c r="X169" s="934">
        <f t="shared" si="44"/>
        <v>0</v>
      </c>
      <c r="Y169" s="934">
        <f t="shared" si="44"/>
        <v>0</v>
      </c>
      <c r="Z169" s="973">
        <f t="shared" si="44"/>
        <v>0</v>
      </c>
      <c r="AA169" s="403"/>
      <c r="AB169" s="403"/>
      <c r="AC169" s="403"/>
    </row>
    <row r="170" spans="1:30" s="872" customFormat="1">
      <c r="A170" s="978"/>
      <c r="B170" s="979"/>
      <c r="C170" s="979"/>
      <c r="D170" s="980"/>
      <c r="E170" s="981"/>
      <c r="F170" s="981"/>
      <c r="G170" s="981"/>
      <c r="H170" s="981"/>
      <c r="I170" s="981"/>
      <c r="J170" s="981"/>
      <c r="K170" s="981"/>
      <c r="L170" s="981"/>
      <c r="M170" s="981"/>
      <c r="N170" s="981"/>
      <c r="O170" s="981"/>
      <c r="P170" s="981"/>
      <c r="Q170" s="981"/>
      <c r="R170" s="981"/>
      <c r="S170" s="981"/>
      <c r="T170" s="981"/>
      <c r="U170" s="981"/>
      <c r="V170" s="981"/>
      <c r="W170" s="981"/>
      <c r="X170" s="981"/>
      <c r="Y170" s="981"/>
      <c r="Z170" s="981"/>
      <c r="AA170" s="1"/>
      <c r="AB170" s="152"/>
      <c r="AC170" s="1"/>
    </row>
    <row r="171" spans="1:30" s="872" customFormat="1">
      <c r="A171" s="991" t="s">
        <v>151</v>
      </c>
      <c r="B171" s="992"/>
      <c r="C171" s="992"/>
      <c r="D171" s="991"/>
      <c r="E171" s="993">
        <f>E4+E27+E56+E83+E110+E137+E145+E153+E161+E169</f>
        <v>0</v>
      </c>
      <c r="F171" s="993">
        <f t="shared" ref="F171:S171" si="45">F4+F27+F56+F83+F110+F137+F145+F153+F161+F169</f>
        <v>0</v>
      </c>
      <c r="G171" s="993">
        <f t="shared" si="45"/>
        <v>0</v>
      </c>
      <c r="H171" s="993">
        <f t="shared" si="45"/>
        <v>0</v>
      </c>
      <c r="I171" s="993">
        <f t="shared" si="45"/>
        <v>0</v>
      </c>
      <c r="J171" s="993">
        <f t="shared" si="45"/>
        <v>0</v>
      </c>
      <c r="K171" s="993">
        <f t="shared" si="45"/>
        <v>0</v>
      </c>
      <c r="L171" s="993">
        <f t="shared" si="45"/>
        <v>0</v>
      </c>
      <c r="M171" s="993">
        <f t="shared" si="45"/>
        <v>0</v>
      </c>
      <c r="N171" s="993">
        <f t="shared" si="45"/>
        <v>608</v>
      </c>
      <c r="O171" s="993">
        <f t="shared" si="45"/>
        <v>0</v>
      </c>
      <c r="P171" s="993">
        <f t="shared" si="45"/>
        <v>288</v>
      </c>
      <c r="Q171" s="993">
        <f t="shared" si="45"/>
        <v>0</v>
      </c>
      <c r="R171" s="993">
        <f t="shared" si="45"/>
        <v>0</v>
      </c>
      <c r="S171" s="993">
        <f t="shared" si="45"/>
        <v>1376</v>
      </c>
      <c r="T171" s="993"/>
      <c r="U171" s="993">
        <f t="shared" ref="U171:Z171" si="46">U4+U27+U56+U83+U110+U137+U145+U153+U161+U169</f>
        <v>2272</v>
      </c>
      <c r="V171" s="993">
        <f t="shared" si="46"/>
        <v>8</v>
      </c>
      <c r="W171" s="993">
        <f t="shared" si="46"/>
        <v>0</v>
      </c>
      <c r="X171" s="993">
        <f t="shared" si="46"/>
        <v>2280</v>
      </c>
      <c r="Y171" s="993">
        <f t="shared" si="46"/>
        <v>35</v>
      </c>
      <c r="Z171" s="993">
        <f t="shared" si="46"/>
        <v>2315</v>
      </c>
      <c r="AA171" s="1"/>
      <c r="AB171" s="1"/>
      <c r="AC171" s="1"/>
      <c r="AD171" s="871"/>
    </row>
    <row r="172" spans="1:30" s="871" customFormat="1">
      <c r="A172" s="994" t="s">
        <v>146</v>
      </c>
      <c r="B172" s="992"/>
      <c r="C172" s="992"/>
      <c r="D172" s="994"/>
      <c r="E172" s="995">
        <f>E171/16</f>
        <v>0</v>
      </c>
      <c r="F172" s="995">
        <f t="shared" ref="F172:S172" si="47">F171/16</f>
        <v>0</v>
      </c>
      <c r="G172" s="995">
        <f t="shared" si="47"/>
        <v>0</v>
      </c>
      <c r="H172" s="995">
        <f t="shared" si="47"/>
        <v>0</v>
      </c>
      <c r="I172" s="995">
        <f t="shared" si="47"/>
        <v>0</v>
      </c>
      <c r="J172" s="995">
        <f t="shared" si="47"/>
        <v>0</v>
      </c>
      <c r="K172" s="995">
        <f t="shared" si="47"/>
        <v>0</v>
      </c>
      <c r="L172" s="995">
        <f t="shared" si="47"/>
        <v>0</v>
      </c>
      <c r="M172" s="995">
        <f t="shared" si="47"/>
        <v>0</v>
      </c>
      <c r="N172" s="995">
        <f t="shared" si="47"/>
        <v>38</v>
      </c>
      <c r="O172" s="995">
        <f t="shared" si="47"/>
        <v>0</v>
      </c>
      <c r="P172" s="995">
        <f t="shared" si="47"/>
        <v>18</v>
      </c>
      <c r="Q172" s="995">
        <f t="shared" si="47"/>
        <v>0</v>
      </c>
      <c r="R172" s="995">
        <f t="shared" si="47"/>
        <v>0</v>
      </c>
      <c r="S172" s="995">
        <f t="shared" si="47"/>
        <v>86</v>
      </c>
      <c r="T172" s="76"/>
      <c r="U172" s="995">
        <f t="shared" ref="U172:Z172" si="48">U171/12</f>
        <v>189.33333333333334</v>
      </c>
      <c r="V172" s="1011">
        <f t="shared" si="48"/>
        <v>0.66666666666666663</v>
      </c>
      <c r="W172" s="1011">
        <f t="shared" si="48"/>
        <v>0</v>
      </c>
      <c r="X172" s="1012">
        <f t="shared" si="48"/>
        <v>190</v>
      </c>
      <c r="Y172" s="1012">
        <f t="shared" si="48"/>
        <v>2.9166666666666665</v>
      </c>
      <c r="Z172" s="1027">
        <f t="shared" si="48"/>
        <v>192.91666666666666</v>
      </c>
      <c r="AA172" s="1026"/>
      <c r="AB172" s="1026"/>
      <c r="AC172" s="1026"/>
      <c r="AD172" s="872"/>
    </row>
    <row r="173" spans="1:30" s="872" customFormat="1">
      <c r="A173" s="3851" t="s">
        <v>201</v>
      </c>
      <c r="B173" s="3851"/>
      <c r="C173" s="3851"/>
      <c r="D173" s="3851"/>
      <c r="E173" s="3852"/>
      <c r="F173" s="3852"/>
      <c r="G173" s="3852"/>
      <c r="H173" s="3852"/>
      <c r="I173" s="3852"/>
      <c r="J173" s="3852"/>
      <c r="K173" s="3852"/>
      <c r="L173" s="3852"/>
      <c r="M173" s="3852"/>
      <c r="N173" s="3852"/>
      <c r="O173" s="3852"/>
      <c r="P173" s="3852"/>
      <c r="Q173" s="3852"/>
      <c r="R173" s="3852"/>
      <c r="S173" s="3852"/>
      <c r="T173" s="3851"/>
      <c r="U173" s="3852"/>
      <c r="V173" s="3852"/>
      <c r="W173" s="3852"/>
      <c r="X173" s="3852"/>
      <c r="Y173" s="3852"/>
      <c r="Z173" s="3852"/>
      <c r="AA173" s="276"/>
      <c r="AB173" s="276"/>
      <c r="AC173" s="276"/>
      <c r="AD173" s="871"/>
    </row>
    <row r="174" spans="1:30" s="871" customFormat="1" ht="24" thickBot="1">
      <c r="A174" s="997" t="s">
        <v>148</v>
      </c>
      <c r="B174" s="998" t="s">
        <v>68</v>
      </c>
      <c r="C174" s="998" t="s">
        <v>69</v>
      </c>
      <c r="D174" s="999" t="s">
        <v>70</v>
      </c>
      <c r="E174" s="901" t="s">
        <v>71</v>
      </c>
      <c r="F174" s="880" t="s">
        <v>178</v>
      </c>
      <c r="G174" s="880" t="s">
        <v>399</v>
      </c>
      <c r="H174" s="879" t="s">
        <v>193</v>
      </c>
      <c r="I174" s="879" t="s">
        <v>170</v>
      </c>
      <c r="J174" s="879" t="s">
        <v>92</v>
      </c>
      <c r="K174" s="879" t="s">
        <v>194</v>
      </c>
      <c r="L174" s="880" t="s">
        <v>195</v>
      </c>
      <c r="M174" s="880" t="s">
        <v>196</v>
      </c>
      <c r="N174" s="880" t="s">
        <v>94</v>
      </c>
      <c r="O174" s="880" t="s">
        <v>86</v>
      </c>
      <c r="P174" s="880" t="s">
        <v>75</v>
      </c>
      <c r="Q174" s="914" t="s">
        <v>95</v>
      </c>
      <c r="R174" s="1013" t="s">
        <v>77</v>
      </c>
      <c r="S174" s="1014" t="s">
        <v>53</v>
      </c>
      <c r="T174" s="1015"/>
      <c r="U174" s="1016" t="s">
        <v>104</v>
      </c>
      <c r="V174" s="1017" t="s">
        <v>105</v>
      </c>
      <c r="W174" s="1017"/>
      <c r="X174" s="1018" t="s">
        <v>106</v>
      </c>
      <c r="Y174" s="1017" t="s">
        <v>107</v>
      </c>
      <c r="Z174" s="1028" t="s">
        <v>108</v>
      </c>
      <c r="AD174" s="872"/>
    </row>
    <row r="175" spans="1:30" s="872" customFormat="1" ht="21">
      <c r="A175" s="537" t="s">
        <v>633</v>
      </c>
      <c r="B175" s="551"/>
      <c r="C175" s="539"/>
      <c r="D175" s="544">
        <v>46124</v>
      </c>
      <c r="E175" s="889"/>
      <c r="F175" s="889"/>
      <c r="G175" s="889"/>
      <c r="H175" s="889"/>
      <c r="I175" s="889"/>
      <c r="J175" s="889"/>
      <c r="K175" s="889"/>
      <c r="L175" s="909"/>
      <c r="M175" s="909"/>
      <c r="N175" s="909">
        <f>1*16</f>
        <v>16</v>
      </c>
      <c r="O175" s="909"/>
      <c r="P175" s="909"/>
      <c r="Q175" s="909"/>
      <c r="R175" s="922"/>
      <c r="S175" s="922"/>
      <c r="T175" s="1021"/>
      <c r="U175" s="1207">
        <f t="shared" ref="U175:U243" si="49">SUM(E175:S175)</f>
        <v>16</v>
      </c>
      <c r="V175" s="1208"/>
      <c r="W175" s="1023"/>
      <c r="X175" s="1207">
        <f t="shared" ref="X175:X243" si="50">U175+V175</f>
        <v>16</v>
      </c>
      <c r="Y175" s="1023"/>
      <c r="Z175" s="1207">
        <f t="shared" ref="Z175:Z243" si="51">X175+Y175</f>
        <v>16</v>
      </c>
      <c r="AD175" s="871"/>
    </row>
    <row r="176" spans="1:30" s="871" customFormat="1" ht="21">
      <c r="A176" s="547" t="s">
        <v>659</v>
      </c>
      <c r="B176" s="552"/>
      <c r="C176" s="553"/>
      <c r="D176" s="555">
        <v>46132</v>
      </c>
      <c r="E176" s="945"/>
      <c r="F176" s="904"/>
      <c r="G176" s="904"/>
      <c r="H176" s="904"/>
      <c r="I176" s="904"/>
      <c r="J176" s="904"/>
      <c r="K176" s="904"/>
      <c r="L176" s="912"/>
      <c r="M176" s="912"/>
      <c r="N176" s="912">
        <f>2*16</f>
        <v>32</v>
      </c>
      <c r="O176" s="912"/>
      <c r="P176" s="912"/>
      <c r="Q176" s="912"/>
      <c r="R176" s="941"/>
      <c r="S176" s="969">
        <f>3*16</f>
        <v>48</v>
      </c>
      <c r="T176" s="938"/>
      <c r="U176" s="944">
        <f t="shared" si="49"/>
        <v>80</v>
      </c>
      <c r="V176" s="942"/>
      <c r="W176" s="957"/>
      <c r="X176" s="944">
        <f t="shared" si="50"/>
        <v>80</v>
      </c>
      <c r="Y176" s="957"/>
      <c r="Z176" s="944">
        <f t="shared" si="51"/>
        <v>80</v>
      </c>
      <c r="AD176" s="872"/>
    </row>
    <row r="177" spans="1:30" s="871" customFormat="1" ht="21">
      <c r="A177" s="547" t="s">
        <v>623</v>
      </c>
      <c r="B177" s="545"/>
      <c r="C177" s="539"/>
      <c r="D177" s="544">
        <v>46133</v>
      </c>
      <c r="E177" s="1000"/>
      <c r="F177" s="1001"/>
      <c r="G177" s="1001"/>
      <c r="H177" s="1001"/>
      <c r="I177" s="1001"/>
      <c r="J177" s="1001"/>
      <c r="K177" s="1001"/>
      <c r="L177" s="1005"/>
      <c r="M177" s="1005"/>
      <c r="N177" s="1005"/>
      <c r="O177" s="1005"/>
      <c r="P177" s="1005"/>
      <c r="Q177" s="1005"/>
      <c r="R177" s="1019"/>
      <c r="S177" s="1020">
        <f>2*16</f>
        <v>32</v>
      </c>
      <c r="T177" s="1021"/>
      <c r="U177" s="944">
        <f t="shared" ref="U177" si="52">SUM(E177:S177)</f>
        <v>32</v>
      </c>
      <c r="V177" s="1022"/>
      <c r="W177" s="1023"/>
      <c r="X177" s="1024">
        <f t="shared" ref="X177" si="53">U177+V177</f>
        <v>32</v>
      </c>
      <c r="Y177" s="1023"/>
      <c r="Z177" s="1024">
        <f t="shared" ref="Z177" si="54">X177+Y177</f>
        <v>32</v>
      </c>
      <c r="AD177" s="872"/>
    </row>
    <row r="178" spans="1:30" s="872" customFormat="1" ht="21">
      <c r="A178" s="551" t="s">
        <v>619</v>
      </c>
      <c r="B178" s="563"/>
      <c r="C178" s="553"/>
      <c r="D178" s="544">
        <v>46142</v>
      </c>
      <c r="E178" s="945"/>
      <c r="F178" s="904"/>
      <c r="G178" s="904"/>
      <c r="H178" s="904"/>
      <c r="I178" s="904"/>
      <c r="J178" s="904"/>
      <c r="K178" s="904"/>
      <c r="L178" s="912"/>
      <c r="M178" s="912"/>
      <c r="N178" s="912">
        <f>3*16</f>
        <v>48</v>
      </c>
      <c r="O178" s="912"/>
      <c r="P178" s="912"/>
      <c r="Q178" s="912"/>
      <c r="R178" s="941"/>
      <c r="S178" s="969">
        <f>4*16</f>
        <v>64</v>
      </c>
      <c r="T178" s="938"/>
      <c r="U178" s="944">
        <f t="shared" ref="U178" si="55">SUM(E178:S178)</f>
        <v>112</v>
      </c>
      <c r="V178" s="942"/>
      <c r="W178" s="957"/>
      <c r="X178" s="944">
        <f t="shared" ref="X178" si="56">U178+V178</f>
        <v>112</v>
      </c>
      <c r="Y178" s="957"/>
      <c r="Z178" s="944">
        <f t="shared" ref="Z178" si="57">X178+Y178</f>
        <v>112</v>
      </c>
      <c r="AD178" s="871"/>
    </row>
    <row r="179" spans="1:30" s="871" customFormat="1" ht="21">
      <c r="A179" s="547"/>
      <c r="B179" s="545"/>
      <c r="C179" s="539"/>
      <c r="D179" s="544"/>
      <c r="E179" s="1000"/>
      <c r="F179" s="1001"/>
      <c r="G179" s="1001"/>
      <c r="H179" s="1001"/>
      <c r="I179" s="1001"/>
      <c r="J179" s="1001"/>
      <c r="K179" s="1001"/>
      <c r="L179" s="1005"/>
      <c r="M179" s="1005"/>
      <c r="N179" s="1005"/>
      <c r="O179" s="1005"/>
      <c r="P179" s="1005"/>
      <c r="Q179" s="1005"/>
      <c r="R179" s="1019"/>
      <c r="S179" s="1020"/>
      <c r="T179" s="1021"/>
      <c r="U179" s="944">
        <f t="shared" si="49"/>
        <v>0</v>
      </c>
      <c r="V179" s="1022"/>
      <c r="W179" s="1023"/>
      <c r="X179" s="1024">
        <f t="shared" si="50"/>
        <v>0</v>
      </c>
      <c r="Y179" s="1023"/>
      <c r="Z179" s="1024">
        <f t="shared" si="51"/>
        <v>0</v>
      </c>
      <c r="AD179" s="872"/>
    </row>
    <row r="180" spans="1:30" s="872" customFormat="1" ht="21">
      <c r="A180" s="547"/>
      <c r="B180" s="796"/>
      <c r="C180" s="797"/>
      <c r="D180" s="544"/>
      <c r="E180" s="904"/>
      <c r="F180" s="904"/>
      <c r="G180" s="904"/>
      <c r="H180" s="904"/>
      <c r="I180" s="904"/>
      <c r="J180" s="904"/>
      <c r="K180" s="904"/>
      <c r="L180" s="912"/>
      <c r="M180" s="912"/>
      <c r="N180" s="912"/>
      <c r="O180" s="912"/>
      <c r="P180" s="912"/>
      <c r="Q180" s="912"/>
      <c r="R180" s="941"/>
      <c r="S180" s="969"/>
      <c r="T180" s="938"/>
      <c r="U180" s="944">
        <f t="shared" si="49"/>
        <v>0</v>
      </c>
      <c r="V180" s="942"/>
      <c r="W180" s="957"/>
      <c r="X180" s="944">
        <f t="shared" si="50"/>
        <v>0</v>
      </c>
      <c r="Y180" s="957"/>
      <c r="Z180" s="944">
        <f t="shared" si="51"/>
        <v>0</v>
      </c>
      <c r="AA180" s="871"/>
      <c r="AB180" s="871"/>
      <c r="AC180" s="871"/>
      <c r="AD180" s="871"/>
    </row>
    <row r="181" spans="1:30" s="872" customFormat="1" ht="21">
      <c r="A181" s="547"/>
      <c r="B181" s="545"/>
      <c r="C181" s="539"/>
      <c r="D181" s="544"/>
      <c r="E181" s="1002"/>
      <c r="F181" s="1003"/>
      <c r="G181" s="1001"/>
      <c r="H181" s="1001"/>
      <c r="I181" s="1001"/>
      <c r="J181" s="1001"/>
      <c r="K181" s="1001"/>
      <c r="L181" s="1005"/>
      <c r="M181" s="1005"/>
      <c r="N181" s="1005"/>
      <c r="O181" s="1005"/>
      <c r="P181" s="1005"/>
      <c r="Q181" s="1005"/>
      <c r="R181" s="1019"/>
      <c r="S181" s="1020"/>
      <c r="T181" s="1021"/>
      <c r="U181" s="1024">
        <f t="shared" si="49"/>
        <v>0</v>
      </c>
      <c r="V181" s="1022"/>
      <c r="W181" s="1023"/>
      <c r="X181" s="1024">
        <f t="shared" si="50"/>
        <v>0</v>
      </c>
      <c r="Y181" s="1023"/>
      <c r="Z181" s="1024">
        <f t="shared" si="51"/>
        <v>0</v>
      </c>
      <c r="AA181" s="871"/>
      <c r="AB181" s="871"/>
      <c r="AC181" s="871"/>
      <c r="AD181" s="871"/>
    </row>
    <row r="182" spans="1:30" s="871" customFormat="1" ht="21">
      <c r="A182" s="561"/>
      <c r="B182" s="552"/>
      <c r="C182" s="553"/>
      <c r="D182" s="544"/>
      <c r="E182" s="1002"/>
      <c r="F182" s="1003"/>
      <c r="G182" s="1001"/>
      <c r="H182" s="1001"/>
      <c r="I182" s="1001"/>
      <c r="J182" s="1001"/>
      <c r="K182" s="1001"/>
      <c r="L182" s="1005"/>
      <c r="M182" s="1005"/>
      <c r="N182" s="1005"/>
      <c r="O182" s="1005"/>
      <c r="P182" s="1005"/>
      <c r="Q182" s="1005"/>
      <c r="R182" s="1019"/>
      <c r="S182" s="1020"/>
      <c r="T182" s="1021"/>
      <c r="U182" s="1024">
        <f t="shared" ref="U182" si="58">SUM(E182:S182)</f>
        <v>0</v>
      </c>
      <c r="V182" s="1022"/>
      <c r="W182" s="1023"/>
      <c r="X182" s="1024">
        <f t="shared" ref="X182" si="59">U182+V182</f>
        <v>0</v>
      </c>
      <c r="Y182" s="1023"/>
      <c r="Z182" s="1024">
        <f t="shared" ref="Z182" si="60">X182+Y182</f>
        <v>0</v>
      </c>
      <c r="AA182" s="872"/>
      <c r="AB182" s="872"/>
      <c r="AC182" s="872"/>
      <c r="AD182" s="872"/>
    </row>
    <row r="183" spans="1:30" s="872" customFormat="1" ht="21" customHeight="1">
      <c r="A183" s="537"/>
      <c r="B183" s="552"/>
      <c r="C183" s="553"/>
      <c r="D183" s="544"/>
      <c r="E183" s="1001"/>
      <c r="F183" s="1001"/>
      <c r="G183" s="1001"/>
      <c r="H183" s="1001"/>
      <c r="I183" s="1001"/>
      <c r="J183" s="1001"/>
      <c r="K183" s="1001"/>
      <c r="L183" s="1005"/>
      <c r="M183" s="1005"/>
      <c r="N183" s="1005"/>
      <c r="O183" s="1005"/>
      <c r="P183" s="1005"/>
      <c r="Q183" s="1005"/>
      <c r="R183" s="1019"/>
      <c r="S183" s="1020"/>
      <c r="T183" s="1021"/>
      <c r="U183" s="1024">
        <f t="shared" si="49"/>
        <v>0</v>
      </c>
      <c r="V183" s="1022"/>
      <c r="W183" s="1023"/>
      <c r="X183" s="1024">
        <f t="shared" si="50"/>
        <v>0</v>
      </c>
      <c r="Y183" s="1023"/>
      <c r="Z183" s="1024">
        <f t="shared" si="51"/>
        <v>0</v>
      </c>
      <c r="AA183" s="871"/>
      <c r="AB183" s="871"/>
      <c r="AC183" s="871"/>
    </row>
    <row r="184" spans="1:30" s="872" customFormat="1" ht="21">
      <c r="A184" s="537"/>
      <c r="B184" s="552"/>
      <c r="C184" s="553"/>
      <c r="D184" s="544"/>
      <c r="E184" s="904"/>
      <c r="F184" s="904"/>
      <c r="G184" s="904"/>
      <c r="H184" s="904"/>
      <c r="I184" s="904"/>
      <c r="J184" s="904"/>
      <c r="K184" s="904"/>
      <c r="L184" s="912"/>
      <c r="M184" s="912"/>
      <c r="N184" s="912"/>
      <c r="O184" s="912"/>
      <c r="P184" s="912"/>
      <c r="Q184" s="912"/>
      <c r="R184" s="941"/>
      <c r="S184" s="969"/>
      <c r="T184" s="938"/>
      <c r="U184" s="944">
        <f t="shared" si="49"/>
        <v>0</v>
      </c>
      <c r="V184" s="942"/>
      <c r="W184" s="957"/>
      <c r="X184" s="944">
        <f t="shared" si="50"/>
        <v>0</v>
      </c>
      <c r="Y184" s="957"/>
      <c r="Z184" s="944">
        <f t="shared" si="51"/>
        <v>0</v>
      </c>
      <c r="AD184" s="871"/>
    </row>
    <row r="185" spans="1:30" s="871" customFormat="1" ht="21">
      <c r="A185" s="537"/>
      <c r="B185" s="552"/>
      <c r="C185" s="553"/>
      <c r="D185" s="544"/>
      <c r="E185" s="1001"/>
      <c r="F185" s="1001"/>
      <c r="G185" s="1001"/>
      <c r="H185" s="1001"/>
      <c r="I185" s="1001"/>
      <c r="J185" s="1001"/>
      <c r="K185" s="1001"/>
      <c r="L185" s="1005"/>
      <c r="M185" s="1005"/>
      <c r="N185" s="1005"/>
      <c r="O185" s="1005"/>
      <c r="P185" s="1005"/>
      <c r="Q185" s="1005"/>
      <c r="R185" s="1019"/>
      <c r="S185" s="1020"/>
      <c r="T185" s="1021"/>
      <c r="U185" s="1024">
        <f t="shared" si="49"/>
        <v>0</v>
      </c>
      <c r="V185" s="1022"/>
      <c r="W185" s="1023"/>
      <c r="X185" s="1024">
        <f t="shared" si="50"/>
        <v>0</v>
      </c>
      <c r="Y185" s="1023"/>
      <c r="Z185" s="1024">
        <f t="shared" si="51"/>
        <v>0</v>
      </c>
      <c r="AD185" s="872"/>
    </row>
    <row r="186" spans="1:30" s="872" customFormat="1" ht="21">
      <c r="A186" s="537"/>
      <c r="B186" s="552"/>
      <c r="C186" s="553"/>
      <c r="D186" s="555"/>
      <c r="E186" s="904"/>
      <c r="F186" s="904"/>
      <c r="G186" s="904"/>
      <c r="H186" s="904"/>
      <c r="I186" s="904"/>
      <c r="J186" s="904"/>
      <c r="K186" s="904"/>
      <c r="L186" s="912"/>
      <c r="M186" s="912"/>
      <c r="N186" s="912"/>
      <c r="O186" s="912"/>
      <c r="P186" s="912"/>
      <c r="Q186" s="912"/>
      <c r="R186" s="941"/>
      <c r="S186" s="969"/>
      <c r="T186" s="938"/>
      <c r="U186" s="944">
        <f t="shared" si="49"/>
        <v>0</v>
      </c>
      <c r="V186" s="942"/>
      <c r="W186" s="957"/>
      <c r="X186" s="944">
        <f t="shared" si="50"/>
        <v>0</v>
      </c>
      <c r="Y186" s="957"/>
      <c r="Z186" s="944">
        <f t="shared" si="51"/>
        <v>0</v>
      </c>
      <c r="AD186" s="871"/>
    </row>
    <row r="187" spans="1:30" s="871" customFormat="1" ht="21">
      <c r="A187" s="537"/>
      <c r="B187" s="550"/>
      <c r="C187" s="549"/>
      <c r="D187" s="544"/>
      <c r="E187" s="904"/>
      <c r="F187" s="904"/>
      <c r="G187" s="904"/>
      <c r="H187" s="904"/>
      <c r="I187" s="904"/>
      <c r="J187" s="904"/>
      <c r="K187" s="904"/>
      <c r="L187" s="912"/>
      <c r="M187" s="912"/>
      <c r="N187" s="912"/>
      <c r="O187" s="912"/>
      <c r="P187" s="912"/>
      <c r="Q187" s="912"/>
      <c r="R187" s="941"/>
      <c r="S187" s="969"/>
      <c r="T187" s="938"/>
      <c r="U187" s="944">
        <f t="shared" ref="U187" si="61">SUM(E187:S187)</f>
        <v>0</v>
      </c>
      <c r="V187" s="942"/>
      <c r="W187" s="957"/>
      <c r="X187" s="944">
        <f t="shared" ref="X187" si="62">U187+V187</f>
        <v>0</v>
      </c>
      <c r="Y187" s="957"/>
      <c r="Z187" s="944">
        <f t="shared" ref="Z187" si="63">X187+Y187</f>
        <v>0</v>
      </c>
      <c r="AD187" s="872"/>
    </row>
    <row r="188" spans="1:30" s="872" customFormat="1" ht="21">
      <c r="A188" s="537"/>
      <c r="B188" s="563"/>
      <c r="C188" s="553"/>
      <c r="D188" s="544"/>
      <c r="E188" s="1001"/>
      <c r="F188" s="1001"/>
      <c r="G188" s="1001"/>
      <c r="H188" s="1001"/>
      <c r="I188" s="1001"/>
      <c r="J188" s="1001"/>
      <c r="K188" s="1001"/>
      <c r="L188" s="1005"/>
      <c r="M188" s="1005"/>
      <c r="N188" s="1005"/>
      <c r="O188" s="1005"/>
      <c r="P188" s="1005"/>
      <c r="Q188" s="1005"/>
      <c r="R188" s="1019"/>
      <c r="S188" s="1020"/>
      <c r="T188" s="1021"/>
      <c r="U188" s="1024">
        <f t="shared" si="49"/>
        <v>0</v>
      </c>
      <c r="V188" s="1022"/>
      <c r="W188" s="1023"/>
      <c r="X188" s="1024">
        <f t="shared" si="50"/>
        <v>0</v>
      </c>
      <c r="Y188" s="1023"/>
      <c r="Z188" s="1024">
        <f t="shared" si="51"/>
        <v>0</v>
      </c>
      <c r="AD188" s="1"/>
    </row>
    <row r="189" spans="1:30" ht="21">
      <c r="A189" s="537"/>
      <c r="B189" s="552"/>
      <c r="C189" s="553"/>
      <c r="D189" s="544"/>
      <c r="E189" s="794"/>
      <c r="F189" s="904"/>
      <c r="G189" s="904"/>
      <c r="H189" s="904"/>
      <c r="I189" s="904"/>
      <c r="J189" s="904"/>
      <c r="K189" s="904"/>
      <c r="L189" s="912"/>
      <c r="M189" s="912"/>
      <c r="N189" s="912"/>
      <c r="O189" s="912"/>
      <c r="P189" s="912"/>
      <c r="Q189" s="912"/>
      <c r="R189" s="941"/>
      <c r="S189" s="969"/>
      <c r="T189" s="938"/>
      <c r="U189" s="944">
        <f t="shared" si="49"/>
        <v>0</v>
      </c>
      <c r="V189" s="942"/>
      <c r="W189" s="957"/>
      <c r="X189" s="944">
        <f t="shared" si="50"/>
        <v>0</v>
      </c>
      <c r="Y189" s="957"/>
      <c r="Z189" s="944">
        <f t="shared" si="51"/>
        <v>0</v>
      </c>
      <c r="AA189" s="872"/>
      <c r="AB189" s="872"/>
      <c r="AC189" s="872"/>
      <c r="AD189" s="872"/>
    </row>
    <row r="190" spans="1:30" s="872" customFormat="1" ht="21">
      <c r="A190" s="537"/>
      <c r="B190" s="550"/>
      <c r="C190" s="549"/>
      <c r="D190" s="544"/>
      <c r="E190" s="1001"/>
      <c r="F190" s="1001"/>
      <c r="G190" s="1001"/>
      <c r="H190" s="1001"/>
      <c r="I190" s="1001"/>
      <c r="J190" s="1001"/>
      <c r="K190" s="1001"/>
      <c r="L190" s="1005"/>
      <c r="M190" s="1005"/>
      <c r="N190" s="1005"/>
      <c r="O190" s="1005"/>
      <c r="P190" s="1005"/>
      <c r="Q190" s="1005"/>
      <c r="R190" s="1019"/>
      <c r="S190" s="1020"/>
      <c r="T190" s="1021"/>
      <c r="U190" s="1024">
        <f t="shared" si="49"/>
        <v>0</v>
      </c>
      <c r="V190" s="1022"/>
      <c r="W190" s="1023"/>
      <c r="X190" s="1024">
        <f t="shared" si="50"/>
        <v>0</v>
      </c>
      <c r="Y190" s="1023"/>
      <c r="Z190" s="1024">
        <f t="shared" si="51"/>
        <v>0</v>
      </c>
    </row>
    <row r="191" spans="1:30" s="872" customFormat="1" ht="21">
      <c r="A191" s="561"/>
      <c r="B191" s="538"/>
      <c r="C191" s="539"/>
      <c r="D191" s="544"/>
      <c r="E191" s="904"/>
      <c r="F191" s="904"/>
      <c r="G191" s="904"/>
      <c r="H191" s="904"/>
      <c r="I191" s="904"/>
      <c r="J191" s="904"/>
      <c r="K191" s="904"/>
      <c r="L191" s="912"/>
      <c r="M191" s="912"/>
      <c r="N191" s="912"/>
      <c r="O191" s="912"/>
      <c r="P191" s="912"/>
      <c r="Q191" s="912"/>
      <c r="R191" s="941"/>
      <c r="S191" s="969"/>
      <c r="T191" s="938"/>
      <c r="U191" s="944">
        <f t="shared" si="49"/>
        <v>0</v>
      </c>
      <c r="V191" s="942"/>
      <c r="W191" s="957"/>
      <c r="X191" s="944">
        <f t="shared" si="50"/>
        <v>0</v>
      </c>
      <c r="Y191" s="957"/>
      <c r="Z191" s="944">
        <f t="shared" si="51"/>
        <v>0</v>
      </c>
      <c r="AA191" s="871"/>
      <c r="AB191" s="871"/>
      <c r="AC191" s="871"/>
      <c r="AD191" s="871"/>
    </row>
    <row r="192" spans="1:30" s="871" customFormat="1" ht="21">
      <c r="A192" s="537"/>
      <c r="B192" s="550"/>
      <c r="C192" s="549"/>
      <c r="D192" s="544"/>
      <c r="E192" s="904"/>
      <c r="F192" s="904"/>
      <c r="G192" s="904"/>
      <c r="H192" s="904"/>
      <c r="I192" s="904"/>
      <c r="J192" s="904"/>
      <c r="K192" s="904"/>
      <c r="L192" s="912"/>
      <c r="M192" s="912"/>
      <c r="N192" s="912"/>
      <c r="O192" s="912"/>
      <c r="P192" s="912"/>
      <c r="Q192" s="912"/>
      <c r="R192" s="941"/>
      <c r="S192" s="969"/>
      <c r="T192" s="938"/>
      <c r="U192" s="944">
        <f t="shared" si="49"/>
        <v>0</v>
      </c>
      <c r="V192" s="942"/>
      <c r="W192" s="957"/>
      <c r="X192" s="944">
        <f t="shared" si="50"/>
        <v>0</v>
      </c>
      <c r="Y192" s="957"/>
      <c r="Z192" s="944">
        <f t="shared" si="51"/>
        <v>0</v>
      </c>
      <c r="AA192" s="872"/>
      <c r="AB192" s="872"/>
      <c r="AC192" s="872"/>
      <c r="AD192" s="872"/>
    </row>
    <row r="193" spans="1:30" s="872" customFormat="1" ht="21">
      <c r="A193" s="537"/>
      <c r="B193" s="550"/>
      <c r="C193" s="549"/>
      <c r="D193" s="544"/>
      <c r="E193" s="904"/>
      <c r="F193" s="904"/>
      <c r="G193" s="904"/>
      <c r="H193" s="904"/>
      <c r="I193" s="904"/>
      <c r="J193" s="904"/>
      <c r="K193" s="904"/>
      <c r="L193" s="912"/>
      <c r="M193" s="912"/>
      <c r="N193" s="912"/>
      <c r="O193" s="912"/>
      <c r="P193" s="912"/>
      <c r="Q193" s="912"/>
      <c r="R193" s="941"/>
      <c r="S193" s="969"/>
      <c r="T193" s="938"/>
      <c r="U193" s="944">
        <f t="shared" si="49"/>
        <v>0</v>
      </c>
      <c r="V193" s="942"/>
      <c r="W193" s="957"/>
      <c r="X193" s="944">
        <f t="shared" si="50"/>
        <v>0</v>
      </c>
      <c r="Y193" s="957"/>
      <c r="Z193" s="944">
        <f t="shared" si="51"/>
        <v>0</v>
      </c>
      <c r="AA193" s="871"/>
      <c r="AB193" s="871"/>
      <c r="AC193" s="871"/>
    </row>
    <row r="194" spans="1:30" s="872" customFormat="1" ht="21">
      <c r="A194" s="537"/>
      <c r="B194" s="550"/>
      <c r="C194" s="549"/>
      <c r="D194" s="544"/>
      <c r="E194" s="1001"/>
      <c r="F194" s="1001"/>
      <c r="G194" s="1001"/>
      <c r="H194" s="1001"/>
      <c r="I194" s="1001"/>
      <c r="J194" s="1001"/>
      <c r="K194" s="1001"/>
      <c r="L194" s="1005"/>
      <c r="M194" s="1005"/>
      <c r="N194" s="1005"/>
      <c r="O194" s="1005"/>
      <c r="P194" s="1005"/>
      <c r="Q194" s="1005"/>
      <c r="R194" s="1019"/>
      <c r="S194" s="1020"/>
      <c r="T194" s="1021"/>
      <c r="U194" s="1024">
        <f t="shared" si="49"/>
        <v>0</v>
      </c>
      <c r="V194" s="1022"/>
      <c r="W194" s="1023"/>
      <c r="X194" s="1024">
        <f t="shared" si="50"/>
        <v>0</v>
      </c>
      <c r="Y194" s="1023"/>
      <c r="Z194" s="1024">
        <f t="shared" si="51"/>
        <v>0</v>
      </c>
    </row>
    <row r="195" spans="1:30" s="872" customFormat="1" ht="21">
      <c r="A195" s="537"/>
      <c r="B195" s="550"/>
      <c r="C195" s="549"/>
      <c r="D195" s="544"/>
      <c r="E195" s="904"/>
      <c r="F195" s="904"/>
      <c r="G195" s="904"/>
      <c r="H195" s="904"/>
      <c r="I195" s="904"/>
      <c r="J195" s="904"/>
      <c r="K195" s="904"/>
      <c r="L195" s="912"/>
      <c r="M195" s="912"/>
      <c r="N195" s="912"/>
      <c r="O195" s="912"/>
      <c r="P195" s="912"/>
      <c r="Q195" s="912"/>
      <c r="R195" s="941"/>
      <c r="S195" s="969"/>
      <c r="T195" s="938"/>
      <c r="U195" s="944">
        <f t="shared" si="49"/>
        <v>0</v>
      </c>
      <c r="V195" s="942"/>
      <c r="W195" s="957"/>
      <c r="X195" s="944">
        <f t="shared" si="50"/>
        <v>0</v>
      </c>
      <c r="Y195" s="957"/>
      <c r="Z195" s="944">
        <f t="shared" si="51"/>
        <v>0</v>
      </c>
    </row>
    <row r="196" spans="1:30" s="872" customFormat="1" ht="21">
      <c r="A196" s="537"/>
      <c r="B196" s="550"/>
      <c r="C196" s="549"/>
      <c r="D196" s="544"/>
      <c r="E196" s="1001"/>
      <c r="F196" s="1001"/>
      <c r="G196" s="1001"/>
      <c r="H196" s="1001"/>
      <c r="I196" s="1001"/>
      <c r="J196" s="1001"/>
      <c r="K196" s="1001"/>
      <c r="L196" s="1005"/>
      <c r="M196" s="1005"/>
      <c r="N196" s="1005"/>
      <c r="O196" s="1005"/>
      <c r="P196" s="1005"/>
      <c r="Q196" s="1005"/>
      <c r="R196" s="1019"/>
      <c r="S196" s="1020"/>
      <c r="T196" s="1021"/>
      <c r="U196" s="1024">
        <f t="shared" si="49"/>
        <v>0</v>
      </c>
      <c r="V196" s="1022"/>
      <c r="W196" s="1023"/>
      <c r="X196" s="1024">
        <f t="shared" si="50"/>
        <v>0</v>
      </c>
      <c r="Y196" s="1023"/>
      <c r="Z196" s="1024">
        <f t="shared" si="51"/>
        <v>0</v>
      </c>
      <c r="AA196" s="871"/>
      <c r="AB196" s="871"/>
      <c r="AC196" s="871"/>
      <c r="AD196" s="1"/>
    </row>
    <row r="197" spans="1:30" ht="21" customHeight="1">
      <c r="A197" s="537"/>
      <c r="B197" s="550"/>
      <c r="C197" s="549"/>
      <c r="D197" s="544"/>
      <c r="E197" s="945"/>
      <c r="F197" s="904"/>
      <c r="G197" s="904"/>
      <c r="H197" s="904"/>
      <c r="I197" s="904"/>
      <c r="J197" s="904"/>
      <c r="K197" s="904"/>
      <c r="L197" s="912"/>
      <c r="M197" s="912"/>
      <c r="N197" s="912"/>
      <c r="O197" s="912"/>
      <c r="P197" s="912"/>
      <c r="Q197" s="912"/>
      <c r="R197" s="941"/>
      <c r="S197" s="969"/>
      <c r="T197" s="938"/>
      <c r="U197" s="944">
        <f t="shared" si="49"/>
        <v>0</v>
      </c>
      <c r="V197" s="942"/>
      <c r="W197" s="957"/>
      <c r="X197" s="944">
        <f t="shared" si="50"/>
        <v>0</v>
      </c>
      <c r="Y197" s="957"/>
      <c r="Z197" s="944">
        <f t="shared" si="51"/>
        <v>0</v>
      </c>
      <c r="AA197" s="872"/>
      <c r="AB197" s="872"/>
      <c r="AC197" s="872"/>
      <c r="AD197" s="870"/>
    </row>
    <row r="198" spans="1:30" s="870" customFormat="1" ht="21">
      <c r="A198" s="537"/>
      <c r="B198" s="550"/>
      <c r="C198" s="549"/>
      <c r="D198" s="544"/>
      <c r="E198" s="904"/>
      <c r="F198" s="904"/>
      <c r="G198" s="904"/>
      <c r="H198" s="904"/>
      <c r="I198" s="904"/>
      <c r="J198" s="904"/>
      <c r="K198" s="904"/>
      <c r="L198" s="912"/>
      <c r="M198" s="912"/>
      <c r="N198" s="912"/>
      <c r="O198" s="912"/>
      <c r="P198" s="912"/>
      <c r="Q198" s="912"/>
      <c r="R198" s="941"/>
      <c r="S198" s="969"/>
      <c r="T198" s="938"/>
      <c r="U198" s="944">
        <f t="shared" si="49"/>
        <v>0</v>
      </c>
      <c r="V198" s="942"/>
      <c r="W198" s="957"/>
      <c r="X198" s="944">
        <f t="shared" si="50"/>
        <v>0</v>
      </c>
      <c r="Y198" s="957"/>
      <c r="Z198" s="944">
        <f t="shared" si="51"/>
        <v>0</v>
      </c>
      <c r="AA198" s="872"/>
      <c r="AB198" s="872"/>
      <c r="AC198" s="872"/>
      <c r="AD198" s="1"/>
    </row>
    <row r="199" spans="1:30" ht="21">
      <c r="A199" s="537"/>
      <c r="B199" s="550"/>
      <c r="C199" s="549"/>
      <c r="D199" s="544"/>
      <c r="E199" s="1001"/>
      <c r="F199" s="1001"/>
      <c r="G199" s="1001"/>
      <c r="H199" s="1001"/>
      <c r="I199" s="1001"/>
      <c r="J199" s="1001"/>
      <c r="K199" s="1001"/>
      <c r="L199" s="1005"/>
      <c r="M199" s="1005"/>
      <c r="N199" s="1005"/>
      <c r="O199" s="1005"/>
      <c r="P199" s="1005"/>
      <c r="Q199" s="1005"/>
      <c r="R199" s="1019"/>
      <c r="S199" s="1020"/>
      <c r="T199" s="1021"/>
      <c r="U199" s="1024">
        <f t="shared" si="49"/>
        <v>0</v>
      </c>
      <c r="V199" s="1022"/>
      <c r="W199" s="1023"/>
      <c r="X199" s="1024">
        <f t="shared" si="50"/>
        <v>0</v>
      </c>
      <c r="Y199" s="1023"/>
      <c r="Z199" s="1024">
        <f t="shared" si="51"/>
        <v>0</v>
      </c>
      <c r="AA199" s="872"/>
      <c r="AB199" s="872"/>
      <c r="AC199" s="872"/>
      <c r="AD199" s="282"/>
    </row>
    <row r="200" spans="1:30" s="282" customFormat="1" ht="18.75" customHeight="1">
      <c r="A200" s="561"/>
      <c r="B200" s="554"/>
      <c r="C200" s="817"/>
      <c r="D200" s="544"/>
      <c r="E200" s="904"/>
      <c r="F200" s="904"/>
      <c r="G200" s="904"/>
      <c r="H200" s="904"/>
      <c r="I200" s="904"/>
      <c r="J200" s="904"/>
      <c r="K200" s="904"/>
      <c r="L200" s="912"/>
      <c r="M200" s="912"/>
      <c r="N200" s="912"/>
      <c r="O200" s="912"/>
      <c r="P200" s="912"/>
      <c r="Q200" s="912"/>
      <c r="R200" s="941"/>
      <c r="S200" s="969"/>
      <c r="T200" s="938"/>
      <c r="U200" s="944">
        <f t="shared" si="49"/>
        <v>0</v>
      </c>
      <c r="V200" s="942"/>
      <c r="W200" s="957"/>
      <c r="X200" s="944">
        <f t="shared" si="50"/>
        <v>0</v>
      </c>
      <c r="Y200" s="957"/>
      <c r="Z200" s="944">
        <f t="shared" si="51"/>
        <v>0</v>
      </c>
      <c r="AA200" s="871"/>
      <c r="AB200" s="871"/>
      <c r="AC200" s="871"/>
      <c r="AD200" s="1"/>
    </row>
    <row r="201" spans="1:30" ht="21">
      <c r="A201" s="551"/>
      <c r="B201" s="552"/>
      <c r="C201" s="553"/>
      <c r="D201" s="544"/>
      <c r="E201" s="904"/>
      <c r="F201" s="904"/>
      <c r="G201" s="904"/>
      <c r="H201" s="904"/>
      <c r="I201" s="904"/>
      <c r="J201" s="904"/>
      <c r="K201" s="904"/>
      <c r="L201" s="912"/>
      <c r="M201" s="912"/>
      <c r="N201" s="912"/>
      <c r="O201" s="912"/>
      <c r="P201" s="912"/>
      <c r="Q201" s="912"/>
      <c r="R201" s="941"/>
      <c r="S201" s="969"/>
      <c r="T201" s="938"/>
      <c r="U201" s="944">
        <f t="shared" si="49"/>
        <v>0</v>
      </c>
      <c r="V201" s="942"/>
      <c r="W201" s="957"/>
      <c r="X201" s="944">
        <f t="shared" si="50"/>
        <v>0</v>
      </c>
      <c r="Y201" s="957"/>
      <c r="Z201" s="944">
        <f t="shared" si="51"/>
        <v>0</v>
      </c>
      <c r="AA201" s="872"/>
      <c r="AB201" s="872"/>
      <c r="AC201" s="872"/>
    </row>
    <row r="202" spans="1:30" ht="21">
      <c r="A202" s="537"/>
      <c r="B202" s="538"/>
      <c r="C202" s="539"/>
      <c r="D202" s="544"/>
      <c r="E202" s="1029"/>
      <c r="F202" s="904"/>
      <c r="G202" s="904"/>
      <c r="H202" s="904"/>
      <c r="I202" s="904"/>
      <c r="J202" s="904"/>
      <c r="K202" s="904"/>
      <c r="L202" s="912"/>
      <c r="M202" s="912"/>
      <c r="N202" s="912"/>
      <c r="O202" s="912"/>
      <c r="P202" s="912"/>
      <c r="Q202" s="912"/>
      <c r="R202" s="941"/>
      <c r="S202" s="969"/>
      <c r="T202" s="938"/>
      <c r="U202" s="944">
        <f t="shared" si="49"/>
        <v>0</v>
      </c>
      <c r="V202" s="942"/>
      <c r="W202" s="957"/>
      <c r="X202" s="944">
        <f t="shared" si="50"/>
        <v>0</v>
      </c>
      <c r="Y202" s="957"/>
      <c r="Z202" s="944">
        <f t="shared" si="51"/>
        <v>0</v>
      </c>
      <c r="AA202" s="871"/>
      <c r="AB202" s="871"/>
      <c r="AC202" s="871"/>
      <c r="AD202" s="870"/>
    </row>
    <row r="203" spans="1:30" s="870" customFormat="1" ht="21">
      <c r="A203" s="537"/>
      <c r="B203" s="545"/>
      <c r="C203" s="539"/>
      <c r="D203" s="555"/>
      <c r="E203" s="1001"/>
      <c r="F203" s="1001"/>
      <c r="G203" s="1001"/>
      <c r="H203" s="1001"/>
      <c r="I203" s="1001"/>
      <c r="J203" s="1001"/>
      <c r="K203" s="1001"/>
      <c r="L203" s="1005"/>
      <c r="M203" s="1005"/>
      <c r="N203" s="1005"/>
      <c r="O203" s="1005"/>
      <c r="P203" s="1005"/>
      <c r="Q203" s="1005"/>
      <c r="R203" s="1019"/>
      <c r="S203" s="1020"/>
      <c r="T203" s="1021"/>
      <c r="U203" s="1024">
        <f t="shared" si="49"/>
        <v>0</v>
      </c>
      <c r="V203" s="1022"/>
      <c r="W203" s="1023"/>
      <c r="X203" s="1024">
        <f t="shared" si="50"/>
        <v>0</v>
      </c>
      <c r="Y203" s="1023"/>
      <c r="Z203" s="1024">
        <f t="shared" si="51"/>
        <v>0</v>
      </c>
      <c r="AA203" s="872"/>
      <c r="AB203" s="872"/>
      <c r="AC203" s="872"/>
      <c r="AD203" s="1"/>
    </row>
    <row r="204" spans="1:30" s="1" customFormat="1" ht="21">
      <c r="A204" s="551"/>
      <c r="B204" s="563"/>
      <c r="C204" s="553"/>
      <c r="D204" s="544"/>
      <c r="E204" s="904"/>
      <c r="F204" s="904"/>
      <c r="G204" s="904"/>
      <c r="H204" s="904"/>
      <c r="I204" s="904"/>
      <c r="J204" s="904"/>
      <c r="K204" s="904"/>
      <c r="L204" s="1005"/>
      <c r="M204" s="1005"/>
      <c r="N204" s="1005"/>
      <c r="O204" s="1005"/>
      <c r="P204" s="1005"/>
      <c r="Q204" s="1005"/>
      <c r="R204" s="1019"/>
      <c r="S204" s="1020"/>
      <c r="T204" s="938"/>
      <c r="U204" s="944">
        <f t="shared" si="49"/>
        <v>0</v>
      </c>
      <c r="V204" s="942"/>
      <c r="W204" s="957"/>
      <c r="X204" s="944">
        <f t="shared" si="50"/>
        <v>0</v>
      </c>
      <c r="Y204" s="957"/>
      <c r="Z204" s="944">
        <f t="shared" si="51"/>
        <v>0</v>
      </c>
      <c r="AA204" s="871"/>
      <c r="AB204" s="871"/>
      <c r="AC204" s="871"/>
    </row>
    <row r="205" spans="1:30" ht="21" customHeight="1">
      <c r="A205" s="537"/>
      <c r="B205" s="538"/>
      <c r="C205" s="539"/>
      <c r="D205" s="555"/>
      <c r="E205" s="1004"/>
      <c r="F205" s="1001"/>
      <c r="G205" s="1001"/>
      <c r="H205" s="1001"/>
      <c r="I205" s="1001"/>
      <c r="J205" s="1001"/>
      <c r="K205" s="1001"/>
      <c r="L205" s="1005"/>
      <c r="M205" s="1005"/>
      <c r="N205" s="1005"/>
      <c r="O205" s="1005"/>
      <c r="P205" s="1005"/>
      <c r="Q205" s="1005"/>
      <c r="R205" s="1019"/>
      <c r="S205" s="1020"/>
      <c r="T205" s="1021"/>
      <c r="U205" s="1024">
        <f t="shared" si="49"/>
        <v>0</v>
      </c>
      <c r="V205" s="1022"/>
      <c r="W205" s="1023"/>
      <c r="X205" s="1024">
        <f t="shared" si="50"/>
        <v>0</v>
      </c>
      <c r="Y205" s="1023"/>
      <c r="Z205" s="1024">
        <f t="shared" si="51"/>
        <v>0</v>
      </c>
      <c r="AA205" s="872"/>
      <c r="AB205" s="872"/>
      <c r="AC205" s="872"/>
    </row>
    <row r="206" spans="1:30" ht="21">
      <c r="A206" s="551"/>
      <c r="B206" s="552"/>
      <c r="C206" s="553"/>
      <c r="D206" s="544"/>
      <c r="E206" s="904"/>
      <c r="F206" s="904"/>
      <c r="G206" s="904"/>
      <c r="H206" s="904"/>
      <c r="I206" s="904"/>
      <c r="J206" s="904"/>
      <c r="K206" s="904"/>
      <c r="L206" s="912"/>
      <c r="M206" s="912"/>
      <c r="N206" s="912"/>
      <c r="O206" s="912"/>
      <c r="P206" s="912"/>
      <c r="Q206" s="912"/>
      <c r="R206" s="941"/>
      <c r="S206" s="969"/>
      <c r="T206" s="938"/>
      <c r="U206" s="944">
        <f t="shared" si="49"/>
        <v>0</v>
      </c>
      <c r="V206" s="942"/>
      <c r="W206" s="957"/>
      <c r="X206" s="944">
        <f t="shared" si="50"/>
        <v>0</v>
      </c>
      <c r="Y206" s="957"/>
      <c r="Z206" s="944">
        <f t="shared" si="51"/>
        <v>0</v>
      </c>
      <c r="AA206" s="871"/>
      <c r="AB206" s="871"/>
      <c r="AC206" s="871"/>
    </row>
    <row r="207" spans="1:30" ht="21">
      <c r="A207" s="551"/>
      <c r="B207" s="552"/>
      <c r="C207" s="553"/>
      <c r="D207" s="544"/>
      <c r="E207" s="1001"/>
      <c r="F207" s="1001"/>
      <c r="G207" s="1001"/>
      <c r="H207" s="1001"/>
      <c r="I207" s="1001"/>
      <c r="J207" s="1001"/>
      <c r="K207" s="1001"/>
      <c r="L207" s="1005"/>
      <c r="M207" s="1005"/>
      <c r="N207" s="1005"/>
      <c r="O207" s="1005"/>
      <c r="P207" s="1005"/>
      <c r="Q207" s="1005"/>
      <c r="R207" s="1019"/>
      <c r="S207" s="1020"/>
      <c r="T207" s="1021"/>
      <c r="U207" s="1024">
        <f t="shared" si="49"/>
        <v>0</v>
      </c>
      <c r="V207" s="1022"/>
      <c r="W207" s="1023"/>
      <c r="X207" s="1024">
        <f t="shared" si="50"/>
        <v>0</v>
      </c>
      <c r="Y207" s="1023"/>
      <c r="Z207" s="1024">
        <f t="shared" si="51"/>
        <v>0</v>
      </c>
      <c r="AA207" s="871"/>
      <c r="AB207" s="871"/>
      <c r="AC207" s="871"/>
    </row>
    <row r="208" spans="1:30" ht="21">
      <c r="A208" s="551"/>
      <c r="B208" s="552"/>
      <c r="C208" s="553"/>
      <c r="D208" s="544"/>
      <c r="E208" s="904"/>
      <c r="F208" s="904"/>
      <c r="G208" s="904"/>
      <c r="H208" s="904"/>
      <c r="I208" s="904"/>
      <c r="J208" s="904"/>
      <c r="K208" s="904"/>
      <c r="L208" s="912"/>
      <c r="M208" s="912"/>
      <c r="N208" s="912"/>
      <c r="O208" s="912"/>
      <c r="P208" s="912"/>
      <c r="Q208" s="912"/>
      <c r="R208" s="941"/>
      <c r="S208" s="969"/>
      <c r="T208" s="938"/>
      <c r="U208" s="944">
        <f t="shared" si="49"/>
        <v>0</v>
      </c>
      <c r="V208" s="942"/>
      <c r="W208" s="957"/>
      <c r="X208" s="944">
        <f t="shared" si="50"/>
        <v>0</v>
      </c>
      <c r="Y208" s="957"/>
      <c r="Z208" s="944">
        <f t="shared" si="51"/>
        <v>0</v>
      </c>
      <c r="AA208" s="872"/>
      <c r="AB208" s="872"/>
      <c r="AC208" s="872"/>
    </row>
    <row r="209" spans="1:29" ht="21">
      <c r="A209" s="537"/>
      <c r="B209" s="550"/>
      <c r="C209" s="549"/>
      <c r="D209" s="544"/>
      <c r="E209" s="1001"/>
      <c r="F209" s="1001"/>
      <c r="G209" s="1001"/>
      <c r="H209" s="1001"/>
      <c r="I209" s="1001"/>
      <c r="J209" s="1001"/>
      <c r="K209" s="1001"/>
      <c r="L209" s="1005"/>
      <c r="M209" s="1005"/>
      <c r="N209" s="1005"/>
      <c r="O209" s="1005"/>
      <c r="P209" s="1005"/>
      <c r="Q209" s="1005"/>
      <c r="R209" s="1019"/>
      <c r="S209" s="1020"/>
      <c r="T209" s="1021"/>
      <c r="U209" s="1024">
        <f t="shared" si="49"/>
        <v>0</v>
      </c>
      <c r="V209" s="1022"/>
      <c r="W209" s="1023"/>
      <c r="X209" s="1024">
        <f t="shared" si="50"/>
        <v>0</v>
      </c>
      <c r="Y209" s="1023"/>
      <c r="Z209" s="1024">
        <f t="shared" si="51"/>
        <v>0</v>
      </c>
      <c r="AA209" s="872"/>
      <c r="AB209" s="872"/>
      <c r="AC209" s="872"/>
    </row>
    <row r="210" spans="1:29" ht="19.5" customHeight="1">
      <c r="A210" s="551"/>
      <c r="B210" s="552"/>
      <c r="C210" s="553"/>
      <c r="D210" s="544"/>
      <c r="E210" s="1001"/>
      <c r="F210" s="1001"/>
      <c r="G210" s="1001"/>
      <c r="H210" s="1001"/>
      <c r="I210" s="1001"/>
      <c r="J210" s="1001"/>
      <c r="K210" s="1001"/>
      <c r="L210" s="1005"/>
      <c r="M210" s="1005"/>
      <c r="N210" s="1005"/>
      <c r="O210" s="1005"/>
      <c r="P210" s="1005"/>
      <c r="Q210" s="1005"/>
      <c r="R210" s="1019"/>
      <c r="S210" s="1020"/>
      <c r="T210" s="1021"/>
      <c r="U210" s="1024">
        <f t="shared" si="49"/>
        <v>0</v>
      </c>
      <c r="V210" s="1022"/>
      <c r="W210" s="1023"/>
      <c r="X210" s="1024">
        <f t="shared" si="50"/>
        <v>0</v>
      </c>
      <c r="Y210" s="1023"/>
      <c r="Z210" s="1024">
        <f t="shared" si="51"/>
        <v>0</v>
      </c>
      <c r="AA210" s="871"/>
      <c r="AB210" s="871"/>
      <c r="AC210" s="871"/>
    </row>
    <row r="211" spans="1:29" ht="21">
      <c r="A211" s="561"/>
      <c r="B211" s="538"/>
      <c r="C211" s="539"/>
      <c r="D211" s="544"/>
      <c r="E211" s="904"/>
      <c r="F211" s="904"/>
      <c r="G211" s="904"/>
      <c r="H211" s="904"/>
      <c r="I211" s="904"/>
      <c r="J211" s="904"/>
      <c r="K211" s="904"/>
      <c r="L211" s="912"/>
      <c r="M211" s="912"/>
      <c r="N211" s="912"/>
      <c r="O211" s="912"/>
      <c r="P211" s="912"/>
      <c r="Q211" s="912"/>
      <c r="R211" s="941"/>
      <c r="S211" s="969"/>
      <c r="T211" s="938"/>
      <c r="U211" s="944">
        <f t="shared" si="49"/>
        <v>0</v>
      </c>
      <c r="V211" s="942"/>
      <c r="W211" s="957"/>
      <c r="X211" s="944">
        <f t="shared" si="50"/>
        <v>0</v>
      </c>
      <c r="Y211" s="957"/>
      <c r="Z211" s="944">
        <f t="shared" si="51"/>
        <v>0</v>
      </c>
      <c r="AA211" s="872"/>
      <c r="AB211" s="872"/>
      <c r="AC211" s="872"/>
    </row>
    <row r="212" spans="1:29" ht="21">
      <c r="A212" s="551"/>
      <c r="B212" s="563"/>
      <c r="C212" s="553"/>
      <c r="D212" s="544"/>
      <c r="E212" s="904"/>
      <c r="F212" s="904"/>
      <c r="G212" s="904"/>
      <c r="H212" s="904"/>
      <c r="I212" s="904"/>
      <c r="J212" s="904"/>
      <c r="K212" s="904"/>
      <c r="L212" s="912"/>
      <c r="M212" s="912"/>
      <c r="N212" s="912"/>
      <c r="O212" s="912"/>
      <c r="P212" s="912"/>
      <c r="Q212" s="912"/>
      <c r="R212" s="941"/>
      <c r="S212" s="969"/>
      <c r="T212" s="938"/>
      <c r="U212" s="944">
        <f t="shared" si="49"/>
        <v>0</v>
      </c>
      <c r="V212" s="942"/>
      <c r="W212" s="957"/>
      <c r="X212" s="944">
        <f t="shared" si="50"/>
        <v>0</v>
      </c>
      <c r="Y212" s="957"/>
      <c r="Z212" s="944">
        <f t="shared" si="51"/>
        <v>0</v>
      </c>
      <c r="AA212" s="871"/>
      <c r="AB212" s="871"/>
      <c r="AC212" s="871"/>
    </row>
    <row r="213" spans="1:29" ht="21">
      <c r="A213" s="551"/>
      <c r="B213" s="552"/>
      <c r="C213" s="553"/>
      <c r="D213" s="544"/>
      <c r="E213" s="1001"/>
      <c r="F213" s="1001"/>
      <c r="G213" s="1001"/>
      <c r="H213" s="1001"/>
      <c r="I213" s="1001"/>
      <c r="J213" s="1001"/>
      <c r="K213" s="1001"/>
      <c r="L213" s="1005"/>
      <c r="M213" s="1005"/>
      <c r="N213" s="1005"/>
      <c r="O213" s="1005"/>
      <c r="P213" s="1005"/>
      <c r="Q213" s="1005"/>
      <c r="R213" s="1019"/>
      <c r="S213" s="1020"/>
      <c r="T213" s="1021"/>
      <c r="U213" s="1024">
        <f t="shared" si="49"/>
        <v>0</v>
      </c>
      <c r="V213" s="1022"/>
      <c r="W213" s="1023"/>
      <c r="X213" s="1024">
        <f t="shared" si="50"/>
        <v>0</v>
      </c>
      <c r="Y213" s="1023"/>
      <c r="Z213" s="1024">
        <f t="shared" si="51"/>
        <v>0</v>
      </c>
      <c r="AA213" s="872"/>
      <c r="AB213" s="872"/>
      <c r="AC213" s="872"/>
    </row>
    <row r="214" spans="1:29" ht="21">
      <c r="A214" s="551"/>
      <c r="B214" s="552"/>
      <c r="C214" s="553"/>
      <c r="D214" s="544"/>
      <c r="E214" s="904"/>
      <c r="F214" s="904"/>
      <c r="G214" s="904"/>
      <c r="H214" s="904"/>
      <c r="I214" s="904"/>
      <c r="J214" s="904"/>
      <c r="K214" s="904"/>
      <c r="L214" s="912"/>
      <c r="M214" s="912"/>
      <c r="N214" s="912"/>
      <c r="O214" s="912"/>
      <c r="P214" s="912"/>
      <c r="Q214" s="912"/>
      <c r="R214" s="941"/>
      <c r="S214" s="969"/>
      <c r="T214" s="938"/>
      <c r="U214" s="944">
        <f t="shared" si="49"/>
        <v>0</v>
      </c>
      <c r="V214" s="942"/>
      <c r="W214" s="957"/>
      <c r="X214" s="944">
        <f t="shared" si="50"/>
        <v>0</v>
      </c>
      <c r="Y214" s="957"/>
      <c r="Z214" s="944">
        <f t="shared" si="51"/>
        <v>0</v>
      </c>
      <c r="AA214" s="872"/>
      <c r="AB214" s="872"/>
      <c r="AC214" s="872"/>
    </row>
    <row r="215" spans="1:29" ht="21">
      <c r="A215" s="551"/>
      <c r="B215" s="552"/>
      <c r="C215" s="553"/>
      <c r="D215" s="544"/>
      <c r="E215" s="1001"/>
      <c r="F215" s="1001"/>
      <c r="G215" s="1001"/>
      <c r="H215" s="1001"/>
      <c r="I215" s="1001"/>
      <c r="J215" s="1001"/>
      <c r="K215" s="1001"/>
      <c r="L215" s="1005"/>
      <c r="M215" s="1005"/>
      <c r="N215" s="1005"/>
      <c r="O215" s="1005"/>
      <c r="P215" s="1005"/>
      <c r="Q215" s="1005"/>
      <c r="R215" s="1019"/>
      <c r="S215" s="1020"/>
      <c r="T215" s="1021"/>
      <c r="U215" s="1024">
        <f t="shared" si="49"/>
        <v>0</v>
      </c>
      <c r="V215" s="1022"/>
      <c r="W215" s="1023"/>
      <c r="X215" s="1024">
        <f t="shared" si="50"/>
        <v>0</v>
      </c>
      <c r="Y215" s="1023"/>
      <c r="Z215" s="1024">
        <f t="shared" si="51"/>
        <v>0</v>
      </c>
      <c r="AA215" s="872"/>
      <c r="AB215" s="872"/>
      <c r="AC215" s="872"/>
    </row>
    <row r="216" spans="1:29" ht="21">
      <c r="A216" s="537"/>
      <c r="B216" s="538"/>
      <c r="C216" s="539"/>
      <c r="D216" s="544"/>
      <c r="E216" s="904"/>
      <c r="F216" s="904"/>
      <c r="G216" s="904"/>
      <c r="H216" s="904"/>
      <c r="I216" s="904"/>
      <c r="J216" s="904"/>
      <c r="K216" s="904"/>
      <c r="L216" s="912"/>
      <c r="M216" s="912"/>
      <c r="N216" s="912"/>
      <c r="O216" s="912"/>
      <c r="P216" s="912"/>
      <c r="Q216" s="912"/>
      <c r="R216" s="941"/>
      <c r="S216" s="969"/>
      <c r="T216" s="938"/>
      <c r="U216" s="944">
        <f t="shared" si="49"/>
        <v>0</v>
      </c>
      <c r="V216" s="942"/>
      <c r="W216" s="957"/>
      <c r="X216" s="944">
        <f t="shared" si="50"/>
        <v>0</v>
      </c>
      <c r="Y216" s="957"/>
      <c r="Z216" s="944">
        <f t="shared" si="51"/>
        <v>0</v>
      </c>
      <c r="AA216" s="871"/>
      <c r="AB216" s="871"/>
      <c r="AC216" s="871"/>
    </row>
    <row r="217" spans="1:29" ht="21">
      <c r="A217" s="551"/>
      <c r="B217" s="552"/>
      <c r="C217" s="553"/>
      <c r="D217" s="544"/>
      <c r="E217" s="904"/>
      <c r="F217" s="904"/>
      <c r="G217" s="904"/>
      <c r="H217" s="904"/>
      <c r="I217" s="904"/>
      <c r="J217" s="904"/>
      <c r="K217" s="904"/>
      <c r="L217" s="912"/>
      <c r="M217" s="912"/>
      <c r="N217" s="912"/>
      <c r="O217" s="912"/>
      <c r="P217" s="912"/>
      <c r="Q217" s="912"/>
      <c r="R217" s="941"/>
      <c r="S217" s="969"/>
      <c r="T217" s="938"/>
      <c r="U217" s="944">
        <f t="shared" si="49"/>
        <v>0</v>
      </c>
      <c r="V217" s="942"/>
      <c r="W217" s="957"/>
      <c r="X217" s="944">
        <f t="shared" si="50"/>
        <v>0</v>
      </c>
      <c r="Y217" s="957"/>
      <c r="Z217" s="944">
        <f t="shared" si="51"/>
        <v>0</v>
      </c>
      <c r="AA217" s="872"/>
      <c r="AB217" s="872"/>
      <c r="AC217" s="872"/>
    </row>
    <row r="218" spans="1:29" ht="21">
      <c r="A218" s="551"/>
      <c r="B218" s="552"/>
      <c r="C218" s="553"/>
      <c r="D218" s="544"/>
      <c r="E218" s="904"/>
      <c r="F218" s="904"/>
      <c r="G218" s="904"/>
      <c r="H218" s="904"/>
      <c r="I218" s="904"/>
      <c r="J218" s="904"/>
      <c r="K218" s="904"/>
      <c r="L218" s="912"/>
      <c r="M218" s="912"/>
      <c r="N218" s="912"/>
      <c r="O218" s="912"/>
      <c r="P218" s="912"/>
      <c r="Q218" s="912"/>
      <c r="R218" s="941"/>
      <c r="S218" s="969"/>
      <c r="T218" s="938"/>
      <c r="U218" s="944">
        <f t="shared" si="49"/>
        <v>0</v>
      </c>
      <c r="V218" s="942"/>
      <c r="W218" s="957"/>
      <c r="X218" s="944">
        <f t="shared" si="50"/>
        <v>0</v>
      </c>
      <c r="Y218" s="957"/>
      <c r="Z218" s="944">
        <f t="shared" si="51"/>
        <v>0</v>
      </c>
      <c r="AA218" s="872"/>
      <c r="AB218" s="872"/>
      <c r="AC218" s="872"/>
    </row>
    <row r="219" spans="1:29" ht="21">
      <c r="A219" s="537"/>
      <c r="B219" s="550"/>
      <c r="C219" s="549"/>
      <c r="D219" s="544"/>
      <c r="E219" s="1001"/>
      <c r="F219" s="1001"/>
      <c r="G219" s="1001"/>
      <c r="H219" s="1001"/>
      <c r="I219" s="1001"/>
      <c r="J219" s="1001"/>
      <c r="K219" s="1001"/>
      <c r="L219" s="1005"/>
      <c r="M219" s="1005"/>
      <c r="N219" s="1005"/>
      <c r="O219" s="1005"/>
      <c r="P219" s="1005"/>
      <c r="Q219" s="1005"/>
      <c r="R219" s="1019"/>
      <c r="S219" s="1020"/>
      <c r="T219" s="1021"/>
      <c r="U219" s="1024">
        <f t="shared" si="49"/>
        <v>0</v>
      </c>
      <c r="V219" s="1022"/>
      <c r="W219" s="1023"/>
      <c r="X219" s="1024">
        <f t="shared" si="50"/>
        <v>0</v>
      </c>
      <c r="Y219" s="1023"/>
      <c r="Z219" s="1024">
        <f t="shared" si="51"/>
        <v>0</v>
      </c>
      <c r="AA219" s="872"/>
      <c r="AB219" s="872"/>
      <c r="AC219" s="872"/>
    </row>
    <row r="220" spans="1:29" ht="21">
      <c r="A220" s="551"/>
      <c r="B220" s="552"/>
      <c r="C220" s="553"/>
      <c r="D220" s="544"/>
      <c r="E220" s="904"/>
      <c r="F220" s="904"/>
      <c r="G220" s="904"/>
      <c r="H220" s="904"/>
      <c r="I220" s="904"/>
      <c r="J220" s="904"/>
      <c r="K220" s="904"/>
      <c r="L220" s="912"/>
      <c r="M220" s="912"/>
      <c r="N220" s="912"/>
      <c r="O220" s="912"/>
      <c r="P220" s="912"/>
      <c r="Q220" s="912"/>
      <c r="R220" s="941"/>
      <c r="S220" s="969"/>
      <c r="T220" s="938"/>
      <c r="U220" s="944">
        <f t="shared" si="49"/>
        <v>0</v>
      </c>
      <c r="V220" s="942"/>
      <c r="W220" s="957"/>
      <c r="X220" s="944">
        <f t="shared" si="50"/>
        <v>0</v>
      </c>
      <c r="Y220" s="957"/>
      <c r="Z220" s="944">
        <f t="shared" si="51"/>
        <v>0</v>
      </c>
      <c r="AA220" s="872"/>
      <c r="AB220" s="872"/>
      <c r="AC220" s="872"/>
    </row>
    <row r="221" spans="1:29" ht="21">
      <c r="A221" s="537"/>
      <c r="B221" s="550"/>
      <c r="C221" s="549"/>
      <c r="D221" s="544"/>
      <c r="E221" s="904"/>
      <c r="F221" s="904"/>
      <c r="G221" s="904"/>
      <c r="H221" s="904"/>
      <c r="I221" s="904"/>
      <c r="J221" s="904"/>
      <c r="K221" s="904"/>
      <c r="L221" s="912"/>
      <c r="M221" s="912"/>
      <c r="N221" s="912"/>
      <c r="O221" s="912"/>
      <c r="P221" s="912"/>
      <c r="Q221" s="912"/>
      <c r="R221" s="941"/>
      <c r="S221" s="969"/>
      <c r="T221" s="938"/>
      <c r="U221" s="944">
        <f t="shared" si="49"/>
        <v>0</v>
      </c>
      <c r="V221" s="942"/>
      <c r="W221" s="957"/>
      <c r="X221" s="944">
        <f t="shared" si="50"/>
        <v>0</v>
      </c>
      <c r="Y221" s="957"/>
      <c r="Z221" s="944">
        <f t="shared" si="51"/>
        <v>0</v>
      </c>
      <c r="AA221" s="872"/>
      <c r="AB221" s="872"/>
      <c r="AC221" s="872"/>
    </row>
    <row r="222" spans="1:29" ht="21">
      <c r="A222" s="551"/>
      <c r="B222" s="552"/>
      <c r="C222" s="553"/>
      <c r="D222" s="544"/>
      <c r="E222" s="904"/>
      <c r="F222" s="904"/>
      <c r="G222" s="904"/>
      <c r="H222" s="904"/>
      <c r="I222" s="904"/>
      <c r="J222" s="904"/>
      <c r="K222" s="904"/>
      <c r="L222" s="912"/>
      <c r="M222" s="912"/>
      <c r="N222" s="912"/>
      <c r="O222" s="912"/>
      <c r="P222" s="912"/>
      <c r="Q222" s="912"/>
      <c r="R222" s="941"/>
      <c r="S222" s="969"/>
      <c r="T222" s="938"/>
      <c r="U222" s="944">
        <f t="shared" si="49"/>
        <v>0</v>
      </c>
      <c r="V222" s="942"/>
      <c r="W222" s="957"/>
      <c r="X222" s="944">
        <f t="shared" si="50"/>
        <v>0</v>
      </c>
      <c r="Y222" s="957"/>
      <c r="Z222" s="944">
        <f t="shared" si="51"/>
        <v>0</v>
      </c>
      <c r="AA222" s="872"/>
      <c r="AB222" s="872"/>
      <c r="AC222" s="872"/>
    </row>
    <row r="223" spans="1:29" ht="21">
      <c r="A223" s="551"/>
      <c r="B223" s="552"/>
      <c r="C223" s="553"/>
      <c r="D223" s="544"/>
      <c r="E223" s="904"/>
      <c r="F223" s="904"/>
      <c r="G223" s="904"/>
      <c r="H223" s="904"/>
      <c r="I223" s="904"/>
      <c r="J223" s="904"/>
      <c r="K223" s="904"/>
      <c r="L223" s="912"/>
      <c r="M223" s="912"/>
      <c r="N223" s="912"/>
      <c r="O223" s="912"/>
      <c r="P223" s="912"/>
      <c r="Q223" s="912"/>
      <c r="R223" s="941"/>
      <c r="S223" s="969"/>
      <c r="T223" s="938"/>
      <c r="U223" s="944">
        <f t="shared" si="49"/>
        <v>0</v>
      </c>
      <c r="V223" s="942"/>
      <c r="W223" s="957"/>
      <c r="X223" s="944">
        <f t="shared" si="50"/>
        <v>0</v>
      </c>
      <c r="Y223" s="957"/>
      <c r="Z223" s="944">
        <f t="shared" si="51"/>
        <v>0</v>
      </c>
      <c r="AA223" s="872"/>
      <c r="AB223" s="872"/>
      <c r="AC223" s="872"/>
    </row>
    <row r="224" spans="1:29" ht="21">
      <c r="A224" s="551"/>
      <c r="B224" s="552"/>
      <c r="C224" s="553"/>
      <c r="D224" s="544"/>
      <c r="E224" s="904"/>
      <c r="F224" s="904"/>
      <c r="G224" s="904"/>
      <c r="H224" s="904"/>
      <c r="I224" s="904"/>
      <c r="J224" s="904"/>
      <c r="K224" s="904"/>
      <c r="L224" s="912"/>
      <c r="M224" s="912"/>
      <c r="N224" s="912"/>
      <c r="O224" s="912"/>
      <c r="P224" s="912"/>
      <c r="Q224" s="912"/>
      <c r="R224" s="941"/>
      <c r="S224" s="969"/>
      <c r="T224" s="938"/>
      <c r="U224" s="944">
        <f t="shared" si="49"/>
        <v>0</v>
      </c>
      <c r="V224" s="942"/>
      <c r="W224" s="957"/>
      <c r="X224" s="944">
        <f t="shared" si="50"/>
        <v>0</v>
      </c>
      <c r="Y224" s="957"/>
      <c r="Z224" s="944">
        <f t="shared" si="51"/>
        <v>0</v>
      </c>
      <c r="AA224" s="872"/>
      <c r="AB224" s="872"/>
      <c r="AC224" s="872"/>
    </row>
    <row r="225" spans="1:29" ht="21">
      <c r="A225" s="551"/>
      <c r="B225" s="552"/>
      <c r="C225" s="553"/>
      <c r="D225" s="544"/>
      <c r="E225" s="904"/>
      <c r="F225" s="904"/>
      <c r="G225" s="904"/>
      <c r="H225" s="904"/>
      <c r="I225" s="904"/>
      <c r="J225" s="904"/>
      <c r="K225" s="904"/>
      <c r="L225" s="912"/>
      <c r="M225" s="912"/>
      <c r="N225" s="912"/>
      <c r="O225" s="912"/>
      <c r="P225" s="912"/>
      <c r="Q225" s="912"/>
      <c r="R225" s="941"/>
      <c r="S225" s="969"/>
      <c r="T225" s="938"/>
      <c r="U225" s="944">
        <f t="shared" si="49"/>
        <v>0</v>
      </c>
      <c r="V225" s="942"/>
      <c r="W225" s="957"/>
      <c r="X225" s="944">
        <f t="shared" si="50"/>
        <v>0</v>
      </c>
      <c r="Y225" s="957"/>
      <c r="Z225" s="944">
        <f t="shared" si="51"/>
        <v>0</v>
      </c>
      <c r="AA225" s="872"/>
      <c r="AB225" s="872"/>
      <c r="AC225" s="872"/>
    </row>
    <row r="226" spans="1:29" ht="21">
      <c r="A226" s="551"/>
      <c r="B226" s="552"/>
      <c r="C226" s="553"/>
      <c r="D226" s="544"/>
      <c r="E226" s="904"/>
      <c r="F226" s="904"/>
      <c r="G226" s="904"/>
      <c r="H226" s="904"/>
      <c r="I226" s="904"/>
      <c r="J226" s="904"/>
      <c r="K226" s="904"/>
      <c r="L226" s="912"/>
      <c r="M226" s="912"/>
      <c r="N226" s="912"/>
      <c r="O226" s="912"/>
      <c r="P226" s="912"/>
      <c r="Q226" s="912"/>
      <c r="R226" s="941"/>
      <c r="S226" s="969"/>
      <c r="T226" s="938"/>
      <c r="U226" s="942">
        <f t="shared" si="49"/>
        <v>0</v>
      </c>
      <c r="V226" s="942"/>
      <c r="W226" s="957"/>
      <c r="X226" s="942">
        <f t="shared" si="50"/>
        <v>0</v>
      </c>
      <c r="Y226" s="957"/>
      <c r="Z226" s="942">
        <f t="shared" si="51"/>
        <v>0</v>
      </c>
      <c r="AA226" s="872"/>
      <c r="AB226" s="872"/>
      <c r="AC226" s="872"/>
    </row>
    <row r="227" spans="1:29" ht="21">
      <c r="A227" s="551"/>
      <c r="B227" s="552"/>
      <c r="C227" s="553"/>
      <c r="D227" s="544"/>
      <c r="E227" s="912"/>
      <c r="F227" s="912"/>
      <c r="G227" s="912"/>
      <c r="H227" s="912"/>
      <c r="I227" s="912"/>
      <c r="J227" s="912"/>
      <c r="K227" s="912"/>
      <c r="L227" s="912"/>
      <c r="M227" s="912"/>
      <c r="N227" s="912"/>
      <c r="O227" s="912"/>
      <c r="P227" s="912"/>
      <c r="Q227" s="912"/>
      <c r="R227" s="912"/>
      <c r="S227" s="912"/>
      <c r="T227" s="912"/>
      <c r="U227" s="912">
        <f t="shared" si="49"/>
        <v>0</v>
      </c>
      <c r="V227" s="912"/>
      <c r="W227" s="912"/>
      <c r="X227" s="912">
        <f t="shared" si="50"/>
        <v>0</v>
      </c>
      <c r="Y227" s="912"/>
      <c r="Z227" s="912">
        <f t="shared" si="51"/>
        <v>0</v>
      </c>
      <c r="AA227" s="872"/>
      <c r="AB227" s="872"/>
      <c r="AC227" s="872"/>
    </row>
    <row r="228" spans="1:29" ht="21">
      <c r="A228" s="551"/>
      <c r="B228" s="552"/>
      <c r="C228" s="553"/>
      <c r="D228" s="544"/>
      <c r="E228" s="912"/>
      <c r="F228" s="912"/>
      <c r="G228" s="912"/>
      <c r="H228" s="912"/>
      <c r="I228" s="912"/>
      <c r="J228" s="912"/>
      <c r="K228" s="912"/>
      <c r="L228" s="912"/>
      <c r="M228" s="912"/>
      <c r="N228" s="912"/>
      <c r="O228" s="912"/>
      <c r="P228" s="912"/>
      <c r="Q228" s="912"/>
      <c r="R228" s="912"/>
      <c r="S228" s="912"/>
      <c r="T228" s="912"/>
      <c r="U228" s="912">
        <f t="shared" si="49"/>
        <v>0</v>
      </c>
      <c r="V228" s="912"/>
      <c r="W228" s="912"/>
      <c r="X228" s="912">
        <f t="shared" si="50"/>
        <v>0</v>
      </c>
      <c r="Y228" s="912"/>
      <c r="Z228" s="912">
        <f t="shared" si="51"/>
        <v>0</v>
      </c>
      <c r="AA228" s="872"/>
      <c r="AB228" s="872"/>
      <c r="AC228" s="872"/>
    </row>
    <row r="229" spans="1:29" ht="21">
      <c r="A229" s="537"/>
      <c r="B229" s="550"/>
      <c r="C229" s="549"/>
      <c r="D229" s="544"/>
      <c r="E229" s="912"/>
      <c r="F229" s="912"/>
      <c r="G229" s="912"/>
      <c r="H229" s="912"/>
      <c r="I229" s="912"/>
      <c r="J229" s="912"/>
      <c r="K229" s="912"/>
      <c r="L229" s="912"/>
      <c r="M229" s="912"/>
      <c r="N229" s="912"/>
      <c r="O229" s="912"/>
      <c r="P229" s="912"/>
      <c r="Q229" s="912"/>
      <c r="R229" s="912"/>
      <c r="S229" s="912"/>
      <c r="T229" s="912"/>
      <c r="U229" s="912">
        <f t="shared" si="49"/>
        <v>0</v>
      </c>
      <c r="V229" s="912"/>
      <c r="W229" s="912"/>
      <c r="X229" s="912">
        <f t="shared" si="50"/>
        <v>0</v>
      </c>
      <c r="Y229" s="912"/>
      <c r="Z229" s="912">
        <f t="shared" si="51"/>
        <v>0</v>
      </c>
      <c r="AA229" s="872"/>
      <c r="AB229" s="872"/>
      <c r="AC229" s="872"/>
    </row>
    <row r="230" spans="1:29" ht="21">
      <c r="A230" s="537"/>
      <c r="B230" s="550"/>
      <c r="C230" s="549"/>
      <c r="D230" s="544"/>
      <c r="E230" s="912"/>
      <c r="F230" s="912"/>
      <c r="G230" s="912"/>
      <c r="H230" s="912"/>
      <c r="I230" s="912"/>
      <c r="J230" s="912"/>
      <c r="K230" s="912"/>
      <c r="L230" s="912"/>
      <c r="M230" s="912"/>
      <c r="N230" s="912"/>
      <c r="O230" s="912"/>
      <c r="P230" s="912"/>
      <c r="Q230" s="912"/>
      <c r="R230" s="912"/>
      <c r="S230" s="912"/>
      <c r="T230" s="912"/>
      <c r="U230" s="912">
        <f t="shared" si="49"/>
        <v>0</v>
      </c>
      <c r="V230" s="912"/>
      <c r="W230" s="912"/>
      <c r="X230" s="912">
        <f t="shared" si="50"/>
        <v>0</v>
      </c>
      <c r="Y230" s="912"/>
      <c r="Z230" s="912">
        <f t="shared" si="51"/>
        <v>0</v>
      </c>
      <c r="AA230" s="872"/>
      <c r="AB230" s="872"/>
      <c r="AC230" s="872"/>
    </row>
    <row r="231" spans="1:29" ht="21">
      <c r="A231" s="537"/>
      <c r="B231" s="550"/>
      <c r="C231" s="549"/>
      <c r="D231" s="544"/>
      <c r="E231" s="912"/>
      <c r="F231" s="912"/>
      <c r="G231" s="912"/>
      <c r="H231" s="912"/>
      <c r="I231" s="912"/>
      <c r="J231" s="912"/>
      <c r="K231" s="912"/>
      <c r="L231" s="912"/>
      <c r="M231" s="912"/>
      <c r="N231" s="912"/>
      <c r="O231" s="912"/>
      <c r="P231" s="912"/>
      <c r="Q231" s="912"/>
      <c r="R231" s="912"/>
      <c r="S231" s="912"/>
      <c r="T231" s="912"/>
      <c r="U231" s="912">
        <f t="shared" si="49"/>
        <v>0</v>
      </c>
      <c r="V231" s="912"/>
      <c r="W231" s="912"/>
      <c r="X231" s="912">
        <f t="shared" si="50"/>
        <v>0</v>
      </c>
      <c r="Y231" s="912"/>
      <c r="Z231" s="912">
        <f t="shared" si="51"/>
        <v>0</v>
      </c>
      <c r="AA231" s="872"/>
      <c r="AB231" s="872"/>
      <c r="AC231" s="872"/>
    </row>
    <row r="232" spans="1:29" ht="21">
      <c r="A232" s="537"/>
      <c r="B232" s="550"/>
      <c r="C232" s="549"/>
      <c r="D232" s="544"/>
      <c r="E232" s="912"/>
      <c r="F232" s="912"/>
      <c r="G232" s="912"/>
      <c r="H232" s="912"/>
      <c r="I232" s="912"/>
      <c r="J232" s="912"/>
      <c r="K232" s="912"/>
      <c r="L232" s="912"/>
      <c r="M232" s="912"/>
      <c r="N232" s="912"/>
      <c r="O232" s="912"/>
      <c r="P232" s="912"/>
      <c r="Q232" s="912"/>
      <c r="R232" s="912"/>
      <c r="S232" s="912"/>
      <c r="T232" s="912"/>
      <c r="U232" s="912">
        <f t="shared" ref="U232:U237" si="64">SUM(E232:S232)</f>
        <v>0</v>
      </c>
      <c r="V232" s="912"/>
      <c r="W232" s="912"/>
      <c r="X232" s="912">
        <f t="shared" ref="X232:X237" si="65">U232+V232</f>
        <v>0</v>
      </c>
      <c r="Y232" s="912"/>
      <c r="Z232" s="912">
        <f t="shared" ref="Z232:Z237" si="66">X232+Y232</f>
        <v>0</v>
      </c>
      <c r="AA232" s="872"/>
      <c r="AB232" s="872"/>
      <c r="AC232" s="872"/>
    </row>
    <row r="233" spans="1:29" ht="21">
      <c r="A233" s="537"/>
      <c r="B233" s="550"/>
      <c r="C233" s="549"/>
      <c r="D233" s="544"/>
      <c r="E233" s="912"/>
      <c r="F233" s="912"/>
      <c r="G233" s="912"/>
      <c r="H233" s="912"/>
      <c r="I233" s="912"/>
      <c r="J233" s="912"/>
      <c r="K233" s="912"/>
      <c r="L233" s="912"/>
      <c r="M233" s="912"/>
      <c r="N233" s="912"/>
      <c r="O233" s="912"/>
      <c r="P233" s="912"/>
      <c r="Q233" s="912"/>
      <c r="R233" s="912"/>
      <c r="S233" s="912"/>
      <c r="T233" s="912"/>
      <c r="U233" s="912">
        <f t="shared" ref="U233:U234" si="67">SUM(E233:S233)</f>
        <v>0</v>
      </c>
      <c r="V233" s="912"/>
      <c r="W233" s="912"/>
      <c r="X233" s="912">
        <f t="shared" ref="X233:X234" si="68">U233+V233</f>
        <v>0</v>
      </c>
      <c r="Y233" s="912"/>
      <c r="Z233" s="912">
        <f t="shared" ref="Z233:Z234" si="69">X233+Y233</f>
        <v>0</v>
      </c>
      <c r="AA233" s="872"/>
      <c r="AB233" s="872"/>
      <c r="AC233" s="872"/>
    </row>
    <row r="234" spans="1:29" ht="21">
      <c r="A234" s="537"/>
      <c r="B234" s="550"/>
      <c r="C234" s="549"/>
      <c r="D234" s="544"/>
      <c r="E234" s="912"/>
      <c r="F234" s="912"/>
      <c r="G234" s="912"/>
      <c r="H234" s="912"/>
      <c r="I234" s="912"/>
      <c r="J234" s="912"/>
      <c r="K234" s="912"/>
      <c r="L234" s="912"/>
      <c r="M234" s="912"/>
      <c r="N234" s="912"/>
      <c r="O234" s="912"/>
      <c r="P234" s="912"/>
      <c r="Q234" s="912"/>
      <c r="R234" s="912"/>
      <c r="S234" s="912"/>
      <c r="T234" s="912"/>
      <c r="U234" s="912">
        <f t="shared" si="67"/>
        <v>0</v>
      </c>
      <c r="V234" s="912"/>
      <c r="W234" s="912"/>
      <c r="X234" s="912">
        <f t="shared" si="68"/>
        <v>0</v>
      </c>
      <c r="Y234" s="912"/>
      <c r="Z234" s="912">
        <f t="shared" si="69"/>
        <v>0</v>
      </c>
      <c r="AA234" s="872"/>
      <c r="AB234" s="872"/>
      <c r="AC234" s="872"/>
    </row>
    <row r="235" spans="1:29" ht="21">
      <c r="A235" s="537"/>
      <c r="B235" s="550"/>
      <c r="C235" s="549"/>
      <c r="D235" s="544"/>
      <c r="E235" s="912"/>
      <c r="F235" s="912"/>
      <c r="G235" s="912"/>
      <c r="H235" s="912"/>
      <c r="I235" s="912"/>
      <c r="J235" s="912"/>
      <c r="K235" s="912"/>
      <c r="L235" s="912"/>
      <c r="M235" s="912"/>
      <c r="N235" s="912"/>
      <c r="O235" s="912"/>
      <c r="P235" s="912"/>
      <c r="Q235" s="912"/>
      <c r="R235" s="912"/>
      <c r="S235" s="912"/>
      <c r="T235" s="912"/>
      <c r="U235" s="912">
        <f t="shared" ref="U235:U236" si="70">SUM(E235:S235)</f>
        <v>0</v>
      </c>
      <c r="V235" s="912"/>
      <c r="W235" s="912"/>
      <c r="X235" s="912">
        <f t="shared" ref="X235:X236" si="71">U235+V235</f>
        <v>0</v>
      </c>
      <c r="Y235" s="912"/>
      <c r="Z235" s="912">
        <f t="shared" ref="Z235:Z236" si="72">X235+Y235</f>
        <v>0</v>
      </c>
      <c r="AA235" s="872"/>
      <c r="AB235" s="872"/>
      <c r="AC235" s="872"/>
    </row>
    <row r="236" spans="1:29" ht="21">
      <c r="A236" s="537"/>
      <c r="B236" s="550"/>
      <c r="C236" s="549"/>
      <c r="D236" s="544"/>
      <c r="E236" s="912"/>
      <c r="F236" s="912"/>
      <c r="G236" s="912"/>
      <c r="H236" s="912"/>
      <c r="I236" s="912"/>
      <c r="J236" s="912"/>
      <c r="K236" s="912"/>
      <c r="L236" s="912"/>
      <c r="M236" s="912"/>
      <c r="N236" s="912"/>
      <c r="O236" s="912"/>
      <c r="P236" s="912"/>
      <c r="Q236" s="912"/>
      <c r="R236" s="912"/>
      <c r="S236" s="912"/>
      <c r="T236" s="912"/>
      <c r="U236" s="912">
        <f t="shared" si="70"/>
        <v>0</v>
      </c>
      <c r="V236" s="912"/>
      <c r="W236" s="912"/>
      <c r="X236" s="912">
        <f t="shared" si="71"/>
        <v>0</v>
      </c>
      <c r="Y236" s="912"/>
      <c r="Z236" s="912">
        <f t="shared" si="72"/>
        <v>0</v>
      </c>
      <c r="AA236" s="872"/>
      <c r="AB236" s="872"/>
      <c r="AC236" s="872"/>
    </row>
    <row r="237" spans="1:29" ht="21">
      <c r="A237" s="537"/>
      <c r="B237" s="550"/>
      <c r="C237" s="549"/>
      <c r="D237" s="544"/>
      <c r="E237" s="912"/>
      <c r="F237" s="912"/>
      <c r="G237" s="912"/>
      <c r="H237" s="912"/>
      <c r="I237" s="912"/>
      <c r="J237" s="912"/>
      <c r="K237" s="912"/>
      <c r="L237" s="912"/>
      <c r="M237" s="912"/>
      <c r="N237" s="912"/>
      <c r="O237" s="912"/>
      <c r="P237" s="912"/>
      <c r="Q237" s="912"/>
      <c r="R237" s="912"/>
      <c r="S237" s="912"/>
      <c r="T237" s="912"/>
      <c r="U237" s="912">
        <f t="shared" si="64"/>
        <v>0</v>
      </c>
      <c r="V237" s="912"/>
      <c r="W237" s="912"/>
      <c r="X237" s="912">
        <f t="shared" si="65"/>
        <v>0</v>
      </c>
      <c r="Y237" s="912"/>
      <c r="Z237" s="912">
        <f t="shared" si="66"/>
        <v>0</v>
      </c>
      <c r="AA237" s="872"/>
      <c r="AB237" s="872"/>
      <c r="AC237" s="872"/>
    </row>
    <row r="238" spans="1:29" ht="21">
      <c r="A238" s="537"/>
      <c r="B238" s="550"/>
      <c r="C238" s="549"/>
      <c r="D238" s="544"/>
      <c r="E238" s="912"/>
      <c r="F238" s="912"/>
      <c r="G238" s="912"/>
      <c r="H238" s="912"/>
      <c r="I238" s="912"/>
      <c r="J238" s="912"/>
      <c r="K238" s="912"/>
      <c r="L238" s="912"/>
      <c r="M238" s="912"/>
      <c r="N238" s="912"/>
      <c r="O238" s="912"/>
      <c r="P238" s="912"/>
      <c r="Q238" s="912"/>
      <c r="R238" s="912"/>
      <c r="S238" s="912"/>
      <c r="T238" s="912"/>
      <c r="U238" s="912">
        <f t="shared" si="49"/>
        <v>0</v>
      </c>
      <c r="V238" s="912"/>
      <c r="W238" s="912"/>
      <c r="X238" s="912">
        <f t="shared" si="50"/>
        <v>0</v>
      </c>
      <c r="Y238" s="912"/>
      <c r="Z238" s="912">
        <f t="shared" si="51"/>
        <v>0</v>
      </c>
      <c r="AA238" s="872"/>
      <c r="AB238" s="872"/>
      <c r="AC238" s="872"/>
    </row>
    <row r="239" spans="1:29">
      <c r="A239" s="1209"/>
      <c r="B239" s="1210"/>
      <c r="C239" s="1211"/>
      <c r="D239" s="1212"/>
      <c r="E239" s="912"/>
      <c r="F239" s="912"/>
      <c r="G239" s="912"/>
      <c r="H239" s="912"/>
      <c r="I239" s="912"/>
      <c r="J239" s="912"/>
      <c r="K239" s="912"/>
      <c r="L239" s="912"/>
      <c r="M239" s="912"/>
      <c r="N239" s="912"/>
      <c r="O239" s="912"/>
      <c r="P239" s="912"/>
      <c r="Q239" s="912"/>
      <c r="R239" s="912"/>
      <c r="S239" s="912"/>
      <c r="T239" s="912"/>
      <c r="U239" s="912">
        <f t="shared" si="49"/>
        <v>0</v>
      </c>
      <c r="V239" s="912"/>
      <c r="W239" s="912"/>
      <c r="X239" s="912">
        <f t="shared" si="50"/>
        <v>0</v>
      </c>
      <c r="Y239" s="912"/>
      <c r="Z239" s="912">
        <f t="shared" si="51"/>
        <v>0</v>
      </c>
      <c r="AA239" s="872"/>
      <c r="AB239" s="872"/>
      <c r="AC239" s="872"/>
    </row>
    <row r="240" spans="1:29">
      <c r="A240" s="1209"/>
      <c r="B240" s="1210"/>
      <c r="C240" s="1211"/>
      <c r="D240" s="1212"/>
      <c r="E240" s="912"/>
      <c r="F240" s="912"/>
      <c r="G240" s="912"/>
      <c r="H240" s="912"/>
      <c r="I240" s="912"/>
      <c r="J240" s="912"/>
      <c r="K240" s="912"/>
      <c r="L240" s="912"/>
      <c r="M240" s="912"/>
      <c r="N240" s="912"/>
      <c r="O240" s="912"/>
      <c r="P240" s="912"/>
      <c r="Q240" s="912"/>
      <c r="R240" s="912"/>
      <c r="S240" s="912"/>
      <c r="T240" s="912"/>
      <c r="U240" s="912">
        <f t="shared" ref="U240:U241" si="73">SUM(E240:S240)</f>
        <v>0</v>
      </c>
      <c r="V240" s="912"/>
      <c r="W240" s="912"/>
      <c r="X240" s="912">
        <f t="shared" ref="X240:X241" si="74">U240+V240</f>
        <v>0</v>
      </c>
      <c r="Y240" s="912"/>
      <c r="Z240" s="912">
        <f t="shared" ref="Z240:Z241" si="75">X240+Y240</f>
        <v>0</v>
      </c>
      <c r="AA240" s="872"/>
      <c r="AB240" s="872"/>
      <c r="AC240" s="872"/>
    </row>
    <row r="241" spans="1:66">
      <c r="A241" s="1209"/>
      <c r="B241" s="1210"/>
      <c r="C241" s="1211"/>
      <c r="D241" s="1212"/>
      <c r="E241" s="912"/>
      <c r="F241" s="912"/>
      <c r="G241" s="912"/>
      <c r="H241" s="912"/>
      <c r="I241" s="912"/>
      <c r="J241" s="912"/>
      <c r="K241" s="912"/>
      <c r="L241" s="912"/>
      <c r="M241" s="912"/>
      <c r="N241" s="912"/>
      <c r="O241" s="912"/>
      <c r="P241" s="912"/>
      <c r="Q241" s="912"/>
      <c r="R241" s="912"/>
      <c r="S241" s="912"/>
      <c r="T241" s="912"/>
      <c r="U241" s="912">
        <f t="shared" si="73"/>
        <v>0</v>
      </c>
      <c r="V241" s="912"/>
      <c r="W241" s="912"/>
      <c r="X241" s="912">
        <f t="shared" si="74"/>
        <v>0</v>
      </c>
      <c r="Y241" s="912"/>
      <c r="Z241" s="912">
        <f t="shared" si="75"/>
        <v>0</v>
      </c>
    </row>
    <row r="242" spans="1:66">
      <c r="A242" s="1209"/>
      <c r="B242" s="1210"/>
      <c r="C242" s="1211"/>
      <c r="D242" s="1212"/>
      <c r="E242" s="912"/>
      <c r="F242" s="912"/>
      <c r="G242" s="912"/>
      <c r="H242" s="912"/>
      <c r="I242" s="912"/>
      <c r="J242" s="912"/>
      <c r="K242" s="912"/>
      <c r="L242" s="912"/>
      <c r="M242" s="912"/>
      <c r="N242" s="912"/>
      <c r="O242" s="912"/>
      <c r="P242" s="912"/>
      <c r="Q242" s="912"/>
      <c r="R242" s="912"/>
      <c r="S242" s="912"/>
      <c r="T242" s="912"/>
      <c r="U242" s="912">
        <f t="shared" ref="U242" si="76">SUM(E242:S242)</f>
        <v>0</v>
      </c>
      <c r="V242" s="912"/>
      <c r="W242" s="912"/>
      <c r="X242" s="912">
        <f t="shared" ref="X242" si="77">U242+V242</f>
        <v>0</v>
      </c>
      <c r="Y242" s="912"/>
      <c r="Z242" s="912">
        <f t="shared" ref="Z242" si="78">X242+Y242</f>
        <v>0</v>
      </c>
    </row>
    <row r="243" spans="1:66" ht="24" thickBot="1">
      <c r="A243" s="1213"/>
      <c r="B243" s="1214"/>
      <c r="C243" s="1215"/>
      <c r="D243" s="1216"/>
      <c r="E243" s="912"/>
      <c r="F243" s="912"/>
      <c r="G243" s="912"/>
      <c r="H243" s="912"/>
      <c r="I243" s="912"/>
      <c r="J243" s="912"/>
      <c r="K243" s="912"/>
      <c r="L243" s="912"/>
      <c r="M243" s="912"/>
      <c r="N243" s="912"/>
      <c r="O243" s="912"/>
      <c r="P243" s="912"/>
      <c r="Q243" s="912"/>
      <c r="R243" s="912"/>
      <c r="S243" s="912"/>
      <c r="T243" s="912"/>
      <c r="U243" s="912">
        <f t="shared" si="49"/>
        <v>0</v>
      </c>
      <c r="V243" s="912"/>
      <c r="W243" s="912"/>
      <c r="X243" s="912">
        <f t="shared" si="50"/>
        <v>0</v>
      </c>
      <c r="Y243" s="912"/>
      <c r="Z243" s="912">
        <f t="shared" si="51"/>
        <v>0</v>
      </c>
      <c r="AA243" s="403"/>
      <c r="AB243" s="403"/>
      <c r="AC243" s="403"/>
    </row>
    <row r="244" spans="1:66" ht="24" thickBot="1">
      <c r="A244" s="991"/>
      <c r="B244" s="992"/>
      <c r="C244" s="992"/>
      <c r="D244" s="1031"/>
      <c r="E244" s="993">
        <f t="shared" ref="E244:Z244" si="79">SUM(E175:E243)</f>
        <v>0</v>
      </c>
      <c r="F244" s="993">
        <f t="shared" si="79"/>
        <v>0</v>
      </c>
      <c r="G244" s="993">
        <f t="shared" si="79"/>
        <v>0</v>
      </c>
      <c r="H244" s="993">
        <f t="shared" si="79"/>
        <v>0</v>
      </c>
      <c r="I244" s="993">
        <f t="shared" si="79"/>
        <v>0</v>
      </c>
      <c r="J244" s="993">
        <f t="shared" si="79"/>
        <v>0</v>
      </c>
      <c r="K244" s="993">
        <f t="shared" si="79"/>
        <v>0</v>
      </c>
      <c r="L244" s="993">
        <f t="shared" si="79"/>
        <v>0</v>
      </c>
      <c r="M244" s="993">
        <f t="shared" si="79"/>
        <v>0</v>
      </c>
      <c r="N244" s="993">
        <f t="shared" si="79"/>
        <v>96</v>
      </c>
      <c r="O244" s="993">
        <f t="shared" si="79"/>
        <v>0</v>
      </c>
      <c r="P244" s="993">
        <f t="shared" si="79"/>
        <v>0</v>
      </c>
      <c r="Q244" s="993">
        <f t="shared" si="79"/>
        <v>0</v>
      </c>
      <c r="R244" s="993">
        <f t="shared" si="79"/>
        <v>0</v>
      </c>
      <c r="S244" s="993">
        <f t="shared" si="79"/>
        <v>144</v>
      </c>
      <c r="T244" s="993">
        <f t="shared" si="79"/>
        <v>0</v>
      </c>
      <c r="U244" s="993">
        <f t="shared" si="79"/>
        <v>240</v>
      </c>
      <c r="V244" s="993">
        <f t="shared" si="79"/>
        <v>0</v>
      </c>
      <c r="W244" s="993">
        <f t="shared" si="79"/>
        <v>0</v>
      </c>
      <c r="X244" s="993">
        <f t="shared" si="79"/>
        <v>240</v>
      </c>
      <c r="Y244" s="993">
        <f t="shared" si="79"/>
        <v>0</v>
      </c>
      <c r="Z244" s="993">
        <f t="shared" si="79"/>
        <v>240</v>
      </c>
      <c r="AA244" s="282"/>
      <c r="AB244" s="282"/>
      <c r="AC244" s="282"/>
    </row>
    <row r="245" spans="1:66" ht="24" thickBot="1">
      <c r="A245" s="994" t="s">
        <v>146</v>
      </c>
      <c r="B245" s="992"/>
      <c r="C245" s="992"/>
      <c r="D245" s="1032"/>
      <c r="E245" s="993">
        <f>E244/16</f>
        <v>0</v>
      </c>
      <c r="F245" s="993">
        <f t="shared" ref="F245:Z245" si="80">F244/16</f>
        <v>0</v>
      </c>
      <c r="G245" s="993">
        <f t="shared" si="80"/>
        <v>0</v>
      </c>
      <c r="H245" s="993">
        <f t="shared" si="80"/>
        <v>0</v>
      </c>
      <c r="I245" s="993">
        <f t="shared" si="80"/>
        <v>0</v>
      </c>
      <c r="J245" s="993">
        <f t="shared" si="80"/>
        <v>0</v>
      </c>
      <c r="K245" s="993">
        <f t="shared" si="80"/>
        <v>0</v>
      </c>
      <c r="L245" s="993">
        <f t="shared" si="80"/>
        <v>0</v>
      </c>
      <c r="M245" s="993">
        <f t="shared" si="80"/>
        <v>0</v>
      </c>
      <c r="N245" s="993">
        <f t="shared" si="80"/>
        <v>6</v>
      </c>
      <c r="O245" s="993">
        <f t="shared" si="80"/>
        <v>0</v>
      </c>
      <c r="P245" s="993">
        <f t="shared" si="80"/>
        <v>0</v>
      </c>
      <c r="Q245" s="993">
        <f t="shared" si="80"/>
        <v>0</v>
      </c>
      <c r="R245" s="993">
        <f t="shared" si="80"/>
        <v>0</v>
      </c>
      <c r="S245" s="993">
        <f t="shared" si="80"/>
        <v>9</v>
      </c>
      <c r="T245" s="993">
        <f t="shared" si="80"/>
        <v>0</v>
      </c>
      <c r="U245" s="993">
        <f t="shared" si="80"/>
        <v>15</v>
      </c>
      <c r="V245" s="993">
        <f t="shared" si="80"/>
        <v>0</v>
      </c>
      <c r="W245" s="993">
        <f t="shared" si="80"/>
        <v>0</v>
      </c>
      <c r="X245" s="993">
        <f t="shared" si="80"/>
        <v>15</v>
      </c>
      <c r="Y245" s="993">
        <f t="shared" si="80"/>
        <v>0</v>
      </c>
      <c r="Z245" s="993">
        <f t="shared" si="80"/>
        <v>15</v>
      </c>
    </row>
    <row r="246" spans="1:66" ht="24" thickBot="1">
      <c r="A246" s="1033"/>
      <c r="B246" s="1034"/>
      <c r="C246" s="1034"/>
      <c r="D246" s="1035"/>
      <c r="E246" s="1036"/>
      <c r="F246" s="1036"/>
      <c r="G246" s="1036"/>
      <c r="H246" s="1036"/>
      <c r="I246" s="1036"/>
      <c r="J246" s="1036"/>
      <c r="K246" s="1036"/>
      <c r="L246" s="1036"/>
      <c r="M246" s="1036"/>
      <c r="N246" s="1036"/>
      <c r="O246" s="1036"/>
      <c r="P246" s="1036"/>
      <c r="Q246" s="1036"/>
      <c r="R246" s="1036"/>
      <c r="S246" s="1036"/>
      <c r="T246" s="1036"/>
      <c r="U246" s="1036"/>
      <c r="V246" s="1036"/>
      <c r="W246" s="1036"/>
      <c r="X246" s="1036"/>
      <c r="Y246" s="1036"/>
      <c r="Z246" s="1036"/>
      <c r="AA246" s="394"/>
      <c r="AB246" s="394"/>
      <c r="AC246" s="394"/>
    </row>
    <row r="247" spans="1:66" ht="24" thickBot="1">
      <c r="A247" s="1037" t="s">
        <v>202</v>
      </c>
      <c r="B247" s="877" t="s">
        <v>68</v>
      </c>
      <c r="C247" s="877" t="s">
        <v>69</v>
      </c>
      <c r="D247" s="878" t="s">
        <v>70</v>
      </c>
      <c r="E247" s="901" t="s">
        <v>71</v>
      </c>
      <c r="F247" s="880" t="s">
        <v>178</v>
      </c>
      <c r="G247" s="880" t="s">
        <v>101</v>
      </c>
      <c r="H247" s="879" t="s">
        <v>193</v>
      </c>
      <c r="I247" s="879" t="s">
        <v>97</v>
      </c>
      <c r="J247" s="879" t="s">
        <v>92</v>
      </c>
      <c r="K247" s="879" t="s">
        <v>194</v>
      </c>
      <c r="L247" s="880" t="s">
        <v>195</v>
      </c>
      <c r="M247" s="880" t="s">
        <v>196</v>
      </c>
      <c r="N247" s="880" t="s">
        <v>94</v>
      </c>
      <c r="O247" s="880" t="s">
        <v>86</v>
      </c>
      <c r="P247" s="880" t="s">
        <v>75</v>
      </c>
      <c r="Q247" s="914" t="s">
        <v>95</v>
      </c>
      <c r="R247" s="1013" t="s">
        <v>77</v>
      </c>
      <c r="S247" s="1014" t="s">
        <v>53</v>
      </c>
      <c r="T247" s="915"/>
      <c r="U247" s="916" t="s">
        <v>104</v>
      </c>
      <c r="V247" s="917" t="s">
        <v>105</v>
      </c>
      <c r="W247" s="917"/>
      <c r="X247" s="918" t="s">
        <v>106</v>
      </c>
      <c r="Y247" s="917" t="s">
        <v>107</v>
      </c>
      <c r="Z247" s="960" t="s">
        <v>108</v>
      </c>
      <c r="AA247" s="403"/>
      <c r="AB247" s="403"/>
      <c r="AC247" s="403"/>
    </row>
    <row r="248" spans="1:66">
      <c r="A248" s="1038"/>
      <c r="B248" s="1039"/>
      <c r="C248" s="1039"/>
      <c r="D248" s="990"/>
      <c r="E248" s="889"/>
      <c r="F248" s="889"/>
      <c r="G248" s="889"/>
      <c r="H248" s="889"/>
      <c r="I248" s="889"/>
      <c r="J248" s="889"/>
      <c r="K248" s="889"/>
      <c r="L248" s="909"/>
      <c r="M248" s="909"/>
      <c r="N248" s="909"/>
      <c r="O248" s="909"/>
      <c r="P248" s="909"/>
      <c r="Q248" s="909"/>
      <c r="R248" s="922"/>
      <c r="S248" s="922"/>
      <c r="T248" s="1006"/>
      <c r="U248" s="1051">
        <f t="shared" ref="U248:U249" si="81">SUM(E248:S248)</f>
        <v>0</v>
      </c>
      <c r="V248" s="924"/>
      <c r="W248" s="925"/>
      <c r="X248" s="924">
        <f>U248+V248</f>
        <v>0</v>
      </c>
      <c r="Y248" s="925"/>
      <c r="Z248" s="924">
        <f>X248+Y248</f>
        <v>0</v>
      </c>
    </row>
    <row r="249" spans="1:66" ht="24" thickBot="1">
      <c r="A249" s="983"/>
      <c r="B249" s="1040"/>
      <c r="C249" s="1040"/>
      <c r="D249" s="984"/>
      <c r="E249" s="893"/>
      <c r="F249" s="893"/>
      <c r="G249" s="893"/>
      <c r="H249" s="893"/>
      <c r="I249" s="893"/>
      <c r="J249" s="893"/>
      <c r="K249" s="893"/>
      <c r="L249" s="910"/>
      <c r="M249" s="910"/>
      <c r="N249" s="910"/>
      <c r="O249" s="910"/>
      <c r="P249" s="910"/>
      <c r="Q249" s="910"/>
      <c r="R249" s="926"/>
      <c r="S249" s="926"/>
      <c r="T249" s="927"/>
      <c r="U249" s="1052">
        <f t="shared" si="81"/>
        <v>0</v>
      </c>
      <c r="V249" s="929"/>
      <c r="W249" s="930"/>
      <c r="X249" s="929">
        <f>U249+V249</f>
        <v>0</v>
      </c>
      <c r="Y249" s="930"/>
      <c r="Z249" s="929">
        <f>X249+Y249</f>
        <v>0</v>
      </c>
    </row>
    <row r="250" spans="1:66" ht="24" thickBot="1">
      <c r="A250" s="985" t="s">
        <v>134</v>
      </c>
      <c r="B250" s="895"/>
      <c r="C250" s="895"/>
      <c r="D250" s="896"/>
      <c r="E250" s="897">
        <f t="shared" ref="E250:S250" si="82">SUM(E248:E249)</f>
        <v>0</v>
      </c>
      <c r="F250" s="897">
        <f t="shared" si="82"/>
        <v>0</v>
      </c>
      <c r="G250" s="897">
        <f t="shared" si="82"/>
        <v>0</v>
      </c>
      <c r="H250" s="897">
        <f t="shared" si="82"/>
        <v>0</v>
      </c>
      <c r="I250" s="897">
        <f t="shared" si="82"/>
        <v>0</v>
      </c>
      <c r="J250" s="897">
        <f t="shared" si="82"/>
        <v>0</v>
      </c>
      <c r="K250" s="897">
        <f t="shared" si="82"/>
        <v>0</v>
      </c>
      <c r="L250" s="897">
        <f t="shared" si="82"/>
        <v>0</v>
      </c>
      <c r="M250" s="897">
        <f t="shared" si="82"/>
        <v>0</v>
      </c>
      <c r="N250" s="897">
        <f t="shared" si="82"/>
        <v>0</v>
      </c>
      <c r="O250" s="897">
        <f t="shared" si="82"/>
        <v>0</v>
      </c>
      <c r="P250" s="897">
        <f t="shared" si="82"/>
        <v>0</v>
      </c>
      <c r="Q250" s="897">
        <f t="shared" si="82"/>
        <v>0</v>
      </c>
      <c r="R250" s="897">
        <f t="shared" si="82"/>
        <v>0</v>
      </c>
      <c r="S250" s="935">
        <f t="shared" si="82"/>
        <v>0</v>
      </c>
      <c r="T250" s="932"/>
      <c r="U250" s="951">
        <f t="shared" ref="U250:Z250" si="83">SUM(U248:U249)</f>
        <v>0</v>
      </c>
      <c r="V250" s="951">
        <f t="shared" si="83"/>
        <v>0</v>
      </c>
      <c r="W250" s="1053"/>
      <c r="X250" s="951">
        <f t="shared" si="83"/>
        <v>0</v>
      </c>
      <c r="Y250" s="1053">
        <f t="shared" si="83"/>
        <v>0</v>
      </c>
      <c r="Z250" s="951">
        <f t="shared" si="83"/>
        <v>0</v>
      </c>
    </row>
    <row r="251" spans="1:66" ht="24" thickBot="1">
      <c r="A251" s="1041"/>
      <c r="B251" s="1042"/>
      <c r="C251" s="1042"/>
      <c r="D251" s="1043"/>
      <c r="E251" s="1044"/>
      <c r="F251" s="1044"/>
      <c r="G251" s="1044"/>
      <c r="H251" s="1044"/>
      <c r="I251" s="1044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54"/>
      <c r="U251" s="1054"/>
      <c r="V251" s="1044"/>
      <c r="W251" s="1044"/>
      <c r="X251" s="1054"/>
      <c r="Y251" s="1044"/>
      <c r="Z251" s="1054"/>
    </row>
    <row r="252" spans="1:66" ht="24" thickBot="1">
      <c r="A252" s="991" t="s">
        <v>203</v>
      </c>
      <c r="B252" s="875"/>
      <c r="C252" s="875"/>
      <c r="D252" s="1045"/>
      <c r="E252" s="993">
        <f t="shared" ref="E252:S252" si="84">E171-E244+E250</f>
        <v>0</v>
      </c>
      <c r="F252" s="14">
        <f t="shared" si="84"/>
        <v>0</v>
      </c>
      <c r="G252" s="14">
        <f t="shared" si="84"/>
        <v>0</v>
      </c>
      <c r="H252" s="993">
        <f t="shared" si="84"/>
        <v>0</v>
      </c>
      <c r="I252" s="993">
        <f t="shared" si="84"/>
        <v>0</v>
      </c>
      <c r="J252" s="993">
        <f t="shared" si="84"/>
        <v>0</v>
      </c>
      <c r="K252" s="993">
        <f t="shared" si="84"/>
        <v>0</v>
      </c>
      <c r="L252" s="14">
        <f t="shared" si="84"/>
        <v>0</v>
      </c>
      <c r="M252" s="14">
        <f t="shared" si="84"/>
        <v>0</v>
      </c>
      <c r="N252" s="14">
        <f t="shared" si="84"/>
        <v>512</v>
      </c>
      <c r="O252" s="14">
        <f t="shared" si="84"/>
        <v>0</v>
      </c>
      <c r="P252" s="14">
        <f t="shared" si="84"/>
        <v>288</v>
      </c>
      <c r="Q252" s="14">
        <f t="shared" si="84"/>
        <v>0</v>
      </c>
      <c r="R252" s="14">
        <f t="shared" si="84"/>
        <v>0</v>
      </c>
      <c r="S252" s="1047">
        <f t="shared" si="84"/>
        <v>1232</v>
      </c>
      <c r="T252" s="1055"/>
      <c r="U252" s="1056">
        <f>U171-U244+U250</f>
        <v>2032</v>
      </c>
      <c r="V252" s="3853">
        <f>V171-V244+V250</f>
        <v>8</v>
      </c>
      <c r="W252" s="3854"/>
      <c r="X252" s="1057">
        <f>X171-X244+X250</f>
        <v>2040</v>
      </c>
      <c r="Y252" s="1057">
        <f>Y171-Y244+Y250</f>
        <v>35</v>
      </c>
      <c r="Z252" s="1060">
        <f>Z171-Z244+Z250</f>
        <v>2075</v>
      </c>
    </row>
    <row r="253" spans="1:66" ht="24" thickBot="1">
      <c r="A253" s="994" t="s">
        <v>146</v>
      </c>
      <c r="B253" s="875"/>
      <c r="C253" s="875"/>
      <c r="D253" s="1046"/>
      <c r="E253" s="995">
        <f>E252/16</f>
        <v>0</v>
      </c>
      <c r="F253" s="995">
        <f t="shared" ref="F253:S253" si="85">F252/16</f>
        <v>0</v>
      </c>
      <c r="G253" s="995">
        <f t="shared" si="85"/>
        <v>0</v>
      </c>
      <c r="H253" s="995">
        <f t="shared" si="85"/>
        <v>0</v>
      </c>
      <c r="I253" s="995">
        <f t="shared" si="85"/>
        <v>0</v>
      </c>
      <c r="J253" s="995">
        <f t="shared" si="85"/>
        <v>0</v>
      </c>
      <c r="K253" s="995">
        <f t="shared" si="85"/>
        <v>0</v>
      </c>
      <c r="L253" s="995">
        <f t="shared" si="85"/>
        <v>0</v>
      </c>
      <c r="M253" s="995">
        <f t="shared" si="85"/>
        <v>0</v>
      </c>
      <c r="N253" s="995">
        <f t="shared" si="85"/>
        <v>32</v>
      </c>
      <c r="O253" s="995">
        <f t="shared" si="85"/>
        <v>0</v>
      </c>
      <c r="P253" s="995">
        <f t="shared" si="85"/>
        <v>18</v>
      </c>
      <c r="Q253" s="995">
        <f t="shared" si="85"/>
        <v>0</v>
      </c>
      <c r="R253" s="995">
        <f t="shared" si="85"/>
        <v>0</v>
      </c>
      <c r="S253" s="995">
        <f t="shared" si="85"/>
        <v>77</v>
      </c>
      <c r="T253" s="246"/>
      <c r="U253" s="993">
        <f>SUM(E253:S253)</f>
        <v>127</v>
      </c>
      <c r="V253" s="3855">
        <f t="shared" ref="V253:Z253" si="86">V252/12</f>
        <v>0.66666666666666663</v>
      </c>
      <c r="W253" s="3856"/>
      <c r="X253" s="1058">
        <f t="shared" si="86"/>
        <v>170</v>
      </c>
      <c r="Y253" s="1058">
        <f t="shared" si="86"/>
        <v>2.9166666666666665</v>
      </c>
      <c r="Z253" s="1061">
        <f t="shared" si="86"/>
        <v>172.91666666666666</v>
      </c>
    </row>
    <row r="254" spans="1:66" ht="24" thickBot="1">
      <c r="A254" s="994" t="s">
        <v>156</v>
      </c>
      <c r="B254" s="875"/>
      <c r="C254" s="875"/>
      <c r="D254" s="1046"/>
      <c r="E254" s="3837">
        <f>SUM(E253:S253)</f>
        <v>127</v>
      </c>
      <c r="F254" s="3838"/>
      <c r="G254" s="3838"/>
      <c r="H254" s="3838"/>
      <c r="I254" s="3838"/>
      <c r="J254" s="3838"/>
      <c r="K254" s="3838"/>
      <c r="L254" s="3838"/>
      <c r="M254" s="3838"/>
      <c r="N254" s="3838"/>
      <c r="O254" s="3838"/>
      <c r="P254" s="3838"/>
      <c r="Q254" s="3838"/>
      <c r="R254" s="3838"/>
      <c r="S254" s="3839"/>
      <c r="T254" s="6"/>
      <c r="U254" s="3837">
        <f>SUM(U253:Z253)</f>
        <v>473.5</v>
      </c>
      <c r="V254" s="3838"/>
      <c r="W254" s="3838"/>
      <c r="X254" s="3838"/>
      <c r="Y254" s="3838"/>
      <c r="Z254" s="3839"/>
    </row>
    <row r="255" spans="1:66" ht="21.75" thickBot="1">
      <c r="A255" s="3840" t="s">
        <v>157</v>
      </c>
      <c r="B255" s="3841"/>
      <c r="C255" s="3841"/>
      <c r="D255" s="3841"/>
      <c r="E255" s="3842">
        <f>SUM(E252:S252)</f>
        <v>2032</v>
      </c>
      <c r="F255" s="3843"/>
      <c r="G255" s="3843"/>
      <c r="H255" s="3843"/>
      <c r="I255" s="3843"/>
      <c r="J255" s="3843"/>
      <c r="K255" s="3843"/>
      <c r="L255" s="3843"/>
      <c r="M255" s="3843"/>
      <c r="N255" s="3843"/>
      <c r="O255" s="3843"/>
      <c r="P255" s="3843"/>
      <c r="Q255" s="3843"/>
      <c r="R255" s="3843"/>
      <c r="S255" s="3844"/>
      <c r="T255" s="174"/>
      <c r="U255" s="3845">
        <f>SUM(U252:Z252)</f>
        <v>6190</v>
      </c>
      <c r="V255" s="3846"/>
      <c r="W255" s="3846"/>
      <c r="X255" s="3846"/>
      <c r="Y255" s="3846"/>
      <c r="Z255" s="3847"/>
    </row>
    <row r="256" spans="1:66">
      <c r="BI256">
        <f>3*16</f>
        <v>48</v>
      </c>
      <c r="BJ256">
        <f>3*16</f>
        <v>48</v>
      </c>
      <c r="BK256">
        <f>3*16</f>
        <v>48</v>
      </c>
      <c r="BN256">
        <f>3*16</f>
        <v>48</v>
      </c>
    </row>
    <row r="257" spans="1:26" ht="24" thickBot="1">
      <c r="A257" s="561"/>
      <c r="D257" s="3224">
        <v>45720</v>
      </c>
    </row>
    <row r="258" spans="1:26" ht="27.75" thickBot="1">
      <c r="E258" s="3826"/>
      <c r="F258" s="3826"/>
      <c r="G258" s="3826"/>
      <c r="H258" s="3826"/>
      <c r="I258" s="3826"/>
      <c r="J258" s="3826"/>
      <c r="K258" s="3826"/>
      <c r="L258" s="3826"/>
      <c r="M258" s="3826"/>
      <c r="N258" s="3826"/>
      <c r="O258" s="3826"/>
      <c r="P258" s="3819" t="s">
        <v>158</v>
      </c>
      <c r="Q258" s="3820"/>
      <c r="R258" s="3820"/>
      <c r="S258" s="3820"/>
      <c r="T258" s="3821"/>
      <c r="U258" s="3832">
        <f>'BIG CHAIR'!CI325</f>
        <v>0</v>
      </c>
      <c r="V258" s="3833"/>
      <c r="W258" s="873"/>
      <c r="X258" s="1"/>
      <c r="Y258" s="1"/>
      <c r="Z258" s="1"/>
    </row>
    <row r="259" spans="1:26" ht="27.75" thickBot="1">
      <c r="E259" s="3826"/>
      <c r="F259" s="3826"/>
      <c r="G259" s="3826"/>
      <c r="H259" s="3826"/>
      <c r="I259" s="3826"/>
      <c r="J259" s="3826"/>
      <c r="K259" s="3826"/>
      <c r="L259" s="3826"/>
      <c r="M259" s="3826"/>
      <c r="N259" s="3826"/>
      <c r="O259" s="3826"/>
      <c r="P259" s="3834" t="s">
        <v>159</v>
      </c>
      <c r="Q259" s="3835"/>
      <c r="R259" s="3835"/>
      <c r="S259" s="3835"/>
      <c r="T259" s="3836"/>
      <c r="U259" s="3822">
        <f>'Jordan Chair'!AE250</f>
        <v>2412</v>
      </c>
      <c r="V259" s="3823"/>
      <c r="W259" s="873"/>
    </row>
    <row r="260" spans="1:26" ht="27.75" thickBot="1">
      <c r="E260" s="3826"/>
      <c r="F260" s="3826"/>
      <c r="G260" s="3826"/>
      <c r="H260" s="3826"/>
      <c r="I260" s="3826"/>
      <c r="J260" s="3826"/>
      <c r="K260" s="3826"/>
      <c r="L260" s="3826"/>
      <c r="M260" s="3826"/>
      <c r="N260" s="3826"/>
      <c r="O260" s="3826"/>
      <c r="P260" s="3819" t="s">
        <v>160</v>
      </c>
      <c r="Q260" s="3820"/>
      <c r="R260" s="3820"/>
      <c r="S260" s="3820"/>
      <c r="T260" s="3821"/>
      <c r="U260" s="3827">
        <f>'BIG CHAIR'!CJ325</f>
        <v>0</v>
      </c>
      <c r="V260" s="3828"/>
      <c r="W260" s="873"/>
    </row>
    <row r="261" spans="1:26" ht="27.75" thickBot="1">
      <c r="E261" s="3826"/>
      <c r="F261" s="3826"/>
      <c r="G261" s="3826"/>
      <c r="H261" s="3826"/>
      <c r="I261" s="3826"/>
      <c r="J261" s="3826"/>
      <c r="K261" s="3826"/>
      <c r="L261" s="3826"/>
      <c r="M261" s="3826"/>
      <c r="N261" s="3826"/>
      <c r="O261" s="3826"/>
      <c r="P261" s="3819" t="s">
        <v>161</v>
      </c>
      <c r="Q261" s="3820"/>
      <c r="R261" s="3820"/>
      <c r="S261" s="3820"/>
      <c r="T261" s="3821"/>
      <c r="U261" s="3822">
        <f>'Jordan Chair'!AF250</f>
        <v>3</v>
      </c>
      <c r="V261" s="3823"/>
      <c r="W261" s="873"/>
    </row>
    <row r="262" spans="1:26" ht="27.75" thickBot="1">
      <c r="E262" s="3826"/>
      <c r="F262" s="3826"/>
      <c r="G262" s="3826"/>
      <c r="H262" s="3826"/>
      <c r="I262" s="3826"/>
      <c r="J262" s="3826"/>
      <c r="K262" s="3826"/>
      <c r="L262" s="3826"/>
      <c r="M262" s="3826"/>
      <c r="N262" s="3826"/>
      <c r="O262" s="3826"/>
      <c r="P262" s="3819" t="s">
        <v>162</v>
      </c>
      <c r="Q262" s="3820"/>
      <c r="R262" s="3820"/>
      <c r="S262" s="3820"/>
      <c r="T262" s="3821"/>
      <c r="U262" s="3827">
        <f>U252</f>
        <v>2032</v>
      </c>
      <c r="V262" s="3828"/>
      <c r="W262" s="873"/>
    </row>
    <row r="263" spans="1:26" ht="27.75" thickBot="1">
      <c r="E263" s="3826"/>
      <c r="F263" s="3826"/>
      <c r="G263" s="3826"/>
      <c r="H263" s="3826"/>
      <c r="I263" s="3826"/>
      <c r="J263" s="3826"/>
      <c r="K263" s="3826"/>
      <c r="L263" s="3826"/>
      <c r="M263" s="3826"/>
      <c r="N263" s="3826"/>
      <c r="O263" s="3826"/>
      <c r="P263" s="3829" t="s">
        <v>163</v>
      </c>
      <c r="Q263" s="3830"/>
      <c r="R263" s="3830"/>
      <c r="S263" s="3830"/>
      <c r="T263" s="3831"/>
      <c r="U263" s="3822">
        <f>V252</f>
        <v>8</v>
      </c>
      <c r="V263" s="3823"/>
      <c r="W263" s="873"/>
    </row>
    <row r="264" spans="1:26" ht="26.25" thickTop="1" thickBot="1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814"/>
      <c r="Q264" s="3815"/>
      <c r="R264" s="3815"/>
      <c r="S264" s="3815"/>
      <c r="T264" s="3816"/>
      <c r="U264" s="3817"/>
      <c r="V264" s="3818"/>
      <c r="W264" s="1062"/>
    </row>
    <row r="265" spans="1:26" ht="25.5" thickBot="1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819" t="s">
        <v>164</v>
      </c>
      <c r="Q265" s="3820"/>
      <c r="R265" s="3820"/>
      <c r="S265" s="3820"/>
      <c r="T265" s="3821"/>
      <c r="U265" s="3822">
        <f>SUM(U258:V263)</f>
        <v>4455</v>
      </c>
      <c r="V265" s="3823"/>
      <c r="W265" s="873"/>
    </row>
    <row r="266" spans="1:26" ht="25.5" thickBot="1">
      <c r="P266" s="3819" t="s">
        <v>165</v>
      </c>
      <c r="Q266" s="3820"/>
      <c r="R266" s="3820"/>
      <c r="S266" s="3820"/>
      <c r="T266" s="3821"/>
      <c r="U266" s="3824">
        <f>U253+'BIG CHAIR'!CI326+'Jordan Chair'!AE251</f>
        <v>328</v>
      </c>
      <c r="V266" s="3825"/>
      <c r="W266" s="873"/>
    </row>
  </sheetData>
  <mergeCells count="34">
    <mergeCell ref="Q1:R1"/>
    <mergeCell ref="E2:S2"/>
    <mergeCell ref="A173:Z173"/>
    <mergeCell ref="V252:W252"/>
    <mergeCell ref="V253:W253"/>
    <mergeCell ref="E254:S254"/>
    <mergeCell ref="U254:Z254"/>
    <mergeCell ref="A255:D255"/>
    <mergeCell ref="E255:S255"/>
    <mergeCell ref="U255:Z255"/>
    <mergeCell ref="E258:O258"/>
    <mergeCell ref="P258:T258"/>
    <mergeCell ref="U258:V258"/>
    <mergeCell ref="E259:O259"/>
    <mergeCell ref="P259:T259"/>
    <mergeCell ref="U259:V259"/>
    <mergeCell ref="E260:O260"/>
    <mergeCell ref="P260:T260"/>
    <mergeCell ref="U260:V260"/>
    <mergeCell ref="E261:O261"/>
    <mergeCell ref="P261:T261"/>
    <mergeCell ref="U261:V261"/>
    <mergeCell ref="E262:O262"/>
    <mergeCell ref="P262:T262"/>
    <mergeCell ref="U262:V262"/>
    <mergeCell ref="E263:O263"/>
    <mergeCell ref="P263:T263"/>
    <mergeCell ref="U263:V263"/>
    <mergeCell ref="P264:T264"/>
    <mergeCell ref="U264:V264"/>
    <mergeCell ref="P265:T265"/>
    <mergeCell ref="U265:V265"/>
    <mergeCell ref="P266:T266"/>
    <mergeCell ref="U266:V266"/>
  </mergeCells>
  <pageMargins left="0.75" right="0.75" top="1" bottom="1" header="0.51180555555555596" footer="0.51180555555555596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328"/>
  <sheetViews>
    <sheetView zoomScale="94" zoomScaleNormal="94" workbookViewId="0">
      <pane ySplit="3" topLeftCell="A227" activePane="bottomLeft" state="frozen"/>
      <selection pane="bottomLeft" activeCell="A239" sqref="A239"/>
    </sheetView>
  </sheetViews>
  <sheetFormatPr defaultColWidth="9" defaultRowHeight="15"/>
  <cols>
    <col min="1" max="1" width="57.5703125" customWidth="1"/>
    <col min="2" max="2" width="16" style="276" bestFit="1" customWidth="1"/>
    <col min="3" max="3" width="7.5703125" style="276" bestFit="1" customWidth="1"/>
    <col min="4" max="4" width="21.85546875" customWidth="1"/>
    <col min="5" max="5" width="11.5703125" customWidth="1"/>
    <col min="6" max="6" width="13.140625" bestFit="1" customWidth="1"/>
    <col min="7" max="7" width="13" bestFit="1" customWidth="1"/>
    <col min="8" max="8" width="15.7109375" bestFit="1" customWidth="1"/>
    <col min="9" max="9" width="11.5703125" customWidth="1"/>
    <col min="10" max="10" width="13.85546875" bestFit="1" customWidth="1"/>
    <col min="11" max="11" width="11.5703125" customWidth="1"/>
    <col min="12" max="12" width="16.28515625" bestFit="1" customWidth="1"/>
    <col min="13" max="13" width="13.7109375" customWidth="1"/>
    <col min="14" max="15" width="12.7109375" customWidth="1"/>
    <col min="16" max="16" width="15.140625" customWidth="1"/>
    <col min="17" max="17" width="13.7109375" customWidth="1"/>
    <col min="18" max="18" width="16.85546875" customWidth="1"/>
    <col min="19" max="19" width="11.5703125" customWidth="1"/>
    <col min="20" max="20" width="17.5703125" customWidth="1"/>
    <col min="21" max="21" width="1.5703125" customWidth="1"/>
    <col min="22" max="22" width="15.7109375" customWidth="1"/>
    <col min="23" max="23" width="16.85546875" customWidth="1"/>
    <col min="24" max="24" width="12.140625" customWidth="1"/>
    <col min="25" max="25" width="15.42578125" bestFit="1" customWidth="1"/>
    <col min="26" max="26" width="14.85546875" customWidth="1"/>
    <col min="27" max="27" width="12.5703125" customWidth="1"/>
    <col min="28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38" width="10"/>
    <col min="39" max="39" width="11" customWidth="1"/>
    <col min="40" max="256" width="10" customWidth="1"/>
  </cols>
  <sheetData>
    <row r="1" spans="1:39" ht="27" thickBot="1">
      <c r="A1" s="285" t="s">
        <v>166</v>
      </c>
      <c r="B1" s="285"/>
      <c r="C1" s="285"/>
      <c r="D1" s="285"/>
      <c r="E1" s="285"/>
      <c r="F1" s="285"/>
      <c r="G1" s="285"/>
      <c r="H1" s="285"/>
      <c r="I1" s="285"/>
      <c r="J1" s="335">
        <v>1</v>
      </c>
      <c r="K1" s="335">
        <v>4</v>
      </c>
      <c r="L1" s="285">
        <v>25</v>
      </c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357</v>
      </c>
      <c r="F2" s="3892"/>
      <c r="G2" s="3892"/>
      <c r="H2" s="3892"/>
      <c r="I2" s="3892"/>
      <c r="J2" s="3892"/>
      <c r="K2" s="3892"/>
      <c r="L2" s="336"/>
      <c r="M2" s="3893" t="s">
        <v>204</v>
      </c>
      <c r="N2" s="3894"/>
      <c r="O2" s="3894"/>
      <c r="P2" s="3894"/>
      <c r="Q2" s="3894"/>
      <c r="R2" s="3894"/>
      <c r="S2" s="3894"/>
      <c r="T2" s="3895"/>
      <c r="U2" s="364"/>
      <c r="V2" s="3893" t="s">
        <v>205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8" t="s">
        <v>358</v>
      </c>
      <c r="F3" s="744" t="s">
        <v>364</v>
      </c>
      <c r="G3" s="30" t="s">
        <v>359</v>
      </c>
      <c r="H3" s="744" t="s">
        <v>365</v>
      </c>
      <c r="I3" s="744" t="s">
        <v>360</v>
      </c>
      <c r="J3" s="751" t="s">
        <v>366</v>
      </c>
      <c r="K3" s="783" t="s">
        <v>361</v>
      </c>
      <c r="L3" s="79" t="s">
        <v>367</v>
      </c>
      <c r="M3" s="80" t="s">
        <v>71</v>
      </c>
      <c r="N3" s="49" t="s">
        <v>482</v>
      </c>
      <c r="O3" s="49" t="s">
        <v>502</v>
      </c>
      <c r="P3" s="49" t="s">
        <v>207</v>
      </c>
      <c r="Q3" s="49" t="s">
        <v>75</v>
      </c>
      <c r="R3" s="49" t="s">
        <v>53</v>
      </c>
      <c r="S3" s="126" t="s">
        <v>77</v>
      </c>
      <c r="T3" s="171" t="s">
        <v>94</v>
      </c>
      <c r="U3" s="79"/>
      <c r="V3" s="80" t="s">
        <v>86</v>
      </c>
      <c r="W3" s="714" t="s">
        <v>368</v>
      </c>
      <c r="X3" s="49" t="s">
        <v>85</v>
      </c>
      <c r="Y3" s="103" t="s">
        <v>101</v>
      </c>
      <c r="Z3" s="104" t="s">
        <v>90</v>
      </c>
      <c r="AA3" s="716" t="s">
        <v>390</v>
      </c>
      <c r="AB3" s="121" t="s">
        <v>208</v>
      </c>
      <c r="AC3" s="717" t="s">
        <v>92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/>
      <c r="C4" s="290"/>
      <c r="D4" s="291"/>
      <c r="E4" s="2675"/>
      <c r="F4" s="2674"/>
      <c r="G4" s="2674"/>
      <c r="H4" s="2674"/>
      <c r="I4" s="2674">
        <f>22*16</f>
        <v>352</v>
      </c>
      <c r="J4" s="1349"/>
      <c r="K4" s="1349"/>
      <c r="L4" s="339"/>
      <c r="M4" s="340"/>
      <c r="N4" s="293">
        <f>19*16</f>
        <v>304</v>
      </c>
      <c r="O4" s="337">
        <f>35*16</f>
        <v>560</v>
      </c>
      <c r="P4" s="337">
        <f>116*16</f>
        <v>1856</v>
      </c>
      <c r="Q4" s="337">
        <f>2*16</f>
        <v>32</v>
      </c>
      <c r="R4" s="337">
        <f>159*16</f>
        <v>2544</v>
      </c>
      <c r="S4" s="365"/>
      <c r="T4" s="338">
        <f>47*16</f>
        <v>752</v>
      </c>
      <c r="U4" s="339"/>
      <c r="V4" s="366">
        <f>14*16</f>
        <v>224</v>
      </c>
      <c r="W4" s="293"/>
      <c r="X4" s="293">
        <f>7*16</f>
        <v>112</v>
      </c>
      <c r="Y4" s="337"/>
      <c r="Z4" s="337">
        <f>10*16</f>
        <v>160</v>
      </c>
      <c r="AA4" s="337">
        <f>13*16</f>
        <v>208</v>
      </c>
      <c r="AB4" s="293"/>
      <c r="AC4" s="338">
        <f>10*16</f>
        <v>160</v>
      </c>
      <c r="AD4" s="339"/>
      <c r="AE4" s="373">
        <f>SUM(E4:AC4)</f>
        <v>7264</v>
      </c>
      <c r="AF4" s="374"/>
      <c r="AG4" s="373"/>
      <c r="AH4" s="387">
        <f>AF4+AE4</f>
        <v>7264</v>
      </c>
      <c r="AI4" s="388"/>
      <c r="AJ4" s="389">
        <f>AH4+AI4</f>
        <v>7264</v>
      </c>
    </row>
    <row r="5" spans="1:39" s="283" customFormat="1" ht="20.25">
      <c r="A5" s="294" t="s">
        <v>110</v>
      </c>
      <c r="B5" s="299"/>
      <c r="C5" s="299"/>
      <c r="D5" s="709">
        <v>46129</v>
      </c>
      <c r="E5" s="296"/>
      <c r="F5" s="297"/>
      <c r="G5" s="297"/>
      <c r="H5" s="297"/>
      <c r="I5" s="298"/>
      <c r="J5" s="298"/>
      <c r="K5" s="297"/>
      <c r="L5" s="297"/>
      <c r="M5" s="343"/>
      <c r="N5" s="298"/>
      <c r="O5" s="298"/>
      <c r="P5" s="298"/>
      <c r="Q5" s="298"/>
      <c r="R5" s="298"/>
      <c r="S5" s="298"/>
      <c r="T5" s="367">
        <f>4*16</f>
        <v>64</v>
      </c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8" si="0">SUM(E5:AC5)</f>
        <v>64</v>
      </c>
      <c r="AF5" s="377">
        <v>2</v>
      </c>
      <c r="AG5" s="390"/>
      <c r="AH5" s="391">
        <f t="shared" ref="AH5:AH38" si="1">AE5+AF5</f>
        <v>66</v>
      </c>
      <c r="AI5" s="392">
        <v>8</v>
      </c>
      <c r="AJ5" s="393">
        <f>AH5+AI5</f>
        <v>74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>
        <v>46130</v>
      </c>
      <c r="E6" s="296"/>
      <c r="F6" s="297"/>
      <c r="G6" s="297"/>
      <c r="H6" s="297"/>
      <c r="I6" s="298"/>
      <c r="J6" s="298"/>
      <c r="K6" s="297"/>
      <c r="L6" s="297"/>
      <c r="M6" s="343"/>
      <c r="N6" s="298"/>
      <c r="O6" s="298"/>
      <c r="P6" s="298"/>
      <c r="Q6" s="298"/>
      <c r="R6" s="298"/>
      <c r="S6" s="298"/>
      <c r="T6" s="367">
        <f>31*16+15*16</f>
        <v>736</v>
      </c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736</v>
      </c>
      <c r="AF6" s="377">
        <f>3+6</f>
        <v>9</v>
      </c>
      <c r="AG6" s="390"/>
      <c r="AH6" s="391">
        <f t="shared" si="1"/>
        <v>745</v>
      </c>
      <c r="AI6" s="392">
        <f>17+20</f>
        <v>37</v>
      </c>
      <c r="AJ6" s="393">
        <f>AH6+AI6</f>
        <v>782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>
        <v>46131</v>
      </c>
      <c r="E7" s="296"/>
      <c r="F7" s="297"/>
      <c r="G7" s="297"/>
      <c r="H7" s="297"/>
      <c r="I7" s="298"/>
      <c r="J7" s="298"/>
      <c r="K7" s="297"/>
      <c r="L7" s="297"/>
      <c r="M7" s="343"/>
      <c r="N7" s="298"/>
      <c r="O7" s="298"/>
      <c r="P7" s="298"/>
      <c r="Q7" s="298"/>
      <c r="R7" s="298"/>
      <c r="S7" s="298"/>
      <c r="T7" s="367">
        <f>27*16</f>
        <v>432</v>
      </c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432</v>
      </c>
      <c r="AF7" s="377">
        <v>8</v>
      </c>
      <c r="AG7" s="390"/>
      <c r="AH7" s="391">
        <f t="shared" si="1"/>
        <v>440</v>
      </c>
      <c r="AI7" s="392">
        <v>17</v>
      </c>
      <c r="AJ7" s="393">
        <f t="shared" ref="AJ7:AJ8" si="2">AH7+AI7</f>
        <v>457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>
        <v>46132</v>
      </c>
      <c r="E8" s="296"/>
      <c r="F8" s="297"/>
      <c r="G8" s="297"/>
      <c r="H8" s="297"/>
      <c r="I8" s="298"/>
      <c r="J8" s="298"/>
      <c r="K8" s="297"/>
      <c r="L8" s="297"/>
      <c r="M8" s="343"/>
      <c r="N8" s="298"/>
      <c r="O8" s="298"/>
      <c r="P8" s="298"/>
      <c r="Q8" s="298"/>
      <c r="R8" s="298"/>
      <c r="S8" s="298"/>
      <c r="T8" s="367">
        <f>21*16</f>
        <v>336</v>
      </c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336</v>
      </c>
      <c r="AF8" s="377">
        <v>2</v>
      </c>
      <c r="AG8" s="390"/>
      <c r="AH8" s="391">
        <f t="shared" si="1"/>
        <v>338</v>
      </c>
      <c r="AI8" s="392">
        <v>19</v>
      </c>
      <c r="AJ8" s="393">
        <f t="shared" si="2"/>
        <v>357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>
        <v>46133</v>
      </c>
      <c r="E9" s="296"/>
      <c r="F9" s="297"/>
      <c r="G9" s="297"/>
      <c r="H9" s="297"/>
      <c r="I9" s="298"/>
      <c r="J9" s="298"/>
      <c r="K9" s="297"/>
      <c r="L9" s="297"/>
      <c r="M9" s="343"/>
      <c r="N9" s="298">
        <f>11*16+26*16</f>
        <v>592</v>
      </c>
      <c r="O9" s="298"/>
      <c r="P9" s="298"/>
      <c r="Q9" s="298"/>
      <c r="R9" s="298"/>
      <c r="S9" s="298"/>
      <c r="T9" s="367">
        <f>13*16</f>
        <v>208</v>
      </c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800</v>
      </c>
      <c r="AF9" s="377">
        <f>2+4</f>
        <v>6</v>
      </c>
      <c r="AG9" s="390"/>
      <c r="AH9" s="391">
        <f t="shared" si="1"/>
        <v>806</v>
      </c>
      <c r="AI9" s="392">
        <f>25+5</f>
        <v>30</v>
      </c>
      <c r="AJ9" s="393">
        <f t="shared" ref="AJ9:AJ14" si="3">AH9+AI9</f>
        <v>836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>
        <v>46134</v>
      </c>
      <c r="E10" s="296"/>
      <c r="F10" s="297"/>
      <c r="G10" s="297"/>
      <c r="H10" s="297"/>
      <c r="I10" s="298"/>
      <c r="J10" s="298"/>
      <c r="K10" s="297"/>
      <c r="L10" s="297"/>
      <c r="M10" s="343"/>
      <c r="N10" s="298">
        <f>3*16</f>
        <v>48</v>
      </c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48</v>
      </c>
      <c r="AF10" s="377"/>
      <c r="AG10" s="390"/>
      <c r="AH10" s="391">
        <f t="shared" si="1"/>
        <v>48</v>
      </c>
      <c r="AI10" s="392">
        <v>3</v>
      </c>
      <c r="AJ10" s="393">
        <f t="shared" si="3"/>
        <v>51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297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297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297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297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3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297"/>
      <c r="M15" s="711"/>
      <c r="N15" s="712"/>
      <c r="O15" s="712"/>
      <c r="P15" s="712"/>
      <c r="Q15" s="712"/>
      <c r="R15" s="712"/>
      <c r="S15" s="712"/>
      <c r="T15" s="715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ref="AJ15:AJ20" si="4">AH15+AI15</f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297"/>
      <c r="M16" s="711"/>
      <c r="N16" s="712"/>
      <c r="O16" s="712"/>
      <c r="P16" s="712"/>
      <c r="Q16" s="712"/>
      <c r="R16" s="712"/>
      <c r="S16" s="712"/>
      <c r="T16" s="715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4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297"/>
      <c r="M17" s="711"/>
      <c r="N17" s="712"/>
      <c r="O17" s="712"/>
      <c r="P17" s="712"/>
      <c r="Q17" s="712"/>
      <c r="R17" s="712"/>
      <c r="S17" s="712"/>
      <c r="T17" s="715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4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297"/>
      <c r="M18" s="711"/>
      <c r="N18" s="712"/>
      <c r="O18" s="712"/>
      <c r="P18" s="712"/>
      <c r="Q18" s="712"/>
      <c r="R18" s="712"/>
      <c r="S18" s="712"/>
      <c r="T18" s="715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4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297"/>
      <c r="M19" s="711"/>
      <c r="N19" s="712"/>
      <c r="O19" s="712"/>
      <c r="P19" s="712"/>
      <c r="Q19" s="712"/>
      <c r="R19" s="712"/>
      <c r="S19" s="712"/>
      <c r="T19" s="715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4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297"/>
      <c r="M20" s="711"/>
      <c r="N20" s="712"/>
      <c r="O20" s="712"/>
      <c r="P20" s="712"/>
      <c r="Q20" s="712"/>
      <c r="R20" s="712"/>
      <c r="S20" s="712"/>
      <c r="T20" s="715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4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297"/>
      <c r="M21" s="711"/>
      <c r="N21" s="712"/>
      <c r="O21" s="712"/>
      <c r="P21" s="712"/>
      <c r="Q21" s="712"/>
      <c r="R21" s="712"/>
      <c r="S21" s="712"/>
      <c r="T21" s="715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ref="AJ21:AJ22" si="5">AH21+AI21</f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297"/>
      <c r="M22" s="711"/>
      <c r="N22" s="712"/>
      <c r="O22" s="712"/>
      <c r="P22" s="712"/>
      <c r="Q22" s="712"/>
      <c r="R22" s="712"/>
      <c r="S22" s="712"/>
      <c r="T22" s="715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5"/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297"/>
      <c r="M23" s="711"/>
      <c r="N23" s="712"/>
      <c r="O23" s="712"/>
      <c r="P23" s="712"/>
      <c r="Q23" s="712"/>
      <c r="R23" s="712"/>
      <c r="S23" s="712"/>
      <c r="T23" s="715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ref="AJ23:AJ28" si="6">AH23+AI23</f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297"/>
      <c r="M24" s="711"/>
      <c r="N24" s="712"/>
      <c r="O24" s="712"/>
      <c r="P24" s="712"/>
      <c r="Q24" s="712"/>
      <c r="R24" s="712"/>
      <c r="S24" s="712"/>
      <c r="T24" s="715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6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297"/>
      <c r="M25" s="711"/>
      <c r="N25" s="712"/>
      <c r="O25" s="712"/>
      <c r="P25" s="712"/>
      <c r="Q25" s="712"/>
      <c r="R25" s="712"/>
      <c r="S25" s="712"/>
      <c r="T25" s="715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6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297"/>
      <c r="M26" s="711"/>
      <c r="N26" s="712"/>
      <c r="O26" s="712"/>
      <c r="P26" s="712"/>
      <c r="Q26" s="712"/>
      <c r="R26" s="712"/>
      <c r="S26" s="712"/>
      <c r="T26" s="715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6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297"/>
      <c r="M27" s="711"/>
      <c r="N27" s="712"/>
      <c r="O27" s="712"/>
      <c r="P27" s="712"/>
      <c r="Q27" s="712"/>
      <c r="R27" s="712"/>
      <c r="S27" s="712"/>
      <c r="T27" s="715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6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297"/>
      <c r="M28" s="711"/>
      <c r="N28" s="712"/>
      <c r="O28" s="712"/>
      <c r="P28" s="712"/>
      <c r="Q28" s="712"/>
      <c r="R28" s="712"/>
      <c r="S28" s="712"/>
      <c r="T28" s="715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6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297"/>
      <c r="M29" s="711"/>
      <c r="N29" s="712"/>
      <c r="O29" s="712"/>
      <c r="P29" s="712"/>
      <c r="Q29" s="712"/>
      <c r="R29" s="712"/>
      <c r="S29" s="712"/>
      <c r="T29" s="715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ref="AJ29:AJ31" si="7">AH29+AI29</f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297"/>
      <c r="M30" s="711"/>
      <c r="N30" s="712"/>
      <c r="O30" s="712"/>
      <c r="P30" s="712"/>
      <c r="Q30" s="712"/>
      <c r="R30" s="712"/>
      <c r="S30" s="712"/>
      <c r="T30" s="715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7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297"/>
      <c r="M31" s="711"/>
      <c r="N31" s="712"/>
      <c r="O31" s="712"/>
      <c r="P31" s="712"/>
      <c r="Q31" s="712"/>
      <c r="R31" s="712"/>
      <c r="S31" s="712"/>
      <c r="T31" s="715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7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297"/>
      <c r="M32" s="711"/>
      <c r="N32" s="712"/>
      <c r="O32" s="712"/>
      <c r="P32" s="712"/>
      <c r="Q32" s="712"/>
      <c r="R32" s="712"/>
      <c r="S32" s="712"/>
      <c r="T32" s="715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ref="AJ32:AJ34" si="8">AH32+AI32</f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297"/>
      <c r="M33" s="711"/>
      <c r="N33" s="712"/>
      <c r="O33" s="712"/>
      <c r="P33" s="712"/>
      <c r="Q33" s="712"/>
      <c r="R33" s="712"/>
      <c r="S33" s="712"/>
      <c r="T33" s="715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8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297"/>
      <c r="M34" s="711"/>
      <c r="N34" s="712"/>
      <c r="O34" s="712"/>
      <c r="P34" s="712"/>
      <c r="Q34" s="712"/>
      <c r="R34" s="712"/>
      <c r="S34" s="712"/>
      <c r="T34" s="715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8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297"/>
      <c r="M35" s="711"/>
      <c r="N35" s="712"/>
      <c r="O35" s="712"/>
      <c r="P35" s="712"/>
      <c r="Q35" s="712"/>
      <c r="R35" s="712"/>
      <c r="S35" s="712"/>
      <c r="T35" s="715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ref="AJ35:AJ36" si="9">AH35+AI35</f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297"/>
      <c r="M36" s="711"/>
      <c r="N36" s="712"/>
      <c r="O36" s="712"/>
      <c r="P36" s="712"/>
      <c r="Q36" s="712"/>
      <c r="R36" s="712"/>
      <c r="S36" s="712"/>
      <c r="T36" s="715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9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297"/>
      <c r="M37" s="711"/>
      <c r="N37" s="712"/>
      <c r="O37" s="712"/>
      <c r="P37" s="712"/>
      <c r="Q37" s="712"/>
      <c r="R37" s="712"/>
      <c r="S37" s="712"/>
      <c r="T37" s="715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3">
        <f t="shared" ref="AJ37:AJ38" si="10">AH37+AI37</f>
        <v>0</v>
      </c>
      <c r="AK37" s="394"/>
      <c r="AL37" s="54"/>
      <c r="AM37" s="394"/>
    </row>
    <row r="38" spans="1:39" s="283" customFormat="1" ht="21" thickBot="1">
      <c r="A38" s="294" t="s">
        <v>110</v>
      </c>
      <c r="B38" s="299"/>
      <c r="C38" s="299"/>
      <c r="D38" s="301"/>
      <c r="E38" s="296"/>
      <c r="F38" s="297"/>
      <c r="G38" s="297"/>
      <c r="H38" s="297"/>
      <c r="I38" s="298"/>
      <c r="J38" s="298"/>
      <c r="K38" s="297"/>
      <c r="L38" s="297"/>
      <c r="M38" s="711"/>
      <c r="N38" s="712"/>
      <c r="O38" s="712"/>
      <c r="P38" s="712"/>
      <c r="Q38" s="712"/>
      <c r="R38" s="712"/>
      <c r="S38" s="712"/>
      <c r="T38" s="715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0"/>
        <v>0</v>
      </c>
      <c r="AF38" s="377"/>
      <c r="AG38" s="390"/>
      <c r="AH38" s="391">
        <f t="shared" si="1"/>
        <v>0</v>
      </c>
      <c r="AI38" s="392"/>
      <c r="AJ38" s="395">
        <f t="shared" si="10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9.5" thickBot="1">
      <c r="A39" s="302" t="s">
        <v>175</v>
      </c>
      <c r="B39" s="303"/>
      <c r="C39" s="303"/>
      <c r="D39" s="304"/>
      <c r="E39" s="305">
        <f>SUM(E5:E38)</f>
        <v>0</v>
      </c>
      <c r="F39" s="305">
        <f t="shared" ref="F39:AE39" si="11">SUM(F5:F38)</f>
        <v>0</v>
      </c>
      <c r="G39" s="305">
        <f t="shared" si="11"/>
        <v>0</v>
      </c>
      <c r="H39" s="305">
        <f t="shared" si="11"/>
        <v>0</v>
      </c>
      <c r="I39" s="305">
        <f t="shared" si="11"/>
        <v>0</v>
      </c>
      <c r="J39" s="305">
        <f t="shared" si="11"/>
        <v>0</v>
      </c>
      <c r="K39" s="305">
        <f t="shared" si="11"/>
        <v>0</v>
      </c>
      <c r="L39" s="305">
        <f t="shared" si="11"/>
        <v>0</v>
      </c>
      <c r="M39" s="305">
        <f t="shared" si="11"/>
        <v>0</v>
      </c>
      <c r="N39" s="305">
        <f t="shared" ref="N39:T39" si="12">SUM(N5:N38)</f>
        <v>640</v>
      </c>
      <c r="O39" s="305">
        <f t="shared" si="12"/>
        <v>0</v>
      </c>
      <c r="P39" s="305">
        <f t="shared" si="12"/>
        <v>0</v>
      </c>
      <c r="Q39" s="305">
        <f t="shared" si="12"/>
        <v>0</v>
      </c>
      <c r="R39" s="305">
        <f t="shared" si="12"/>
        <v>0</v>
      </c>
      <c r="S39" s="305">
        <f t="shared" si="12"/>
        <v>0</v>
      </c>
      <c r="T39" s="305">
        <f t="shared" si="12"/>
        <v>1776</v>
      </c>
      <c r="U39" s="305">
        <f t="shared" si="11"/>
        <v>0</v>
      </c>
      <c r="V39" s="305">
        <f t="shared" si="11"/>
        <v>0</v>
      </c>
      <c r="W39" s="305">
        <f t="shared" si="11"/>
        <v>0</v>
      </c>
      <c r="X39" s="305">
        <f t="shared" si="11"/>
        <v>0</v>
      </c>
      <c r="Y39" s="305">
        <f t="shared" si="11"/>
        <v>0</v>
      </c>
      <c r="Z39" s="305">
        <f t="shared" si="11"/>
        <v>0</v>
      </c>
      <c r="AA39" s="305">
        <f t="shared" si="11"/>
        <v>0</v>
      </c>
      <c r="AB39" s="305">
        <f t="shared" si="11"/>
        <v>0</v>
      </c>
      <c r="AC39" s="305">
        <f t="shared" si="11"/>
        <v>0</v>
      </c>
      <c r="AD39" s="305">
        <f t="shared" si="11"/>
        <v>0</v>
      </c>
      <c r="AE39" s="305">
        <f t="shared" si="11"/>
        <v>2416</v>
      </c>
      <c r="AF39" s="305">
        <f t="shared" ref="AF39:AJ39" si="13">SUM(AF5:AF38)</f>
        <v>27</v>
      </c>
      <c r="AG39" s="305">
        <f t="shared" si="13"/>
        <v>0</v>
      </c>
      <c r="AH39" s="305">
        <f t="shared" si="13"/>
        <v>2443</v>
      </c>
      <c r="AI39" s="305">
        <f t="shared" si="13"/>
        <v>114</v>
      </c>
      <c r="AJ39" s="305">
        <f t="shared" si="13"/>
        <v>2557</v>
      </c>
      <c r="AK39" s="399">
        <f>'BIG CHAIR'!CL36</f>
        <v>0</v>
      </c>
      <c r="AL39" s="400">
        <f>'Tea Table'!X29</f>
        <v>0</v>
      </c>
      <c r="AM39" s="718">
        <f>AH39+AK39+AL39</f>
        <v>2443</v>
      </c>
    </row>
    <row r="40" spans="1:39" s="284" customFormat="1" ht="19.5" thickBot="1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4" thickBot="1">
      <c r="A41" s="286" t="s">
        <v>117</v>
      </c>
      <c r="B41" s="287" t="s">
        <v>68</v>
      </c>
      <c r="C41" s="287" t="s">
        <v>69</v>
      </c>
      <c r="D41" s="288" t="s">
        <v>70</v>
      </c>
      <c r="E41" s="88" t="s">
        <v>358</v>
      </c>
      <c r="F41" s="744" t="s">
        <v>364</v>
      </c>
      <c r="G41" s="30" t="s">
        <v>359</v>
      </c>
      <c r="H41" s="744" t="s">
        <v>365</v>
      </c>
      <c r="I41" s="744" t="s">
        <v>360</v>
      </c>
      <c r="J41" s="751" t="s">
        <v>366</v>
      </c>
      <c r="K41" s="783" t="s">
        <v>361</v>
      </c>
      <c r="L41" s="79" t="s">
        <v>367</v>
      </c>
      <c r="M41" s="80" t="s">
        <v>71</v>
      </c>
      <c r="N41" s="49" t="s">
        <v>482</v>
      </c>
      <c r="O41" s="49" t="s">
        <v>118</v>
      </c>
      <c r="P41" s="49" t="s">
        <v>97</v>
      </c>
      <c r="Q41" s="49" t="s">
        <v>75</v>
      </c>
      <c r="R41" s="49" t="s">
        <v>53</v>
      </c>
      <c r="S41" s="126" t="s">
        <v>77</v>
      </c>
      <c r="T41" s="171" t="s">
        <v>94</v>
      </c>
      <c r="U41" s="79"/>
      <c r="V41" s="80" t="s">
        <v>86</v>
      </c>
      <c r="W41" s="714" t="s">
        <v>368</v>
      </c>
      <c r="X41" s="49" t="s">
        <v>85</v>
      </c>
      <c r="Y41" s="103" t="s">
        <v>101</v>
      </c>
      <c r="Z41" s="104" t="s">
        <v>90</v>
      </c>
      <c r="AA41" s="716" t="s">
        <v>390</v>
      </c>
      <c r="AB41" s="121" t="s">
        <v>208</v>
      </c>
      <c r="AC41" s="717" t="s">
        <v>92</v>
      </c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0.25">
      <c r="A42" s="310" t="s">
        <v>176</v>
      </c>
      <c r="B42" s="311"/>
      <c r="C42" s="311"/>
      <c r="D42" s="312"/>
      <c r="E42" s="313"/>
      <c r="F42" s="314"/>
      <c r="G42" s="314"/>
      <c r="H42" s="314"/>
      <c r="I42" s="315"/>
      <c r="J42" s="315"/>
      <c r="K42" s="314"/>
      <c r="L42" s="349"/>
      <c r="M42" s="350"/>
      <c r="N42" s="315"/>
      <c r="O42" s="315"/>
      <c r="P42" s="315"/>
      <c r="Q42" s="315"/>
      <c r="R42" s="315"/>
      <c r="S42" s="315"/>
      <c r="T42" s="477"/>
      <c r="U42" s="349"/>
      <c r="V42" s="313"/>
      <c r="W42" s="315"/>
      <c r="X42" s="315"/>
      <c r="Y42" s="315"/>
      <c r="Z42" s="315"/>
      <c r="AA42" s="315"/>
      <c r="AB42" s="315"/>
      <c r="AC42" s="378"/>
      <c r="AD42" s="349"/>
      <c r="AE42" s="379">
        <f>SUM(E42:AC42)</f>
        <v>0</v>
      </c>
      <c r="AF42" s="379"/>
      <c r="AG42" s="404"/>
      <c r="AH42" s="405">
        <f t="shared" ref="AH42:AH63" si="14">AE42+AF42</f>
        <v>0</v>
      </c>
      <c r="AI42" s="406"/>
      <c r="AJ42" s="407">
        <f>AH42+AI42</f>
        <v>0</v>
      </c>
    </row>
    <row r="43" spans="1:39" s="234" customFormat="1" ht="20.25">
      <c r="A43" s="316" t="s">
        <v>120</v>
      </c>
      <c r="B43" s="317"/>
      <c r="C43" s="317"/>
      <c r="D43" s="318"/>
      <c r="E43" s="319"/>
      <c r="F43" s="320"/>
      <c r="G43" s="320"/>
      <c r="H43" s="320"/>
      <c r="I43" s="321"/>
      <c r="J43" s="321"/>
      <c r="K43" s="320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19"/>
      <c r="W43" s="321"/>
      <c r="X43" s="321"/>
      <c r="Y43" s="321"/>
      <c r="Z43" s="321"/>
      <c r="AA43" s="321"/>
      <c r="AB43" s="321"/>
      <c r="AC43" s="380"/>
      <c r="AD43" s="352"/>
      <c r="AE43" s="381">
        <f t="shared" ref="AE43:AE63" si="15">SUM(E43:AC43)</f>
        <v>0</v>
      </c>
      <c r="AF43" s="381"/>
      <c r="AG43" s="408"/>
      <c r="AH43" s="409">
        <f t="shared" si="14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822"/>
      <c r="C44" s="295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1"/>
      <c r="Y44" s="321"/>
      <c r="Z44" s="321"/>
      <c r="AA44" s="321"/>
      <c r="AB44" s="320"/>
      <c r="AC44" s="380"/>
      <c r="AD44" s="352"/>
      <c r="AE44" s="381">
        <f t="shared" si="15"/>
        <v>0</v>
      </c>
      <c r="AF44" s="381"/>
      <c r="AG44" s="408"/>
      <c r="AH44" s="409">
        <f t="shared" si="14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822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15"/>
        <v>0</v>
      </c>
      <c r="AF45" s="381"/>
      <c r="AG45" s="408"/>
      <c r="AH45" s="409">
        <f t="shared" si="14"/>
        <v>0</v>
      </c>
      <c r="AI45" s="410"/>
      <c r="AJ45" s="411">
        <f>AH45+AI45</f>
        <v>0</v>
      </c>
    </row>
    <row r="46" spans="1:39" s="234" customFormat="1" ht="20.25">
      <c r="A46" s="316" t="s">
        <v>120</v>
      </c>
      <c r="B46" s="822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582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15"/>
        <v>0</v>
      </c>
      <c r="AF46" s="381"/>
      <c r="AG46" s="408"/>
      <c r="AH46" s="409">
        <f t="shared" si="14"/>
        <v>0</v>
      </c>
      <c r="AI46" s="410"/>
      <c r="AJ46" s="411">
        <f t="shared" ref="AJ46:AJ48" si="16">AH46+AI46</f>
        <v>0</v>
      </c>
    </row>
    <row r="47" spans="1:39" s="234" customFormat="1" ht="20.25">
      <c r="A47" s="316" t="s">
        <v>120</v>
      </c>
      <c r="B47" s="822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15"/>
        <v>0</v>
      </c>
      <c r="AF47" s="381"/>
      <c r="AG47" s="408"/>
      <c r="AH47" s="409">
        <f t="shared" si="14"/>
        <v>0</v>
      </c>
      <c r="AI47" s="410"/>
      <c r="AJ47" s="411">
        <f t="shared" si="16"/>
        <v>0</v>
      </c>
    </row>
    <row r="48" spans="1:39" s="234" customFormat="1" ht="20.25">
      <c r="A48" s="316" t="s">
        <v>120</v>
      </c>
      <c r="B48" s="822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15"/>
        <v>0</v>
      </c>
      <c r="AF48" s="381"/>
      <c r="AG48" s="408"/>
      <c r="AH48" s="409">
        <f t="shared" si="14"/>
        <v>0</v>
      </c>
      <c r="AI48" s="410"/>
      <c r="AJ48" s="411">
        <f t="shared" si="16"/>
        <v>0</v>
      </c>
    </row>
    <row r="49" spans="1:39" s="234" customFormat="1" ht="20.25">
      <c r="A49" s="316" t="s">
        <v>120</v>
      </c>
      <c r="B49" s="822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15"/>
        <v>0</v>
      </c>
      <c r="AF49" s="381"/>
      <c r="AG49" s="408"/>
      <c r="AH49" s="409">
        <f t="shared" si="14"/>
        <v>0</v>
      </c>
      <c r="AI49" s="410"/>
      <c r="AJ49" s="411">
        <f t="shared" ref="AJ49:AJ63" si="17">AH49+AI49</f>
        <v>0</v>
      </c>
    </row>
    <row r="50" spans="1:39" s="234" customFormat="1" ht="20.25">
      <c r="A50" s="316" t="s">
        <v>120</v>
      </c>
      <c r="B50" s="822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15"/>
        <v>0</v>
      </c>
      <c r="AF50" s="381"/>
      <c r="AG50" s="408"/>
      <c r="AH50" s="409">
        <f t="shared" si="14"/>
        <v>0</v>
      </c>
      <c r="AI50" s="410"/>
      <c r="AJ50" s="411">
        <f t="shared" si="17"/>
        <v>0</v>
      </c>
    </row>
    <row r="51" spans="1:39" s="234" customFormat="1" ht="20.25">
      <c r="A51" s="316" t="s">
        <v>120</v>
      </c>
      <c r="B51" s="710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15"/>
        <v>0</v>
      </c>
      <c r="AF51" s="381"/>
      <c r="AG51" s="408"/>
      <c r="AH51" s="409">
        <f t="shared" si="14"/>
        <v>0</v>
      </c>
      <c r="AI51" s="410"/>
      <c r="AJ51" s="411">
        <f t="shared" si="17"/>
        <v>0</v>
      </c>
    </row>
    <row r="52" spans="1:39" s="234" customFormat="1" ht="20.25">
      <c r="A52" s="316" t="s">
        <v>120</v>
      </c>
      <c r="B52" s="822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15"/>
        <v>0</v>
      </c>
      <c r="AF52" s="381"/>
      <c r="AG52" s="408"/>
      <c r="AH52" s="409">
        <f t="shared" si="14"/>
        <v>0</v>
      </c>
      <c r="AI52" s="410"/>
      <c r="AJ52" s="411">
        <f t="shared" ref="AJ52:AJ54" si="18">AH52+AI52</f>
        <v>0</v>
      </c>
    </row>
    <row r="53" spans="1:39" s="234" customFormat="1" ht="20.25">
      <c r="A53" s="316" t="s">
        <v>120</v>
      </c>
      <c r="B53" s="710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320"/>
      <c r="AC53" s="380"/>
      <c r="AD53" s="352"/>
      <c r="AE53" s="381">
        <f t="shared" si="15"/>
        <v>0</v>
      </c>
      <c r="AF53" s="381"/>
      <c r="AG53" s="408"/>
      <c r="AH53" s="409">
        <f t="shared" si="14"/>
        <v>0</v>
      </c>
      <c r="AI53" s="410"/>
      <c r="AJ53" s="411">
        <f t="shared" si="18"/>
        <v>0</v>
      </c>
    </row>
    <row r="54" spans="1:39" s="234" customFormat="1" ht="20.25">
      <c r="A54" s="316" t="s">
        <v>120</v>
      </c>
      <c r="B54" s="710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319"/>
      <c r="W54" s="320"/>
      <c r="X54" s="320"/>
      <c r="Y54" s="321"/>
      <c r="Z54" s="321"/>
      <c r="AA54" s="321"/>
      <c r="AB54" s="320"/>
      <c r="AC54" s="380"/>
      <c r="AD54" s="352"/>
      <c r="AE54" s="381">
        <f t="shared" si="15"/>
        <v>0</v>
      </c>
      <c r="AF54" s="381"/>
      <c r="AG54" s="408"/>
      <c r="AH54" s="409">
        <f t="shared" si="14"/>
        <v>0</v>
      </c>
      <c r="AI54" s="410"/>
      <c r="AJ54" s="411">
        <f t="shared" si="18"/>
        <v>0</v>
      </c>
    </row>
    <row r="55" spans="1:39" s="234" customFormat="1" ht="20.25">
      <c r="A55" s="316" t="s">
        <v>120</v>
      </c>
      <c r="B55" s="710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15"/>
        <v>0</v>
      </c>
      <c r="AF55" s="381"/>
      <c r="AG55" s="408"/>
      <c r="AH55" s="409">
        <f t="shared" si="14"/>
        <v>0</v>
      </c>
      <c r="AI55" s="410"/>
      <c r="AJ55" s="411">
        <f t="shared" ref="AJ55" si="19">AH55+AI55</f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15"/>
        <v>0</v>
      </c>
      <c r="AF56" s="381"/>
      <c r="AG56" s="408"/>
      <c r="AH56" s="409">
        <f t="shared" si="14"/>
        <v>0</v>
      </c>
      <c r="AI56" s="410"/>
      <c r="AJ56" s="411">
        <f t="shared" si="17"/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15"/>
        <v>0</v>
      </c>
      <c r="AF57" s="381"/>
      <c r="AG57" s="408"/>
      <c r="AH57" s="409">
        <f t="shared" si="14"/>
        <v>0</v>
      </c>
      <c r="AI57" s="410"/>
      <c r="AJ57" s="411">
        <f t="shared" si="17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5"/>
        <v>0</v>
      </c>
      <c r="AF58" s="381"/>
      <c r="AG58" s="408"/>
      <c r="AH58" s="409">
        <f t="shared" si="14"/>
        <v>0</v>
      </c>
      <c r="AI58" s="410"/>
      <c r="AJ58" s="411">
        <f t="shared" si="17"/>
        <v>0</v>
      </c>
    </row>
    <row r="59" spans="1:39" s="234" customFormat="1" ht="20.25">
      <c r="A59" s="316" t="s">
        <v>120</v>
      </c>
      <c r="B59" s="823"/>
      <c r="C59" s="317"/>
      <c r="D59" s="318"/>
      <c r="E59" s="319"/>
      <c r="F59" s="320"/>
      <c r="G59" s="320"/>
      <c r="H59" s="320"/>
      <c r="I59" s="321"/>
      <c r="J59" s="825"/>
      <c r="K59" s="825"/>
      <c r="L59" s="352"/>
      <c r="M59" s="353"/>
      <c r="N59" s="320"/>
      <c r="O59" s="320"/>
      <c r="P59" s="321"/>
      <c r="Q59" s="321"/>
      <c r="R59" s="321"/>
      <c r="S59" s="320"/>
      <c r="T59" s="351"/>
      <c r="U59" s="352"/>
      <c r="V59" s="353"/>
      <c r="W59" s="321"/>
      <c r="X59" s="321"/>
      <c r="Y59" s="321"/>
      <c r="Z59" s="321"/>
      <c r="AA59" s="321"/>
      <c r="AB59" s="321"/>
      <c r="AC59" s="380"/>
      <c r="AD59" s="352"/>
      <c r="AE59" s="381">
        <f t="shared" ref="AE59:AE60" si="20">SUM(E59:AC59)</f>
        <v>0</v>
      </c>
      <c r="AF59" s="381"/>
      <c r="AG59" s="408"/>
      <c r="AH59" s="409">
        <f t="shared" si="14"/>
        <v>0</v>
      </c>
      <c r="AI59" s="410"/>
      <c r="AJ59" s="411">
        <f t="shared" si="17"/>
        <v>0</v>
      </c>
    </row>
    <row r="60" spans="1:39" s="234" customFormat="1" ht="20.25">
      <c r="A60" s="316" t="s">
        <v>120</v>
      </c>
      <c r="B60" s="317"/>
      <c r="C60" s="317"/>
      <c r="D60" s="318"/>
      <c r="E60" s="319"/>
      <c r="F60" s="320"/>
      <c r="G60" s="320"/>
      <c r="H60" s="320"/>
      <c r="I60" s="321"/>
      <c r="J60" s="825"/>
      <c r="K60" s="825"/>
      <c r="L60" s="352"/>
      <c r="M60" s="353"/>
      <c r="N60" s="320"/>
      <c r="O60" s="320"/>
      <c r="P60" s="321"/>
      <c r="Q60" s="321"/>
      <c r="R60" s="321"/>
      <c r="S60" s="320"/>
      <c r="T60" s="351"/>
      <c r="U60" s="352"/>
      <c r="V60" s="353"/>
      <c r="W60" s="321"/>
      <c r="X60" s="321"/>
      <c r="Y60" s="321"/>
      <c r="Z60" s="321"/>
      <c r="AA60" s="321"/>
      <c r="AB60" s="321"/>
      <c r="AC60" s="380"/>
      <c r="AD60" s="352"/>
      <c r="AE60" s="381">
        <f t="shared" si="20"/>
        <v>0</v>
      </c>
      <c r="AF60" s="381"/>
      <c r="AG60" s="408"/>
      <c r="AH60" s="409">
        <f t="shared" si="14"/>
        <v>0</v>
      </c>
      <c r="AI60" s="410"/>
      <c r="AJ60" s="411">
        <f t="shared" si="17"/>
        <v>0</v>
      </c>
    </row>
    <row r="61" spans="1:39" s="234" customFormat="1" ht="20.25">
      <c r="A61" s="316" t="s">
        <v>120</v>
      </c>
      <c r="B61" s="824"/>
      <c r="C61" s="317"/>
      <c r="D61" s="318"/>
      <c r="E61" s="319"/>
      <c r="F61" s="320"/>
      <c r="G61" s="320"/>
      <c r="H61" s="320"/>
      <c r="I61" s="321"/>
      <c r="J61" s="825"/>
      <c r="K61" s="825"/>
      <c r="L61" s="352"/>
      <c r="M61" s="353"/>
      <c r="N61" s="320"/>
      <c r="O61" s="320"/>
      <c r="P61" s="321"/>
      <c r="Q61" s="321"/>
      <c r="R61" s="321"/>
      <c r="S61" s="320"/>
      <c r="T61" s="351"/>
      <c r="U61" s="352"/>
      <c r="V61" s="353"/>
      <c r="W61" s="321"/>
      <c r="X61" s="321"/>
      <c r="Y61" s="321"/>
      <c r="Z61" s="321"/>
      <c r="AA61" s="321"/>
      <c r="AB61" s="321"/>
      <c r="AC61" s="380"/>
      <c r="AD61" s="352"/>
      <c r="AE61" s="381">
        <f t="shared" ref="AE61" si="21">SUM(E61:AC61)</f>
        <v>0</v>
      </c>
      <c r="AF61" s="381"/>
      <c r="AG61" s="408"/>
      <c r="AH61" s="409">
        <f t="shared" si="14"/>
        <v>0</v>
      </c>
      <c r="AI61" s="410"/>
      <c r="AJ61" s="411">
        <f t="shared" si="17"/>
        <v>0</v>
      </c>
    </row>
    <row r="62" spans="1:39" s="234" customFormat="1" ht="21" thickBot="1">
      <c r="A62" s="316" t="s">
        <v>120</v>
      </c>
      <c r="B62" s="824"/>
      <c r="C62" s="317"/>
      <c r="D62" s="318"/>
      <c r="E62" s="319"/>
      <c r="F62" s="320"/>
      <c r="G62" s="320"/>
      <c r="H62" s="320"/>
      <c r="I62" s="321"/>
      <c r="J62" s="825"/>
      <c r="K62" s="825"/>
      <c r="L62" s="352"/>
      <c r="M62" s="353"/>
      <c r="N62" s="320"/>
      <c r="O62" s="320"/>
      <c r="P62" s="321"/>
      <c r="Q62" s="321"/>
      <c r="R62" s="321"/>
      <c r="S62" s="320"/>
      <c r="T62" s="351"/>
      <c r="U62" s="352"/>
      <c r="V62" s="353"/>
      <c r="W62" s="321"/>
      <c r="X62" s="321"/>
      <c r="Y62" s="321"/>
      <c r="Z62" s="321"/>
      <c r="AA62" s="321"/>
      <c r="AB62" s="321"/>
      <c r="AC62" s="380"/>
      <c r="AD62" s="352"/>
      <c r="AE62" s="381">
        <f t="shared" ref="AE62" si="22">SUM(E62:AC62)</f>
        <v>0</v>
      </c>
      <c r="AF62" s="381"/>
      <c r="AG62" s="408"/>
      <c r="AH62" s="409">
        <f t="shared" si="14"/>
        <v>0</v>
      </c>
      <c r="AI62" s="410"/>
      <c r="AJ62" s="411">
        <f t="shared" si="17"/>
        <v>0</v>
      </c>
    </row>
    <row r="63" spans="1:39" s="283" customFormat="1" ht="21" thickBot="1">
      <c r="A63" s="316" t="s">
        <v>120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325"/>
      <c r="W63" s="297"/>
      <c r="X63" s="297"/>
      <c r="Y63" s="298"/>
      <c r="Z63" s="298"/>
      <c r="AA63" s="298"/>
      <c r="AB63" s="297"/>
      <c r="AC63" s="375"/>
      <c r="AD63" s="355"/>
      <c r="AE63" s="376">
        <f t="shared" si="15"/>
        <v>0</v>
      </c>
      <c r="AF63" s="377"/>
      <c r="AG63" s="390"/>
      <c r="AH63" s="391">
        <f t="shared" si="14"/>
        <v>0</v>
      </c>
      <c r="AI63" s="412"/>
      <c r="AJ63" s="413">
        <f t="shared" si="17"/>
        <v>0</v>
      </c>
      <c r="AK63" s="414" t="s">
        <v>8</v>
      </c>
      <c r="AL63" s="397" t="s">
        <v>23</v>
      </c>
      <c r="AM63" s="415" t="s">
        <v>174</v>
      </c>
    </row>
    <row r="64" spans="1:39" s="284" customFormat="1" ht="19.5" thickBot="1">
      <c r="A64" s="326" t="s">
        <v>177</v>
      </c>
      <c r="B64" s="327"/>
      <c r="C64" s="327"/>
      <c r="D64" s="328"/>
      <c r="E64" s="329">
        <f t="shared" ref="E64:K64" si="23">SUM(E42:E63)</f>
        <v>0</v>
      </c>
      <c r="F64" s="330">
        <f t="shared" si="23"/>
        <v>0</v>
      </c>
      <c r="G64" s="330">
        <f t="shared" si="23"/>
        <v>0</v>
      </c>
      <c r="H64" s="330">
        <f t="shared" si="23"/>
        <v>0</v>
      </c>
      <c r="I64" s="330">
        <f t="shared" si="23"/>
        <v>0</v>
      </c>
      <c r="J64" s="330">
        <f t="shared" si="23"/>
        <v>0</v>
      </c>
      <c r="K64" s="330">
        <f t="shared" si="23"/>
        <v>0</v>
      </c>
      <c r="L64" s="357"/>
      <c r="M64" s="358">
        <f t="shared" ref="M64:T64" si="24">SUM(M42:M63)</f>
        <v>0</v>
      </c>
      <c r="N64" s="359">
        <f t="shared" si="24"/>
        <v>0</v>
      </c>
      <c r="O64" s="359">
        <f t="shared" si="24"/>
        <v>0</v>
      </c>
      <c r="P64" s="359">
        <f t="shared" si="24"/>
        <v>0</v>
      </c>
      <c r="Q64" s="359">
        <f t="shared" si="24"/>
        <v>0</v>
      </c>
      <c r="R64" s="359">
        <f t="shared" si="24"/>
        <v>0</v>
      </c>
      <c r="S64" s="359">
        <f t="shared" si="24"/>
        <v>0</v>
      </c>
      <c r="T64" s="369">
        <f t="shared" si="24"/>
        <v>0</v>
      </c>
      <c r="U64" s="357"/>
      <c r="V64" s="358">
        <f t="shared" ref="V64:AC64" si="25">SUM(V42:V63)</f>
        <v>0</v>
      </c>
      <c r="W64" s="359">
        <f t="shared" si="25"/>
        <v>0</v>
      </c>
      <c r="X64" s="359">
        <f t="shared" si="25"/>
        <v>0</v>
      </c>
      <c r="Y64" s="359">
        <f t="shared" si="25"/>
        <v>0</v>
      </c>
      <c r="Z64" s="359">
        <f t="shared" si="25"/>
        <v>0</v>
      </c>
      <c r="AA64" s="359">
        <f t="shared" si="25"/>
        <v>0</v>
      </c>
      <c r="AB64" s="359">
        <f t="shared" si="25"/>
        <v>0</v>
      </c>
      <c r="AC64" s="369">
        <f t="shared" si="25"/>
        <v>0</v>
      </c>
      <c r="AD64" s="357"/>
      <c r="AE64" s="382">
        <f>SUM(AE42:AE63)</f>
        <v>0</v>
      </c>
      <c r="AF64" s="382">
        <f>SUM(AF42:AF63)</f>
        <v>0</v>
      </c>
      <c r="AG64" s="416">
        <f>SUM(AG42:AG63)</f>
        <v>0</v>
      </c>
      <c r="AH64" s="417">
        <f>SUM(AH42:AH63)</f>
        <v>0</v>
      </c>
      <c r="AI64" s="382">
        <f>SUM(AI42:AI63)</f>
        <v>0</v>
      </c>
      <c r="AJ64" s="418">
        <f t="shared" ref="AJ64" si="26">SUM(AJ42:AJ63)</f>
        <v>0</v>
      </c>
      <c r="AK64" s="399">
        <f>'BIG CHAIR'!CL77</f>
        <v>14560</v>
      </c>
      <c r="AL64" s="400">
        <f>'Tea Table'!X85</f>
        <v>0</v>
      </c>
      <c r="AM64" s="401">
        <f>AH64+AK64+AL64</f>
        <v>14560</v>
      </c>
    </row>
    <row r="65" spans="1:39" s="284" customFormat="1" ht="19.5" thickBot="1">
      <c r="A65" s="306"/>
      <c r="B65" s="307"/>
      <c r="C65" s="307"/>
      <c r="D65" s="308"/>
      <c r="E65" s="309"/>
      <c r="F65" s="309"/>
      <c r="G65" s="309"/>
      <c r="H65" s="309"/>
      <c r="I65" s="309"/>
      <c r="J65" s="309"/>
      <c r="K65" s="309"/>
      <c r="L65" s="346"/>
      <c r="M65" s="347"/>
      <c r="N65" s="347"/>
      <c r="O65" s="347"/>
      <c r="P65" s="347"/>
      <c r="Q65" s="347"/>
      <c r="R65" s="347"/>
      <c r="S65" s="347"/>
      <c r="T65" s="347"/>
      <c r="U65" s="346"/>
      <c r="V65" s="347"/>
      <c r="W65" s="347"/>
      <c r="X65" s="347"/>
      <c r="Y65" s="347"/>
      <c r="Z65" s="347"/>
      <c r="AA65" s="347"/>
      <c r="AB65" s="347"/>
      <c r="AC65" s="347"/>
      <c r="AD65" s="346"/>
      <c r="AE65" s="347"/>
      <c r="AF65" s="347"/>
      <c r="AG65" s="347"/>
      <c r="AH65" s="347"/>
      <c r="AI65" s="347"/>
      <c r="AJ65" s="402"/>
      <c r="AK65" s="403"/>
      <c r="AL65" s="403"/>
      <c r="AM65" s="403"/>
    </row>
    <row r="66" spans="1:39" s="282" customFormat="1" ht="24" thickBot="1">
      <c r="A66" s="286" t="s">
        <v>122</v>
      </c>
      <c r="B66" s="287" t="s">
        <v>68</v>
      </c>
      <c r="C66" s="287" t="s">
        <v>69</v>
      </c>
      <c r="D66" s="288" t="s">
        <v>70</v>
      </c>
      <c r="E66" s="88" t="s">
        <v>358</v>
      </c>
      <c r="F66" s="744" t="s">
        <v>364</v>
      </c>
      <c r="G66" s="30" t="s">
        <v>359</v>
      </c>
      <c r="H66" s="744" t="s">
        <v>365</v>
      </c>
      <c r="I66" s="744" t="s">
        <v>360</v>
      </c>
      <c r="J66" s="751" t="s">
        <v>366</v>
      </c>
      <c r="K66" s="783" t="s">
        <v>361</v>
      </c>
      <c r="L66" s="79" t="s">
        <v>367</v>
      </c>
      <c r="M66" s="80" t="s">
        <v>71</v>
      </c>
      <c r="N66" s="49" t="s">
        <v>482</v>
      </c>
      <c r="O66" s="49" t="s">
        <v>118</v>
      </c>
      <c r="P66" s="49" t="s">
        <v>97</v>
      </c>
      <c r="Q66" s="49" t="s">
        <v>75</v>
      </c>
      <c r="R66" s="49" t="s">
        <v>53</v>
      </c>
      <c r="S66" s="126" t="s">
        <v>77</v>
      </c>
      <c r="T66" s="171" t="s">
        <v>94</v>
      </c>
      <c r="U66" s="79"/>
      <c r="V66" s="80" t="s">
        <v>86</v>
      </c>
      <c r="W66" s="714" t="s">
        <v>368</v>
      </c>
      <c r="X66" s="49" t="s">
        <v>85</v>
      </c>
      <c r="Y66" s="103" t="s">
        <v>101</v>
      </c>
      <c r="Z66" s="104" t="s">
        <v>90</v>
      </c>
      <c r="AA66" s="716" t="s">
        <v>390</v>
      </c>
      <c r="AB66" s="121" t="s">
        <v>208</v>
      </c>
      <c r="AC66" s="717" t="s">
        <v>92</v>
      </c>
      <c r="AD66" s="370"/>
      <c r="AE66" s="371" t="s">
        <v>172</v>
      </c>
      <c r="AF66" s="372" t="s">
        <v>80</v>
      </c>
      <c r="AG66" s="385"/>
      <c r="AH66" s="386" t="s">
        <v>106</v>
      </c>
      <c r="AI66" s="385" t="s">
        <v>173</v>
      </c>
      <c r="AJ66" s="371" t="s">
        <v>108</v>
      </c>
    </row>
    <row r="67" spans="1:39" s="234" customFormat="1" ht="21" thickBot="1">
      <c r="A67" s="310" t="s">
        <v>125</v>
      </c>
      <c r="B67" s="826"/>
      <c r="C67" s="311"/>
      <c r="D67" s="291"/>
      <c r="E67" s="313"/>
      <c r="F67" s="314"/>
      <c r="G67" s="314"/>
      <c r="H67" s="314"/>
      <c r="I67" s="315"/>
      <c r="J67" s="315"/>
      <c r="K67" s="314"/>
      <c r="L67" s="2676"/>
      <c r="M67" s="350"/>
      <c r="N67" s="315"/>
      <c r="O67" s="315"/>
      <c r="P67" s="315"/>
      <c r="Q67" s="315"/>
      <c r="R67" s="315"/>
      <c r="S67" s="315"/>
      <c r="T67" s="477"/>
      <c r="U67" s="349"/>
      <c r="V67" s="350"/>
      <c r="W67" s="315"/>
      <c r="X67" s="315"/>
      <c r="Y67" s="315"/>
      <c r="Z67" s="315"/>
      <c r="AA67" s="315"/>
      <c r="AB67" s="315"/>
      <c r="AC67" s="378"/>
      <c r="AD67" s="349"/>
      <c r="AE67" s="379">
        <f t="shared" ref="AE67:AE84" si="27">SUM(E67:AC67)</f>
        <v>0</v>
      </c>
      <c r="AF67" s="379"/>
      <c r="AG67" s="404"/>
      <c r="AH67" s="405">
        <f t="shared" ref="AH67:AH84" si="28">AE67+AF67</f>
        <v>0</v>
      </c>
      <c r="AI67" s="406"/>
      <c r="AJ67" s="407">
        <f>AH67+AI67</f>
        <v>0</v>
      </c>
    </row>
    <row r="68" spans="1:39" s="234" customFormat="1" ht="21" thickBot="1">
      <c r="A68" s="316" t="s">
        <v>125</v>
      </c>
      <c r="B68" s="824"/>
      <c r="C68" s="317"/>
      <c r="D68" s="291"/>
      <c r="E68" s="319"/>
      <c r="F68" s="320"/>
      <c r="G68" s="320"/>
      <c r="H68" s="320"/>
      <c r="I68" s="321"/>
      <c r="J68" s="321"/>
      <c r="K68" s="320"/>
      <c r="L68" s="2677"/>
      <c r="M68" s="353"/>
      <c r="N68" s="320"/>
      <c r="O68" s="320"/>
      <c r="P68" s="321"/>
      <c r="Q68" s="321"/>
      <c r="R68" s="321"/>
      <c r="S68" s="320"/>
      <c r="T68" s="351"/>
      <c r="U68" s="352"/>
      <c r="V68" s="353"/>
      <c r="W68" s="321"/>
      <c r="X68" s="321"/>
      <c r="Y68" s="321"/>
      <c r="Z68" s="321"/>
      <c r="AA68" s="321"/>
      <c r="AB68" s="321"/>
      <c r="AC68" s="380"/>
      <c r="AD68" s="352"/>
      <c r="AE68" s="381">
        <f t="shared" si="27"/>
        <v>0</v>
      </c>
      <c r="AF68" s="381"/>
      <c r="AG68" s="408"/>
      <c r="AH68" s="409">
        <f t="shared" si="28"/>
        <v>0</v>
      </c>
      <c r="AI68" s="410"/>
      <c r="AJ68" s="411">
        <f>AH68+AI68</f>
        <v>0</v>
      </c>
    </row>
    <row r="69" spans="1:39" s="234" customFormat="1" ht="21" thickBot="1">
      <c r="A69" s="316" t="s">
        <v>125</v>
      </c>
      <c r="B69" s="822"/>
      <c r="C69" s="295"/>
      <c r="D69" s="291"/>
      <c r="E69" s="319"/>
      <c r="F69" s="320"/>
      <c r="G69" s="320"/>
      <c r="H69" s="320"/>
      <c r="I69" s="321"/>
      <c r="J69" s="321"/>
      <c r="K69" s="320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2687"/>
      <c r="Y69" s="321"/>
      <c r="Z69" s="321"/>
      <c r="AA69" s="321"/>
      <c r="AB69" s="320"/>
      <c r="AC69" s="380"/>
      <c r="AD69" s="352"/>
      <c r="AE69" s="381">
        <f t="shared" si="27"/>
        <v>0</v>
      </c>
      <c r="AF69" s="381"/>
      <c r="AG69" s="408"/>
      <c r="AH69" s="409">
        <f t="shared" si="28"/>
        <v>0</v>
      </c>
      <c r="AI69" s="410"/>
      <c r="AJ69" s="411">
        <f>AH69+AI69</f>
        <v>0</v>
      </c>
    </row>
    <row r="70" spans="1:39" s="234" customFormat="1" ht="21" thickBot="1">
      <c r="A70" s="316" t="s">
        <v>125</v>
      </c>
      <c r="B70" s="710"/>
      <c r="C70" s="295"/>
      <c r="D70" s="291"/>
      <c r="E70" s="319"/>
      <c r="F70" s="320"/>
      <c r="G70" s="320"/>
      <c r="H70" s="320"/>
      <c r="I70" s="321"/>
      <c r="J70" s="321"/>
      <c r="K70" s="320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27"/>
        <v>0</v>
      </c>
      <c r="AF70" s="381"/>
      <c r="AG70" s="408"/>
      <c r="AH70" s="409">
        <f t="shared" si="28"/>
        <v>0</v>
      </c>
      <c r="AI70" s="410"/>
      <c r="AJ70" s="411">
        <f>AH70+AI70</f>
        <v>0</v>
      </c>
    </row>
    <row r="71" spans="1:39" s="234" customFormat="1" ht="20.25">
      <c r="A71" s="316" t="s">
        <v>125</v>
      </c>
      <c r="B71" s="710"/>
      <c r="C71" s="295"/>
      <c r="D71" s="318"/>
      <c r="E71" s="319"/>
      <c r="F71" s="320"/>
      <c r="G71" s="320"/>
      <c r="H71" s="320"/>
      <c r="I71" s="321"/>
      <c r="J71" s="321"/>
      <c r="K71" s="320"/>
      <c r="L71" s="352"/>
      <c r="M71" s="353"/>
      <c r="N71" s="321"/>
      <c r="O71" s="321"/>
      <c r="P71" s="321"/>
      <c r="Q71" s="321"/>
      <c r="R71" s="321"/>
      <c r="S71" s="321"/>
      <c r="T71" s="351"/>
      <c r="U71" s="352"/>
      <c r="V71" s="319"/>
      <c r="W71" s="320"/>
      <c r="X71" s="320"/>
      <c r="Y71" s="321"/>
      <c r="Z71" s="321"/>
      <c r="AA71" s="321"/>
      <c r="AB71" s="320"/>
      <c r="AC71" s="380"/>
      <c r="AD71" s="352"/>
      <c r="AE71" s="381">
        <f t="shared" si="27"/>
        <v>0</v>
      </c>
      <c r="AF71" s="381"/>
      <c r="AG71" s="408"/>
      <c r="AH71" s="409">
        <f t="shared" si="28"/>
        <v>0</v>
      </c>
      <c r="AI71" s="410"/>
      <c r="AJ71" s="411">
        <f t="shared" ref="AJ71:AJ73" si="29">AH71+AI71</f>
        <v>0</v>
      </c>
    </row>
    <row r="72" spans="1:39" s="234" customFormat="1" ht="20.25">
      <c r="A72" s="316" t="s">
        <v>125</v>
      </c>
      <c r="B72" s="710"/>
      <c r="C72" s="295"/>
      <c r="D72" s="318"/>
      <c r="E72" s="319"/>
      <c r="F72" s="320"/>
      <c r="G72" s="320"/>
      <c r="H72" s="321"/>
      <c r="J72" s="321"/>
      <c r="K72" s="320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27"/>
        <v>0</v>
      </c>
      <c r="AF72" s="381"/>
      <c r="AG72" s="408"/>
      <c r="AH72" s="409">
        <f t="shared" si="28"/>
        <v>0</v>
      </c>
      <c r="AI72" s="410"/>
      <c r="AJ72" s="411">
        <f t="shared" si="29"/>
        <v>0</v>
      </c>
    </row>
    <row r="73" spans="1:39" s="234" customFormat="1" ht="20.25">
      <c r="A73" s="316" t="s">
        <v>125</v>
      </c>
      <c r="B73" s="710"/>
      <c r="C73" s="295"/>
      <c r="D73" s="318"/>
      <c r="E73" s="319"/>
      <c r="F73" s="320"/>
      <c r="G73" s="320"/>
      <c r="H73" s="320"/>
      <c r="I73" s="321"/>
      <c r="J73" s="321"/>
      <c r="K73" s="320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27"/>
        <v>0</v>
      </c>
      <c r="AF73" s="381"/>
      <c r="AG73" s="408"/>
      <c r="AH73" s="409">
        <f t="shared" si="28"/>
        <v>0</v>
      </c>
      <c r="AI73" s="410"/>
      <c r="AJ73" s="411">
        <f t="shared" si="29"/>
        <v>0</v>
      </c>
    </row>
    <row r="74" spans="1:39" s="234" customFormat="1" ht="20.25">
      <c r="A74" s="316" t="s">
        <v>125</v>
      </c>
      <c r="B74" s="710"/>
      <c r="C74" s="295"/>
      <c r="D74" s="318"/>
      <c r="E74" s="319"/>
      <c r="F74" s="320"/>
      <c r="G74" s="320"/>
      <c r="H74" s="320"/>
      <c r="I74" s="321"/>
      <c r="J74" s="321"/>
      <c r="K74" s="741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si="27"/>
        <v>0</v>
      </c>
      <c r="AF74" s="381"/>
      <c r="AG74" s="408"/>
      <c r="AH74" s="409">
        <f t="shared" si="28"/>
        <v>0</v>
      </c>
      <c r="AI74" s="410"/>
      <c r="AJ74" s="411">
        <f t="shared" ref="AJ74:AJ84" si="30">AH74+AI74</f>
        <v>0</v>
      </c>
    </row>
    <row r="75" spans="1:39" s="234" customFormat="1" ht="20.25">
      <c r="A75" s="316" t="s">
        <v>125</v>
      </c>
      <c r="B75" s="710"/>
      <c r="C75" s="295"/>
      <c r="D75" s="318"/>
      <c r="E75" s="319"/>
      <c r="F75" s="320"/>
      <c r="G75" s="320"/>
      <c r="H75" s="320"/>
      <c r="I75" s="321"/>
      <c r="J75" s="321"/>
      <c r="K75" s="741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27"/>
        <v>0</v>
      </c>
      <c r="AF75" s="381"/>
      <c r="AG75" s="408"/>
      <c r="AH75" s="409">
        <f t="shared" si="28"/>
        <v>0</v>
      </c>
      <c r="AI75" s="410"/>
      <c r="AJ75" s="411">
        <f t="shared" si="30"/>
        <v>0</v>
      </c>
    </row>
    <row r="76" spans="1:39" s="234" customFormat="1" ht="20.25">
      <c r="A76" s="316" t="s">
        <v>125</v>
      </c>
      <c r="B76" s="710"/>
      <c r="C76" s="295"/>
      <c r="D76" s="318"/>
      <c r="E76" s="319"/>
      <c r="F76" s="320"/>
      <c r="G76" s="320"/>
      <c r="H76" s="320"/>
      <c r="I76" s="321"/>
      <c r="J76" s="321"/>
      <c r="K76" s="320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7"/>
        <v>0</v>
      </c>
      <c r="AF76" s="381"/>
      <c r="AG76" s="408"/>
      <c r="AH76" s="409">
        <f t="shared" si="28"/>
        <v>0</v>
      </c>
      <c r="AI76" s="410"/>
      <c r="AJ76" s="411">
        <f t="shared" si="30"/>
        <v>0</v>
      </c>
    </row>
    <row r="77" spans="1:39" s="234" customFormat="1" ht="20.25">
      <c r="A77" s="316" t="s">
        <v>125</v>
      </c>
      <c r="B77" s="822"/>
      <c r="C77" s="295"/>
      <c r="D77" s="318"/>
      <c r="E77" s="319"/>
      <c r="F77" s="320"/>
      <c r="G77" s="320"/>
      <c r="H77" s="320"/>
      <c r="I77" s="321"/>
      <c r="J77" s="321"/>
      <c r="K77" s="320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7"/>
        <v>0</v>
      </c>
      <c r="AF77" s="381"/>
      <c r="AG77" s="408"/>
      <c r="AH77" s="409">
        <f t="shared" si="28"/>
        <v>0</v>
      </c>
      <c r="AI77" s="410"/>
      <c r="AJ77" s="411">
        <f t="shared" si="30"/>
        <v>0</v>
      </c>
    </row>
    <row r="78" spans="1:39" s="234" customFormat="1" ht="20.25">
      <c r="A78" s="316" t="s">
        <v>125</v>
      </c>
      <c r="B78" s="822"/>
      <c r="C78" s="295"/>
      <c r="D78" s="318"/>
      <c r="E78" s="319"/>
      <c r="F78" s="320"/>
      <c r="G78" s="320"/>
      <c r="H78" s="320"/>
      <c r="I78" s="321"/>
      <c r="J78" s="321"/>
      <c r="K78" s="320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" si="31">SUM(E78:AC78)</f>
        <v>0</v>
      </c>
      <c r="AF78" s="381"/>
      <c r="AG78" s="408"/>
      <c r="AH78" s="409">
        <f t="shared" si="28"/>
        <v>0</v>
      </c>
      <c r="AI78" s="410"/>
      <c r="AJ78" s="411">
        <f t="shared" ref="AJ78" si="32">AH78+AI78</f>
        <v>0</v>
      </c>
    </row>
    <row r="79" spans="1:39" s="234" customFormat="1" ht="21" thickBot="1">
      <c r="A79" s="316" t="s">
        <v>125</v>
      </c>
      <c r="B79" s="822"/>
      <c r="C79" s="295"/>
      <c r="D79" s="318"/>
      <c r="E79" s="319"/>
      <c r="F79" s="320"/>
      <c r="G79" s="320"/>
      <c r="H79" s="320"/>
      <c r="I79" s="321"/>
      <c r="J79" s="321"/>
      <c r="K79" s="320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7"/>
        <v>0</v>
      </c>
      <c r="AF79" s="381"/>
      <c r="AG79" s="408"/>
      <c r="AH79" s="409">
        <f t="shared" si="28"/>
        <v>0</v>
      </c>
      <c r="AI79" s="410"/>
      <c r="AJ79" s="411">
        <f t="shared" si="30"/>
        <v>0</v>
      </c>
    </row>
    <row r="80" spans="1:39" s="283" customFormat="1" ht="21" thickBot="1">
      <c r="A80" s="316" t="s">
        <v>125</v>
      </c>
      <c r="B80" s="827"/>
      <c r="C80" s="323"/>
      <c r="D80" s="324"/>
      <c r="E80" s="325"/>
      <c r="F80" s="297"/>
      <c r="G80" s="297"/>
      <c r="H80" s="297"/>
      <c r="I80" s="298"/>
      <c r="J80" s="298"/>
      <c r="K80" s="297"/>
      <c r="L80" s="355"/>
      <c r="M80" s="343"/>
      <c r="N80" s="298"/>
      <c r="O80" s="298"/>
      <c r="P80" s="298"/>
      <c r="Q80" s="298"/>
      <c r="R80" s="298"/>
      <c r="S80" s="298"/>
      <c r="T80" s="367"/>
      <c r="U80" s="355"/>
      <c r="V80" s="325"/>
      <c r="W80" s="297"/>
      <c r="X80" s="297"/>
      <c r="Y80" s="298"/>
      <c r="Z80" s="298"/>
      <c r="AA80" s="298"/>
      <c r="AB80" s="297"/>
      <c r="AC80" s="375"/>
      <c r="AD80" s="355"/>
      <c r="AE80" s="376">
        <f t="shared" ref="AE80" si="33">SUM(E80:AC80)</f>
        <v>0</v>
      </c>
      <c r="AF80" s="377"/>
      <c r="AG80" s="390"/>
      <c r="AH80" s="391">
        <f t="shared" si="28"/>
        <v>0</v>
      </c>
      <c r="AI80" s="412"/>
      <c r="AJ80" s="413">
        <f t="shared" ref="AJ80:AJ83" si="34">AH80+AI80</f>
        <v>0</v>
      </c>
      <c r="AK80" s="414" t="s">
        <v>8</v>
      </c>
      <c r="AL80" s="397" t="s">
        <v>23</v>
      </c>
      <c r="AM80" s="415" t="s">
        <v>174</v>
      </c>
    </row>
    <row r="81" spans="1:39" s="283" customFormat="1" ht="21" thickBot="1">
      <c r="A81" s="316" t="s">
        <v>125</v>
      </c>
      <c r="B81" s="827"/>
      <c r="C81" s="323"/>
      <c r="D81" s="324"/>
      <c r="E81" s="325"/>
      <c r="F81" s="297"/>
      <c r="G81" s="297"/>
      <c r="H81" s="297"/>
      <c r="I81" s="298"/>
      <c r="J81" s="298"/>
      <c r="K81" s="297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ref="AE81" si="35">SUM(E81:AC81)</f>
        <v>0</v>
      </c>
      <c r="AF81" s="377"/>
      <c r="AG81" s="390"/>
      <c r="AH81" s="391">
        <f t="shared" si="28"/>
        <v>0</v>
      </c>
      <c r="AI81" s="412"/>
      <c r="AJ81" s="413">
        <f t="shared" si="34"/>
        <v>0</v>
      </c>
      <c r="AK81" s="414" t="s">
        <v>8</v>
      </c>
      <c r="AL81" s="397" t="s">
        <v>23</v>
      </c>
      <c r="AM81" s="415" t="s">
        <v>174</v>
      </c>
    </row>
    <row r="82" spans="1:39" s="283" customFormat="1" ht="21" thickBot="1">
      <c r="A82" s="316" t="s">
        <v>125</v>
      </c>
      <c r="B82" s="827"/>
      <c r="C82" s="323"/>
      <c r="D82" s="324"/>
      <c r="E82" s="325"/>
      <c r="F82" s="297"/>
      <c r="G82" s="297"/>
      <c r="H82" s="297"/>
      <c r="I82" s="298"/>
      <c r="J82" s="298"/>
      <c r="K82" s="297"/>
      <c r="L82" s="355"/>
      <c r="M82" s="343"/>
      <c r="N82" s="298"/>
      <c r="O82" s="298"/>
      <c r="P82" s="298"/>
      <c r="Q82" s="298"/>
      <c r="R82" s="298"/>
      <c r="S82" s="298"/>
      <c r="T82" s="367"/>
      <c r="U82" s="355"/>
      <c r="V82" s="325"/>
      <c r="W82" s="297"/>
      <c r="X82" s="297"/>
      <c r="Y82" s="298"/>
      <c r="Z82" s="298"/>
      <c r="AA82" s="298"/>
      <c r="AB82" s="297"/>
      <c r="AC82" s="375"/>
      <c r="AD82" s="355"/>
      <c r="AE82" s="376">
        <f t="shared" ref="AE82" si="36">SUM(E82:AC82)</f>
        <v>0</v>
      </c>
      <c r="AF82" s="377"/>
      <c r="AG82" s="390"/>
      <c r="AH82" s="391">
        <f t="shared" si="28"/>
        <v>0</v>
      </c>
      <c r="AI82" s="412"/>
      <c r="AJ82" s="413">
        <f t="shared" si="34"/>
        <v>0</v>
      </c>
      <c r="AK82" s="414" t="s">
        <v>8</v>
      </c>
      <c r="AL82" s="397" t="s">
        <v>23</v>
      </c>
      <c r="AM82" s="415" t="s">
        <v>174</v>
      </c>
    </row>
    <row r="83" spans="1:39" s="283" customFormat="1" ht="21" thickBot="1">
      <c r="A83" s="316" t="s">
        <v>125</v>
      </c>
      <c r="B83" s="827"/>
      <c r="C83" s="323"/>
      <c r="D83" s="324"/>
      <c r="E83" s="325"/>
      <c r="F83" s="297"/>
      <c r="G83" s="297"/>
      <c r="H83" s="297"/>
      <c r="I83" s="298"/>
      <c r="J83" s="298"/>
      <c r="K83" s="297"/>
      <c r="L83" s="355"/>
      <c r="M83" s="343"/>
      <c r="N83" s="298"/>
      <c r="O83" s="298"/>
      <c r="P83" s="298"/>
      <c r="Q83" s="298"/>
      <c r="R83" s="298"/>
      <c r="S83" s="298"/>
      <c r="T83" s="367"/>
      <c r="U83" s="355"/>
      <c r="V83" s="325"/>
      <c r="W83" s="297"/>
      <c r="X83" s="297"/>
      <c r="Y83" s="298"/>
      <c r="Z83" s="298"/>
      <c r="AA83" s="298"/>
      <c r="AB83" s="297"/>
      <c r="AC83" s="375"/>
      <c r="AD83" s="355"/>
      <c r="AE83" s="376">
        <f t="shared" ref="AE83" si="37">SUM(E83:AC83)</f>
        <v>0</v>
      </c>
      <c r="AF83" s="377"/>
      <c r="AG83" s="390"/>
      <c r="AH83" s="391">
        <f t="shared" si="28"/>
        <v>0</v>
      </c>
      <c r="AI83" s="412"/>
      <c r="AJ83" s="413">
        <f t="shared" si="34"/>
        <v>0</v>
      </c>
      <c r="AK83" s="414" t="s">
        <v>8</v>
      </c>
      <c r="AL83" s="397" t="s">
        <v>23</v>
      </c>
      <c r="AM83" s="415" t="s">
        <v>174</v>
      </c>
    </row>
    <row r="84" spans="1:39" s="283" customFormat="1" ht="21" thickBot="1">
      <c r="A84" s="316" t="s">
        <v>125</v>
      </c>
      <c r="B84" s="827"/>
      <c r="C84" s="323"/>
      <c r="D84" s="324"/>
      <c r="E84" s="325"/>
      <c r="F84" s="297"/>
      <c r="G84" s="297"/>
      <c r="H84" s="297"/>
      <c r="I84" s="298"/>
      <c r="J84" s="298"/>
      <c r="K84" s="297"/>
      <c r="L84" s="355"/>
      <c r="M84" s="343"/>
      <c r="N84" s="298"/>
      <c r="O84" s="298"/>
      <c r="P84" s="298"/>
      <c r="Q84" s="298"/>
      <c r="R84" s="298"/>
      <c r="S84" s="298"/>
      <c r="T84" s="367"/>
      <c r="U84" s="355"/>
      <c r="V84" s="325"/>
      <c r="W84" s="297"/>
      <c r="X84" s="297"/>
      <c r="Y84" s="298"/>
      <c r="Z84" s="298"/>
      <c r="AA84" s="298"/>
      <c r="AB84" s="297"/>
      <c r="AC84" s="375"/>
      <c r="AD84" s="355"/>
      <c r="AE84" s="376">
        <f t="shared" si="27"/>
        <v>0</v>
      </c>
      <c r="AF84" s="377"/>
      <c r="AG84" s="390"/>
      <c r="AH84" s="391">
        <f t="shared" si="28"/>
        <v>0</v>
      </c>
      <c r="AI84" s="412"/>
      <c r="AJ84" s="413">
        <f t="shared" si="30"/>
        <v>0</v>
      </c>
      <c r="AK84" s="414" t="s">
        <v>8</v>
      </c>
      <c r="AL84" s="397" t="s">
        <v>23</v>
      </c>
      <c r="AM84" s="415" t="s">
        <v>174</v>
      </c>
    </row>
    <row r="85" spans="1:39" s="284" customFormat="1" ht="19.5" thickBot="1">
      <c r="A85" s="326" t="s">
        <v>126</v>
      </c>
      <c r="B85" s="327"/>
      <c r="C85" s="327"/>
      <c r="D85" s="328"/>
      <c r="E85" s="329">
        <f t="shared" ref="E85:L85" si="38">SUM(E67:E84)</f>
        <v>0</v>
      </c>
      <c r="F85" s="330">
        <f t="shared" si="38"/>
        <v>0</v>
      </c>
      <c r="G85" s="330">
        <f t="shared" si="38"/>
        <v>0</v>
      </c>
      <c r="H85" s="330">
        <f t="shared" si="38"/>
        <v>0</v>
      </c>
      <c r="I85" s="330">
        <f t="shared" si="38"/>
        <v>0</v>
      </c>
      <c r="J85" s="330">
        <f t="shared" si="38"/>
        <v>0</v>
      </c>
      <c r="K85" s="330">
        <f t="shared" si="38"/>
        <v>0</v>
      </c>
      <c r="L85" s="330">
        <f t="shared" si="38"/>
        <v>0</v>
      </c>
      <c r="M85" s="358">
        <f>SUM(M67:M84)</f>
        <v>0</v>
      </c>
      <c r="N85" s="358">
        <f t="shared" ref="N85:T85" si="39">SUM(N67:N84)</f>
        <v>0</v>
      </c>
      <c r="O85" s="358">
        <f t="shared" si="39"/>
        <v>0</v>
      </c>
      <c r="P85" s="358">
        <f t="shared" si="39"/>
        <v>0</v>
      </c>
      <c r="Q85" s="358">
        <f t="shared" si="39"/>
        <v>0</v>
      </c>
      <c r="R85" s="358">
        <f t="shared" si="39"/>
        <v>0</v>
      </c>
      <c r="S85" s="358">
        <f t="shared" si="39"/>
        <v>0</v>
      </c>
      <c r="T85" s="358">
        <f t="shared" si="39"/>
        <v>0</v>
      </c>
      <c r="U85" s="357"/>
      <c r="V85" s="358">
        <f t="shared" ref="V85:AC85" si="40">SUM(V67:V84)</f>
        <v>0</v>
      </c>
      <c r="W85" s="359">
        <f t="shared" si="40"/>
        <v>0</v>
      </c>
      <c r="X85" s="359">
        <f t="shared" si="40"/>
        <v>0</v>
      </c>
      <c r="Y85" s="359">
        <f t="shared" si="40"/>
        <v>0</v>
      </c>
      <c r="Z85" s="359">
        <f t="shared" si="40"/>
        <v>0</v>
      </c>
      <c r="AA85" s="359">
        <f t="shared" si="40"/>
        <v>0</v>
      </c>
      <c r="AB85" s="359">
        <f t="shared" si="40"/>
        <v>0</v>
      </c>
      <c r="AC85" s="369">
        <f t="shared" si="40"/>
        <v>0</v>
      </c>
      <c r="AD85" s="357"/>
      <c r="AE85" s="382">
        <f>SUM(AE67:AE84)</f>
        <v>0</v>
      </c>
      <c r="AF85" s="382">
        <f t="shared" ref="AF85:AJ85" si="41">SUM(AF67:AF84)</f>
        <v>0</v>
      </c>
      <c r="AG85" s="416">
        <f t="shared" si="41"/>
        <v>0</v>
      </c>
      <c r="AH85" s="417">
        <f t="shared" si="41"/>
        <v>0</v>
      </c>
      <c r="AI85" s="382">
        <f t="shared" si="41"/>
        <v>0</v>
      </c>
      <c r="AJ85" s="418">
        <f t="shared" si="41"/>
        <v>0</v>
      </c>
      <c r="AK85" s="399">
        <f>'BIG CHAIR'!CL91</f>
        <v>0</v>
      </c>
      <c r="AL85" s="400">
        <f>'Tea Table'!X181</f>
        <v>0</v>
      </c>
      <c r="AM85" s="401">
        <f>AH85+AK85+AL85</f>
        <v>0</v>
      </c>
    </row>
    <row r="86" spans="1:39" ht="24" thickBot="1">
      <c r="A86" s="721" t="s">
        <v>127</v>
      </c>
      <c r="B86" s="722" t="s">
        <v>68</v>
      </c>
      <c r="C86" s="287" t="s">
        <v>69</v>
      </c>
      <c r="D86" s="288" t="s">
        <v>70</v>
      </c>
      <c r="E86" s="88" t="s">
        <v>358</v>
      </c>
      <c r="F86" s="744" t="s">
        <v>364</v>
      </c>
      <c r="G86" s="30" t="s">
        <v>359</v>
      </c>
      <c r="H86" s="744" t="s">
        <v>365</v>
      </c>
      <c r="I86" s="744" t="s">
        <v>360</v>
      </c>
      <c r="J86" s="751" t="s">
        <v>366</v>
      </c>
      <c r="K86" s="783" t="s">
        <v>361</v>
      </c>
      <c r="L86" s="79" t="s">
        <v>367</v>
      </c>
      <c r="M86" s="80" t="s">
        <v>71</v>
      </c>
      <c r="N86" s="49" t="s">
        <v>482</v>
      </c>
      <c r="O86" s="49" t="s">
        <v>118</v>
      </c>
      <c r="P86" s="49" t="s">
        <v>97</v>
      </c>
      <c r="Q86" s="49" t="s">
        <v>75</v>
      </c>
      <c r="R86" s="49" t="s">
        <v>53</v>
      </c>
      <c r="S86" s="126" t="s">
        <v>77</v>
      </c>
      <c r="T86" s="171" t="s">
        <v>94</v>
      </c>
      <c r="U86" s="79"/>
      <c r="V86" s="80" t="s">
        <v>86</v>
      </c>
      <c r="W86" s="714" t="s">
        <v>368</v>
      </c>
      <c r="X86" s="49" t="s">
        <v>85</v>
      </c>
      <c r="Y86" s="103" t="s">
        <v>101</v>
      </c>
      <c r="Z86" s="104" t="s">
        <v>90</v>
      </c>
      <c r="AA86" s="716" t="s">
        <v>390</v>
      </c>
      <c r="AB86" s="121" t="s">
        <v>208</v>
      </c>
      <c r="AC86" s="717" t="s">
        <v>92</v>
      </c>
      <c r="AD86" s="370"/>
      <c r="AE86" s="371" t="s">
        <v>172</v>
      </c>
      <c r="AF86" s="372" t="s">
        <v>80</v>
      </c>
      <c r="AG86" s="385"/>
      <c r="AH86" s="386" t="s">
        <v>106</v>
      </c>
      <c r="AI86" s="385" t="s">
        <v>173</v>
      </c>
      <c r="AJ86" s="371" t="s">
        <v>108</v>
      </c>
      <c r="AK86" s="282"/>
      <c r="AL86" s="282"/>
      <c r="AM86" s="282"/>
    </row>
    <row r="87" spans="1:39" ht="21" thickBot="1">
      <c r="A87" s="792" t="s">
        <v>128</v>
      </c>
      <c r="B87" s="826"/>
      <c r="C87" s="311"/>
      <c r="D87" s="291"/>
      <c r="E87" s="313"/>
      <c r="F87" s="314"/>
      <c r="G87" s="314"/>
      <c r="H87" s="314"/>
      <c r="I87" s="315"/>
      <c r="J87" s="315"/>
      <c r="K87" s="314"/>
      <c r="L87" s="349"/>
      <c r="M87" s="350"/>
      <c r="N87" s="315"/>
      <c r="O87" s="315"/>
      <c r="P87" s="315"/>
      <c r="Q87" s="315"/>
      <c r="R87" s="315"/>
      <c r="S87" s="315"/>
      <c r="T87" s="477"/>
      <c r="U87" s="349"/>
      <c r="V87" s="350"/>
      <c r="W87" s="315"/>
      <c r="X87" s="315"/>
      <c r="Y87" s="315"/>
      <c r="Z87" s="315"/>
      <c r="AA87" s="315"/>
      <c r="AB87" s="315"/>
      <c r="AC87" s="378"/>
      <c r="AD87" s="349"/>
      <c r="AE87" s="379">
        <f t="shared" ref="AE87:AE102" si="42">SUM(E87:AC87)</f>
        <v>0</v>
      </c>
      <c r="AF87" s="379"/>
      <c r="AG87" s="404"/>
      <c r="AH87" s="405">
        <f t="shared" ref="AH87:AH104" si="43">AE87+AF87</f>
        <v>0</v>
      </c>
      <c r="AI87" s="406"/>
      <c r="AJ87" s="407">
        <f>AH87+AI87</f>
        <v>0</v>
      </c>
      <c r="AK87" s="234"/>
      <c r="AL87" s="234"/>
      <c r="AM87" s="234"/>
    </row>
    <row r="88" spans="1:39" ht="21" thickBot="1">
      <c r="A88" s="424" t="s">
        <v>128</v>
      </c>
      <c r="B88" s="826"/>
      <c r="C88" s="311"/>
      <c r="D88" s="807"/>
      <c r="E88" s="319"/>
      <c r="F88" s="320"/>
      <c r="G88" s="320"/>
      <c r="H88" s="320"/>
      <c r="I88" s="321"/>
      <c r="J88" s="321"/>
      <c r="K88" s="741"/>
      <c r="L88" s="352"/>
      <c r="M88" s="353"/>
      <c r="N88" s="321"/>
      <c r="O88" s="321"/>
      <c r="P88" s="321"/>
      <c r="Q88" s="321"/>
      <c r="R88" s="321"/>
      <c r="S88" s="321"/>
      <c r="T88" s="832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si="42"/>
        <v>0</v>
      </c>
      <c r="AF88" s="381"/>
      <c r="AG88" s="408"/>
      <c r="AH88" s="409">
        <f t="shared" si="43"/>
        <v>0</v>
      </c>
      <c r="AI88" s="410"/>
      <c r="AJ88" s="411">
        <f>AH88+AI88</f>
        <v>0</v>
      </c>
      <c r="AK88" s="234"/>
      <c r="AL88" s="234"/>
      <c r="AM88" s="234"/>
    </row>
    <row r="89" spans="1:39" ht="21" thickBot="1">
      <c r="A89" s="424" t="s">
        <v>128</v>
      </c>
      <c r="B89" s="822"/>
      <c r="C89" s="295"/>
      <c r="D89" s="291"/>
      <c r="E89" s="319"/>
      <c r="F89" s="320"/>
      <c r="G89" s="320"/>
      <c r="H89" s="320"/>
      <c r="I89" s="321"/>
      <c r="J89" s="321"/>
      <c r="K89" s="320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42"/>
        <v>0</v>
      </c>
      <c r="AF89" s="381"/>
      <c r="AG89" s="408"/>
      <c r="AH89" s="409">
        <f t="shared" si="43"/>
        <v>0</v>
      </c>
      <c r="AI89" s="410"/>
      <c r="AJ89" s="411">
        <f>AH89+AI89</f>
        <v>0</v>
      </c>
      <c r="AK89" s="234"/>
      <c r="AL89" s="234"/>
      <c r="AM89" s="234"/>
    </row>
    <row r="90" spans="1:39" ht="21" thickBot="1">
      <c r="A90" s="424" t="s">
        <v>128</v>
      </c>
      <c r="B90" s="710"/>
      <c r="C90" s="295"/>
      <c r="D90" s="291"/>
      <c r="E90" s="319"/>
      <c r="F90" s="320"/>
      <c r="G90" s="320"/>
      <c r="H90" s="320"/>
      <c r="I90" s="321"/>
      <c r="J90" s="321"/>
      <c r="K90" s="320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42"/>
        <v>0</v>
      </c>
      <c r="AF90" s="381"/>
      <c r="AG90" s="408"/>
      <c r="AH90" s="409">
        <f t="shared" si="43"/>
        <v>0</v>
      </c>
      <c r="AI90" s="410"/>
      <c r="AJ90" s="411">
        <f>AH90+AI90</f>
        <v>0</v>
      </c>
      <c r="AK90" s="234"/>
      <c r="AL90" s="234"/>
      <c r="AM90" s="234"/>
    </row>
    <row r="91" spans="1:39" ht="21" thickBot="1">
      <c r="A91" s="424" t="s">
        <v>128</v>
      </c>
      <c r="B91" s="710"/>
      <c r="C91" s="295"/>
      <c r="D91" s="291"/>
      <c r="E91" s="319"/>
      <c r="F91" s="320"/>
      <c r="G91" s="320"/>
      <c r="H91" s="320"/>
      <c r="I91" s="321"/>
      <c r="J91" s="321"/>
      <c r="K91" s="320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42"/>
        <v>0</v>
      </c>
      <c r="AF91" s="381"/>
      <c r="AG91" s="408"/>
      <c r="AH91" s="409">
        <f t="shared" si="43"/>
        <v>0</v>
      </c>
      <c r="AI91" s="410"/>
      <c r="AJ91" s="411">
        <f t="shared" ref="AJ91:AJ93" si="44">AH91+AI91</f>
        <v>0</v>
      </c>
      <c r="AK91" s="234"/>
      <c r="AL91" s="234"/>
      <c r="AM91" s="234"/>
    </row>
    <row r="92" spans="1:39" ht="21" thickBot="1">
      <c r="A92" s="424" t="s">
        <v>128</v>
      </c>
      <c r="B92" s="710"/>
      <c r="C92" s="295"/>
      <c r="D92" s="291"/>
      <c r="E92" s="319"/>
      <c r="F92" s="320"/>
      <c r="G92" s="320"/>
      <c r="H92" s="321"/>
      <c r="I92" s="234"/>
      <c r="J92" s="321"/>
      <c r="K92" s="320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42"/>
        <v>0</v>
      </c>
      <c r="AF92" s="381"/>
      <c r="AG92" s="408"/>
      <c r="AH92" s="409">
        <f t="shared" si="43"/>
        <v>0</v>
      </c>
      <c r="AI92" s="410"/>
      <c r="AJ92" s="411">
        <f t="shared" si="44"/>
        <v>0</v>
      </c>
      <c r="AK92" s="234"/>
      <c r="AL92" s="234"/>
      <c r="AM92" s="234"/>
    </row>
    <row r="93" spans="1:39" ht="21" thickBot="1">
      <c r="A93" s="424" t="s">
        <v>128</v>
      </c>
      <c r="B93" s="710"/>
      <c r="C93" s="295"/>
      <c r="D93" s="291"/>
      <c r="E93" s="319"/>
      <c r="F93" s="320"/>
      <c r="G93" s="320"/>
      <c r="H93" s="320"/>
      <c r="I93" s="321"/>
      <c r="J93" s="321"/>
      <c r="K93" s="320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42"/>
        <v>0</v>
      </c>
      <c r="AF93" s="381"/>
      <c r="AG93" s="408"/>
      <c r="AH93" s="409">
        <f t="shared" si="43"/>
        <v>0</v>
      </c>
      <c r="AI93" s="410"/>
      <c r="AJ93" s="411">
        <f t="shared" si="44"/>
        <v>0</v>
      </c>
      <c r="AK93" s="234"/>
      <c r="AL93" s="234"/>
      <c r="AM93" s="234"/>
    </row>
    <row r="94" spans="1:39" ht="21" thickBot="1">
      <c r="A94" s="424" t="s">
        <v>128</v>
      </c>
      <c r="B94" s="822"/>
      <c r="C94" s="295"/>
      <c r="D94" s="291"/>
      <c r="E94" s="319"/>
      <c r="F94" s="320"/>
      <c r="G94" s="320"/>
      <c r="H94" s="320"/>
      <c r="I94" s="321"/>
      <c r="J94" s="321"/>
      <c r="K94" s="741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42"/>
        <v>0</v>
      </c>
      <c r="AF94" s="381"/>
      <c r="AG94" s="408"/>
      <c r="AH94" s="409">
        <f t="shared" si="43"/>
        <v>0</v>
      </c>
      <c r="AI94" s="410"/>
      <c r="AJ94" s="411">
        <f t="shared" ref="AJ94:AJ104" si="45">AH94+AI94</f>
        <v>0</v>
      </c>
      <c r="AK94" s="234"/>
      <c r="AL94" s="234"/>
      <c r="AM94" s="234"/>
    </row>
    <row r="95" spans="1:39" ht="21" thickBot="1">
      <c r="A95" s="424" t="s">
        <v>128</v>
      </c>
      <c r="B95" s="822"/>
      <c r="C95" s="295"/>
      <c r="D95" s="291"/>
      <c r="E95" s="319"/>
      <c r="F95" s="320"/>
      <c r="G95" s="320"/>
      <c r="H95" s="320"/>
      <c r="I95" s="321"/>
      <c r="J95" s="321"/>
      <c r="K95" s="741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42"/>
        <v>0</v>
      </c>
      <c r="AF95" s="381"/>
      <c r="AG95" s="408"/>
      <c r="AH95" s="409">
        <f t="shared" si="43"/>
        <v>0</v>
      </c>
      <c r="AI95" s="410"/>
      <c r="AJ95" s="411">
        <f t="shared" si="45"/>
        <v>0</v>
      </c>
      <c r="AK95" s="234"/>
      <c r="AL95" s="234"/>
      <c r="AM95" s="234"/>
    </row>
    <row r="96" spans="1:39" ht="21" thickBot="1">
      <c r="A96" s="424" t="s">
        <v>128</v>
      </c>
      <c r="B96" s="822"/>
      <c r="C96" s="295"/>
      <c r="D96" s="291"/>
      <c r="E96" s="319"/>
      <c r="F96" s="320"/>
      <c r="G96" s="320"/>
      <c r="H96" s="320"/>
      <c r="I96" s="321"/>
      <c r="J96" s="321"/>
      <c r="K96" s="320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42"/>
        <v>0</v>
      </c>
      <c r="AF96" s="381"/>
      <c r="AG96" s="408"/>
      <c r="AH96" s="409">
        <f t="shared" si="43"/>
        <v>0</v>
      </c>
      <c r="AI96" s="410"/>
      <c r="AJ96" s="411">
        <f t="shared" si="45"/>
        <v>0</v>
      </c>
      <c r="AK96" s="234"/>
      <c r="AL96" s="234"/>
      <c r="AM96" s="234"/>
    </row>
    <row r="97" spans="1:39" ht="21" thickBot="1">
      <c r="A97" s="424" t="s">
        <v>128</v>
      </c>
      <c r="B97" s="822"/>
      <c r="C97" s="295"/>
      <c r="D97" s="291"/>
      <c r="E97" s="319"/>
      <c r="F97" s="320"/>
      <c r="G97" s="320"/>
      <c r="H97" s="320"/>
      <c r="I97" s="321"/>
      <c r="J97" s="321"/>
      <c r="K97" s="320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42"/>
        <v>0</v>
      </c>
      <c r="AF97" s="381"/>
      <c r="AG97" s="408"/>
      <c r="AH97" s="409">
        <f t="shared" si="43"/>
        <v>0</v>
      </c>
      <c r="AI97" s="410"/>
      <c r="AJ97" s="411">
        <f t="shared" si="45"/>
        <v>0</v>
      </c>
      <c r="AK97" s="234"/>
      <c r="AL97" s="234"/>
      <c r="AM97" s="234"/>
    </row>
    <row r="98" spans="1:39" ht="21" thickBot="1">
      <c r="A98" s="424" t="s">
        <v>128</v>
      </c>
      <c r="B98" s="822"/>
      <c r="C98" s="295"/>
      <c r="D98" s="291"/>
      <c r="E98" s="319"/>
      <c r="F98" s="320"/>
      <c r="G98" s="320"/>
      <c r="H98" s="320"/>
      <c r="I98" s="321"/>
      <c r="J98" s="321"/>
      <c r="K98" s="320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42"/>
        <v>0</v>
      </c>
      <c r="AF98" s="381"/>
      <c r="AG98" s="408"/>
      <c r="AH98" s="409">
        <f t="shared" si="43"/>
        <v>0</v>
      </c>
      <c r="AI98" s="410"/>
      <c r="AJ98" s="411">
        <f t="shared" si="45"/>
        <v>0</v>
      </c>
      <c r="AK98" s="234"/>
      <c r="AL98" s="234"/>
      <c r="AM98" s="234"/>
    </row>
    <row r="99" spans="1:39" ht="21" thickBot="1">
      <c r="A99" s="424" t="s">
        <v>128</v>
      </c>
      <c r="B99" s="822"/>
      <c r="C99" s="295"/>
      <c r="D99" s="291"/>
      <c r="E99" s="319"/>
      <c r="F99" s="320"/>
      <c r="G99" s="320"/>
      <c r="H99" s="320"/>
      <c r="I99" s="321"/>
      <c r="J99" s="321"/>
      <c r="K99" s="320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42"/>
        <v>0</v>
      </c>
      <c r="AF99" s="381"/>
      <c r="AG99" s="408"/>
      <c r="AH99" s="409">
        <f t="shared" si="43"/>
        <v>0</v>
      </c>
      <c r="AI99" s="410"/>
      <c r="AJ99" s="411">
        <f t="shared" si="45"/>
        <v>0</v>
      </c>
      <c r="AK99" s="234"/>
      <c r="AL99" s="234"/>
      <c r="AM99" s="234"/>
    </row>
    <row r="100" spans="1:39" ht="21" thickBot="1">
      <c r="A100" s="424" t="s">
        <v>128</v>
      </c>
      <c r="B100" s="827"/>
      <c r="C100" s="323"/>
      <c r="D100" s="291"/>
      <c r="E100" s="325"/>
      <c r="F100" s="297"/>
      <c r="G100" s="297"/>
      <c r="H100" s="297"/>
      <c r="I100" s="298"/>
      <c r="J100" s="298"/>
      <c r="K100" s="297"/>
      <c r="L100" s="355"/>
      <c r="M100" s="343"/>
      <c r="N100" s="298"/>
      <c r="O100" s="298"/>
      <c r="P100" s="298"/>
      <c r="Q100" s="298"/>
      <c r="R100" s="298"/>
      <c r="S100" s="298"/>
      <c r="T100" s="367"/>
      <c r="U100" s="355"/>
      <c r="V100" s="325"/>
      <c r="W100" s="297"/>
      <c r="X100" s="297"/>
      <c r="Y100" s="298"/>
      <c r="Z100" s="298"/>
      <c r="AA100" s="298"/>
      <c r="AB100" s="297"/>
      <c r="AC100" s="375"/>
      <c r="AD100" s="355"/>
      <c r="AE100" s="376">
        <f t="shared" si="42"/>
        <v>0</v>
      </c>
      <c r="AF100" s="377"/>
      <c r="AG100" s="390"/>
      <c r="AH100" s="391">
        <f t="shared" si="43"/>
        <v>0</v>
      </c>
      <c r="AI100" s="412"/>
      <c r="AJ100" s="413">
        <f t="shared" si="45"/>
        <v>0</v>
      </c>
      <c r="AK100" s="414" t="s">
        <v>8</v>
      </c>
      <c r="AL100" s="397" t="s">
        <v>23</v>
      </c>
      <c r="AM100" s="415" t="s">
        <v>174</v>
      </c>
    </row>
    <row r="101" spans="1:39" ht="21" thickBot="1">
      <c r="A101" s="424" t="s">
        <v>128</v>
      </c>
      <c r="B101" s="827"/>
      <c r="C101" s="323"/>
      <c r="D101" s="291"/>
      <c r="E101" s="325"/>
      <c r="F101" s="297"/>
      <c r="G101" s="297"/>
      <c r="H101" s="297"/>
      <c r="I101" s="298"/>
      <c r="J101" s="298"/>
      <c r="K101" s="297"/>
      <c r="L101" s="355"/>
      <c r="M101" s="343"/>
      <c r="N101" s="298"/>
      <c r="O101" s="298"/>
      <c r="P101" s="298"/>
      <c r="Q101" s="298"/>
      <c r="R101" s="298"/>
      <c r="S101" s="298"/>
      <c r="T101" s="367"/>
      <c r="U101" s="355"/>
      <c r="V101" s="325"/>
      <c r="W101" s="297"/>
      <c r="X101" s="297"/>
      <c r="Y101" s="298"/>
      <c r="Z101" s="298"/>
      <c r="AA101" s="298"/>
      <c r="AB101" s="297"/>
      <c r="AC101" s="375"/>
      <c r="AD101" s="355"/>
      <c r="AE101" s="376">
        <f t="shared" si="42"/>
        <v>0</v>
      </c>
      <c r="AF101" s="377"/>
      <c r="AG101" s="390"/>
      <c r="AH101" s="391">
        <f t="shared" si="43"/>
        <v>0</v>
      </c>
      <c r="AI101" s="412"/>
      <c r="AJ101" s="413">
        <f t="shared" si="45"/>
        <v>0</v>
      </c>
      <c r="AK101" s="414" t="s">
        <v>8</v>
      </c>
      <c r="AL101" s="397" t="s">
        <v>23</v>
      </c>
      <c r="AM101" s="415" t="s">
        <v>174</v>
      </c>
    </row>
    <row r="102" spans="1:39" ht="21" thickBot="1">
      <c r="A102" s="424" t="s">
        <v>128</v>
      </c>
      <c r="B102" s="827"/>
      <c r="C102" s="323"/>
      <c r="D102" s="291"/>
      <c r="E102" s="325"/>
      <c r="F102" s="297"/>
      <c r="G102" s="297"/>
      <c r="H102" s="297"/>
      <c r="I102" s="298"/>
      <c r="J102" s="298"/>
      <c r="K102" s="297"/>
      <c r="L102" s="355"/>
      <c r="M102" s="343"/>
      <c r="N102" s="298"/>
      <c r="O102" s="298"/>
      <c r="P102" s="298"/>
      <c r="Q102" s="298"/>
      <c r="R102" s="298"/>
      <c r="S102" s="298"/>
      <c r="T102" s="367"/>
      <c r="U102" s="355"/>
      <c r="V102" s="325"/>
      <c r="W102" s="297"/>
      <c r="X102" s="297"/>
      <c r="Y102" s="298"/>
      <c r="Z102" s="298"/>
      <c r="AA102" s="298"/>
      <c r="AB102" s="297"/>
      <c r="AC102" s="375"/>
      <c r="AD102" s="355"/>
      <c r="AE102" s="376">
        <f t="shared" si="42"/>
        <v>0</v>
      </c>
      <c r="AF102" s="377"/>
      <c r="AG102" s="390"/>
      <c r="AH102" s="391">
        <f t="shared" si="43"/>
        <v>0</v>
      </c>
      <c r="AI102" s="412"/>
      <c r="AJ102" s="413">
        <f t="shared" si="45"/>
        <v>0</v>
      </c>
      <c r="AK102" s="414" t="s">
        <v>8</v>
      </c>
      <c r="AL102" s="397" t="s">
        <v>23</v>
      </c>
      <c r="AM102" s="415" t="s">
        <v>174</v>
      </c>
    </row>
    <row r="103" spans="1:39" ht="21" thickBot="1">
      <c r="A103" s="424" t="s">
        <v>128</v>
      </c>
      <c r="B103" s="827"/>
      <c r="C103" s="323"/>
      <c r="D103" s="291"/>
      <c r="E103" s="325"/>
      <c r="F103" s="297"/>
      <c r="G103" s="297"/>
      <c r="H103" s="297"/>
      <c r="I103" s="298"/>
      <c r="J103" s="298"/>
      <c r="K103" s="297"/>
      <c r="L103" s="355"/>
      <c r="M103" s="343"/>
      <c r="N103" s="298"/>
      <c r="O103" s="298"/>
      <c r="P103" s="298"/>
      <c r="Q103" s="298"/>
      <c r="R103" s="298"/>
      <c r="S103" s="298"/>
      <c r="T103" s="367"/>
      <c r="U103" s="355"/>
      <c r="V103" s="325"/>
      <c r="W103" s="297"/>
      <c r="X103" s="297"/>
      <c r="Y103" s="298"/>
      <c r="Z103" s="298"/>
      <c r="AA103" s="298"/>
      <c r="AB103" s="297"/>
      <c r="AC103" s="375"/>
      <c r="AD103" s="355"/>
      <c r="AE103" s="376">
        <f t="shared" ref="AE103" si="46">SUM(E103:AC103)</f>
        <v>0</v>
      </c>
      <c r="AF103" s="377"/>
      <c r="AG103" s="390"/>
      <c r="AH103" s="391">
        <f t="shared" si="43"/>
        <v>0</v>
      </c>
      <c r="AI103" s="412"/>
      <c r="AJ103" s="413">
        <f t="shared" si="45"/>
        <v>0</v>
      </c>
      <c r="AK103" s="414" t="s">
        <v>8</v>
      </c>
      <c r="AL103" s="397" t="s">
        <v>23</v>
      </c>
      <c r="AM103" s="415" t="s">
        <v>174</v>
      </c>
    </row>
    <row r="104" spans="1:39" ht="21" thickBot="1">
      <c r="A104" s="424" t="s">
        <v>128</v>
      </c>
      <c r="B104" s="827"/>
      <c r="C104" s="323"/>
      <c r="D104" s="291"/>
      <c r="E104" s="325"/>
      <c r="F104" s="297"/>
      <c r="G104" s="297"/>
      <c r="H104" s="297"/>
      <c r="I104" s="298"/>
      <c r="J104" s="298"/>
      <c r="K104" s="297"/>
      <c r="L104" s="355"/>
      <c r="M104" s="343"/>
      <c r="N104" s="298"/>
      <c r="O104" s="298"/>
      <c r="P104" s="298"/>
      <c r="Q104" s="298"/>
      <c r="R104" s="298"/>
      <c r="S104" s="298"/>
      <c r="T104" s="367"/>
      <c r="U104" s="355"/>
      <c r="V104" s="325"/>
      <c r="W104" s="297"/>
      <c r="X104" s="297"/>
      <c r="Y104" s="298"/>
      <c r="Z104" s="298"/>
      <c r="AA104" s="298"/>
      <c r="AB104" s="297"/>
      <c r="AC104" s="375"/>
      <c r="AD104" s="355"/>
      <c r="AE104" s="376">
        <f t="shared" ref="AE104" si="47">SUM(E104:AC104)</f>
        <v>0</v>
      </c>
      <c r="AF104" s="377"/>
      <c r="AG104" s="390"/>
      <c r="AH104" s="391">
        <f t="shared" si="43"/>
        <v>0</v>
      </c>
      <c r="AI104" s="412"/>
      <c r="AJ104" s="413">
        <f t="shared" si="45"/>
        <v>0</v>
      </c>
      <c r="AK104" s="414" t="s">
        <v>8</v>
      </c>
      <c r="AL104" s="397" t="s">
        <v>23</v>
      </c>
      <c r="AM104" s="415" t="s">
        <v>174</v>
      </c>
    </row>
    <row r="105" spans="1:39" ht="21" thickBot="1">
      <c r="A105" s="424" t="s">
        <v>128</v>
      </c>
      <c r="B105" s="827"/>
      <c r="C105" s="323"/>
      <c r="D105" s="291"/>
      <c r="E105" s="325"/>
      <c r="F105" s="297"/>
      <c r="G105" s="297"/>
      <c r="H105" s="297"/>
      <c r="I105" s="298"/>
      <c r="J105" s="298"/>
      <c r="K105" s="297"/>
      <c r="L105" s="355"/>
      <c r="M105" s="343"/>
      <c r="N105" s="298"/>
      <c r="O105" s="298"/>
      <c r="P105" s="298"/>
      <c r="Q105" s="298"/>
      <c r="R105" s="298"/>
      <c r="S105" s="298"/>
      <c r="T105" s="367"/>
      <c r="U105" s="355"/>
      <c r="V105" s="325"/>
      <c r="W105" s="297"/>
      <c r="X105" s="297"/>
      <c r="Y105" s="298"/>
      <c r="Z105" s="298"/>
      <c r="AA105" s="298"/>
      <c r="AB105" s="297"/>
      <c r="AC105" s="375"/>
      <c r="AD105" s="355"/>
      <c r="AE105" s="376">
        <f t="shared" ref="AE105" si="48">SUM(E105:AC105)</f>
        <v>0</v>
      </c>
      <c r="AF105" s="377"/>
      <c r="AG105" s="390"/>
      <c r="AH105" s="391">
        <f t="shared" ref="AH105" si="49">AE105+AF105</f>
        <v>0</v>
      </c>
      <c r="AI105" s="412"/>
      <c r="AJ105" s="413">
        <f t="shared" ref="AJ105" si="50">AH105+AI105</f>
        <v>0</v>
      </c>
      <c r="AK105" s="414" t="s">
        <v>8</v>
      </c>
      <c r="AL105" s="397" t="s">
        <v>23</v>
      </c>
      <c r="AM105" s="415" t="s">
        <v>174</v>
      </c>
    </row>
    <row r="106" spans="1:39" ht="21" thickBot="1">
      <c r="A106" s="424" t="s">
        <v>128</v>
      </c>
      <c r="B106" s="827"/>
      <c r="C106" s="323"/>
      <c r="D106" s="291"/>
      <c r="E106" s="325"/>
      <c r="F106" s="297"/>
      <c r="G106" s="297"/>
      <c r="H106" s="297"/>
      <c r="I106" s="298"/>
      <c r="J106" s="298"/>
      <c r="K106" s="297"/>
      <c r="L106" s="355"/>
      <c r="M106" s="343"/>
      <c r="N106" s="298"/>
      <c r="O106" s="298"/>
      <c r="P106" s="298"/>
      <c r="Q106" s="298"/>
      <c r="R106" s="298"/>
      <c r="S106" s="298"/>
      <c r="T106" s="367"/>
      <c r="U106" s="355"/>
      <c r="V106" s="325"/>
      <c r="W106" s="297"/>
      <c r="X106" s="297"/>
      <c r="Y106" s="298"/>
      <c r="Z106" s="298"/>
      <c r="AA106" s="298"/>
      <c r="AB106" s="297"/>
      <c r="AC106" s="375"/>
      <c r="AD106" s="355"/>
      <c r="AE106" s="376">
        <f t="shared" ref="AE106:AE109" si="51">SUM(E106:AC106)</f>
        <v>0</v>
      </c>
      <c r="AF106" s="377"/>
      <c r="AG106" s="390"/>
      <c r="AH106" s="391">
        <f t="shared" ref="AH106:AH109" si="52">AE106+AF106</f>
        <v>0</v>
      </c>
      <c r="AI106" s="412"/>
      <c r="AJ106" s="413">
        <f t="shared" ref="AJ106:AJ109" si="53">AH106+AI106</f>
        <v>0</v>
      </c>
      <c r="AK106" s="414" t="s">
        <v>8</v>
      </c>
      <c r="AL106" s="397" t="s">
        <v>23</v>
      </c>
      <c r="AM106" s="415" t="s">
        <v>174</v>
      </c>
    </row>
    <row r="107" spans="1:39" ht="21" thickBot="1">
      <c r="A107" s="424" t="s">
        <v>128</v>
      </c>
      <c r="B107" s="827"/>
      <c r="C107" s="323"/>
      <c r="D107" s="291"/>
      <c r="E107" s="325"/>
      <c r="F107" s="297"/>
      <c r="G107" s="297"/>
      <c r="H107" s="297"/>
      <c r="I107" s="298"/>
      <c r="J107" s="298"/>
      <c r="K107" s="297"/>
      <c r="L107" s="355"/>
      <c r="M107" s="343"/>
      <c r="N107" s="298"/>
      <c r="O107" s="298"/>
      <c r="P107" s="298"/>
      <c r="Q107" s="298"/>
      <c r="R107" s="298"/>
      <c r="S107" s="298"/>
      <c r="T107" s="367"/>
      <c r="U107" s="355"/>
      <c r="V107" s="325"/>
      <c r="W107" s="297"/>
      <c r="X107" s="297"/>
      <c r="Y107" s="298"/>
      <c r="Z107" s="298"/>
      <c r="AA107" s="298"/>
      <c r="AB107" s="297"/>
      <c r="AC107" s="375"/>
      <c r="AD107" s="355"/>
      <c r="AE107" s="376">
        <f t="shared" si="51"/>
        <v>0</v>
      </c>
      <c r="AF107" s="377"/>
      <c r="AG107" s="390"/>
      <c r="AH107" s="391">
        <f t="shared" si="52"/>
        <v>0</v>
      </c>
      <c r="AI107" s="412"/>
      <c r="AJ107" s="413">
        <f t="shared" si="53"/>
        <v>0</v>
      </c>
      <c r="AK107" s="414" t="s">
        <v>8</v>
      </c>
      <c r="AL107" s="397" t="s">
        <v>23</v>
      </c>
      <c r="AM107" s="415" t="s">
        <v>174</v>
      </c>
    </row>
    <row r="108" spans="1:39" ht="21" thickBot="1">
      <c r="A108" s="424" t="s">
        <v>128</v>
      </c>
      <c r="B108" s="827"/>
      <c r="C108" s="323"/>
      <c r="D108" s="291"/>
      <c r="E108" s="325"/>
      <c r="F108" s="297"/>
      <c r="G108" s="297"/>
      <c r="H108" s="297"/>
      <c r="I108" s="298"/>
      <c r="J108" s="298"/>
      <c r="K108" s="297"/>
      <c r="L108" s="355"/>
      <c r="M108" s="343"/>
      <c r="N108" s="298"/>
      <c r="O108" s="298"/>
      <c r="P108" s="298"/>
      <c r="Q108" s="298"/>
      <c r="R108" s="298"/>
      <c r="S108" s="298"/>
      <c r="T108" s="367"/>
      <c r="U108" s="355"/>
      <c r="V108" s="325"/>
      <c r="W108" s="297"/>
      <c r="X108" s="297"/>
      <c r="Y108" s="298"/>
      <c r="Z108" s="298"/>
      <c r="AA108" s="298"/>
      <c r="AB108" s="297"/>
      <c r="AC108" s="375"/>
      <c r="AD108" s="355"/>
      <c r="AE108" s="376">
        <f t="shared" si="51"/>
        <v>0</v>
      </c>
      <c r="AF108" s="377"/>
      <c r="AG108" s="390"/>
      <c r="AH108" s="391">
        <f t="shared" si="52"/>
        <v>0</v>
      </c>
      <c r="AI108" s="412"/>
      <c r="AJ108" s="413">
        <f t="shared" si="53"/>
        <v>0</v>
      </c>
      <c r="AK108" s="414" t="s">
        <v>8</v>
      </c>
      <c r="AL108" s="397" t="s">
        <v>23</v>
      </c>
      <c r="AM108" s="415" t="s">
        <v>174</v>
      </c>
    </row>
    <row r="109" spans="1:39" ht="21" thickBot="1">
      <c r="A109" s="424" t="s">
        <v>128</v>
      </c>
      <c r="B109" s="827"/>
      <c r="C109" s="323"/>
      <c r="D109" s="291"/>
      <c r="E109" s="325"/>
      <c r="F109" s="297"/>
      <c r="G109" s="297"/>
      <c r="H109" s="297"/>
      <c r="I109" s="298"/>
      <c r="J109" s="298"/>
      <c r="K109" s="297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si="51"/>
        <v>0</v>
      </c>
      <c r="AF109" s="377"/>
      <c r="AG109" s="390"/>
      <c r="AH109" s="391">
        <f t="shared" si="52"/>
        <v>0</v>
      </c>
      <c r="AI109" s="412"/>
      <c r="AJ109" s="413">
        <f t="shared" si="53"/>
        <v>0</v>
      </c>
      <c r="AK109" s="414" t="s">
        <v>8</v>
      </c>
      <c r="AL109" s="397" t="s">
        <v>23</v>
      </c>
      <c r="AM109" s="415" t="s">
        <v>174</v>
      </c>
    </row>
    <row r="110" spans="1:39" ht="21" thickBot="1">
      <c r="A110" s="424" t="s">
        <v>128</v>
      </c>
      <c r="B110" s="827"/>
      <c r="C110" s="323"/>
      <c r="D110" s="291"/>
      <c r="E110" s="325"/>
      <c r="F110" s="297"/>
      <c r="G110" s="297"/>
      <c r="H110" s="297"/>
      <c r="I110" s="298"/>
      <c r="J110" s="298"/>
      <c r="K110" s="297"/>
      <c r="L110" s="355"/>
      <c r="M110" s="343"/>
      <c r="N110" s="298"/>
      <c r="O110" s="298"/>
      <c r="P110" s="298"/>
      <c r="Q110" s="298"/>
      <c r="R110" s="298"/>
      <c r="S110" s="298"/>
      <c r="T110" s="367"/>
      <c r="U110" s="355"/>
      <c r="V110" s="325"/>
      <c r="W110" s="297"/>
      <c r="X110" s="297"/>
      <c r="Y110" s="298"/>
      <c r="Z110" s="298"/>
      <c r="AA110" s="298"/>
      <c r="AB110" s="297"/>
      <c r="AC110" s="375"/>
      <c r="AD110" s="355"/>
      <c r="AE110" s="376">
        <f t="shared" ref="AE110" si="54">SUM(E110:AC110)</f>
        <v>0</v>
      </c>
      <c r="AF110" s="377"/>
      <c r="AG110" s="390"/>
      <c r="AH110" s="391">
        <f t="shared" ref="AH110" si="55">AE110+AF110</f>
        <v>0</v>
      </c>
      <c r="AI110" s="412"/>
      <c r="AJ110" s="413">
        <f t="shared" ref="AJ110" si="56">AH110+AI110</f>
        <v>0</v>
      </c>
      <c r="AK110" s="414" t="s">
        <v>8</v>
      </c>
      <c r="AL110" s="397" t="s">
        <v>23</v>
      </c>
      <c r="AM110" s="415" t="s">
        <v>174</v>
      </c>
    </row>
    <row r="111" spans="1:39" ht="21" thickBot="1">
      <c r="A111" s="424" t="s">
        <v>128</v>
      </c>
      <c r="B111" s="827"/>
      <c r="C111" s="323"/>
      <c r="D111" s="291"/>
      <c r="E111" s="325"/>
      <c r="F111" s="297"/>
      <c r="G111" s="297"/>
      <c r="H111" s="297"/>
      <c r="I111" s="298"/>
      <c r="J111" s="298"/>
      <c r="K111" s="297"/>
      <c r="L111" s="355"/>
      <c r="M111" s="343"/>
      <c r="N111" s="298"/>
      <c r="O111" s="298"/>
      <c r="P111" s="298"/>
      <c r="Q111" s="298"/>
      <c r="R111" s="298"/>
      <c r="S111" s="298"/>
      <c r="T111" s="367"/>
      <c r="U111" s="355"/>
      <c r="V111" s="325"/>
      <c r="W111" s="297"/>
      <c r="X111" s="297"/>
      <c r="Y111" s="298"/>
      <c r="Z111" s="298"/>
      <c r="AA111" s="298"/>
      <c r="AB111" s="297"/>
      <c r="AC111" s="375"/>
      <c r="AD111" s="355"/>
      <c r="AE111" s="376">
        <f t="shared" ref="AE111" si="57">SUM(E111:AC111)</f>
        <v>0</v>
      </c>
      <c r="AF111" s="377"/>
      <c r="AG111" s="390"/>
      <c r="AH111" s="391">
        <f t="shared" ref="AH111" si="58">AE111+AF111</f>
        <v>0</v>
      </c>
      <c r="AI111" s="412"/>
      <c r="AJ111" s="413">
        <f t="shared" ref="AJ111" si="59">AH111+AI111</f>
        <v>0</v>
      </c>
      <c r="AK111" s="414" t="s">
        <v>8</v>
      </c>
      <c r="AL111" s="397" t="s">
        <v>23</v>
      </c>
      <c r="AM111" s="415" t="s">
        <v>174</v>
      </c>
    </row>
    <row r="112" spans="1:39" ht="21" thickBot="1">
      <c r="A112" s="424" t="s">
        <v>128</v>
      </c>
      <c r="B112" s="827"/>
      <c r="C112" s="323"/>
      <c r="D112" s="291"/>
      <c r="E112" s="325"/>
      <c r="F112" s="297"/>
      <c r="G112" s="297"/>
      <c r="H112" s="297"/>
      <c r="I112" s="298"/>
      <c r="J112" s="298"/>
      <c r="K112" s="297"/>
      <c r="L112" s="355"/>
      <c r="M112" s="343"/>
      <c r="N112" s="298"/>
      <c r="O112" s="298"/>
      <c r="P112" s="298"/>
      <c r="Q112" s="298"/>
      <c r="R112" s="298"/>
      <c r="S112" s="298"/>
      <c r="T112" s="367"/>
      <c r="U112" s="355"/>
      <c r="V112" s="325"/>
      <c r="W112" s="297"/>
      <c r="X112" s="297"/>
      <c r="Y112" s="298"/>
      <c r="Z112" s="298"/>
      <c r="AA112" s="298"/>
      <c r="AB112" s="297"/>
      <c r="AC112" s="375"/>
      <c r="AD112" s="355"/>
      <c r="AE112" s="376">
        <f t="shared" ref="AE112" si="60">SUM(E112:AC112)</f>
        <v>0</v>
      </c>
      <c r="AF112" s="377"/>
      <c r="AG112" s="390"/>
      <c r="AH112" s="391">
        <f t="shared" ref="AH112" si="61">AE112+AF112</f>
        <v>0</v>
      </c>
      <c r="AI112" s="412"/>
      <c r="AJ112" s="413">
        <f t="shared" ref="AJ112" si="62">AH112+AI112</f>
        <v>0</v>
      </c>
      <c r="AK112" s="414" t="s">
        <v>8</v>
      </c>
      <c r="AL112" s="397" t="s">
        <v>23</v>
      </c>
      <c r="AM112" s="415" t="s">
        <v>174</v>
      </c>
    </row>
    <row r="113" spans="1:39" ht="19.5" thickBot="1">
      <c r="A113" s="828" t="s">
        <v>129</v>
      </c>
      <c r="B113" s="327"/>
      <c r="C113" s="327"/>
      <c r="D113" s="328"/>
      <c r="E113" s="329">
        <f>SUM(E87:E112)</f>
        <v>0</v>
      </c>
      <c r="F113" s="329">
        <f t="shared" ref="F113:L113" si="63">SUM(F87:F112)</f>
        <v>0</v>
      </c>
      <c r="G113" s="329">
        <f t="shared" si="63"/>
        <v>0</v>
      </c>
      <c r="H113" s="329">
        <f t="shared" si="63"/>
        <v>0</v>
      </c>
      <c r="I113" s="329">
        <f t="shared" si="63"/>
        <v>0</v>
      </c>
      <c r="J113" s="329">
        <f t="shared" si="63"/>
        <v>0</v>
      </c>
      <c r="K113" s="329">
        <f t="shared" si="63"/>
        <v>0</v>
      </c>
      <c r="L113" s="329">
        <f t="shared" si="63"/>
        <v>0</v>
      </c>
      <c r="M113" s="358">
        <f>SUM(M87:M112)</f>
        <v>0</v>
      </c>
      <c r="N113" s="358">
        <f t="shared" ref="N113:T113" si="64">SUM(N87:N112)</f>
        <v>0</v>
      </c>
      <c r="O113" s="358">
        <f t="shared" si="64"/>
        <v>0</v>
      </c>
      <c r="P113" s="358">
        <f t="shared" si="64"/>
        <v>0</v>
      </c>
      <c r="Q113" s="358">
        <f t="shared" si="64"/>
        <v>0</v>
      </c>
      <c r="R113" s="358">
        <f t="shared" si="64"/>
        <v>0</v>
      </c>
      <c r="S113" s="358">
        <f t="shared" si="64"/>
        <v>0</v>
      </c>
      <c r="T113" s="358">
        <f t="shared" si="64"/>
        <v>0</v>
      </c>
      <c r="U113" s="357"/>
      <c r="V113" s="358">
        <f>SUM(V87:V112)</f>
        <v>0</v>
      </c>
      <c r="W113" s="358">
        <f t="shared" ref="W113:AC113" si="65">SUM(W87:W112)</f>
        <v>0</v>
      </c>
      <c r="X113" s="358">
        <f t="shared" si="65"/>
        <v>0</v>
      </c>
      <c r="Y113" s="358">
        <f t="shared" si="65"/>
        <v>0</v>
      </c>
      <c r="Z113" s="358">
        <f t="shared" si="65"/>
        <v>0</v>
      </c>
      <c r="AA113" s="358">
        <f t="shared" si="65"/>
        <v>0</v>
      </c>
      <c r="AB113" s="358">
        <f t="shared" si="65"/>
        <v>0</v>
      </c>
      <c r="AC113" s="358">
        <f t="shared" si="65"/>
        <v>0</v>
      </c>
      <c r="AD113" s="357"/>
      <c r="AE113" s="382">
        <f>SUM(AE87:AE112)</f>
        <v>0</v>
      </c>
      <c r="AF113" s="382">
        <f t="shared" ref="AF113:AJ113" si="66">SUM(AF87:AF112)</f>
        <v>0</v>
      </c>
      <c r="AG113" s="382">
        <f t="shared" si="66"/>
        <v>0</v>
      </c>
      <c r="AH113" s="382">
        <f t="shared" si="66"/>
        <v>0</v>
      </c>
      <c r="AI113" s="382">
        <f t="shared" si="66"/>
        <v>0</v>
      </c>
      <c r="AJ113" s="418">
        <f t="shared" si="66"/>
        <v>0</v>
      </c>
      <c r="AK113" s="399">
        <f>'BIG CHAIR'!CL111</f>
        <v>0</v>
      </c>
      <c r="AL113" s="400">
        <f>'Tea Table'!X201</f>
        <v>577.41666666666663</v>
      </c>
      <c r="AM113" s="401">
        <f>AH113+AK113+AL113</f>
        <v>577.41666666666663</v>
      </c>
    </row>
    <row r="114" spans="1:39" ht="24" thickBot="1">
      <c r="A114" s="721" t="s">
        <v>130</v>
      </c>
      <c r="B114" s="722" t="s">
        <v>68</v>
      </c>
      <c r="C114" s="287" t="s">
        <v>69</v>
      </c>
      <c r="D114" s="288" t="s">
        <v>70</v>
      </c>
      <c r="E114" s="88" t="s">
        <v>358</v>
      </c>
      <c r="F114" s="744" t="s">
        <v>364</v>
      </c>
      <c r="G114" s="30" t="s">
        <v>359</v>
      </c>
      <c r="H114" s="744" t="s">
        <v>365</v>
      </c>
      <c r="I114" s="744" t="s">
        <v>360</v>
      </c>
      <c r="J114" s="751" t="s">
        <v>366</v>
      </c>
      <c r="K114" s="783" t="s">
        <v>361</v>
      </c>
      <c r="L114" s="79" t="s">
        <v>367</v>
      </c>
      <c r="M114" s="80" t="s">
        <v>71</v>
      </c>
      <c r="N114" s="49" t="s">
        <v>482</v>
      </c>
      <c r="O114" s="49" t="s">
        <v>118</v>
      </c>
      <c r="P114" s="49" t="s">
        <v>97</v>
      </c>
      <c r="Q114" s="49" t="s">
        <v>75</v>
      </c>
      <c r="R114" s="49" t="s">
        <v>53</v>
      </c>
      <c r="S114" s="126" t="s">
        <v>77</v>
      </c>
      <c r="T114" s="171" t="s">
        <v>94</v>
      </c>
      <c r="U114" s="79"/>
      <c r="V114" s="80" t="s">
        <v>86</v>
      </c>
      <c r="W114" s="714" t="s">
        <v>368</v>
      </c>
      <c r="X114" s="49" t="s">
        <v>85</v>
      </c>
      <c r="Y114" s="103" t="s">
        <v>101</v>
      </c>
      <c r="Z114" s="104" t="s">
        <v>90</v>
      </c>
      <c r="AA114" s="716" t="s">
        <v>390</v>
      </c>
      <c r="AB114" s="121" t="s">
        <v>208</v>
      </c>
      <c r="AC114" s="717" t="s">
        <v>92</v>
      </c>
      <c r="AD114" s="370"/>
      <c r="AE114" s="371" t="s">
        <v>172</v>
      </c>
      <c r="AF114" s="372" t="s">
        <v>80</v>
      </c>
      <c r="AG114" s="385"/>
      <c r="AH114" s="386" t="s">
        <v>106</v>
      </c>
      <c r="AI114" s="385" t="s">
        <v>173</v>
      </c>
      <c r="AJ114" s="371" t="s">
        <v>108</v>
      </c>
      <c r="AK114" s="282"/>
      <c r="AL114" s="282"/>
      <c r="AM114" s="282"/>
    </row>
    <row r="115" spans="1:39" ht="20.25">
      <c r="A115" s="792" t="s">
        <v>131</v>
      </c>
      <c r="B115" s="826" t="s">
        <v>472</v>
      </c>
      <c r="C115" s="311"/>
      <c r="D115" s="806"/>
      <c r="E115" s="313"/>
      <c r="F115" s="314"/>
      <c r="G115" s="314"/>
      <c r="H115" s="314"/>
      <c r="I115" s="315"/>
      <c r="J115" s="315"/>
      <c r="K115" s="314"/>
      <c r="L115" s="349"/>
      <c r="M115" s="350"/>
      <c r="N115" s="315"/>
      <c r="O115" s="315"/>
      <c r="P115" s="315"/>
      <c r="Q115" s="315"/>
      <c r="R115" s="315"/>
      <c r="S115" s="315"/>
      <c r="T115" s="477"/>
      <c r="U115" s="349"/>
      <c r="V115" s="350"/>
      <c r="W115" s="315"/>
      <c r="X115" s="315"/>
      <c r="Y115" s="315"/>
      <c r="Z115" s="315"/>
      <c r="AA115" s="315"/>
      <c r="AB115" s="315"/>
      <c r="AC115" s="378"/>
      <c r="AD115" s="349"/>
      <c r="AE115" s="379">
        <f t="shared" ref="AE115:AE130" si="67">SUM(E115:AC115)</f>
        <v>0</v>
      </c>
      <c r="AF115" s="379"/>
      <c r="AG115" s="404"/>
      <c r="AH115" s="405">
        <f t="shared" ref="AH115:AH140" si="68">AE115+AF115</f>
        <v>0</v>
      </c>
      <c r="AI115" s="406"/>
      <c r="AJ115" s="407">
        <f>AH115+AI115</f>
        <v>0</v>
      </c>
      <c r="AK115" s="234"/>
      <c r="AL115" s="234"/>
      <c r="AM115" s="234"/>
    </row>
    <row r="116" spans="1:39" ht="20.25">
      <c r="A116" s="792" t="s">
        <v>131</v>
      </c>
      <c r="B116" s="822"/>
      <c r="C116" s="295"/>
      <c r="D116" s="807"/>
      <c r="E116" s="319"/>
      <c r="F116" s="320"/>
      <c r="G116" s="320"/>
      <c r="H116" s="320"/>
      <c r="I116" s="321"/>
      <c r="J116" s="321"/>
      <c r="K116" s="320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si="67"/>
        <v>0</v>
      </c>
      <c r="AF116" s="381"/>
      <c r="AG116" s="408"/>
      <c r="AH116" s="409">
        <f t="shared" si="68"/>
        <v>0</v>
      </c>
      <c r="AI116" s="410"/>
      <c r="AJ116" s="411">
        <f>AH116+AI116</f>
        <v>0</v>
      </c>
      <c r="AK116" s="234"/>
      <c r="AL116" s="234"/>
      <c r="AM116" s="234"/>
    </row>
    <row r="117" spans="1:39" ht="20.25">
      <c r="A117" s="792" t="s">
        <v>131</v>
      </c>
      <c r="B117" s="824"/>
      <c r="C117" s="317"/>
      <c r="D117" s="807"/>
      <c r="E117" s="319"/>
      <c r="F117" s="320"/>
      <c r="G117" s="320"/>
      <c r="H117" s="320"/>
      <c r="I117" s="321"/>
      <c r="J117" s="234"/>
      <c r="K117" s="234"/>
      <c r="L117" s="352"/>
      <c r="M117" s="353"/>
      <c r="N117" s="320"/>
      <c r="O117" s="320"/>
      <c r="P117" s="321"/>
      <c r="Q117" s="321"/>
      <c r="R117" s="321"/>
      <c r="S117" s="320"/>
      <c r="T117" s="351"/>
      <c r="U117" s="352"/>
      <c r="V117" s="353"/>
      <c r="W117" s="321"/>
      <c r="X117" s="321"/>
      <c r="Y117" s="321"/>
      <c r="Z117" s="321"/>
      <c r="AA117" s="321"/>
      <c r="AB117" s="321"/>
      <c r="AC117" s="380"/>
      <c r="AD117" s="352"/>
      <c r="AE117" s="381">
        <f t="shared" si="67"/>
        <v>0</v>
      </c>
      <c r="AF117" s="381"/>
      <c r="AG117" s="408"/>
      <c r="AH117" s="409">
        <f t="shared" si="68"/>
        <v>0</v>
      </c>
      <c r="AI117" s="410"/>
      <c r="AJ117" s="411">
        <f>AH117+AI117</f>
        <v>0</v>
      </c>
      <c r="AK117" s="234"/>
      <c r="AL117" s="234"/>
      <c r="AM117" s="234"/>
    </row>
    <row r="118" spans="1:39" ht="20.25">
      <c r="A118" s="792" t="s">
        <v>131</v>
      </c>
      <c r="B118" s="822"/>
      <c r="C118" s="295"/>
      <c r="D118" s="807"/>
      <c r="E118" s="319"/>
      <c r="F118" s="320"/>
      <c r="G118" s="320"/>
      <c r="H118" s="320"/>
      <c r="I118" s="321"/>
      <c r="J118" s="321"/>
      <c r="K118" s="320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si="67"/>
        <v>0</v>
      </c>
      <c r="AF118" s="381"/>
      <c r="AG118" s="408"/>
      <c r="AH118" s="409">
        <f t="shared" si="68"/>
        <v>0</v>
      </c>
      <c r="AI118" s="410"/>
      <c r="AJ118" s="411">
        <f>AH118+AI118</f>
        <v>0</v>
      </c>
      <c r="AK118" s="234"/>
      <c r="AL118" s="234"/>
      <c r="AM118" s="234"/>
    </row>
    <row r="119" spans="1:39" ht="20.25">
      <c r="A119" s="792" t="s">
        <v>131</v>
      </c>
      <c r="B119" s="710"/>
      <c r="C119" s="295"/>
      <c r="D119" s="807"/>
      <c r="E119" s="319"/>
      <c r="F119" s="320"/>
      <c r="G119" s="320"/>
      <c r="H119" s="320"/>
      <c r="I119" s="321"/>
      <c r="J119" s="321"/>
      <c r="K119" s="320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67"/>
        <v>0</v>
      </c>
      <c r="AF119" s="381"/>
      <c r="AG119" s="408"/>
      <c r="AH119" s="409">
        <f t="shared" si="68"/>
        <v>0</v>
      </c>
      <c r="AI119" s="410"/>
      <c r="AJ119" s="411">
        <f t="shared" ref="AJ119:AJ140" si="69">AH119+AI119</f>
        <v>0</v>
      </c>
      <c r="AK119" s="234"/>
      <c r="AL119" s="234"/>
      <c r="AM119" s="234"/>
    </row>
    <row r="120" spans="1:39" ht="20.25">
      <c r="A120" s="792" t="s">
        <v>131</v>
      </c>
      <c r="B120" s="710"/>
      <c r="C120" s="295"/>
      <c r="D120" s="807"/>
      <c r="E120" s="319"/>
      <c r="F120" s="320"/>
      <c r="G120" s="320"/>
      <c r="H120" s="321"/>
      <c r="I120" s="234"/>
      <c r="J120" s="321"/>
      <c r="K120" s="320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67"/>
        <v>0</v>
      </c>
      <c r="AF120" s="381"/>
      <c r="AG120" s="408"/>
      <c r="AH120" s="409">
        <f t="shared" si="68"/>
        <v>0</v>
      </c>
      <c r="AI120" s="410"/>
      <c r="AJ120" s="411">
        <f t="shared" si="69"/>
        <v>0</v>
      </c>
      <c r="AK120" s="234"/>
      <c r="AL120" s="234"/>
      <c r="AM120" s="234"/>
    </row>
    <row r="121" spans="1:39" ht="21" thickBot="1">
      <c r="A121" s="792" t="s">
        <v>131</v>
      </c>
      <c r="B121" s="822"/>
      <c r="C121" s="295"/>
      <c r="D121" s="807"/>
      <c r="E121" s="319"/>
      <c r="F121" s="320"/>
      <c r="G121" s="320"/>
      <c r="H121" s="320"/>
      <c r="I121" s="321"/>
      <c r="J121" s="321"/>
      <c r="K121" s="741"/>
      <c r="L121" s="352"/>
      <c r="M121" s="353"/>
      <c r="N121" s="321"/>
      <c r="O121" s="321"/>
      <c r="P121" s="321"/>
      <c r="Q121" s="321"/>
      <c r="R121" s="321"/>
      <c r="S121" s="321"/>
      <c r="T121" s="832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si="67"/>
        <v>0</v>
      </c>
      <c r="AF121" s="381"/>
      <c r="AG121" s="408"/>
      <c r="AH121" s="409">
        <f t="shared" si="68"/>
        <v>0</v>
      </c>
      <c r="AI121" s="410"/>
      <c r="AJ121" s="411">
        <f t="shared" si="69"/>
        <v>0</v>
      </c>
      <c r="AK121" s="234"/>
      <c r="AL121" s="234"/>
      <c r="AM121" s="234"/>
    </row>
    <row r="122" spans="1:39" ht="21" thickBot="1">
      <c r="A122" s="792" t="s">
        <v>131</v>
      </c>
      <c r="B122" s="710"/>
      <c r="C122" s="295"/>
      <c r="D122" s="291"/>
      <c r="E122" s="319"/>
      <c r="F122" s="320"/>
      <c r="G122" s="320"/>
      <c r="H122" s="320"/>
      <c r="I122" s="321"/>
      <c r="J122" s="321"/>
      <c r="K122" s="320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67"/>
        <v>0</v>
      </c>
      <c r="AF122" s="381"/>
      <c r="AG122" s="408"/>
      <c r="AH122" s="409">
        <f t="shared" si="68"/>
        <v>0</v>
      </c>
      <c r="AI122" s="410"/>
      <c r="AJ122" s="411">
        <f t="shared" si="69"/>
        <v>0</v>
      </c>
      <c r="AK122" s="234"/>
      <c r="AL122" s="234"/>
      <c r="AM122" s="234"/>
    </row>
    <row r="123" spans="1:39" ht="20.25">
      <c r="A123" s="792" t="s">
        <v>131</v>
      </c>
      <c r="B123" s="822"/>
      <c r="C123" s="295"/>
      <c r="D123" s="807"/>
      <c r="E123" s="319"/>
      <c r="F123" s="320"/>
      <c r="G123" s="320"/>
      <c r="H123" s="320"/>
      <c r="I123" s="321"/>
      <c r="J123" s="321"/>
      <c r="K123" s="741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67"/>
        <v>0</v>
      </c>
      <c r="AF123" s="381"/>
      <c r="AG123" s="408"/>
      <c r="AH123" s="409">
        <f t="shared" si="68"/>
        <v>0</v>
      </c>
      <c r="AI123" s="410"/>
      <c r="AJ123" s="411">
        <f t="shared" si="69"/>
        <v>0</v>
      </c>
      <c r="AK123" s="234"/>
      <c r="AL123" s="234"/>
      <c r="AM123" s="234"/>
    </row>
    <row r="124" spans="1:39" ht="20.25">
      <c r="A124" s="792" t="s">
        <v>131</v>
      </c>
      <c r="B124" s="822"/>
      <c r="C124" s="295"/>
      <c r="D124" s="807"/>
      <c r="E124" s="319"/>
      <c r="F124" s="320"/>
      <c r="G124" s="320"/>
      <c r="H124" s="320"/>
      <c r="I124" s="321"/>
      <c r="J124" s="321"/>
      <c r="K124" s="741"/>
      <c r="L124" s="352"/>
      <c r="M124" s="353"/>
      <c r="N124" s="321"/>
      <c r="O124" s="321"/>
      <c r="P124" s="321"/>
      <c r="Q124" s="321"/>
      <c r="R124" s="582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67"/>
        <v>0</v>
      </c>
      <c r="AF124" s="381"/>
      <c r="AG124" s="408"/>
      <c r="AH124" s="409">
        <f t="shared" si="68"/>
        <v>0</v>
      </c>
      <c r="AI124" s="410"/>
      <c r="AJ124" s="411">
        <f t="shared" si="69"/>
        <v>0</v>
      </c>
      <c r="AK124" s="234"/>
      <c r="AL124" s="234"/>
      <c r="AM124" s="234"/>
    </row>
    <row r="125" spans="1:39" ht="20.25">
      <c r="A125" s="792" t="s">
        <v>131</v>
      </c>
      <c r="B125" s="822"/>
      <c r="C125" s="295"/>
      <c r="D125" s="807"/>
      <c r="E125" s="829"/>
      <c r="F125" s="741"/>
      <c r="G125" s="741"/>
      <c r="H125" s="741"/>
      <c r="I125" s="582"/>
      <c r="J125" s="582"/>
      <c r="K125" s="741"/>
      <c r="L125" s="830"/>
      <c r="M125" s="831"/>
      <c r="N125" s="582"/>
      <c r="O125" s="582"/>
      <c r="P125" s="582"/>
      <c r="Q125" s="582"/>
      <c r="R125" s="582"/>
      <c r="S125" s="582"/>
      <c r="T125" s="832"/>
      <c r="U125" s="830"/>
      <c r="V125" s="829"/>
      <c r="W125" s="741"/>
      <c r="X125" s="741"/>
      <c r="Y125" s="582"/>
      <c r="Z125" s="582"/>
      <c r="AA125" s="582"/>
      <c r="AB125" s="741"/>
      <c r="AC125" s="833"/>
      <c r="AD125" s="352"/>
      <c r="AE125" s="381">
        <f t="shared" si="67"/>
        <v>0</v>
      </c>
      <c r="AF125" s="381"/>
      <c r="AG125" s="408"/>
      <c r="AH125" s="409">
        <f t="shared" si="68"/>
        <v>0</v>
      </c>
      <c r="AI125" s="410"/>
      <c r="AJ125" s="411">
        <f t="shared" si="69"/>
        <v>0</v>
      </c>
      <c r="AK125" s="234"/>
      <c r="AL125" s="234"/>
      <c r="AM125" s="234"/>
    </row>
    <row r="126" spans="1:39" ht="20.25">
      <c r="A126" s="792" t="s">
        <v>131</v>
      </c>
      <c r="B126" s="822"/>
      <c r="C126" s="295"/>
      <c r="D126" s="807"/>
      <c r="E126" s="829"/>
      <c r="F126" s="741"/>
      <c r="G126" s="741"/>
      <c r="H126" s="741"/>
      <c r="I126" s="582"/>
      <c r="J126" s="582"/>
      <c r="K126" s="741"/>
      <c r="L126" s="830"/>
      <c r="M126" s="831"/>
      <c r="N126" s="582"/>
      <c r="O126" s="582"/>
      <c r="P126" s="582"/>
      <c r="Q126" s="582"/>
      <c r="R126" s="582"/>
      <c r="S126" s="582"/>
      <c r="T126" s="832"/>
      <c r="U126" s="830"/>
      <c r="V126" s="829"/>
      <c r="W126" s="741"/>
      <c r="X126" s="741"/>
      <c r="Y126" s="582"/>
      <c r="Z126" s="582"/>
      <c r="AA126" s="582"/>
      <c r="AB126" s="741"/>
      <c r="AC126" s="833"/>
      <c r="AD126" s="352"/>
      <c r="AE126" s="381">
        <f t="shared" si="67"/>
        <v>0</v>
      </c>
      <c r="AF126" s="381"/>
      <c r="AG126" s="408"/>
      <c r="AH126" s="409">
        <f t="shared" si="68"/>
        <v>0</v>
      </c>
      <c r="AI126" s="410"/>
      <c r="AJ126" s="411">
        <f t="shared" si="69"/>
        <v>0</v>
      </c>
      <c r="AK126" s="234"/>
      <c r="AL126" s="234"/>
      <c r="AM126" s="234"/>
    </row>
    <row r="127" spans="1:39" ht="21" thickBot="1">
      <c r="A127" s="792" t="s">
        <v>131</v>
      </c>
      <c r="B127" s="822"/>
      <c r="C127" s="295"/>
      <c r="D127" s="807"/>
      <c r="E127" s="829"/>
      <c r="F127" s="741"/>
      <c r="G127" s="741"/>
      <c r="H127" s="741"/>
      <c r="I127" s="582"/>
      <c r="J127" s="582"/>
      <c r="K127" s="741"/>
      <c r="L127" s="830"/>
      <c r="M127" s="831"/>
      <c r="N127" s="582"/>
      <c r="O127" s="582"/>
      <c r="P127" s="582"/>
      <c r="Q127" s="582"/>
      <c r="R127" s="582"/>
      <c r="S127" s="582"/>
      <c r="T127" s="832"/>
      <c r="U127" s="830"/>
      <c r="V127" s="829"/>
      <c r="W127" s="741"/>
      <c r="X127" s="741"/>
      <c r="Y127" s="582"/>
      <c r="Z127" s="582"/>
      <c r="AA127" s="582"/>
      <c r="AB127" s="741"/>
      <c r="AC127" s="833"/>
      <c r="AD127" s="352"/>
      <c r="AE127" s="381">
        <f t="shared" si="67"/>
        <v>0</v>
      </c>
      <c r="AF127" s="381"/>
      <c r="AG127" s="408"/>
      <c r="AH127" s="409">
        <f t="shared" si="68"/>
        <v>0</v>
      </c>
      <c r="AI127" s="410"/>
      <c r="AJ127" s="411">
        <f t="shared" si="69"/>
        <v>0</v>
      </c>
      <c r="AK127" s="234"/>
      <c r="AL127" s="234"/>
      <c r="AM127" s="234"/>
    </row>
    <row r="128" spans="1:39" ht="21" thickBot="1">
      <c r="A128" s="792" t="s">
        <v>131</v>
      </c>
      <c r="B128" s="822"/>
      <c r="C128" s="295"/>
      <c r="D128" s="807"/>
      <c r="E128" s="829"/>
      <c r="F128" s="741"/>
      <c r="G128" s="741"/>
      <c r="H128" s="741"/>
      <c r="I128" s="582"/>
      <c r="J128" s="582"/>
      <c r="K128" s="741"/>
      <c r="L128" s="830"/>
      <c r="M128" s="831"/>
      <c r="N128" s="582"/>
      <c r="O128" s="582"/>
      <c r="P128" s="582"/>
      <c r="Q128" s="582"/>
      <c r="R128" s="582"/>
      <c r="S128" s="582"/>
      <c r="T128" s="832"/>
      <c r="U128" s="830"/>
      <c r="V128" s="829"/>
      <c r="W128" s="741"/>
      <c r="X128" s="741"/>
      <c r="Y128" s="582"/>
      <c r="Z128" s="582"/>
      <c r="AA128" s="582"/>
      <c r="AB128" s="741"/>
      <c r="AC128" s="833"/>
      <c r="AD128" s="355"/>
      <c r="AE128" s="376">
        <f t="shared" si="67"/>
        <v>0</v>
      </c>
      <c r="AF128" s="381"/>
      <c r="AG128" s="390"/>
      <c r="AH128" s="391">
        <f t="shared" si="68"/>
        <v>0</v>
      </c>
      <c r="AI128" s="410"/>
      <c r="AJ128" s="413">
        <f t="shared" si="69"/>
        <v>0</v>
      </c>
      <c r="AK128" s="414" t="s">
        <v>8</v>
      </c>
      <c r="AL128" s="397" t="s">
        <v>23</v>
      </c>
      <c r="AM128" s="415" t="s">
        <v>174</v>
      </c>
    </row>
    <row r="129" spans="1:39" ht="21" thickBot="1">
      <c r="A129" s="792" t="s">
        <v>131</v>
      </c>
      <c r="B129" s="827"/>
      <c r="C129" s="323"/>
      <c r="D129" s="291"/>
      <c r="E129" s="325"/>
      <c r="F129" s="297"/>
      <c r="G129" s="297"/>
      <c r="H129" s="297"/>
      <c r="I129" s="298"/>
      <c r="J129" s="298"/>
      <c r="K129" s="297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si="67"/>
        <v>0</v>
      </c>
      <c r="AF129" s="1194"/>
      <c r="AG129" s="390"/>
      <c r="AH129" s="391">
        <f t="shared" si="68"/>
        <v>0</v>
      </c>
      <c r="AI129" s="412"/>
      <c r="AJ129" s="413">
        <f t="shared" si="69"/>
        <v>0</v>
      </c>
      <c r="AK129" s="414" t="s">
        <v>8</v>
      </c>
      <c r="AL129" s="397" t="s">
        <v>23</v>
      </c>
      <c r="AM129" s="415" t="s">
        <v>174</v>
      </c>
    </row>
    <row r="130" spans="1:39" ht="21" thickBot="1">
      <c r="A130" s="792" t="s">
        <v>131</v>
      </c>
      <c r="B130" s="827"/>
      <c r="C130" s="323"/>
      <c r="D130" s="291"/>
      <c r="E130" s="325"/>
      <c r="F130" s="297"/>
      <c r="G130" s="297"/>
      <c r="H130" s="297"/>
      <c r="I130" s="298"/>
      <c r="J130" s="298"/>
      <c r="K130" s="297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67"/>
        <v>0</v>
      </c>
      <c r="AF130" s="377"/>
      <c r="AG130" s="390"/>
      <c r="AH130" s="391">
        <f t="shared" si="68"/>
        <v>0</v>
      </c>
      <c r="AI130" s="412"/>
      <c r="AJ130" s="413">
        <f t="shared" si="69"/>
        <v>0</v>
      </c>
      <c r="AK130" s="414" t="s">
        <v>8</v>
      </c>
      <c r="AL130" s="397" t="s">
        <v>23</v>
      </c>
      <c r="AM130" s="415" t="s">
        <v>174</v>
      </c>
    </row>
    <row r="131" spans="1:39" ht="21" thickBot="1">
      <c r="A131" s="792" t="s">
        <v>131</v>
      </c>
      <c r="B131" s="827"/>
      <c r="C131" s="323"/>
      <c r="D131" s="291"/>
      <c r="E131" s="325"/>
      <c r="F131" s="297"/>
      <c r="G131" s="297"/>
      <c r="H131" s="297"/>
      <c r="I131" s="298"/>
      <c r="J131" s="298"/>
      <c r="K131" s="297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ref="AE131:AE140" si="70">SUM(E131:AC131)</f>
        <v>0</v>
      </c>
      <c r="AF131" s="377"/>
      <c r="AG131" s="390"/>
      <c r="AH131" s="391">
        <f t="shared" si="68"/>
        <v>0</v>
      </c>
      <c r="AI131" s="412"/>
      <c r="AJ131" s="413">
        <f t="shared" si="69"/>
        <v>0</v>
      </c>
      <c r="AK131" s="414" t="s">
        <v>8</v>
      </c>
      <c r="AL131" s="397" t="s">
        <v>23</v>
      </c>
      <c r="AM131" s="415" t="s">
        <v>174</v>
      </c>
    </row>
    <row r="132" spans="1:39" ht="21" thickBot="1">
      <c r="A132" s="792" t="s">
        <v>131</v>
      </c>
      <c r="B132" s="827"/>
      <c r="C132" s="323"/>
      <c r="D132" s="291"/>
      <c r="E132" s="325"/>
      <c r="F132" s="297"/>
      <c r="G132" s="297"/>
      <c r="H132" s="297"/>
      <c r="I132" s="298"/>
      <c r="J132" s="298"/>
      <c r="K132" s="297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70"/>
        <v>0</v>
      </c>
      <c r="AF132" s="377"/>
      <c r="AG132" s="390"/>
      <c r="AH132" s="391">
        <f t="shared" si="68"/>
        <v>0</v>
      </c>
      <c r="AI132" s="412"/>
      <c r="AJ132" s="413">
        <f t="shared" si="69"/>
        <v>0</v>
      </c>
      <c r="AK132" s="414" t="s">
        <v>8</v>
      </c>
      <c r="AL132" s="397" t="s">
        <v>23</v>
      </c>
      <c r="AM132" s="415" t="s">
        <v>174</v>
      </c>
    </row>
    <row r="133" spans="1:39" ht="21" thickBot="1">
      <c r="A133" s="792" t="s">
        <v>131</v>
      </c>
      <c r="B133" s="827"/>
      <c r="C133" s="323"/>
      <c r="D133" s="291"/>
      <c r="E133" s="325"/>
      <c r="F133" s="297"/>
      <c r="G133" s="297"/>
      <c r="H133" s="297"/>
      <c r="I133" s="298"/>
      <c r="J133" s="298"/>
      <c r="K133" s="297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70"/>
        <v>0</v>
      </c>
      <c r="AF133" s="377"/>
      <c r="AG133" s="390"/>
      <c r="AH133" s="391">
        <f t="shared" si="68"/>
        <v>0</v>
      </c>
      <c r="AI133" s="412"/>
      <c r="AJ133" s="413">
        <f t="shared" si="69"/>
        <v>0</v>
      </c>
      <c r="AK133" s="414" t="s">
        <v>8</v>
      </c>
      <c r="AL133" s="397" t="s">
        <v>23</v>
      </c>
      <c r="AM133" s="415" t="s">
        <v>174</v>
      </c>
    </row>
    <row r="134" spans="1:39" ht="21" thickBot="1">
      <c r="A134" s="792" t="s">
        <v>131</v>
      </c>
      <c r="B134" s="827"/>
      <c r="C134" s="323"/>
      <c r="D134" s="291"/>
      <c r="E134" s="325"/>
      <c r="F134" s="297"/>
      <c r="G134" s="297"/>
      <c r="H134" s="297"/>
      <c r="I134" s="298"/>
      <c r="J134" s="298"/>
      <c r="K134" s="29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70"/>
        <v>0</v>
      </c>
      <c r="AF134" s="377"/>
      <c r="AG134" s="390"/>
      <c r="AH134" s="391">
        <f t="shared" si="68"/>
        <v>0</v>
      </c>
      <c r="AI134" s="412"/>
      <c r="AJ134" s="413">
        <f t="shared" si="69"/>
        <v>0</v>
      </c>
      <c r="AK134" s="414" t="s">
        <v>8</v>
      </c>
      <c r="AL134" s="397" t="s">
        <v>23</v>
      </c>
      <c r="AM134" s="415" t="s">
        <v>174</v>
      </c>
    </row>
    <row r="135" spans="1:39" ht="21" thickBot="1">
      <c r="A135" s="792" t="s">
        <v>131</v>
      </c>
      <c r="B135" s="827"/>
      <c r="C135" s="323"/>
      <c r="D135" s="291"/>
      <c r="E135" s="325"/>
      <c r="F135" s="297"/>
      <c r="G135" s="297"/>
      <c r="H135" s="297"/>
      <c r="I135" s="298"/>
      <c r="J135" s="298"/>
      <c r="K135" s="297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70"/>
        <v>0</v>
      </c>
      <c r="AF135" s="377"/>
      <c r="AG135" s="390"/>
      <c r="AH135" s="391">
        <f t="shared" si="68"/>
        <v>0</v>
      </c>
      <c r="AI135" s="412"/>
      <c r="AJ135" s="413">
        <f t="shared" si="69"/>
        <v>0</v>
      </c>
      <c r="AK135" s="414" t="s">
        <v>8</v>
      </c>
      <c r="AL135" s="397" t="s">
        <v>23</v>
      </c>
      <c r="AM135" s="415" t="s">
        <v>174</v>
      </c>
    </row>
    <row r="136" spans="1:39" ht="21" thickBot="1">
      <c r="A136" s="792" t="s">
        <v>131</v>
      </c>
      <c r="B136" s="827"/>
      <c r="C136" s="323"/>
      <c r="D136" s="291"/>
      <c r="E136" s="325"/>
      <c r="F136" s="297"/>
      <c r="G136" s="297"/>
      <c r="H136" s="297"/>
      <c r="I136" s="298"/>
      <c r="J136" s="298"/>
      <c r="K136" s="297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6">
        <f t="shared" si="70"/>
        <v>0</v>
      </c>
      <c r="AF136" s="377"/>
      <c r="AG136" s="390"/>
      <c r="AH136" s="391">
        <f t="shared" si="68"/>
        <v>0</v>
      </c>
      <c r="AI136" s="412"/>
      <c r="AJ136" s="413">
        <f t="shared" si="69"/>
        <v>0</v>
      </c>
      <c r="AK136" s="414" t="s">
        <v>8</v>
      </c>
      <c r="AL136" s="397" t="s">
        <v>23</v>
      </c>
      <c r="AM136" s="415" t="s">
        <v>174</v>
      </c>
    </row>
    <row r="137" spans="1:39" ht="21" thickBot="1">
      <c r="A137" s="792" t="s">
        <v>131</v>
      </c>
      <c r="B137" s="827"/>
      <c r="C137" s="323"/>
      <c r="D137" s="291"/>
      <c r="E137" s="325"/>
      <c r="F137" s="297"/>
      <c r="G137" s="297"/>
      <c r="H137" s="297"/>
      <c r="I137" s="298"/>
      <c r="J137" s="298"/>
      <c r="K137" s="297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6">
        <f t="shared" si="70"/>
        <v>0</v>
      </c>
      <c r="AF137" s="377"/>
      <c r="AG137" s="390"/>
      <c r="AH137" s="391">
        <f t="shared" si="68"/>
        <v>0</v>
      </c>
      <c r="AI137" s="412"/>
      <c r="AJ137" s="413">
        <f t="shared" si="69"/>
        <v>0</v>
      </c>
      <c r="AK137" s="414" t="s">
        <v>8</v>
      </c>
      <c r="AL137" s="397" t="s">
        <v>23</v>
      </c>
      <c r="AM137" s="415" t="s">
        <v>174</v>
      </c>
    </row>
    <row r="138" spans="1:39" ht="21" thickBot="1">
      <c r="A138" s="792" t="s">
        <v>131</v>
      </c>
      <c r="B138" s="827"/>
      <c r="C138" s="323"/>
      <c r="D138" s="291"/>
      <c r="E138" s="325"/>
      <c r="F138" s="297"/>
      <c r="G138" s="297"/>
      <c r="H138" s="297"/>
      <c r="I138" s="298"/>
      <c r="J138" s="298"/>
      <c r="K138" s="297"/>
      <c r="L138" s="355"/>
      <c r="M138" s="343"/>
      <c r="N138" s="298"/>
      <c r="O138" s="298"/>
      <c r="P138" s="298"/>
      <c r="Q138" s="298"/>
      <c r="R138" s="298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6">
        <f t="shared" si="70"/>
        <v>0</v>
      </c>
      <c r="AF138" s="377"/>
      <c r="AG138" s="390"/>
      <c r="AH138" s="391">
        <f t="shared" si="68"/>
        <v>0</v>
      </c>
      <c r="AI138" s="412"/>
      <c r="AJ138" s="413">
        <f t="shared" si="69"/>
        <v>0</v>
      </c>
      <c r="AK138" s="414" t="s">
        <v>8</v>
      </c>
      <c r="AL138" s="397" t="s">
        <v>23</v>
      </c>
      <c r="AM138" s="415" t="s">
        <v>174</v>
      </c>
    </row>
    <row r="139" spans="1:39" ht="21" thickBot="1">
      <c r="A139" s="792" t="s">
        <v>131</v>
      </c>
      <c r="B139" s="827"/>
      <c r="C139" s="323"/>
      <c r="D139" s="291"/>
      <c r="E139" s="325"/>
      <c r="F139" s="297"/>
      <c r="G139" s="297"/>
      <c r="H139" s="297"/>
      <c r="I139" s="298"/>
      <c r="J139" s="298"/>
      <c r="K139" s="297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6">
        <f t="shared" si="70"/>
        <v>0</v>
      </c>
      <c r="AF139" s="377"/>
      <c r="AG139" s="390"/>
      <c r="AH139" s="391">
        <f t="shared" si="68"/>
        <v>0</v>
      </c>
      <c r="AI139" s="412"/>
      <c r="AJ139" s="413">
        <f t="shared" si="69"/>
        <v>0</v>
      </c>
      <c r="AK139" s="414" t="s">
        <v>8</v>
      </c>
      <c r="AL139" s="397" t="s">
        <v>23</v>
      </c>
      <c r="AM139" s="415" t="s">
        <v>174</v>
      </c>
    </row>
    <row r="140" spans="1:39" ht="21" thickBot="1">
      <c r="A140" s="792" t="s">
        <v>131</v>
      </c>
      <c r="B140" s="827"/>
      <c r="C140" s="323"/>
      <c r="D140" s="291"/>
      <c r="E140" s="325"/>
      <c r="F140" s="297"/>
      <c r="G140" s="297"/>
      <c r="H140" s="297"/>
      <c r="I140" s="298"/>
      <c r="J140" s="298"/>
      <c r="K140" s="297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70"/>
        <v>0</v>
      </c>
      <c r="AF140" s="377"/>
      <c r="AG140" s="390"/>
      <c r="AH140" s="391">
        <f t="shared" si="68"/>
        <v>0</v>
      </c>
      <c r="AI140" s="412"/>
      <c r="AJ140" s="413">
        <f t="shared" si="69"/>
        <v>0</v>
      </c>
      <c r="AK140" s="414" t="s">
        <v>8</v>
      </c>
      <c r="AL140" s="397" t="s">
        <v>23</v>
      </c>
      <c r="AM140" s="415" t="s">
        <v>174</v>
      </c>
    </row>
    <row r="141" spans="1:39" ht="19.5" thickBot="1">
      <c r="A141" s="792" t="s">
        <v>131</v>
      </c>
      <c r="B141" s="327"/>
      <c r="C141" s="327"/>
      <c r="D141" s="328"/>
      <c r="E141" s="329">
        <f>SUM(E115:E140)</f>
        <v>0</v>
      </c>
      <c r="F141" s="329">
        <f t="shared" ref="F141:L141" si="71">SUM(F115:F140)</f>
        <v>0</v>
      </c>
      <c r="G141" s="329">
        <f t="shared" si="71"/>
        <v>0</v>
      </c>
      <c r="H141" s="329">
        <f t="shared" si="71"/>
        <v>0</v>
      </c>
      <c r="I141" s="329">
        <f t="shared" si="71"/>
        <v>0</v>
      </c>
      <c r="J141" s="329">
        <f t="shared" si="71"/>
        <v>0</v>
      </c>
      <c r="K141" s="329">
        <f t="shared" si="71"/>
        <v>0</v>
      </c>
      <c r="L141" s="329">
        <f t="shared" si="71"/>
        <v>0</v>
      </c>
      <c r="M141" s="358">
        <f>SUM(M115:M140)</f>
        <v>0</v>
      </c>
      <c r="N141" s="358">
        <f t="shared" ref="N141:T141" si="72">SUM(N115:N140)</f>
        <v>0</v>
      </c>
      <c r="O141" s="358">
        <f t="shared" si="72"/>
        <v>0</v>
      </c>
      <c r="P141" s="358">
        <f t="shared" si="72"/>
        <v>0</v>
      </c>
      <c r="Q141" s="358">
        <f t="shared" si="72"/>
        <v>0</v>
      </c>
      <c r="R141" s="358">
        <f t="shared" si="72"/>
        <v>0</v>
      </c>
      <c r="S141" s="358">
        <f t="shared" si="72"/>
        <v>0</v>
      </c>
      <c r="T141" s="358">
        <f t="shared" si="72"/>
        <v>0</v>
      </c>
      <c r="U141" s="357"/>
      <c r="V141" s="358">
        <f>SUM(V115:V140)</f>
        <v>0</v>
      </c>
      <c r="W141" s="358">
        <f t="shared" ref="W141:AC141" si="73">SUM(W115:W140)</f>
        <v>0</v>
      </c>
      <c r="X141" s="358">
        <f t="shared" si="73"/>
        <v>0</v>
      </c>
      <c r="Y141" s="358">
        <f t="shared" si="73"/>
        <v>0</v>
      </c>
      <c r="Z141" s="358">
        <f t="shared" si="73"/>
        <v>0</v>
      </c>
      <c r="AA141" s="358">
        <f t="shared" si="73"/>
        <v>0</v>
      </c>
      <c r="AB141" s="358">
        <f t="shared" si="73"/>
        <v>0</v>
      </c>
      <c r="AC141" s="358">
        <f t="shared" si="73"/>
        <v>0</v>
      </c>
      <c r="AD141" s="357"/>
      <c r="AE141" s="382">
        <f>SUM(AE115:AE140)</f>
        <v>0</v>
      </c>
      <c r="AF141" s="382">
        <f t="shared" ref="AF141:AJ141" si="74">SUM(AF115:AF140)</f>
        <v>0</v>
      </c>
      <c r="AG141" s="382">
        <f t="shared" si="74"/>
        <v>0</v>
      </c>
      <c r="AH141" s="382">
        <f t="shared" si="74"/>
        <v>0</v>
      </c>
      <c r="AI141" s="382">
        <f t="shared" si="74"/>
        <v>0</v>
      </c>
      <c r="AJ141" s="418">
        <f t="shared" si="74"/>
        <v>0</v>
      </c>
      <c r="AK141" s="399">
        <f>'BIG CHAIR'!CL139</f>
        <v>0</v>
      </c>
      <c r="AL141" s="400">
        <f>'Tea Table'!X233</f>
        <v>12</v>
      </c>
      <c r="AM141" s="401">
        <f>AH141+AK141+AL141</f>
        <v>12</v>
      </c>
    </row>
    <row r="142" spans="1:39" ht="24" thickBot="1">
      <c r="A142" s="721" t="s">
        <v>393</v>
      </c>
      <c r="B142" s="722" t="s">
        <v>68</v>
      </c>
      <c r="C142" s="287" t="s">
        <v>69</v>
      </c>
      <c r="D142" s="288" t="s">
        <v>70</v>
      </c>
      <c r="E142" s="88" t="s">
        <v>358</v>
      </c>
      <c r="F142" s="744" t="s">
        <v>364</v>
      </c>
      <c r="G142" s="30" t="s">
        <v>359</v>
      </c>
      <c r="H142" s="744" t="s">
        <v>365</v>
      </c>
      <c r="I142" s="744" t="s">
        <v>360</v>
      </c>
      <c r="J142" s="751" t="s">
        <v>366</v>
      </c>
      <c r="K142" s="783" t="s">
        <v>361</v>
      </c>
      <c r="L142" s="79" t="s">
        <v>367</v>
      </c>
      <c r="M142" s="80" t="s">
        <v>71</v>
      </c>
      <c r="N142" s="49" t="s">
        <v>482</v>
      </c>
      <c r="O142" s="49" t="s">
        <v>118</v>
      </c>
      <c r="P142" s="49" t="s">
        <v>97</v>
      </c>
      <c r="Q142" s="49" t="s">
        <v>75</v>
      </c>
      <c r="R142" s="49" t="s">
        <v>53</v>
      </c>
      <c r="S142" s="126" t="s">
        <v>77</v>
      </c>
      <c r="T142" s="171" t="s">
        <v>94</v>
      </c>
      <c r="U142" s="79"/>
      <c r="V142" s="80" t="s">
        <v>86</v>
      </c>
      <c r="W142" s="714" t="s">
        <v>368</v>
      </c>
      <c r="X142" s="49" t="s">
        <v>85</v>
      </c>
      <c r="Y142" s="103" t="s">
        <v>101</v>
      </c>
      <c r="Z142" s="104" t="s">
        <v>90</v>
      </c>
      <c r="AA142" s="716" t="s">
        <v>390</v>
      </c>
      <c r="AB142" s="121" t="s">
        <v>208</v>
      </c>
      <c r="AC142" s="717" t="s">
        <v>92</v>
      </c>
      <c r="AD142" s="370"/>
      <c r="AE142" s="371" t="s">
        <v>172</v>
      </c>
      <c r="AF142" s="372" t="s">
        <v>80</v>
      </c>
      <c r="AG142" s="385"/>
      <c r="AH142" s="386" t="s">
        <v>106</v>
      </c>
      <c r="AI142" s="385" t="s">
        <v>173</v>
      </c>
      <c r="AJ142" s="371" t="s">
        <v>108</v>
      </c>
      <c r="AK142" s="282"/>
      <c r="AL142" s="282"/>
      <c r="AM142" s="282"/>
    </row>
    <row r="143" spans="1:39" ht="20.25">
      <c r="A143" s="792" t="s">
        <v>392</v>
      </c>
      <c r="B143" s="826"/>
      <c r="C143" s="311"/>
      <c r="D143" s="806"/>
      <c r="E143" s="313"/>
      <c r="F143" s="314"/>
      <c r="G143" s="314"/>
      <c r="H143" s="314"/>
      <c r="I143" s="315"/>
      <c r="J143" s="315"/>
      <c r="K143" s="314"/>
      <c r="L143" s="349"/>
      <c r="M143" s="350"/>
      <c r="N143" s="315"/>
      <c r="O143" s="315"/>
      <c r="P143" s="315"/>
      <c r="Q143" s="315"/>
      <c r="R143" s="315"/>
      <c r="S143" s="315"/>
      <c r="T143" s="477"/>
      <c r="U143" s="349"/>
      <c r="V143" s="350"/>
      <c r="W143" s="315"/>
      <c r="X143" s="315"/>
      <c r="Y143" s="315"/>
      <c r="Z143" s="315"/>
      <c r="AA143" s="315"/>
      <c r="AB143" s="315"/>
      <c r="AC143" s="378"/>
      <c r="AD143" s="349"/>
      <c r="AE143" s="379">
        <f t="shared" ref="AE143:AE154" si="75">SUM(E143:AC143)</f>
        <v>0</v>
      </c>
      <c r="AF143" s="379"/>
      <c r="AG143" s="404"/>
      <c r="AH143" s="405">
        <f t="shared" ref="AH143:AH161" si="76">AE143+AF143</f>
        <v>0</v>
      </c>
      <c r="AI143" s="406"/>
      <c r="AJ143" s="407">
        <f>AH143+AI143</f>
        <v>0</v>
      </c>
      <c r="AK143" s="234"/>
      <c r="AL143" s="234"/>
      <c r="AM143" s="234"/>
    </row>
    <row r="144" spans="1:39" ht="20.25">
      <c r="A144" s="792" t="s">
        <v>392</v>
      </c>
      <c r="B144" s="822"/>
      <c r="C144" s="295"/>
      <c r="D144" s="807"/>
      <c r="E144" s="319"/>
      <c r="F144" s="320"/>
      <c r="G144" s="320"/>
      <c r="H144" s="320"/>
      <c r="I144" s="321"/>
      <c r="J144" s="321"/>
      <c r="K144" s="320"/>
      <c r="L144" s="352"/>
      <c r="M144" s="353"/>
      <c r="N144" s="321"/>
      <c r="O144" s="321"/>
      <c r="P144" s="321"/>
      <c r="Q144" s="321"/>
      <c r="R144" s="321"/>
      <c r="S144" s="321"/>
      <c r="T144" s="351"/>
      <c r="U144" s="352"/>
      <c r="V144" s="319"/>
      <c r="W144" s="320"/>
      <c r="X144" s="320"/>
      <c r="Y144" s="321"/>
      <c r="Z144" s="321"/>
      <c r="AA144" s="321"/>
      <c r="AB144" s="320"/>
      <c r="AC144" s="380"/>
      <c r="AD144" s="352"/>
      <c r="AE144" s="381">
        <f t="shared" ref="AE144" si="77">SUM(E144:AC144)</f>
        <v>0</v>
      </c>
      <c r="AF144" s="381"/>
      <c r="AG144" s="408"/>
      <c r="AH144" s="409">
        <f t="shared" ref="AH144" si="78">AE144+AF144</f>
        <v>0</v>
      </c>
      <c r="AI144" s="410"/>
      <c r="AJ144" s="411">
        <f>AH144+AI144</f>
        <v>0</v>
      </c>
      <c r="AK144" s="234"/>
      <c r="AL144" s="234"/>
      <c r="AM144" s="234"/>
    </row>
    <row r="145" spans="1:39" ht="20.25">
      <c r="A145" s="792" t="s">
        <v>392</v>
      </c>
      <c r="B145" s="824"/>
      <c r="C145" s="317"/>
      <c r="D145" s="807"/>
      <c r="E145" s="319"/>
      <c r="F145" s="320"/>
      <c r="G145" s="320"/>
      <c r="H145" s="320"/>
      <c r="I145" s="321"/>
      <c r="J145" s="234"/>
      <c r="K145" s="234"/>
      <c r="L145" s="352"/>
      <c r="M145" s="353"/>
      <c r="N145" s="320"/>
      <c r="O145" s="320"/>
      <c r="P145" s="321"/>
      <c r="Q145" s="321"/>
      <c r="R145" s="321"/>
      <c r="S145" s="320"/>
      <c r="T145" s="351"/>
      <c r="U145" s="352"/>
      <c r="V145" s="353"/>
      <c r="W145" s="321"/>
      <c r="X145" s="321"/>
      <c r="Y145" s="321"/>
      <c r="Z145" s="321"/>
      <c r="AA145" s="321"/>
      <c r="AB145" s="321"/>
      <c r="AC145" s="380"/>
      <c r="AD145" s="352"/>
      <c r="AE145" s="381">
        <f t="shared" si="75"/>
        <v>0</v>
      </c>
      <c r="AF145" s="381"/>
      <c r="AG145" s="408"/>
      <c r="AH145" s="409">
        <f t="shared" si="76"/>
        <v>0</v>
      </c>
      <c r="AI145" s="410"/>
      <c r="AJ145" s="411">
        <f>AH145+AI145</f>
        <v>0</v>
      </c>
      <c r="AK145" s="234"/>
      <c r="AL145" s="234"/>
      <c r="AM145" s="234"/>
    </row>
    <row r="146" spans="1:39" ht="20.25">
      <c r="A146" s="792" t="s">
        <v>392</v>
      </c>
      <c r="B146" s="822"/>
      <c r="C146" s="295"/>
      <c r="D146" s="807"/>
      <c r="E146" s="319"/>
      <c r="F146" s="320"/>
      <c r="G146" s="320"/>
      <c r="H146" s="320"/>
      <c r="I146" s="321"/>
      <c r="J146" s="321"/>
      <c r="K146" s="320"/>
      <c r="L146" s="352"/>
      <c r="M146" s="353"/>
      <c r="N146" s="321"/>
      <c r="O146" s="321"/>
      <c r="P146" s="321"/>
      <c r="Q146" s="321"/>
      <c r="R146" s="321"/>
      <c r="S146" s="321"/>
      <c r="T146" s="351"/>
      <c r="U146" s="352"/>
      <c r="V146" s="319"/>
      <c r="W146" s="320"/>
      <c r="X146" s="320"/>
      <c r="Y146" s="321"/>
      <c r="Z146" s="321"/>
      <c r="AA146" s="321"/>
      <c r="AB146" s="320"/>
      <c r="AC146" s="380"/>
      <c r="AD146" s="352"/>
      <c r="AE146" s="381">
        <f t="shared" si="75"/>
        <v>0</v>
      </c>
      <c r="AF146" s="381"/>
      <c r="AG146" s="408"/>
      <c r="AH146" s="409">
        <f t="shared" si="76"/>
        <v>0</v>
      </c>
      <c r="AI146" s="410"/>
      <c r="AJ146" s="411">
        <f>AH146+AI146</f>
        <v>0</v>
      </c>
      <c r="AK146" s="234"/>
      <c r="AL146" s="234"/>
      <c r="AM146" s="234"/>
    </row>
    <row r="147" spans="1:39" ht="20.25">
      <c r="A147" s="792" t="s">
        <v>392</v>
      </c>
      <c r="B147" s="710"/>
      <c r="C147" s="295"/>
      <c r="D147" s="807"/>
      <c r="E147" s="319"/>
      <c r="F147" s="320"/>
      <c r="G147" s="320"/>
      <c r="H147" s="320"/>
      <c r="I147" s="321"/>
      <c r="J147" s="321"/>
      <c r="K147" s="320"/>
      <c r="L147" s="352"/>
      <c r="M147" s="353"/>
      <c r="N147" s="321"/>
      <c r="O147" s="321"/>
      <c r="P147" s="321"/>
      <c r="Q147" s="321"/>
      <c r="R147" s="321"/>
      <c r="S147" s="321"/>
      <c r="T147" s="351"/>
      <c r="U147" s="352"/>
      <c r="V147" s="319"/>
      <c r="W147" s="320"/>
      <c r="X147" s="320"/>
      <c r="Y147" s="321"/>
      <c r="Z147" s="321"/>
      <c r="AA147" s="321"/>
      <c r="AB147" s="320"/>
      <c r="AC147" s="380"/>
      <c r="AD147" s="352"/>
      <c r="AE147" s="381">
        <f t="shared" si="75"/>
        <v>0</v>
      </c>
      <c r="AF147" s="381"/>
      <c r="AG147" s="408"/>
      <c r="AH147" s="409">
        <f t="shared" si="76"/>
        <v>0</v>
      </c>
      <c r="AI147" s="410"/>
      <c r="AJ147" s="411">
        <f t="shared" ref="AJ147:AJ150" si="79">AH147+AI147</f>
        <v>0</v>
      </c>
      <c r="AK147" s="234"/>
      <c r="AL147" s="234"/>
      <c r="AM147" s="234"/>
    </row>
    <row r="148" spans="1:39" ht="20.25">
      <c r="A148" s="792" t="s">
        <v>392</v>
      </c>
      <c r="B148" s="710"/>
      <c r="C148" s="295"/>
      <c r="D148" s="807"/>
      <c r="E148" s="319"/>
      <c r="F148" s="320"/>
      <c r="G148" s="320"/>
      <c r="H148" s="321"/>
      <c r="I148" s="234"/>
      <c r="J148" s="321"/>
      <c r="K148" s="320"/>
      <c r="L148" s="352"/>
      <c r="M148" s="353"/>
      <c r="N148" s="321"/>
      <c r="O148" s="321"/>
      <c r="P148" s="321"/>
      <c r="Q148" s="321"/>
      <c r="R148" s="321"/>
      <c r="S148" s="321"/>
      <c r="T148" s="351"/>
      <c r="U148" s="352"/>
      <c r="V148" s="319"/>
      <c r="W148" s="320"/>
      <c r="X148" s="320"/>
      <c r="Y148" s="321"/>
      <c r="Z148" s="321"/>
      <c r="AA148" s="321"/>
      <c r="AB148" s="320"/>
      <c r="AC148" s="380"/>
      <c r="AD148" s="352"/>
      <c r="AE148" s="381">
        <f t="shared" si="75"/>
        <v>0</v>
      </c>
      <c r="AF148" s="381"/>
      <c r="AG148" s="408"/>
      <c r="AH148" s="409">
        <f t="shared" si="76"/>
        <v>0</v>
      </c>
      <c r="AI148" s="410"/>
      <c r="AJ148" s="411">
        <f t="shared" si="79"/>
        <v>0</v>
      </c>
      <c r="AK148" s="234"/>
      <c r="AL148" s="234"/>
      <c r="AM148" s="234"/>
    </row>
    <row r="149" spans="1:39" ht="20.25">
      <c r="A149" s="792" t="s">
        <v>392</v>
      </c>
      <c r="B149" s="822"/>
      <c r="C149" s="295"/>
      <c r="D149" s="807"/>
      <c r="E149" s="319"/>
      <c r="F149" s="320"/>
      <c r="G149" s="320"/>
      <c r="H149" s="320"/>
      <c r="I149" s="321"/>
      <c r="J149" s="321"/>
      <c r="K149" s="741"/>
      <c r="L149" s="352"/>
      <c r="M149" s="353"/>
      <c r="N149" s="321"/>
      <c r="O149" s="321"/>
      <c r="P149" s="321"/>
      <c r="Q149" s="321"/>
      <c r="R149" s="321"/>
      <c r="S149" s="321"/>
      <c r="T149" s="832"/>
      <c r="U149" s="352"/>
      <c r="V149" s="319"/>
      <c r="W149" s="320"/>
      <c r="X149" s="320"/>
      <c r="Y149" s="321"/>
      <c r="Z149" s="321"/>
      <c r="AA149" s="321"/>
      <c r="AB149" s="320"/>
      <c r="AC149" s="380"/>
      <c r="AD149" s="352"/>
      <c r="AE149" s="381">
        <f t="shared" ref="AE149" si="80">SUM(E149:AC149)</f>
        <v>0</v>
      </c>
      <c r="AF149" s="381"/>
      <c r="AG149" s="408"/>
      <c r="AH149" s="409">
        <f t="shared" ref="AH149" si="81">AE149+AF149</f>
        <v>0</v>
      </c>
      <c r="AI149" s="410"/>
      <c r="AJ149" s="411">
        <f t="shared" si="79"/>
        <v>0</v>
      </c>
      <c r="AK149" s="234"/>
      <c r="AL149" s="234"/>
      <c r="AM149" s="234"/>
    </row>
    <row r="150" spans="1:39" ht="20.25">
      <c r="A150" s="792" t="s">
        <v>392</v>
      </c>
      <c r="B150" s="710"/>
      <c r="C150" s="295"/>
      <c r="D150" s="807"/>
      <c r="E150" s="319"/>
      <c r="F150" s="320"/>
      <c r="G150" s="320"/>
      <c r="H150" s="320"/>
      <c r="I150" s="321"/>
      <c r="J150" s="321"/>
      <c r="K150" s="320"/>
      <c r="L150" s="352"/>
      <c r="M150" s="353"/>
      <c r="N150" s="321"/>
      <c r="O150" s="321"/>
      <c r="P150" s="321"/>
      <c r="Q150" s="321"/>
      <c r="R150" s="321"/>
      <c r="S150" s="321"/>
      <c r="T150" s="351"/>
      <c r="U150" s="352"/>
      <c r="V150" s="319"/>
      <c r="W150" s="320"/>
      <c r="X150" s="320"/>
      <c r="Y150" s="321"/>
      <c r="Z150" s="321"/>
      <c r="AA150" s="321"/>
      <c r="AB150" s="320"/>
      <c r="AC150" s="380"/>
      <c r="AD150" s="352"/>
      <c r="AE150" s="381">
        <f t="shared" si="75"/>
        <v>0</v>
      </c>
      <c r="AF150" s="381"/>
      <c r="AG150" s="408"/>
      <c r="AH150" s="409">
        <f t="shared" si="76"/>
        <v>0</v>
      </c>
      <c r="AI150" s="410"/>
      <c r="AJ150" s="411">
        <f t="shared" si="79"/>
        <v>0</v>
      </c>
      <c r="AK150" s="234"/>
      <c r="AL150" s="234"/>
      <c r="AM150" s="234"/>
    </row>
    <row r="151" spans="1:39" ht="20.25">
      <c r="A151" s="792" t="s">
        <v>392</v>
      </c>
      <c r="B151" s="822"/>
      <c r="C151" s="295"/>
      <c r="D151" s="807"/>
      <c r="E151" s="319"/>
      <c r="F151" s="320"/>
      <c r="G151" s="320"/>
      <c r="H151" s="320"/>
      <c r="I151" s="321"/>
      <c r="J151" s="321"/>
      <c r="K151" s="741"/>
      <c r="L151" s="352"/>
      <c r="M151" s="353"/>
      <c r="N151" s="321"/>
      <c r="O151" s="321"/>
      <c r="P151" s="321"/>
      <c r="Q151" s="321"/>
      <c r="R151" s="321"/>
      <c r="S151" s="321"/>
      <c r="T151" s="351"/>
      <c r="U151" s="352"/>
      <c r="V151" s="319"/>
      <c r="W151" s="320"/>
      <c r="X151" s="320"/>
      <c r="Y151" s="321"/>
      <c r="Z151" s="321"/>
      <c r="AA151" s="321"/>
      <c r="AB151" s="320"/>
      <c r="AC151" s="380"/>
      <c r="AD151" s="352"/>
      <c r="AE151" s="381">
        <f t="shared" si="75"/>
        <v>0</v>
      </c>
      <c r="AF151" s="381"/>
      <c r="AG151" s="408"/>
      <c r="AH151" s="409">
        <f t="shared" si="76"/>
        <v>0</v>
      </c>
      <c r="AI151" s="410"/>
      <c r="AJ151" s="411">
        <f t="shared" ref="AJ151:AJ161" si="82">AH151+AI151</f>
        <v>0</v>
      </c>
      <c r="AK151" s="234"/>
      <c r="AL151" s="234"/>
      <c r="AM151" s="234"/>
    </row>
    <row r="152" spans="1:39" ht="20.25">
      <c r="A152" s="792" t="s">
        <v>392</v>
      </c>
      <c r="B152" s="822"/>
      <c r="C152" s="295"/>
      <c r="D152" s="807"/>
      <c r="E152" s="319"/>
      <c r="F152" s="320"/>
      <c r="G152" s="320"/>
      <c r="H152" s="320"/>
      <c r="I152" s="321"/>
      <c r="J152" s="321"/>
      <c r="K152" s="741"/>
      <c r="L152" s="352"/>
      <c r="M152" s="353"/>
      <c r="N152" s="321"/>
      <c r="O152" s="321"/>
      <c r="P152" s="321"/>
      <c r="Q152" s="321"/>
      <c r="R152" s="582"/>
      <c r="S152" s="321"/>
      <c r="T152" s="351"/>
      <c r="U152" s="352"/>
      <c r="V152" s="319"/>
      <c r="W152" s="320"/>
      <c r="X152" s="320"/>
      <c r="Y152" s="321"/>
      <c r="Z152" s="321"/>
      <c r="AA152" s="321"/>
      <c r="AB152" s="320"/>
      <c r="AC152" s="380"/>
      <c r="AD152" s="352"/>
      <c r="AE152" s="381">
        <f t="shared" si="75"/>
        <v>0</v>
      </c>
      <c r="AF152" s="381"/>
      <c r="AG152" s="408"/>
      <c r="AH152" s="409">
        <f t="shared" si="76"/>
        <v>0</v>
      </c>
      <c r="AI152" s="410"/>
      <c r="AJ152" s="411">
        <f t="shared" si="82"/>
        <v>0</v>
      </c>
      <c r="AK152" s="234"/>
      <c r="AL152" s="234"/>
      <c r="AM152" s="234"/>
    </row>
    <row r="153" spans="1:39" ht="20.25">
      <c r="A153" s="792" t="s">
        <v>392</v>
      </c>
      <c r="B153" s="822"/>
      <c r="C153" s="295"/>
      <c r="D153" s="807"/>
      <c r="E153" s="829"/>
      <c r="F153" s="741"/>
      <c r="G153" s="741"/>
      <c r="H153" s="741"/>
      <c r="I153" s="582"/>
      <c r="J153" s="582"/>
      <c r="K153" s="741"/>
      <c r="L153" s="830"/>
      <c r="M153" s="831"/>
      <c r="N153" s="582"/>
      <c r="O153" s="582"/>
      <c r="P153" s="582"/>
      <c r="Q153" s="582"/>
      <c r="R153" s="582"/>
      <c r="S153" s="582"/>
      <c r="T153" s="832"/>
      <c r="U153" s="830"/>
      <c r="V153" s="829"/>
      <c r="W153" s="741"/>
      <c r="X153" s="741"/>
      <c r="Y153" s="582"/>
      <c r="Z153" s="582"/>
      <c r="AA153" s="582"/>
      <c r="AB153" s="741"/>
      <c r="AC153" s="833"/>
      <c r="AD153" s="352"/>
      <c r="AE153" s="381">
        <f t="shared" si="75"/>
        <v>0</v>
      </c>
      <c r="AF153" s="381"/>
      <c r="AG153" s="408"/>
      <c r="AH153" s="409">
        <f t="shared" si="76"/>
        <v>0</v>
      </c>
      <c r="AI153" s="410"/>
      <c r="AJ153" s="411">
        <f t="shared" si="82"/>
        <v>0</v>
      </c>
      <c r="AK153" s="234"/>
      <c r="AL153" s="234"/>
      <c r="AM153" s="234"/>
    </row>
    <row r="154" spans="1:39" ht="20.25">
      <c r="A154" s="792" t="s">
        <v>392</v>
      </c>
      <c r="B154" s="822"/>
      <c r="C154" s="295"/>
      <c r="D154" s="807"/>
      <c r="E154" s="829"/>
      <c r="F154" s="741"/>
      <c r="G154" s="741"/>
      <c r="H154" s="741"/>
      <c r="I154" s="582"/>
      <c r="J154" s="582"/>
      <c r="K154" s="741"/>
      <c r="L154" s="830"/>
      <c r="M154" s="831"/>
      <c r="N154" s="582"/>
      <c r="O154" s="582"/>
      <c r="P154" s="582"/>
      <c r="Q154" s="582"/>
      <c r="R154" s="582"/>
      <c r="S154" s="582"/>
      <c r="T154" s="832"/>
      <c r="U154" s="830"/>
      <c r="V154" s="829"/>
      <c r="W154" s="741"/>
      <c r="X154" s="741"/>
      <c r="Y154" s="582"/>
      <c r="Z154" s="582"/>
      <c r="AA154" s="582"/>
      <c r="AB154" s="741"/>
      <c r="AC154" s="833"/>
      <c r="AD154" s="352"/>
      <c r="AE154" s="381">
        <f t="shared" si="75"/>
        <v>0</v>
      </c>
      <c r="AF154" s="381"/>
      <c r="AG154" s="408"/>
      <c r="AH154" s="409">
        <f t="shared" si="76"/>
        <v>0</v>
      </c>
      <c r="AI154" s="410"/>
      <c r="AJ154" s="411">
        <f t="shared" si="82"/>
        <v>0</v>
      </c>
      <c r="AK154" s="234"/>
      <c r="AL154" s="234"/>
      <c r="AM154" s="234"/>
    </row>
    <row r="155" spans="1:39" ht="20.25">
      <c r="A155" s="792" t="s">
        <v>392</v>
      </c>
      <c r="B155" s="822"/>
      <c r="C155" s="295"/>
      <c r="D155" s="807"/>
      <c r="E155" s="829"/>
      <c r="F155" s="741"/>
      <c r="G155" s="741"/>
      <c r="H155" s="741"/>
      <c r="I155" s="582"/>
      <c r="J155" s="582"/>
      <c r="K155" s="741"/>
      <c r="L155" s="830"/>
      <c r="M155" s="831"/>
      <c r="N155" s="582"/>
      <c r="O155" s="582"/>
      <c r="P155" s="582"/>
      <c r="Q155" s="582"/>
      <c r="R155" s="582"/>
      <c r="S155" s="582"/>
      <c r="T155" s="832"/>
      <c r="U155" s="830"/>
      <c r="V155" s="829"/>
      <c r="W155" s="741"/>
      <c r="X155" s="741"/>
      <c r="Y155" s="582"/>
      <c r="Z155" s="582"/>
      <c r="AA155" s="582"/>
      <c r="AB155" s="741"/>
      <c r="AC155" s="833"/>
      <c r="AD155" s="352"/>
      <c r="AE155" s="381">
        <f t="shared" ref="AE155:AE161" si="83">SUM(E155:AC155)</f>
        <v>0</v>
      </c>
      <c r="AF155" s="381"/>
      <c r="AG155" s="408"/>
      <c r="AH155" s="409">
        <f t="shared" si="76"/>
        <v>0</v>
      </c>
      <c r="AI155" s="410"/>
      <c r="AJ155" s="411">
        <f t="shared" si="82"/>
        <v>0</v>
      </c>
      <c r="AK155" s="234"/>
      <c r="AL155" s="234"/>
      <c r="AM155" s="234"/>
    </row>
    <row r="156" spans="1:39" ht="21" thickBot="1">
      <c r="A156" s="792" t="s">
        <v>392</v>
      </c>
      <c r="B156" s="822"/>
      <c r="C156" s="295"/>
      <c r="D156" s="807"/>
      <c r="E156" s="829"/>
      <c r="F156" s="741"/>
      <c r="G156" s="741"/>
      <c r="H156" s="741"/>
      <c r="I156" s="582"/>
      <c r="J156" s="582"/>
      <c r="K156" s="741"/>
      <c r="L156" s="830"/>
      <c r="M156" s="831"/>
      <c r="N156" s="582"/>
      <c r="O156" s="582"/>
      <c r="P156" s="582"/>
      <c r="Q156" s="582"/>
      <c r="R156" s="582"/>
      <c r="S156" s="582"/>
      <c r="T156" s="832"/>
      <c r="U156" s="830"/>
      <c r="V156" s="829"/>
      <c r="W156" s="741"/>
      <c r="X156" s="741"/>
      <c r="Y156" s="582"/>
      <c r="Z156" s="582"/>
      <c r="AA156" s="582"/>
      <c r="AB156" s="741"/>
      <c r="AC156" s="833"/>
      <c r="AD156" s="352"/>
      <c r="AE156" s="381">
        <f t="shared" si="83"/>
        <v>0</v>
      </c>
      <c r="AF156" s="381"/>
      <c r="AG156" s="408"/>
      <c r="AH156" s="409">
        <f t="shared" si="76"/>
        <v>0</v>
      </c>
      <c r="AI156" s="410"/>
      <c r="AJ156" s="411">
        <f t="shared" si="82"/>
        <v>0</v>
      </c>
      <c r="AK156" s="234"/>
      <c r="AL156" s="234"/>
      <c r="AM156" s="234"/>
    </row>
    <row r="157" spans="1:39" ht="21" thickBot="1">
      <c r="A157" s="792" t="s">
        <v>392</v>
      </c>
      <c r="B157" s="827"/>
      <c r="C157" s="323"/>
      <c r="D157" s="808"/>
      <c r="E157" s="325"/>
      <c r="F157" s="297"/>
      <c r="G157" s="297"/>
      <c r="H157" s="297"/>
      <c r="I157" s="298"/>
      <c r="J157" s="298"/>
      <c r="K157" s="297"/>
      <c r="L157" s="355"/>
      <c r="M157" s="343"/>
      <c r="N157" s="298"/>
      <c r="O157" s="298"/>
      <c r="P157" s="298"/>
      <c r="Q157" s="298"/>
      <c r="R157" s="298"/>
      <c r="S157" s="298"/>
      <c r="T157" s="367"/>
      <c r="U157" s="355"/>
      <c r="V157" s="325"/>
      <c r="W157" s="297"/>
      <c r="X157" s="297"/>
      <c r="Y157" s="298"/>
      <c r="Z157" s="298"/>
      <c r="AA157" s="298"/>
      <c r="AB157" s="297"/>
      <c r="AC157" s="375"/>
      <c r="AD157" s="355"/>
      <c r="AE157" s="1193">
        <f t="shared" si="83"/>
        <v>0</v>
      </c>
      <c r="AF157" s="1194"/>
      <c r="AG157" s="1195"/>
      <c r="AH157" s="1196">
        <f t="shared" si="76"/>
        <v>0</v>
      </c>
      <c r="AI157" s="1197"/>
      <c r="AJ157" s="1198">
        <f t="shared" si="82"/>
        <v>0</v>
      </c>
      <c r="AK157" s="414" t="s">
        <v>8</v>
      </c>
      <c r="AL157" s="397" t="s">
        <v>23</v>
      </c>
      <c r="AM157" s="415" t="s">
        <v>174</v>
      </c>
    </row>
    <row r="158" spans="1:39" ht="21" thickBot="1">
      <c r="A158" s="792" t="s">
        <v>392</v>
      </c>
      <c r="B158" s="827"/>
      <c r="C158" s="323"/>
      <c r="D158" s="808"/>
      <c r="E158" s="325"/>
      <c r="F158" s="297"/>
      <c r="G158" s="297"/>
      <c r="H158" s="297"/>
      <c r="I158" s="298"/>
      <c r="J158" s="298"/>
      <c r="K158" s="297"/>
      <c r="L158" s="355"/>
      <c r="M158" s="343"/>
      <c r="N158" s="298"/>
      <c r="O158" s="298"/>
      <c r="P158" s="298"/>
      <c r="Q158" s="298"/>
      <c r="R158" s="298"/>
      <c r="S158" s="298"/>
      <c r="T158" s="367"/>
      <c r="U158" s="355"/>
      <c r="V158" s="325"/>
      <c r="W158" s="297"/>
      <c r="X158" s="297"/>
      <c r="Y158" s="298"/>
      <c r="Z158" s="298"/>
      <c r="AA158" s="298"/>
      <c r="AB158" s="297"/>
      <c r="AC158" s="375"/>
      <c r="AD158" s="355"/>
      <c r="AE158" s="376">
        <f t="shared" si="83"/>
        <v>0</v>
      </c>
      <c r="AF158" s="377"/>
      <c r="AG158" s="390"/>
      <c r="AH158" s="391">
        <f t="shared" si="76"/>
        <v>0</v>
      </c>
      <c r="AI158" s="412"/>
      <c r="AJ158" s="413">
        <f t="shared" si="82"/>
        <v>0</v>
      </c>
      <c r="AK158" s="414" t="s">
        <v>8</v>
      </c>
      <c r="AL158" s="397" t="s">
        <v>23</v>
      </c>
      <c r="AM158" s="415" t="s">
        <v>174</v>
      </c>
    </row>
    <row r="159" spans="1:39" ht="21" thickBot="1">
      <c r="A159" s="792" t="s">
        <v>392</v>
      </c>
      <c r="B159" s="827"/>
      <c r="C159" s="323"/>
      <c r="D159" s="808"/>
      <c r="E159" s="325"/>
      <c r="F159" s="297"/>
      <c r="G159" s="297"/>
      <c r="H159" s="297"/>
      <c r="I159" s="298"/>
      <c r="J159" s="298"/>
      <c r="K159" s="297"/>
      <c r="L159" s="355"/>
      <c r="M159" s="343"/>
      <c r="N159" s="298"/>
      <c r="O159" s="298"/>
      <c r="P159" s="298"/>
      <c r="Q159" s="298"/>
      <c r="R159" s="298"/>
      <c r="S159" s="298"/>
      <c r="T159" s="367"/>
      <c r="U159" s="355"/>
      <c r="V159" s="325"/>
      <c r="W159" s="297"/>
      <c r="X159" s="297"/>
      <c r="Y159" s="298"/>
      <c r="Z159" s="298"/>
      <c r="AA159" s="298"/>
      <c r="AB159" s="297"/>
      <c r="AC159" s="375"/>
      <c r="AD159" s="355"/>
      <c r="AE159" s="376">
        <f t="shared" si="83"/>
        <v>0</v>
      </c>
      <c r="AF159" s="377"/>
      <c r="AG159" s="390"/>
      <c r="AH159" s="391">
        <f t="shared" si="76"/>
        <v>0</v>
      </c>
      <c r="AI159" s="412"/>
      <c r="AJ159" s="413">
        <f t="shared" si="82"/>
        <v>0</v>
      </c>
      <c r="AK159" s="414" t="s">
        <v>8</v>
      </c>
      <c r="AL159" s="397" t="s">
        <v>23</v>
      </c>
      <c r="AM159" s="415" t="s">
        <v>174</v>
      </c>
    </row>
    <row r="160" spans="1:39" ht="21" thickBot="1">
      <c r="A160" s="792" t="s">
        <v>392</v>
      </c>
      <c r="B160" s="827"/>
      <c r="C160" s="323"/>
      <c r="D160" s="808"/>
      <c r="E160" s="325"/>
      <c r="F160" s="297"/>
      <c r="G160" s="297"/>
      <c r="H160" s="297"/>
      <c r="I160" s="298"/>
      <c r="J160" s="298"/>
      <c r="K160" s="297"/>
      <c r="L160" s="355"/>
      <c r="M160" s="343"/>
      <c r="N160" s="298"/>
      <c r="O160" s="298"/>
      <c r="P160" s="298"/>
      <c r="Q160" s="298"/>
      <c r="R160" s="298"/>
      <c r="S160" s="298"/>
      <c r="T160" s="367"/>
      <c r="U160" s="355"/>
      <c r="V160" s="325"/>
      <c r="W160" s="297"/>
      <c r="X160" s="297"/>
      <c r="Y160" s="298"/>
      <c r="Z160" s="298"/>
      <c r="AA160" s="298"/>
      <c r="AB160" s="297"/>
      <c r="AC160" s="375"/>
      <c r="AD160" s="355"/>
      <c r="AE160" s="376">
        <f t="shared" si="83"/>
        <v>0</v>
      </c>
      <c r="AF160" s="377"/>
      <c r="AG160" s="390"/>
      <c r="AH160" s="391">
        <f t="shared" si="76"/>
        <v>0</v>
      </c>
      <c r="AI160" s="412"/>
      <c r="AJ160" s="413">
        <f t="shared" si="82"/>
        <v>0</v>
      </c>
      <c r="AK160" s="414" t="s">
        <v>8</v>
      </c>
      <c r="AL160" s="397" t="s">
        <v>23</v>
      </c>
      <c r="AM160" s="415" t="s">
        <v>174</v>
      </c>
    </row>
    <row r="161" spans="1:39" ht="21" thickBot="1">
      <c r="A161" s="792" t="s">
        <v>392</v>
      </c>
      <c r="B161" s="827"/>
      <c r="C161" s="323"/>
      <c r="D161" s="808"/>
      <c r="E161" s="325"/>
      <c r="F161" s="297"/>
      <c r="G161" s="297"/>
      <c r="H161" s="297"/>
      <c r="I161" s="298"/>
      <c r="J161" s="298"/>
      <c r="K161" s="297"/>
      <c r="L161" s="355"/>
      <c r="M161" s="343"/>
      <c r="N161" s="298"/>
      <c r="O161" s="298"/>
      <c r="P161" s="298"/>
      <c r="Q161" s="298"/>
      <c r="R161" s="298"/>
      <c r="S161" s="298"/>
      <c r="T161" s="367"/>
      <c r="U161" s="355"/>
      <c r="V161" s="325"/>
      <c r="W161" s="297"/>
      <c r="X161" s="297"/>
      <c r="Y161" s="298"/>
      <c r="Z161" s="298"/>
      <c r="AA161" s="298"/>
      <c r="AB161" s="297"/>
      <c r="AC161" s="375"/>
      <c r="AD161" s="355"/>
      <c r="AE161" s="376">
        <f t="shared" si="83"/>
        <v>0</v>
      </c>
      <c r="AF161" s="377"/>
      <c r="AG161" s="390"/>
      <c r="AH161" s="391">
        <f t="shared" si="76"/>
        <v>0</v>
      </c>
      <c r="AI161" s="412"/>
      <c r="AJ161" s="413">
        <f t="shared" si="82"/>
        <v>0</v>
      </c>
      <c r="AK161" s="414" t="s">
        <v>8</v>
      </c>
      <c r="AL161" s="397" t="s">
        <v>23</v>
      </c>
      <c r="AM161" s="415" t="s">
        <v>174</v>
      </c>
    </row>
    <row r="162" spans="1:39" ht="21" thickBot="1">
      <c r="A162" s="792" t="s">
        <v>392</v>
      </c>
      <c r="B162" s="827"/>
      <c r="C162" s="323"/>
      <c r="D162" s="808"/>
      <c r="E162" s="325"/>
      <c r="F162" s="297"/>
      <c r="G162" s="297"/>
      <c r="H162" s="297"/>
      <c r="I162" s="298"/>
      <c r="J162" s="298"/>
      <c r="K162" s="297"/>
      <c r="L162" s="355"/>
      <c r="M162" s="343"/>
      <c r="N162" s="298"/>
      <c r="O162" s="298"/>
      <c r="P162" s="298"/>
      <c r="Q162" s="298"/>
      <c r="R162" s="298"/>
      <c r="S162" s="298"/>
      <c r="T162" s="367"/>
      <c r="U162" s="355"/>
      <c r="V162" s="325"/>
      <c r="W162" s="297"/>
      <c r="X162" s="297"/>
      <c r="Y162" s="298"/>
      <c r="Z162" s="298"/>
      <c r="AA162" s="298"/>
      <c r="AB162" s="297"/>
      <c r="AC162" s="375"/>
      <c r="AD162" s="355"/>
      <c r="AE162" s="376">
        <f t="shared" ref="AE162:AE163" si="84">SUM(E162:AC162)</f>
        <v>0</v>
      </c>
      <c r="AF162" s="377"/>
      <c r="AG162" s="390"/>
      <c r="AH162" s="391">
        <f t="shared" ref="AH162:AH163" si="85">AE162+AF162</f>
        <v>0</v>
      </c>
      <c r="AI162" s="412"/>
      <c r="AJ162" s="413">
        <f t="shared" ref="AJ162:AJ163" si="86">AH162+AI162</f>
        <v>0</v>
      </c>
      <c r="AK162" s="414" t="s">
        <v>8</v>
      </c>
      <c r="AL162" s="397" t="s">
        <v>23</v>
      </c>
      <c r="AM162" s="415" t="s">
        <v>174</v>
      </c>
    </row>
    <row r="163" spans="1:39" ht="21" thickBot="1">
      <c r="A163" s="792" t="s">
        <v>392</v>
      </c>
      <c r="B163" s="827"/>
      <c r="C163" s="323"/>
      <c r="D163" s="808"/>
      <c r="E163" s="325"/>
      <c r="F163" s="297"/>
      <c r="G163" s="297"/>
      <c r="H163" s="297"/>
      <c r="I163" s="298"/>
      <c r="J163" s="298"/>
      <c r="K163" s="297"/>
      <c r="L163" s="355"/>
      <c r="M163" s="343"/>
      <c r="N163" s="298"/>
      <c r="O163" s="298"/>
      <c r="P163" s="298"/>
      <c r="Q163" s="298"/>
      <c r="R163" s="298"/>
      <c r="S163" s="298"/>
      <c r="T163" s="367"/>
      <c r="U163" s="355"/>
      <c r="V163" s="325"/>
      <c r="W163" s="297"/>
      <c r="X163" s="297"/>
      <c r="Y163" s="298"/>
      <c r="Z163" s="298"/>
      <c r="AA163" s="298"/>
      <c r="AB163" s="297"/>
      <c r="AC163" s="375"/>
      <c r="AD163" s="355"/>
      <c r="AE163" s="376">
        <f t="shared" si="84"/>
        <v>0</v>
      </c>
      <c r="AF163" s="377"/>
      <c r="AG163" s="390"/>
      <c r="AH163" s="391">
        <f t="shared" si="85"/>
        <v>0</v>
      </c>
      <c r="AI163" s="412"/>
      <c r="AJ163" s="413">
        <f t="shared" si="86"/>
        <v>0</v>
      </c>
      <c r="AK163" s="414" t="s">
        <v>8</v>
      </c>
      <c r="AL163" s="397" t="s">
        <v>23</v>
      </c>
      <c r="AM163" s="415" t="s">
        <v>174</v>
      </c>
    </row>
    <row r="164" spans="1:39" ht="21" thickBot="1">
      <c r="A164" s="792" t="s">
        <v>392</v>
      </c>
      <c r="B164" s="827"/>
      <c r="C164" s="323"/>
      <c r="D164" s="808"/>
      <c r="E164" s="325"/>
      <c r="F164" s="297"/>
      <c r="G164" s="297"/>
      <c r="H164" s="297"/>
      <c r="I164" s="298"/>
      <c r="J164" s="298"/>
      <c r="K164" s="297"/>
      <c r="L164" s="355"/>
      <c r="M164" s="343"/>
      <c r="N164" s="298"/>
      <c r="O164" s="298"/>
      <c r="P164" s="298"/>
      <c r="Q164" s="298"/>
      <c r="R164" s="298"/>
      <c r="S164" s="298"/>
      <c r="T164" s="367"/>
      <c r="U164" s="355"/>
      <c r="V164" s="325"/>
      <c r="W164" s="297"/>
      <c r="X164" s="297"/>
      <c r="Y164" s="298"/>
      <c r="Z164" s="298"/>
      <c r="AA164" s="298"/>
      <c r="AB164" s="297"/>
      <c r="AC164" s="375"/>
      <c r="AD164" s="355"/>
      <c r="AE164" s="376">
        <f t="shared" ref="AE164" si="87">SUM(E164:AC164)</f>
        <v>0</v>
      </c>
      <c r="AF164" s="377"/>
      <c r="AG164" s="390"/>
      <c r="AH164" s="391">
        <f t="shared" ref="AH164" si="88">AE164+AF164</f>
        <v>0</v>
      </c>
      <c r="AI164" s="412"/>
      <c r="AJ164" s="413">
        <f t="shared" ref="AJ164" si="89">AH164+AI164</f>
        <v>0</v>
      </c>
      <c r="AK164" s="414" t="s">
        <v>8</v>
      </c>
      <c r="AL164" s="397" t="s">
        <v>23</v>
      </c>
      <c r="AM164" s="415" t="s">
        <v>174</v>
      </c>
    </row>
    <row r="165" spans="1:39" ht="21" thickBot="1">
      <c r="A165" s="792" t="s">
        <v>392</v>
      </c>
      <c r="B165" s="827"/>
      <c r="C165" s="323"/>
      <c r="D165" s="808"/>
      <c r="E165" s="325"/>
      <c r="F165" s="297"/>
      <c r="G165" s="297"/>
      <c r="H165" s="297"/>
      <c r="I165" s="298"/>
      <c r="J165" s="298"/>
      <c r="K165" s="297"/>
      <c r="L165" s="355"/>
      <c r="M165" s="343"/>
      <c r="N165" s="298"/>
      <c r="O165" s="298"/>
      <c r="P165" s="298"/>
      <c r="Q165" s="298"/>
      <c r="R165" s="298"/>
      <c r="S165" s="298"/>
      <c r="T165" s="367"/>
      <c r="U165" s="355"/>
      <c r="V165" s="325"/>
      <c r="W165" s="297"/>
      <c r="X165" s="297"/>
      <c r="Y165" s="298"/>
      <c r="Z165" s="298"/>
      <c r="AA165" s="298"/>
      <c r="AB165" s="297"/>
      <c r="AC165" s="375"/>
      <c r="AD165" s="355"/>
      <c r="AE165" s="376">
        <f t="shared" ref="AE165" si="90">SUM(E165:AC165)</f>
        <v>0</v>
      </c>
      <c r="AF165" s="377"/>
      <c r="AG165" s="390"/>
      <c r="AH165" s="391">
        <f t="shared" ref="AH165" si="91">AE165+AF165</f>
        <v>0</v>
      </c>
      <c r="AI165" s="412"/>
      <c r="AJ165" s="413">
        <f t="shared" ref="AJ165" si="92">AH165+AI165</f>
        <v>0</v>
      </c>
      <c r="AK165" s="414" t="s">
        <v>8</v>
      </c>
      <c r="AL165" s="397" t="s">
        <v>23</v>
      </c>
      <c r="AM165" s="415" t="s">
        <v>174</v>
      </c>
    </row>
    <row r="166" spans="1:39" ht="21" thickBot="1">
      <c r="A166" s="792" t="s">
        <v>392</v>
      </c>
      <c r="B166" s="827"/>
      <c r="C166" s="323"/>
      <c r="D166" s="808"/>
      <c r="E166" s="325"/>
      <c r="F166" s="297"/>
      <c r="G166" s="297"/>
      <c r="H166" s="297"/>
      <c r="I166" s="298"/>
      <c r="J166" s="298"/>
      <c r="K166" s="297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6">
        <f t="shared" ref="AE166" si="93">SUM(E166:AC166)</f>
        <v>0</v>
      </c>
      <c r="AF166" s="377"/>
      <c r="AG166" s="390"/>
      <c r="AH166" s="391">
        <f t="shared" ref="AH166" si="94">AE166+AF166</f>
        <v>0</v>
      </c>
      <c r="AI166" s="412"/>
      <c r="AJ166" s="413">
        <f t="shared" ref="AJ166" si="95">AH166+AI166</f>
        <v>0</v>
      </c>
      <c r="AK166" s="414" t="s">
        <v>8</v>
      </c>
      <c r="AL166" s="397" t="s">
        <v>23</v>
      </c>
      <c r="AM166" s="415" t="s">
        <v>174</v>
      </c>
    </row>
    <row r="167" spans="1:39" ht="21" thickBot="1">
      <c r="A167" s="792" t="s">
        <v>392</v>
      </c>
      <c r="B167" s="827"/>
      <c r="C167" s="323"/>
      <c r="D167" s="808"/>
      <c r="E167" s="325"/>
      <c r="F167" s="297"/>
      <c r="G167" s="297"/>
      <c r="H167" s="297"/>
      <c r="I167" s="298"/>
      <c r="J167" s="298"/>
      <c r="K167" s="297"/>
      <c r="L167" s="355"/>
      <c r="M167" s="343"/>
      <c r="N167" s="298"/>
      <c r="O167" s="298"/>
      <c r="P167" s="298"/>
      <c r="Q167" s="298"/>
      <c r="R167" s="298"/>
      <c r="S167" s="298"/>
      <c r="T167" s="367"/>
      <c r="U167" s="355"/>
      <c r="V167" s="325"/>
      <c r="W167" s="297"/>
      <c r="X167" s="297"/>
      <c r="Y167" s="298"/>
      <c r="Z167" s="298"/>
      <c r="AA167" s="298"/>
      <c r="AB167" s="297"/>
      <c r="AC167" s="375"/>
      <c r="AD167" s="355"/>
      <c r="AE167" s="376">
        <f t="shared" ref="AE167" si="96">SUM(E167:AC167)</f>
        <v>0</v>
      </c>
      <c r="AF167" s="377"/>
      <c r="AG167" s="390"/>
      <c r="AH167" s="391">
        <f t="shared" ref="AH167" si="97">AE167+AF167</f>
        <v>0</v>
      </c>
      <c r="AI167" s="412"/>
      <c r="AJ167" s="413">
        <f t="shared" ref="AJ167" si="98">AH167+AI167</f>
        <v>0</v>
      </c>
      <c r="AK167" s="414" t="s">
        <v>8</v>
      </c>
      <c r="AL167" s="397" t="s">
        <v>23</v>
      </c>
      <c r="AM167" s="415" t="s">
        <v>174</v>
      </c>
    </row>
    <row r="168" spans="1:39" ht="21" thickBot="1">
      <c r="A168" s="792" t="s">
        <v>392</v>
      </c>
      <c r="B168" s="827"/>
      <c r="C168" s="323"/>
      <c r="D168" s="808"/>
      <c r="E168" s="325"/>
      <c r="F168" s="297"/>
      <c r="G168" s="297"/>
      <c r="H168" s="297"/>
      <c r="I168" s="298"/>
      <c r="J168" s="298"/>
      <c r="K168" s="297"/>
      <c r="L168" s="355"/>
      <c r="M168" s="343"/>
      <c r="N168" s="298"/>
      <c r="O168" s="298"/>
      <c r="P168" s="298"/>
      <c r="Q168" s="298"/>
      <c r="R168" s="298"/>
      <c r="S168" s="298"/>
      <c r="T168" s="367"/>
      <c r="U168" s="355"/>
      <c r="V168" s="325"/>
      <c r="W168" s="297"/>
      <c r="X168" s="297"/>
      <c r="Y168" s="298"/>
      <c r="Z168" s="298"/>
      <c r="AA168" s="298"/>
      <c r="AB168" s="297"/>
      <c r="AC168" s="375"/>
      <c r="AD168" s="355"/>
      <c r="AE168" s="376">
        <f t="shared" ref="AE168" si="99">SUM(E168:AC168)</f>
        <v>0</v>
      </c>
      <c r="AF168" s="377"/>
      <c r="AG168" s="390"/>
      <c r="AH168" s="391">
        <f t="shared" ref="AH168" si="100">AE168+AF168</f>
        <v>0</v>
      </c>
      <c r="AI168" s="412"/>
      <c r="AJ168" s="413">
        <f t="shared" ref="AJ168" si="101">AH168+AI168</f>
        <v>0</v>
      </c>
      <c r="AK168" s="414" t="s">
        <v>8</v>
      </c>
      <c r="AL168" s="397" t="s">
        <v>23</v>
      </c>
      <c r="AM168" s="415" t="s">
        <v>174</v>
      </c>
    </row>
    <row r="169" spans="1:39" ht="21" thickBot="1">
      <c r="A169" s="792" t="s">
        <v>392</v>
      </c>
      <c r="B169" s="827"/>
      <c r="C169" s="323"/>
      <c r="D169" s="808"/>
      <c r="E169" s="325"/>
      <c r="F169" s="297"/>
      <c r="G169" s="297"/>
      <c r="H169" s="297"/>
      <c r="I169" s="298"/>
      <c r="J169" s="298"/>
      <c r="K169" s="297"/>
      <c r="L169" s="355"/>
      <c r="M169" s="343"/>
      <c r="N169" s="298"/>
      <c r="O169" s="298"/>
      <c r="P169" s="298"/>
      <c r="Q169" s="298"/>
      <c r="R169" s="298"/>
      <c r="S169" s="298"/>
      <c r="T169" s="367"/>
      <c r="U169" s="355"/>
      <c r="V169" s="325"/>
      <c r="W169" s="297"/>
      <c r="X169" s="297"/>
      <c r="Y169" s="298"/>
      <c r="Z169" s="298"/>
      <c r="AA169" s="298"/>
      <c r="AB169" s="297"/>
      <c r="AC169" s="375"/>
      <c r="AD169" s="355"/>
      <c r="AE169" s="376">
        <f t="shared" ref="AE169" si="102">SUM(E169:AC169)</f>
        <v>0</v>
      </c>
      <c r="AF169" s="377"/>
      <c r="AG169" s="390"/>
      <c r="AH169" s="391">
        <f t="shared" ref="AH169" si="103">AE169+AF169</f>
        <v>0</v>
      </c>
      <c r="AI169" s="412"/>
      <c r="AJ169" s="413">
        <f t="shared" ref="AJ169" si="104">AH169+AI169</f>
        <v>0</v>
      </c>
      <c r="AK169" s="414" t="s">
        <v>8</v>
      </c>
      <c r="AL169" s="397" t="s">
        <v>23</v>
      </c>
      <c r="AM169" s="415" t="s">
        <v>174</v>
      </c>
    </row>
    <row r="170" spans="1:39" ht="21" thickBot="1">
      <c r="A170" s="792" t="s">
        <v>392</v>
      </c>
      <c r="B170" s="827"/>
      <c r="C170" s="323"/>
      <c r="D170" s="324"/>
      <c r="E170" s="325"/>
      <c r="F170" s="297"/>
      <c r="G170" s="297"/>
      <c r="H170" s="297"/>
      <c r="I170" s="298"/>
      <c r="J170" s="298"/>
      <c r="K170" s="297"/>
      <c r="L170" s="355"/>
      <c r="M170" s="343"/>
      <c r="N170" s="298"/>
      <c r="O170" s="298"/>
      <c r="P170" s="298"/>
      <c r="Q170" s="298"/>
      <c r="R170" s="298"/>
      <c r="S170" s="298"/>
      <c r="T170" s="367"/>
      <c r="U170" s="355"/>
      <c r="V170" s="325"/>
      <c r="W170" s="297"/>
      <c r="X170" s="297"/>
      <c r="Y170" s="298"/>
      <c r="Z170" s="298"/>
      <c r="AA170" s="298"/>
      <c r="AB170" s="297"/>
      <c r="AC170" s="375"/>
      <c r="AD170" s="355"/>
      <c r="AE170" s="376">
        <f t="shared" ref="AE170:AE172" si="105">SUM(E170:AC170)</f>
        <v>0</v>
      </c>
      <c r="AF170" s="377"/>
      <c r="AG170" s="390"/>
      <c r="AH170" s="391">
        <f t="shared" ref="AH170:AH172" si="106">AE170+AF170</f>
        <v>0</v>
      </c>
      <c r="AI170" s="412"/>
      <c r="AJ170" s="413">
        <f t="shared" ref="AJ170:AJ172" si="107">AH170+AI170</f>
        <v>0</v>
      </c>
      <c r="AK170" s="414" t="s">
        <v>8</v>
      </c>
      <c r="AL170" s="397" t="s">
        <v>23</v>
      </c>
      <c r="AM170" s="415" t="s">
        <v>174</v>
      </c>
    </row>
    <row r="171" spans="1:39" ht="20.25" customHeight="1" thickBot="1">
      <c r="A171" s="792" t="s">
        <v>392</v>
      </c>
      <c r="B171" s="827"/>
      <c r="C171" s="323"/>
      <c r="D171" s="324"/>
      <c r="E171" s="325"/>
      <c r="F171" s="297"/>
      <c r="G171" s="297"/>
      <c r="H171" s="297"/>
      <c r="I171" s="298"/>
      <c r="J171" s="298"/>
      <c r="K171" s="297"/>
      <c r="L171" s="355"/>
      <c r="M171" s="343"/>
      <c r="N171" s="298"/>
      <c r="O171" s="298"/>
      <c r="P171" s="298"/>
      <c r="Q171" s="298"/>
      <c r="R171" s="298"/>
      <c r="S171" s="298"/>
      <c r="T171" s="367"/>
      <c r="U171" s="355"/>
      <c r="V171" s="325"/>
      <c r="W171" s="297"/>
      <c r="X171" s="297"/>
      <c r="Y171" s="298"/>
      <c r="Z171" s="298"/>
      <c r="AA171" s="298"/>
      <c r="AB171" s="297"/>
      <c r="AC171" s="375"/>
      <c r="AD171" s="355"/>
      <c r="AE171" s="376">
        <f t="shared" ref="AE171" si="108">SUM(E171:AC171)</f>
        <v>0</v>
      </c>
      <c r="AF171" s="377"/>
      <c r="AG171" s="390"/>
      <c r="AH171" s="391">
        <f t="shared" ref="AH171" si="109">AE171+AF171</f>
        <v>0</v>
      </c>
      <c r="AI171" s="412"/>
      <c r="AJ171" s="413">
        <f t="shared" ref="AJ171" si="110">AH171+AI171</f>
        <v>0</v>
      </c>
      <c r="AK171" s="414" t="s">
        <v>8</v>
      </c>
      <c r="AL171" s="397" t="s">
        <v>23</v>
      </c>
      <c r="AM171" s="415" t="s">
        <v>174</v>
      </c>
    </row>
    <row r="172" spans="1:39" ht="20.25" customHeight="1" thickBot="1">
      <c r="A172" s="792" t="s">
        <v>392</v>
      </c>
      <c r="B172" s="827"/>
      <c r="C172" s="323"/>
      <c r="D172" s="324"/>
      <c r="E172" s="325"/>
      <c r="F172" s="297"/>
      <c r="G172" s="297"/>
      <c r="H172" s="297"/>
      <c r="I172" s="298"/>
      <c r="J172" s="298"/>
      <c r="K172" s="297"/>
      <c r="L172" s="355"/>
      <c r="M172" s="343"/>
      <c r="N172" s="298"/>
      <c r="O172" s="298"/>
      <c r="P172" s="298"/>
      <c r="Q172" s="298"/>
      <c r="R172" s="298"/>
      <c r="S172" s="298"/>
      <c r="T172" s="367"/>
      <c r="U172" s="355"/>
      <c r="V172" s="325"/>
      <c r="W172" s="297"/>
      <c r="X172" s="297"/>
      <c r="Y172" s="298"/>
      <c r="Z172" s="298"/>
      <c r="AA172" s="298"/>
      <c r="AB172" s="297"/>
      <c r="AC172" s="375"/>
      <c r="AD172" s="355"/>
      <c r="AE172" s="376">
        <f t="shared" si="105"/>
        <v>0</v>
      </c>
      <c r="AF172" s="377"/>
      <c r="AG172" s="390"/>
      <c r="AH172" s="391">
        <f t="shared" si="106"/>
        <v>0</v>
      </c>
      <c r="AI172" s="412"/>
      <c r="AJ172" s="413">
        <f t="shared" si="107"/>
        <v>0</v>
      </c>
      <c r="AK172" s="414" t="s">
        <v>8</v>
      </c>
      <c r="AL172" s="397" t="s">
        <v>23</v>
      </c>
      <c r="AM172" s="415" t="s">
        <v>174</v>
      </c>
    </row>
    <row r="173" spans="1:39" ht="21" thickBot="1">
      <c r="A173" s="792" t="s">
        <v>392</v>
      </c>
      <c r="B173" s="827"/>
      <c r="C173" s="323"/>
      <c r="D173" s="324"/>
      <c r="E173" s="325"/>
      <c r="F173" s="297"/>
      <c r="G173" s="297"/>
      <c r="H173" s="297"/>
      <c r="I173" s="298"/>
      <c r="J173" s="298"/>
      <c r="K173" s="297"/>
      <c r="L173" s="355"/>
      <c r="M173" s="343"/>
      <c r="N173" s="298"/>
      <c r="O173" s="298"/>
      <c r="P173" s="298"/>
      <c r="Q173" s="298"/>
      <c r="R173" s="298"/>
      <c r="S173" s="298"/>
      <c r="T173" s="367"/>
      <c r="U173" s="355"/>
      <c r="V173" s="325"/>
      <c r="W173" s="297"/>
      <c r="X173" s="297"/>
      <c r="Y173" s="298"/>
      <c r="Z173" s="298"/>
      <c r="AA173" s="298"/>
      <c r="AB173" s="297"/>
      <c r="AC173" s="375"/>
      <c r="AD173" s="355"/>
      <c r="AE173" s="376">
        <f t="shared" ref="AE173" si="111">SUM(E173:AC173)</f>
        <v>0</v>
      </c>
      <c r="AF173" s="377"/>
      <c r="AG173" s="390"/>
      <c r="AH173" s="391">
        <f t="shared" ref="AH173" si="112">AE173+AF173</f>
        <v>0</v>
      </c>
      <c r="AI173" s="412"/>
      <c r="AJ173" s="413">
        <f t="shared" ref="AJ173" si="113">AH173+AI173</f>
        <v>0</v>
      </c>
      <c r="AK173" s="414" t="s">
        <v>8</v>
      </c>
      <c r="AL173" s="397" t="s">
        <v>23</v>
      </c>
      <c r="AM173" s="415" t="s">
        <v>174</v>
      </c>
    </row>
    <row r="174" spans="1:39" ht="19.5" thickBot="1">
      <c r="A174" s="792" t="s">
        <v>392</v>
      </c>
      <c r="B174" s="327"/>
      <c r="C174" s="327"/>
      <c r="D174" s="328"/>
      <c r="E174" s="329">
        <f>SUM(E143:E173)</f>
        <v>0</v>
      </c>
      <c r="F174" s="329">
        <f t="shared" ref="F174:AJ174" si="114">SUM(F143:F173)</f>
        <v>0</v>
      </c>
      <c r="G174" s="329">
        <f t="shared" si="114"/>
        <v>0</v>
      </c>
      <c r="H174" s="329">
        <f t="shared" si="114"/>
        <v>0</v>
      </c>
      <c r="I174" s="329">
        <f t="shared" si="114"/>
        <v>0</v>
      </c>
      <c r="J174" s="329">
        <f t="shared" si="114"/>
        <v>0</v>
      </c>
      <c r="K174" s="329">
        <f t="shared" si="114"/>
        <v>0</v>
      </c>
      <c r="L174" s="329">
        <f t="shared" si="114"/>
        <v>0</v>
      </c>
      <c r="M174" s="329">
        <f t="shared" si="114"/>
        <v>0</v>
      </c>
      <c r="N174" s="329">
        <f t="shared" ref="N174:U174" si="115">SUM(N143:N173)</f>
        <v>0</v>
      </c>
      <c r="O174" s="329">
        <f t="shared" si="115"/>
        <v>0</v>
      </c>
      <c r="P174" s="329">
        <f t="shared" si="115"/>
        <v>0</v>
      </c>
      <c r="Q174" s="329">
        <f t="shared" si="115"/>
        <v>0</v>
      </c>
      <c r="R174" s="329">
        <f t="shared" si="115"/>
        <v>0</v>
      </c>
      <c r="S174" s="329">
        <f t="shared" si="115"/>
        <v>0</v>
      </c>
      <c r="T174" s="329">
        <f t="shared" si="115"/>
        <v>0</v>
      </c>
      <c r="U174" s="329">
        <f t="shared" si="115"/>
        <v>0</v>
      </c>
      <c r="V174" s="329">
        <f t="shared" si="114"/>
        <v>0</v>
      </c>
      <c r="W174" s="329">
        <f t="shared" si="114"/>
        <v>0</v>
      </c>
      <c r="X174" s="329">
        <f t="shared" si="114"/>
        <v>0</v>
      </c>
      <c r="Y174" s="329">
        <f t="shared" si="114"/>
        <v>0</v>
      </c>
      <c r="Z174" s="329">
        <f t="shared" si="114"/>
        <v>0</v>
      </c>
      <c r="AA174" s="329">
        <f t="shared" si="114"/>
        <v>0</v>
      </c>
      <c r="AB174" s="329">
        <f t="shared" si="114"/>
        <v>0</v>
      </c>
      <c r="AC174" s="329">
        <f t="shared" si="114"/>
        <v>0</v>
      </c>
      <c r="AD174" s="329">
        <f t="shared" si="114"/>
        <v>0</v>
      </c>
      <c r="AE174" s="329">
        <f t="shared" si="114"/>
        <v>0</v>
      </c>
      <c r="AF174" s="329">
        <f t="shared" si="114"/>
        <v>0</v>
      </c>
      <c r="AG174" s="329">
        <f t="shared" si="114"/>
        <v>0</v>
      </c>
      <c r="AH174" s="329">
        <f t="shared" si="114"/>
        <v>0</v>
      </c>
      <c r="AI174" s="329">
        <f t="shared" si="114"/>
        <v>0</v>
      </c>
      <c r="AJ174" s="329">
        <f t="shared" si="114"/>
        <v>0</v>
      </c>
      <c r="AK174" s="399">
        <f>'BIG CHAIR'!CL132</f>
        <v>0</v>
      </c>
      <c r="AL174" s="400">
        <f>'Tea Table'!X224</f>
        <v>120</v>
      </c>
      <c r="AM174" s="401">
        <f>AH174+AK174+AL174</f>
        <v>120</v>
      </c>
    </row>
    <row r="175" spans="1:39" s="284" customFormat="1" ht="8.25" customHeight="1" thickBot="1">
      <c r="A175" s="425"/>
      <c r="B175" s="426"/>
      <c r="C175" s="426"/>
      <c r="D175" s="427"/>
      <c r="E175" s="428"/>
      <c r="F175" s="428"/>
      <c r="G175" s="428"/>
      <c r="H175" s="428"/>
      <c r="I175" s="428"/>
      <c r="J175" s="428"/>
      <c r="K175" s="428"/>
      <c r="L175" s="478"/>
      <c r="M175" s="479"/>
      <c r="N175" s="479"/>
      <c r="O175" s="479"/>
      <c r="P175" s="479"/>
      <c r="Q175" s="479"/>
      <c r="R175" s="479"/>
      <c r="S175" s="479"/>
      <c r="T175" s="479"/>
      <c r="U175" s="478"/>
      <c r="V175" s="479"/>
      <c r="W175" s="479"/>
      <c r="X175" s="479"/>
      <c r="Y175" s="479"/>
      <c r="Z175" s="479"/>
      <c r="AA175" s="479"/>
      <c r="AB175" s="479"/>
      <c r="AC175" s="479"/>
      <c r="AD175" s="478"/>
      <c r="AE175" s="479"/>
      <c r="AF175" s="479"/>
      <c r="AG175" s="479"/>
      <c r="AH175" s="479"/>
      <c r="AI175" s="479"/>
      <c r="AJ175" s="506"/>
      <c r="AK175" s="403"/>
      <c r="AL175" s="403"/>
      <c r="AM175" s="403"/>
    </row>
    <row r="176" spans="1:39" s="282" customFormat="1" ht="16.5" thickBot="1">
      <c r="A176" s="429" t="s">
        <v>179</v>
      </c>
      <c r="B176" s="287" t="s">
        <v>68</v>
      </c>
      <c r="C176" s="287" t="s">
        <v>69</v>
      </c>
      <c r="D176" s="288" t="s">
        <v>70</v>
      </c>
      <c r="E176" s="88" t="s">
        <v>358</v>
      </c>
      <c r="F176" s="744" t="s">
        <v>364</v>
      </c>
      <c r="G176" s="30" t="s">
        <v>359</v>
      </c>
      <c r="H176" s="744" t="s">
        <v>365</v>
      </c>
      <c r="I176" s="744" t="s">
        <v>360</v>
      </c>
      <c r="J176" s="751" t="s">
        <v>366</v>
      </c>
      <c r="K176" s="783" t="s">
        <v>361</v>
      </c>
      <c r="L176" s="79" t="s">
        <v>367</v>
      </c>
      <c r="M176" s="80" t="s">
        <v>71</v>
      </c>
      <c r="N176" s="49" t="s">
        <v>482</v>
      </c>
      <c r="O176" s="49" t="s">
        <v>118</v>
      </c>
      <c r="P176" s="49" t="s">
        <v>97</v>
      </c>
      <c r="Q176" s="49" t="s">
        <v>75</v>
      </c>
      <c r="R176" s="49" t="s">
        <v>53</v>
      </c>
      <c r="S176" s="126" t="s">
        <v>77</v>
      </c>
      <c r="T176" s="171" t="s">
        <v>94</v>
      </c>
      <c r="U176" s="79"/>
      <c r="V176" s="80" t="s">
        <v>86</v>
      </c>
      <c r="W176" s="714" t="s">
        <v>368</v>
      </c>
      <c r="X176" s="49" t="s">
        <v>85</v>
      </c>
      <c r="Y176" s="103" t="s">
        <v>101</v>
      </c>
      <c r="Z176" s="104" t="s">
        <v>90</v>
      </c>
      <c r="AA176" s="716" t="s">
        <v>390</v>
      </c>
      <c r="AB176" s="121" t="s">
        <v>208</v>
      </c>
      <c r="AC176" s="717" t="s">
        <v>92</v>
      </c>
      <c r="AD176" s="79"/>
      <c r="AE176" s="371" t="s">
        <v>172</v>
      </c>
      <c r="AF176" s="372" t="s">
        <v>80</v>
      </c>
      <c r="AG176" s="385"/>
      <c r="AH176" s="386" t="s">
        <v>106</v>
      </c>
      <c r="AI176" s="385" t="s">
        <v>173</v>
      </c>
      <c r="AJ176" s="371" t="s">
        <v>108</v>
      </c>
    </row>
    <row r="177" spans="1:39" s="283" customFormat="1" ht="20.25">
      <c r="A177" s="430"/>
      <c r="B177" s="431"/>
      <c r="C177" s="431"/>
      <c r="D177" s="432"/>
      <c r="E177" s="325"/>
      <c r="F177" s="297"/>
      <c r="G177" s="297"/>
      <c r="H177" s="297"/>
      <c r="I177" s="298"/>
      <c r="J177" s="298"/>
      <c r="K177" s="297"/>
      <c r="L177" s="355"/>
      <c r="M177" s="343"/>
      <c r="N177" s="298"/>
      <c r="O177" s="435"/>
      <c r="P177" s="298"/>
      <c r="Q177" s="298"/>
      <c r="R177" s="435"/>
      <c r="S177" s="298"/>
      <c r="T177" s="367"/>
      <c r="U177" s="355"/>
      <c r="V177" s="325"/>
      <c r="W177" s="297"/>
      <c r="X177" s="297"/>
      <c r="Y177" s="298"/>
      <c r="Z177" s="298"/>
      <c r="AA177" s="298"/>
      <c r="AB177" s="297"/>
      <c r="AC177" s="375"/>
      <c r="AD177" s="355"/>
      <c r="AE177" s="377">
        <f>SUM(E177:AC177)</f>
        <v>0</v>
      </c>
      <c r="AF177" s="377"/>
      <c r="AG177" s="390"/>
      <c r="AH177" s="507">
        <f>AE177+AF177</f>
        <v>0</v>
      </c>
      <c r="AI177" s="412"/>
      <c r="AJ177" s="508">
        <f>AH177+AI177</f>
        <v>0</v>
      </c>
    </row>
    <row r="178" spans="1:39" s="283" customFormat="1" ht="20.25">
      <c r="A178" s="430"/>
      <c r="B178" s="431"/>
      <c r="C178" s="431"/>
      <c r="D178" s="432"/>
      <c r="E178" s="325"/>
      <c r="F178" s="297"/>
      <c r="G178" s="297"/>
      <c r="H178" s="297"/>
      <c r="I178" s="298"/>
      <c r="J178" s="298"/>
      <c r="K178" s="297"/>
      <c r="L178" s="355"/>
      <c r="M178" s="343"/>
      <c r="N178" s="298"/>
      <c r="O178" s="298"/>
      <c r="P178" s="298"/>
      <c r="Q178" s="298"/>
      <c r="R178" s="298"/>
      <c r="S178" s="298"/>
      <c r="T178" s="367"/>
      <c r="U178" s="355"/>
      <c r="V178" s="325"/>
      <c r="W178" s="297"/>
      <c r="X178" s="297"/>
      <c r="Y178" s="298"/>
      <c r="Z178" s="298"/>
      <c r="AA178" s="298"/>
      <c r="AB178" s="297"/>
      <c r="AC178" s="375"/>
      <c r="AD178" s="355"/>
      <c r="AE178" s="377">
        <f>SUM(E178:AC178)</f>
        <v>0</v>
      </c>
      <c r="AF178" s="377"/>
      <c r="AG178" s="390"/>
      <c r="AH178" s="507">
        <f>AE178+AF178</f>
        <v>0</v>
      </c>
      <c r="AI178" s="412"/>
      <c r="AJ178" s="508">
        <f>AH178+AI178</f>
        <v>0</v>
      </c>
    </row>
    <row r="179" spans="1:39" s="283" customFormat="1" ht="20.25">
      <c r="A179" s="322"/>
      <c r="B179" s="323"/>
      <c r="C179" s="323"/>
      <c r="D179" s="324"/>
      <c r="E179" s="325"/>
      <c r="F179" s="297"/>
      <c r="G179" s="297"/>
      <c r="H179" s="297"/>
      <c r="I179" s="298"/>
      <c r="J179" s="298"/>
      <c r="K179" s="297"/>
      <c r="L179" s="355"/>
      <c r="M179" s="343"/>
      <c r="N179" s="298"/>
      <c r="O179" s="298"/>
      <c r="P179" s="298"/>
      <c r="Q179" s="298"/>
      <c r="R179" s="298"/>
      <c r="S179" s="298"/>
      <c r="T179" s="367"/>
      <c r="U179" s="355"/>
      <c r="V179" s="325"/>
      <c r="W179" s="297"/>
      <c r="X179" s="297"/>
      <c r="Y179" s="298"/>
      <c r="Z179" s="298"/>
      <c r="AA179" s="298"/>
      <c r="AB179" s="297"/>
      <c r="AC179" s="375"/>
      <c r="AD179" s="355"/>
      <c r="AE179" s="377">
        <f>SUM(E179:AC179)</f>
        <v>0</v>
      </c>
      <c r="AF179" s="377"/>
      <c r="AG179" s="390"/>
      <c r="AH179" s="507">
        <f>AE179+AF179</f>
        <v>0</v>
      </c>
      <c r="AI179" s="412"/>
      <c r="AJ179" s="508">
        <f>AH179+AI179</f>
        <v>0</v>
      </c>
    </row>
    <row r="180" spans="1:39" s="283" customFormat="1" ht="20.25">
      <c r="A180" s="322"/>
      <c r="B180" s="323"/>
      <c r="C180" s="323"/>
      <c r="D180" s="324"/>
      <c r="E180" s="325"/>
      <c r="F180" s="297"/>
      <c r="G180" s="297"/>
      <c r="H180" s="297"/>
      <c r="I180" s="298"/>
      <c r="J180" s="298"/>
      <c r="K180" s="297"/>
      <c r="L180" s="355"/>
      <c r="M180" s="343"/>
      <c r="N180" s="298"/>
      <c r="O180" s="298"/>
      <c r="P180" s="298"/>
      <c r="Q180" s="298"/>
      <c r="R180" s="298"/>
      <c r="S180" s="298"/>
      <c r="T180" s="367"/>
      <c r="U180" s="355"/>
      <c r="V180" s="325"/>
      <c r="W180" s="297"/>
      <c r="X180" s="297"/>
      <c r="Y180" s="298"/>
      <c r="Z180" s="298"/>
      <c r="AA180" s="298"/>
      <c r="AB180" s="297"/>
      <c r="AC180" s="375"/>
      <c r="AD180" s="355"/>
      <c r="AE180" s="377">
        <f>SUM(E180:AC180)</f>
        <v>0</v>
      </c>
      <c r="AF180" s="377"/>
      <c r="AG180" s="390"/>
      <c r="AH180" s="507">
        <f>AE180+AF180</f>
        <v>0</v>
      </c>
      <c r="AI180" s="412"/>
      <c r="AJ180" s="508">
        <f>AH180+AI180</f>
        <v>0</v>
      </c>
    </row>
    <row r="181" spans="1:39" s="283" customFormat="1" ht="21" thickBot="1">
      <c r="A181" s="322"/>
      <c r="B181" s="323"/>
      <c r="C181" s="323"/>
      <c r="D181" s="324"/>
      <c r="E181" s="325"/>
      <c r="F181" s="297"/>
      <c r="G181" s="297"/>
      <c r="H181" s="297"/>
      <c r="I181" s="298"/>
      <c r="J181" s="298"/>
      <c r="K181" s="297"/>
      <c r="L181" s="355"/>
      <c r="M181" s="343"/>
      <c r="N181" s="298"/>
      <c r="O181" s="298"/>
      <c r="P181" s="298"/>
      <c r="Q181" s="298"/>
      <c r="R181" s="298"/>
      <c r="S181" s="298"/>
      <c r="T181" s="367"/>
      <c r="U181" s="355"/>
      <c r="V181" s="325"/>
      <c r="W181" s="297"/>
      <c r="X181" s="297"/>
      <c r="Y181" s="298"/>
      <c r="Z181" s="298"/>
      <c r="AA181" s="298"/>
      <c r="AB181" s="297"/>
      <c r="AC181" s="375"/>
      <c r="AD181" s="355"/>
      <c r="AE181" s="377">
        <f>SUM(E181:AC181)</f>
        <v>0</v>
      </c>
      <c r="AF181" s="377"/>
      <c r="AG181" s="390"/>
      <c r="AH181" s="507">
        <f>AE181+AF181</f>
        <v>0</v>
      </c>
      <c r="AI181" s="412"/>
      <c r="AJ181" s="508">
        <f t="shared" ref="AJ181" si="116">AH181+AI181</f>
        <v>0</v>
      </c>
    </row>
    <row r="182" spans="1:39" s="283" customFormat="1" ht="21" thickBot="1">
      <c r="A182" s="436"/>
      <c r="B182" s="437"/>
      <c r="C182" s="437"/>
      <c r="D182" s="438"/>
      <c r="E182" s="439">
        <f>SUM(E177:E181)</f>
        <v>0</v>
      </c>
      <c r="F182" s="440">
        <f t="shared" ref="F182:L182" si="117">SUM(F177:F181)</f>
        <v>0</v>
      </c>
      <c r="G182" s="440">
        <f t="shared" si="117"/>
        <v>0</v>
      </c>
      <c r="H182" s="440">
        <f t="shared" si="117"/>
        <v>0</v>
      </c>
      <c r="I182" s="440">
        <f t="shared" si="117"/>
        <v>0</v>
      </c>
      <c r="J182" s="440">
        <f t="shared" si="117"/>
        <v>0</v>
      </c>
      <c r="K182" s="440">
        <f t="shared" si="117"/>
        <v>0</v>
      </c>
      <c r="L182" s="440">
        <f t="shared" si="117"/>
        <v>0</v>
      </c>
      <c r="M182" s="439">
        <f t="shared" ref="M182:T182" si="118">SUM(M177:M181)</f>
        <v>0</v>
      </c>
      <c r="N182" s="440">
        <f t="shared" si="118"/>
        <v>0</v>
      </c>
      <c r="O182" s="440">
        <f t="shared" si="118"/>
        <v>0</v>
      </c>
      <c r="P182" s="440">
        <f t="shared" si="118"/>
        <v>0</v>
      </c>
      <c r="Q182" s="440">
        <f t="shared" si="118"/>
        <v>0</v>
      </c>
      <c r="R182" s="440">
        <f t="shared" si="118"/>
        <v>0</v>
      </c>
      <c r="S182" s="440">
        <f t="shared" si="118"/>
        <v>0</v>
      </c>
      <c r="T182" s="481">
        <f t="shared" si="118"/>
        <v>0</v>
      </c>
      <c r="U182" s="482"/>
      <c r="V182" s="439">
        <f t="shared" ref="V182:AC182" si="119">SUM(V177:V181)</f>
        <v>0</v>
      </c>
      <c r="W182" s="440">
        <f t="shared" si="119"/>
        <v>0</v>
      </c>
      <c r="X182" s="440">
        <f t="shared" si="119"/>
        <v>0</v>
      </c>
      <c r="Y182" s="440">
        <f t="shared" si="119"/>
        <v>0</v>
      </c>
      <c r="Z182" s="440">
        <f t="shared" si="119"/>
        <v>0</v>
      </c>
      <c r="AA182" s="440">
        <f t="shared" si="119"/>
        <v>0</v>
      </c>
      <c r="AB182" s="440">
        <f t="shared" si="119"/>
        <v>0</v>
      </c>
      <c r="AC182" s="481">
        <f t="shared" si="119"/>
        <v>0</v>
      </c>
      <c r="AD182" s="482"/>
      <c r="AE182" s="494">
        <f>SUM(AE177:AE181)</f>
        <v>0</v>
      </c>
      <c r="AF182" s="494">
        <f t="shared" ref="AF182:AJ182" si="120">SUM(AF177:AF181)</f>
        <v>0</v>
      </c>
      <c r="AG182" s="494">
        <f t="shared" si="120"/>
        <v>0</v>
      </c>
      <c r="AH182" s="509">
        <f t="shared" si="120"/>
        <v>0</v>
      </c>
      <c r="AI182" s="494">
        <f t="shared" si="120"/>
        <v>0</v>
      </c>
      <c r="AJ182" s="515">
        <f t="shared" si="120"/>
        <v>0</v>
      </c>
    </row>
    <row r="183" spans="1:39" s="284" customFormat="1" ht="8.25" customHeight="1" thickBot="1">
      <c r="A183" s="425"/>
      <c r="B183" s="426"/>
      <c r="C183" s="426"/>
      <c r="D183" s="427"/>
      <c r="E183" s="428"/>
      <c r="F183" s="428"/>
      <c r="G183" s="428"/>
      <c r="H183" s="428"/>
      <c r="I183" s="428"/>
      <c r="J183" s="428"/>
      <c r="K183" s="428"/>
      <c r="L183" s="478"/>
      <c r="M183" s="479"/>
      <c r="N183" s="479"/>
      <c r="O183" s="479"/>
      <c r="P183" s="479"/>
      <c r="Q183" s="479"/>
      <c r="R183" s="479"/>
      <c r="S183" s="479"/>
      <c r="T183" s="479"/>
      <c r="U183" s="478"/>
      <c r="V183" s="479"/>
      <c r="W183" s="479"/>
      <c r="X183" s="479"/>
      <c r="Y183" s="479"/>
      <c r="Z183" s="479"/>
      <c r="AA183" s="479"/>
      <c r="AB183" s="479"/>
      <c r="AC183" s="479"/>
      <c r="AD183" s="478"/>
      <c r="AE183" s="479"/>
      <c r="AF183" s="479"/>
      <c r="AG183" s="479"/>
      <c r="AH183" s="479"/>
      <c r="AI183" s="479"/>
      <c r="AJ183" s="506"/>
      <c r="AK183" s="403"/>
      <c r="AL183" s="403"/>
      <c r="AM183" s="403"/>
    </row>
    <row r="184" spans="1:39" s="282" customFormat="1" ht="18.75" thickBot="1">
      <c r="A184" s="551"/>
      <c r="B184" s="552"/>
      <c r="C184" s="553"/>
      <c r="D184" s="544"/>
      <c r="E184" s="88" t="s">
        <v>358</v>
      </c>
      <c r="F184" s="744" t="s">
        <v>364</v>
      </c>
      <c r="G184" s="30" t="s">
        <v>359</v>
      </c>
      <c r="H184" s="744" t="s">
        <v>365</v>
      </c>
      <c r="I184" s="744" t="s">
        <v>360</v>
      </c>
      <c r="J184" s="751" t="s">
        <v>366</v>
      </c>
      <c r="K184" s="783" t="s">
        <v>361</v>
      </c>
      <c r="L184" s="79" t="s">
        <v>367</v>
      </c>
      <c r="M184" s="80" t="s">
        <v>71</v>
      </c>
      <c r="N184" s="49" t="s">
        <v>482</v>
      </c>
      <c r="O184" s="49" t="s">
        <v>118</v>
      </c>
      <c r="P184" s="49" t="s">
        <v>97</v>
      </c>
      <c r="Q184" s="49" t="s">
        <v>75</v>
      </c>
      <c r="R184" s="49" t="s">
        <v>53</v>
      </c>
      <c r="S184" s="126" t="s">
        <v>77</v>
      </c>
      <c r="T184" s="171" t="s">
        <v>94</v>
      </c>
      <c r="U184" s="79"/>
      <c r="V184" s="80" t="s">
        <v>86</v>
      </c>
      <c r="W184" s="714" t="s">
        <v>368</v>
      </c>
      <c r="X184" s="49" t="s">
        <v>85</v>
      </c>
      <c r="Y184" s="103" t="s">
        <v>101</v>
      </c>
      <c r="Z184" s="104" t="s">
        <v>90</v>
      </c>
      <c r="AA184" s="716"/>
      <c r="AB184" s="121" t="s">
        <v>208</v>
      </c>
      <c r="AC184" s="717" t="s">
        <v>92</v>
      </c>
      <c r="AD184" s="79"/>
      <c r="AE184" s="371" t="s">
        <v>172</v>
      </c>
      <c r="AF184" s="372" t="s">
        <v>80</v>
      </c>
      <c r="AG184" s="385"/>
      <c r="AH184" s="386" t="s">
        <v>106</v>
      </c>
      <c r="AI184" s="385" t="s">
        <v>173</v>
      </c>
      <c r="AJ184" s="371" t="s">
        <v>108</v>
      </c>
    </row>
    <row r="185" spans="1:39" s="283" customFormat="1" ht="20.25">
      <c r="A185" s="442"/>
      <c r="B185" s="443"/>
      <c r="C185" s="443"/>
      <c r="D185" s="444"/>
      <c r="E185" s="433"/>
      <c r="F185" s="434"/>
      <c r="G185" s="434"/>
      <c r="H185" s="434"/>
      <c r="I185" s="435"/>
      <c r="J185" s="435"/>
      <c r="K185" s="434"/>
      <c r="L185" s="483"/>
      <c r="M185" s="484"/>
      <c r="N185" s="435"/>
      <c r="O185" s="435"/>
      <c r="P185" s="435"/>
      <c r="Q185" s="435"/>
      <c r="R185" s="435"/>
      <c r="S185" s="435"/>
      <c r="T185" s="492"/>
      <c r="U185" s="483"/>
      <c r="V185" s="433"/>
      <c r="W185" s="434"/>
      <c r="X185" s="434"/>
      <c r="Y185" s="435"/>
      <c r="Z185" s="435"/>
      <c r="AA185" s="435"/>
      <c r="AB185" s="434"/>
      <c r="AC185" s="495"/>
      <c r="AD185" s="483"/>
      <c r="AE185" s="496">
        <f>SUM(E185:AC185)</f>
        <v>0</v>
      </c>
      <c r="AF185" s="497"/>
      <c r="AG185" s="510"/>
      <c r="AH185" s="511">
        <f>AE185+AF185</f>
        <v>0</v>
      </c>
      <c r="AI185" s="512"/>
      <c r="AJ185" s="513">
        <f>AH185+AI185</f>
        <v>0</v>
      </c>
    </row>
    <row r="186" spans="1:39" s="283" customFormat="1" ht="20.25">
      <c r="A186" s="445"/>
      <c r="B186" s="323"/>
      <c r="C186" s="323"/>
      <c r="D186" s="324"/>
      <c r="E186" s="325"/>
      <c r="F186" s="297"/>
      <c r="G186" s="297"/>
      <c r="H186" s="297"/>
      <c r="I186" s="298"/>
      <c r="J186" s="298"/>
      <c r="K186" s="297"/>
      <c r="L186" s="355"/>
      <c r="M186" s="343"/>
      <c r="N186" s="298"/>
      <c r="O186" s="298"/>
      <c r="P186" s="298"/>
      <c r="Q186" s="298"/>
      <c r="R186" s="298"/>
      <c r="S186" s="298"/>
      <c r="T186" s="367"/>
      <c r="U186" s="355"/>
      <c r="V186" s="325"/>
      <c r="W186" s="297"/>
      <c r="X186" s="297"/>
      <c r="Y186" s="298"/>
      <c r="Z186" s="298"/>
      <c r="AA186" s="298"/>
      <c r="AB186" s="297"/>
      <c r="AC186" s="375"/>
      <c r="AD186" s="355"/>
      <c r="AE186" s="376">
        <f>SUM(E186:AC186)</f>
        <v>0</v>
      </c>
      <c r="AF186" s="377"/>
      <c r="AG186" s="390"/>
      <c r="AH186" s="391">
        <f>AE186+AF186</f>
        <v>0</v>
      </c>
      <c r="AI186" s="412"/>
      <c r="AJ186" s="413">
        <f t="shared" ref="AJ186:AJ188" si="121">AH186+AI186</f>
        <v>0</v>
      </c>
    </row>
    <row r="187" spans="1:39" s="283" customFormat="1" ht="20.25">
      <c r="A187" s="445"/>
      <c r="B187" s="323"/>
      <c r="C187" s="323"/>
      <c r="D187" s="324"/>
      <c r="E187" s="325"/>
      <c r="F187" s="297"/>
      <c r="G187" s="297"/>
      <c r="H187" s="297"/>
      <c r="I187" s="298"/>
      <c r="J187" s="298"/>
      <c r="K187" s="297"/>
      <c r="L187" s="355"/>
      <c r="M187" s="343"/>
      <c r="N187" s="298"/>
      <c r="O187" s="298"/>
      <c r="P187" s="298"/>
      <c r="Q187" s="298"/>
      <c r="R187" s="298"/>
      <c r="S187" s="298"/>
      <c r="T187" s="367"/>
      <c r="U187" s="355"/>
      <c r="V187" s="325"/>
      <c r="W187" s="297"/>
      <c r="X187" s="297"/>
      <c r="Y187" s="298"/>
      <c r="Z187" s="298"/>
      <c r="AA187" s="298"/>
      <c r="AB187" s="297"/>
      <c r="AC187" s="375"/>
      <c r="AD187" s="355"/>
      <c r="AE187" s="376">
        <f>SUM(E187:AC187)</f>
        <v>0</v>
      </c>
      <c r="AF187" s="377"/>
      <c r="AG187" s="390"/>
      <c r="AH187" s="391">
        <f>AE187+AF187</f>
        <v>0</v>
      </c>
      <c r="AI187" s="412"/>
      <c r="AJ187" s="413">
        <f t="shared" si="121"/>
        <v>0</v>
      </c>
    </row>
    <row r="188" spans="1:39" s="283" customFormat="1" ht="21" thickBot="1">
      <c r="A188" s="322"/>
      <c r="B188" s="323"/>
      <c r="C188" s="323"/>
      <c r="D188" s="324"/>
      <c r="E188" s="325"/>
      <c r="F188" s="297"/>
      <c r="G188" s="297"/>
      <c r="H188" s="297"/>
      <c r="I188" s="298"/>
      <c r="J188" s="298"/>
      <c r="K188" s="297"/>
      <c r="L188" s="355"/>
      <c r="M188" s="343"/>
      <c r="N188" s="298"/>
      <c r="O188" s="298"/>
      <c r="P188" s="298"/>
      <c r="Q188" s="298"/>
      <c r="R188" s="298"/>
      <c r="S188" s="298"/>
      <c r="T188" s="367"/>
      <c r="U188" s="355"/>
      <c r="V188" s="325"/>
      <c r="W188" s="297"/>
      <c r="X188" s="297"/>
      <c r="Y188" s="298"/>
      <c r="Z188" s="298"/>
      <c r="AA188" s="298"/>
      <c r="AB188" s="297"/>
      <c r="AC188" s="375"/>
      <c r="AD188" s="355"/>
      <c r="AE188" s="377">
        <f>SUM(E188:AC188)</f>
        <v>0</v>
      </c>
      <c r="AF188" s="377"/>
      <c r="AG188" s="390"/>
      <c r="AH188" s="507">
        <f>AE188+AF188</f>
        <v>0</v>
      </c>
      <c r="AI188" s="412"/>
      <c r="AJ188" s="508">
        <f t="shared" si="121"/>
        <v>0</v>
      </c>
    </row>
    <row r="189" spans="1:39" s="283" customFormat="1" ht="21" thickBot="1">
      <c r="A189" s="436"/>
      <c r="B189" s="437"/>
      <c r="C189" s="437"/>
      <c r="D189" s="438"/>
      <c r="E189" s="439">
        <f>SUM(E185:E188)</f>
        <v>0</v>
      </c>
      <c r="F189" s="439">
        <f t="shared" ref="F189:M189" si="122">SUM(F185:F188)</f>
        <v>0</v>
      </c>
      <c r="G189" s="439">
        <f t="shared" si="122"/>
        <v>0</v>
      </c>
      <c r="H189" s="439">
        <f t="shared" si="122"/>
        <v>0</v>
      </c>
      <c r="I189" s="439">
        <f t="shared" si="122"/>
        <v>0</v>
      </c>
      <c r="J189" s="439">
        <f t="shared" si="122"/>
        <v>0</v>
      </c>
      <c r="K189" s="439">
        <f t="shared" si="122"/>
        <v>0</v>
      </c>
      <c r="L189" s="439">
        <f t="shared" si="122"/>
        <v>0</v>
      </c>
      <c r="M189" s="439">
        <f t="shared" si="122"/>
        <v>0</v>
      </c>
      <c r="N189" s="439">
        <f t="shared" ref="N189:T189" si="123">SUM(N185:N188)</f>
        <v>0</v>
      </c>
      <c r="O189" s="439">
        <f t="shared" si="123"/>
        <v>0</v>
      </c>
      <c r="P189" s="439">
        <f t="shared" si="123"/>
        <v>0</v>
      </c>
      <c r="Q189" s="439">
        <f t="shared" si="123"/>
        <v>0</v>
      </c>
      <c r="R189" s="439">
        <f t="shared" si="123"/>
        <v>0</v>
      </c>
      <c r="S189" s="439">
        <f t="shared" si="123"/>
        <v>0</v>
      </c>
      <c r="T189" s="439">
        <f t="shared" si="123"/>
        <v>0</v>
      </c>
      <c r="U189" s="482"/>
      <c r="V189" s="439">
        <f>SUM(V185:V188)</f>
        <v>0</v>
      </c>
      <c r="W189" s="439">
        <f t="shared" ref="W189:AC189" si="124">SUM(W185:W188)</f>
        <v>0</v>
      </c>
      <c r="X189" s="439">
        <f t="shared" si="124"/>
        <v>0</v>
      </c>
      <c r="Y189" s="439">
        <f t="shared" si="124"/>
        <v>0</v>
      </c>
      <c r="Z189" s="439">
        <f t="shared" si="124"/>
        <v>0</v>
      </c>
      <c r="AA189" s="439">
        <f t="shared" si="124"/>
        <v>0</v>
      </c>
      <c r="AB189" s="439">
        <f t="shared" si="124"/>
        <v>0</v>
      </c>
      <c r="AC189" s="439">
        <f t="shared" si="124"/>
        <v>0</v>
      </c>
      <c r="AD189" s="482"/>
      <c r="AE189" s="494">
        <f>SUM(AE185:AE188)</f>
        <v>0</v>
      </c>
      <c r="AF189" s="494">
        <f>SUM(AF185:AF188)</f>
        <v>0</v>
      </c>
      <c r="AG189" s="509"/>
      <c r="AH189" s="514">
        <f>SUM(AH185:AH188)</f>
        <v>0</v>
      </c>
      <c r="AI189" s="494">
        <f>SUM(AI185:AI188)</f>
        <v>0</v>
      </c>
      <c r="AJ189" s="515">
        <f>SUM(AJ185:AJ188)</f>
        <v>0</v>
      </c>
    </row>
    <row r="190" spans="1:39" s="284" customFormat="1" ht="8.25" customHeight="1" thickBot="1">
      <c r="A190" s="425"/>
      <c r="B190" s="426"/>
      <c r="C190" s="426"/>
      <c r="D190" s="427"/>
      <c r="E190" s="428"/>
      <c r="F190" s="428"/>
      <c r="G190" s="428"/>
      <c r="H190" s="428"/>
      <c r="I190" s="428"/>
      <c r="J190" s="428"/>
      <c r="K190" s="428"/>
      <c r="L190" s="478"/>
      <c r="M190" s="479"/>
      <c r="N190" s="479"/>
      <c r="O190" s="479"/>
      <c r="P190" s="479"/>
      <c r="Q190" s="479"/>
      <c r="R190" s="479"/>
      <c r="S190" s="479"/>
      <c r="T190" s="479"/>
      <c r="U190" s="478"/>
      <c r="V190" s="479"/>
      <c r="W190" s="479"/>
      <c r="X190" s="479"/>
      <c r="Y190" s="479"/>
      <c r="Z190" s="479"/>
      <c r="AA190" s="479"/>
      <c r="AB190" s="479"/>
      <c r="AC190" s="479"/>
      <c r="AD190" s="478"/>
      <c r="AE190" s="479"/>
      <c r="AF190" s="479"/>
      <c r="AG190" s="479"/>
      <c r="AH190" s="479"/>
      <c r="AI190" s="479"/>
      <c r="AJ190" s="506"/>
      <c r="AK190" s="403"/>
      <c r="AL190" s="403"/>
      <c r="AM190" s="403"/>
    </row>
    <row r="191" spans="1:39" s="282" customFormat="1" ht="16.5" thickBot="1">
      <c r="A191" s="446" t="s">
        <v>140</v>
      </c>
      <c r="B191" s="287" t="s">
        <v>68</v>
      </c>
      <c r="C191" s="447" t="s">
        <v>69</v>
      </c>
      <c r="D191" s="448" t="s">
        <v>70</v>
      </c>
      <c r="E191" s="88" t="s">
        <v>358</v>
      </c>
      <c r="F191" s="744" t="s">
        <v>364</v>
      </c>
      <c r="G191" s="30" t="s">
        <v>359</v>
      </c>
      <c r="H191" s="744" t="s">
        <v>365</v>
      </c>
      <c r="I191" s="744" t="s">
        <v>360</v>
      </c>
      <c r="J191" s="751" t="s">
        <v>366</v>
      </c>
      <c r="K191" s="783" t="s">
        <v>361</v>
      </c>
      <c r="L191" s="79" t="s">
        <v>367</v>
      </c>
      <c r="M191" s="80" t="s">
        <v>71</v>
      </c>
      <c r="N191" s="49" t="s">
        <v>482</v>
      </c>
      <c r="O191" s="49" t="s">
        <v>118</v>
      </c>
      <c r="P191" s="49" t="s">
        <v>97</v>
      </c>
      <c r="Q191" s="49" t="s">
        <v>75</v>
      </c>
      <c r="R191" s="49" t="s">
        <v>53</v>
      </c>
      <c r="S191" s="126" t="s">
        <v>77</v>
      </c>
      <c r="T191" s="171" t="s">
        <v>94</v>
      </c>
      <c r="U191" s="79"/>
      <c r="V191" s="80" t="s">
        <v>86</v>
      </c>
      <c r="W191" s="714" t="s">
        <v>368</v>
      </c>
      <c r="X191" s="49" t="s">
        <v>85</v>
      </c>
      <c r="Y191" s="103" t="s">
        <v>101</v>
      </c>
      <c r="Z191" s="104" t="s">
        <v>90</v>
      </c>
      <c r="AA191" s="716" t="s">
        <v>390</v>
      </c>
      <c r="AB191" s="121" t="s">
        <v>208</v>
      </c>
      <c r="AC191" s="717" t="s">
        <v>92</v>
      </c>
      <c r="AD191" s="79"/>
      <c r="AE191" s="371" t="s">
        <v>172</v>
      </c>
      <c r="AF191" s="498" t="s">
        <v>80</v>
      </c>
      <c r="AG191" s="385"/>
      <c r="AH191" s="386" t="s">
        <v>106</v>
      </c>
      <c r="AI191" s="385" t="s">
        <v>173</v>
      </c>
      <c r="AJ191" s="371" t="s">
        <v>108</v>
      </c>
    </row>
    <row r="192" spans="1:39" s="283" customFormat="1" ht="20.25">
      <c r="A192" s="449" t="s">
        <v>180</v>
      </c>
      <c r="B192" s="450"/>
      <c r="C192" s="450"/>
      <c r="D192" s="451"/>
      <c r="E192" s="452"/>
      <c r="F192" s="453"/>
      <c r="G192" s="453"/>
      <c r="H192" s="453"/>
      <c r="I192" s="454"/>
      <c r="J192" s="454"/>
      <c r="K192" s="453"/>
      <c r="L192" s="355"/>
      <c r="M192" s="343"/>
      <c r="N192" s="298"/>
      <c r="O192" s="435"/>
      <c r="P192" s="298"/>
      <c r="Q192" s="298"/>
      <c r="R192" s="435"/>
      <c r="S192" s="298"/>
      <c r="T192" s="367"/>
      <c r="U192" s="355"/>
      <c r="V192" s="325"/>
      <c r="W192" s="297"/>
      <c r="X192" s="297"/>
      <c r="Y192" s="298"/>
      <c r="Z192" s="298"/>
      <c r="AA192" s="298"/>
      <c r="AB192" s="297"/>
      <c r="AC192" s="375"/>
      <c r="AD192" s="355"/>
      <c r="AE192" s="376">
        <f t="shared" ref="AE192:AE197" si="125">SUM(E192:AC192)</f>
        <v>0</v>
      </c>
      <c r="AF192" s="499"/>
      <c r="AG192" s="516"/>
      <c r="AH192" s="391">
        <f t="shared" ref="AH192:AH197" si="126">AE192+AF192</f>
        <v>0</v>
      </c>
      <c r="AI192" s="412"/>
      <c r="AJ192" s="413">
        <f>AH192+AI192</f>
        <v>0</v>
      </c>
    </row>
    <row r="193" spans="1:39" s="283" customFormat="1" ht="20.25">
      <c r="A193" s="445"/>
      <c r="B193" s="455"/>
      <c r="C193" s="455"/>
      <c r="D193" s="456"/>
      <c r="E193" s="457"/>
      <c r="F193" s="458"/>
      <c r="G193" s="458"/>
      <c r="H193" s="458"/>
      <c r="I193" s="459"/>
      <c r="J193" s="459"/>
      <c r="K193" s="458"/>
      <c r="L193" s="355"/>
      <c r="M193" s="756"/>
      <c r="N193" s="459"/>
      <c r="O193" s="459"/>
      <c r="P193" s="459"/>
      <c r="Q193" s="459"/>
      <c r="R193" s="459"/>
      <c r="S193" s="459"/>
      <c r="T193" s="761"/>
      <c r="U193" s="355"/>
      <c r="V193" s="458"/>
      <c r="W193" s="458"/>
      <c r="X193" s="458"/>
      <c r="Y193" s="459"/>
      <c r="Z193" s="459"/>
      <c r="AA193" s="459"/>
      <c r="AB193" s="458"/>
      <c r="AC193" s="458"/>
      <c r="AD193" s="355"/>
      <c r="AE193" s="376">
        <f t="shared" si="125"/>
        <v>0</v>
      </c>
      <c r="AF193" s="500"/>
      <c r="AG193" s="516"/>
      <c r="AH193" s="391">
        <f t="shared" si="126"/>
        <v>0</v>
      </c>
      <c r="AI193" s="412"/>
      <c r="AJ193" s="413">
        <f t="shared" ref="AJ193:AJ194" si="127">AH193+AI193</f>
        <v>0</v>
      </c>
    </row>
    <row r="194" spans="1:39" s="283" customFormat="1" ht="20.25">
      <c r="A194" s="442"/>
      <c r="B194" s="455"/>
      <c r="C194" s="455"/>
      <c r="D194" s="456"/>
      <c r="E194" s="457"/>
      <c r="F194" s="458"/>
      <c r="G194" s="458"/>
      <c r="H194" s="458"/>
      <c r="I194" s="459"/>
      <c r="J194" s="459"/>
      <c r="K194" s="458"/>
      <c r="L194" s="483"/>
      <c r="M194" s="484"/>
      <c r="N194" s="435"/>
      <c r="O194" s="435"/>
      <c r="P194" s="435"/>
      <c r="Q194" s="435"/>
      <c r="R194" s="435"/>
      <c r="S194" s="435"/>
      <c r="T194" s="492"/>
      <c r="U194" s="483"/>
      <c r="V194" s="458"/>
      <c r="W194" s="458"/>
      <c r="X194" s="458"/>
      <c r="Y194" s="459"/>
      <c r="Z194" s="459"/>
      <c r="AA194" s="459"/>
      <c r="AB194" s="458"/>
      <c r="AC194" s="458"/>
      <c r="AD194" s="483"/>
      <c r="AE194" s="496">
        <f t="shared" si="125"/>
        <v>0</v>
      </c>
      <c r="AF194" s="500"/>
      <c r="AG194" s="517"/>
      <c r="AH194" s="511">
        <f t="shared" si="126"/>
        <v>0</v>
      </c>
      <c r="AI194" s="512"/>
      <c r="AJ194" s="513">
        <f t="shared" si="127"/>
        <v>0</v>
      </c>
    </row>
    <row r="195" spans="1:39" s="283" customFormat="1" ht="20.25">
      <c r="A195" s="445"/>
      <c r="B195" s="455"/>
      <c r="C195" s="455"/>
      <c r="D195" s="456"/>
      <c r="E195" s="457"/>
      <c r="F195" s="458"/>
      <c r="G195" s="458"/>
      <c r="H195" s="458"/>
      <c r="I195" s="459"/>
      <c r="J195" s="459"/>
      <c r="K195" s="458"/>
      <c r="L195" s="355"/>
      <c r="M195" s="343"/>
      <c r="N195" s="298"/>
      <c r="O195" s="298"/>
      <c r="P195" s="298"/>
      <c r="Q195" s="298"/>
      <c r="R195" s="298"/>
      <c r="S195" s="298"/>
      <c r="T195" s="367"/>
      <c r="U195" s="355"/>
      <c r="V195" s="325"/>
      <c r="W195" s="297"/>
      <c r="X195" s="297"/>
      <c r="Y195" s="298"/>
      <c r="Z195" s="298"/>
      <c r="AA195" s="298"/>
      <c r="AB195" s="297"/>
      <c r="AC195" s="375"/>
      <c r="AD195" s="355"/>
      <c r="AE195" s="376">
        <f t="shared" si="125"/>
        <v>0</v>
      </c>
      <c r="AF195" s="500"/>
      <c r="AG195" s="516"/>
      <c r="AH195" s="391">
        <f t="shared" si="126"/>
        <v>0</v>
      </c>
      <c r="AI195" s="412"/>
      <c r="AJ195" s="413">
        <f t="shared" ref="AJ195:AJ197" si="128">AH195+AI195</f>
        <v>0</v>
      </c>
    </row>
    <row r="196" spans="1:39" s="283" customFormat="1" ht="20.25">
      <c r="A196" s="445"/>
      <c r="B196" s="455"/>
      <c r="C196" s="455"/>
      <c r="D196" s="456"/>
      <c r="E196" s="457"/>
      <c r="F196" s="458"/>
      <c r="G196" s="458"/>
      <c r="H196" s="458"/>
      <c r="I196" s="459"/>
      <c r="J196" s="459"/>
      <c r="K196" s="458"/>
      <c r="L196" s="355"/>
      <c r="M196" s="343"/>
      <c r="N196" s="298"/>
      <c r="O196" s="298"/>
      <c r="P196" s="298"/>
      <c r="Q196" s="298"/>
      <c r="R196" s="298"/>
      <c r="S196" s="298"/>
      <c r="T196" s="367"/>
      <c r="U196" s="355"/>
      <c r="V196" s="325"/>
      <c r="W196" s="297"/>
      <c r="X196" s="297"/>
      <c r="Y196" s="298"/>
      <c r="Z196" s="298"/>
      <c r="AA196" s="298"/>
      <c r="AB196" s="297"/>
      <c r="AC196" s="375"/>
      <c r="AD196" s="355"/>
      <c r="AE196" s="376">
        <f t="shared" si="125"/>
        <v>0</v>
      </c>
      <c r="AF196" s="500"/>
      <c r="AG196" s="516"/>
      <c r="AH196" s="391">
        <f t="shared" si="126"/>
        <v>0</v>
      </c>
      <c r="AI196" s="412"/>
      <c r="AJ196" s="413">
        <f t="shared" si="128"/>
        <v>0</v>
      </c>
    </row>
    <row r="197" spans="1:39" s="283" customFormat="1" ht="21" thickBot="1">
      <c r="A197" s="460"/>
      <c r="B197" s="461"/>
      <c r="C197" s="461"/>
      <c r="D197" s="462"/>
      <c r="E197" s="463"/>
      <c r="F197" s="464"/>
      <c r="G197" s="464"/>
      <c r="H197" s="464"/>
      <c r="I197" s="465"/>
      <c r="J197" s="465"/>
      <c r="K197" s="464"/>
      <c r="L197" s="355"/>
      <c r="M197" s="343"/>
      <c r="N197" s="298"/>
      <c r="O197" s="298"/>
      <c r="P197" s="298"/>
      <c r="Q197" s="298"/>
      <c r="R197" s="298"/>
      <c r="S197" s="298"/>
      <c r="T197" s="367"/>
      <c r="U197" s="355"/>
      <c r="V197" s="325"/>
      <c r="W197" s="297"/>
      <c r="X197" s="297"/>
      <c r="Y197" s="298"/>
      <c r="Z197" s="298"/>
      <c r="AA197" s="298"/>
      <c r="AB197" s="297"/>
      <c r="AC197" s="375"/>
      <c r="AD197" s="355"/>
      <c r="AE197" s="377">
        <f t="shared" si="125"/>
        <v>0</v>
      </c>
      <c r="AF197" s="501"/>
      <c r="AG197" s="516"/>
      <c r="AH197" s="507">
        <f t="shared" si="126"/>
        <v>0</v>
      </c>
      <c r="AI197" s="412"/>
      <c r="AJ197" s="508">
        <f t="shared" si="128"/>
        <v>0</v>
      </c>
    </row>
    <row r="198" spans="1:39" s="283" customFormat="1" ht="21" thickBot="1">
      <c r="A198" s="466"/>
      <c r="B198" s="467"/>
      <c r="C198" s="467"/>
      <c r="D198" s="468"/>
      <c r="E198" s="469">
        <f>SUM(E192:E197)</f>
        <v>0</v>
      </c>
      <c r="F198" s="469">
        <f t="shared" ref="F198:L198" si="129">SUM(F192:F197)</f>
        <v>0</v>
      </c>
      <c r="G198" s="469">
        <f t="shared" si="129"/>
        <v>0</v>
      </c>
      <c r="H198" s="469">
        <f t="shared" si="129"/>
        <v>0</v>
      </c>
      <c r="I198" s="469">
        <f t="shared" si="129"/>
        <v>0</v>
      </c>
      <c r="J198" s="469">
        <f t="shared" si="129"/>
        <v>0</v>
      </c>
      <c r="K198" s="469">
        <f t="shared" si="129"/>
        <v>0</v>
      </c>
      <c r="L198" s="758">
        <f t="shared" si="129"/>
        <v>0</v>
      </c>
      <c r="M198" s="439">
        <f>SUM(M192:M197)</f>
        <v>0</v>
      </c>
      <c r="N198" s="439">
        <f t="shared" ref="N198:T198" si="130">SUM(N192:N197)</f>
        <v>0</v>
      </c>
      <c r="O198" s="439">
        <f t="shared" si="130"/>
        <v>0</v>
      </c>
      <c r="P198" s="439">
        <f t="shared" si="130"/>
        <v>0</v>
      </c>
      <c r="Q198" s="439">
        <f t="shared" si="130"/>
        <v>0</v>
      </c>
      <c r="R198" s="439">
        <f t="shared" si="130"/>
        <v>0</v>
      </c>
      <c r="S198" s="439">
        <f t="shared" si="130"/>
        <v>0</v>
      </c>
      <c r="T198" s="439">
        <f t="shared" si="130"/>
        <v>0</v>
      </c>
      <c r="U198" s="482"/>
      <c r="V198" s="439">
        <f>SUM(V192:V197)</f>
        <v>0</v>
      </c>
      <c r="W198" s="439">
        <f t="shared" ref="W198:AC198" si="131">SUM(W192:W197)</f>
        <v>0</v>
      </c>
      <c r="X198" s="439">
        <f t="shared" si="131"/>
        <v>0</v>
      </c>
      <c r="Y198" s="439">
        <f t="shared" si="131"/>
        <v>0</v>
      </c>
      <c r="Z198" s="439">
        <f t="shared" si="131"/>
        <v>0</v>
      </c>
      <c r="AA198" s="439">
        <f t="shared" si="131"/>
        <v>0</v>
      </c>
      <c r="AB198" s="439">
        <f t="shared" si="131"/>
        <v>0</v>
      </c>
      <c r="AC198" s="439">
        <f t="shared" si="131"/>
        <v>0</v>
      </c>
      <c r="AD198" s="482"/>
      <c r="AE198" s="494">
        <f>SUM(AE192:AE197)</f>
        <v>0</v>
      </c>
      <c r="AF198" s="502">
        <f>SUM(AF192:AF197)</f>
        <v>0</v>
      </c>
      <c r="AG198" s="509"/>
      <c r="AH198" s="514">
        <f>SUM(AH192:AH197)</f>
        <v>0</v>
      </c>
      <c r="AI198" s="494">
        <f>SUM(AI192:AI197)</f>
        <v>0</v>
      </c>
      <c r="AJ198" s="515">
        <f>SUM(AJ192:AJ197)</f>
        <v>0</v>
      </c>
    </row>
    <row r="199" spans="1:39" s="284" customFormat="1" ht="8.25" customHeight="1" thickBot="1">
      <c r="A199" s="425"/>
      <c r="B199" s="426"/>
      <c r="C199" s="426"/>
      <c r="D199" s="427"/>
      <c r="E199" s="428"/>
      <c r="F199" s="428"/>
      <c r="G199" s="428"/>
      <c r="H199" s="428"/>
      <c r="I199" s="428"/>
      <c r="J199" s="428"/>
      <c r="K199" s="428"/>
      <c r="L199" s="478"/>
      <c r="M199" s="479"/>
      <c r="N199" s="479"/>
      <c r="O199" s="479"/>
      <c r="P199" s="479"/>
      <c r="Q199" s="479"/>
      <c r="R199" s="479"/>
      <c r="S199" s="479"/>
      <c r="T199" s="479"/>
      <c r="U199" s="478"/>
      <c r="V199" s="479"/>
      <c r="W199" s="479"/>
      <c r="X199" s="479"/>
      <c r="Y199" s="479"/>
      <c r="Z199" s="479"/>
      <c r="AA199" s="479"/>
      <c r="AB199" s="479"/>
      <c r="AC199" s="479"/>
      <c r="AD199" s="478"/>
      <c r="AE199" s="479"/>
      <c r="AF199" s="479"/>
      <c r="AG199" s="479"/>
      <c r="AH199" s="479"/>
      <c r="AI199" s="479"/>
      <c r="AJ199" s="506"/>
      <c r="AK199" s="403"/>
      <c r="AL199" s="403"/>
      <c r="AM199" s="403"/>
    </row>
    <row r="200" spans="1:39" s="282" customFormat="1" ht="18.75" thickBot="1">
      <c r="A200" s="441" t="s">
        <v>143</v>
      </c>
      <c r="B200" s="287" t="s">
        <v>68</v>
      </c>
      <c r="C200" s="287" t="s">
        <v>69</v>
      </c>
      <c r="D200" s="288" t="s">
        <v>70</v>
      </c>
      <c r="E200" s="88" t="s">
        <v>358</v>
      </c>
      <c r="F200" s="744" t="s">
        <v>364</v>
      </c>
      <c r="G200" s="30" t="s">
        <v>359</v>
      </c>
      <c r="H200" s="744" t="s">
        <v>365</v>
      </c>
      <c r="I200" s="744" t="s">
        <v>360</v>
      </c>
      <c r="J200" s="751" t="s">
        <v>366</v>
      </c>
      <c r="K200" s="783" t="s">
        <v>361</v>
      </c>
      <c r="L200" s="79" t="s">
        <v>367</v>
      </c>
      <c r="M200" s="80" t="s">
        <v>71</v>
      </c>
      <c r="N200" s="49" t="s">
        <v>482</v>
      </c>
      <c r="O200" s="49" t="s">
        <v>118</v>
      </c>
      <c r="P200" s="49" t="s">
        <v>97</v>
      </c>
      <c r="Q200" s="49" t="s">
        <v>75</v>
      </c>
      <c r="R200" s="49" t="s">
        <v>53</v>
      </c>
      <c r="S200" s="126" t="s">
        <v>77</v>
      </c>
      <c r="T200" s="171" t="s">
        <v>94</v>
      </c>
      <c r="U200" s="79"/>
      <c r="V200" s="80" t="s">
        <v>86</v>
      </c>
      <c r="W200" s="714" t="s">
        <v>368</v>
      </c>
      <c r="X200" s="49" t="s">
        <v>85</v>
      </c>
      <c r="Y200" s="103" t="s">
        <v>101</v>
      </c>
      <c r="Z200" s="104" t="s">
        <v>90</v>
      </c>
      <c r="AA200" s="716" t="s">
        <v>390</v>
      </c>
      <c r="AB200" s="121" t="s">
        <v>208</v>
      </c>
      <c r="AC200" s="717" t="s">
        <v>92</v>
      </c>
      <c r="AD200" s="79"/>
      <c r="AE200" s="371" t="s">
        <v>172</v>
      </c>
      <c r="AF200" s="372" t="s">
        <v>80</v>
      </c>
      <c r="AG200" s="385"/>
      <c r="AH200" s="386" t="s">
        <v>106</v>
      </c>
      <c r="AI200" s="385" t="s">
        <v>173</v>
      </c>
      <c r="AJ200" s="371" t="s">
        <v>108</v>
      </c>
    </row>
    <row r="201" spans="1:39" s="283" customFormat="1" ht="20.25">
      <c r="A201" s="471" t="s">
        <v>181</v>
      </c>
      <c r="B201" s="472"/>
      <c r="C201" s="472"/>
      <c r="D201" s="473"/>
      <c r="E201" s="474"/>
      <c r="F201" s="475"/>
      <c r="G201" s="475"/>
      <c r="H201" s="475"/>
      <c r="I201" s="476"/>
      <c r="J201" s="476"/>
      <c r="K201" s="475"/>
      <c r="L201" s="490"/>
      <c r="M201" s="491"/>
      <c r="N201" s="476"/>
      <c r="O201" s="476"/>
      <c r="P201" s="476"/>
      <c r="Q201" s="476"/>
      <c r="R201" s="476"/>
      <c r="S201" s="476"/>
      <c r="T201" s="493"/>
      <c r="U201" s="490"/>
      <c r="V201" s="474"/>
      <c r="W201" s="475"/>
      <c r="X201" s="475"/>
      <c r="Y201" s="476"/>
      <c r="Z201" s="476"/>
      <c r="AA201" s="476"/>
      <c r="AB201" s="475"/>
      <c r="AC201" s="503"/>
      <c r="AD201" s="490"/>
      <c r="AE201" s="504">
        <f>SUM(E201:AC201)</f>
        <v>0</v>
      </c>
      <c r="AF201" s="505"/>
      <c r="AG201" s="518"/>
      <c r="AH201" s="519">
        <f>AE201+AF201</f>
        <v>0</v>
      </c>
      <c r="AI201" s="520"/>
      <c r="AJ201" s="521">
        <f>AH201+AI201</f>
        <v>0</v>
      </c>
    </row>
    <row r="202" spans="1:39" s="283" customFormat="1" ht="20.25">
      <c r="A202" s="445"/>
      <c r="B202" s="323"/>
      <c r="C202" s="323"/>
      <c r="D202" s="324"/>
      <c r="E202" s="325"/>
      <c r="F202" s="297"/>
      <c r="G202" s="297"/>
      <c r="H202" s="297"/>
      <c r="I202" s="298"/>
      <c r="J202" s="298"/>
      <c r="K202" s="297"/>
      <c r="L202" s="355"/>
      <c r="M202" s="343"/>
      <c r="N202" s="298"/>
      <c r="O202" s="298"/>
      <c r="P202" s="298"/>
      <c r="Q202" s="298"/>
      <c r="R202" s="298"/>
      <c r="S202" s="298"/>
      <c r="T202" s="367"/>
      <c r="U202" s="355"/>
      <c r="V202" s="325"/>
      <c r="W202" s="297"/>
      <c r="X202" s="297"/>
      <c r="Y202" s="298"/>
      <c r="Z202" s="298"/>
      <c r="AA202" s="298"/>
      <c r="AB202" s="297"/>
      <c r="AC202" s="375"/>
      <c r="AD202" s="355"/>
      <c r="AE202" s="376">
        <f>SUM(E202:AC202)</f>
        <v>0</v>
      </c>
      <c r="AF202" s="377"/>
      <c r="AG202" s="390"/>
      <c r="AH202" s="391">
        <f>AE202+AF202</f>
        <v>0</v>
      </c>
      <c r="AI202" s="412"/>
      <c r="AJ202" s="413">
        <f t="shared" ref="AJ202:AJ205" si="132">AH202+AI202</f>
        <v>0</v>
      </c>
    </row>
    <row r="203" spans="1:39" s="283" customFormat="1" ht="20.25">
      <c r="A203" s="445"/>
      <c r="B203" s="323"/>
      <c r="C203" s="323"/>
      <c r="D203" s="324"/>
      <c r="E203" s="325"/>
      <c r="F203" s="297"/>
      <c r="G203" s="297"/>
      <c r="H203" s="297"/>
      <c r="I203" s="298"/>
      <c r="J203" s="298"/>
      <c r="K203" s="297"/>
      <c r="L203" s="355"/>
      <c r="M203" s="343"/>
      <c r="N203" s="298"/>
      <c r="O203" s="298"/>
      <c r="P203" s="298"/>
      <c r="Q203" s="298"/>
      <c r="R203" s="298"/>
      <c r="S203" s="298"/>
      <c r="T203" s="367"/>
      <c r="U203" s="355"/>
      <c r="V203" s="325"/>
      <c r="W203" s="297"/>
      <c r="X203" s="297"/>
      <c r="Y203" s="298"/>
      <c r="Z203" s="298"/>
      <c r="AA203" s="298"/>
      <c r="AB203" s="297"/>
      <c r="AC203" s="375"/>
      <c r="AD203" s="355"/>
      <c r="AE203" s="376">
        <f>SUM(E203:AC203)</f>
        <v>0</v>
      </c>
      <c r="AF203" s="377"/>
      <c r="AG203" s="390"/>
      <c r="AH203" s="391">
        <f>AE203+AF203</f>
        <v>0</v>
      </c>
      <c r="AI203" s="412"/>
      <c r="AJ203" s="413">
        <f t="shared" si="132"/>
        <v>0</v>
      </c>
    </row>
    <row r="204" spans="1:39" s="283" customFormat="1" ht="20.25">
      <c r="A204" s="445"/>
      <c r="B204" s="323"/>
      <c r="C204" s="323"/>
      <c r="D204" s="324"/>
      <c r="E204" s="325"/>
      <c r="F204" s="297"/>
      <c r="G204" s="297"/>
      <c r="H204" s="297"/>
      <c r="I204" s="298"/>
      <c r="J204" s="298"/>
      <c r="K204" s="297"/>
      <c r="L204" s="355"/>
      <c r="M204" s="343"/>
      <c r="N204" s="298"/>
      <c r="O204" s="298"/>
      <c r="P204" s="298"/>
      <c r="Q204" s="298"/>
      <c r="R204" s="298"/>
      <c r="S204" s="298"/>
      <c r="T204" s="367"/>
      <c r="U204" s="355"/>
      <c r="V204" s="325"/>
      <c r="W204" s="297"/>
      <c r="X204" s="297"/>
      <c r="Y204" s="298"/>
      <c r="Z204" s="298"/>
      <c r="AA204" s="298"/>
      <c r="AB204" s="297"/>
      <c r="AC204" s="375"/>
      <c r="AD204" s="355"/>
      <c r="AE204" s="376">
        <f>SUM(E204:AC204)</f>
        <v>0</v>
      </c>
      <c r="AF204" s="377"/>
      <c r="AG204" s="390"/>
      <c r="AH204" s="391">
        <f>AE204+AF204</f>
        <v>0</v>
      </c>
      <c r="AI204" s="412"/>
      <c r="AJ204" s="413">
        <f t="shared" si="132"/>
        <v>0</v>
      </c>
    </row>
    <row r="205" spans="1:39" s="283" customFormat="1" ht="21" thickBot="1">
      <c r="A205" s="322"/>
      <c r="B205" s="323"/>
      <c r="C205" s="323"/>
      <c r="D205" s="324"/>
      <c r="E205" s="325"/>
      <c r="F205" s="297"/>
      <c r="G205" s="297"/>
      <c r="H205" s="297"/>
      <c r="I205" s="298"/>
      <c r="J205" s="298"/>
      <c r="K205" s="297"/>
      <c r="L205" s="355"/>
      <c r="M205" s="343"/>
      <c r="N205" s="298"/>
      <c r="O205" s="298"/>
      <c r="P205" s="298"/>
      <c r="Q205" s="298"/>
      <c r="R205" s="298"/>
      <c r="S205" s="298"/>
      <c r="T205" s="367"/>
      <c r="U205" s="355"/>
      <c r="V205" s="325"/>
      <c r="W205" s="297"/>
      <c r="X205" s="297"/>
      <c r="Y205" s="298"/>
      <c r="Z205" s="298"/>
      <c r="AA205" s="298"/>
      <c r="AB205" s="297"/>
      <c r="AC205" s="375"/>
      <c r="AD205" s="355"/>
      <c r="AE205" s="377">
        <f>SUM(E205:AC205)</f>
        <v>0</v>
      </c>
      <c r="AF205" s="377"/>
      <c r="AG205" s="390"/>
      <c r="AH205" s="507">
        <f>AE205+AF205</f>
        <v>0</v>
      </c>
      <c r="AI205" s="412"/>
      <c r="AJ205" s="508">
        <f t="shared" si="132"/>
        <v>0</v>
      </c>
    </row>
    <row r="206" spans="1:39" s="283" customFormat="1" ht="21" thickBot="1">
      <c r="A206" s="436"/>
      <c r="B206" s="437"/>
      <c r="C206" s="437"/>
      <c r="D206" s="438"/>
      <c r="E206" s="439">
        <f>SUM(E201:E205)</f>
        <v>0</v>
      </c>
      <c r="F206" s="439">
        <f t="shared" ref="F206:K206" si="133">SUM(F201:F205)</f>
        <v>0</v>
      </c>
      <c r="G206" s="439">
        <f t="shared" si="133"/>
        <v>0</v>
      </c>
      <c r="H206" s="439">
        <f t="shared" si="133"/>
        <v>0</v>
      </c>
      <c r="I206" s="439">
        <f t="shared" si="133"/>
        <v>0</v>
      </c>
      <c r="J206" s="439">
        <f t="shared" si="133"/>
        <v>0</v>
      </c>
      <c r="K206" s="439">
        <f t="shared" si="133"/>
        <v>0</v>
      </c>
      <c r="L206" s="439"/>
      <c r="M206" s="439">
        <f>SUM(M201:M205)</f>
        <v>0</v>
      </c>
      <c r="N206" s="439">
        <f t="shared" ref="N206:T206" si="134">SUM(N201:N205)</f>
        <v>0</v>
      </c>
      <c r="O206" s="439">
        <f t="shared" si="134"/>
        <v>0</v>
      </c>
      <c r="P206" s="439">
        <f t="shared" si="134"/>
        <v>0</v>
      </c>
      <c r="Q206" s="439">
        <f t="shared" si="134"/>
        <v>0</v>
      </c>
      <c r="R206" s="439">
        <f t="shared" si="134"/>
        <v>0</v>
      </c>
      <c r="S206" s="439">
        <f t="shared" si="134"/>
        <v>0</v>
      </c>
      <c r="T206" s="439">
        <f t="shared" si="134"/>
        <v>0</v>
      </c>
      <c r="U206" s="482"/>
      <c r="V206" s="440">
        <f>SUM(V201:V205)</f>
        <v>0</v>
      </c>
      <c r="W206" s="440">
        <f t="shared" ref="W206:AC206" si="135">SUM(W201:W205)</f>
        <v>0</v>
      </c>
      <c r="X206" s="440">
        <f t="shared" si="135"/>
        <v>0</v>
      </c>
      <c r="Y206" s="440">
        <f t="shared" si="135"/>
        <v>0</v>
      </c>
      <c r="Z206" s="440">
        <f t="shared" si="135"/>
        <v>0</v>
      </c>
      <c r="AA206" s="440">
        <f t="shared" si="135"/>
        <v>0</v>
      </c>
      <c r="AB206" s="440">
        <f t="shared" si="135"/>
        <v>0</v>
      </c>
      <c r="AC206" s="440">
        <f t="shared" si="135"/>
        <v>0</v>
      </c>
      <c r="AD206" s="482"/>
      <c r="AE206" s="494">
        <f>SUM(AE201:AE205)</f>
        <v>0</v>
      </c>
      <c r="AF206" s="494">
        <f>SUM(AF201:AF205)</f>
        <v>0</v>
      </c>
      <c r="AG206" s="509"/>
      <c r="AH206" s="514">
        <f>SUM(AH201:AH205)</f>
        <v>0</v>
      </c>
      <c r="AI206" s="494">
        <f>SUM(AI201:AI205)</f>
        <v>0</v>
      </c>
      <c r="AJ206" s="515">
        <f>SUM(AJ201:AJ205)</f>
        <v>0</v>
      </c>
    </row>
    <row r="207" spans="1:39" s="284" customFormat="1" ht="8.25" customHeight="1" thickBot="1">
      <c r="A207" s="522"/>
      <c r="B207" s="523"/>
      <c r="C207" s="523"/>
      <c r="D207" s="524"/>
      <c r="E207" s="525"/>
      <c r="F207" s="525"/>
      <c r="G207" s="525"/>
      <c r="H207" s="525"/>
      <c r="I207" s="525"/>
      <c r="J207" s="525"/>
      <c r="K207" s="525"/>
      <c r="L207" s="572"/>
      <c r="M207" s="573"/>
      <c r="N207" s="573"/>
      <c r="O207" s="573"/>
      <c r="P207" s="573"/>
      <c r="Q207" s="573"/>
      <c r="R207" s="573"/>
      <c r="S207" s="573"/>
      <c r="T207" s="573"/>
      <c r="U207" s="572"/>
      <c r="V207" s="573"/>
      <c r="W207" s="573"/>
      <c r="X207" s="573"/>
      <c r="Y207" s="573"/>
      <c r="Z207" s="573"/>
      <c r="AA207" s="573"/>
      <c r="AB207" s="573"/>
      <c r="AC207" s="573"/>
      <c r="AD207" s="572"/>
      <c r="AE207" s="573"/>
      <c r="AF207" s="573"/>
      <c r="AG207" s="599"/>
      <c r="AH207" s="573"/>
      <c r="AI207" s="573"/>
      <c r="AJ207" s="600"/>
      <c r="AK207" s="403"/>
      <c r="AL207" s="403"/>
      <c r="AM207" s="403"/>
    </row>
    <row r="208" spans="1:39" ht="21" thickBot="1">
      <c r="A208" s="526" t="s">
        <v>145</v>
      </c>
      <c r="B208" s="527"/>
      <c r="C208" s="527"/>
      <c r="D208" s="528"/>
      <c r="E208" s="529">
        <f>E4+E39+E64+E85+E113+E174+E182+E189+E198+E206+E141</f>
        <v>0</v>
      </c>
      <c r="F208" s="529">
        <f t="shared" ref="F208:L208" si="136">F4+F39+F64+F85+F113+F174+F182+F189+F198+F206+F141</f>
        <v>0</v>
      </c>
      <c r="G208" s="529">
        <f t="shared" si="136"/>
        <v>0</v>
      </c>
      <c r="H208" s="529">
        <f t="shared" si="136"/>
        <v>0</v>
      </c>
      <c r="I208" s="529">
        <f t="shared" si="136"/>
        <v>352</v>
      </c>
      <c r="J208" s="529">
        <f t="shared" si="136"/>
        <v>0</v>
      </c>
      <c r="K208" s="529">
        <f t="shared" si="136"/>
        <v>0</v>
      </c>
      <c r="L208" s="529">
        <f t="shared" si="136"/>
        <v>0</v>
      </c>
      <c r="M208" s="529">
        <f>M4+M39+M64+M85+M113+M174+M182+M189+M198+M206+M141</f>
        <v>0</v>
      </c>
      <c r="N208" s="529">
        <f t="shared" ref="N208:T208" si="137">N4+N39+N64+N85+N113+N174+N182+N189+N198+N206+N141</f>
        <v>944</v>
      </c>
      <c r="O208" s="529">
        <f t="shared" si="137"/>
        <v>560</v>
      </c>
      <c r="P208" s="529">
        <f t="shared" si="137"/>
        <v>1856</v>
      </c>
      <c r="Q208" s="529">
        <f t="shared" si="137"/>
        <v>32</v>
      </c>
      <c r="R208" s="529">
        <f t="shared" si="137"/>
        <v>2544</v>
      </c>
      <c r="S208" s="529">
        <f t="shared" si="137"/>
        <v>0</v>
      </c>
      <c r="T208" s="529">
        <f t="shared" si="137"/>
        <v>2528</v>
      </c>
      <c r="U208" s="574"/>
      <c r="V208" s="529">
        <f>V4+V39+V64+V85+V113+V174+V182+V189+V198+V206+V141</f>
        <v>224</v>
      </c>
      <c r="W208" s="529">
        <f t="shared" ref="W208:AC208" si="138">W4+W39+W64+W85+W113+W174+W182+W189+W198+W206+W141</f>
        <v>0</v>
      </c>
      <c r="X208" s="529">
        <f t="shared" si="138"/>
        <v>112</v>
      </c>
      <c r="Y208" s="529">
        <f t="shared" si="138"/>
        <v>0</v>
      </c>
      <c r="Z208" s="529">
        <f t="shared" si="138"/>
        <v>160</v>
      </c>
      <c r="AA208" s="529">
        <f t="shared" si="138"/>
        <v>208</v>
      </c>
      <c r="AB208" s="529">
        <f t="shared" si="138"/>
        <v>0</v>
      </c>
      <c r="AC208" s="529">
        <f t="shared" si="138"/>
        <v>160</v>
      </c>
      <c r="AD208" s="574"/>
      <c r="AE208" s="529">
        <f>AE4+AE39+AE64+AE85+AE113+AE174+AE182+AE189+AE198+AE206+AE141</f>
        <v>9680</v>
      </c>
      <c r="AF208" s="529">
        <f>AF4+AF39+AF64+AF85+AF113+AF174+AF182+AF189+AF198+AF206+AF141</f>
        <v>27</v>
      </c>
      <c r="AG208" s="529">
        <f>AG4+AG39+AG64+AG85+AG113+AG174+AG182+AG189+AG198+AG206</f>
        <v>0</v>
      </c>
      <c r="AH208" s="529">
        <f>AH4+AH39+AH64+AH85+AH113+AH174+AH182+AH189+AH198+AH206+AH141</f>
        <v>9707</v>
      </c>
      <c r="AI208" s="529">
        <f t="shared" ref="AI208:AJ208" si="139">AI4+AI39+AI64+AI85+AI113+AI174+AI182+AI189+AI198+AI206+AI141</f>
        <v>114</v>
      </c>
      <c r="AJ208" s="529">
        <f t="shared" si="139"/>
        <v>9821</v>
      </c>
    </row>
    <row r="209" spans="1:36" ht="21" thickBot="1">
      <c r="A209" s="530" t="s">
        <v>152</v>
      </c>
      <c r="B209" s="531"/>
      <c r="C209" s="531"/>
      <c r="D209" s="532"/>
      <c r="E209" s="533">
        <f>E208/16</f>
        <v>0</v>
      </c>
      <c r="F209" s="533">
        <f>F208/16</f>
        <v>0</v>
      </c>
      <c r="G209" s="533">
        <f t="shared" ref="G209:AJ209" si="140">G208/16</f>
        <v>0</v>
      </c>
      <c r="H209" s="533">
        <f t="shared" si="140"/>
        <v>0</v>
      </c>
      <c r="I209" s="533">
        <f t="shared" si="140"/>
        <v>22</v>
      </c>
      <c r="J209" s="533">
        <f t="shared" si="140"/>
        <v>0</v>
      </c>
      <c r="K209" s="533">
        <f t="shared" si="140"/>
        <v>0</v>
      </c>
      <c r="L209" s="533">
        <f t="shared" si="140"/>
        <v>0</v>
      </c>
      <c r="M209" s="533">
        <f t="shared" si="140"/>
        <v>0</v>
      </c>
      <c r="N209" s="533">
        <f t="shared" si="140"/>
        <v>59</v>
      </c>
      <c r="O209" s="533">
        <f t="shared" si="140"/>
        <v>35</v>
      </c>
      <c r="P209" s="533">
        <f t="shared" si="140"/>
        <v>116</v>
      </c>
      <c r="Q209" s="533">
        <f t="shared" si="140"/>
        <v>2</v>
      </c>
      <c r="R209" s="533">
        <f t="shared" si="140"/>
        <v>159</v>
      </c>
      <c r="S209" s="533">
        <f t="shared" si="140"/>
        <v>0</v>
      </c>
      <c r="T209" s="533">
        <f t="shared" si="140"/>
        <v>158</v>
      </c>
      <c r="U209" s="533"/>
      <c r="V209" s="533">
        <f t="shared" si="140"/>
        <v>14</v>
      </c>
      <c r="W209" s="533">
        <f t="shared" si="140"/>
        <v>0</v>
      </c>
      <c r="X209" s="533">
        <f t="shared" si="140"/>
        <v>7</v>
      </c>
      <c r="Y209" s="533">
        <f t="shared" si="140"/>
        <v>0</v>
      </c>
      <c r="Z209" s="533">
        <f t="shared" si="140"/>
        <v>10</v>
      </c>
      <c r="AA209" s="533">
        <f t="shared" si="140"/>
        <v>13</v>
      </c>
      <c r="AB209" s="533">
        <f t="shared" si="140"/>
        <v>0</v>
      </c>
      <c r="AC209" s="533">
        <f t="shared" si="140"/>
        <v>10</v>
      </c>
      <c r="AD209" s="533"/>
      <c r="AE209" s="533">
        <f t="shared" si="140"/>
        <v>605</v>
      </c>
      <c r="AF209" s="533">
        <f t="shared" si="140"/>
        <v>1.6875</v>
      </c>
      <c r="AG209" s="533">
        <f t="shared" si="140"/>
        <v>0</v>
      </c>
      <c r="AH209" s="533">
        <f t="shared" si="140"/>
        <v>606.6875</v>
      </c>
      <c r="AI209" s="533">
        <f t="shared" si="140"/>
        <v>7.125</v>
      </c>
      <c r="AJ209" s="533">
        <f t="shared" si="140"/>
        <v>613.8125</v>
      </c>
    </row>
    <row r="210" spans="1:36" s="1" customFormat="1" ht="21" customHeight="1" thickBot="1">
      <c r="A210" s="3755" t="s">
        <v>147</v>
      </c>
      <c r="B210" s="3755"/>
      <c r="C210" s="3755"/>
      <c r="D210" s="3755"/>
      <c r="E210" s="3756"/>
      <c r="F210" s="3756"/>
      <c r="G210" s="3756"/>
      <c r="H210" s="3756"/>
      <c r="I210" s="3756"/>
      <c r="J210" s="3756"/>
      <c r="K210" s="3756"/>
      <c r="L210" s="3755"/>
      <c r="M210" s="3755"/>
      <c r="N210" s="3755"/>
      <c r="O210" s="3755"/>
      <c r="P210" s="3755"/>
      <c r="Q210" s="3755"/>
      <c r="R210" s="3755"/>
      <c r="S210" s="3755"/>
      <c r="T210" s="3755"/>
      <c r="U210" s="3755"/>
      <c r="V210" s="3755"/>
      <c r="W210" s="3755"/>
      <c r="X210" s="3755"/>
      <c r="Y210" s="3755"/>
      <c r="Z210" s="3755"/>
      <c r="AA210" s="3755"/>
      <c r="AB210" s="3755"/>
      <c r="AC210" s="3755"/>
      <c r="AD210" s="3755"/>
      <c r="AE210" s="3755"/>
      <c r="AF210" s="3755"/>
      <c r="AG210" s="3755"/>
      <c r="AH210" s="3755"/>
      <c r="AI210" s="3755"/>
      <c r="AJ210" s="3755"/>
    </row>
    <row r="211" spans="1:36" ht="24" thickBot="1">
      <c r="A211" s="3888" t="s">
        <v>4</v>
      </c>
      <c r="B211" s="3889"/>
      <c r="C211" s="3889"/>
      <c r="D211" s="3890"/>
      <c r="E211" s="3891" t="s">
        <v>362</v>
      </c>
      <c r="F211" s="3892"/>
      <c r="G211" s="3892"/>
      <c r="H211" s="3892"/>
      <c r="I211" s="3892"/>
      <c r="J211" s="3892"/>
      <c r="K211" s="3892"/>
      <c r="L211" s="336"/>
      <c r="M211" s="3893" t="s">
        <v>204</v>
      </c>
      <c r="N211" s="3894"/>
      <c r="O211" s="3892"/>
      <c r="P211" s="3894"/>
      <c r="Q211" s="3894"/>
      <c r="R211" s="3894"/>
      <c r="S211" s="3894"/>
      <c r="T211" s="3895"/>
      <c r="U211" s="364"/>
      <c r="V211" s="3893" t="str">
        <f>V2</f>
        <v>8001 (Pearl)</v>
      </c>
      <c r="W211" s="3894"/>
      <c r="X211" s="3894"/>
      <c r="Y211" s="3894"/>
      <c r="Z211" s="3894"/>
      <c r="AA211" s="3894"/>
      <c r="AB211" s="3894"/>
      <c r="AC211" s="3895"/>
      <c r="AD211" s="364"/>
      <c r="AE211" s="3893"/>
      <c r="AF211" s="3894"/>
      <c r="AG211" s="3894"/>
      <c r="AH211" s="3894"/>
      <c r="AI211" s="3894"/>
      <c r="AJ211" s="3895"/>
    </row>
    <row r="212" spans="1:36" s="276" customFormat="1" ht="30.75" thickBot="1">
      <c r="A212" s="535" t="s">
        <v>148</v>
      </c>
      <c r="B212" s="749" t="s">
        <v>68</v>
      </c>
      <c r="C212" s="536" t="s">
        <v>69</v>
      </c>
      <c r="D212" s="536" t="s">
        <v>70</v>
      </c>
      <c r="E212" s="88" t="s">
        <v>358</v>
      </c>
      <c r="F212" s="744" t="s">
        <v>364</v>
      </c>
      <c r="G212" s="30" t="s">
        <v>359</v>
      </c>
      <c r="H212" s="744" t="s">
        <v>365</v>
      </c>
      <c r="I212" s="744" t="s">
        <v>360</v>
      </c>
      <c r="J212" s="751" t="s">
        <v>366</v>
      </c>
      <c r="K212" s="783" t="s">
        <v>361</v>
      </c>
      <c r="L212" s="2678" t="s">
        <v>367</v>
      </c>
      <c r="M212" s="80" t="s">
        <v>71</v>
      </c>
      <c r="N212" s="49" t="s">
        <v>482</v>
      </c>
      <c r="O212" s="49" t="s">
        <v>118</v>
      </c>
      <c r="P212" s="49" t="s">
        <v>97</v>
      </c>
      <c r="Q212" s="49" t="s">
        <v>75</v>
      </c>
      <c r="R212" s="49" t="s">
        <v>53</v>
      </c>
      <c r="S212" s="126" t="s">
        <v>77</v>
      </c>
      <c r="T212" s="171" t="s">
        <v>94</v>
      </c>
      <c r="U212" s="578"/>
      <c r="V212" s="80" t="s">
        <v>86</v>
      </c>
      <c r="W212" s="714" t="s">
        <v>368</v>
      </c>
      <c r="X212" s="49" t="s">
        <v>85</v>
      </c>
      <c r="Y212" s="103" t="s">
        <v>101</v>
      </c>
      <c r="Z212" s="104" t="s">
        <v>90</v>
      </c>
      <c r="AA212" s="716" t="s">
        <v>390</v>
      </c>
      <c r="AB212" s="121" t="s">
        <v>208</v>
      </c>
      <c r="AC212" s="717" t="s">
        <v>92</v>
      </c>
      <c r="AD212" s="589"/>
      <c r="AE212" s="590" t="s">
        <v>172</v>
      </c>
      <c r="AF212" s="591" t="s">
        <v>80</v>
      </c>
      <c r="AG212" s="602" t="s">
        <v>150</v>
      </c>
      <c r="AH212" s="603" t="s">
        <v>106</v>
      </c>
      <c r="AI212" s="602" t="s">
        <v>173</v>
      </c>
      <c r="AJ212" s="604" t="s">
        <v>108</v>
      </c>
    </row>
    <row r="213" spans="1:36" s="234" customFormat="1" ht="20.25">
      <c r="A213" s="537" t="s">
        <v>619</v>
      </c>
      <c r="B213" s="545"/>
      <c r="C213" s="539"/>
      <c r="D213" s="544">
        <v>46116</v>
      </c>
      <c r="E213" s="313"/>
      <c r="F213" s="314"/>
      <c r="G213" s="314"/>
      <c r="H213" s="314"/>
      <c r="I213" s="315"/>
      <c r="J213" s="315"/>
      <c r="K213" s="378"/>
      <c r="L213" s="352"/>
      <c r="M213" s="353"/>
      <c r="N213" s="321"/>
      <c r="O213" s="321"/>
      <c r="P213" s="321"/>
      <c r="Q213" s="321"/>
      <c r="R213" s="321"/>
      <c r="S213" s="321"/>
      <c r="T213" s="363">
        <f>3*16</f>
        <v>48</v>
      </c>
      <c r="U213" s="352"/>
      <c r="V213" s="353"/>
      <c r="W213" s="321"/>
      <c r="X213" s="321"/>
      <c r="Y213" s="321"/>
      <c r="Z213" s="321"/>
      <c r="AA213" s="321"/>
      <c r="AB213" s="321"/>
      <c r="AC213" s="380"/>
      <c r="AD213" s="352"/>
      <c r="AE213" s="404">
        <f t="shared" ref="AE213:AE230" si="141">SUM(E213:AC213)</f>
        <v>48</v>
      </c>
      <c r="AF213" s="409"/>
      <c r="AG213" s="379"/>
      <c r="AH213" s="404">
        <f t="shared" ref="AH213:AH243" si="142">AE213+AF213+AG213</f>
        <v>48</v>
      </c>
      <c r="AI213" s="835"/>
      <c r="AJ213" s="719">
        <f t="shared" ref="AJ213:AJ279" si="143">AH213+AI213</f>
        <v>48</v>
      </c>
    </row>
    <row r="214" spans="1:36" s="276" customFormat="1" ht="20.25">
      <c r="A214" s="537" t="s">
        <v>623</v>
      </c>
      <c r="B214" s="545"/>
      <c r="C214" s="539"/>
      <c r="D214" s="544">
        <v>46119</v>
      </c>
      <c r="E214" s="1199"/>
      <c r="F214" s="320"/>
      <c r="G214" s="320"/>
      <c r="H214" s="320"/>
      <c r="I214" s="321"/>
      <c r="J214" s="321"/>
      <c r="K214" s="380"/>
      <c r="L214" s="352"/>
      <c r="M214" s="353"/>
      <c r="N214" s="321"/>
      <c r="O214" s="321"/>
      <c r="P214" s="321"/>
      <c r="Q214" s="321"/>
      <c r="R214" s="321">
        <f>2*16</f>
        <v>32</v>
      </c>
      <c r="S214" s="321"/>
      <c r="T214" s="363"/>
      <c r="U214" s="580"/>
      <c r="V214" s="581"/>
      <c r="W214" s="543"/>
      <c r="X214" s="543"/>
      <c r="Y214" s="543"/>
      <c r="Z214" s="543"/>
      <c r="AA214" s="543"/>
      <c r="AB214" s="543"/>
      <c r="AC214" s="592"/>
      <c r="AD214" s="580"/>
      <c r="AE214" s="593">
        <f t="shared" ref="AE214" si="144">SUM(E214:AC214)</f>
        <v>32</v>
      </c>
      <c r="AF214" s="594"/>
      <c r="AG214" s="1200"/>
      <c r="AH214" s="593">
        <f t="shared" si="142"/>
        <v>32</v>
      </c>
      <c r="AI214" s="836"/>
      <c r="AJ214" s="837">
        <f t="shared" ref="AJ214" si="145">AH214+AI214</f>
        <v>32</v>
      </c>
    </row>
    <row r="215" spans="1:36" s="276" customFormat="1" ht="20.25">
      <c r="A215" s="537" t="s">
        <v>628</v>
      </c>
      <c r="B215" s="545"/>
      <c r="C215" s="539"/>
      <c r="D215" s="544">
        <v>46122</v>
      </c>
      <c r="E215" s="319"/>
      <c r="F215" s="320"/>
      <c r="G215" s="320"/>
      <c r="H215" s="320"/>
      <c r="I215" s="321"/>
      <c r="J215" s="321"/>
      <c r="K215" s="380"/>
      <c r="L215" s="352"/>
      <c r="M215" s="353"/>
      <c r="N215" s="321"/>
      <c r="O215" s="321"/>
      <c r="P215" s="321"/>
      <c r="Q215" s="321"/>
      <c r="R215" s="321">
        <f>5*16</f>
        <v>80</v>
      </c>
      <c r="S215" s="321"/>
      <c r="T215" s="363">
        <f>3*16</f>
        <v>48</v>
      </c>
      <c r="U215" s="580"/>
      <c r="V215" s="581"/>
      <c r="W215" s="543"/>
      <c r="X215" s="543"/>
      <c r="Y215" s="543"/>
      <c r="Z215" s="543"/>
      <c r="AA215" s="543"/>
      <c r="AB215" s="543"/>
      <c r="AC215" s="592"/>
      <c r="AD215" s="580"/>
      <c r="AE215" s="593">
        <f t="shared" si="141"/>
        <v>128</v>
      </c>
      <c r="AF215" s="594"/>
      <c r="AG215" s="1200"/>
      <c r="AH215" s="593">
        <f t="shared" si="142"/>
        <v>128</v>
      </c>
      <c r="AI215" s="836"/>
      <c r="AJ215" s="837">
        <f t="shared" si="143"/>
        <v>128</v>
      </c>
    </row>
    <row r="216" spans="1:36" s="276" customFormat="1" ht="20.25">
      <c r="A216" s="537" t="s">
        <v>629</v>
      </c>
      <c r="B216" s="548"/>
      <c r="C216" s="549"/>
      <c r="D216" s="544">
        <v>46122</v>
      </c>
      <c r="E216" s="541"/>
      <c r="F216" s="542"/>
      <c r="G216" s="542"/>
      <c r="H216" s="542"/>
      <c r="I216" s="543"/>
      <c r="J216" s="543"/>
      <c r="K216" s="592"/>
      <c r="L216" s="580"/>
      <c r="M216" s="581"/>
      <c r="N216" s="543"/>
      <c r="O216" s="543"/>
      <c r="P216" s="543"/>
      <c r="Q216" s="543"/>
      <c r="R216" s="543">
        <f>7*16</f>
        <v>112</v>
      </c>
      <c r="S216" s="543"/>
      <c r="T216" s="767">
        <f>7*16</f>
        <v>112</v>
      </c>
      <c r="U216" s="580"/>
      <c r="V216" s="581"/>
      <c r="W216" s="543"/>
      <c r="X216" s="543"/>
      <c r="Y216" s="543"/>
      <c r="Z216" s="543"/>
      <c r="AA216" s="543"/>
      <c r="AB216" s="543"/>
      <c r="AC216" s="592"/>
      <c r="AD216" s="580"/>
      <c r="AE216" s="593">
        <f t="shared" si="141"/>
        <v>224</v>
      </c>
      <c r="AF216" s="594"/>
      <c r="AG216" s="1200"/>
      <c r="AH216" s="593">
        <f t="shared" si="142"/>
        <v>224</v>
      </c>
      <c r="AI216" s="836"/>
      <c r="AJ216" s="837">
        <f t="shared" si="143"/>
        <v>224</v>
      </c>
    </row>
    <row r="217" spans="1:36" s="234" customFormat="1" ht="20.25">
      <c r="A217" s="537" t="s">
        <v>631</v>
      </c>
      <c r="B217" s="548"/>
      <c r="C217" s="549"/>
      <c r="D217" s="544">
        <v>46122</v>
      </c>
      <c r="E217" s="541"/>
      <c r="F217" s="542"/>
      <c r="G217" s="542"/>
      <c r="H217" s="542"/>
      <c r="I217" s="543"/>
      <c r="J217" s="543"/>
      <c r="K217" s="592"/>
      <c r="L217" s="580"/>
      <c r="M217" s="581"/>
      <c r="N217" s="543">
        <f>2*16</f>
        <v>32</v>
      </c>
      <c r="O217" s="543"/>
      <c r="P217" s="543">
        <f>2*16</f>
        <v>32</v>
      </c>
      <c r="Q217" s="543"/>
      <c r="R217" s="543"/>
      <c r="S217" s="543"/>
      <c r="T217" s="767">
        <f>4*16</f>
        <v>64</v>
      </c>
      <c r="U217" s="352"/>
      <c r="V217" s="353"/>
      <c r="W217" s="321"/>
      <c r="X217" s="321"/>
      <c r="Y217" s="321"/>
      <c r="Z217" s="321"/>
      <c r="AA217" s="321"/>
      <c r="AB217" s="321"/>
      <c r="AC217" s="380"/>
      <c r="AD217" s="352"/>
      <c r="AE217" s="593">
        <f t="shared" si="141"/>
        <v>128</v>
      </c>
      <c r="AF217" s="409"/>
      <c r="AG217" s="381"/>
      <c r="AH217" s="408">
        <f t="shared" si="142"/>
        <v>128</v>
      </c>
      <c r="AI217" s="835"/>
      <c r="AJ217" s="720">
        <f t="shared" si="143"/>
        <v>128</v>
      </c>
    </row>
    <row r="218" spans="1:36" s="276" customFormat="1" ht="20.25" customHeight="1">
      <c r="A218" s="537" t="s">
        <v>633</v>
      </c>
      <c r="B218" s="552"/>
      <c r="C218" s="553"/>
      <c r="D218" s="555">
        <v>46124</v>
      </c>
      <c r="E218" s="319"/>
      <c r="F218" s="320"/>
      <c r="G218" s="320"/>
      <c r="H218" s="320"/>
      <c r="I218" s="321"/>
      <c r="J218" s="321"/>
      <c r="K218" s="380"/>
      <c r="L218" s="352"/>
      <c r="M218" s="353"/>
      <c r="N218" s="321">
        <f>5*16</f>
        <v>80</v>
      </c>
      <c r="O218" s="321"/>
      <c r="P218" s="321"/>
      <c r="Q218" s="321"/>
      <c r="R218" s="321"/>
      <c r="S218" s="321"/>
      <c r="T218" s="363">
        <f>16*16</f>
        <v>256</v>
      </c>
      <c r="U218" s="580"/>
      <c r="V218" s="581"/>
      <c r="W218" s="543"/>
      <c r="X218" s="543"/>
      <c r="Y218" s="543"/>
      <c r="Z218" s="543"/>
      <c r="AA218" s="543"/>
      <c r="AB218" s="543"/>
      <c r="AC218" s="592"/>
      <c r="AD218" s="580"/>
      <c r="AE218" s="593">
        <f t="shared" si="141"/>
        <v>336</v>
      </c>
      <c r="AF218" s="594"/>
      <c r="AG218" s="1200"/>
      <c r="AH218" s="593">
        <f t="shared" si="142"/>
        <v>336</v>
      </c>
      <c r="AI218" s="836"/>
      <c r="AJ218" s="837">
        <f t="shared" ref="AJ218" si="146">AH218+AI218</f>
        <v>336</v>
      </c>
    </row>
    <row r="219" spans="1:36" s="276" customFormat="1" ht="22.5" customHeight="1">
      <c r="A219" s="537" t="s">
        <v>634</v>
      </c>
      <c r="B219" s="545"/>
      <c r="C219" s="539"/>
      <c r="D219" s="544">
        <v>46124</v>
      </c>
      <c r="E219" s="541"/>
      <c r="F219" s="542"/>
      <c r="G219" s="542"/>
      <c r="H219" s="542"/>
      <c r="I219" s="543"/>
      <c r="J219" s="543"/>
      <c r="K219" s="592"/>
      <c r="L219" s="580"/>
      <c r="M219" s="581"/>
      <c r="N219" s="543"/>
      <c r="O219" s="543"/>
      <c r="P219" s="543"/>
      <c r="Q219" s="543"/>
      <c r="R219" s="543">
        <f>2*16</f>
        <v>32</v>
      </c>
      <c r="S219" s="543"/>
      <c r="T219" s="767">
        <f>2*16</f>
        <v>32</v>
      </c>
      <c r="U219" s="580"/>
      <c r="V219" s="581"/>
      <c r="W219" s="543"/>
      <c r="X219" s="543"/>
      <c r="Y219" s="543"/>
      <c r="Z219" s="543"/>
      <c r="AA219" s="543"/>
      <c r="AB219" s="543"/>
      <c r="AC219" s="592"/>
      <c r="AD219" s="580"/>
      <c r="AE219" s="593">
        <f t="shared" si="141"/>
        <v>64</v>
      </c>
      <c r="AF219" s="594"/>
      <c r="AG219" s="1200"/>
      <c r="AH219" s="593">
        <f t="shared" si="142"/>
        <v>64</v>
      </c>
      <c r="AI219" s="836"/>
      <c r="AJ219" s="837">
        <f t="shared" si="143"/>
        <v>64</v>
      </c>
    </row>
    <row r="220" spans="1:36" s="276" customFormat="1" ht="20.25">
      <c r="A220" s="537" t="s">
        <v>635</v>
      </c>
      <c r="B220" s="545"/>
      <c r="C220" s="539"/>
      <c r="D220" s="544">
        <v>46125</v>
      </c>
      <c r="E220" s="1199"/>
      <c r="F220" s="320"/>
      <c r="G220" s="320"/>
      <c r="H220" s="320"/>
      <c r="I220" s="321"/>
      <c r="J220" s="321"/>
      <c r="K220" s="380"/>
      <c r="L220" s="352"/>
      <c r="M220" s="353"/>
      <c r="N220" s="321"/>
      <c r="O220" s="321"/>
      <c r="P220" s="321"/>
      <c r="Q220" s="321"/>
      <c r="R220" s="321">
        <f>1*16</f>
        <v>16</v>
      </c>
      <c r="S220" s="321"/>
      <c r="T220" s="363">
        <f>1*16</f>
        <v>16</v>
      </c>
      <c r="U220" s="580"/>
      <c r="V220" s="581"/>
      <c r="W220" s="543"/>
      <c r="X220" s="543"/>
      <c r="Y220" s="543"/>
      <c r="Z220" s="543"/>
      <c r="AA220" s="543"/>
      <c r="AB220" s="543"/>
      <c r="AC220" s="592"/>
      <c r="AD220" s="580"/>
      <c r="AE220" s="593">
        <f t="shared" si="141"/>
        <v>32</v>
      </c>
      <c r="AF220" s="594"/>
      <c r="AG220" s="1200"/>
      <c r="AH220" s="593">
        <f t="shared" si="142"/>
        <v>32</v>
      </c>
      <c r="AI220" s="836"/>
      <c r="AJ220" s="837">
        <f t="shared" si="143"/>
        <v>32</v>
      </c>
    </row>
    <row r="221" spans="1:36" s="276" customFormat="1" ht="20.25">
      <c r="A221" s="561" t="s">
        <v>623</v>
      </c>
      <c r="B221" s="550"/>
      <c r="C221" s="539"/>
      <c r="D221" s="544">
        <v>45761</v>
      </c>
      <c r="E221" s="541"/>
      <c r="F221" s="542"/>
      <c r="G221" s="542"/>
      <c r="H221" s="542"/>
      <c r="I221" s="543"/>
      <c r="J221" s="543"/>
      <c r="K221" s="592"/>
      <c r="L221" s="580"/>
      <c r="M221" s="581"/>
      <c r="N221" s="543"/>
      <c r="O221" s="543"/>
      <c r="P221" s="543"/>
      <c r="Q221" s="543"/>
      <c r="R221" s="543">
        <f>1*16</f>
        <v>16</v>
      </c>
      <c r="S221" s="543"/>
      <c r="T221" s="767"/>
      <c r="U221" s="580"/>
      <c r="V221" s="581"/>
      <c r="W221" s="543"/>
      <c r="X221" s="543"/>
      <c r="Y221" s="543"/>
      <c r="Z221" s="543"/>
      <c r="AA221" s="543"/>
      <c r="AB221" s="543"/>
      <c r="AC221" s="592"/>
      <c r="AD221" s="580"/>
      <c r="AE221" s="593">
        <f t="shared" si="141"/>
        <v>16</v>
      </c>
      <c r="AF221" s="594"/>
      <c r="AG221" s="1200"/>
      <c r="AH221" s="593">
        <f t="shared" si="142"/>
        <v>16</v>
      </c>
      <c r="AI221" s="836"/>
      <c r="AJ221" s="837">
        <f t="shared" si="143"/>
        <v>16</v>
      </c>
    </row>
    <row r="222" spans="1:36" s="276" customFormat="1" ht="21" thickBot="1">
      <c r="A222" s="547" t="s">
        <v>629</v>
      </c>
      <c r="B222" s="796"/>
      <c r="C222" s="797"/>
      <c r="D222" s="544">
        <v>46129</v>
      </c>
      <c r="E222" s="658"/>
      <c r="F222" s="618"/>
      <c r="G222" s="618"/>
      <c r="H222" s="618"/>
      <c r="I222" s="619"/>
      <c r="J222" s="619"/>
      <c r="K222" s="681"/>
      <c r="L222" s="657"/>
      <c r="M222" s="658"/>
      <c r="N222" s="619"/>
      <c r="O222" s="619"/>
      <c r="P222" s="619"/>
      <c r="Q222" s="619"/>
      <c r="R222" s="619">
        <f>8*16</f>
        <v>128</v>
      </c>
      <c r="S222" s="619"/>
      <c r="T222" s="769">
        <f>7*16</f>
        <v>112</v>
      </c>
      <c r="U222" s="657"/>
      <c r="V222" s="658"/>
      <c r="W222" s="619"/>
      <c r="X222" s="619"/>
      <c r="Y222" s="619"/>
      <c r="Z222" s="619"/>
      <c r="AA222" s="619"/>
      <c r="AB222" s="619"/>
      <c r="AC222" s="681"/>
      <c r="AD222" s="774"/>
      <c r="AE222" s="408">
        <f t="shared" ref="AE222:AE225" si="147">SUM(E222:AC222)</f>
        <v>240</v>
      </c>
      <c r="AF222" s="409"/>
      <c r="AG222" s="381"/>
      <c r="AH222" s="408">
        <f t="shared" ref="AH222:AH225" si="148">AE222+AF222+AG222</f>
        <v>240</v>
      </c>
      <c r="AI222" s="835"/>
      <c r="AJ222" s="720">
        <f t="shared" ref="AJ222:AJ225" si="149">AH222+AI222</f>
        <v>240</v>
      </c>
    </row>
    <row r="223" spans="1:36" s="234" customFormat="1" ht="20.25">
      <c r="A223" s="547" t="s">
        <v>653</v>
      </c>
      <c r="B223" s="545"/>
      <c r="C223" s="539"/>
      <c r="D223" s="544">
        <v>46130</v>
      </c>
      <c r="E223" s="353"/>
      <c r="F223" s="542"/>
      <c r="G223" s="542"/>
      <c r="H223" s="542"/>
      <c r="I223" s="543"/>
      <c r="J223" s="543"/>
      <c r="K223" s="592"/>
      <c r="L223" s="580"/>
      <c r="M223" s="581"/>
      <c r="N223" s="543"/>
      <c r="O223" s="543"/>
      <c r="P223" s="543">
        <f>2*16</f>
        <v>32</v>
      </c>
      <c r="Q223" s="543"/>
      <c r="R223" s="543"/>
      <c r="S223" s="543"/>
      <c r="T223" s="767"/>
      <c r="U223" s="352"/>
      <c r="V223" s="353"/>
      <c r="W223" s="321"/>
      <c r="X223" s="321"/>
      <c r="Y223" s="321"/>
      <c r="Z223" s="321"/>
      <c r="AA223" s="321"/>
      <c r="AB223" s="321"/>
      <c r="AC223" s="380"/>
      <c r="AD223" s="352"/>
      <c r="AE223" s="408">
        <f t="shared" ref="AE223" si="150">SUM(E223:AC223)</f>
        <v>32</v>
      </c>
      <c r="AF223" s="409"/>
      <c r="AG223" s="381"/>
      <c r="AH223" s="408">
        <f t="shared" si="148"/>
        <v>32</v>
      </c>
      <c r="AI223" s="835"/>
      <c r="AJ223" s="720">
        <f t="shared" si="149"/>
        <v>32</v>
      </c>
    </row>
    <row r="224" spans="1:36" s="234" customFormat="1" ht="21" thickBot="1">
      <c r="A224" s="547" t="s">
        <v>655</v>
      </c>
      <c r="B224" s="796"/>
      <c r="C224" s="797"/>
      <c r="D224" s="544">
        <v>46131</v>
      </c>
      <c r="E224" s="658"/>
      <c r="F224" s="618"/>
      <c r="G224" s="618"/>
      <c r="H224" s="618"/>
      <c r="I224" s="619"/>
      <c r="J224" s="619"/>
      <c r="K224" s="681"/>
      <c r="L224" s="657"/>
      <c r="M224" s="658"/>
      <c r="N224" s="619">
        <f>2*16</f>
        <v>32</v>
      </c>
      <c r="O224" s="619"/>
      <c r="P224" s="619">
        <f>4*16</f>
        <v>64</v>
      </c>
      <c r="Q224" s="619"/>
      <c r="R224" s="619">
        <f>6*16</f>
        <v>96</v>
      </c>
      <c r="S224" s="619"/>
      <c r="T224" s="769">
        <f>8*16</f>
        <v>128</v>
      </c>
      <c r="U224" s="657"/>
      <c r="V224" s="658"/>
      <c r="W224" s="619"/>
      <c r="X224" s="619"/>
      <c r="Y224" s="619"/>
      <c r="Z224" s="619"/>
      <c r="AA224" s="619"/>
      <c r="AB224" s="619"/>
      <c r="AC224" s="681"/>
      <c r="AD224" s="774"/>
      <c r="AE224" s="408">
        <f t="shared" si="147"/>
        <v>320</v>
      </c>
      <c r="AF224" s="409"/>
      <c r="AG224" s="381"/>
      <c r="AH224" s="408">
        <f t="shared" si="148"/>
        <v>320</v>
      </c>
      <c r="AI224" s="835"/>
      <c r="AJ224" s="720">
        <f t="shared" si="149"/>
        <v>320</v>
      </c>
    </row>
    <row r="225" spans="1:36" s="276" customFormat="1" ht="21" thickBot="1">
      <c r="A225" s="547" t="s">
        <v>634</v>
      </c>
      <c r="B225" s="796"/>
      <c r="C225" s="797"/>
      <c r="D225" s="544">
        <v>46131</v>
      </c>
      <c r="E225" s="658"/>
      <c r="F225" s="618"/>
      <c r="G225" s="618"/>
      <c r="H225" s="618"/>
      <c r="I225" s="619"/>
      <c r="J225" s="619"/>
      <c r="K225" s="681"/>
      <c r="L225" s="657"/>
      <c r="M225" s="658"/>
      <c r="N225" s="619"/>
      <c r="O225" s="619"/>
      <c r="P225" s="619"/>
      <c r="Q225" s="619"/>
      <c r="R225" s="619">
        <f>1*16</f>
        <v>16</v>
      </c>
      <c r="S225" s="619"/>
      <c r="T225" s="769">
        <f>2*16</f>
        <v>32</v>
      </c>
      <c r="U225" s="657"/>
      <c r="V225" s="658"/>
      <c r="W225" s="619"/>
      <c r="X225" s="619"/>
      <c r="Y225" s="619"/>
      <c r="Z225" s="619"/>
      <c r="AA225" s="619"/>
      <c r="AB225" s="619"/>
      <c r="AC225" s="681"/>
      <c r="AD225" s="774"/>
      <c r="AE225" s="408">
        <f t="shared" si="147"/>
        <v>48</v>
      </c>
      <c r="AF225" s="409"/>
      <c r="AG225" s="381"/>
      <c r="AH225" s="408">
        <f t="shared" si="148"/>
        <v>48</v>
      </c>
      <c r="AI225" s="835"/>
      <c r="AJ225" s="720">
        <f t="shared" si="149"/>
        <v>48</v>
      </c>
    </row>
    <row r="226" spans="1:36" s="234" customFormat="1" ht="20.25">
      <c r="A226" s="561" t="s">
        <v>656</v>
      </c>
      <c r="B226" s="796"/>
      <c r="C226" s="797"/>
      <c r="D226" s="544">
        <v>46131</v>
      </c>
      <c r="E226" s="581"/>
      <c r="F226" s="320"/>
      <c r="G226" s="320"/>
      <c r="H226" s="320"/>
      <c r="I226" s="321"/>
      <c r="J226" s="321"/>
      <c r="K226" s="380"/>
      <c r="L226" s="352"/>
      <c r="M226" s="353"/>
      <c r="N226" s="321"/>
      <c r="O226" s="321"/>
      <c r="P226" s="321">
        <f>2*16</f>
        <v>32</v>
      </c>
      <c r="Q226" s="321"/>
      <c r="R226" s="321">
        <f>4*16</f>
        <v>64</v>
      </c>
      <c r="S226" s="321"/>
      <c r="T226" s="363">
        <f>2*16</f>
        <v>32</v>
      </c>
      <c r="U226" s="580"/>
      <c r="V226" s="581"/>
      <c r="W226" s="543"/>
      <c r="X226" s="543"/>
      <c r="Y226" s="543"/>
      <c r="Z226" s="543"/>
      <c r="AA226" s="543"/>
      <c r="AB226" s="543"/>
      <c r="AC226" s="592"/>
      <c r="AD226" s="580"/>
      <c r="AE226" s="593">
        <f t="shared" si="141"/>
        <v>128</v>
      </c>
      <c r="AF226" s="594"/>
      <c r="AG226" s="1200"/>
      <c r="AH226" s="593">
        <f t="shared" si="142"/>
        <v>128</v>
      </c>
      <c r="AI226" s="836"/>
      <c r="AJ226" s="837">
        <f t="shared" si="143"/>
        <v>128</v>
      </c>
    </row>
    <row r="227" spans="1:36" s="234" customFormat="1" ht="20.25">
      <c r="A227" s="547" t="s">
        <v>658</v>
      </c>
      <c r="B227" s="545"/>
      <c r="C227" s="539"/>
      <c r="D227" s="544">
        <v>46132</v>
      </c>
      <c r="E227" s="353"/>
      <c r="F227" s="542"/>
      <c r="G227" s="542"/>
      <c r="H227" s="542"/>
      <c r="I227" s="543"/>
      <c r="J227" s="543"/>
      <c r="K227" s="592"/>
      <c r="L227" s="580"/>
      <c r="M227" s="581"/>
      <c r="N227" s="543">
        <f>2*16</f>
        <v>32</v>
      </c>
      <c r="O227" s="543"/>
      <c r="P227" s="543"/>
      <c r="Q227" s="543"/>
      <c r="R227" s="543"/>
      <c r="S227" s="543"/>
      <c r="T227" s="767">
        <f>2*16</f>
        <v>32</v>
      </c>
      <c r="U227" s="352"/>
      <c r="V227" s="353"/>
      <c r="W227" s="321"/>
      <c r="X227" s="321"/>
      <c r="Y227" s="321"/>
      <c r="Z227" s="321"/>
      <c r="AA227" s="321"/>
      <c r="AB227" s="321"/>
      <c r="AC227" s="380"/>
      <c r="AD227" s="352"/>
      <c r="AE227" s="408">
        <f t="shared" si="141"/>
        <v>64</v>
      </c>
      <c r="AF227" s="409"/>
      <c r="AG227" s="381"/>
      <c r="AH227" s="408">
        <f t="shared" si="142"/>
        <v>64</v>
      </c>
      <c r="AI227" s="835"/>
      <c r="AJ227" s="720">
        <f t="shared" si="143"/>
        <v>64</v>
      </c>
    </row>
    <row r="228" spans="1:36" s="234" customFormat="1" ht="21" thickBot="1">
      <c r="A228" s="547" t="s">
        <v>659</v>
      </c>
      <c r="B228" s="796"/>
      <c r="C228" s="797"/>
      <c r="D228" s="544">
        <v>46132</v>
      </c>
      <c r="E228" s="658"/>
      <c r="F228" s="618"/>
      <c r="G228" s="618"/>
      <c r="H228" s="618"/>
      <c r="I228" s="619">
        <f>10*16</f>
        <v>160</v>
      </c>
      <c r="J228" s="619"/>
      <c r="K228" s="681"/>
      <c r="L228" s="657"/>
      <c r="M228" s="658"/>
      <c r="N228" s="619"/>
      <c r="O228" s="619"/>
      <c r="P228" s="619"/>
      <c r="Q228" s="619"/>
      <c r="R228" s="619"/>
      <c r="S228" s="619"/>
      <c r="T228" s="769"/>
      <c r="U228" s="657"/>
      <c r="V228" s="658"/>
      <c r="W228" s="619"/>
      <c r="X228" s="619"/>
      <c r="Y228" s="619"/>
      <c r="Z228" s="619"/>
      <c r="AA228" s="619"/>
      <c r="AB228" s="619"/>
      <c r="AC228" s="681"/>
      <c r="AD228" s="774"/>
      <c r="AE228" s="408">
        <f t="shared" ref="AE228" si="151">SUM(E228:AC228)</f>
        <v>160</v>
      </c>
      <c r="AF228" s="409"/>
      <c r="AG228" s="381"/>
      <c r="AH228" s="408">
        <f t="shared" si="142"/>
        <v>160</v>
      </c>
      <c r="AI228" s="835"/>
      <c r="AJ228" s="720">
        <f t="shared" si="143"/>
        <v>160</v>
      </c>
    </row>
    <row r="229" spans="1:36" s="234" customFormat="1" ht="20.25">
      <c r="A229" s="551" t="s">
        <v>623</v>
      </c>
      <c r="B229" s="548"/>
      <c r="C229" s="549"/>
      <c r="D229" s="544">
        <v>46133</v>
      </c>
      <c r="E229" s="319"/>
      <c r="F229" s="320"/>
      <c r="G229" s="320"/>
      <c r="H229" s="320"/>
      <c r="I229" s="321"/>
      <c r="J229" s="321"/>
      <c r="K229" s="380"/>
      <c r="L229" s="352"/>
      <c r="M229" s="353"/>
      <c r="N229" s="321"/>
      <c r="O229" s="321"/>
      <c r="P229" s="321"/>
      <c r="Q229" s="321"/>
      <c r="R229" s="321">
        <f>4*16</f>
        <v>64</v>
      </c>
      <c r="S229" s="321"/>
      <c r="T229" s="363"/>
      <c r="U229" s="580"/>
      <c r="V229" s="581"/>
      <c r="W229" s="543"/>
      <c r="X229" s="543"/>
      <c r="Y229" s="543"/>
      <c r="Z229" s="543"/>
      <c r="AA229" s="543"/>
      <c r="AB229" s="543"/>
      <c r="AC229" s="592"/>
      <c r="AD229" s="580"/>
      <c r="AE229" s="593">
        <f t="shared" si="141"/>
        <v>64</v>
      </c>
      <c r="AF229" s="594"/>
      <c r="AG229" s="1200"/>
      <c r="AH229" s="593">
        <f t="shared" si="142"/>
        <v>64</v>
      </c>
      <c r="AI229" s="836"/>
      <c r="AJ229" s="837">
        <f t="shared" si="143"/>
        <v>64</v>
      </c>
    </row>
    <row r="230" spans="1:36" s="234" customFormat="1" ht="20.25">
      <c r="A230" s="551" t="s">
        <v>634</v>
      </c>
      <c r="B230" s="552"/>
      <c r="C230" s="553"/>
      <c r="D230" s="544">
        <v>46133</v>
      </c>
      <c r="E230" s="319"/>
      <c r="F230" s="320"/>
      <c r="G230" s="320"/>
      <c r="H230" s="320"/>
      <c r="I230" s="321"/>
      <c r="J230" s="321"/>
      <c r="K230" s="380"/>
      <c r="L230" s="352"/>
      <c r="M230" s="353"/>
      <c r="N230" s="321"/>
      <c r="O230" s="321"/>
      <c r="P230" s="321"/>
      <c r="Q230" s="321"/>
      <c r="R230" s="582">
        <f>2*16</f>
        <v>32</v>
      </c>
      <c r="S230" s="321"/>
      <c r="T230" s="834">
        <f>2*16</f>
        <v>32</v>
      </c>
      <c r="U230" s="352"/>
      <c r="V230" s="353"/>
      <c r="W230" s="321"/>
      <c r="X230" s="321"/>
      <c r="Y230" s="321"/>
      <c r="Z230" s="321"/>
      <c r="AA230" s="321"/>
      <c r="AB230" s="321"/>
      <c r="AC230" s="380"/>
      <c r="AD230" s="352"/>
      <c r="AE230" s="408">
        <f t="shared" si="141"/>
        <v>64</v>
      </c>
      <c r="AF230" s="409"/>
      <c r="AG230" s="381"/>
      <c r="AH230" s="408">
        <f t="shared" si="142"/>
        <v>64</v>
      </c>
      <c r="AI230" s="835"/>
      <c r="AJ230" s="720">
        <f t="shared" si="143"/>
        <v>64</v>
      </c>
    </row>
    <row r="231" spans="1:36" s="234" customFormat="1" ht="20.25">
      <c r="A231" s="537" t="s">
        <v>664</v>
      </c>
      <c r="B231" s="552"/>
      <c r="C231" s="553"/>
      <c r="D231" s="544">
        <v>46134</v>
      </c>
      <c r="E231" s="319"/>
      <c r="F231" s="320"/>
      <c r="G231" s="320"/>
      <c r="H231" s="320"/>
      <c r="I231" s="321"/>
      <c r="J231" s="321"/>
      <c r="K231" s="380"/>
      <c r="L231" s="352"/>
      <c r="M231" s="353"/>
      <c r="N231" s="321"/>
      <c r="O231" s="321"/>
      <c r="P231" s="321"/>
      <c r="Q231" s="321"/>
      <c r="R231" s="321">
        <f>6*16</f>
        <v>96</v>
      </c>
      <c r="S231" s="321"/>
      <c r="T231" s="363"/>
      <c r="U231" s="352"/>
      <c r="V231" s="353"/>
      <c r="W231" s="321"/>
      <c r="X231" s="321">
        <f>1*16</f>
        <v>16</v>
      </c>
      <c r="Y231" s="321"/>
      <c r="Z231" s="321"/>
      <c r="AA231" s="321"/>
      <c r="AB231" s="321"/>
      <c r="AC231" s="380">
        <f>2*16</f>
        <v>32</v>
      </c>
      <c r="AD231" s="352"/>
      <c r="AE231" s="408">
        <f t="shared" ref="AE231" si="152">SUM(E231:AC231)</f>
        <v>144</v>
      </c>
      <c r="AF231" s="409"/>
      <c r="AG231" s="381"/>
      <c r="AH231" s="408">
        <f t="shared" si="142"/>
        <v>144</v>
      </c>
      <c r="AI231" s="835"/>
      <c r="AJ231" s="720">
        <f t="shared" si="143"/>
        <v>144</v>
      </c>
    </row>
    <row r="232" spans="1:36" s="234" customFormat="1" ht="20.25">
      <c r="A232" s="537" t="s">
        <v>668</v>
      </c>
      <c r="B232" s="550"/>
      <c r="C232" s="539"/>
      <c r="D232" s="555">
        <v>46135</v>
      </c>
      <c r="E232" s="319"/>
      <c r="F232" s="320"/>
      <c r="G232" s="320"/>
      <c r="H232" s="320"/>
      <c r="I232" s="321"/>
      <c r="J232" s="321"/>
      <c r="K232" s="380"/>
      <c r="L232" s="352"/>
      <c r="M232" s="353"/>
      <c r="N232" s="321">
        <f>3*16</f>
        <v>48</v>
      </c>
      <c r="O232" s="321"/>
      <c r="P232" s="321">
        <f>3*16</f>
        <v>48</v>
      </c>
      <c r="Q232" s="582"/>
      <c r="R232" s="582"/>
      <c r="S232" s="321"/>
      <c r="T232" s="363"/>
      <c r="U232" s="352"/>
      <c r="V232" s="353"/>
      <c r="W232" s="321"/>
      <c r="X232" s="321"/>
      <c r="Y232" s="321"/>
      <c r="Z232" s="321"/>
      <c r="AA232" s="321"/>
      <c r="AB232" s="321"/>
      <c r="AC232" s="380"/>
      <c r="AD232" s="352"/>
      <c r="AE232" s="408">
        <f t="shared" ref="AE232:AE236" si="153">SUM(E232:AC232)</f>
        <v>96</v>
      </c>
      <c r="AF232" s="409"/>
      <c r="AG232" s="381"/>
      <c r="AH232" s="408">
        <f t="shared" si="142"/>
        <v>96</v>
      </c>
      <c r="AI232" s="835"/>
      <c r="AJ232" s="720">
        <f t="shared" si="143"/>
        <v>96</v>
      </c>
    </row>
    <row r="233" spans="1:36" s="234" customFormat="1" ht="20.25">
      <c r="A233" s="551" t="s">
        <v>634</v>
      </c>
      <c r="B233" s="552"/>
      <c r="C233" s="553"/>
      <c r="D233" s="3369">
        <v>46138</v>
      </c>
      <c r="E233" s="794"/>
      <c r="F233" s="320"/>
      <c r="G233" s="320"/>
      <c r="H233" s="320"/>
      <c r="I233" s="321"/>
      <c r="J233" s="321"/>
      <c r="K233" s="380"/>
      <c r="L233" s="352"/>
      <c r="M233" s="353"/>
      <c r="N233" s="321"/>
      <c r="O233" s="321"/>
      <c r="P233" s="321"/>
      <c r="Q233" s="321"/>
      <c r="R233" s="321">
        <f>2*16</f>
        <v>32</v>
      </c>
      <c r="S233" s="321"/>
      <c r="T233" s="363">
        <f>2*16</f>
        <v>32</v>
      </c>
      <c r="U233" s="352"/>
      <c r="V233" s="353"/>
      <c r="W233" s="321"/>
      <c r="X233" s="321"/>
      <c r="Y233" s="321"/>
      <c r="Z233" s="321"/>
      <c r="AA233" s="321"/>
      <c r="AB233" s="321"/>
      <c r="AC233" s="380"/>
      <c r="AD233" s="352"/>
      <c r="AE233" s="408">
        <f t="shared" si="153"/>
        <v>64</v>
      </c>
      <c r="AF233" s="409"/>
      <c r="AG233" s="381"/>
      <c r="AH233" s="408">
        <f t="shared" si="142"/>
        <v>64</v>
      </c>
      <c r="AI233" s="835"/>
      <c r="AJ233" s="720">
        <f t="shared" si="143"/>
        <v>64</v>
      </c>
    </row>
    <row r="234" spans="1:36" s="234" customFormat="1" ht="20.25">
      <c r="A234" s="547" t="s">
        <v>676</v>
      </c>
      <c r="B234" s="552"/>
      <c r="C234" s="553"/>
      <c r="D234" s="2787">
        <v>46138</v>
      </c>
      <c r="E234" s="319"/>
      <c r="F234" s="320"/>
      <c r="G234" s="320"/>
      <c r="H234" s="320"/>
      <c r="I234" s="321"/>
      <c r="J234" s="321"/>
      <c r="K234" s="380"/>
      <c r="L234" s="352"/>
      <c r="M234" s="353"/>
      <c r="N234" s="321">
        <f>10*16</f>
        <v>160</v>
      </c>
      <c r="O234" s="321"/>
      <c r="P234" s="321">
        <f>10*16</f>
        <v>160</v>
      </c>
      <c r="Q234" s="321"/>
      <c r="R234" s="321"/>
      <c r="S234" s="321"/>
      <c r="T234" s="363">
        <f>10*16</f>
        <v>160</v>
      </c>
      <c r="U234" s="352"/>
      <c r="V234" s="353"/>
      <c r="W234" s="321"/>
      <c r="X234" s="321"/>
      <c r="Y234" s="321"/>
      <c r="Z234" s="321"/>
      <c r="AA234" s="321"/>
      <c r="AB234" s="321"/>
      <c r="AC234" s="380"/>
      <c r="AD234" s="352"/>
      <c r="AE234" s="408">
        <f t="shared" si="153"/>
        <v>480</v>
      </c>
      <c r="AF234" s="409"/>
      <c r="AG234" s="381"/>
      <c r="AH234" s="408">
        <f t="shared" si="142"/>
        <v>480</v>
      </c>
      <c r="AI234" s="835"/>
      <c r="AJ234" s="720">
        <f t="shared" si="143"/>
        <v>480</v>
      </c>
    </row>
    <row r="235" spans="1:36" s="234" customFormat="1" ht="20.25">
      <c r="A235" s="547" t="s">
        <v>682</v>
      </c>
      <c r="B235" s="552"/>
      <c r="C235" s="553"/>
      <c r="D235" s="544">
        <v>46140</v>
      </c>
      <c r="E235" s="319"/>
      <c r="F235" s="320"/>
      <c r="G235" s="320"/>
      <c r="H235" s="320"/>
      <c r="I235" s="321"/>
      <c r="J235" s="321"/>
      <c r="K235" s="380"/>
      <c r="L235" s="352"/>
      <c r="M235" s="353"/>
      <c r="N235" s="321"/>
      <c r="O235" s="321"/>
      <c r="P235" s="321">
        <f>8*16</f>
        <v>128</v>
      </c>
      <c r="Q235" s="321"/>
      <c r="R235" s="321"/>
      <c r="S235" s="321"/>
      <c r="T235" s="363">
        <f>4*16</f>
        <v>64</v>
      </c>
      <c r="U235" s="352"/>
      <c r="V235" s="353"/>
      <c r="W235" s="321"/>
      <c r="X235" s="321"/>
      <c r="Y235" s="321"/>
      <c r="Z235" s="321"/>
      <c r="AA235" s="321"/>
      <c r="AB235" s="321"/>
      <c r="AC235" s="380"/>
      <c r="AD235" s="352"/>
      <c r="AE235" s="408">
        <f t="shared" si="153"/>
        <v>192</v>
      </c>
      <c r="AF235" s="409"/>
      <c r="AG235" s="381"/>
      <c r="AH235" s="408">
        <f t="shared" si="142"/>
        <v>192</v>
      </c>
      <c r="AI235" s="835"/>
      <c r="AJ235" s="720">
        <f t="shared" si="143"/>
        <v>192</v>
      </c>
    </row>
    <row r="236" spans="1:36" s="234" customFormat="1" ht="20.25">
      <c r="A236" s="537" t="s">
        <v>635</v>
      </c>
      <c r="B236" s="552"/>
      <c r="C236" s="553"/>
      <c r="D236" s="544">
        <v>46141</v>
      </c>
      <c r="E236" s="319"/>
      <c r="F236" s="320"/>
      <c r="G236" s="320"/>
      <c r="H236" s="320"/>
      <c r="I236" s="321">
        <f>2*16</f>
        <v>32</v>
      </c>
      <c r="J236" s="321"/>
      <c r="K236" s="380"/>
      <c r="L236" s="352"/>
      <c r="M236" s="353"/>
      <c r="N236" s="321"/>
      <c r="O236" s="321"/>
      <c r="P236" s="321"/>
      <c r="Q236" s="321"/>
      <c r="R236" s="321"/>
      <c r="S236" s="321"/>
      <c r="T236" s="363"/>
      <c r="U236" s="654"/>
      <c r="V236" s="321"/>
      <c r="W236" s="321"/>
      <c r="X236" s="321"/>
      <c r="Y236" s="321"/>
      <c r="Z236" s="321"/>
      <c r="AA236" s="321"/>
      <c r="AB236" s="321"/>
      <c r="AC236" s="320"/>
      <c r="AD236" s="842"/>
      <c r="AE236" s="321">
        <f t="shared" si="153"/>
        <v>32</v>
      </c>
      <c r="AF236" s="321"/>
      <c r="AG236" s="1178"/>
      <c r="AH236" s="408">
        <f t="shared" ref="AH236" si="154">AE236+AF236+AG236</f>
        <v>32</v>
      </c>
      <c r="AI236" s="1204"/>
      <c r="AJ236" s="846">
        <f t="shared" ref="AJ236" si="155">AH236+AI236</f>
        <v>32</v>
      </c>
    </row>
    <row r="237" spans="1:36" s="234" customFormat="1" ht="21" thickBot="1">
      <c r="A237" s="547" t="s">
        <v>686</v>
      </c>
      <c r="B237" s="552"/>
      <c r="C237" s="553"/>
      <c r="D237" s="544">
        <v>46141</v>
      </c>
      <c r="E237" s="319"/>
      <c r="F237" s="612"/>
      <c r="G237" s="612"/>
      <c r="H237" s="612"/>
      <c r="I237" s="613"/>
      <c r="J237" s="613"/>
      <c r="K237" s="678"/>
      <c r="L237" s="654"/>
      <c r="M237" s="655"/>
      <c r="N237" s="613"/>
      <c r="O237" s="613"/>
      <c r="P237" s="613"/>
      <c r="Q237" s="613"/>
      <c r="R237" s="613">
        <f>8*16</f>
        <v>128</v>
      </c>
      <c r="S237" s="613"/>
      <c r="T237" s="768">
        <f>8*16</f>
        <v>128</v>
      </c>
      <c r="U237" s="657"/>
      <c r="V237" s="658"/>
      <c r="W237" s="619"/>
      <c r="X237" s="619"/>
      <c r="Y237" s="619"/>
      <c r="Z237" s="619"/>
      <c r="AA237" s="619"/>
      <c r="AB237" s="619"/>
      <c r="AC237" s="681"/>
      <c r="AD237" s="657"/>
      <c r="AE237" s="682">
        <f t="shared" ref="AE237:AE279" si="156">SUM(E237:AC237)</f>
        <v>256</v>
      </c>
      <c r="AF237" s="683"/>
      <c r="AG237" s="1205"/>
      <c r="AH237" s="682">
        <f t="shared" si="142"/>
        <v>256</v>
      </c>
      <c r="AI237" s="847"/>
      <c r="AJ237" s="848">
        <f t="shared" si="143"/>
        <v>256</v>
      </c>
    </row>
    <row r="238" spans="1:36" s="234" customFormat="1" ht="21" thickBot="1">
      <c r="A238" s="537" t="s">
        <v>687</v>
      </c>
      <c r="B238" s="552"/>
      <c r="C238" s="553"/>
      <c r="D238" s="2569">
        <v>46141</v>
      </c>
      <c r="E238" s="861"/>
      <c r="F238" s="618"/>
      <c r="G238" s="618"/>
      <c r="H238" s="618"/>
      <c r="I238" s="619">
        <f>4*16</f>
        <v>64</v>
      </c>
      <c r="J238" s="619"/>
      <c r="K238" s="681"/>
      <c r="L238" s="657"/>
      <c r="M238" s="658"/>
      <c r="N238" s="619">
        <f>4*16</f>
        <v>64</v>
      </c>
      <c r="O238" s="619"/>
      <c r="P238" s="619">
        <f>2*16</f>
        <v>32</v>
      </c>
      <c r="Q238" s="619"/>
      <c r="R238" s="619"/>
      <c r="S238" s="619"/>
      <c r="T238" s="769">
        <f>3*16</f>
        <v>48</v>
      </c>
      <c r="U238" s="657"/>
      <c r="V238" s="658"/>
      <c r="W238" s="619"/>
      <c r="X238" s="619"/>
      <c r="Y238" s="619"/>
      <c r="Z238" s="619"/>
      <c r="AA238" s="619"/>
      <c r="AB238" s="619"/>
      <c r="AC238" s="681"/>
      <c r="AD238" s="843"/>
      <c r="AE238" s="408">
        <f t="shared" si="156"/>
        <v>208</v>
      </c>
      <c r="AF238" s="409"/>
      <c r="AG238" s="381"/>
      <c r="AH238" s="408">
        <f t="shared" si="142"/>
        <v>208</v>
      </c>
      <c r="AI238" s="835"/>
      <c r="AJ238" s="720">
        <f t="shared" ref="AJ238:AJ278" si="157">AH238+AI238</f>
        <v>208</v>
      </c>
    </row>
    <row r="239" spans="1:36" s="234" customFormat="1" ht="20.25">
      <c r="A239" s="551" t="s">
        <v>619</v>
      </c>
      <c r="B239" s="552"/>
      <c r="C239" s="553"/>
      <c r="D239" s="544">
        <v>46142</v>
      </c>
      <c r="E239" s="617"/>
      <c r="F239" s="618"/>
      <c r="G239" s="618"/>
      <c r="H239" s="618"/>
      <c r="I239" s="619"/>
      <c r="J239" s="619"/>
      <c r="K239" s="681"/>
      <c r="L239" s="657"/>
      <c r="M239" s="658"/>
      <c r="N239" s="619">
        <f>1*16</f>
        <v>16</v>
      </c>
      <c r="O239" s="619"/>
      <c r="P239" s="619"/>
      <c r="Q239" s="619"/>
      <c r="R239" s="619">
        <f>1*16</f>
        <v>16</v>
      </c>
      <c r="S239" s="619"/>
      <c r="T239" s="769">
        <f>2*16</f>
        <v>32</v>
      </c>
      <c r="U239" s="657"/>
      <c r="V239" s="658"/>
      <c r="W239" s="619"/>
      <c r="X239" s="619"/>
      <c r="Y239" s="619"/>
      <c r="Z239" s="619"/>
      <c r="AA239" s="619"/>
      <c r="AB239" s="619"/>
      <c r="AC239" s="681"/>
      <c r="AD239" s="843"/>
      <c r="AE239" s="408">
        <f t="shared" si="156"/>
        <v>64</v>
      </c>
      <c r="AF239" s="409"/>
      <c r="AG239" s="381"/>
      <c r="AH239" s="408">
        <f t="shared" si="142"/>
        <v>64</v>
      </c>
      <c r="AI239" s="835"/>
      <c r="AJ239" s="720">
        <f t="shared" si="157"/>
        <v>64</v>
      </c>
    </row>
    <row r="240" spans="1:36" s="234" customFormat="1" ht="20.25">
      <c r="A240" s="551"/>
      <c r="B240" s="552"/>
      <c r="C240" s="553"/>
      <c r="D240" s="544"/>
      <c r="E240" s="617"/>
      <c r="F240" s="618"/>
      <c r="G240" s="320"/>
      <c r="H240" s="320"/>
      <c r="I240" s="619"/>
      <c r="J240" s="619"/>
      <c r="K240" s="681"/>
      <c r="L240" s="657"/>
      <c r="M240" s="658"/>
      <c r="N240" s="619"/>
      <c r="O240" s="619"/>
      <c r="P240" s="619"/>
      <c r="Q240" s="619"/>
      <c r="R240" s="619"/>
      <c r="S240" s="619"/>
      <c r="T240" s="769"/>
      <c r="U240" s="657"/>
      <c r="V240" s="658"/>
      <c r="W240" s="619"/>
      <c r="X240" s="619"/>
      <c r="Y240" s="619"/>
      <c r="Z240" s="619"/>
      <c r="AA240" s="619"/>
      <c r="AB240" s="619"/>
      <c r="AC240" s="681"/>
      <c r="AD240" s="843"/>
      <c r="AE240" s="408">
        <f t="shared" si="156"/>
        <v>0</v>
      </c>
      <c r="AF240" s="409"/>
      <c r="AG240" s="381"/>
      <c r="AH240" s="408">
        <f t="shared" si="142"/>
        <v>0</v>
      </c>
      <c r="AI240" s="835"/>
      <c r="AJ240" s="720">
        <f t="shared" si="157"/>
        <v>0</v>
      </c>
    </row>
    <row r="241" spans="1:36" s="234" customFormat="1" ht="20.25">
      <c r="A241" s="551"/>
      <c r="B241" s="552"/>
      <c r="C241" s="553"/>
      <c r="D241" s="544"/>
      <c r="E241" s="617"/>
      <c r="F241" s="618"/>
      <c r="G241" s="618"/>
      <c r="H241" s="618"/>
      <c r="I241" s="619"/>
      <c r="J241" s="619"/>
      <c r="K241" s="681"/>
      <c r="L241" s="657"/>
      <c r="M241" s="658"/>
      <c r="N241" s="619"/>
      <c r="O241" s="619"/>
      <c r="P241" s="619"/>
      <c r="Q241" s="619"/>
      <c r="R241" s="619"/>
      <c r="S241" s="619"/>
      <c r="T241" s="769"/>
      <c r="U241" s="657"/>
      <c r="V241" s="658"/>
      <c r="W241" s="619"/>
      <c r="X241" s="619"/>
      <c r="Y241" s="619"/>
      <c r="Z241" s="619"/>
      <c r="AA241" s="619"/>
      <c r="AB241" s="619"/>
      <c r="AC241" s="681"/>
      <c r="AD241" s="775"/>
      <c r="AE241" s="419">
        <f t="shared" ref="AE241" si="158">SUM(E241:AC241)</f>
        <v>0</v>
      </c>
      <c r="AF241" s="420"/>
      <c r="AG241" s="384"/>
      <c r="AH241" s="419">
        <f t="shared" si="142"/>
        <v>0</v>
      </c>
      <c r="AI241" s="849"/>
      <c r="AJ241" s="850">
        <f t="shared" si="157"/>
        <v>0</v>
      </c>
    </row>
    <row r="242" spans="1:36" s="234" customFormat="1" ht="21" thickBot="1">
      <c r="A242" s="537"/>
      <c r="B242" s="552"/>
      <c r="C242" s="553"/>
      <c r="D242" s="559"/>
      <c r="E242" s="617"/>
      <c r="F242" s="618"/>
      <c r="G242" s="618"/>
      <c r="H242" s="618"/>
      <c r="I242" s="619"/>
      <c r="J242" s="619"/>
      <c r="K242" s="681"/>
      <c r="L242" s="657"/>
      <c r="M242" s="658"/>
      <c r="N242" s="619"/>
      <c r="O242" s="619"/>
      <c r="P242" s="619"/>
      <c r="Q242" s="619"/>
      <c r="R242" s="619"/>
      <c r="S242" s="619"/>
      <c r="T242" s="769"/>
      <c r="U242" s="657"/>
      <c r="V242" s="658"/>
      <c r="W242" s="619"/>
      <c r="X242" s="619"/>
      <c r="Y242" s="619"/>
      <c r="Z242" s="619"/>
      <c r="AA242" s="619"/>
      <c r="AB242" s="619"/>
      <c r="AC242" s="681"/>
      <c r="AD242" s="774"/>
      <c r="AE242" s="408">
        <f t="shared" ref="AE242" si="159">SUM(E242:AC242)</f>
        <v>0</v>
      </c>
      <c r="AF242" s="409"/>
      <c r="AG242" s="381"/>
      <c r="AH242" s="408">
        <f t="shared" si="142"/>
        <v>0</v>
      </c>
      <c r="AI242" s="835"/>
      <c r="AJ242" s="720">
        <f t="shared" si="157"/>
        <v>0</v>
      </c>
    </row>
    <row r="243" spans="1:36" s="234" customFormat="1" ht="21" thickBot="1">
      <c r="A243" s="537"/>
      <c r="B243" s="552"/>
      <c r="C243" s="553"/>
      <c r="D243" s="544"/>
      <c r="E243" s="617"/>
      <c r="F243" s="618"/>
      <c r="G243" s="618"/>
      <c r="H243" s="618"/>
      <c r="I243" s="619"/>
      <c r="J243" s="619"/>
      <c r="K243" s="681"/>
      <c r="L243" s="657"/>
      <c r="M243" s="658"/>
      <c r="N243" s="619"/>
      <c r="O243" s="619"/>
      <c r="P243" s="619"/>
      <c r="Q243" s="619"/>
      <c r="R243" s="619"/>
      <c r="S243" s="619"/>
      <c r="T243" s="769"/>
      <c r="U243" s="657"/>
      <c r="V243" s="658"/>
      <c r="W243" s="619"/>
      <c r="X243" s="619"/>
      <c r="Y243" s="619"/>
      <c r="Z243" s="619"/>
      <c r="AA243" s="619"/>
      <c r="AB243" s="619"/>
      <c r="AC243" s="681"/>
      <c r="AD243" s="774"/>
      <c r="AE243" s="408">
        <f t="shared" ref="AE243" si="160">SUM(E243:AC243)</f>
        <v>0</v>
      </c>
      <c r="AF243" s="409"/>
      <c r="AG243" s="381"/>
      <c r="AH243" s="408">
        <f t="shared" si="142"/>
        <v>0</v>
      </c>
      <c r="AI243" s="835"/>
      <c r="AJ243" s="720">
        <f t="shared" si="157"/>
        <v>0</v>
      </c>
    </row>
    <row r="244" spans="1:36" s="234" customFormat="1" ht="21" thickBot="1">
      <c r="A244" s="537"/>
      <c r="B244" s="552"/>
      <c r="C244" s="553"/>
      <c r="D244" s="544"/>
      <c r="E244" s="617"/>
      <c r="F244" s="618"/>
      <c r="G244" s="618"/>
      <c r="H244" s="618"/>
      <c r="I244" s="619"/>
      <c r="J244" s="619"/>
      <c r="K244" s="681"/>
      <c r="L244" s="657"/>
      <c r="M244" s="658"/>
      <c r="N244" s="619"/>
      <c r="O244" s="619"/>
      <c r="P244" s="619"/>
      <c r="Q244" s="619"/>
      <c r="R244" s="619"/>
      <c r="S244" s="619"/>
      <c r="T244" s="769"/>
      <c r="U244" s="657"/>
      <c r="V244" s="658"/>
      <c r="W244" s="619"/>
      <c r="X244" s="619"/>
      <c r="Y244" s="619"/>
      <c r="Z244" s="619"/>
      <c r="AA244" s="619"/>
      <c r="AB244" s="619"/>
      <c r="AC244" s="681"/>
      <c r="AD244" s="774"/>
      <c r="AE244" s="419">
        <f t="shared" ref="AE244" si="161">SUM(E244:AC244)</f>
        <v>0</v>
      </c>
      <c r="AF244" s="420"/>
      <c r="AG244" s="384"/>
      <c r="AH244" s="419">
        <f t="shared" ref="AH244:AH279" si="162">AE244+AF244+AG244</f>
        <v>0</v>
      </c>
      <c r="AI244" s="849"/>
      <c r="AJ244" s="850">
        <f t="shared" si="157"/>
        <v>0</v>
      </c>
    </row>
    <row r="245" spans="1:36" s="234" customFormat="1" ht="21" thickBot="1">
      <c r="A245" s="561"/>
      <c r="B245" s="552"/>
      <c r="C245" s="553"/>
      <c r="D245" s="555"/>
      <c r="E245" s="617"/>
      <c r="F245" s="618"/>
      <c r="G245" s="618"/>
      <c r="H245" s="618"/>
      <c r="I245" s="619"/>
      <c r="J245" s="619"/>
      <c r="K245" s="681"/>
      <c r="L245" s="657"/>
      <c r="M245" s="658"/>
      <c r="N245" s="619"/>
      <c r="O245" s="619"/>
      <c r="P245" s="619"/>
      <c r="Q245" s="619"/>
      <c r="R245" s="619"/>
      <c r="S245" s="619"/>
      <c r="T245" s="769"/>
      <c r="U245" s="657"/>
      <c r="V245" s="658"/>
      <c r="W245" s="619"/>
      <c r="X245" s="619"/>
      <c r="Y245" s="619"/>
      <c r="Z245" s="619"/>
      <c r="AA245" s="619"/>
      <c r="AB245" s="619"/>
      <c r="AC245" s="681"/>
      <c r="AD245" s="774"/>
      <c r="AE245" s="408">
        <f t="shared" ref="AE245" si="163">SUM(E245:AC245)</f>
        <v>0</v>
      </c>
      <c r="AF245" s="409"/>
      <c r="AG245" s="381"/>
      <c r="AH245" s="408">
        <f t="shared" si="162"/>
        <v>0</v>
      </c>
      <c r="AI245" s="835"/>
      <c r="AJ245" s="720">
        <f t="shared" si="157"/>
        <v>0</v>
      </c>
    </row>
    <row r="246" spans="1:36" s="234" customFormat="1" ht="21" thickBot="1">
      <c r="A246" s="537"/>
      <c r="B246" s="563"/>
      <c r="C246" s="553"/>
      <c r="D246" s="544"/>
      <c r="E246" s="617"/>
      <c r="F246" s="618"/>
      <c r="G246" s="618"/>
      <c r="H246" s="618"/>
      <c r="I246" s="619"/>
      <c r="J246" s="619"/>
      <c r="K246" s="681"/>
      <c r="L246" s="657"/>
      <c r="M246" s="658"/>
      <c r="N246" s="619"/>
      <c r="O246" s="619"/>
      <c r="P246" s="619"/>
      <c r="Q246" s="619"/>
      <c r="R246" s="619"/>
      <c r="S246" s="619"/>
      <c r="T246" s="769"/>
      <c r="U246" s="657"/>
      <c r="V246" s="658"/>
      <c r="W246" s="619"/>
      <c r="X246" s="619"/>
      <c r="Y246" s="619"/>
      <c r="Z246" s="619"/>
      <c r="AA246" s="619"/>
      <c r="AB246" s="619"/>
      <c r="AC246" s="681"/>
      <c r="AD246" s="774"/>
      <c r="AE246" s="408">
        <f>SUM(E246:AC246)</f>
        <v>0</v>
      </c>
      <c r="AF246" s="409"/>
      <c r="AG246" s="381"/>
      <c r="AH246" s="408">
        <f t="shared" si="162"/>
        <v>0</v>
      </c>
      <c r="AI246" s="835"/>
      <c r="AJ246" s="720">
        <f t="shared" si="157"/>
        <v>0</v>
      </c>
    </row>
    <row r="247" spans="1:36" s="234" customFormat="1" ht="21" thickBot="1">
      <c r="A247" s="537"/>
      <c r="B247" s="550"/>
      <c r="C247" s="549"/>
      <c r="D247" s="544"/>
      <c r="E247" s="313"/>
      <c r="F247" s="314"/>
      <c r="G247" s="314"/>
      <c r="H247" s="314"/>
      <c r="I247" s="315"/>
      <c r="J247" s="315"/>
      <c r="K247" s="378"/>
      <c r="L247" s="352"/>
      <c r="M247" s="353"/>
      <c r="N247" s="321"/>
      <c r="O247" s="321"/>
      <c r="P247" s="321"/>
      <c r="Q247" s="321"/>
      <c r="R247" s="321"/>
      <c r="S247" s="321"/>
      <c r="T247" s="363"/>
      <c r="U247" s="352"/>
      <c r="V247" s="353"/>
      <c r="W247" s="321"/>
      <c r="X247" s="321"/>
      <c r="Y247" s="321"/>
      <c r="Z247" s="321"/>
      <c r="AA247" s="321"/>
      <c r="AB247" s="321"/>
      <c r="AC247" s="380"/>
      <c r="AD247" s="774"/>
      <c r="AE247" s="408">
        <f t="shared" ref="AE247" si="164">SUM(E247:AC247)</f>
        <v>0</v>
      </c>
      <c r="AF247" s="409"/>
      <c r="AG247" s="381"/>
      <c r="AH247" s="408">
        <f t="shared" si="162"/>
        <v>0</v>
      </c>
      <c r="AI247" s="835"/>
      <c r="AJ247" s="720">
        <f t="shared" si="157"/>
        <v>0</v>
      </c>
    </row>
    <row r="248" spans="1:36" s="234" customFormat="1" ht="21" thickBot="1">
      <c r="A248" s="537"/>
      <c r="B248" s="552"/>
      <c r="C248" s="553"/>
      <c r="D248" s="544"/>
      <c r="E248" s="319"/>
      <c r="F248" s="320"/>
      <c r="G248" s="320"/>
      <c r="H248" s="320"/>
      <c r="I248" s="321"/>
      <c r="J248" s="321"/>
      <c r="K248" s="380"/>
      <c r="L248" s="352"/>
      <c r="M248" s="353"/>
      <c r="N248" s="321"/>
      <c r="O248" s="321"/>
      <c r="P248" s="321"/>
      <c r="Q248" s="321"/>
      <c r="R248" s="321"/>
      <c r="S248" s="321"/>
      <c r="T248" s="363"/>
      <c r="U248" s="580"/>
      <c r="V248" s="581"/>
      <c r="W248" s="543"/>
      <c r="X248" s="543"/>
      <c r="Y248" s="543"/>
      <c r="Z248" s="543"/>
      <c r="AA248" s="543"/>
      <c r="AB248" s="543"/>
      <c r="AC248" s="592"/>
      <c r="AD248" s="774"/>
      <c r="AE248" s="408">
        <f t="shared" ref="AE248" si="165">SUM(E248:AC248)</f>
        <v>0</v>
      </c>
      <c r="AF248" s="409"/>
      <c r="AG248" s="381"/>
      <c r="AH248" s="408">
        <f t="shared" si="162"/>
        <v>0</v>
      </c>
      <c r="AI248" s="835"/>
      <c r="AJ248" s="720">
        <f t="shared" si="157"/>
        <v>0</v>
      </c>
    </row>
    <row r="249" spans="1:36" s="234" customFormat="1" ht="21" thickBot="1">
      <c r="A249" s="537"/>
      <c r="B249" s="550"/>
      <c r="C249" s="549"/>
      <c r="D249" s="544"/>
      <c r="E249" s="319"/>
      <c r="F249" s="320"/>
      <c r="G249" s="320"/>
      <c r="H249" s="320"/>
      <c r="I249" s="321"/>
      <c r="J249" s="321"/>
      <c r="K249" s="380"/>
      <c r="L249" s="352"/>
      <c r="M249" s="353"/>
      <c r="N249" s="321"/>
      <c r="O249" s="321"/>
      <c r="P249" s="321"/>
      <c r="Q249" s="321"/>
      <c r="R249" s="321"/>
      <c r="S249" s="321"/>
      <c r="T249" s="363"/>
      <c r="U249" s="580"/>
      <c r="V249" s="581"/>
      <c r="W249" s="543"/>
      <c r="X249" s="543"/>
      <c r="Y249" s="543"/>
      <c r="Z249" s="543"/>
      <c r="AA249" s="543"/>
      <c r="AB249" s="543"/>
      <c r="AC249" s="592"/>
      <c r="AD249" s="774"/>
      <c r="AE249" s="408">
        <f t="shared" ref="AE249" si="166">SUM(E249:AC249)</f>
        <v>0</v>
      </c>
      <c r="AF249" s="409"/>
      <c r="AG249" s="381"/>
      <c r="AH249" s="408">
        <f t="shared" si="162"/>
        <v>0</v>
      </c>
      <c r="AI249" s="835"/>
      <c r="AJ249" s="720">
        <f t="shared" si="157"/>
        <v>0</v>
      </c>
    </row>
    <row r="250" spans="1:36" s="234" customFormat="1" ht="21" thickBot="1">
      <c r="A250" s="537"/>
      <c r="B250" s="538"/>
      <c r="C250" s="539"/>
      <c r="D250" s="544"/>
      <c r="E250" s="541"/>
      <c r="F250" s="542"/>
      <c r="G250" s="542"/>
      <c r="H250" s="542"/>
      <c r="I250" s="543"/>
      <c r="J250" s="543"/>
      <c r="K250" s="592"/>
      <c r="L250" s="580"/>
      <c r="M250" s="581"/>
      <c r="N250" s="543"/>
      <c r="O250" s="543"/>
      <c r="P250" s="543"/>
      <c r="Q250" s="543"/>
      <c r="R250" s="543"/>
      <c r="S250" s="543"/>
      <c r="T250" s="767"/>
      <c r="U250" s="580"/>
      <c r="V250" s="581"/>
      <c r="W250" s="543"/>
      <c r="X250" s="543"/>
      <c r="Y250" s="543"/>
      <c r="Z250" s="543"/>
      <c r="AA250" s="543"/>
      <c r="AB250" s="543"/>
      <c r="AC250" s="592"/>
      <c r="AD250" s="774"/>
      <c r="AE250" s="408">
        <f t="shared" ref="AE250:AE251" si="167">SUM(E250:AC250)</f>
        <v>0</v>
      </c>
      <c r="AF250" s="409"/>
      <c r="AG250" s="381"/>
      <c r="AH250" s="408">
        <f t="shared" si="162"/>
        <v>0</v>
      </c>
      <c r="AI250" s="835"/>
      <c r="AJ250" s="720">
        <f t="shared" si="157"/>
        <v>0</v>
      </c>
    </row>
    <row r="251" spans="1:36" s="234" customFormat="1" ht="21" thickBot="1">
      <c r="A251" s="537"/>
      <c r="B251" s="550"/>
      <c r="C251" s="549"/>
      <c r="D251" s="544"/>
      <c r="E251" s="617"/>
      <c r="F251" s="618"/>
      <c r="G251" s="618"/>
      <c r="H251" s="618"/>
      <c r="I251" s="619"/>
      <c r="J251" s="619"/>
      <c r="K251" s="681"/>
      <c r="L251" s="657"/>
      <c r="M251" s="658"/>
      <c r="N251" s="619"/>
      <c r="O251" s="619"/>
      <c r="P251" s="619"/>
      <c r="Q251" s="619"/>
      <c r="R251" s="619"/>
      <c r="S251" s="619"/>
      <c r="T251" s="769"/>
      <c r="U251" s="657"/>
      <c r="V251" s="658"/>
      <c r="W251" s="619"/>
      <c r="X251" s="619"/>
      <c r="Y251" s="619"/>
      <c r="Z251" s="619"/>
      <c r="AA251" s="619"/>
      <c r="AB251" s="619"/>
      <c r="AC251" s="681"/>
      <c r="AD251" s="774"/>
      <c r="AE251" s="408">
        <f t="shared" si="167"/>
        <v>0</v>
      </c>
      <c r="AF251" s="409"/>
      <c r="AG251" s="381"/>
      <c r="AH251" s="408">
        <f t="shared" ref="AH251" si="168">AE251+AF251+AG251</f>
        <v>0</v>
      </c>
      <c r="AI251" s="835"/>
      <c r="AJ251" s="720">
        <f t="shared" ref="AJ251" si="169">AH251+AI251</f>
        <v>0</v>
      </c>
    </row>
    <row r="252" spans="1:36" s="234" customFormat="1" ht="21" thickBot="1">
      <c r="A252" s="1111"/>
      <c r="B252" s="1112"/>
      <c r="C252" s="1113"/>
      <c r="D252" s="1114"/>
      <c r="E252" s="541"/>
      <c r="F252" s="542"/>
      <c r="G252" s="542"/>
      <c r="H252" s="542"/>
      <c r="I252" s="543"/>
      <c r="J252" s="543"/>
      <c r="K252" s="592"/>
      <c r="L252" s="580"/>
      <c r="M252" s="581"/>
      <c r="N252" s="543"/>
      <c r="O252" s="543"/>
      <c r="P252" s="543"/>
      <c r="Q252" s="543"/>
      <c r="R252" s="543"/>
      <c r="S252" s="543"/>
      <c r="T252" s="767"/>
      <c r="U252" s="352"/>
      <c r="V252" s="353"/>
      <c r="W252" s="321"/>
      <c r="X252" s="321"/>
      <c r="Y252" s="321"/>
      <c r="Z252" s="321"/>
      <c r="AA252" s="321"/>
      <c r="AB252" s="321"/>
      <c r="AC252" s="380"/>
      <c r="AD252" s="774"/>
      <c r="AE252" s="408">
        <f t="shared" ref="AE252" si="170">SUM(E252:AC252)</f>
        <v>0</v>
      </c>
      <c r="AF252" s="409"/>
      <c r="AG252" s="381"/>
      <c r="AH252" s="408">
        <f t="shared" si="162"/>
        <v>0</v>
      </c>
      <c r="AI252" s="835"/>
      <c r="AJ252" s="720">
        <f t="shared" si="157"/>
        <v>0</v>
      </c>
    </row>
    <row r="253" spans="1:36" s="234" customFormat="1" ht="21" thickBot="1">
      <c r="A253" s="537"/>
      <c r="B253" s="552"/>
      <c r="C253" s="553"/>
      <c r="D253" s="544"/>
      <c r="E253" s="319"/>
      <c r="F253" s="320"/>
      <c r="G253" s="320"/>
      <c r="H253" s="320"/>
      <c r="I253" s="321"/>
      <c r="J253" s="321"/>
      <c r="K253" s="380"/>
      <c r="L253" s="352"/>
      <c r="M253" s="353"/>
      <c r="N253" s="321"/>
      <c r="O253" s="321"/>
      <c r="P253" s="321"/>
      <c r="Q253" s="321"/>
      <c r="R253" s="321"/>
      <c r="S253" s="321"/>
      <c r="T253" s="363"/>
      <c r="U253" s="580"/>
      <c r="V253" s="581"/>
      <c r="W253" s="543"/>
      <c r="X253" s="543"/>
      <c r="Y253" s="543"/>
      <c r="Z253" s="543"/>
      <c r="AA253" s="543"/>
      <c r="AB253" s="543"/>
      <c r="AC253" s="592"/>
      <c r="AD253" s="774"/>
      <c r="AE253" s="408">
        <f t="shared" ref="AE253:AE256" si="171">SUM(E253:AC253)</f>
        <v>0</v>
      </c>
      <c r="AF253" s="409"/>
      <c r="AG253" s="381"/>
      <c r="AH253" s="408">
        <f t="shared" si="162"/>
        <v>0</v>
      </c>
      <c r="AI253" s="835"/>
      <c r="AJ253" s="720">
        <f t="shared" si="157"/>
        <v>0</v>
      </c>
    </row>
    <row r="254" spans="1:36" s="234" customFormat="1" ht="21" thickBot="1">
      <c r="A254" s="537"/>
      <c r="B254" s="552"/>
      <c r="C254" s="553"/>
      <c r="D254" s="544"/>
      <c r="E254" s="541"/>
      <c r="F254" s="542"/>
      <c r="G254" s="542"/>
      <c r="H254" s="542"/>
      <c r="I254" s="543"/>
      <c r="J254" s="543"/>
      <c r="K254" s="592"/>
      <c r="L254" s="580"/>
      <c r="M254" s="581"/>
      <c r="N254" s="543"/>
      <c r="O254" s="543"/>
      <c r="P254" s="543"/>
      <c r="Q254" s="543"/>
      <c r="R254" s="543"/>
      <c r="S254" s="543"/>
      <c r="T254" s="767"/>
      <c r="U254" s="580"/>
      <c r="V254" s="581"/>
      <c r="W254" s="543"/>
      <c r="X254" s="543"/>
      <c r="Y254" s="543"/>
      <c r="Z254" s="543"/>
      <c r="AA254" s="543"/>
      <c r="AB254" s="543"/>
      <c r="AC254" s="592"/>
      <c r="AD254" s="774"/>
      <c r="AE254" s="408">
        <f t="shared" ref="AE254" si="172">SUM(E254:AC254)</f>
        <v>0</v>
      </c>
      <c r="AF254" s="409"/>
      <c r="AG254" s="381"/>
      <c r="AH254" s="408">
        <f t="shared" si="162"/>
        <v>0</v>
      </c>
      <c r="AI254" s="835"/>
      <c r="AJ254" s="720">
        <f t="shared" si="157"/>
        <v>0</v>
      </c>
    </row>
    <row r="255" spans="1:36" s="234" customFormat="1" ht="21" thickBot="1">
      <c r="A255" s="537"/>
      <c r="B255" s="550"/>
      <c r="C255" s="549"/>
      <c r="D255" s="544"/>
      <c r="E255" s="617"/>
      <c r="F255" s="618"/>
      <c r="G255" s="618"/>
      <c r="H255" s="618"/>
      <c r="I255" s="619"/>
      <c r="J255" s="619"/>
      <c r="K255" s="681"/>
      <c r="L255" s="657"/>
      <c r="M255" s="658"/>
      <c r="N255" s="619"/>
      <c r="O255" s="619"/>
      <c r="P255" s="619"/>
      <c r="Q255" s="619"/>
      <c r="R255" s="619"/>
      <c r="S255" s="619"/>
      <c r="T255" s="769"/>
      <c r="U255" s="657"/>
      <c r="V255" s="658"/>
      <c r="W255" s="619"/>
      <c r="X255" s="619"/>
      <c r="Y255" s="619"/>
      <c r="Z255" s="619"/>
      <c r="AA255" s="619"/>
      <c r="AB255" s="619"/>
      <c r="AC255" s="681"/>
      <c r="AD255" s="774"/>
      <c r="AE255" s="408">
        <f t="shared" ref="AE255" si="173">SUM(E255:AC255)</f>
        <v>0</v>
      </c>
      <c r="AF255" s="409"/>
      <c r="AG255" s="381"/>
      <c r="AH255" s="408">
        <f t="shared" si="162"/>
        <v>0</v>
      </c>
      <c r="AI255" s="835"/>
      <c r="AJ255" s="720">
        <f t="shared" ref="AJ255" si="174">AH255+AI255</f>
        <v>0</v>
      </c>
    </row>
    <row r="256" spans="1:36" s="234" customFormat="1" ht="21" thickBot="1">
      <c r="A256" s="537"/>
      <c r="B256" s="550"/>
      <c r="C256" s="549"/>
      <c r="D256" s="544"/>
      <c r="E256" s="617"/>
      <c r="F256" s="618"/>
      <c r="G256" s="618"/>
      <c r="H256" s="618"/>
      <c r="I256" s="619"/>
      <c r="J256" s="619"/>
      <c r="K256" s="681"/>
      <c r="L256" s="657"/>
      <c r="M256" s="658"/>
      <c r="N256" s="619"/>
      <c r="O256" s="619"/>
      <c r="P256" s="619"/>
      <c r="Q256" s="619"/>
      <c r="R256" s="619"/>
      <c r="S256" s="619"/>
      <c r="T256" s="769"/>
      <c r="U256" s="657"/>
      <c r="V256" s="658"/>
      <c r="W256" s="619"/>
      <c r="X256" s="619"/>
      <c r="Y256" s="619"/>
      <c r="Z256" s="619"/>
      <c r="AA256" s="619"/>
      <c r="AB256" s="619"/>
      <c r="AC256" s="681"/>
      <c r="AD256" s="774"/>
      <c r="AE256" s="408">
        <f t="shared" si="171"/>
        <v>0</v>
      </c>
      <c r="AF256" s="409"/>
      <c r="AG256" s="381"/>
      <c r="AH256" s="408">
        <f t="shared" si="162"/>
        <v>0</v>
      </c>
      <c r="AI256" s="835"/>
      <c r="AJ256" s="720">
        <f t="shared" ref="AJ256" si="175">AH256+AI256</f>
        <v>0</v>
      </c>
    </row>
    <row r="257" spans="1:36" s="234" customFormat="1" ht="21" thickBot="1">
      <c r="A257" s="537"/>
      <c r="B257" s="550"/>
      <c r="C257" s="549"/>
      <c r="D257" s="544"/>
      <c r="E257" s="617"/>
      <c r="F257" s="618"/>
      <c r="G257" s="618"/>
      <c r="H257" s="618"/>
      <c r="I257" s="619"/>
      <c r="J257" s="619"/>
      <c r="K257" s="681"/>
      <c r="L257" s="657"/>
      <c r="M257" s="658"/>
      <c r="N257" s="619"/>
      <c r="O257" s="619"/>
      <c r="P257" s="619"/>
      <c r="Q257" s="619"/>
      <c r="R257" s="619"/>
      <c r="S257" s="619"/>
      <c r="T257" s="769"/>
      <c r="U257" s="657"/>
      <c r="V257" s="658"/>
      <c r="W257" s="619"/>
      <c r="X257" s="619"/>
      <c r="Y257" s="619"/>
      <c r="Z257" s="619"/>
      <c r="AA257" s="619"/>
      <c r="AB257" s="619"/>
      <c r="AC257" s="681"/>
      <c r="AD257" s="774"/>
      <c r="AE257" s="408">
        <f t="shared" ref="AE257:AE261" si="176">SUM(E257:AC257)</f>
        <v>0</v>
      </c>
      <c r="AF257" s="409"/>
      <c r="AG257" s="381"/>
      <c r="AH257" s="408">
        <f t="shared" si="162"/>
        <v>0</v>
      </c>
      <c r="AI257" s="835"/>
      <c r="AJ257" s="720">
        <f t="shared" si="157"/>
        <v>0</v>
      </c>
    </row>
    <row r="258" spans="1:36" s="234" customFormat="1" ht="21" thickBot="1">
      <c r="A258" s="537"/>
      <c r="B258" s="550"/>
      <c r="C258" s="549"/>
      <c r="D258" s="544"/>
      <c r="E258" s="617"/>
      <c r="F258" s="618"/>
      <c r="G258" s="618"/>
      <c r="H258" s="618"/>
      <c r="I258" s="619"/>
      <c r="J258" s="619"/>
      <c r="K258" s="681"/>
      <c r="L258" s="657"/>
      <c r="M258" s="658"/>
      <c r="N258" s="619"/>
      <c r="O258" s="619"/>
      <c r="P258" s="619"/>
      <c r="Q258" s="619"/>
      <c r="R258" s="619"/>
      <c r="S258" s="619"/>
      <c r="T258" s="769"/>
      <c r="U258" s="657"/>
      <c r="V258" s="658"/>
      <c r="W258" s="619"/>
      <c r="X258" s="619"/>
      <c r="Y258" s="619"/>
      <c r="Z258" s="619"/>
      <c r="AA258" s="619"/>
      <c r="AB258" s="619"/>
      <c r="AC258" s="681"/>
      <c r="AD258" s="774"/>
      <c r="AE258" s="408">
        <f t="shared" ref="AE258" si="177">SUM(E258:AC258)</f>
        <v>0</v>
      </c>
      <c r="AF258" s="409"/>
      <c r="AG258" s="381"/>
      <c r="AH258" s="408">
        <f t="shared" si="162"/>
        <v>0</v>
      </c>
      <c r="AI258" s="835"/>
      <c r="AJ258" s="720">
        <f t="shared" ref="AJ258" si="178">AH258+AI258</f>
        <v>0</v>
      </c>
    </row>
    <row r="259" spans="1:36" s="234" customFormat="1" ht="21" thickBot="1">
      <c r="A259" s="537"/>
      <c r="B259" s="550"/>
      <c r="C259" s="549"/>
      <c r="D259" s="544"/>
      <c r="E259" s="617"/>
      <c r="F259" s="618"/>
      <c r="G259" s="618"/>
      <c r="H259" s="618"/>
      <c r="I259" s="619"/>
      <c r="J259" s="619"/>
      <c r="K259" s="681"/>
      <c r="L259" s="657"/>
      <c r="M259" s="658"/>
      <c r="N259" s="619"/>
      <c r="O259" s="619"/>
      <c r="P259" s="619"/>
      <c r="Q259" s="619"/>
      <c r="R259" s="619"/>
      <c r="S259" s="619"/>
      <c r="T259" s="769"/>
      <c r="U259" s="657"/>
      <c r="V259" s="658"/>
      <c r="W259" s="619"/>
      <c r="X259" s="619"/>
      <c r="Y259" s="619"/>
      <c r="Z259" s="619"/>
      <c r="AA259" s="619"/>
      <c r="AB259" s="619"/>
      <c r="AC259" s="681"/>
      <c r="AD259" s="774"/>
      <c r="AE259" s="408">
        <f t="shared" si="176"/>
        <v>0</v>
      </c>
      <c r="AF259" s="409"/>
      <c r="AG259" s="381"/>
      <c r="AH259" s="408">
        <f t="shared" si="162"/>
        <v>0</v>
      </c>
      <c r="AI259" s="835"/>
      <c r="AJ259" s="720">
        <f t="shared" si="157"/>
        <v>0</v>
      </c>
    </row>
    <row r="260" spans="1:36" s="234" customFormat="1" ht="21" thickBot="1">
      <c r="A260" s="537"/>
      <c r="B260" s="550"/>
      <c r="C260" s="549"/>
      <c r="D260" s="544"/>
      <c r="E260" s="617"/>
      <c r="F260" s="618"/>
      <c r="G260" s="618"/>
      <c r="H260" s="618"/>
      <c r="I260" s="619"/>
      <c r="J260" s="619"/>
      <c r="K260" s="681"/>
      <c r="L260" s="657"/>
      <c r="M260" s="658"/>
      <c r="N260" s="619"/>
      <c r="O260" s="619"/>
      <c r="P260" s="619"/>
      <c r="Q260" s="619"/>
      <c r="R260" s="619"/>
      <c r="S260" s="619"/>
      <c r="T260" s="769"/>
      <c r="U260" s="657"/>
      <c r="V260" s="658"/>
      <c r="W260" s="619"/>
      <c r="X260" s="619"/>
      <c r="Y260" s="619"/>
      <c r="Z260" s="619"/>
      <c r="AA260" s="619"/>
      <c r="AB260" s="619"/>
      <c r="AC260" s="681"/>
      <c r="AD260" s="774"/>
      <c r="AE260" s="408">
        <f t="shared" si="176"/>
        <v>0</v>
      </c>
      <c r="AF260" s="409"/>
      <c r="AG260" s="381"/>
      <c r="AH260" s="408">
        <f t="shared" si="162"/>
        <v>0</v>
      </c>
      <c r="AI260" s="835"/>
      <c r="AJ260" s="720">
        <f t="shared" si="157"/>
        <v>0</v>
      </c>
    </row>
    <row r="261" spans="1:36" s="234" customFormat="1" ht="20.25">
      <c r="A261" s="551"/>
      <c r="B261" s="550"/>
      <c r="C261" s="549"/>
      <c r="D261" s="544"/>
      <c r="E261" s="617"/>
      <c r="F261" s="618"/>
      <c r="G261" s="618"/>
      <c r="H261" s="618"/>
      <c r="I261" s="619"/>
      <c r="J261" s="619"/>
      <c r="K261" s="681"/>
      <c r="L261" s="657"/>
      <c r="M261" s="658"/>
      <c r="N261" s="619"/>
      <c r="O261" s="619"/>
      <c r="P261" s="619"/>
      <c r="Q261" s="619"/>
      <c r="R261" s="619"/>
      <c r="S261" s="619"/>
      <c r="T261" s="769"/>
      <c r="U261" s="657"/>
      <c r="V261" s="658"/>
      <c r="W261" s="619"/>
      <c r="X261" s="619"/>
      <c r="Y261" s="619"/>
      <c r="Z261" s="619"/>
      <c r="AA261" s="619"/>
      <c r="AB261" s="619"/>
      <c r="AC261" s="681"/>
      <c r="AD261" s="775"/>
      <c r="AE261" s="419">
        <f t="shared" si="176"/>
        <v>0</v>
      </c>
      <c r="AF261" s="409"/>
      <c r="AG261" s="384"/>
      <c r="AH261" s="419">
        <f t="shared" si="162"/>
        <v>0</v>
      </c>
      <c r="AI261" s="849"/>
      <c r="AJ261" s="850">
        <f t="shared" si="157"/>
        <v>0</v>
      </c>
    </row>
    <row r="262" spans="1:36" s="234" customFormat="1" ht="21" thickBot="1">
      <c r="A262" s="537"/>
      <c r="B262" s="550"/>
      <c r="C262" s="549"/>
      <c r="D262" s="544"/>
      <c r="E262" s="617"/>
      <c r="F262" s="618"/>
      <c r="G262" s="618"/>
      <c r="H262" s="618"/>
      <c r="I262" s="619"/>
      <c r="J262" s="619"/>
      <c r="K262" s="681"/>
      <c r="L262" s="657"/>
      <c r="M262" s="658"/>
      <c r="N262" s="619"/>
      <c r="O262" s="619"/>
      <c r="P262" s="619"/>
      <c r="Q262" s="619"/>
      <c r="R262" s="619"/>
      <c r="S262" s="619"/>
      <c r="T262" s="769"/>
      <c r="U262" s="657"/>
      <c r="V262" s="658"/>
      <c r="W262" s="619"/>
      <c r="X262" s="619"/>
      <c r="Y262" s="619"/>
      <c r="Z262" s="619"/>
      <c r="AA262" s="619"/>
      <c r="AB262" s="619"/>
      <c r="AC262" s="681"/>
      <c r="AD262" s="774"/>
      <c r="AE262" s="408">
        <f t="shared" ref="AE262:AE278" si="179">SUM(E262:AC262)</f>
        <v>0</v>
      </c>
      <c r="AF262" s="409"/>
      <c r="AG262" s="381"/>
      <c r="AH262" s="408">
        <f t="shared" si="162"/>
        <v>0</v>
      </c>
      <c r="AI262" s="835"/>
      <c r="AJ262" s="720">
        <f t="shared" si="157"/>
        <v>0</v>
      </c>
    </row>
    <row r="263" spans="1:36" s="234" customFormat="1" ht="21" thickBot="1">
      <c r="A263" s="537"/>
      <c r="B263" s="550"/>
      <c r="C263" s="549"/>
      <c r="D263" s="544"/>
      <c r="E263" s="617"/>
      <c r="F263" s="618"/>
      <c r="G263" s="618"/>
      <c r="H263" s="618"/>
      <c r="I263" s="619"/>
      <c r="J263" s="619"/>
      <c r="K263" s="681"/>
      <c r="L263" s="657"/>
      <c r="M263" s="658"/>
      <c r="N263" s="619"/>
      <c r="O263" s="619"/>
      <c r="P263" s="619"/>
      <c r="Q263" s="619"/>
      <c r="R263" s="619"/>
      <c r="S263" s="619"/>
      <c r="T263" s="769"/>
      <c r="U263" s="657"/>
      <c r="V263" s="658"/>
      <c r="W263" s="619"/>
      <c r="X263" s="619"/>
      <c r="Y263" s="619"/>
      <c r="Z263" s="619"/>
      <c r="AA263" s="619"/>
      <c r="AB263" s="619"/>
      <c r="AC263" s="681"/>
      <c r="AD263" s="774"/>
      <c r="AE263" s="408">
        <f t="shared" si="179"/>
        <v>0</v>
      </c>
      <c r="AF263" s="409"/>
      <c r="AG263" s="381"/>
      <c r="AH263" s="408">
        <f t="shared" si="162"/>
        <v>0</v>
      </c>
      <c r="AI263" s="835"/>
      <c r="AJ263" s="720">
        <f t="shared" si="157"/>
        <v>0</v>
      </c>
    </row>
    <row r="264" spans="1:36" s="234" customFormat="1" ht="21" thickBot="1">
      <c r="A264" s="537"/>
      <c r="B264" s="550"/>
      <c r="C264" s="549"/>
      <c r="D264" s="544"/>
      <c r="E264" s="617"/>
      <c r="F264" s="618"/>
      <c r="G264" s="618"/>
      <c r="H264" s="618"/>
      <c r="I264" s="619"/>
      <c r="J264" s="619"/>
      <c r="K264" s="681"/>
      <c r="L264" s="657"/>
      <c r="M264" s="658"/>
      <c r="N264" s="619"/>
      <c r="O264" s="619"/>
      <c r="P264" s="619"/>
      <c r="Q264" s="619"/>
      <c r="R264" s="619"/>
      <c r="S264" s="619"/>
      <c r="T264" s="769"/>
      <c r="U264" s="657"/>
      <c r="V264" s="658"/>
      <c r="W264" s="619"/>
      <c r="X264" s="619"/>
      <c r="Y264" s="619"/>
      <c r="Z264" s="619"/>
      <c r="AA264" s="619"/>
      <c r="AB264" s="619"/>
      <c r="AC264" s="681"/>
      <c r="AD264" s="774"/>
      <c r="AE264" s="408">
        <f t="shared" si="179"/>
        <v>0</v>
      </c>
      <c r="AF264" s="409"/>
      <c r="AG264" s="381"/>
      <c r="AH264" s="408">
        <f t="shared" si="162"/>
        <v>0</v>
      </c>
      <c r="AI264" s="835"/>
      <c r="AJ264" s="720">
        <f t="shared" si="157"/>
        <v>0</v>
      </c>
    </row>
    <row r="265" spans="1:36" s="234" customFormat="1" ht="21" thickBot="1">
      <c r="A265" s="537"/>
      <c r="B265" s="550"/>
      <c r="C265" s="549"/>
      <c r="D265" s="544"/>
      <c r="E265" s="617"/>
      <c r="F265" s="618"/>
      <c r="G265" s="618"/>
      <c r="H265" s="618"/>
      <c r="I265" s="619"/>
      <c r="J265" s="619"/>
      <c r="K265" s="681"/>
      <c r="L265" s="657"/>
      <c r="M265" s="658"/>
      <c r="N265" s="619"/>
      <c r="O265" s="619"/>
      <c r="P265" s="619"/>
      <c r="Q265" s="619"/>
      <c r="R265" s="619"/>
      <c r="S265" s="619"/>
      <c r="T265" s="769"/>
      <c r="U265" s="657"/>
      <c r="V265" s="658"/>
      <c r="W265" s="619"/>
      <c r="X265" s="619"/>
      <c r="Y265" s="619"/>
      <c r="Z265" s="619"/>
      <c r="AA265" s="619"/>
      <c r="AB265" s="619"/>
      <c r="AC265" s="681"/>
      <c r="AD265" s="774"/>
      <c r="AE265" s="408">
        <f t="shared" si="179"/>
        <v>0</v>
      </c>
      <c r="AF265" s="409"/>
      <c r="AG265" s="381"/>
      <c r="AH265" s="408">
        <f t="shared" si="162"/>
        <v>0</v>
      </c>
      <c r="AI265" s="835"/>
      <c r="AJ265" s="720">
        <f t="shared" si="157"/>
        <v>0</v>
      </c>
    </row>
    <row r="266" spans="1:36" s="234" customFormat="1" ht="21" thickBot="1">
      <c r="A266" s="537"/>
      <c r="B266" s="550"/>
      <c r="C266" s="549"/>
      <c r="D266" s="544"/>
      <c r="E266" s="617"/>
      <c r="F266" s="618"/>
      <c r="G266" s="618"/>
      <c r="H266" s="618"/>
      <c r="I266" s="619"/>
      <c r="J266" s="619"/>
      <c r="K266" s="681"/>
      <c r="L266" s="657"/>
      <c r="M266" s="658"/>
      <c r="N266" s="619"/>
      <c r="O266" s="619"/>
      <c r="P266" s="619"/>
      <c r="Q266" s="619"/>
      <c r="R266" s="619"/>
      <c r="S266" s="619"/>
      <c r="T266" s="769"/>
      <c r="U266" s="657"/>
      <c r="V266" s="658"/>
      <c r="W266" s="619"/>
      <c r="X266" s="619"/>
      <c r="Y266" s="619"/>
      <c r="Z266" s="619"/>
      <c r="AA266" s="619"/>
      <c r="AB266" s="619"/>
      <c r="AC266" s="681"/>
      <c r="AD266" s="774"/>
      <c r="AE266" s="408">
        <f t="shared" si="179"/>
        <v>0</v>
      </c>
      <c r="AF266" s="409"/>
      <c r="AG266" s="381"/>
      <c r="AH266" s="408">
        <f t="shared" si="162"/>
        <v>0</v>
      </c>
      <c r="AI266" s="835"/>
      <c r="AJ266" s="720">
        <f t="shared" si="157"/>
        <v>0</v>
      </c>
    </row>
    <row r="267" spans="1:36" s="234" customFormat="1" ht="21" thickBot="1">
      <c r="A267" s="537"/>
      <c r="B267" s="550"/>
      <c r="C267" s="549"/>
      <c r="D267" s="544"/>
      <c r="E267" s="617"/>
      <c r="F267" s="618"/>
      <c r="G267" s="618"/>
      <c r="H267" s="618"/>
      <c r="I267" s="619"/>
      <c r="J267" s="619"/>
      <c r="K267" s="681"/>
      <c r="L267" s="657"/>
      <c r="M267" s="658"/>
      <c r="N267" s="619"/>
      <c r="O267" s="619"/>
      <c r="P267" s="619"/>
      <c r="Q267" s="619"/>
      <c r="R267" s="619"/>
      <c r="S267" s="619"/>
      <c r="T267" s="769"/>
      <c r="U267" s="657"/>
      <c r="V267" s="658"/>
      <c r="W267" s="619"/>
      <c r="X267" s="619"/>
      <c r="Y267" s="619"/>
      <c r="Z267" s="619"/>
      <c r="AA267" s="619"/>
      <c r="AB267" s="619"/>
      <c r="AC267" s="681"/>
      <c r="AD267" s="774"/>
      <c r="AE267" s="408">
        <f t="shared" si="179"/>
        <v>0</v>
      </c>
      <c r="AF267" s="409"/>
      <c r="AG267" s="381"/>
      <c r="AH267" s="408">
        <f t="shared" si="162"/>
        <v>0</v>
      </c>
      <c r="AI267" s="835"/>
      <c r="AJ267" s="720">
        <f t="shared" si="157"/>
        <v>0</v>
      </c>
    </row>
    <row r="268" spans="1:36" s="234" customFormat="1" ht="21" thickBot="1">
      <c r="A268" s="537"/>
      <c r="B268" s="550"/>
      <c r="C268" s="549"/>
      <c r="D268" s="544"/>
      <c r="E268" s="617"/>
      <c r="F268" s="618"/>
      <c r="G268" s="618"/>
      <c r="H268" s="618"/>
      <c r="I268" s="619"/>
      <c r="J268" s="619"/>
      <c r="K268" s="681"/>
      <c r="L268" s="657"/>
      <c r="M268" s="658"/>
      <c r="N268" s="619"/>
      <c r="O268" s="619"/>
      <c r="P268" s="619"/>
      <c r="Q268" s="619"/>
      <c r="R268" s="619"/>
      <c r="S268" s="619"/>
      <c r="T268" s="769"/>
      <c r="U268" s="657"/>
      <c r="V268" s="658"/>
      <c r="W268" s="619"/>
      <c r="X268" s="619"/>
      <c r="Y268" s="619"/>
      <c r="Z268" s="619"/>
      <c r="AA268" s="619"/>
      <c r="AB268" s="619"/>
      <c r="AC268" s="681"/>
      <c r="AD268" s="774"/>
      <c r="AE268" s="408">
        <f t="shared" si="179"/>
        <v>0</v>
      </c>
      <c r="AF268" s="409"/>
      <c r="AG268" s="381"/>
      <c r="AH268" s="408">
        <f t="shared" si="162"/>
        <v>0</v>
      </c>
      <c r="AI268" s="835"/>
      <c r="AJ268" s="720">
        <f t="shared" si="157"/>
        <v>0</v>
      </c>
    </row>
    <row r="269" spans="1:36" s="234" customFormat="1" ht="21" thickBot="1">
      <c r="A269" s="537"/>
      <c r="B269" s="550"/>
      <c r="C269" s="549"/>
      <c r="D269" s="544"/>
      <c r="E269" s="617"/>
      <c r="F269" s="618"/>
      <c r="G269" s="618"/>
      <c r="H269" s="618"/>
      <c r="I269" s="619"/>
      <c r="J269" s="619"/>
      <c r="K269" s="681"/>
      <c r="L269" s="657"/>
      <c r="M269" s="658"/>
      <c r="N269" s="619"/>
      <c r="O269" s="619"/>
      <c r="P269" s="619"/>
      <c r="Q269" s="619"/>
      <c r="R269" s="619"/>
      <c r="S269" s="619"/>
      <c r="T269" s="769"/>
      <c r="U269" s="657"/>
      <c r="V269" s="658"/>
      <c r="W269" s="619"/>
      <c r="X269" s="619"/>
      <c r="Y269" s="619"/>
      <c r="Z269" s="619"/>
      <c r="AA269" s="619"/>
      <c r="AB269" s="619"/>
      <c r="AC269" s="681"/>
      <c r="AD269" s="774"/>
      <c r="AE269" s="408">
        <f t="shared" si="179"/>
        <v>0</v>
      </c>
      <c r="AF269" s="409"/>
      <c r="AG269" s="381"/>
      <c r="AH269" s="408">
        <f t="shared" si="162"/>
        <v>0</v>
      </c>
      <c r="AI269" s="835"/>
      <c r="AJ269" s="720">
        <f t="shared" si="157"/>
        <v>0</v>
      </c>
    </row>
    <row r="270" spans="1:36" s="234" customFormat="1" ht="21" thickBot="1">
      <c r="A270" s="537"/>
      <c r="B270" s="550"/>
      <c r="C270" s="549"/>
      <c r="D270" s="544"/>
      <c r="E270" s="617"/>
      <c r="F270" s="618"/>
      <c r="G270" s="618"/>
      <c r="H270" s="618"/>
      <c r="I270" s="619"/>
      <c r="J270" s="619"/>
      <c r="K270" s="681"/>
      <c r="L270" s="657"/>
      <c r="M270" s="658"/>
      <c r="N270" s="619"/>
      <c r="O270" s="619"/>
      <c r="P270" s="619"/>
      <c r="Q270" s="619"/>
      <c r="R270" s="619"/>
      <c r="S270" s="619"/>
      <c r="T270" s="769"/>
      <c r="U270" s="657"/>
      <c r="V270" s="658"/>
      <c r="W270" s="619"/>
      <c r="X270" s="619"/>
      <c r="Y270" s="619"/>
      <c r="Z270" s="619"/>
      <c r="AA270" s="619"/>
      <c r="AB270" s="619"/>
      <c r="AC270" s="681"/>
      <c r="AD270" s="774"/>
      <c r="AE270" s="682">
        <f t="shared" si="179"/>
        <v>0</v>
      </c>
      <c r="AF270" s="683"/>
      <c r="AG270" s="1206"/>
      <c r="AH270" s="682">
        <f t="shared" si="162"/>
        <v>0</v>
      </c>
      <c r="AI270" s="847"/>
      <c r="AJ270" s="848">
        <f t="shared" si="157"/>
        <v>0</v>
      </c>
    </row>
    <row r="271" spans="1:36" s="234" customFormat="1" ht="21" thickBot="1">
      <c r="A271" s="537"/>
      <c r="B271" s="550"/>
      <c r="C271" s="549"/>
      <c r="D271" s="544"/>
      <c r="E271" s="617"/>
      <c r="F271" s="618"/>
      <c r="G271" s="618"/>
      <c r="H271" s="618"/>
      <c r="I271" s="619"/>
      <c r="J271" s="619"/>
      <c r="K271" s="681"/>
      <c r="L271" s="657"/>
      <c r="M271" s="658"/>
      <c r="N271" s="619"/>
      <c r="O271" s="619"/>
      <c r="P271" s="619"/>
      <c r="Q271" s="619"/>
      <c r="R271" s="619"/>
      <c r="S271" s="619"/>
      <c r="T271" s="769"/>
      <c r="U271" s="657"/>
      <c r="V271" s="658"/>
      <c r="W271" s="619"/>
      <c r="X271" s="619"/>
      <c r="Y271" s="619"/>
      <c r="Z271" s="619"/>
      <c r="AA271" s="619"/>
      <c r="AB271" s="619"/>
      <c r="AC271" s="681"/>
      <c r="AD271" s="774"/>
      <c r="AE271" s="682">
        <f t="shared" si="179"/>
        <v>0</v>
      </c>
      <c r="AF271" s="683"/>
      <c r="AG271" s="1206"/>
      <c r="AH271" s="682">
        <f t="shared" si="162"/>
        <v>0</v>
      </c>
      <c r="AI271" s="847"/>
      <c r="AJ271" s="848">
        <f t="shared" si="157"/>
        <v>0</v>
      </c>
    </row>
    <row r="272" spans="1:36" s="234" customFormat="1" ht="21" thickBot="1">
      <c r="A272" s="537"/>
      <c r="B272" s="550"/>
      <c r="C272" s="549"/>
      <c r="D272" s="544"/>
      <c r="E272" s="617"/>
      <c r="F272" s="618"/>
      <c r="G272" s="618"/>
      <c r="H272" s="618"/>
      <c r="I272" s="619"/>
      <c r="J272" s="619"/>
      <c r="K272" s="681"/>
      <c r="L272" s="657"/>
      <c r="M272" s="658"/>
      <c r="N272" s="619"/>
      <c r="O272" s="619"/>
      <c r="P272" s="619"/>
      <c r="Q272" s="619"/>
      <c r="R272" s="619"/>
      <c r="S272" s="619"/>
      <c r="T272" s="769"/>
      <c r="U272" s="657"/>
      <c r="V272" s="658"/>
      <c r="W272" s="619"/>
      <c r="X272" s="619"/>
      <c r="Y272" s="619"/>
      <c r="Z272" s="619"/>
      <c r="AA272" s="619"/>
      <c r="AB272" s="619"/>
      <c r="AC272" s="681"/>
      <c r="AD272" s="774"/>
      <c r="AE272" s="682">
        <f t="shared" ref="AE272:AE273" si="180">SUM(E272:AC272)</f>
        <v>0</v>
      </c>
      <c r="AF272" s="683"/>
      <c r="AG272" s="1206"/>
      <c r="AH272" s="682">
        <f t="shared" ref="AH272:AH273" si="181">AE272+AF272+AG272</f>
        <v>0</v>
      </c>
      <c r="AI272" s="847"/>
      <c r="AJ272" s="848">
        <f t="shared" ref="AJ272:AJ273" si="182">AH272+AI272</f>
        <v>0</v>
      </c>
    </row>
    <row r="273" spans="1:39" s="234" customFormat="1" ht="21" thickBot="1">
      <c r="A273" s="537"/>
      <c r="B273" s="550"/>
      <c r="C273" s="549"/>
      <c r="D273" s="544"/>
      <c r="E273" s="617"/>
      <c r="F273" s="618"/>
      <c r="G273" s="618"/>
      <c r="H273" s="618"/>
      <c r="I273" s="619"/>
      <c r="J273" s="619"/>
      <c r="K273" s="681"/>
      <c r="L273" s="657"/>
      <c r="M273" s="658"/>
      <c r="N273" s="619"/>
      <c r="O273" s="619"/>
      <c r="P273" s="619"/>
      <c r="Q273" s="619"/>
      <c r="R273" s="619"/>
      <c r="S273" s="619"/>
      <c r="T273" s="769"/>
      <c r="U273" s="657"/>
      <c r="V273" s="658"/>
      <c r="W273" s="619"/>
      <c r="X273" s="619"/>
      <c r="Y273" s="619"/>
      <c r="Z273" s="619"/>
      <c r="AA273" s="619"/>
      <c r="AB273" s="619"/>
      <c r="AC273" s="681"/>
      <c r="AD273" s="774"/>
      <c r="AE273" s="682">
        <f t="shared" si="180"/>
        <v>0</v>
      </c>
      <c r="AF273" s="683"/>
      <c r="AG273" s="1206"/>
      <c r="AH273" s="682">
        <f t="shared" si="181"/>
        <v>0</v>
      </c>
      <c r="AI273" s="847"/>
      <c r="AJ273" s="848">
        <f t="shared" si="182"/>
        <v>0</v>
      </c>
    </row>
    <row r="274" spans="1:39" s="234" customFormat="1" ht="21" thickBot="1">
      <c r="A274" s="537"/>
      <c r="B274" s="550"/>
      <c r="C274" s="549"/>
      <c r="D274" s="544"/>
      <c r="E274" s="617"/>
      <c r="F274" s="618"/>
      <c r="G274" s="618"/>
      <c r="H274" s="618"/>
      <c r="I274" s="619"/>
      <c r="J274" s="619"/>
      <c r="K274" s="681"/>
      <c r="L274" s="657"/>
      <c r="M274" s="658"/>
      <c r="N274" s="619"/>
      <c r="O274" s="619"/>
      <c r="P274" s="619"/>
      <c r="Q274" s="619"/>
      <c r="R274" s="619"/>
      <c r="S274" s="619"/>
      <c r="T274" s="769"/>
      <c r="U274" s="657"/>
      <c r="V274" s="658"/>
      <c r="W274" s="619"/>
      <c r="X274" s="619"/>
      <c r="Y274" s="619"/>
      <c r="Z274" s="619"/>
      <c r="AA274" s="619"/>
      <c r="AB274" s="619"/>
      <c r="AC274" s="681"/>
      <c r="AD274" s="774"/>
      <c r="AE274" s="682">
        <f t="shared" ref="AE274:AE276" si="183">SUM(E274:AC274)</f>
        <v>0</v>
      </c>
      <c r="AF274" s="683"/>
      <c r="AG274" s="1206"/>
      <c r="AH274" s="682">
        <f t="shared" ref="AH274:AH276" si="184">AE274+AF274+AG274</f>
        <v>0</v>
      </c>
      <c r="AI274" s="847"/>
      <c r="AJ274" s="848">
        <f t="shared" ref="AJ274:AJ276" si="185">AH274+AI274</f>
        <v>0</v>
      </c>
    </row>
    <row r="275" spans="1:39" s="234" customFormat="1" ht="21" thickBot="1">
      <c r="A275" s="537"/>
      <c r="B275" s="550"/>
      <c r="C275" s="549"/>
      <c r="D275" s="544"/>
      <c r="E275" s="617"/>
      <c r="F275" s="618"/>
      <c r="G275" s="618"/>
      <c r="H275" s="618"/>
      <c r="I275" s="619"/>
      <c r="J275" s="619"/>
      <c r="K275" s="681"/>
      <c r="L275" s="657"/>
      <c r="M275" s="658"/>
      <c r="N275" s="619"/>
      <c r="O275" s="619"/>
      <c r="P275" s="619"/>
      <c r="Q275" s="619"/>
      <c r="R275" s="619"/>
      <c r="S275" s="619"/>
      <c r="T275" s="769"/>
      <c r="U275" s="657"/>
      <c r="V275" s="658"/>
      <c r="W275" s="619"/>
      <c r="X275" s="619"/>
      <c r="Y275" s="619"/>
      <c r="Z275" s="619"/>
      <c r="AA275" s="619"/>
      <c r="AB275" s="619"/>
      <c r="AC275" s="681"/>
      <c r="AD275" s="774"/>
      <c r="AE275" s="682">
        <f t="shared" si="183"/>
        <v>0</v>
      </c>
      <c r="AF275" s="683"/>
      <c r="AG275" s="1206"/>
      <c r="AH275" s="682">
        <f t="shared" si="184"/>
        <v>0</v>
      </c>
      <c r="AI275" s="847"/>
      <c r="AJ275" s="848">
        <f t="shared" si="185"/>
        <v>0</v>
      </c>
    </row>
    <row r="276" spans="1:39" s="234" customFormat="1" ht="21" thickBot="1">
      <c r="A276" s="537"/>
      <c r="B276" s="550"/>
      <c r="C276" s="549"/>
      <c r="D276" s="544"/>
      <c r="E276" s="617"/>
      <c r="F276" s="618"/>
      <c r="G276" s="618"/>
      <c r="H276" s="618"/>
      <c r="I276" s="619"/>
      <c r="J276" s="619"/>
      <c r="K276" s="681"/>
      <c r="L276" s="657"/>
      <c r="M276" s="658"/>
      <c r="N276" s="619"/>
      <c r="O276" s="619"/>
      <c r="P276" s="619"/>
      <c r="Q276" s="619"/>
      <c r="R276" s="619"/>
      <c r="S276" s="619"/>
      <c r="T276" s="769"/>
      <c r="U276" s="657"/>
      <c r="V276" s="658"/>
      <c r="W276" s="619"/>
      <c r="X276" s="619"/>
      <c r="Y276" s="619"/>
      <c r="Z276" s="619"/>
      <c r="AA276" s="619"/>
      <c r="AB276" s="619"/>
      <c r="AC276" s="681"/>
      <c r="AD276" s="774"/>
      <c r="AE276" s="682">
        <f t="shared" si="183"/>
        <v>0</v>
      </c>
      <c r="AF276" s="683"/>
      <c r="AG276" s="1206"/>
      <c r="AH276" s="682">
        <f t="shared" si="184"/>
        <v>0</v>
      </c>
      <c r="AI276" s="847"/>
      <c r="AJ276" s="848">
        <f t="shared" si="185"/>
        <v>0</v>
      </c>
    </row>
    <row r="277" spans="1:39" s="234" customFormat="1" ht="21" thickBot="1">
      <c r="A277" s="537"/>
      <c r="B277" s="550"/>
      <c r="C277" s="549"/>
      <c r="D277" s="544"/>
      <c r="E277" s="617"/>
      <c r="F277" s="618"/>
      <c r="G277" s="618"/>
      <c r="H277" s="618"/>
      <c r="I277" s="619"/>
      <c r="J277" s="619"/>
      <c r="K277" s="681"/>
      <c r="L277" s="657"/>
      <c r="M277" s="658"/>
      <c r="N277" s="619"/>
      <c r="O277" s="619"/>
      <c r="P277" s="619"/>
      <c r="Q277" s="619"/>
      <c r="R277" s="619"/>
      <c r="S277" s="619"/>
      <c r="T277" s="769"/>
      <c r="U277" s="657"/>
      <c r="V277" s="658"/>
      <c r="W277" s="619"/>
      <c r="X277" s="619"/>
      <c r="Y277" s="619"/>
      <c r="Z277" s="619"/>
      <c r="AA277" s="619"/>
      <c r="AB277" s="619"/>
      <c r="AC277" s="681"/>
      <c r="AD277" s="774"/>
      <c r="AE277" s="682">
        <f t="shared" si="179"/>
        <v>0</v>
      </c>
      <c r="AF277" s="683"/>
      <c r="AG277" s="1206"/>
      <c r="AH277" s="682">
        <f t="shared" si="162"/>
        <v>0</v>
      </c>
      <c r="AI277" s="847"/>
      <c r="AJ277" s="848">
        <f t="shared" si="157"/>
        <v>0</v>
      </c>
    </row>
    <row r="278" spans="1:39" s="234" customFormat="1" ht="21" thickBot="1">
      <c r="A278" s="537"/>
      <c r="B278" s="550"/>
      <c r="C278" s="549"/>
      <c r="D278" s="544"/>
      <c r="E278" s="617"/>
      <c r="F278" s="618"/>
      <c r="G278" s="618"/>
      <c r="H278" s="618"/>
      <c r="I278" s="619"/>
      <c r="J278" s="619"/>
      <c r="K278" s="681"/>
      <c r="L278" s="657"/>
      <c r="M278" s="658"/>
      <c r="N278" s="619"/>
      <c r="O278" s="619"/>
      <c r="P278" s="619"/>
      <c r="Q278" s="619"/>
      <c r="R278" s="619"/>
      <c r="S278" s="619"/>
      <c r="T278" s="769"/>
      <c r="U278" s="657"/>
      <c r="V278" s="658"/>
      <c r="W278" s="619"/>
      <c r="X278" s="619"/>
      <c r="Y278" s="619"/>
      <c r="Z278" s="619"/>
      <c r="AA278" s="619"/>
      <c r="AB278" s="619"/>
      <c r="AC278" s="681"/>
      <c r="AD278" s="774"/>
      <c r="AE278" s="682">
        <f t="shared" si="179"/>
        <v>0</v>
      </c>
      <c r="AF278" s="683"/>
      <c r="AG278" s="1206"/>
      <c r="AH278" s="682">
        <f t="shared" si="162"/>
        <v>0</v>
      </c>
      <c r="AI278" s="847"/>
      <c r="AJ278" s="848">
        <f t="shared" si="157"/>
        <v>0</v>
      </c>
    </row>
    <row r="279" spans="1:39" s="234" customFormat="1" ht="21" thickBot="1">
      <c r="A279" s="537"/>
      <c r="B279" s="550"/>
      <c r="C279" s="549"/>
      <c r="D279" s="544"/>
      <c r="E279" s="617"/>
      <c r="F279" s="618"/>
      <c r="G279" s="618"/>
      <c r="H279" s="618"/>
      <c r="I279" s="619"/>
      <c r="J279" s="619"/>
      <c r="K279" s="681"/>
      <c r="L279" s="657"/>
      <c r="M279" s="658"/>
      <c r="N279" s="619"/>
      <c r="O279" s="619"/>
      <c r="P279" s="619"/>
      <c r="Q279" s="619"/>
      <c r="R279" s="619"/>
      <c r="S279" s="619"/>
      <c r="T279" s="769"/>
      <c r="U279" s="657"/>
      <c r="V279" s="658"/>
      <c r="W279" s="619"/>
      <c r="X279" s="619"/>
      <c r="Y279" s="619"/>
      <c r="Z279" s="619"/>
      <c r="AA279" s="619"/>
      <c r="AB279" s="619"/>
      <c r="AC279" s="681"/>
      <c r="AD279" s="774"/>
      <c r="AE279" s="682">
        <f t="shared" si="156"/>
        <v>0</v>
      </c>
      <c r="AF279" s="683"/>
      <c r="AG279" s="1206"/>
      <c r="AH279" s="682">
        <f t="shared" si="162"/>
        <v>0</v>
      </c>
      <c r="AI279" s="847"/>
      <c r="AJ279" s="848">
        <f t="shared" si="143"/>
        <v>0</v>
      </c>
    </row>
    <row r="280" spans="1:39" s="234" customFormat="1" ht="21" thickBot="1">
      <c r="A280" s="537"/>
      <c r="B280" s="550"/>
      <c r="C280" s="549"/>
      <c r="D280" s="544"/>
      <c r="E280" s="320"/>
      <c r="F280" s="320"/>
      <c r="G280" s="320"/>
      <c r="H280" s="320"/>
      <c r="I280" s="321"/>
      <c r="J280" s="321"/>
      <c r="K280" s="320"/>
      <c r="L280" s="657"/>
      <c r="M280" s="658"/>
      <c r="N280" s="619"/>
      <c r="O280" s="619"/>
      <c r="P280" s="619"/>
      <c r="Q280" s="619"/>
      <c r="R280" s="619"/>
      <c r="S280" s="619"/>
      <c r="T280" s="769"/>
      <c r="U280" s="657"/>
      <c r="V280" s="658"/>
      <c r="W280" s="619"/>
      <c r="X280" s="619"/>
      <c r="Y280" s="619"/>
      <c r="Z280" s="619"/>
      <c r="AA280" s="619"/>
      <c r="AB280" s="619"/>
      <c r="AC280" s="681"/>
      <c r="AD280" s="774"/>
      <c r="AE280" s="682">
        <f t="shared" ref="AE280:AE281" si="186">SUM(E280:AC280)</f>
        <v>0</v>
      </c>
      <c r="AF280" s="683"/>
      <c r="AG280" s="1206"/>
      <c r="AH280" s="682">
        <f t="shared" ref="AH280:AH281" si="187">AE280+AF280+AG280</f>
        <v>0</v>
      </c>
      <c r="AI280" s="847"/>
      <c r="AJ280" s="848">
        <f t="shared" ref="AJ280:AJ281" si="188">AH280+AI280</f>
        <v>0</v>
      </c>
    </row>
    <row r="281" spans="1:39" s="234" customFormat="1" ht="21" thickBot="1">
      <c r="A281" s="537"/>
      <c r="B281" s="550"/>
      <c r="C281" s="549"/>
      <c r="D281" s="544"/>
      <c r="E281" s="320"/>
      <c r="F281" s="320"/>
      <c r="G281" s="320"/>
      <c r="H281" s="320"/>
      <c r="I281" s="321"/>
      <c r="J281" s="321"/>
      <c r="K281" s="320"/>
      <c r="L281" s="657"/>
      <c r="M281" s="658"/>
      <c r="N281" s="619"/>
      <c r="O281" s="619"/>
      <c r="P281" s="619"/>
      <c r="Q281" s="619"/>
      <c r="R281" s="619"/>
      <c r="S281" s="619"/>
      <c r="T281" s="769"/>
      <c r="U281" s="657"/>
      <c r="V281" s="658"/>
      <c r="W281" s="619"/>
      <c r="X281" s="619"/>
      <c r="Y281" s="619"/>
      <c r="Z281" s="619"/>
      <c r="AA281" s="619"/>
      <c r="AB281" s="619"/>
      <c r="AC281" s="681"/>
      <c r="AD281" s="774"/>
      <c r="AE281" s="682">
        <f t="shared" si="186"/>
        <v>0</v>
      </c>
      <c r="AF281" s="683"/>
      <c r="AG281" s="1206"/>
      <c r="AH281" s="682">
        <f t="shared" si="187"/>
        <v>0</v>
      </c>
      <c r="AI281" s="847"/>
      <c r="AJ281" s="848">
        <f t="shared" si="188"/>
        <v>0</v>
      </c>
    </row>
    <row r="282" spans="1:39" s="234" customFormat="1" ht="21" thickBot="1">
      <c r="A282" s="537"/>
      <c r="B282" s="550"/>
      <c r="C282" s="549"/>
      <c r="D282" s="544"/>
      <c r="E282" s="320"/>
      <c r="F282" s="320"/>
      <c r="G282" s="320"/>
      <c r="H282" s="320"/>
      <c r="I282" s="321"/>
      <c r="J282" s="321"/>
      <c r="K282" s="320"/>
      <c r="L282" s="657"/>
      <c r="M282" s="658"/>
      <c r="N282" s="619"/>
      <c r="O282" s="619"/>
      <c r="P282" s="619"/>
      <c r="Q282" s="619"/>
      <c r="R282" s="619"/>
      <c r="S282" s="619"/>
      <c r="T282" s="769"/>
      <c r="U282" s="657"/>
      <c r="V282" s="658"/>
      <c r="W282" s="619"/>
      <c r="X282" s="619"/>
      <c r="Y282" s="619"/>
      <c r="Z282" s="619"/>
      <c r="AA282" s="619"/>
      <c r="AB282" s="619"/>
      <c r="AC282" s="681"/>
      <c r="AD282" s="774"/>
      <c r="AE282" s="682">
        <f t="shared" ref="AE282:AE283" si="189">SUM(E282:AC282)</f>
        <v>0</v>
      </c>
      <c r="AF282" s="683"/>
      <c r="AG282" s="1206"/>
      <c r="AH282" s="682">
        <f t="shared" ref="AH282:AH283" si="190">AE282+AF282+AG282</f>
        <v>0</v>
      </c>
      <c r="AI282" s="847"/>
      <c r="AJ282" s="848">
        <f t="shared" ref="AJ282:AJ283" si="191">AH282+AI282</f>
        <v>0</v>
      </c>
    </row>
    <row r="283" spans="1:39" ht="21" thickBot="1">
      <c r="A283" s="537"/>
      <c r="B283" s="550"/>
      <c r="C283" s="549"/>
      <c r="D283" s="544"/>
      <c r="E283" s="320"/>
      <c r="F283" s="320"/>
      <c r="G283" s="320"/>
      <c r="H283" s="320"/>
      <c r="I283" s="321"/>
      <c r="J283" s="321"/>
      <c r="K283" s="320"/>
      <c r="L283" s="657"/>
      <c r="M283" s="658"/>
      <c r="N283" s="619"/>
      <c r="O283" s="619"/>
      <c r="P283" s="619"/>
      <c r="Q283" s="619"/>
      <c r="R283" s="619"/>
      <c r="S283" s="619"/>
      <c r="T283" s="769"/>
      <c r="U283" s="657"/>
      <c r="V283" s="658"/>
      <c r="W283" s="619"/>
      <c r="X283" s="619"/>
      <c r="Y283" s="619"/>
      <c r="Z283" s="619"/>
      <c r="AA283" s="619"/>
      <c r="AB283" s="619"/>
      <c r="AC283" s="681"/>
      <c r="AD283" s="774"/>
      <c r="AE283" s="682">
        <f t="shared" si="189"/>
        <v>0</v>
      </c>
      <c r="AF283" s="683"/>
      <c r="AG283" s="1206"/>
      <c r="AH283" s="682">
        <f t="shared" si="190"/>
        <v>0</v>
      </c>
      <c r="AI283" s="847"/>
      <c r="AJ283" s="848">
        <f t="shared" si="191"/>
        <v>0</v>
      </c>
    </row>
    <row r="284" spans="1:39" ht="21" thickBot="1">
      <c r="A284" s="537"/>
      <c r="B284" s="550"/>
      <c r="C284" s="549"/>
      <c r="D284" s="544"/>
      <c r="E284" s="320"/>
      <c r="F284" s="320"/>
      <c r="G284" s="320"/>
      <c r="H284" s="320"/>
      <c r="I284" s="321"/>
      <c r="J284" s="321"/>
      <c r="K284" s="320"/>
      <c r="L284" s="657"/>
      <c r="M284" s="658"/>
      <c r="N284" s="619"/>
      <c r="O284" s="619"/>
      <c r="P284" s="619"/>
      <c r="Q284" s="619"/>
      <c r="R284" s="619"/>
      <c r="S284" s="619"/>
      <c r="T284" s="769"/>
      <c r="U284" s="657"/>
      <c r="V284" s="658"/>
      <c r="W284" s="619"/>
      <c r="X284" s="619"/>
      <c r="Y284" s="619"/>
      <c r="Z284" s="619"/>
      <c r="AA284" s="619"/>
      <c r="AB284" s="619"/>
      <c r="AC284" s="681"/>
      <c r="AD284" s="774"/>
      <c r="AE284" s="682">
        <f t="shared" ref="AE284:AE285" si="192">SUM(E284:AC284)</f>
        <v>0</v>
      </c>
      <c r="AF284" s="683"/>
      <c r="AG284" s="1206"/>
      <c r="AH284" s="682">
        <f t="shared" ref="AH284:AH285" si="193">AE284+AF284+AG284</f>
        <v>0</v>
      </c>
      <c r="AI284" s="847"/>
      <c r="AJ284" s="848">
        <f t="shared" ref="AJ284:AJ285" si="194">AH284+AI284</f>
        <v>0</v>
      </c>
    </row>
    <row r="285" spans="1:39" s="284" customFormat="1" ht="21" thickBot="1">
      <c r="A285" s="551"/>
      <c r="B285" s="567"/>
      <c r="C285" s="553"/>
      <c r="D285" s="838"/>
      <c r="E285" s="320"/>
      <c r="F285" s="320"/>
      <c r="G285" s="320"/>
      <c r="H285" s="320"/>
      <c r="I285" s="321"/>
      <c r="J285" s="321"/>
      <c r="K285" s="320"/>
      <c r="L285" s="657"/>
      <c r="M285" s="658"/>
      <c r="N285" s="619"/>
      <c r="O285" s="619"/>
      <c r="P285" s="619"/>
      <c r="Q285" s="619"/>
      <c r="R285" s="619"/>
      <c r="S285" s="619"/>
      <c r="T285" s="769"/>
      <c r="U285" s="657"/>
      <c r="V285" s="658"/>
      <c r="W285" s="619"/>
      <c r="X285" s="619"/>
      <c r="Y285" s="619"/>
      <c r="Z285" s="619"/>
      <c r="AA285" s="619"/>
      <c r="AB285" s="619"/>
      <c r="AC285" s="681"/>
      <c r="AD285" s="774"/>
      <c r="AE285" s="682">
        <f t="shared" si="192"/>
        <v>0</v>
      </c>
      <c r="AF285" s="683"/>
      <c r="AG285" s="1206"/>
      <c r="AH285" s="682">
        <f t="shared" si="193"/>
        <v>0</v>
      </c>
      <c r="AI285" s="847"/>
      <c r="AJ285" s="848">
        <f t="shared" si="194"/>
        <v>0</v>
      </c>
      <c r="AK285" s="403"/>
      <c r="AL285" s="403"/>
      <c r="AM285" s="403"/>
    </row>
    <row r="286" spans="1:39" s="282" customFormat="1" ht="21" thickBot="1">
      <c r="A286" s="551"/>
      <c r="B286" s="567"/>
      <c r="C286" s="553"/>
      <c r="D286" s="838"/>
      <c r="E286" s="320"/>
      <c r="F286" s="320"/>
      <c r="G286" s="320"/>
      <c r="H286" s="320"/>
      <c r="I286" s="321"/>
      <c r="J286" s="321"/>
      <c r="K286" s="320"/>
      <c r="L286" s="657"/>
      <c r="M286" s="658"/>
      <c r="N286" s="619"/>
      <c r="O286" s="619"/>
      <c r="P286" s="619"/>
      <c r="Q286" s="619"/>
      <c r="R286" s="619"/>
      <c r="S286" s="619"/>
      <c r="T286" s="769"/>
      <c r="U286" s="657"/>
      <c r="V286" s="658"/>
      <c r="W286" s="619"/>
      <c r="X286" s="619"/>
      <c r="Y286" s="619"/>
      <c r="Z286" s="619"/>
      <c r="AA286" s="619"/>
      <c r="AB286" s="619"/>
      <c r="AC286" s="681"/>
      <c r="AD286" s="774"/>
      <c r="AE286" s="682">
        <f t="shared" ref="AE286" si="195">SUM(E286:AC286)</f>
        <v>0</v>
      </c>
      <c r="AF286" s="683"/>
      <c r="AG286" s="1206"/>
      <c r="AH286" s="682">
        <f t="shared" ref="AH286" si="196">AE286+AF286+AG286</f>
        <v>0</v>
      </c>
      <c r="AI286" s="847"/>
      <c r="AJ286" s="848">
        <f t="shared" ref="AJ286" si="197">AH286+AI286</f>
        <v>0</v>
      </c>
    </row>
    <row r="287" spans="1:39" s="283" customFormat="1" ht="21" thickBot="1">
      <c r="A287" s="551"/>
      <c r="B287" s="567"/>
      <c r="C287" s="553"/>
      <c r="D287" s="838"/>
      <c r="E287" s="618"/>
      <c r="F287" s="618"/>
      <c r="G287" s="618"/>
      <c r="H287" s="618"/>
      <c r="I287" s="619"/>
      <c r="J287" s="619"/>
      <c r="K287" s="618"/>
      <c r="L287" s="657"/>
      <c r="M287" s="658"/>
      <c r="N287" s="619"/>
      <c r="O287" s="619"/>
      <c r="P287" s="619"/>
      <c r="Q287" s="619"/>
      <c r="R287" s="619"/>
      <c r="S287" s="619"/>
      <c r="T287" s="769"/>
      <c r="U287" s="657"/>
      <c r="V287" s="658"/>
      <c r="W287" s="619"/>
      <c r="X287" s="619"/>
      <c r="Y287" s="619"/>
      <c r="Z287" s="619"/>
      <c r="AA287" s="619"/>
      <c r="AB287" s="619"/>
      <c r="AC287" s="681"/>
      <c r="AD287" s="774"/>
      <c r="AE287" s="682">
        <f t="shared" ref="AE287" si="198">SUM(E287:AC287)</f>
        <v>0</v>
      </c>
      <c r="AF287" s="683"/>
      <c r="AG287" s="1206"/>
      <c r="AH287" s="685">
        <f t="shared" ref="AH287" si="199">AE287+AF287+AG287</f>
        <v>0</v>
      </c>
      <c r="AI287" s="847"/>
      <c r="AJ287" s="848">
        <f t="shared" ref="AJ287" si="200">AH287+AI287</f>
        <v>0</v>
      </c>
    </row>
    <row r="288" spans="1:39" s="283" customFormat="1" ht="21" thickBot="1">
      <c r="A288" s="526" t="s">
        <v>151</v>
      </c>
      <c r="B288" s="840"/>
      <c r="C288" s="840"/>
      <c r="D288" s="528"/>
      <c r="E288" s="529">
        <f t="shared" ref="E288:T288" si="201">SUM(E213:E287)</f>
        <v>0</v>
      </c>
      <c r="F288" s="639">
        <f t="shared" si="201"/>
        <v>0</v>
      </c>
      <c r="G288" s="639">
        <f t="shared" si="201"/>
        <v>0</v>
      </c>
      <c r="H288" s="639">
        <f t="shared" si="201"/>
        <v>0</v>
      </c>
      <c r="I288" s="639">
        <f t="shared" si="201"/>
        <v>256</v>
      </c>
      <c r="J288" s="639">
        <f t="shared" si="201"/>
        <v>0</v>
      </c>
      <c r="K288" s="664">
        <f t="shared" si="201"/>
        <v>0</v>
      </c>
      <c r="L288" s="664">
        <f t="shared" si="201"/>
        <v>0</v>
      </c>
      <c r="M288" s="529">
        <f t="shared" si="201"/>
        <v>0</v>
      </c>
      <c r="N288" s="529">
        <f t="shared" si="201"/>
        <v>464</v>
      </c>
      <c r="O288" s="529">
        <f t="shared" si="201"/>
        <v>0</v>
      </c>
      <c r="P288" s="529">
        <f t="shared" si="201"/>
        <v>528</v>
      </c>
      <c r="Q288" s="529">
        <f t="shared" si="201"/>
        <v>0</v>
      </c>
      <c r="R288" s="529">
        <f t="shared" si="201"/>
        <v>960</v>
      </c>
      <c r="S288" s="529">
        <f t="shared" si="201"/>
        <v>0</v>
      </c>
      <c r="T288" s="529">
        <f t="shared" si="201"/>
        <v>1408</v>
      </c>
      <c r="U288" s="529"/>
      <c r="V288" s="529">
        <f t="shared" ref="V288:AC288" si="202">SUM(V213:V287)</f>
        <v>0</v>
      </c>
      <c r="W288" s="529">
        <f t="shared" si="202"/>
        <v>0</v>
      </c>
      <c r="X288" s="529">
        <f t="shared" si="202"/>
        <v>16</v>
      </c>
      <c r="Y288" s="529">
        <f t="shared" si="202"/>
        <v>0</v>
      </c>
      <c r="Z288" s="529">
        <f t="shared" si="202"/>
        <v>0</v>
      </c>
      <c r="AA288" s="529">
        <f t="shared" si="202"/>
        <v>0</v>
      </c>
      <c r="AB288" s="529">
        <f t="shared" si="202"/>
        <v>0</v>
      </c>
      <c r="AC288" s="529">
        <f t="shared" si="202"/>
        <v>32</v>
      </c>
      <c r="AD288" s="529"/>
      <c r="AE288" s="529">
        <f t="shared" ref="AE288:AJ288" si="203">SUM(AE213:AE287)</f>
        <v>3664</v>
      </c>
      <c r="AF288" s="529">
        <f t="shared" si="203"/>
        <v>0</v>
      </c>
      <c r="AG288" s="529">
        <f t="shared" si="203"/>
        <v>0</v>
      </c>
      <c r="AH288" s="529">
        <f t="shared" si="203"/>
        <v>3664</v>
      </c>
      <c r="AI288" s="529">
        <f t="shared" si="203"/>
        <v>0</v>
      </c>
      <c r="AJ288" s="529">
        <f t="shared" si="203"/>
        <v>3664</v>
      </c>
    </row>
    <row r="289" spans="1:39" s="283" customFormat="1" ht="19.5" customHeight="1" thickBot="1">
      <c r="A289" s="530" t="s">
        <v>152</v>
      </c>
      <c r="B289" s="531"/>
      <c r="C289" s="531"/>
      <c r="D289" s="630"/>
      <c r="E289" s="533">
        <f>E288/16</f>
        <v>0</v>
      </c>
      <c r="F289" s="533">
        <f t="shared" ref="F289:AJ289" si="204">F288/16</f>
        <v>0</v>
      </c>
      <c r="G289" s="533">
        <f t="shared" si="204"/>
        <v>0</v>
      </c>
      <c r="H289" s="533">
        <f t="shared" si="204"/>
        <v>0</v>
      </c>
      <c r="I289" s="533">
        <f t="shared" si="204"/>
        <v>16</v>
      </c>
      <c r="J289" s="533">
        <f t="shared" si="204"/>
        <v>0</v>
      </c>
      <c r="K289" s="533">
        <f t="shared" si="204"/>
        <v>0</v>
      </c>
      <c r="L289" s="533">
        <f t="shared" si="204"/>
        <v>0</v>
      </c>
      <c r="M289" s="533">
        <f t="shared" si="204"/>
        <v>0</v>
      </c>
      <c r="N289" s="533">
        <f t="shared" si="204"/>
        <v>29</v>
      </c>
      <c r="O289" s="533">
        <f t="shared" si="204"/>
        <v>0</v>
      </c>
      <c r="P289" s="533">
        <f t="shared" si="204"/>
        <v>33</v>
      </c>
      <c r="Q289" s="533">
        <f t="shared" si="204"/>
        <v>0</v>
      </c>
      <c r="R289" s="533">
        <f t="shared" si="204"/>
        <v>60</v>
      </c>
      <c r="S289" s="533">
        <f t="shared" si="204"/>
        <v>0</v>
      </c>
      <c r="T289" s="533">
        <f t="shared" si="204"/>
        <v>88</v>
      </c>
      <c r="U289" s="533"/>
      <c r="V289" s="533">
        <f t="shared" si="204"/>
        <v>0</v>
      </c>
      <c r="W289" s="533">
        <f t="shared" si="204"/>
        <v>0</v>
      </c>
      <c r="X289" s="533">
        <f t="shared" si="204"/>
        <v>1</v>
      </c>
      <c r="Y289" s="533">
        <f t="shared" si="204"/>
        <v>0</v>
      </c>
      <c r="Z289" s="533">
        <f t="shared" si="204"/>
        <v>0</v>
      </c>
      <c r="AA289" s="533">
        <f t="shared" si="204"/>
        <v>0</v>
      </c>
      <c r="AB289" s="533">
        <f t="shared" si="204"/>
        <v>0</v>
      </c>
      <c r="AC289" s="687">
        <f t="shared" si="204"/>
        <v>2</v>
      </c>
      <c r="AD289" s="533"/>
      <c r="AE289" s="533">
        <f t="shared" si="204"/>
        <v>229</v>
      </c>
      <c r="AF289" s="533">
        <f t="shared" si="204"/>
        <v>0</v>
      </c>
      <c r="AG289" s="533">
        <f t="shared" si="204"/>
        <v>0</v>
      </c>
      <c r="AH289" s="533">
        <f t="shared" si="204"/>
        <v>229</v>
      </c>
      <c r="AI289" s="533">
        <f t="shared" si="204"/>
        <v>0</v>
      </c>
      <c r="AJ289" s="533">
        <f t="shared" si="204"/>
        <v>229</v>
      </c>
    </row>
    <row r="290" spans="1:39" s="284" customFormat="1" ht="24.75" customHeight="1" thickBot="1">
      <c r="A290" s="1202"/>
      <c r="B290" s="1203"/>
      <c r="C290" s="307"/>
      <c r="D290" s="308"/>
      <c r="U290" s="346"/>
      <c r="V290" s="347"/>
      <c r="W290" s="347"/>
      <c r="X290" s="347"/>
      <c r="Y290" s="347"/>
      <c r="Z290" s="347"/>
      <c r="AA290" s="347"/>
      <c r="AB290" s="347"/>
      <c r="AC290" s="347"/>
      <c r="AD290" s="346"/>
      <c r="AE290" s="347"/>
      <c r="AF290" s="347"/>
      <c r="AG290" s="347"/>
      <c r="AH290" s="347"/>
      <c r="AI290" s="347"/>
      <c r="AJ290" s="402"/>
      <c r="AK290" s="403"/>
      <c r="AL290" s="403"/>
      <c r="AM290" s="403"/>
    </row>
    <row r="291" spans="1:39" ht="16.5" thickBot="1">
      <c r="A291" s="3881" t="s">
        <v>183</v>
      </c>
      <c r="B291" s="3882"/>
      <c r="C291" s="3883"/>
      <c r="D291" s="288" t="s">
        <v>70</v>
      </c>
      <c r="E291" s="88" t="s">
        <v>358</v>
      </c>
      <c r="F291" s="744" t="s">
        <v>364</v>
      </c>
      <c r="G291" s="30" t="s">
        <v>359</v>
      </c>
      <c r="H291" s="744" t="s">
        <v>365</v>
      </c>
      <c r="I291" s="744" t="s">
        <v>360</v>
      </c>
      <c r="J291" s="751" t="s">
        <v>366</v>
      </c>
      <c r="K291" s="783" t="s">
        <v>361</v>
      </c>
      <c r="L291" s="79" t="s">
        <v>367</v>
      </c>
      <c r="M291" s="743" t="s">
        <v>71</v>
      </c>
      <c r="N291" s="744" t="s">
        <v>72</v>
      </c>
      <c r="O291" s="744" t="s">
        <v>118</v>
      </c>
      <c r="P291" s="744" t="s">
        <v>97</v>
      </c>
      <c r="Q291" s="744" t="s">
        <v>75</v>
      </c>
      <c r="R291" s="744" t="s">
        <v>53</v>
      </c>
      <c r="S291" s="50" t="s">
        <v>77</v>
      </c>
      <c r="T291" s="805" t="s">
        <v>94</v>
      </c>
      <c r="U291" s="79"/>
      <c r="V291" s="745" t="str">
        <f>V3</f>
        <v>P.Green</v>
      </c>
      <c r="W291" s="746" t="str">
        <f>W3</f>
        <v>A.Gold Red/8003</v>
      </c>
      <c r="X291" s="744" t="s">
        <v>85</v>
      </c>
      <c r="Y291" s="787" t="str">
        <f>Y3</f>
        <v>Red</v>
      </c>
      <c r="Z291" s="788" t="s">
        <v>90</v>
      </c>
      <c r="AA291" s="789" t="str">
        <f>AA3</f>
        <v>Blue F</v>
      </c>
      <c r="AB291" s="746" t="str">
        <f>AB3</f>
        <v>M.Beige F</v>
      </c>
      <c r="AC291" s="844" t="str">
        <f>AC3</f>
        <v>Orange</v>
      </c>
      <c r="AD291" s="79"/>
      <c r="AE291" s="371" t="s">
        <v>172</v>
      </c>
      <c r="AF291" s="372" t="s">
        <v>80</v>
      </c>
      <c r="AG291" s="385"/>
      <c r="AH291" s="386" t="s">
        <v>106</v>
      </c>
      <c r="AI291" s="385" t="s">
        <v>173</v>
      </c>
      <c r="AJ291" s="371" t="s">
        <v>108</v>
      </c>
    </row>
    <row r="292" spans="1:39" ht="20.25">
      <c r="A292" s="631"/>
      <c r="B292" s="443"/>
      <c r="C292" s="443"/>
      <c r="D292" s="444"/>
      <c r="E292" s="433"/>
      <c r="F292" s="434"/>
      <c r="G292" s="434"/>
      <c r="H292" s="434"/>
      <c r="I292" s="435"/>
      <c r="J292" s="435"/>
      <c r="K292" s="434"/>
      <c r="L292" s="483"/>
      <c r="M292" s="484"/>
      <c r="N292" s="435"/>
      <c r="O292" s="435"/>
      <c r="P292" s="435"/>
      <c r="Q292" s="435"/>
      <c r="R292" s="435"/>
      <c r="S292" s="435"/>
      <c r="T292" s="492"/>
      <c r="U292" s="483"/>
      <c r="V292" s="433"/>
      <c r="W292" s="434"/>
      <c r="X292" s="434"/>
      <c r="Y292" s="435"/>
      <c r="Z292" s="435"/>
      <c r="AA292" s="435"/>
      <c r="AB292" s="434"/>
      <c r="AC292" s="495"/>
      <c r="AD292" s="483"/>
      <c r="AE292" s="496">
        <f>SUM(E292:AC292)</f>
        <v>0</v>
      </c>
      <c r="AF292" s="497"/>
      <c r="AG292" s="510"/>
      <c r="AH292" s="511">
        <f>AE292+AF292</f>
        <v>0</v>
      </c>
      <c r="AI292" s="512"/>
      <c r="AJ292" s="703">
        <f>AH292+AI292</f>
        <v>0</v>
      </c>
    </row>
    <row r="293" spans="1:39" ht="21" thickBot="1">
      <c r="A293" s="322"/>
      <c r="B293" s="323"/>
      <c r="C293" s="323"/>
      <c r="D293" s="324"/>
      <c r="E293" s="325"/>
      <c r="F293" s="297"/>
      <c r="G293" s="297"/>
      <c r="H293" s="297"/>
      <c r="I293" s="298"/>
      <c r="J293" s="298"/>
      <c r="K293" s="297"/>
      <c r="L293" s="355"/>
      <c r="M293" s="343"/>
      <c r="N293" s="298"/>
      <c r="O293" s="298"/>
      <c r="P293" s="298"/>
      <c r="Q293" s="298"/>
      <c r="R293" s="298"/>
      <c r="S293" s="298"/>
      <c r="T293" s="367"/>
      <c r="U293" s="355"/>
      <c r="V293" s="325"/>
      <c r="W293" s="297"/>
      <c r="X293" s="297"/>
      <c r="Y293" s="298"/>
      <c r="Z293" s="298"/>
      <c r="AA293" s="298"/>
      <c r="AB293" s="297"/>
      <c r="AC293" s="375"/>
      <c r="AD293" s="355"/>
      <c r="AE293" s="377">
        <f>SUM(E293:AC293)</f>
        <v>0</v>
      </c>
      <c r="AF293" s="377"/>
      <c r="AG293" s="390"/>
      <c r="AH293" s="507">
        <f>AE293+AF293</f>
        <v>0</v>
      </c>
      <c r="AI293" s="412"/>
      <c r="AJ293" s="508">
        <f t="shared" ref="AJ293" si="205">AH293+AI293</f>
        <v>0</v>
      </c>
      <c r="AK293" s="1"/>
    </row>
    <row r="294" spans="1:39" ht="21" thickBot="1">
      <c r="A294" s="436"/>
      <c r="B294" s="437"/>
      <c r="C294" s="437"/>
      <c r="D294" s="438"/>
      <c r="E294" s="439">
        <f>SUM(E292:E293)</f>
        <v>0</v>
      </c>
      <c r="F294" s="439">
        <f t="shared" ref="F294:M294" si="206">SUM(F292:F293)</f>
        <v>0</v>
      </c>
      <c r="G294" s="439">
        <f t="shared" si="206"/>
        <v>0</v>
      </c>
      <c r="H294" s="439">
        <f t="shared" si="206"/>
        <v>0</v>
      </c>
      <c r="I294" s="439">
        <f t="shared" si="206"/>
        <v>0</v>
      </c>
      <c r="J294" s="439">
        <f t="shared" si="206"/>
        <v>0</v>
      </c>
      <c r="K294" s="439">
        <f t="shared" si="206"/>
        <v>0</v>
      </c>
      <c r="L294" s="439"/>
      <c r="M294" s="439">
        <f t="shared" si="206"/>
        <v>0</v>
      </c>
      <c r="N294" s="439">
        <f t="shared" ref="N294:T294" si="207">SUM(N292:N293)</f>
        <v>0</v>
      </c>
      <c r="O294" s="439">
        <f t="shared" si="207"/>
        <v>0</v>
      </c>
      <c r="P294" s="439">
        <f t="shared" si="207"/>
        <v>0</v>
      </c>
      <c r="Q294" s="439">
        <f t="shared" si="207"/>
        <v>0</v>
      </c>
      <c r="R294" s="439">
        <f t="shared" si="207"/>
        <v>0</v>
      </c>
      <c r="S294" s="439">
        <f t="shared" si="207"/>
        <v>0</v>
      </c>
      <c r="T294" s="439">
        <f t="shared" si="207"/>
        <v>0</v>
      </c>
      <c r="U294" s="482"/>
      <c r="V294" s="439">
        <f t="shared" ref="V294:AC294" si="208">SUM(V292:V293)</f>
        <v>0</v>
      </c>
      <c r="W294" s="439">
        <f t="shared" si="208"/>
        <v>0</v>
      </c>
      <c r="X294" s="439">
        <f t="shared" si="208"/>
        <v>0</v>
      </c>
      <c r="Y294" s="439">
        <f t="shared" si="208"/>
        <v>0</v>
      </c>
      <c r="Z294" s="439">
        <f t="shared" si="208"/>
        <v>0</v>
      </c>
      <c r="AA294" s="439">
        <f t="shared" si="208"/>
        <v>0</v>
      </c>
      <c r="AB294" s="439">
        <f t="shared" si="208"/>
        <v>0</v>
      </c>
      <c r="AC294" s="439">
        <f t="shared" si="208"/>
        <v>0</v>
      </c>
      <c r="AD294" s="482"/>
      <c r="AE294" s="494">
        <f>SUM(AE292:AE293)</f>
        <v>0</v>
      </c>
      <c r="AF294" s="494">
        <f>SUM(AF292:AF293)</f>
        <v>0</v>
      </c>
      <c r="AG294" s="509"/>
      <c r="AH294" s="514">
        <f>SUM(AH292:AH293)</f>
        <v>0</v>
      </c>
      <c r="AI294" s="494">
        <f>SUM(AI292:AI293)</f>
        <v>0</v>
      </c>
      <c r="AJ294" s="515">
        <f>SUM(AJ292:AJ293)</f>
        <v>0</v>
      </c>
    </row>
    <row r="295" spans="1:39" ht="19.5" thickBot="1">
      <c r="A295" s="522"/>
      <c r="B295" s="523"/>
      <c r="C295" s="523"/>
      <c r="D295" s="524"/>
      <c r="E295" s="88" t="s">
        <v>358</v>
      </c>
      <c r="F295" s="744" t="s">
        <v>364</v>
      </c>
      <c r="G295" s="30" t="s">
        <v>359</v>
      </c>
      <c r="H295" s="744" t="s">
        <v>365</v>
      </c>
      <c r="I295" s="744" t="s">
        <v>360</v>
      </c>
      <c r="J295" s="751" t="s">
        <v>366</v>
      </c>
      <c r="K295" s="783" t="s">
        <v>361</v>
      </c>
      <c r="L295" s="79" t="s">
        <v>367</v>
      </c>
      <c r="M295" s="573"/>
      <c r="N295" s="573"/>
      <c r="O295" s="573"/>
      <c r="P295" s="573"/>
      <c r="Q295" s="573"/>
      <c r="R295" s="573"/>
      <c r="S295" s="573"/>
      <c r="T295" s="573"/>
      <c r="U295" s="572"/>
      <c r="V295" s="573"/>
      <c r="W295" s="573"/>
      <c r="X295" s="573"/>
      <c r="Y295" s="573"/>
      <c r="Z295" s="573"/>
      <c r="AA295" s="573"/>
      <c r="AB295" s="573"/>
      <c r="AC295" s="573"/>
      <c r="AD295" s="572"/>
      <c r="AE295" s="573"/>
      <c r="AF295" s="573"/>
      <c r="AG295" s="599"/>
      <c r="AH295" s="573"/>
      <c r="AI295" s="573"/>
      <c r="AJ295" s="600"/>
    </row>
    <row r="296" spans="1:39" ht="21" thickBot="1">
      <c r="A296" s="636" t="s">
        <v>185</v>
      </c>
      <c r="B296" s="637"/>
      <c r="C296" s="637"/>
      <c r="D296" s="638"/>
      <c r="E296" s="529">
        <f t="shared" ref="E296:T296" si="209">E208-E288+E294</f>
        <v>0</v>
      </c>
      <c r="F296" s="639">
        <f t="shared" si="209"/>
        <v>0</v>
      </c>
      <c r="G296" s="639">
        <f t="shared" si="209"/>
        <v>0</v>
      </c>
      <c r="H296" s="639">
        <f t="shared" si="209"/>
        <v>0</v>
      </c>
      <c r="I296" s="639">
        <f t="shared" si="209"/>
        <v>96</v>
      </c>
      <c r="J296" s="639">
        <f t="shared" si="209"/>
        <v>0</v>
      </c>
      <c r="K296" s="639">
        <f t="shared" si="209"/>
        <v>0</v>
      </c>
      <c r="L296" s="639">
        <f t="shared" si="209"/>
        <v>0</v>
      </c>
      <c r="M296" s="665">
        <f t="shared" si="209"/>
        <v>0</v>
      </c>
      <c r="N296" s="666">
        <f t="shared" si="209"/>
        <v>480</v>
      </c>
      <c r="O296" s="666">
        <f t="shared" si="209"/>
        <v>560</v>
      </c>
      <c r="P296" s="666">
        <f t="shared" si="209"/>
        <v>1328</v>
      </c>
      <c r="Q296" s="666">
        <f t="shared" si="209"/>
        <v>32</v>
      </c>
      <c r="R296" s="666">
        <f t="shared" si="209"/>
        <v>1584</v>
      </c>
      <c r="S296" s="666">
        <f t="shared" si="209"/>
        <v>0</v>
      </c>
      <c r="T296" s="674">
        <f t="shared" si="209"/>
        <v>1120</v>
      </c>
      <c r="U296" s="574"/>
      <c r="V296" s="665">
        <f t="shared" ref="V296:AC296" si="210">V208-V288+V294</f>
        <v>224</v>
      </c>
      <c r="W296" s="666">
        <f t="shared" si="210"/>
        <v>0</v>
      </c>
      <c r="X296" s="666">
        <f t="shared" si="210"/>
        <v>96</v>
      </c>
      <c r="Y296" s="666">
        <f t="shared" si="210"/>
        <v>0</v>
      </c>
      <c r="Z296" s="666">
        <f t="shared" si="210"/>
        <v>160</v>
      </c>
      <c r="AA296" s="666">
        <f t="shared" si="210"/>
        <v>208</v>
      </c>
      <c r="AB296" s="666">
        <f t="shared" si="210"/>
        <v>0</v>
      </c>
      <c r="AC296" s="674">
        <f t="shared" si="210"/>
        <v>128</v>
      </c>
      <c r="AD296" s="691"/>
      <c r="AE296" s="529">
        <f>AE208-AE288+AE294</f>
        <v>6016</v>
      </c>
      <c r="AF296" s="3775">
        <f>AF208-AF288-AG288+AF294</f>
        <v>27</v>
      </c>
      <c r="AG296" s="3884"/>
      <c r="AH296" s="529">
        <f>AH208-AH288+AH294</f>
        <v>6043</v>
      </c>
      <c r="AI296" s="529">
        <f>AI208-AI288+AI294</f>
        <v>114</v>
      </c>
      <c r="AJ296" s="693">
        <f>AJ208-AJ288+AJ294</f>
        <v>6157</v>
      </c>
    </row>
    <row r="297" spans="1:39" ht="21" thickBot="1">
      <c r="A297" s="640" t="s">
        <v>186</v>
      </c>
      <c r="B297" s="641"/>
      <c r="C297" s="641"/>
      <c r="D297" s="642"/>
      <c r="E297" s="529">
        <f t="shared" ref="E297:AC297" si="211">E296/16</f>
        <v>0</v>
      </c>
      <c r="F297" s="529">
        <f t="shared" si="211"/>
        <v>0</v>
      </c>
      <c r="G297" s="529">
        <f t="shared" si="211"/>
        <v>0</v>
      </c>
      <c r="H297" s="529">
        <f t="shared" si="211"/>
        <v>0</v>
      </c>
      <c r="I297" s="529">
        <f t="shared" si="211"/>
        <v>6</v>
      </c>
      <c r="J297" s="529">
        <f t="shared" si="211"/>
        <v>0</v>
      </c>
      <c r="K297" s="529">
        <f t="shared" si="211"/>
        <v>0</v>
      </c>
      <c r="L297" s="529">
        <f t="shared" si="211"/>
        <v>0</v>
      </c>
      <c r="M297" s="529">
        <f t="shared" si="211"/>
        <v>0</v>
      </c>
      <c r="N297" s="529">
        <f t="shared" si="211"/>
        <v>30</v>
      </c>
      <c r="O297" s="529">
        <f t="shared" si="211"/>
        <v>35</v>
      </c>
      <c r="P297" s="529">
        <f t="shared" si="211"/>
        <v>83</v>
      </c>
      <c r="Q297" s="529">
        <f t="shared" si="211"/>
        <v>2</v>
      </c>
      <c r="R297" s="529">
        <f t="shared" si="211"/>
        <v>99</v>
      </c>
      <c r="S297" s="529">
        <f t="shared" si="211"/>
        <v>0</v>
      </c>
      <c r="T297" s="529">
        <f t="shared" si="211"/>
        <v>70</v>
      </c>
      <c r="U297" s="529"/>
      <c r="V297" s="529">
        <f t="shared" si="211"/>
        <v>14</v>
      </c>
      <c r="W297" s="529">
        <f t="shared" si="211"/>
        <v>0</v>
      </c>
      <c r="X297" s="529">
        <f t="shared" si="211"/>
        <v>6</v>
      </c>
      <c r="Y297" s="529">
        <f t="shared" si="211"/>
        <v>0</v>
      </c>
      <c r="Z297" s="529">
        <f t="shared" si="211"/>
        <v>10</v>
      </c>
      <c r="AA297" s="529">
        <f t="shared" si="211"/>
        <v>13</v>
      </c>
      <c r="AB297" s="529">
        <f t="shared" si="211"/>
        <v>0</v>
      </c>
      <c r="AC297" s="529">
        <f t="shared" si="211"/>
        <v>8</v>
      </c>
      <c r="AD297" s="692"/>
      <c r="AE297" s="693">
        <f>AE296/16</f>
        <v>376</v>
      </c>
      <c r="AF297" s="3775">
        <f>AF296/16</f>
        <v>1.6875</v>
      </c>
      <c r="AG297" s="3884"/>
      <c r="AH297" s="693">
        <f>AH296/16</f>
        <v>377.6875</v>
      </c>
      <c r="AI297" s="693">
        <f t="shared" ref="AI297:AJ297" si="212">AI296/16</f>
        <v>7.125</v>
      </c>
      <c r="AJ297" s="693">
        <f t="shared" si="212"/>
        <v>384.8125</v>
      </c>
    </row>
    <row r="298" spans="1:39" ht="21" thickBot="1">
      <c r="A298" s="643" t="s">
        <v>156</v>
      </c>
      <c r="B298" s="644"/>
      <c r="C298" s="644"/>
      <c r="D298" s="645"/>
      <c r="E298" s="3885">
        <f>SUM(E297:K297)</f>
        <v>6</v>
      </c>
      <c r="F298" s="3886"/>
      <c r="G298" s="3886"/>
      <c r="H298" s="3886"/>
      <c r="I298" s="3886"/>
      <c r="J298" s="3886"/>
      <c r="K298" s="3886"/>
      <c r="L298" s="667"/>
      <c r="M298" s="3775">
        <f>SUM(M297:T297)</f>
        <v>319</v>
      </c>
      <c r="N298" s="3887"/>
      <c r="O298" s="3887"/>
      <c r="P298" s="3887"/>
      <c r="Q298" s="3887"/>
      <c r="R298" s="3887"/>
      <c r="S298" s="3887"/>
      <c r="T298" s="3884"/>
      <c r="U298" s="675"/>
      <c r="V298" s="3778">
        <f>SUM(V297:AC297)</f>
        <v>51</v>
      </c>
      <c r="W298" s="3779"/>
      <c r="X298" s="3779"/>
      <c r="Y298" s="3779"/>
      <c r="Z298" s="3779"/>
      <c r="AA298" s="3779"/>
      <c r="AB298" s="3779"/>
      <c r="AC298" s="3780"/>
      <c r="AD298" s="694"/>
      <c r="AE298" s="694"/>
      <c r="AF298" s="694"/>
      <c r="AG298" s="694"/>
      <c r="AH298" s="694"/>
      <c r="AI298" s="694"/>
      <c r="AJ298" s="707"/>
    </row>
    <row r="299" spans="1:39" ht="21" thickBot="1">
      <c r="A299" s="646" t="s">
        <v>157</v>
      </c>
      <c r="B299" s="647"/>
      <c r="C299" s="647"/>
      <c r="D299" s="648"/>
      <c r="E299" s="3875">
        <f>SUM(E296:K296)</f>
        <v>96</v>
      </c>
      <c r="F299" s="3876"/>
      <c r="G299" s="3876"/>
      <c r="H299" s="3876"/>
      <c r="I299" s="3876"/>
      <c r="J299" s="3876"/>
      <c r="K299" s="3876"/>
      <c r="L299" s="669"/>
      <c r="M299" s="3877">
        <f>SUM(M296:T296)</f>
        <v>5104</v>
      </c>
      <c r="N299" s="3878"/>
      <c r="O299" s="3878"/>
      <c r="P299" s="3878"/>
      <c r="Q299" s="3878"/>
      <c r="R299" s="3878"/>
      <c r="S299" s="3878"/>
      <c r="T299" s="3879"/>
      <c r="U299" s="676"/>
      <c r="V299" s="3781">
        <f>SUM(V296:AC296)</f>
        <v>816</v>
      </c>
      <c r="W299" s="3788"/>
      <c r="X299" s="3788"/>
      <c r="Y299" s="3788"/>
      <c r="Z299" s="3788"/>
      <c r="AA299" s="3788"/>
      <c r="AB299" s="3788"/>
      <c r="AC299" s="3880"/>
      <c r="AD299" s="688"/>
      <c r="AE299" s="689"/>
      <c r="AF299" s="673"/>
      <c r="AG299" s="673"/>
      <c r="AH299" s="689"/>
      <c r="AI299" s="689"/>
      <c r="AJ299" s="704"/>
    </row>
    <row r="300" spans="1:39">
      <c r="A300" s="634"/>
      <c r="B300" s="635"/>
      <c r="C300" s="635"/>
      <c r="D300" s="649"/>
      <c r="U300" s="634"/>
      <c r="V300" s="634"/>
      <c r="W300" s="634"/>
      <c r="X300" s="634"/>
      <c r="Y300" s="634"/>
      <c r="Z300" s="634"/>
      <c r="AA300" s="634"/>
      <c r="AB300" s="690"/>
      <c r="AC300" s="690"/>
      <c r="AD300" s="690"/>
      <c r="AE300" s="690"/>
      <c r="AF300" s="634"/>
      <c r="AG300" s="634"/>
      <c r="AH300" s="634"/>
      <c r="AI300" s="634"/>
      <c r="AJ300" s="634"/>
    </row>
    <row r="301" spans="1:39" ht="21" thickBot="1">
      <c r="A301" s="650"/>
      <c r="B301" s="651"/>
      <c r="C301" s="651"/>
      <c r="D301" s="650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4"/>
      <c r="P301" s="634"/>
      <c r="Q301" s="634"/>
      <c r="R301" s="634"/>
      <c r="S301" s="634"/>
      <c r="T301" s="634"/>
      <c r="U301" s="650"/>
      <c r="V301" s="650"/>
      <c r="W301" s="650"/>
      <c r="X301" s="650"/>
      <c r="Y301" s="650"/>
      <c r="Z301" s="650"/>
      <c r="AA301" s="650"/>
      <c r="AB301" s="650"/>
      <c r="AC301" s="650"/>
      <c r="AD301" s="650"/>
      <c r="AE301" s="650"/>
      <c r="AF301" s="650"/>
      <c r="AG301" s="650"/>
      <c r="AH301" s="650"/>
      <c r="AI301" s="650"/>
      <c r="AJ301" s="650"/>
    </row>
    <row r="302" spans="1:39" ht="27.75" thickBot="1">
      <c r="A302" s="634"/>
      <c r="B302" s="635"/>
      <c r="C302" s="635"/>
      <c r="D302" s="634"/>
      <c r="E302" s="650"/>
      <c r="F302" s="650"/>
      <c r="G302" s="650"/>
      <c r="H302" s="650"/>
      <c r="I302" s="650"/>
      <c r="J302" s="650"/>
      <c r="K302" s="650"/>
      <c r="L302" s="650"/>
      <c r="M302" s="650"/>
      <c r="N302" s="650"/>
      <c r="O302" s="650"/>
      <c r="P302" s="650"/>
      <c r="Q302" s="650"/>
      <c r="R302" s="650"/>
      <c r="S302" s="650"/>
      <c r="T302" s="650"/>
      <c r="U302" s="634"/>
      <c r="V302" s="634"/>
      <c r="W302" s="677"/>
      <c r="X302" s="3857" t="s">
        <v>158</v>
      </c>
      <c r="Y302" s="3858"/>
      <c r="Z302" s="3858"/>
      <c r="AA302" s="3858"/>
      <c r="AB302" s="3859"/>
      <c r="AC302" s="3802">
        <f>'BIG CHAIR'!CI325</f>
        <v>0</v>
      </c>
      <c r="AD302" s="3803"/>
      <c r="AE302" s="3804"/>
      <c r="AF302" s="634"/>
      <c r="AG302" s="634"/>
      <c r="AH302" s="634"/>
      <c r="AI302" s="634"/>
      <c r="AJ302" s="634"/>
    </row>
    <row r="303" spans="1:39" ht="27.75" thickBot="1">
      <c r="A303" s="634"/>
      <c r="B303" s="635"/>
      <c r="C303" s="635"/>
      <c r="D303" s="634"/>
      <c r="E303" s="634"/>
      <c r="F303" s="634"/>
      <c r="G303" s="634"/>
      <c r="H303" s="634"/>
      <c r="I303" s="634"/>
      <c r="J303" s="634"/>
      <c r="K303" s="634"/>
      <c r="L303" s="634"/>
      <c r="M303" s="634"/>
      <c r="N303" s="634"/>
      <c r="O303" s="634"/>
      <c r="P303" s="634"/>
      <c r="Q303" s="634"/>
      <c r="R303" s="634"/>
      <c r="S303" s="634"/>
      <c r="T303" s="634"/>
      <c r="U303" s="634"/>
      <c r="V303" s="634"/>
      <c r="W303" s="677"/>
      <c r="X303" s="3857" t="s">
        <v>159</v>
      </c>
      <c r="Y303" s="3858"/>
      <c r="Z303" s="3858"/>
      <c r="AA303" s="3858"/>
      <c r="AB303" s="3859"/>
      <c r="AC303" s="3872">
        <f>AE296</f>
        <v>6016</v>
      </c>
      <c r="AD303" s="3873"/>
      <c r="AE303" s="3874"/>
      <c r="AF303" s="634"/>
      <c r="AG303" s="634"/>
      <c r="AH303" s="634"/>
      <c r="AI303" s="634"/>
      <c r="AJ303" s="708"/>
    </row>
    <row r="304" spans="1:39" ht="27.75" thickBot="1">
      <c r="A304" s="634"/>
      <c r="B304" s="635"/>
      <c r="C304" s="635"/>
      <c r="D304" s="634"/>
      <c r="E304" s="634"/>
      <c r="F304" s="634"/>
      <c r="G304" s="634"/>
      <c r="H304" s="634"/>
      <c r="I304" s="634"/>
      <c r="J304" s="634"/>
      <c r="K304" s="634"/>
      <c r="L304" s="634"/>
      <c r="M304" s="634"/>
      <c r="N304" s="634"/>
      <c r="O304" s="634"/>
      <c r="P304" s="634"/>
      <c r="Q304" s="634"/>
      <c r="R304" s="634"/>
      <c r="S304" s="634"/>
      <c r="T304" s="634"/>
      <c r="U304" s="634"/>
      <c r="V304" s="634"/>
      <c r="W304" s="677"/>
      <c r="X304" s="3857" t="s">
        <v>160</v>
      </c>
      <c r="Y304" s="3858"/>
      <c r="Z304" s="3858"/>
      <c r="AA304" s="3858"/>
      <c r="AB304" s="3859"/>
      <c r="AC304" s="3802">
        <f>'BIG CHAIR'!CJ325</f>
        <v>0</v>
      </c>
      <c r="AD304" s="3803"/>
      <c r="AE304" s="3804"/>
      <c r="AF304" s="634"/>
      <c r="AG304" s="634"/>
      <c r="AH304" s="634"/>
      <c r="AI304" s="634"/>
      <c r="AJ304" s="634"/>
    </row>
    <row r="305" spans="1:36" ht="27.75" thickBot="1">
      <c r="A305" s="634"/>
      <c r="B305" s="635"/>
      <c r="C305" s="635"/>
      <c r="D305" s="634"/>
      <c r="E305" s="634"/>
      <c r="F305" s="634"/>
      <c r="G305" s="634"/>
      <c r="H305" s="634"/>
      <c r="I305" s="634"/>
      <c r="J305" s="634"/>
      <c r="K305" s="634"/>
      <c r="L305" s="634"/>
      <c r="M305" s="634"/>
      <c r="N305" s="634"/>
      <c r="O305" s="634"/>
      <c r="P305" s="634"/>
      <c r="Q305" s="634"/>
      <c r="R305" s="634"/>
      <c r="S305" s="634"/>
      <c r="T305" s="634"/>
      <c r="U305" s="634"/>
      <c r="V305" s="634"/>
      <c r="W305" s="677"/>
      <c r="X305" s="3857" t="s">
        <v>161</v>
      </c>
      <c r="Y305" s="3858"/>
      <c r="Z305" s="3858"/>
      <c r="AA305" s="3858"/>
      <c r="AB305" s="3858"/>
      <c r="AC305" s="3872">
        <f>AF296</f>
        <v>27</v>
      </c>
      <c r="AD305" s="3803"/>
      <c r="AE305" s="3804"/>
      <c r="AF305" s="634"/>
      <c r="AG305" s="634"/>
      <c r="AH305" s="634"/>
      <c r="AI305" s="634"/>
      <c r="AJ305" s="634"/>
    </row>
    <row r="306" spans="1:36" ht="27.75" thickBot="1">
      <c r="A306" s="634"/>
      <c r="B306" s="635"/>
      <c r="C306" s="635"/>
      <c r="D306" s="634"/>
      <c r="E306" s="634"/>
      <c r="F306" s="634"/>
      <c r="G306" s="634"/>
      <c r="H306" s="634"/>
      <c r="I306" s="634"/>
      <c r="J306" s="634"/>
      <c r="K306" s="634"/>
      <c r="L306" s="634"/>
      <c r="M306" s="634"/>
      <c r="N306" s="634"/>
      <c r="O306" s="634"/>
      <c r="P306" s="634"/>
      <c r="Q306" s="634"/>
      <c r="R306" s="634"/>
      <c r="S306" s="634"/>
      <c r="T306" s="634"/>
      <c r="U306" s="634"/>
      <c r="V306" s="634"/>
      <c r="W306" s="677"/>
      <c r="X306" s="3857" t="s">
        <v>162</v>
      </c>
      <c r="Y306" s="3858"/>
      <c r="Z306" s="3858"/>
      <c r="AA306" s="3858"/>
      <c r="AB306" s="3859"/>
      <c r="AC306" s="3802">
        <f>'Tea Table'!U285</f>
        <v>2676</v>
      </c>
      <c r="AD306" s="3803"/>
      <c r="AE306" s="3804"/>
      <c r="AF306" s="634"/>
      <c r="AG306" s="634"/>
      <c r="AH306" s="634"/>
      <c r="AI306" s="634"/>
      <c r="AJ306" s="634"/>
    </row>
    <row r="307" spans="1:36" ht="27.75" thickBot="1">
      <c r="A307" s="634"/>
      <c r="B307" s="635"/>
      <c r="C307" s="635"/>
      <c r="D307" s="634"/>
      <c r="E307" s="634"/>
      <c r="F307" s="634"/>
      <c r="G307" s="634"/>
      <c r="H307" s="634"/>
      <c r="I307" s="634"/>
      <c r="J307" s="634"/>
      <c r="K307" s="634"/>
      <c r="L307" s="634"/>
      <c r="M307" s="634"/>
      <c r="N307" s="634"/>
      <c r="O307" s="634"/>
      <c r="P307" s="634"/>
      <c r="Q307" s="634"/>
      <c r="R307" s="634"/>
      <c r="S307" s="634"/>
      <c r="T307" s="634"/>
      <c r="U307" s="634"/>
      <c r="V307" s="634"/>
      <c r="W307" s="677"/>
      <c r="X307" s="3860" t="s">
        <v>163</v>
      </c>
      <c r="Y307" s="3861"/>
      <c r="Z307" s="3861"/>
      <c r="AA307" s="3861"/>
      <c r="AB307" s="3862"/>
      <c r="AC307" s="3863">
        <f>'Tea Table'!V285</f>
        <v>29</v>
      </c>
      <c r="AD307" s="3864"/>
      <c r="AE307" s="3865"/>
      <c r="AF307" s="634"/>
      <c r="AG307" s="634"/>
      <c r="AH307" s="634"/>
      <c r="AI307" s="634"/>
      <c r="AJ307" s="634"/>
    </row>
    <row r="308" spans="1:36" ht="28.5" thickTop="1" thickBot="1">
      <c r="A308" s="634"/>
      <c r="B308" s="635"/>
      <c r="C308" s="635"/>
      <c r="D308" s="634"/>
      <c r="E308" s="634"/>
      <c r="F308" s="634"/>
      <c r="G308" s="634"/>
      <c r="H308" s="634"/>
      <c r="I308" s="634"/>
      <c r="J308" s="634"/>
      <c r="K308" s="634"/>
      <c r="L308" s="634"/>
      <c r="M308" s="634"/>
      <c r="N308" s="634"/>
      <c r="O308" s="634"/>
      <c r="P308" s="634"/>
      <c r="Q308" s="634"/>
      <c r="R308" s="634"/>
      <c r="S308" s="634"/>
      <c r="T308" s="634"/>
      <c r="U308" s="634"/>
      <c r="V308" s="634"/>
      <c r="W308" s="677"/>
      <c r="X308" s="3866"/>
      <c r="Y308" s="3867"/>
      <c r="Z308" s="3867"/>
      <c r="AA308" s="3867"/>
      <c r="AB308" s="3868"/>
      <c r="AC308" s="3869"/>
      <c r="AD308" s="3870"/>
      <c r="AE308" s="3871"/>
      <c r="AF308" s="634"/>
      <c r="AG308" s="634"/>
      <c r="AH308" s="634"/>
      <c r="AI308" s="634"/>
      <c r="AJ308" s="634"/>
    </row>
    <row r="309" spans="1:36" ht="27.75" thickBot="1">
      <c r="A309" s="634"/>
      <c r="B309" s="635"/>
      <c r="C309" s="635"/>
      <c r="D309" s="634"/>
      <c r="E309" s="634"/>
      <c r="F309" s="634"/>
      <c r="G309" s="634"/>
      <c r="H309" s="634"/>
      <c r="I309" s="634"/>
      <c r="J309" s="634"/>
      <c r="K309" s="634"/>
      <c r="L309" s="634"/>
      <c r="M309" s="634"/>
      <c r="N309" s="634"/>
      <c r="O309" s="634"/>
      <c r="P309" s="634"/>
      <c r="Q309" s="634"/>
      <c r="R309" s="634"/>
      <c r="S309" s="634"/>
      <c r="T309" s="634"/>
      <c r="U309" s="634"/>
      <c r="V309" s="634"/>
      <c r="W309" s="677"/>
      <c r="X309" s="3857" t="s">
        <v>164</v>
      </c>
      <c r="Y309" s="3858"/>
      <c r="Z309" s="3858"/>
      <c r="AA309" s="3858"/>
      <c r="AB309" s="3859"/>
      <c r="AC309" s="3796">
        <f>SUM(AC302:AE308)</f>
        <v>8748</v>
      </c>
      <c r="AD309" s="3797"/>
      <c r="AE309" s="3798"/>
      <c r="AF309" s="634"/>
      <c r="AG309" s="634"/>
      <c r="AH309" s="634"/>
      <c r="AI309" s="634"/>
      <c r="AJ309" s="634"/>
    </row>
    <row r="310" spans="1:36" ht="27.75" thickBot="1">
      <c r="A310" s="634"/>
      <c r="B310" s="635"/>
      <c r="C310" s="635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4"/>
      <c r="P310" s="634"/>
      <c r="Q310" s="634"/>
      <c r="R310" s="634"/>
      <c r="S310" s="634"/>
      <c r="T310" s="634"/>
      <c r="U310" s="634"/>
      <c r="V310" s="634"/>
      <c r="W310" s="677"/>
      <c r="X310" s="3857" t="s">
        <v>165</v>
      </c>
      <c r="Y310" s="3858"/>
      <c r="Z310" s="3858"/>
      <c r="AA310" s="3858"/>
      <c r="AB310" s="3859"/>
      <c r="AC310" s="3796">
        <f>AE297+'BIG CHAIR'!CI326+'Tea Table'!U286</f>
        <v>599</v>
      </c>
      <c r="AD310" s="3797"/>
      <c r="AE310" s="3798"/>
      <c r="AF310" s="695"/>
      <c r="AG310" s="695"/>
      <c r="AH310" s="695"/>
      <c r="AI310" s="634"/>
      <c r="AJ310" s="634"/>
    </row>
    <row r="311" spans="1:36">
      <c r="B311" s="652"/>
      <c r="C311" s="652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4"/>
      <c r="P311" s="634"/>
      <c r="Q311" s="634"/>
      <c r="R311" s="634"/>
      <c r="S311" s="634"/>
      <c r="T311" s="634"/>
      <c r="AB311" s="696"/>
      <c r="AC311" s="696"/>
      <c r="AD311" s="696"/>
      <c r="AE311" s="696"/>
    </row>
    <row r="312" spans="1:36">
      <c r="B312" s="652"/>
      <c r="C312" s="652"/>
      <c r="AB312" s="696"/>
      <c r="AC312" s="696"/>
      <c r="AD312" s="696"/>
      <c r="AE312" s="696"/>
    </row>
    <row r="313" spans="1:36">
      <c r="B313" s="652"/>
      <c r="C313" s="652"/>
      <c r="AB313" s="696"/>
      <c r="AC313" s="696"/>
      <c r="AD313" s="696"/>
      <c r="AE313" s="696"/>
    </row>
    <row r="314" spans="1:36">
      <c r="B314" s="652"/>
      <c r="C314" s="652"/>
      <c r="AB314" s="696"/>
      <c r="AC314" s="696"/>
      <c r="AD314" s="696"/>
      <c r="AE314" s="696"/>
    </row>
    <row r="315" spans="1:36">
      <c r="B315" s="652"/>
      <c r="C315" s="652"/>
      <c r="AB315" s="696"/>
      <c r="AC315" s="696"/>
      <c r="AD315" s="696"/>
      <c r="AE315" s="696"/>
    </row>
    <row r="316" spans="1:36">
      <c r="B316" s="652"/>
      <c r="C316" s="652"/>
      <c r="AB316" s="696"/>
      <c r="AC316" s="696"/>
      <c r="AD316" s="696"/>
      <c r="AE316" s="696"/>
    </row>
    <row r="317" spans="1:36">
      <c r="B317" s="652"/>
      <c r="C317" s="652"/>
      <c r="AB317" s="696"/>
      <c r="AC317" s="696"/>
      <c r="AD317" s="696"/>
      <c r="AE317" s="696"/>
    </row>
    <row r="318" spans="1:36">
      <c r="B318" s="652"/>
      <c r="C318" s="652"/>
      <c r="AB318" s="696"/>
      <c r="AC318" s="696"/>
      <c r="AD318" s="696"/>
      <c r="AE318" s="696"/>
    </row>
    <row r="319" spans="1:36">
      <c r="B319" s="652"/>
      <c r="C319" s="652"/>
      <c r="AB319" s="696"/>
      <c r="AC319" s="696"/>
      <c r="AD319" s="696"/>
      <c r="AE319" s="696"/>
    </row>
    <row r="320" spans="1:36">
      <c r="B320" s="652"/>
      <c r="C320" s="652"/>
      <c r="AB320" s="696"/>
      <c r="AC320" s="696"/>
      <c r="AD320" s="696"/>
      <c r="AE320" s="696"/>
    </row>
    <row r="321" spans="2:31">
      <c r="B321" s="652"/>
      <c r="C321" s="652"/>
      <c r="AB321" s="696"/>
      <c r="AC321" s="696"/>
      <c r="AD321" s="696"/>
      <c r="AE321" s="696"/>
    </row>
    <row r="322" spans="2:31">
      <c r="B322" s="652"/>
      <c r="C322" s="652"/>
      <c r="AB322" s="696"/>
      <c r="AC322" s="696"/>
      <c r="AD322" s="696"/>
      <c r="AE322" s="696"/>
    </row>
    <row r="323" spans="2:31">
      <c r="B323" s="652"/>
      <c r="C323" s="652"/>
      <c r="AB323" s="696"/>
      <c r="AC323" s="696"/>
      <c r="AD323" s="696"/>
      <c r="AE323" s="696"/>
    </row>
    <row r="324" spans="2:31">
      <c r="B324" s="652"/>
      <c r="C324" s="652"/>
      <c r="AB324" s="696"/>
      <c r="AC324" s="696"/>
      <c r="AD324" s="696"/>
      <c r="AE324" s="696"/>
    </row>
    <row r="325" spans="2:31">
      <c r="B325" s="652"/>
      <c r="C325" s="652"/>
      <c r="AB325" s="696"/>
      <c r="AC325" s="696"/>
      <c r="AD325" s="696"/>
      <c r="AE325" s="696"/>
    </row>
    <row r="326" spans="2:31">
      <c r="B326" s="652"/>
      <c r="C326" s="652"/>
      <c r="AB326" s="696"/>
      <c r="AC326" s="696"/>
      <c r="AD326" s="696"/>
      <c r="AE326" s="696"/>
    </row>
    <row r="327" spans="2:31">
      <c r="B327" s="652"/>
      <c r="C327" s="652"/>
      <c r="AB327" s="696"/>
      <c r="AC327" s="696"/>
      <c r="AD327" s="696"/>
      <c r="AE327" s="696"/>
    </row>
    <row r="328" spans="2:31">
      <c r="B328" s="652"/>
      <c r="C328" s="652"/>
      <c r="AB328" s="696"/>
      <c r="AC328" s="696"/>
      <c r="AD328" s="696"/>
      <c r="AE328" s="696"/>
    </row>
  </sheetData>
  <mergeCells count="38">
    <mergeCell ref="A2:D2"/>
    <mergeCell ref="E2:K2"/>
    <mergeCell ref="M2:T2"/>
    <mergeCell ref="V2:AC2"/>
    <mergeCell ref="AE2:AJ2"/>
    <mergeCell ref="A210:AJ210"/>
    <mergeCell ref="A211:D211"/>
    <mergeCell ref="E211:K211"/>
    <mergeCell ref="M211:T211"/>
    <mergeCell ref="V211:AC211"/>
    <mergeCell ref="AE211:AJ211"/>
    <mergeCell ref="A291:C291"/>
    <mergeCell ref="AF296:AG296"/>
    <mergeCell ref="AF297:AG297"/>
    <mergeCell ref="E298:K298"/>
    <mergeCell ref="M298:T298"/>
    <mergeCell ref="V298:AC298"/>
    <mergeCell ref="E299:K299"/>
    <mergeCell ref="M299:T299"/>
    <mergeCell ref="V299:AC299"/>
    <mergeCell ref="X302:AB302"/>
    <mergeCell ref="AC302:AE302"/>
    <mergeCell ref="X303:AB303"/>
    <mergeCell ref="AC303:AE303"/>
    <mergeCell ref="X304:AB304"/>
    <mergeCell ref="AC304:AE304"/>
    <mergeCell ref="X305:AB305"/>
    <mergeCell ref="AC305:AE305"/>
    <mergeCell ref="X309:AB309"/>
    <mergeCell ref="AC309:AE309"/>
    <mergeCell ref="X310:AB310"/>
    <mergeCell ref="AC310:AE310"/>
    <mergeCell ref="X306:AB306"/>
    <mergeCell ref="AC306:AE306"/>
    <mergeCell ref="X307:AB307"/>
    <mergeCell ref="AC307:AE307"/>
    <mergeCell ref="X308:AB308"/>
    <mergeCell ref="AC308:AE308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8"/>
  <sheetViews>
    <sheetView topLeftCell="A167" workbookViewId="0">
      <selection activeCell="A177" sqref="A177:AC180"/>
    </sheetView>
  </sheetViews>
  <sheetFormatPr defaultColWidth="9" defaultRowHeight="15"/>
  <cols>
    <col min="1" max="1" width="57.5703125" customWidth="1"/>
    <col min="2" max="2" width="18.140625" style="276" customWidth="1"/>
    <col min="3" max="3" width="14.140625" style="276" customWidth="1"/>
    <col min="4" max="4" width="20.140625" customWidth="1"/>
    <col min="5" max="11" width="11.5703125" customWidth="1"/>
    <col min="12" max="12" width="1.7109375" customWidth="1"/>
    <col min="13" max="13" width="13.7109375" customWidth="1"/>
    <col min="14" max="15" width="12.7109375" customWidth="1"/>
    <col min="16" max="16" width="11.5703125" customWidth="1"/>
    <col min="17" max="17" width="13.7109375" customWidth="1"/>
    <col min="18" max="18" width="16.85546875" customWidth="1"/>
    <col min="19" max="19" width="11.5703125" customWidth="1"/>
    <col min="20" max="20" width="17.5703125" customWidth="1"/>
    <col min="21" max="21" width="1.5703125" customWidth="1"/>
    <col min="22" max="22" width="15.7109375" customWidth="1"/>
    <col min="23" max="23" width="15.42578125" customWidth="1"/>
    <col min="24" max="24" width="12.140625" customWidth="1"/>
    <col min="25" max="25" width="11.5703125" customWidth="1"/>
    <col min="26" max="26" width="14.85546875" customWidth="1"/>
    <col min="27" max="27" width="12.5703125" customWidth="1"/>
    <col min="28" max="29" width="11.5703125" customWidth="1"/>
    <col min="30" max="30" width="1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9" max="39" width="11" customWidth="1"/>
    <col min="40" max="256" width="10" customWidth="1"/>
  </cols>
  <sheetData>
    <row r="1" spans="1:39" ht="26.25">
      <c r="A1" s="285" t="s">
        <v>166</v>
      </c>
      <c r="B1" s="285"/>
      <c r="C1" s="285"/>
      <c r="D1" s="285"/>
      <c r="E1" s="285"/>
      <c r="F1" s="285"/>
      <c r="G1" s="285"/>
      <c r="H1" s="285"/>
      <c r="I1" s="285"/>
      <c r="J1" s="335">
        <v>1</v>
      </c>
      <c r="K1" s="335">
        <v>4</v>
      </c>
      <c r="L1" s="285"/>
      <c r="M1" s="285">
        <v>2026</v>
      </c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3.25">
      <c r="A2" s="3888" t="s">
        <v>4</v>
      </c>
      <c r="B2" s="3889"/>
      <c r="C2" s="3889"/>
      <c r="D2" s="3896"/>
      <c r="E2" s="3891" t="s">
        <v>187</v>
      </c>
      <c r="F2" s="3892"/>
      <c r="G2" s="3892"/>
      <c r="H2" s="3892"/>
      <c r="I2" s="3892"/>
      <c r="J2" s="3892"/>
      <c r="K2" s="3892"/>
      <c r="L2" s="336"/>
      <c r="M2" s="3893" t="s">
        <v>188</v>
      </c>
      <c r="N2" s="3894"/>
      <c r="O2" s="3894"/>
      <c r="P2" s="3894"/>
      <c r="Q2" s="3894"/>
      <c r="R2" s="3894"/>
      <c r="S2" s="3894"/>
      <c r="T2" s="3895"/>
      <c r="U2" s="364"/>
      <c r="V2" s="3893" t="s">
        <v>189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3.25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96</v>
      </c>
      <c r="F3" s="49"/>
      <c r="G3" s="49" t="s">
        <v>92</v>
      </c>
      <c r="H3" s="49"/>
      <c r="I3" s="49" t="s">
        <v>85</v>
      </c>
      <c r="J3" s="49" t="s">
        <v>532</v>
      </c>
      <c r="K3" s="49" t="s">
        <v>86</v>
      </c>
      <c r="L3" s="79"/>
      <c r="M3" s="80" t="s">
        <v>97</v>
      </c>
      <c r="N3" s="49" t="s">
        <v>170</v>
      </c>
      <c r="O3" s="49" t="s">
        <v>190</v>
      </c>
      <c r="P3" s="49" t="s">
        <v>206</v>
      </c>
      <c r="Q3" s="49" t="s">
        <v>53</v>
      </c>
      <c r="R3" s="49" t="s">
        <v>222</v>
      </c>
      <c r="S3" s="126" t="s">
        <v>94</v>
      </c>
      <c r="T3" s="171"/>
      <c r="U3" s="79"/>
      <c r="V3" s="80" t="s">
        <v>94</v>
      </c>
      <c r="W3" s="49" t="s">
        <v>53</v>
      </c>
      <c r="X3" s="49" t="s">
        <v>97</v>
      </c>
      <c r="Y3" s="103" t="s">
        <v>190</v>
      </c>
      <c r="Z3" s="104"/>
      <c r="AA3" s="716"/>
      <c r="AB3" s="121"/>
      <c r="AC3" s="171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0.25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/>
      <c r="G4" s="293"/>
      <c r="H4" s="293"/>
      <c r="I4" s="293"/>
      <c r="J4" s="337"/>
      <c r="K4" s="337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0</v>
      </c>
      <c r="AF4" s="374"/>
      <c r="AG4" s="373"/>
      <c r="AH4" s="387">
        <f>AF4+AE4</f>
        <v>0</v>
      </c>
      <c r="AI4" s="388"/>
      <c r="AJ4" s="389">
        <f>AH4+AI4</f>
        <v>0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7"/>
      <c r="I5" s="298"/>
      <c r="J5" s="298"/>
      <c r="K5" s="297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8" si="0">SUM(E5:AC5)</f>
        <v>0</v>
      </c>
      <c r="AF5" s="377"/>
      <c r="AG5" s="390"/>
      <c r="AH5" s="391">
        <f t="shared" ref="AH5:AH38" si="1"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/>
      <c r="E6" s="296"/>
      <c r="F6" s="297"/>
      <c r="G6" s="297"/>
      <c r="H6" s="297"/>
      <c r="I6" s="298"/>
      <c r="J6" s="298"/>
      <c r="K6" s="297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si="1"/>
        <v>0</v>
      </c>
      <c r="AI6" s="392"/>
      <c r="AJ6" s="393">
        <f>AH6+AI6</f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/>
      <c r="E7" s="296"/>
      <c r="F7" s="297"/>
      <c r="G7" s="297"/>
      <c r="H7" s="297"/>
      <c r="I7" s="298"/>
      <c r="J7" s="298"/>
      <c r="K7" s="297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ref="AJ7:AJ8" si="2">AH7+AI7</f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7"/>
      <c r="I8" s="298"/>
      <c r="J8" s="298"/>
      <c r="K8" s="297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7"/>
      <c r="I9" s="298"/>
      <c r="J9" s="298"/>
      <c r="K9" s="297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ref="AJ9:AJ14" si="3">AH9+AI9</f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7"/>
      <c r="I10" s="298"/>
      <c r="J10" s="298"/>
      <c r="K10" s="297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3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3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342"/>
      <c r="M15" s="711"/>
      <c r="N15" s="712"/>
      <c r="O15" s="712"/>
      <c r="P15" s="712"/>
      <c r="Q15" s="712"/>
      <c r="R15" s="712"/>
      <c r="S15" s="712"/>
      <c r="T15" s="715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ref="AJ15:AJ20" si="4">AH15+AI15</f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342"/>
      <c r="M16" s="711"/>
      <c r="N16" s="712"/>
      <c r="O16" s="712"/>
      <c r="P16" s="712"/>
      <c r="Q16" s="712"/>
      <c r="R16" s="712"/>
      <c r="S16" s="712"/>
      <c r="T16" s="715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4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342"/>
      <c r="M17" s="711"/>
      <c r="N17" s="712"/>
      <c r="O17" s="712"/>
      <c r="P17" s="712"/>
      <c r="Q17" s="712"/>
      <c r="R17" s="712"/>
      <c r="S17" s="712"/>
      <c r="T17" s="715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4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342"/>
      <c r="M18" s="711"/>
      <c r="N18" s="712"/>
      <c r="O18" s="712"/>
      <c r="P18" s="712"/>
      <c r="Q18" s="712"/>
      <c r="R18" s="712"/>
      <c r="S18" s="712"/>
      <c r="T18" s="715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4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342"/>
      <c r="M19" s="711"/>
      <c r="N19" s="712"/>
      <c r="O19" s="712"/>
      <c r="P19" s="712"/>
      <c r="Q19" s="712"/>
      <c r="R19" s="712"/>
      <c r="S19" s="712"/>
      <c r="T19" s="715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4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342"/>
      <c r="M20" s="711"/>
      <c r="N20" s="712"/>
      <c r="O20" s="712"/>
      <c r="P20" s="712"/>
      <c r="Q20" s="712"/>
      <c r="R20" s="712"/>
      <c r="S20" s="712"/>
      <c r="T20" s="715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4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342"/>
      <c r="M21" s="711"/>
      <c r="N21" s="712"/>
      <c r="O21" s="712"/>
      <c r="P21" s="712"/>
      <c r="Q21" s="712"/>
      <c r="R21" s="712"/>
      <c r="S21" s="712"/>
      <c r="T21" s="715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ref="AJ21:AJ22" si="5">AH21+AI21</f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342"/>
      <c r="M22" s="711"/>
      <c r="N22" s="712"/>
      <c r="O22" s="712"/>
      <c r="P22" s="712"/>
      <c r="Q22" s="712"/>
      <c r="R22" s="712"/>
      <c r="S22" s="712"/>
      <c r="T22" s="715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5"/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342"/>
      <c r="M23" s="711"/>
      <c r="N23" s="712"/>
      <c r="O23" s="712"/>
      <c r="P23" s="712"/>
      <c r="Q23" s="712"/>
      <c r="R23" s="712"/>
      <c r="S23" s="712"/>
      <c r="T23" s="715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ref="AJ23:AJ28" si="6">AH23+AI23</f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342"/>
      <c r="M24" s="711"/>
      <c r="N24" s="712"/>
      <c r="O24" s="712"/>
      <c r="P24" s="712"/>
      <c r="Q24" s="712"/>
      <c r="R24" s="712"/>
      <c r="S24" s="712"/>
      <c r="T24" s="715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6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342"/>
      <c r="M25" s="711"/>
      <c r="N25" s="712"/>
      <c r="O25" s="712"/>
      <c r="P25" s="712"/>
      <c r="Q25" s="712"/>
      <c r="R25" s="712"/>
      <c r="S25" s="712"/>
      <c r="T25" s="715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6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342"/>
      <c r="M26" s="711"/>
      <c r="N26" s="712"/>
      <c r="O26" s="712"/>
      <c r="P26" s="712"/>
      <c r="Q26" s="712"/>
      <c r="R26" s="712"/>
      <c r="S26" s="712"/>
      <c r="T26" s="715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6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342"/>
      <c r="M27" s="711"/>
      <c r="N27" s="712"/>
      <c r="O27" s="712"/>
      <c r="P27" s="712"/>
      <c r="Q27" s="712"/>
      <c r="R27" s="712"/>
      <c r="S27" s="712"/>
      <c r="T27" s="715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6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342"/>
      <c r="M28" s="711"/>
      <c r="N28" s="712"/>
      <c r="O28" s="712"/>
      <c r="P28" s="712"/>
      <c r="Q28" s="712"/>
      <c r="R28" s="712"/>
      <c r="S28" s="712"/>
      <c r="T28" s="715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6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342"/>
      <c r="M29" s="711"/>
      <c r="N29" s="712"/>
      <c r="O29" s="712"/>
      <c r="P29" s="712"/>
      <c r="Q29" s="712"/>
      <c r="R29" s="712"/>
      <c r="S29" s="712"/>
      <c r="T29" s="715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ref="AJ29:AJ31" si="7">AH29+AI29</f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342"/>
      <c r="M30" s="711"/>
      <c r="N30" s="712"/>
      <c r="O30" s="712"/>
      <c r="P30" s="712"/>
      <c r="Q30" s="712"/>
      <c r="R30" s="712"/>
      <c r="S30" s="712"/>
      <c r="T30" s="715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7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342"/>
      <c r="M31" s="711"/>
      <c r="N31" s="712"/>
      <c r="O31" s="712"/>
      <c r="P31" s="712"/>
      <c r="Q31" s="712"/>
      <c r="R31" s="712"/>
      <c r="S31" s="712"/>
      <c r="T31" s="715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7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342"/>
      <c r="M32" s="711"/>
      <c r="N32" s="712"/>
      <c r="O32" s="712"/>
      <c r="P32" s="712"/>
      <c r="Q32" s="712"/>
      <c r="R32" s="712"/>
      <c r="S32" s="712"/>
      <c r="T32" s="715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ref="AJ32:AJ34" si="8">AH32+AI32</f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342"/>
      <c r="M33" s="711"/>
      <c r="N33" s="712"/>
      <c r="O33" s="712"/>
      <c r="P33" s="712"/>
      <c r="Q33" s="712"/>
      <c r="R33" s="712"/>
      <c r="S33" s="712"/>
      <c r="T33" s="715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8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342"/>
      <c r="M34" s="711"/>
      <c r="N34" s="712"/>
      <c r="O34" s="712"/>
      <c r="P34" s="712"/>
      <c r="Q34" s="712"/>
      <c r="R34" s="712"/>
      <c r="S34" s="712"/>
      <c r="T34" s="715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8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342"/>
      <c r="M35" s="711"/>
      <c r="N35" s="712"/>
      <c r="O35" s="712"/>
      <c r="P35" s="712"/>
      <c r="Q35" s="712"/>
      <c r="R35" s="712"/>
      <c r="S35" s="712"/>
      <c r="T35" s="715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ref="AJ35:AJ36" si="9">AH35+AI35</f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342"/>
      <c r="M36" s="711"/>
      <c r="N36" s="712"/>
      <c r="O36" s="712"/>
      <c r="P36" s="712"/>
      <c r="Q36" s="712"/>
      <c r="R36" s="712"/>
      <c r="S36" s="712"/>
      <c r="T36" s="715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9"/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342"/>
      <c r="M37" s="711"/>
      <c r="N37" s="712"/>
      <c r="O37" s="712"/>
      <c r="P37" s="712"/>
      <c r="Q37" s="712"/>
      <c r="R37" s="712"/>
      <c r="S37" s="712"/>
      <c r="T37" s="715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3">
        <f t="shared" ref="AJ37:AJ38" si="10">AH37+AI37</f>
        <v>0</v>
      </c>
      <c r="AK37" s="394"/>
      <c r="AL37" s="54"/>
      <c r="AM37" s="394"/>
    </row>
    <row r="38" spans="1:39" s="283" customFormat="1" ht="20.25">
      <c r="A38" s="294" t="s">
        <v>110</v>
      </c>
      <c r="B38" s="299"/>
      <c r="C38" s="299"/>
      <c r="D38" s="301"/>
      <c r="E38" s="296"/>
      <c r="F38" s="297"/>
      <c r="G38" s="297"/>
      <c r="H38" s="297"/>
      <c r="I38" s="298"/>
      <c r="J38" s="298"/>
      <c r="K38" s="297"/>
      <c r="L38" s="342"/>
      <c r="M38" s="711"/>
      <c r="N38" s="712"/>
      <c r="O38" s="712"/>
      <c r="P38" s="712"/>
      <c r="Q38" s="712"/>
      <c r="R38" s="712"/>
      <c r="S38" s="712"/>
      <c r="T38" s="715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0"/>
        <v>0</v>
      </c>
      <c r="AF38" s="377"/>
      <c r="AG38" s="390"/>
      <c r="AH38" s="391">
        <f t="shared" si="1"/>
        <v>0</v>
      </c>
      <c r="AI38" s="392"/>
      <c r="AJ38" s="395">
        <f t="shared" si="10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8.75">
      <c r="A39" s="302" t="s">
        <v>175</v>
      </c>
      <c r="B39" s="303"/>
      <c r="C39" s="303"/>
      <c r="D39" s="304"/>
      <c r="E39" s="305">
        <f>SUM(E5:E38)</f>
        <v>0</v>
      </c>
      <c r="F39" s="305">
        <f t="shared" ref="F39:AD39" si="11">SUM(F5:F38)</f>
        <v>0</v>
      </c>
      <c r="G39" s="305">
        <f t="shared" si="11"/>
        <v>0</v>
      </c>
      <c r="H39" s="305">
        <f t="shared" si="11"/>
        <v>0</v>
      </c>
      <c r="I39" s="305">
        <f t="shared" si="11"/>
        <v>0</v>
      </c>
      <c r="J39" s="305">
        <f t="shared" si="11"/>
        <v>0</v>
      </c>
      <c r="K39" s="305">
        <f t="shared" si="11"/>
        <v>0</v>
      </c>
      <c r="L39" s="305">
        <f t="shared" si="11"/>
        <v>0</v>
      </c>
      <c r="M39" s="305">
        <f t="shared" si="11"/>
        <v>0</v>
      </c>
      <c r="N39" s="305">
        <f t="shared" si="11"/>
        <v>0</v>
      </c>
      <c r="O39" s="812">
        <f>SUM(O15:O38)</f>
        <v>0</v>
      </c>
      <c r="P39" s="812">
        <f>SUM(P15:P38)</f>
        <v>0</v>
      </c>
      <c r="Q39" s="812">
        <f>SUM(Q15:Q38)</f>
        <v>0</v>
      </c>
      <c r="R39" s="812">
        <f>SUM(R15:R38)</f>
        <v>0</v>
      </c>
      <c r="S39" s="305">
        <f>SUM(S5:S38)</f>
        <v>0</v>
      </c>
      <c r="T39" s="812">
        <f>SUM(T15:T38)</f>
        <v>0</v>
      </c>
      <c r="U39" s="305">
        <f t="shared" si="11"/>
        <v>0</v>
      </c>
      <c r="V39" s="305">
        <f t="shared" si="11"/>
        <v>0</v>
      </c>
      <c r="W39" s="305">
        <f t="shared" si="11"/>
        <v>0</v>
      </c>
      <c r="X39" s="305">
        <f t="shared" si="11"/>
        <v>0</v>
      </c>
      <c r="Y39" s="305">
        <f t="shared" si="11"/>
        <v>0</v>
      </c>
      <c r="Z39" s="305">
        <f t="shared" si="11"/>
        <v>0</v>
      </c>
      <c r="AA39" s="305">
        <f t="shared" si="11"/>
        <v>0</v>
      </c>
      <c r="AB39" s="305">
        <f t="shared" si="11"/>
        <v>0</v>
      </c>
      <c r="AC39" s="305">
        <f t="shared" si="11"/>
        <v>0</v>
      </c>
      <c r="AD39" s="305">
        <f t="shared" si="11"/>
        <v>0</v>
      </c>
      <c r="AE39" s="305">
        <f>SUM(AE15:AE38)</f>
        <v>0</v>
      </c>
      <c r="AF39" s="305">
        <f>SUM(AF5:AF38)</f>
        <v>0</v>
      </c>
      <c r="AG39" s="305">
        <f>SUM(AG5:AG38)</f>
        <v>0</v>
      </c>
      <c r="AH39" s="305">
        <f>SUM(AH15:AH38)</f>
        <v>0</v>
      </c>
      <c r="AI39" s="305">
        <f>SUM(AI15:AI38)</f>
        <v>0</v>
      </c>
      <c r="AJ39" s="305">
        <f>SUM(AJ15:AJ38)</f>
        <v>0</v>
      </c>
      <c r="AK39" s="399">
        <f>'BIG CHAIR'!CL36</f>
        <v>0</v>
      </c>
      <c r="AL39" s="400">
        <f>'Tea Table'!X29</f>
        <v>0</v>
      </c>
      <c r="AM39" s="718">
        <f>AH39+AK39+AL39</f>
        <v>0</v>
      </c>
    </row>
    <row r="40" spans="1:39" s="284" customFormat="1" ht="18.75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3.25">
      <c r="A41" s="286" t="s">
        <v>117</v>
      </c>
      <c r="B41" s="287" t="s">
        <v>68</v>
      </c>
      <c r="C41" s="287" t="s">
        <v>69</v>
      </c>
      <c r="D41" s="288" t="s">
        <v>70</v>
      </c>
      <c r="E41" s="80" t="s">
        <v>96</v>
      </c>
      <c r="F41" s="49"/>
      <c r="G41" s="49" t="s">
        <v>92</v>
      </c>
      <c r="H41" s="49"/>
      <c r="I41" s="49" t="s">
        <v>85</v>
      </c>
      <c r="J41" s="49"/>
      <c r="K41" s="49" t="s">
        <v>86</v>
      </c>
      <c r="L41" s="79"/>
      <c r="M41" s="80" t="s">
        <v>97</v>
      </c>
      <c r="N41" s="49" t="s">
        <v>170</v>
      </c>
      <c r="O41" s="49" t="s">
        <v>190</v>
      </c>
      <c r="P41" s="49" t="s">
        <v>206</v>
      </c>
      <c r="Q41" s="49" t="s">
        <v>53</v>
      </c>
      <c r="R41" s="49" t="s">
        <v>222</v>
      </c>
      <c r="S41" s="126" t="s">
        <v>94</v>
      </c>
      <c r="T41" s="171"/>
      <c r="U41" s="79"/>
      <c r="V41" s="80" t="s">
        <v>94</v>
      </c>
      <c r="W41" s="49" t="s">
        <v>53</v>
      </c>
      <c r="X41" s="49" t="s">
        <v>97</v>
      </c>
      <c r="Y41" s="103" t="s">
        <v>190</v>
      </c>
      <c r="Z41" s="104"/>
      <c r="AA41" s="716"/>
      <c r="AB41" s="121"/>
      <c r="AC41" s="171"/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0.25">
      <c r="A42" s="310" t="s">
        <v>176</v>
      </c>
      <c r="B42" s="311"/>
      <c r="C42" s="311"/>
      <c r="D42" s="312"/>
      <c r="E42" s="313"/>
      <c r="F42" s="314"/>
      <c r="G42" s="314"/>
      <c r="H42" s="314"/>
      <c r="I42" s="315"/>
      <c r="J42" s="315"/>
      <c r="K42" s="314"/>
      <c r="L42" s="349"/>
      <c r="M42" s="350"/>
      <c r="N42" s="315"/>
      <c r="O42" s="315"/>
      <c r="P42" s="315"/>
      <c r="Q42" s="315"/>
      <c r="R42" s="315"/>
      <c r="S42" s="315"/>
      <c r="T42" s="477"/>
      <c r="U42" s="349"/>
      <c r="V42" s="313"/>
      <c r="W42" s="315"/>
      <c r="X42" s="315"/>
      <c r="Y42" s="315"/>
      <c r="Z42" s="315"/>
      <c r="AA42" s="315"/>
      <c r="AB42" s="315"/>
      <c r="AC42" s="378"/>
      <c r="AD42" s="349"/>
      <c r="AE42" s="379">
        <f>SUM(E42:AC42)</f>
        <v>0</v>
      </c>
      <c r="AF42" s="379"/>
      <c r="AG42" s="404"/>
      <c r="AH42" s="405">
        <f t="shared" ref="AH42:AH63" si="12">AE42+AF42</f>
        <v>0</v>
      </c>
      <c r="AI42" s="406"/>
      <c r="AJ42" s="407">
        <f>AH42+AI42</f>
        <v>0</v>
      </c>
    </row>
    <row r="43" spans="1:39" s="234" customFormat="1" ht="20.25">
      <c r="A43" s="316" t="s">
        <v>120</v>
      </c>
      <c r="B43" s="317"/>
      <c r="C43" s="317"/>
      <c r="D43" s="318"/>
      <c r="E43" s="319"/>
      <c r="F43" s="320"/>
      <c r="G43" s="320"/>
      <c r="H43" s="320"/>
      <c r="I43" s="321"/>
      <c r="J43" s="321"/>
      <c r="K43" s="320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19"/>
      <c r="W43" s="321"/>
      <c r="X43" s="321"/>
      <c r="Y43" s="321"/>
      <c r="Z43" s="321"/>
      <c r="AA43" s="321"/>
      <c r="AB43" s="321"/>
      <c r="AC43" s="380"/>
      <c r="AD43" s="352"/>
      <c r="AE43" s="381">
        <f t="shared" ref="AE43:AE63" si="13">SUM(E43:AC43)</f>
        <v>0</v>
      </c>
      <c r="AF43" s="381"/>
      <c r="AG43" s="408"/>
      <c r="AH43" s="409">
        <f t="shared" si="12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822"/>
      <c r="C44" s="295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1"/>
      <c r="Y44" s="321"/>
      <c r="Z44" s="321"/>
      <c r="AA44" s="321"/>
      <c r="AB44" s="320"/>
      <c r="AC44" s="380"/>
      <c r="AD44" s="352"/>
      <c r="AE44" s="381">
        <f t="shared" si="13"/>
        <v>0</v>
      </c>
      <c r="AF44" s="381"/>
      <c r="AG44" s="408"/>
      <c r="AH44" s="409">
        <f t="shared" si="12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822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13"/>
        <v>0</v>
      </c>
      <c r="AF45" s="381"/>
      <c r="AG45" s="408"/>
      <c r="AH45" s="409">
        <f t="shared" si="12"/>
        <v>0</v>
      </c>
      <c r="AI45" s="410"/>
      <c r="AJ45" s="411">
        <f>AH45+AI45</f>
        <v>0</v>
      </c>
    </row>
    <row r="46" spans="1:39" s="234" customFormat="1" ht="20.25">
      <c r="A46" s="316" t="s">
        <v>120</v>
      </c>
      <c r="B46" s="822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582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13"/>
        <v>0</v>
      </c>
      <c r="AF46" s="381"/>
      <c r="AG46" s="408"/>
      <c r="AH46" s="409">
        <f t="shared" si="12"/>
        <v>0</v>
      </c>
      <c r="AI46" s="410"/>
      <c r="AJ46" s="411">
        <f t="shared" ref="AJ46:AJ48" si="14">AH46+AI46</f>
        <v>0</v>
      </c>
    </row>
    <row r="47" spans="1:39" s="234" customFormat="1" ht="20.25">
      <c r="A47" s="316" t="s">
        <v>120</v>
      </c>
      <c r="B47" s="822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13"/>
        <v>0</v>
      </c>
      <c r="AF47" s="381"/>
      <c r="AG47" s="408"/>
      <c r="AH47" s="409">
        <f t="shared" si="12"/>
        <v>0</v>
      </c>
      <c r="AI47" s="410"/>
      <c r="AJ47" s="411">
        <f t="shared" si="14"/>
        <v>0</v>
      </c>
    </row>
    <row r="48" spans="1:39" s="234" customFormat="1" ht="20.25">
      <c r="A48" s="316" t="s">
        <v>120</v>
      </c>
      <c r="B48" s="822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13"/>
        <v>0</v>
      </c>
      <c r="AF48" s="381"/>
      <c r="AG48" s="408"/>
      <c r="AH48" s="409">
        <f t="shared" si="12"/>
        <v>0</v>
      </c>
      <c r="AI48" s="410"/>
      <c r="AJ48" s="411">
        <f t="shared" si="14"/>
        <v>0</v>
      </c>
    </row>
    <row r="49" spans="1:39" s="234" customFormat="1" ht="20.25">
      <c r="A49" s="316" t="s">
        <v>120</v>
      </c>
      <c r="B49" s="822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13"/>
        <v>0</v>
      </c>
      <c r="AF49" s="381"/>
      <c r="AG49" s="408"/>
      <c r="AH49" s="409">
        <f t="shared" si="12"/>
        <v>0</v>
      </c>
      <c r="AI49" s="410"/>
      <c r="AJ49" s="411">
        <f t="shared" ref="AJ49:AJ63" si="15">AH49+AI49</f>
        <v>0</v>
      </c>
    </row>
    <row r="50" spans="1:39" s="234" customFormat="1" ht="20.25">
      <c r="A50" s="316" t="s">
        <v>120</v>
      </c>
      <c r="B50" s="822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13"/>
        <v>0</v>
      </c>
      <c r="AF50" s="381"/>
      <c r="AG50" s="408"/>
      <c r="AH50" s="409">
        <f t="shared" si="12"/>
        <v>0</v>
      </c>
      <c r="AI50" s="410"/>
      <c r="AJ50" s="411">
        <f t="shared" si="15"/>
        <v>0</v>
      </c>
    </row>
    <row r="51" spans="1:39" s="234" customFormat="1" ht="20.25">
      <c r="A51" s="316" t="s">
        <v>120</v>
      </c>
      <c r="B51" s="710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13"/>
        <v>0</v>
      </c>
      <c r="AF51" s="381"/>
      <c r="AG51" s="408"/>
      <c r="AH51" s="409">
        <f t="shared" si="12"/>
        <v>0</v>
      </c>
      <c r="AI51" s="410"/>
      <c r="AJ51" s="411">
        <f t="shared" si="15"/>
        <v>0</v>
      </c>
    </row>
    <row r="52" spans="1:39" s="234" customFormat="1" ht="20.25">
      <c r="A52" s="316" t="s">
        <v>120</v>
      </c>
      <c r="B52" s="822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13"/>
        <v>0</v>
      </c>
      <c r="AF52" s="381"/>
      <c r="AG52" s="408"/>
      <c r="AH52" s="409">
        <f t="shared" si="12"/>
        <v>0</v>
      </c>
      <c r="AI52" s="410"/>
      <c r="AJ52" s="411">
        <f t="shared" ref="AJ52:AJ54" si="16">AH52+AI52</f>
        <v>0</v>
      </c>
    </row>
    <row r="53" spans="1:39" s="234" customFormat="1" ht="20.25">
      <c r="A53" s="316" t="s">
        <v>120</v>
      </c>
      <c r="B53" s="710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320"/>
      <c r="AC53" s="380"/>
      <c r="AD53" s="352"/>
      <c r="AE53" s="381">
        <f t="shared" si="13"/>
        <v>0</v>
      </c>
      <c r="AF53" s="381"/>
      <c r="AG53" s="408"/>
      <c r="AH53" s="409">
        <f t="shared" si="12"/>
        <v>0</v>
      </c>
      <c r="AI53" s="410"/>
      <c r="AJ53" s="411">
        <f t="shared" si="16"/>
        <v>0</v>
      </c>
    </row>
    <row r="54" spans="1:39" s="234" customFormat="1" ht="20.25">
      <c r="A54" s="316" t="s">
        <v>120</v>
      </c>
      <c r="B54" s="710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319"/>
      <c r="W54" s="320"/>
      <c r="X54" s="320"/>
      <c r="Y54" s="321"/>
      <c r="Z54" s="321"/>
      <c r="AA54" s="321"/>
      <c r="AB54" s="320"/>
      <c r="AC54" s="380"/>
      <c r="AD54" s="352"/>
      <c r="AE54" s="381">
        <f t="shared" si="13"/>
        <v>0</v>
      </c>
      <c r="AF54" s="381"/>
      <c r="AG54" s="408"/>
      <c r="AH54" s="409">
        <f t="shared" si="12"/>
        <v>0</v>
      </c>
      <c r="AI54" s="410"/>
      <c r="AJ54" s="411">
        <f t="shared" si="16"/>
        <v>0</v>
      </c>
    </row>
    <row r="55" spans="1:39" s="234" customFormat="1" ht="20.25">
      <c r="A55" s="316" t="s">
        <v>120</v>
      </c>
      <c r="B55" s="710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13"/>
        <v>0</v>
      </c>
      <c r="AF55" s="381"/>
      <c r="AG55" s="408"/>
      <c r="AH55" s="409">
        <f t="shared" si="12"/>
        <v>0</v>
      </c>
      <c r="AI55" s="410"/>
      <c r="AJ55" s="411">
        <f t="shared" ref="AJ55" si="17">AH55+AI55</f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13"/>
        <v>0</v>
      </c>
      <c r="AF56" s="381"/>
      <c r="AG56" s="408"/>
      <c r="AH56" s="409">
        <f t="shared" si="12"/>
        <v>0</v>
      </c>
      <c r="AI56" s="410"/>
      <c r="AJ56" s="411">
        <f t="shared" si="15"/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13"/>
        <v>0</v>
      </c>
      <c r="AF57" s="381"/>
      <c r="AG57" s="408"/>
      <c r="AH57" s="409">
        <f t="shared" si="12"/>
        <v>0</v>
      </c>
      <c r="AI57" s="410"/>
      <c r="AJ57" s="411">
        <f t="shared" si="15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3"/>
        <v>0</v>
      </c>
      <c r="AF58" s="381"/>
      <c r="AG58" s="408"/>
      <c r="AH58" s="409">
        <f t="shared" si="12"/>
        <v>0</v>
      </c>
      <c r="AI58" s="410"/>
      <c r="AJ58" s="411">
        <f t="shared" si="15"/>
        <v>0</v>
      </c>
    </row>
    <row r="59" spans="1:39" s="234" customFormat="1" ht="20.25">
      <c r="A59" s="316" t="s">
        <v>120</v>
      </c>
      <c r="B59" s="823"/>
      <c r="C59" s="317"/>
      <c r="D59" s="318"/>
      <c r="E59" s="319"/>
      <c r="F59" s="320"/>
      <c r="G59" s="320"/>
      <c r="H59" s="320"/>
      <c r="I59" s="321"/>
      <c r="J59" s="825"/>
      <c r="K59" s="825"/>
      <c r="L59" s="352"/>
      <c r="M59" s="353"/>
      <c r="N59" s="320"/>
      <c r="O59" s="320"/>
      <c r="P59" s="321"/>
      <c r="Q59" s="321"/>
      <c r="R59" s="321"/>
      <c r="S59" s="320"/>
      <c r="T59" s="351"/>
      <c r="U59" s="352"/>
      <c r="V59" s="353"/>
      <c r="W59" s="321"/>
      <c r="X59" s="321"/>
      <c r="Y59" s="321"/>
      <c r="Z59" s="321"/>
      <c r="AA59" s="321"/>
      <c r="AB59" s="321"/>
      <c r="AC59" s="380"/>
      <c r="AD59" s="352"/>
      <c r="AE59" s="381">
        <f t="shared" si="13"/>
        <v>0</v>
      </c>
      <c r="AF59" s="381"/>
      <c r="AG59" s="408"/>
      <c r="AH59" s="409">
        <f t="shared" si="12"/>
        <v>0</v>
      </c>
      <c r="AI59" s="410"/>
      <c r="AJ59" s="411">
        <f t="shared" si="15"/>
        <v>0</v>
      </c>
    </row>
    <row r="60" spans="1:39" s="234" customFormat="1" ht="20.25">
      <c r="A60" s="316" t="s">
        <v>120</v>
      </c>
      <c r="B60" s="317"/>
      <c r="C60" s="317"/>
      <c r="D60" s="318"/>
      <c r="E60" s="319"/>
      <c r="F60" s="320"/>
      <c r="G60" s="320"/>
      <c r="H60" s="320"/>
      <c r="I60" s="321"/>
      <c r="J60" s="825"/>
      <c r="K60" s="825"/>
      <c r="L60" s="352"/>
      <c r="M60" s="353"/>
      <c r="N60" s="320"/>
      <c r="O60" s="320"/>
      <c r="P60" s="321"/>
      <c r="Q60" s="321"/>
      <c r="R60" s="321"/>
      <c r="S60" s="320"/>
      <c r="T60" s="351"/>
      <c r="U60" s="352"/>
      <c r="V60" s="353"/>
      <c r="W60" s="321"/>
      <c r="X60" s="321"/>
      <c r="Y60" s="321"/>
      <c r="Z60" s="321"/>
      <c r="AA60" s="321"/>
      <c r="AB60" s="321"/>
      <c r="AC60" s="380"/>
      <c r="AD60" s="352"/>
      <c r="AE60" s="381">
        <f t="shared" si="13"/>
        <v>0</v>
      </c>
      <c r="AF60" s="381"/>
      <c r="AG60" s="408"/>
      <c r="AH60" s="409">
        <f t="shared" si="12"/>
        <v>0</v>
      </c>
      <c r="AI60" s="410"/>
      <c r="AJ60" s="411">
        <f t="shared" si="15"/>
        <v>0</v>
      </c>
    </row>
    <row r="61" spans="1:39" s="234" customFormat="1" ht="20.25">
      <c r="A61" s="316" t="s">
        <v>120</v>
      </c>
      <c r="B61" s="824"/>
      <c r="C61" s="317"/>
      <c r="D61" s="318"/>
      <c r="E61" s="319"/>
      <c r="F61" s="320"/>
      <c r="G61" s="320"/>
      <c r="H61" s="320"/>
      <c r="I61" s="321"/>
      <c r="J61" s="825"/>
      <c r="K61" s="825"/>
      <c r="L61" s="352"/>
      <c r="M61" s="353"/>
      <c r="N61" s="320"/>
      <c r="O61" s="320"/>
      <c r="P61" s="321"/>
      <c r="Q61" s="321"/>
      <c r="R61" s="321"/>
      <c r="S61" s="320"/>
      <c r="T61" s="351"/>
      <c r="U61" s="352"/>
      <c r="V61" s="353"/>
      <c r="W61" s="321"/>
      <c r="X61" s="321"/>
      <c r="Y61" s="321"/>
      <c r="Z61" s="321"/>
      <c r="AA61" s="321"/>
      <c r="AB61" s="321"/>
      <c r="AC61" s="380"/>
      <c r="AD61" s="352"/>
      <c r="AE61" s="381">
        <f t="shared" si="13"/>
        <v>0</v>
      </c>
      <c r="AF61" s="381"/>
      <c r="AG61" s="408"/>
      <c r="AH61" s="409">
        <f t="shared" si="12"/>
        <v>0</v>
      </c>
      <c r="AI61" s="410"/>
      <c r="AJ61" s="411">
        <f t="shared" si="15"/>
        <v>0</v>
      </c>
    </row>
    <row r="62" spans="1:39" s="234" customFormat="1" ht="20.25">
      <c r="A62" s="316" t="s">
        <v>120</v>
      </c>
      <c r="B62" s="824"/>
      <c r="C62" s="317"/>
      <c r="D62" s="318"/>
      <c r="E62" s="319"/>
      <c r="F62" s="320"/>
      <c r="G62" s="320"/>
      <c r="H62" s="320"/>
      <c r="I62" s="321"/>
      <c r="J62" s="825"/>
      <c r="K62" s="825"/>
      <c r="L62" s="352"/>
      <c r="M62" s="353"/>
      <c r="N62" s="320"/>
      <c r="O62" s="320"/>
      <c r="P62" s="321"/>
      <c r="Q62" s="321"/>
      <c r="R62" s="321"/>
      <c r="S62" s="320"/>
      <c r="T62" s="351"/>
      <c r="U62" s="352"/>
      <c r="V62" s="353"/>
      <c r="W62" s="321"/>
      <c r="X62" s="321"/>
      <c r="Y62" s="321"/>
      <c r="Z62" s="321"/>
      <c r="AA62" s="321"/>
      <c r="AB62" s="321"/>
      <c r="AC62" s="380"/>
      <c r="AD62" s="352"/>
      <c r="AE62" s="381">
        <f t="shared" si="13"/>
        <v>0</v>
      </c>
      <c r="AF62" s="381"/>
      <c r="AG62" s="408"/>
      <c r="AH62" s="409">
        <f t="shared" si="12"/>
        <v>0</v>
      </c>
      <c r="AI62" s="410"/>
      <c r="AJ62" s="411">
        <f t="shared" si="15"/>
        <v>0</v>
      </c>
    </row>
    <row r="63" spans="1:39" s="283" customFormat="1" ht="20.25">
      <c r="A63" s="316" t="s">
        <v>120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325"/>
      <c r="W63" s="297"/>
      <c r="X63" s="297"/>
      <c r="Y63" s="298"/>
      <c r="Z63" s="298"/>
      <c r="AA63" s="298"/>
      <c r="AB63" s="297"/>
      <c r="AC63" s="375"/>
      <c r="AD63" s="355"/>
      <c r="AE63" s="376">
        <f t="shared" si="13"/>
        <v>0</v>
      </c>
      <c r="AF63" s="377"/>
      <c r="AG63" s="390"/>
      <c r="AH63" s="391">
        <f t="shared" si="12"/>
        <v>0</v>
      </c>
      <c r="AI63" s="412"/>
      <c r="AJ63" s="413">
        <f t="shared" si="15"/>
        <v>0</v>
      </c>
      <c r="AK63" s="414" t="s">
        <v>8</v>
      </c>
      <c r="AL63" s="397" t="s">
        <v>23</v>
      </c>
      <c r="AM63" s="415" t="s">
        <v>174</v>
      </c>
    </row>
    <row r="64" spans="1:39" s="284" customFormat="1" ht="18.75">
      <c r="A64" s="326" t="s">
        <v>177</v>
      </c>
      <c r="B64" s="327"/>
      <c r="C64" s="327"/>
      <c r="D64" s="328"/>
      <c r="E64" s="329">
        <f t="shared" ref="E64:K64" si="18">SUM(E42:E63)</f>
        <v>0</v>
      </c>
      <c r="F64" s="330">
        <f t="shared" si="18"/>
        <v>0</v>
      </c>
      <c r="G64" s="330">
        <f t="shared" si="18"/>
        <v>0</v>
      </c>
      <c r="H64" s="330">
        <f t="shared" si="18"/>
        <v>0</v>
      </c>
      <c r="I64" s="330">
        <f t="shared" si="18"/>
        <v>0</v>
      </c>
      <c r="J64" s="330">
        <f t="shared" si="18"/>
        <v>0</v>
      </c>
      <c r="K64" s="330">
        <f t="shared" si="18"/>
        <v>0</v>
      </c>
      <c r="L64" s="357"/>
      <c r="M64" s="358">
        <f t="shared" ref="M64:T64" si="19">SUM(M42:M63)</f>
        <v>0</v>
      </c>
      <c r="N64" s="359">
        <f t="shared" si="19"/>
        <v>0</v>
      </c>
      <c r="O64" s="359">
        <f t="shared" si="19"/>
        <v>0</v>
      </c>
      <c r="P64" s="359">
        <f t="shared" si="19"/>
        <v>0</v>
      </c>
      <c r="Q64" s="359">
        <f t="shared" si="19"/>
        <v>0</v>
      </c>
      <c r="R64" s="359">
        <f t="shared" si="19"/>
        <v>0</v>
      </c>
      <c r="S64" s="359">
        <f t="shared" si="19"/>
        <v>0</v>
      </c>
      <c r="T64" s="369">
        <f t="shared" si="19"/>
        <v>0</v>
      </c>
      <c r="U64" s="357"/>
      <c r="V64" s="358">
        <f t="shared" ref="V64:AC64" si="20">SUM(V42:V63)</f>
        <v>0</v>
      </c>
      <c r="W64" s="359">
        <f t="shared" si="20"/>
        <v>0</v>
      </c>
      <c r="X64" s="359">
        <f t="shared" si="20"/>
        <v>0</v>
      </c>
      <c r="Y64" s="359">
        <f t="shared" si="20"/>
        <v>0</v>
      </c>
      <c r="Z64" s="359">
        <f t="shared" si="20"/>
        <v>0</v>
      </c>
      <c r="AA64" s="359">
        <f t="shared" si="20"/>
        <v>0</v>
      </c>
      <c r="AB64" s="359">
        <f t="shared" si="20"/>
        <v>0</v>
      </c>
      <c r="AC64" s="369">
        <f t="shared" si="20"/>
        <v>0</v>
      </c>
      <c r="AD64" s="357"/>
      <c r="AE64" s="382">
        <f>SUM(AE42:AE63)</f>
        <v>0</v>
      </c>
      <c r="AF64" s="382">
        <f>SUM(AF42:AF63)</f>
        <v>0</v>
      </c>
      <c r="AG64" s="416">
        <f>SUM(AG42:AG63)</f>
        <v>0</v>
      </c>
      <c r="AH64" s="417">
        <f>SUM(AH42:AH63)</f>
        <v>0</v>
      </c>
      <c r="AI64" s="382">
        <f>SUM(AI42:AI63)</f>
        <v>0</v>
      </c>
      <c r="AJ64" s="418">
        <f t="shared" ref="AJ64" si="21">SUM(AJ42:AJ63)</f>
        <v>0</v>
      </c>
      <c r="AK64" s="399">
        <f>'BIG CHAIR'!CL77</f>
        <v>14560</v>
      </c>
      <c r="AL64" s="400">
        <f>'Tea Table'!X85</f>
        <v>0</v>
      </c>
      <c r="AM64" s="401">
        <f>AH64+AK64+AL64</f>
        <v>14560</v>
      </c>
    </row>
    <row r="65" spans="1:39" s="284" customFormat="1" ht="18.75">
      <c r="A65" s="306"/>
      <c r="B65" s="307"/>
      <c r="C65" s="307"/>
      <c r="D65" s="308"/>
      <c r="E65" s="309"/>
      <c r="F65" s="309"/>
      <c r="G65" s="309"/>
      <c r="H65" s="309"/>
      <c r="I65" s="309"/>
      <c r="J65" s="309"/>
      <c r="K65" s="309"/>
      <c r="L65" s="346"/>
      <c r="M65" s="347"/>
      <c r="N65" s="347"/>
      <c r="O65" s="347"/>
      <c r="P65" s="347"/>
      <c r="Q65" s="347"/>
      <c r="R65" s="347"/>
      <c r="S65" s="347"/>
      <c r="T65" s="347"/>
      <c r="U65" s="346"/>
      <c r="V65" s="347"/>
      <c r="W65" s="347"/>
      <c r="X65" s="347"/>
      <c r="Y65" s="347"/>
      <c r="Z65" s="347"/>
      <c r="AA65" s="347"/>
      <c r="AB65" s="347"/>
      <c r="AC65" s="347"/>
      <c r="AD65" s="346"/>
      <c r="AE65" s="347"/>
      <c r="AF65" s="347"/>
      <c r="AG65" s="347"/>
      <c r="AH65" s="347"/>
      <c r="AI65" s="347"/>
      <c r="AJ65" s="402"/>
      <c r="AK65" s="403"/>
      <c r="AL65" s="403"/>
      <c r="AM65" s="403"/>
    </row>
    <row r="66" spans="1:39" s="282" customFormat="1" ht="23.25">
      <c r="A66" s="286" t="s">
        <v>122</v>
      </c>
      <c r="B66" s="287" t="s">
        <v>68</v>
      </c>
      <c r="C66" s="287" t="s">
        <v>69</v>
      </c>
      <c r="D66" s="288" t="s">
        <v>70</v>
      </c>
      <c r="E66" s="80" t="s">
        <v>96</v>
      </c>
      <c r="F66" s="49"/>
      <c r="G66" s="49" t="s">
        <v>92</v>
      </c>
      <c r="H66" s="49"/>
      <c r="I66" s="49" t="s">
        <v>85</v>
      </c>
      <c r="J66" s="49"/>
      <c r="K66" s="49" t="s">
        <v>86</v>
      </c>
      <c r="L66" s="79"/>
      <c r="M66" s="80" t="s">
        <v>97</v>
      </c>
      <c r="N66" s="49" t="s">
        <v>170</v>
      </c>
      <c r="O66" s="49" t="s">
        <v>190</v>
      </c>
      <c r="P66" s="49" t="s">
        <v>206</v>
      </c>
      <c r="Q66" s="49" t="s">
        <v>53</v>
      </c>
      <c r="R66" s="49" t="s">
        <v>222</v>
      </c>
      <c r="S66" s="126" t="s">
        <v>94</v>
      </c>
      <c r="T66" s="171"/>
      <c r="U66" s="79"/>
      <c r="V66" s="80" t="s">
        <v>94</v>
      </c>
      <c r="W66" s="49" t="s">
        <v>53</v>
      </c>
      <c r="X66" s="49" t="s">
        <v>97</v>
      </c>
      <c r="Y66" s="103" t="s">
        <v>190</v>
      </c>
      <c r="Z66" s="104"/>
      <c r="AA66" s="716"/>
      <c r="AB66" s="121"/>
      <c r="AC66" s="171"/>
      <c r="AD66" s="370"/>
      <c r="AE66" s="371" t="s">
        <v>172</v>
      </c>
      <c r="AF66" s="372" t="s">
        <v>80</v>
      </c>
      <c r="AG66" s="385"/>
      <c r="AH66" s="386" t="s">
        <v>106</v>
      </c>
      <c r="AI66" s="385" t="s">
        <v>173</v>
      </c>
      <c r="AJ66" s="371" t="s">
        <v>108</v>
      </c>
    </row>
    <row r="67" spans="1:39" s="234" customFormat="1" ht="20.25">
      <c r="A67" s="310" t="s">
        <v>125</v>
      </c>
      <c r="B67" s="826"/>
      <c r="C67" s="311"/>
      <c r="D67" s="312"/>
      <c r="E67" s="313"/>
      <c r="F67" s="314"/>
      <c r="G67" s="314"/>
      <c r="H67" s="314"/>
      <c r="I67" s="315"/>
      <c r="J67" s="315"/>
      <c r="K67" s="314"/>
      <c r="L67" s="349"/>
      <c r="M67" s="350"/>
      <c r="N67" s="315"/>
      <c r="O67" s="315"/>
      <c r="P67" s="315"/>
      <c r="Q67" s="315"/>
      <c r="R67" s="315"/>
      <c r="S67" s="315"/>
      <c r="T67" s="477"/>
      <c r="U67" s="349"/>
      <c r="V67" s="350"/>
      <c r="W67" s="315"/>
      <c r="X67" s="315"/>
      <c r="Y67" s="315"/>
      <c r="Z67" s="315"/>
      <c r="AA67" s="315"/>
      <c r="AB67" s="315"/>
      <c r="AC67" s="378"/>
      <c r="AD67" s="349"/>
      <c r="AE67" s="379">
        <f t="shared" ref="AE67:AE84" si="22">SUM(E67:AC67)</f>
        <v>0</v>
      </c>
      <c r="AF67" s="379"/>
      <c r="AG67" s="404"/>
      <c r="AH67" s="405">
        <f t="shared" ref="AH67:AH84" si="23">AE67+AF67</f>
        <v>0</v>
      </c>
      <c r="AI67" s="406"/>
      <c r="AJ67" s="407">
        <f>AH67+AI67</f>
        <v>0</v>
      </c>
    </row>
    <row r="68" spans="1:39" s="234" customFormat="1" ht="20.25">
      <c r="A68" s="316" t="s">
        <v>125</v>
      </c>
      <c r="B68" s="824"/>
      <c r="C68" s="317"/>
      <c r="D68" s="318"/>
      <c r="E68" s="319"/>
      <c r="F68" s="320"/>
      <c r="G68" s="320"/>
      <c r="H68" s="320"/>
      <c r="I68" s="321"/>
      <c r="L68" s="352"/>
      <c r="M68" s="353"/>
      <c r="N68" s="320"/>
      <c r="O68" s="320"/>
      <c r="P68" s="321"/>
      <c r="Q68" s="321"/>
      <c r="R68" s="321"/>
      <c r="S68" s="320"/>
      <c r="T68" s="351"/>
      <c r="U68" s="352"/>
      <c r="V68" s="353"/>
      <c r="W68" s="321"/>
      <c r="X68" s="321"/>
      <c r="Y68" s="321"/>
      <c r="Z68" s="321"/>
      <c r="AA68" s="321"/>
      <c r="AB68" s="321"/>
      <c r="AC68" s="380"/>
      <c r="AD68" s="352"/>
      <c r="AE68" s="381">
        <f t="shared" si="22"/>
        <v>0</v>
      </c>
      <c r="AF68" s="381"/>
      <c r="AG68" s="408"/>
      <c r="AH68" s="409">
        <f t="shared" si="23"/>
        <v>0</v>
      </c>
      <c r="AI68" s="410"/>
      <c r="AJ68" s="411">
        <f>AH68+AI68</f>
        <v>0</v>
      </c>
    </row>
    <row r="69" spans="1:39" s="234" customFormat="1" ht="20.25">
      <c r="A69" s="316" t="s">
        <v>125</v>
      </c>
      <c r="B69" s="822"/>
      <c r="C69" s="295"/>
      <c r="D69" s="318"/>
      <c r="E69" s="319"/>
      <c r="F69" s="320"/>
      <c r="G69" s="320"/>
      <c r="H69" s="320"/>
      <c r="I69" s="321"/>
      <c r="J69" s="321"/>
      <c r="K69" s="320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/>
      <c r="Z69" s="321"/>
      <c r="AA69" s="321"/>
      <c r="AB69" s="320"/>
      <c r="AC69" s="380"/>
      <c r="AD69" s="352"/>
      <c r="AE69" s="381">
        <f t="shared" si="22"/>
        <v>0</v>
      </c>
      <c r="AF69" s="381"/>
      <c r="AG69" s="408"/>
      <c r="AH69" s="409">
        <f t="shared" si="23"/>
        <v>0</v>
      </c>
      <c r="AI69" s="410"/>
      <c r="AJ69" s="411">
        <f>AH69+AI69</f>
        <v>0</v>
      </c>
    </row>
    <row r="70" spans="1:39" s="234" customFormat="1" ht="20.25">
      <c r="A70" s="316" t="s">
        <v>125</v>
      </c>
      <c r="B70" s="710"/>
      <c r="C70" s="295"/>
      <c r="D70" s="318"/>
      <c r="E70" s="319"/>
      <c r="F70" s="320"/>
      <c r="G70" s="320"/>
      <c r="H70" s="320"/>
      <c r="I70" s="321"/>
      <c r="J70" s="321"/>
      <c r="K70" s="320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22"/>
        <v>0</v>
      </c>
      <c r="AF70" s="381"/>
      <c r="AG70" s="408"/>
      <c r="AH70" s="409">
        <f t="shared" si="23"/>
        <v>0</v>
      </c>
      <c r="AI70" s="410"/>
      <c r="AJ70" s="411">
        <f>AH70+AI70</f>
        <v>0</v>
      </c>
    </row>
    <row r="71" spans="1:39" s="234" customFormat="1" ht="20.25">
      <c r="A71" s="316" t="s">
        <v>125</v>
      </c>
      <c r="B71" s="710"/>
      <c r="C71" s="295"/>
      <c r="D71" s="318"/>
      <c r="E71" s="319"/>
      <c r="F71" s="320"/>
      <c r="G71" s="320"/>
      <c r="H71" s="320"/>
      <c r="I71" s="321"/>
      <c r="J71" s="321"/>
      <c r="K71" s="320"/>
      <c r="L71" s="352"/>
      <c r="M71" s="353"/>
      <c r="N71" s="321"/>
      <c r="O71" s="321"/>
      <c r="P71" s="321"/>
      <c r="Q71" s="321"/>
      <c r="R71" s="321"/>
      <c r="S71" s="321"/>
      <c r="T71" s="351"/>
      <c r="U71" s="352"/>
      <c r="V71" s="319"/>
      <c r="W71" s="320"/>
      <c r="X71" s="320"/>
      <c r="Y71" s="321"/>
      <c r="Z71" s="321"/>
      <c r="AA71" s="321"/>
      <c r="AB71" s="320"/>
      <c r="AC71" s="380"/>
      <c r="AD71" s="352"/>
      <c r="AE71" s="381">
        <f t="shared" si="22"/>
        <v>0</v>
      </c>
      <c r="AF71" s="381"/>
      <c r="AG71" s="408"/>
      <c r="AH71" s="409">
        <f t="shared" si="23"/>
        <v>0</v>
      </c>
      <c r="AI71" s="410"/>
      <c r="AJ71" s="411">
        <f t="shared" ref="AJ71:AJ73" si="24">AH71+AI71</f>
        <v>0</v>
      </c>
    </row>
    <row r="72" spans="1:39" s="234" customFormat="1" ht="20.25">
      <c r="A72" s="316" t="s">
        <v>125</v>
      </c>
      <c r="B72" s="710"/>
      <c r="C72" s="295"/>
      <c r="D72" s="318"/>
      <c r="E72" s="319"/>
      <c r="F72" s="320"/>
      <c r="G72" s="320"/>
      <c r="H72" s="321"/>
      <c r="J72" s="321"/>
      <c r="K72" s="320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22"/>
        <v>0</v>
      </c>
      <c r="AF72" s="381"/>
      <c r="AG72" s="408"/>
      <c r="AH72" s="409">
        <f t="shared" si="23"/>
        <v>0</v>
      </c>
      <c r="AI72" s="410"/>
      <c r="AJ72" s="411">
        <f t="shared" si="24"/>
        <v>0</v>
      </c>
    </row>
    <row r="73" spans="1:39" s="234" customFormat="1" ht="20.25">
      <c r="A73" s="316" t="s">
        <v>125</v>
      </c>
      <c r="B73" s="710"/>
      <c r="C73" s="295"/>
      <c r="D73" s="318"/>
      <c r="E73" s="319"/>
      <c r="F73" s="320"/>
      <c r="G73" s="320"/>
      <c r="H73" s="320"/>
      <c r="I73" s="321"/>
      <c r="J73" s="321"/>
      <c r="K73" s="320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22"/>
        <v>0</v>
      </c>
      <c r="AF73" s="381"/>
      <c r="AG73" s="408"/>
      <c r="AH73" s="409">
        <f t="shared" si="23"/>
        <v>0</v>
      </c>
      <c r="AI73" s="410"/>
      <c r="AJ73" s="411">
        <f t="shared" si="24"/>
        <v>0</v>
      </c>
    </row>
    <row r="74" spans="1:39" s="234" customFormat="1" ht="20.25">
      <c r="A74" s="316" t="s">
        <v>125</v>
      </c>
      <c r="B74" s="822"/>
      <c r="C74" s="295"/>
      <c r="D74" s="318"/>
      <c r="E74" s="319"/>
      <c r="F74" s="320"/>
      <c r="G74" s="320"/>
      <c r="H74" s="320"/>
      <c r="I74" s="321"/>
      <c r="J74" s="321"/>
      <c r="K74" s="741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si="22"/>
        <v>0</v>
      </c>
      <c r="AF74" s="381"/>
      <c r="AG74" s="408"/>
      <c r="AH74" s="409">
        <f t="shared" si="23"/>
        <v>0</v>
      </c>
      <c r="AI74" s="410"/>
      <c r="AJ74" s="411">
        <f t="shared" ref="AJ74:AJ84" si="25">AH74+AI74</f>
        <v>0</v>
      </c>
    </row>
    <row r="75" spans="1:39" s="234" customFormat="1" ht="20.25">
      <c r="A75" s="316" t="s">
        <v>125</v>
      </c>
      <c r="B75" s="822"/>
      <c r="C75" s="295"/>
      <c r="D75" s="318"/>
      <c r="E75" s="319"/>
      <c r="F75" s="320"/>
      <c r="G75" s="320"/>
      <c r="H75" s="320"/>
      <c r="I75" s="321"/>
      <c r="J75" s="321"/>
      <c r="K75" s="741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22"/>
        <v>0</v>
      </c>
      <c r="AF75" s="381"/>
      <c r="AG75" s="408"/>
      <c r="AH75" s="409">
        <f t="shared" si="23"/>
        <v>0</v>
      </c>
      <c r="AI75" s="410"/>
      <c r="AJ75" s="411">
        <f t="shared" si="25"/>
        <v>0</v>
      </c>
    </row>
    <row r="76" spans="1:39" s="234" customFormat="1" ht="20.25">
      <c r="A76" s="316" t="s">
        <v>125</v>
      </c>
      <c r="B76" s="822"/>
      <c r="C76" s="295"/>
      <c r="D76" s="318"/>
      <c r="E76" s="319"/>
      <c r="F76" s="320"/>
      <c r="G76" s="320"/>
      <c r="H76" s="320"/>
      <c r="I76" s="321"/>
      <c r="J76" s="321"/>
      <c r="K76" s="320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2"/>
        <v>0</v>
      </c>
      <c r="AF76" s="381"/>
      <c r="AG76" s="408"/>
      <c r="AH76" s="409">
        <f t="shared" si="23"/>
        <v>0</v>
      </c>
      <c r="AI76" s="410"/>
      <c r="AJ76" s="411">
        <f t="shared" si="25"/>
        <v>0</v>
      </c>
    </row>
    <row r="77" spans="1:39" s="234" customFormat="1" ht="20.25">
      <c r="A77" s="316" t="s">
        <v>125</v>
      </c>
      <c r="B77" s="822"/>
      <c r="C77" s="295"/>
      <c r="D77" s="318"/>
      <c r="E77" s="319"/>
      <c r="F77" s="320"/>
      <c r="G77" s="320"/>
      <c r="H77" s="320"/>
      <c r="I77" s="321"/>
      <c r="J77" s="321"/>
      <c r="K77" s="320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2"/>
        <v>0</v>
      </c>
      <c r="AF77" s="381"/>
      <c r="AG77" s="408"/>
      <c r="AH77" s="409">
        <f t="shared" si="23"/>
        <v>0</v>
      </c>
      <c r="AI77" s="410"/>
      <c r="AJ77" s="411">
        <f t="shared" si="25"/>
        <v>0</v>
      </c>
    </row>
    <row r="78" spans="1:39" s="234" customFormat="1" ht="20.25">
      <c r="A78" s="316" t="s">
        <v>125</v>
      </c>
      <c r="B78" s="822"/>
      <c r="C78" s="295"/>
      <c r="D78" s="318"/>
      <c r="E78" s="319"/>
      <c r="F78" s="320"/>
      <c r="G78" s="320"/>
      <c r="H78" s="320"/>
      <c r="I78" s="321"/>
      <c r="J78" s="321"/>
      <c r="K78" s="320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" si="26">SUM(E78:AC78)</f>
        <v>0</v>
      </c>
      <c r="AF78" s="381"/>
      <c r="AG78" s="408"/>
      <c r="AH78" s="409">
        <f t="shared" si="23"/>
        <v>0</v>
      </c>
      <c r="AI78" s="410"/>
      <c r="AJ78" s="411">
        <f t="shared" si="25"/>
        <v>0</v>
      </c>
    </row>
    <row r="79" spans="1:39" s="234" customFormat="1" ht="20.25">
      <c r="A79" s="316" t="s">
        <v>125</v>
      </c>
      <c r="B79" s="822"/>
      <c r="C79" s="295"/>
      <c r="D79" s="318"/>
      <c r="E79" s="319"/>
      <c r="F79" s="320"/>
      <c r="G79" s="320"/>
      <c r="H79" s="320"/>
      <c r="I79" s="321"/>
      <c r="J79" s="321"/>
      <c r="K79" s="320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2"/>
        <v>0</v>
      </c>
      <c r="AF79" s="381"/>
      <c r="AG79" s="408"/>
      <c r="AH79" s="409">
        <f t="shared" si="23"/>
        <v>0</v>
      </c>
      <c r="AI79" s="410"/>
      <c r="AJ79" s="411">
        <f t="shared" si="25"/>
        <v>0</v>
      </c>
    </row>
    <row r="80" spans="1:39" s="283" customFormat="1" ht="20.25">
      <c r="A80" s="316" t="s">
        <v>125</v>
      </c>
      <c r="B80" s="827"/>
      <c r="C80" s="323"/>
      <c r="D80" s="324"/>
      <c r="E80" s="325"/>
      <c r="F80" s="297"/>
      <c r="G80" s="297"/>
      <c r="H80" s="297"/>
      <c r="I80" s="298"/>
      <c r="J80" s="298"/>
      <c r="K80" s="297"/>
      <c r="L80" s="355"/>
      <c r="M80" s="343"/>
      <c r="N80" s="298"/>
      <c r="O80" s="298"/>
      <c r="P80" s="298"/>
      <c r="Q80" s="298"/>
      <c r="R80" s="298"/>
      <c r="S80" s="298"/>
      <c r="T80" s="367"/>
      <c r="U80" s="355"/>
      <c r="V80" s="325"/>
      <c r="W80" s="297"/>
      <c r="X80" s="297"/>
      <c r="Y80" s="298"/>
      <c r="Z80" s="298"/>
      <c r="AA80" s="298"/>
      <c r="AB80" s="297"/>
      <c r="AC80" s="375"/>
      <c r="AD80" s="355"/>
      <c r="AE80" s="376">
        <f t="shared" ref="AE80:AE83" si="27">SUM(E80:AC80)</f>
        <v>0</v>
      </c>
      <c r="AF80" s="377"/>
      <c r="AG80" s="390"/>
      <c r="AH80" s="391">
        <f t="shared" si="23"/>
        <v>0</v>
      </c>
      <c r="AI80" s="412"/>
      <c r="AJ80" s="413">
        <f t="shared" si="25"/>
        <v>0</v>
      </c>
      <c r="AK80" s="414" t="s">
        <v>8</v>
      </c>
      <c r="AL80" s="397" t="s">
        <v>23</v>
      </c>
      <c r="AM80" s="415" t="s">
        <v>174</v>
      </c>
    </row>
    <row r="81" spans="1:39" s="283" customFormat="1" ht="20.25">
      <c r="A81" s="316" t="s">
        <v>125</v>
      </c>
      <c r="B81" s="827"/>
      <c r="C81" s="323"/>
      <c r="D81" s="324"/>
      <c r="E81" s="325"/>
      <c r="F81" s="297"/>
      <c r="G81" s="297"/>
      <c r="H81" s="297"/>
      <c r="I81" s="298"/>
      <c r="J81" s="298"/>
      <c r="K81" s="297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27"/>
        <v>0</v>
      </c>
      <c r="AF81" s="377"/>
      <c r="AG81" s="390"/>
      <c r="AH81" s="391">
        <f t="shared" si="23"/>
        <v>0</v>
      </c>
      <c r="AI81" s="412"/>
      <c r="AJ81" s="413">
        <f t="shared" si="25"/>
        <v>0</v>
      </c>
      <c r="AK81" s="414" t="s">
        <v>8</v>
      </c>
      <c r="AL81" s="397" t="s">
        <v>23</v>
      </c>
      <c r="AM81" s="415" t="s">
        <v>174</v>
      </c>
    </row>
    <row r="82" spans="1:39" s="283" customFormat="1" ht="20.25">
      <c r="A82" s="316" t="s">
        <v>125</v>
      </c>
      <c r="B82" s="827"/>
      <c r="C82" s="323"/>
      <c r="D82" s="324"/>
      <c r="E82" s="325"/>
      <c r="F82" s="297"/>
      <c r="G82" s="297"/>
      <c r="H82" s="297"/>
      <c r="I82" s="298"/>
      <c r="J82" s="298"/>
      <c r="K82" s="297"/>
      <c r="L82" s="355"/>
      <c r="M82" s="343"/>
      <c r="N82" s="298"/>
      <c r="O82" s="298"/>
      <c r="P82" s="298"/>
      <c r="Q82" s="298"/>
      <c r="R82" s="298"/>
      <c r="S82" s="298"/>
      <c r="T82" s="367"/>
      <c r="U82" s="355"/>
      <c r="V82" s="325"/>
      <c r="W82" s="297"/>
      <c r="X82" s="297"/>
      <c r="Y82" s="298"/>
      <c r="Z82" s="298"/>
      <c r="AA82" s="298"/>
      <c r="AB82" s="297"/>
      <c r="AC82" s="375"/>
      <c r="AD82" s="355"/>
      <c r="AE82" s="376">
        <f t="shared" si="27"/>
        <v>0</v>
      </c>
      <c r="AF82" s="377"/>
      <c r="AG82" s="390"/>
      <c r="AH82" s="391">
        <f t="shared" si="23"/>
        <v>0</v>
      </c>
      <c r="AI82" s="412"/>
      <c r="AJ82" s="413">
        <f t="shared" si="25"/>
        <v>0</v>
      </c>
      <c r="AK82" s="414" t="s">
        <v>8</v>
      </c>
      <c r="AL82" s="397" t="s">
        <v>23</v>
      </c>
      <c r="AM82" s="415" t="s">
        <v>174</v>
      </c>
    </row>
    <row r="83" spans="1:39" s="283" customFormat="1" ht="20.25">
      <c r="A83" s="316" t="s">
        <v>125</v>
      </c>
      <c r="B83" s="827"/>
      <c r="C83" s="323"/>
      <c r="D83" s="324"/>
      <c r="E83" s="325"/>
      <c r="F83" s="297"/>
      <c r="G83" s="297"/>
      <c r="H83" s="297"/>
      <c r="I83" s="298"/>
      <c r="J83" s="298"/>
      <c r="K83" s="297"/>
      <c r="L83" s="355"/>
      <c r="M83" s="343"/>
      <c r="N83" s="298"/>
      <c r="O83" s="298"/>
      <c r="P83" s="298"/>
      <c r="Q83" s="298"/>
      <c r="R83" s="298"/>
      <c r="S83" s="298"/>
      <c r="T83" s="367"/>
      <c r="U83" s="355"/>
      <c r="V83" s="325"/>
      <c r="W83" s="297"/>
      <c r="X83" s="297"/>
      <c r="Y83" s="298"/>
      <c r="Z83" s="298"/>
      <c r="AA83" s="298"/>
      <c r="AB83" s="297"/>
      <c r="AC83" s="375"/>
      <c r="AD83" s="355"/>
      <c r="AE83" s="376">
        <f t="shared" si="27"/>
        <v>0</v>
      </c>
      <c r="AF83" s="377"/>
      <c r="AG83" s="390"/>
      <c r="AH83" s="391">
        <f t="shared" si="23"/>
        <v>0</v>
      </c>
      <c r="AI83" s="412"/>
      <c r="AJ83" s="413">
        <f t="shared" si="25"/>
        <v>0</v>
      </c>
      <c r="AK83" s="414" t="s">
        <v>8</v>
      </c>
      <c r="AL83" s="397" t="s">
        <v>23</v>
      </c>
      <c r="AM83" s="415" t="s">
        <v>174</v>
      </c>
    </row>
    <row r="84" spans="1:39" s="283" customFormat="1" ht="20.25">
      <c r="A84" s="316" t="s">
        <v>125</v>
      </c>
      <c r="B84" s="827"/>
      <c r="C84" s="323"/>
      <c r="D84" s="324"/>
      <c r="E84" s="325"/>
      <c r="F84" s="297"/>
      <c r="G84" s="297"/>
      <c r="H84" s="297"/>
      <c r="I84" s="298"/>
      <c r="J84" s="298"/>
      <c r="K84" s="297"/>
      <c r="L84" s="355"/>
      <c r="M84" s="343"/>
      <c r="N84" s="298"/>
      <c r="O84" s="298"/>
      <c r="P84" s="298"/>
      <c r="Q84" s="298"/>
      <c r="R84" s="298"/>
      <c r="S84" s="298"/>
      <c r="T84" s="367"/>
      <c r="U84" s="355"/>
      <c r="V84" s="325"/>
      <c r="W84" s="297"/>
      <c r="X84" s="297"/>
      <c r="Y84" s="298"/>
      <c r="Z84" s="298"/>
      <c r="AA84" s="298"/>
      <c r="AB84" s="297"/>
      <c r="AC84" s="375"/>
      <c r="AD84" s="355"/>
      <c r="AE84" s="376">
        <f t="shared" si="22"/>
        <v>0</v>
      </c>
      <c r="AF84" s="377"/>
      <c r="AG84" s="390"/>
      <c r="AH84" s="391">
        <f t="shared" si="23"/>
        <v>0</v>
      </c>
      <c r="AI84" s="412"/>
      <c r="AJ84" s="413">
        <f t="shared" si="25"/>
        <v>0</v>
      </c>
      <c r="AK84" s="414" t="s">
        <v>8</v>
      </c>
      <c r="AL84" s="397" t="s">
        <v>23</v>
      </c>
      <c r="AM84" s="415" t="s">
        <v>174</v>
      </c>
    </row>
    <row r="85" spans="1:39" s="284" customFormat="1" ht="18.75">
      <c r="A85" s="326" t="s">
        <v>126</v>
      </c>
      <c r="B85" s="327"/>
      <c r="C85" s="327"/>
      <c r="D85" s="328"/>
      <c r="E85" s="329">
        <f t="shared" ref="E85:K85" si="28">SUM(E67:E84)</f>
        <v>0</v>
      </c>
      <c r="F85" s="330">
        <f t="shared" si="28"/>
        <v>0</v>
      </c>
      <c r="G85" s="330">
        <f t="shared" si="28"/>
        <v>0</v>
      </c>
      <c r="H85" s="330">
        <f t="shared" si="28"/>
        <v>0</v>
      </c>
      <c r="I85" s="330">
        <f t="shared" si="28"/>
        <v>0</v>
      </c>
      <c r="J85" s="330">
        <f t="shared" si="28"/>
        <v>0</v>
      </c>
      <c r="K85" s="330">
        <f t="shared" si="28"/>
        <v>0</v>
      </c>
      <c r="L85" s="357"/>
      <c r="M85" s="358">
        <f t="shared" ref="M85:T85" si="29">SUM(M67:M84)</f>
        <v>0</v>
      </c>
      <c r="N85" s="359">
        <f t="shared" si="29"/>
        <v>0</v>
      </c>
      <c r="O85" s="359">
        <f t="shared" si="29"/>
        <v>0</v>
      </c>
      <c r="P85" s="359">
        <f t="shared" si="29"/>
        <v>0</v>
      </c>
      <c r="Q85" s="359">
        <f t="shared" si="29"/>
        <v>0</v>
      </c>
      <c r="R85" s="359">
        <f t="shared" si="29"/>
        <v>0</v>
      </c>
      <c r="S85" s="359">
        <f t="shared" si="29"/>
        <v>0</v>
      </c>
      <c r="T85" s="1217">
        <f t="shared" si="29"/>
        <v>0</v>
      </c>
      <c r="U85" s="357"/>
      <c r="V85" s="358">
        <f t="shared" ref="V85:AC85" si="30">SUM(V67:V84)</f>
        <v>0</v>
      </c>
      <c r="W85" s="359">
        <f t="shared" si="30"/>
        <v>0</v>
      </c>
      <c r="X85" s="359">
        <f t="shared" si="30"/>
        <v>0</v>
      </c>
      <c r="Y85" s="359">
        <f t="shared" si="30"/>
        <v>0</v>
      </c>
      <c r="Z85" s="359">
        <f t="shared" si="30"/>
        <v>0</v>
      </c>
      <c r="AA85" s="359">
        <f t="shared" si="30"/>
        <v>0</v>
      </c>
      <c r="AB85" s="359">
        <f t="shared" si="30"/>
        <v>0</v>
      </c>
      <c r="AC85" s="369">
        <f t="shared" si="30"/>
        <v>0</v>
      </c>
      <c r="AD85" s="357"/>
      <c r="AE85" s="382">
        <f t="shared" ref="AE85:AJ85" si="31">SUM(AE67:AE84)</f>
        <v>0</v>
      </c>
      <c r="AF85" s="382">
        <f t="shared" si="31"/>
        <v>0</v>
      </c>
      <c r="AG85" s="416">
        <f t="shared" si="31"/>
        <v>0</v>
      </c>
      <c r="AH85" s="417">
        <f t="shared" si="31"/>
        <v>0</v>
      </c>
      <c r="AI85" s="382">
        <f t="shared" si="31"/>
        <v>0</v>
      </c>
      <c r="AJ85" s="418">
        <f t="shared" si="31"/>
        <v>0</v>
      </c>
      <c r="AK85" s="399">
        <f>'BIG CHAIR'!CL91</f>
        <v>0</v>
      </c>
      <c r="AL85" s="400">
        <f>'Tea Table'!X181</f>
        <v>0</v>
      </c>
      <c r="AM85" s="401">
        <f>AH85+AK85+AL85</f>
        <v>0</v>
      </c>
    </row>
    <row r="86" spans="1:39" ht="23.25">
      <c r="A86" s="721" t="s">
        <v>127</v>
      </c>
      <c r="B86" s="722" t="s">
        <v>68</v>
      </c>
      <c r="C86" s="287" t="s">
        <v>69</v>
      </c>
      <c r="D86" s="288" t="s">
        <v>70</v>
      </c>
      <c r="E86" s="80" t="s">
        <v>96</v>
      </c>
      <c r="F86" s="49"/>
      <c r="G86" s="49" t="s">
        <v>92</v>
      </c>
      <c r="H86" s="49"/>
      <c r="I86" s="49" t="s">
        <v>85</v>
      </c>
      <c r="J86" s="49"/>
      <c r="K86" s="49" t="s">
        <v>86</v>
      </c>
      <c r="L86" s="79"/>
      <c r="M86" s="80" t="s">
        <v>97</v>
      </c>
      <c r="N86" s="49" t="s">
        <v>170</v>
      </c>
      <c r="O86" s="49" t="s">
        <v>190</v>
      </c>
      <c r="P86" s="49" t="s">
        <v>206</v>
      </c>
      <c r="Q86" s="49" t="s">
        <v>53</v>
      </c>
      <c r="R86" s="49" t="s">
        <v>222</v>
      </c>
      <c r="S86" s="126" t="s">
        <v>94</v>
      </c>
      <c r="T86" s="171"/>
      <c r="U86" s="79"/>
      <c r="V86" s="80" t="s">
        <v>94</v>
      </c>
      <c r="W86" s="49" t="s">
        <v>53</v>
      </c>
      <c r="X86" s="49" t="s">
        <v>97</v>
      </c>
      <c r="Y86" s="103" t="s">
        <v>190</v>
      </c>
      <c r="Z86" s="104"/>
      <c r="AA86" s="716"/>
      <c r="AB86" s="121"/>
      <c r="AC86" s="171"/>
      <c r="AD86" s="370"/>
      <c r="AE86" s="371" t="s">
        <v>172</v>
      </c>
      <c r="AF86" s="372" t="s">
        <v>80</v>
      </c>
      <c r="AG86" s="385"/>
      <c r="AH86" s="386" t="s">
        <v>106</v>
      </c>
      <c r="AI86" s="385" t="s">
        <v>173</v>
      </c>
      <c r="AJ86" s="371" t="s">
        <v>108</v>
      </c>
      <c r="AK86" s="282"/>
      <c r="AL86" s="282"/>
      <c r="AM86" s="282"/>
    </row>
    <row r="87" spans="1:39" ht="20.25">
      <c r="A87" s="792" t="s">
        <v>128</v>
      </c>
      <c r="B87" s="826"/>
      <c r="C87" s="311"/>
      <c r="D87" s="312"/>
      <c r="E87" s="313"/>
      <c r="F87" s="314"/>
      <c r="G87" s="314"/>
      <c r="H87" s="314"/>
      <c r="I87" s="315"/>
      <c r="J87" s="315"/>
      <c r="K87" s="314"/>
      <c r="L87" s="349"/>
      <c r="M87" s="350"/>
      <c r="N87" s="315"/>
      <c r="O87" s="315"/>
      <c r="P87" s="315"/>
      <c r="Q87" s="315"/>
      <c r="R87" s="315"/>
      <c r="S87" s="315"/>
      <c r="T87" s="477"/>
      <c r="U87" s="349"/>
      <c r="V87" s="350"/>
      <c r="W87" s="315"/>
      <c r="X87" s="315"/>
      <c r="Y87" s="315"/>
      <c r="Z87" s="315"/>
      <c r="AA87" s="315"/>
      <c r="AB87" s="315"/>
      <c r="AC87" s="378"/>
      <c r="AD87" s="349"/>
      <c r="AE87" s="379">
        <f t="shared" ref="AE87:AE102" si="32">SUM(E87:AC87)</f>
        <v>0</v>
      </c>
      <c r="AF87" s="379"/>
      <c r="AG87" s="404"/>
      <c r="AH87" s="405">
        <f t="shared" ref="AH87:AH104" si="33">AE87+AF87</f>
        <v>0</v>
      </c>
      <c r="AI87" s="406"/>
      <c r="AJ87" s="407">
        <f>AH87+AI87</f>
        <v>0</v>
      </c>
      <c r="AK87" s="234"/>
      <c r="AL87" s="234"/>
      <c r="AM87" s="234"/>
    </row>
    <row r="88" spans="1:39" ht="20.25">
      <c r="A88" s="424" t="s">
        <v>128</v>
      </c>
      <c r="B88" s="824"/>
      <c r="C88" s="317"/>
      <c r="D88" s="318"/>
      <c r="E88" s="319"/>
      <c r="F88" s="320"/>
      <c r="G88" s="320"/>
      <c r="H88" s="320"/>
      <c r="I88" s="321"/>
      <c r="J88" s="234"/>
      <c r="K88" s="234"/>
      <c r="L88" s="352"/>
      <c r="M88" s="353"/>
      <c r="N88" s="320"/>
      <c r="O88" s="320"/>
      <c r="P88" s="321"/>
      <c r="Q88" s="321"/>
      <c r="R88" s="321"/>
      <c r="S88" s="320"/>
      <c r="T88" s="351"/>
      <c r="U88" s="352"/>
      <c r="V88" s="353"/>
      <c r="W88" s="321"/>
      <c r="X88" s="321"/>
      <c r="Y88" s="321"/>
      <c r="Z88" s="321"/>
      <c r="AA88" s="321"/>
      <c r="AB88" s="321"/>
      <c r="AC88" s="380"/>
      <c r="AD88" s="352"/>
      <c r="AE88" s="381">
        <f t="shared" si="32"/>
        <v>0</v>
      </c>
      <c r="AF88" s="381"/>
      <c r="AG88" s="408"/>
      <c r="AH88" s="409">
        <f t="shared" si="33"/>
        <v>0</v>
      </c>
      <c r="AI88" s="410"/>
      <c r="AJ88" s="411">
        <f>AH88+AI88</f>
        <v>0</v>
      </c>
      <c r="AK88" s="234"/>
      <c r="AL88" s="234"/>
      <c r="AM88" s="234"/>
    </row>
    <row r="89" spans="1:39" ht="20.25">
      <c r="A89" s="424" t="s">
        <v>128</v>
      </c>
      <c r="B89" s="822"/>
      <c r="C89" s="295"/>
      <c r="D89" s="318"/>
      <c r="E89" s="319"/>
      <c r="F89" s="320"/>
      <c r="G89" s="320"/>
      <c r="H89" s="320"/>
      <c r="I89" s="321"/>
      <c r="J89" s="321"/>
      <c r="K89" s="320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32"/>
        <v>0</v>
      </c>
      <c r="AF89" s="381"/>
      <c r="AG89" s="408"/>
      <c r="AH89" s="409">
        <f t="shared" si="33"/>
        <v>0</v>
      </c>
      <c r="AI89" s="410"/>
      <c r="AJ89" s="411">
        <f>AH89+AI89</f>
        <v>0</v>
      </c>
      <c r="AK89" s="234"/>
      <c r="AL89" s="234"/>
      <c r="AM89" s="234"/>
    </row>
    <row r="90" spans="1:39" ht="20.25">
      <c r="A90" s="424" t="s">
        <v>128</v>
      </c>
      <c r="B90" s="710"/>
      <c r="C90" s="295"/>
      <c r="D90" s="318"/>
      <c r="E90" s="319"/>
      <c r="F90" s="320"/>
      <c r="G90" s="320"/>
      <c r="H90" s="320"/>
      <c r="I90" s="321"/>
      <c r="J90" s="321"/>
      <c r="K90" s="320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32"/>
        <v>0</v>
      </c>
      <c r="AF90" s="381"/>
      <c r="AG90" s="408"/>
      <c r="AH90" s="409">
        <f t="shared" si="33"/>
        <v>0</v>
      </c>
      <c r="AI90" s="410"/>
      <c r="AJ90" s="411">
        <f>AH90+AI90</f>
        <v>0</v>
      </c>
      <c r="AK90" s="234"/>
      <c r="AL90" s="234"/>
      <c r="AM90" s="234"/>
    </row>
    <row r="91" spans="1:39" ht="20.25">
      <c r="A91" s="424" t="s">
        <v>128</v>
      </c>
      <c r="B91" s="710"/>
      <c r="C91" s="295"/>
      <c r="D91" s="318"/>
      <c r="E91" s="319"/>
      <c r="F91" s="320"/>
      <c r="G91" s="320"/>
      <c r="H91" s="320"/>
      <c r="I91" s="321"/>
      <c r="J91" s="321"/>
      <c r="K91" s="320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32"/>
        <v>0</v>
      </c>
      <c r="AF91" s="381"/>
      <c r="AG91" s="408"/>
      <c r="AH91" s="409">
        <f t="shared" si="33"/>
        <v>0</v>
      </c>
      <c r="AI91" s="410"/>
      <c r="AJ91" s="411">
        <f t="shared" ref="AJ91:AJ93" si="34">AH91+AI91</f>
        <v>0</v>
      </c>
      <c r="AK91" s="234"/>
      <c r="AL91" s="234"/>
      <c r="AM91" s="234"/>
    </row>
    <row r="92" spans="1:39" ht="20.25">
      <c r="A92" s="424" t="s">
        <v>128</v>
      </c>
      <c r="B92" s="710"/>
      <c r="C92" s="295"/>
      <c r="D92" s="318"/>
      <c r="E92" s="319"/>
      <c r="F92" s="320"/>
      <c r="G92" s="320"/>
      <c r="H92" s="321"/>
      <c r="I92" s="234"/>
      <c r="J92" s="321"/>
      <c r="K92" s="320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32"/>
        <v>0</v>
      </c>
      <c r="AF92" s="381"/>
      <c r="AG92" s="408"/>
      <c r="AH92" s="409">
        <f t="shared" si="33"/>
        <v>0</v>
      </c>
      <c r="AI92" s="410"/>
      <c r="AJ92" s="411">
        <f t="shared" si="34"/>
        <v>0</v>
      </c>
      <c r="AK92" s="234"/>
      <c r="AL92" s="234"/>
      <c r="AM92" s="234"/>
    </row>
    <row r="93" spans="1:39" ht="20.25">
      <c r="A93" s="424" t="s">
        <v>128</v>
      </c>
      <c r="B93" s="710"/>
      <c r="C93" s="295"/>
      <c r="D93" s="318"/>
      <c r="E93" s="319"/>
      <c r="F93" s="320"/>
      <c r="G93" s="320"/>
      <c r="H93" s="320"/>
      <c r="I93" s="321"/>
      <c r="J93" s="321"/>
      <c r="K93" s="320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32"/>
        <v>0</v>
      </c>
      <c r="AF93" s="381"/>
      <c r="AG93" s="408"/>
      <c r="AH93" s="409">
        <f t="shared" si="33"/>
        <v>0</v>
      </c>
      <c r="AI93" s="410"/>
      <c r="AJ93" s="411">
        <f t="shared" si="34"/>
        <v>0</v>
      </c>
      <c r="AK93" s="234"/>
      <c r="AL93" s="234"/>
      <c r="AM93" s="234"/>
    </row>
    <row r="94" spans="1:39" ht="20.25">
      <c r="A94" s="424" t="s">
        <v>128</v>
      </c>
      <c r="B94" s="822"/>
      <c r="C94" s="295"/>
      <c r="D94" s="318"/>
      <c r="E94" s="319"/>
      <c r="F94" s="320"/>
      <c r="G94" s="320"/>
      <c r="H94" s="320"/>
      <c r="I94" s="321"/>
      <c r="J94" s="321"/>
      <c r="K94" s="741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32"/>
        <v>0</v>
      </c>
      <c r="AF94" s="381"/>
      <c r="AG94" s="408"/>
      <c r="AH94" s="409">
        <f t="shared" si="33"/>
        <v>0</v>
      </c>
      <c r="AI94" s="410"/>
      <c r="AJ94" s="411">
        <f t="shared" ref="AJ94:AJ104" si="35">AH94+AI94</f>
        <v>0</v>
      </c>
      <c r="AK94" s="234"/>
      <c r="AL94" s="234"/>
      <c r="AM94" s="234"/>
    </row>
    <row r="95" spans="1:39" ht="20.25">
      <c r="A95" s="424" t="s">
        <v>128</v>
      </c>
      <c r="B95" s="822"/>
      <c r="C95" s="295"/>
      <c r="D95" s="318"/>
      <c r="E95" s="319"/>
      <c r="F95" s="320"/>
      <c r="G95" s="320"/>
      <c r="H95" s="320"/>
      <c r="I95" s="321"/>
      <c r="J95" s="321"/>
      <c r="K95" s="741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32"/>
        <v>0</v>
      </c>
      <c r="AF95" s="381"/>
      <c r="AG95" s="408"/>
      <c r="AH95" s="409">
        <f t="shared" si="33"/>
        <v>0</v>
      </c>
      <c r="AI95" s="410"/>
      <c r="AJ95" s="411">
        <f t="shared" si="35"/>
        <v>0</v>
      </c>
      <c r="AK95" s="234"/>
      <c r="AL95" s="234"/>
      <c r="AM95" s="234"/>
    </row>
    <row r="96" spans="1:39" ht="20.25">
      <c r="A96" s="424" t="s">
        <v>128</v>
      </c>
      <c r="B96" s="822"/>
      <c r="C96" s="295"/>
      <c r="D96" s="318"/>
      <c r="E96" s="319"/>
      <c r="F96" s="320"/>
      <c r="G96" s="320"/>
      <c r="H96" s="320"/>
      <c r="I96" s="321"/>
      <c r="J96" s="321"/>
      <c r="K96" s="320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32"/>
        <v>0</v>
      </c>
      <c r="AF96" s="381"/>
      <c r="AG96" s="408"/>
      <c r="AH96" s="409">
        <f t="shared" si="33"/>
        <v>0</v>
      </c>
      <c r="AI96" s="410"/>
      <c r="AJ96" s="411">
        <f t="shared" si="35"/>
        <v>0</v>
      </c>
      <c r="AK96" s="234"/>
      <c r="AL96" s="234"/>
      <c r="AM96" s="234"/>
    </row>
    <row r="97" spans="1:39" ht="20.25">
      <c r="A97" s="424" t="s">
        <v>128</v>
      </c>
      <c r="B97" s="822"/>
      <c r="C97" s="295"/>
      <c r="D97" s="318"/>
      <c r="E97" s="319"/>
      <c r="F97" s="320"/>
      <c r="G97" s="320"/>
      <c r="H97" s="320"/>
      <c r="I97" s="321"/>
      <c r="J97" s="321"/>
      <c r="K97" s="320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32"/>
        <v>0</v>
      </c>
      <c r="AF97" s="381"/>
      <c r="AG97" s="408"/>
      <c r="AH97" s="409">
        <f t="shared" si="33"/>
        <v>0</v>
      </c>
      <c r="AI97" s="410"/>
      <c r="AJ97" s="411">
        <f t="shared" si="35"/>
        <v>0</v>
      </c>
      <c r="AK97" s="234"/>
      <c r="AL97" s="234"/>
      <c r="AM97" s="234"/>
    </row>
    <row r="98" spans="1:39" ht="20.25">
      <c r="A98" s="424" t="s">
        <v>128</v>
      </c>
      <c r="B98" s="822"/>
      <c r="C98" s="295"/>
      <c r="D98" s="318"/>
      <c r="E98" s="319"/>
      <c r="F98" s="320"/>
      <c r="G98" s="320"/>
      <c r="H98" s="320"/>
      <c r="I98" s="321"/>
      <c r="J98" s="321"/>
      <c r="K98" s="320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32"/>
        <v>0</v>
      </c>
      <c r="AF98" s="381"/>
      <c r="AG98" s="408"/>
      <c r="AH98" s="409">
        <f t="shared" si="33"/>
        <v>0</v>
      </c>
      <c r="AI98" s="410"/>
      <c r="AJ98" s="411">
        <f t="shared" si="35"/>
        <v>0</v>
      </c>
      <c r="AK98" s="234"/>
      <c r="AL98" s="234"/>
      <c r="AM98" s="234"/>
    </row>
    <row r="99" spans="1:39" ht="20.25">
      <c r="A99" s="424" t="s">
        <v>128</v>
      </c>
      <c r="B99" s="822"/>
      <c r="C99" s="295"/>
      <c r="D99" s="318"/>
      <c r="E99" s="319"/>
      <c r="F99" s="320"/>
      <c r="G99" s="320"/>
      <c r="H99" s="320"/>
      <c r="I99" s="321"/>
      <c r="J99" s="321"/>
      <c r="K99" s="320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32"/>
        <v>0</v>
      </c>
      <c r="AF99" s="381"/>
      <c r="AG99" s="408"/>
      <c r="AH99" s="409">
        <f t="shared" si="33"/>
        <v>0</v>
      </c>
      <c r="AI99" s="410"/>
      <c r="AJ99" s="411">
        <f t="shared" si="35"/>
        <v>0</v>
      </c>
      <c r="AK99" s="234"/>
      <c r="AL99" s="234"/>
      <c r="AM99" s="234"/>
    </row>
    <row r="100" spans="1:39" ht="20.25">
      <c r="A100" s="424" t="s">
        <v>128</v>
      </c>
      <c r="B100" s="827"/>
      <c r="C100" s="323"/>
      <c r="D100" s="324"/>
      <c r="E100" s="325"/>
      <c r="F100" s="297"/>
      <c r="G100" s="297"/>
      <c r="H100" s="297"/>
      <c r="I100" s="298"/>
      <c r="J100" s="298"/>
      <c r="K100" s="297"/>
      <c r="L100" s="355"/>
      <c r="M100" s="343"/>
      <c r="N100" s="298"/>
      <c r="O100" s="298"/>
      <c r="P100" s="298"/>
      <c r="Q100" s="298"/>
      <c r="R100" s="298"/>
      <c r="S100" s="298"/>
      <c r="T100" s="367"/>
      <c r="U100" s="355"/>
      <c r="V100" s="325"/>
      <c r="W100" s="297"/>
      <c r="X100" s="297"/>
      <c r="Y100" s="298"/>
      <c r="Z100" s="298"/>
      <c r="AA100" s="298"/>
      <c r="AB100" s="297"/>
      <c r="AC100" s="375"/>
      <c r="AD100" s="355"/>
      <c r="AE100" s="376">
        <f t="shared" si="32"/>
        <v>0</v>
      </c>
      <c r="AF100" s="377"/>
      <c r="AG100" s="390"/>
      <c r="AH100" s="391">
        <f t="shared" si="33"/>
        <v>0</v>
      </c>
      <c r="AI100" s="412"/>
      <c r="AJ100" s="413">
        <f t="shared" si="35"/>
        <v>0</v>
      </c>
      <c r="AK100" s="414" t="s">
        <v>8</v>
      </c>
      <c r="AL100" s="397" t="s">
        <v>23</v>
      </c>
      <c r="AM100" s="415" t="s">
        <v>174</v>
      </c>
    </row>
    <row r="101" spans="1:39" ht="20.25">
      <c r="A101" s="424" t="s">
        <v>128</v>
      </c>
      <c r="B101" s="827"/>
      <c r="C101" s="323"/>
      <c r="D101" s="324"/>
      <c r="E101" s="325"/>
      <c r="F101" s="297"/>
      <c r="G101" s="297"/>
      <c r="H101" s="297"/>
      <c r="I101" s="298"/>
      <c r="J101" s="298"/>
      <c r="K101" s="297"/>
      <c r="L101" s="355"/>
      <c r="M101" s="343"/>
      <c r="N101" s="298"/>
      <c r="O101" s="298"/>
      <c r="P101" s="298"/>
      <c r="Q101" s="298"/>
      <c r="R101" s="298"/>
      <c r="S101" s="298"/>
      <c r="T101" s="367"/>
      <c r="U101" s="355"/>
      <c r="V101" s="325"/>
      <c r="W101" s="297"/>
      <c r="X101" s="297"/>
      <c r="Y101" s="298"/>
      <c r="Z101" s="298"/>
      <c r="AA101" s="298"/>
      <c r="AB101" s="297"/>
      <c r="AC101" s="375"/>
      <c r="AD101" s="355"/>
      <c r="AE101" s="376">
        <f t="shared" si="32"/>
        <v>0</v>
      </c>
      <c r="AF101" s="377"/>
      <c r="AG101" s="390"/>
      <c r="AH101" s="391">
        <f t="shared" si="33"/>
        <v>0</v>
      </c>
      <c r="AI101" s="412"/>
      <c r="AJ101" s="413">
        <f t="shared" si="35"/>
        <v>0</v>
      </c>
      <c r="AK101" s="414" t="s">
        <v>8</v>
      </c>
      <c r="AL101" s="397" t="s">
        <v>23</v>
      </c>
      <c r="AM101" s="415" t="s">
        <v>174</v>
      </c>
    </row>
    <row r="102" spans="1:39" ht="20.25">
      <c r="A102" s="424" t="s">
        <v>128</v>
      </c>
      <c r="B102" s="827"/>
      <c r="C102" s="323"/>
      <c r="D102" s="324"/>
      <c r="E102" s="325"/>
      <c r="F102" s="297"/>
      <c r="G102" s="297"/>
      <c r="H102" s="297"/>
      <c r="I102" s="298"/>
      <c r="J102" s="298"/>
      <c r="K102" s="297"/>
      <c r="L102" s="355"/>
      <c r="M102" s="343"/>
      <c r="N102" s="298"/>
      <c r="O102" s="298"/>
      <c r="P102" s="298"/>
      <c r="Q102" s="298"/>
      <c r="R102" s="298"/>
      <c r="S102" s="298"/>
      <c r="T102" s="367"/>
      <c r="U102" s="355"/>
      <c r="V102" s="325"/>
      <c r="W102" s="297"/>
      <c r="X102" s="297"/>
      <c r="Y102" s="298"/>
      <c r="Z102" s="298"/>
      <c r="AA102" s="298"/>
      <c r="AB102" s="297"/>
      <c r="AC102" s="375"/>
      <c r="AD102" s="355"/>
      <c r="AE102" s="376">
        <f t="shared" si="32"/>
        <v>0</v>
      </c>
      <c r="AF102" s="377"/>
      <c r="AG102" s="390"/>
      <c r="AH102" s="391">
        <f t="shared" si="33"/>
        <v>0</v>
      </c>
      <c r="AI102" s="412"/>
      <c r="AJ102" s="413">
        <f t="shared" si="35"/>
        <v>0</v>
      </c>
      <c r="AK102" s="414" t="s">
        <v>8</v>
      </c>
      <c r="AL102" s="397" t="s">
        <v>23</v>
      </c>
      <c r="AM102" s="415" t="s">
        <v>174</v>
      </c>
    </row>
    <row r="103" spans="1:39" ht="20.25">
      <c r="A103" s="424" t="s">
        <v>128</v>
      </c>
      <c r="B103" s="827"/>
      <c r="C103" s="323"/>
      <c r="D103" s="324"/>
      <c r="E103" s="325"/>
      <c r="F103" s="297"/>
      <c r="G103" s="297"/>
      <c r="H103" s="297"/>
      <c r="I103" s="298"/>
      <c r="J103" s="298"/>
      <c r="K103" s="297"/>
      <c r="L103" s="355"/>
      <c r="M103" s="343"/>
      <c r="N103" s="298"/>
      <c r="O103" s="298"/>
      <c r="P103" s="298"/>
      <c r="Q103" s="298"/>
      <c r="R103" s="298"/>
      <c r="S103" s="298"/>
      <c r="T103" s="367"/>
      <c r="U103" s="355"/>
      <c r="V103" s="325"/>
      <c r="W103" s="297"/>
      <c r="X103" s="297"/>
      <c r="Y103" s="298"/>
      <c r="Z103" s="298"/>
      <c r="AA103" s="298"/>
      <c r="AB103" s="297"/>
      <c r="AC103" s="375"/>
      <c r="AD103" s="355"/>
      <c r="AE103" s="376">
        <f t="shared" ref="AE103:AE104" si="36">SUM(E103:AC103)</f>
        <v>0</v>
      </c>
      <c r="AF103" s="377"/>
      <c r="AG103" s="390"/>
      <c r="AH103" s="391">
        <f t="shared" si="33"/>
        <v>0</v>
      </c>
      <c r="AI103" s="412"/>
      <c r="AJ103" s="413">
        <f t="shared" si="35"/>
        <v>0</v>
      </c>
      <c r="AK103" s="414" t="s">
        <v>8</v>
      </c>
      <c r="AL103" s="397" t="s">
        <v>23</v>
      </c>
      <c r="AM103" s="415" t="s">
        <v>174</v>
      </c>
    </row>
    <row r="104" spans="1:39" ht="20.25">
      <c r="A104" s="424" t="s">
        <v>128</v>
      </c>
      <c r="B104" s="827"/>
      <c r="C104" s="323"/>
      <c r="D104" s="324"/>
      <c r="E104" s="325"/>
      <c r="F104" s="297"/>
      <c r="G104" s="297"/>
      <c r="H104" s="297"/>
      <c r="I104" s="298"/>
      <c r="J104" s="298"/>
      <c r="K104" s="297"/>
      <c r="L104" s="355"/>
      <c r="M104" s="343"/>
      <c r="N104" s="298"/>
      <c r="O104" s="298"/>
      <c r="P104" s="298"/>
      <c r="Q104" s="298"/>
      <c r="R104" s="298"/>
      <c r="S104" s="298"/>
      <c r="T104" s="367"/>
      <c r="U104" s="355"/>
      <c r="V104" s="325"/>
      <c r="W104" s="297"/>
      <c r="X104" s="297"/>
      <c r="Y104" s="298"/>
      <c r="Z104" s="298"/>
      <c r="AA104" s="298"/>
      <c r="AB104" s="297"/>
      <c r="AC104" s="375"/>
      <c r="AD104" s="355"/>
      <c r="AE104" s="376">
        <f t="shared" si="36"/>
        <v>0</v>
      </c>
      <c r="AF104" s="377"/>
      <c r="AG104" s="390"/>
      <c r="AH104" s="391">
        <f t="shared" si="33"/>
        <v>0</v>
      </c>
      <c r="AI104" s="412"/>
      <c r="AJ104" s="413">
        <f t="shared" si="35"/>
        <v>0</v>
      </c>
      <c r="AK104" s="414" t="s">
        <v>8</v>
      </c>
      <c r="AL104" s="397" t="s">
        <v>23</v>
      </c>
      <c r="AM104" s="415" t="s">
        <v>174</v>
      </c>
    </row>
    <row r="105" spans="1:39" ht="18.75">
      <c r="A105" s="828" t="s">
        <v>129</v>
      </c>
      <c r="B105" s="327"/>
      <c r="C105" s="327"/>
      <c r="D105" s="328"/>
      <c r="E105" s="329">
        <f>SUM(E87:E104)</f>
        <v>0</v>
      </c>
      <c r="F105" s="329">
        <f t="shared" ref="F105:K105" si="37">SUM(F87:F104)</f>
        <v>0</v>
      </c>
      <c r="G105" s="329">
        <f t="shared" si="37"/>
        <v>0</v>
      </c>
      <c r="H105" s="329">
        <f t="shared" si="37"/>
        <v>0</v>
      </c>
      <c r="I105" s="329">
        <f t="shared" si="37"/>
        <v>0</v>
      </c>
      <c r="J105" s="329">
        <f t="shared" si="37"/>
        <v>0</v>
      </c>
      <c r="K105" s="329">
        <f t="shared" si="37"/>
        <v>0</v>
      </c>
      <c r="L105" s="357"/>
      <c r="M105" s="358">
        <f>SUM(M87:M104)</f>
        <v>0</v>
      </c>
      <c r="N105" s="358">
        <f t="shared" ref="N105:T105" si="38">SUM(N87:N104)</f>
        <v>0</v>
      </c>
      <c r="O105" s="358">
        <f t="shared" si="38"/>
        <v>0</v>
      </c>
      <c r="P105" s="358">
        <f t="shared" si="38"/>
        <v>0</v>
      </c>
      <c r="Q105" s="358">
        <f t="shared" si="38"/>
        <v>0</v>
      </c>
      <c r="R105" s="358">
        <f t="shared" si="38"/>
        <v>0</v>
      </c>
      <c r="S105" s="358">
        <f t="shared" si="38"/>
        <v>0</v>
      </c>
      <c r="T105" s="1218">
        <f t="shared" si="38"/>
        <v>0</v>
      </c>
      <c r="U105" s="357"/>
      <c r="V105" s="358">
        <f>SUM(V87:V104)</f>
        <v>0</v>
      </c>
      <c r="W105" s="358">
        <f t="shared" ref="W105:AC105" si="39">SUM(W87:W104)</f>
        <v>0</v>
      </c>
      <c r="X105" s="358">
        <f t="shared" si="39"/>
        <v>0</v>
      </c>
      <c r="Y105" s="358">
        <f t="shared" si="39"/>
        <v>0</v>
      </c>
      <c r="Z105" s="358">
        <f t="shared" si="39"/>
        <v>0</v>
      </c>
      <c r="AA105" s="358">
        <f t="shared" si="39"/>
        <v>0</v>
      </c>
      <c r="AB105" s="358">
        <f t="shared" si="39"/>
        <v>0</v>
      </c>
      <c r="AC105" s="358">
        <f t="shared" si="39"/>
        <v>0</v>
      </c>
      <c r="AD105" s="357"/>
      <c r="AE105" s="382">
        <f>SUM(AE87:AE104)</f>
        <v>0</v>
      </c>
      <c r="AF105" s="382">
        <f>SUM(AF87:AF104)</f>
        <v>0</v>
      </c>
      <c r="AG105" s="416">
        <f t="shared" ref="AG105:AJ105" si="40">SUM(AG87:AG104)</f>
        <v>0</v>
      </c>
      <c r="AH105" s="417">
        <f t="shared" si="40"/>
        <v>0</v>
      </c>
      <c r="AI105" s="382">
        <f t="shared" si="40"/>
        <v>0</v>
      </c>
      <c r="AJ105" s="418">
        <f t="shared" si="40"/>
        <v>0</v>
      </c>
      <c r="AK105" s="399">
        <f>'BIG CHAIR'!CL111</f>
        <v>0</v>
      </c>
      <c r="AL105" s="400">
        <f>'Tea Table'!X201</f>
        <v>577.41666666666663</v>
      </c>
      <c r="AM105" s="401">
        <f>AH105+AK105+AL105</f>
        <v>577.41666666666663</v>
      </c>
    </row>
    <row r="106" spans="1:39" ht="23.25">
      <c r="A106" s="721" t="s">
        <v>130</v>
      </c>
      <c r="B106" s="722" t="s">
        <v>68</v>
      </c>
      <c r="C106" s="287" t="s">
        <v>69</v>
      </c>
      <c r="D106" s="288" t="s">
        <v>70</v>
      </c>
      <c r="E106" s="80" t="s">
        <v>96</v>
      </c>
      <c r="F106" s="49"/>
      <c r="G106" s="49" t="s">
        <v>92</v>
      </c>
      <c r="H106" s="49"/>
      <c r="I106" s="49" t="s">
        <v>85</v>
      </c>
      <c r="J106" s="49"/>
      <c r="K106" s="49" t="s">
        <v>86</v>
      </c>
      <c r="L106" s="79"/>
      <c r="M106" s="80" t="s">
        <v>97</v>
      </c>
      <c r="N106" s="49" t="s">
        <v>170</v>
      </c>
      <c r="O106" s="49" t="s">
        <v>190</v>
      </c>
      <c r="P106" s="49" t="s">
        <v>206</v>
      </c>
      <c r="Q106" s="49" t="s">
        <v>53</v>
      </c>
      <c r="R106" s="49" t="s">
        <v>222</v>
      </c>
      <c r="S106" s="126" t="s">
        <v>94</v>
      </c>
      <c r="T106" s="171"/>
      <c r="U106" s="79"/>
      <c r="V106" s="80" t="s">
        <v>94</v>
      </c>
      <c r="W106" s="49" t="s">
        <v>53</v>
      </c>
      <c r="X106" s="49" t="s">
        <v>97</v>
      </c>
      <c r="Y106" s="103" t="s">
        <v>190</v>
      </c>
      <c r="Z106" s="104"/>
      <c r="AA106" s="716"/>
      <c r="AB106" s="121"/>
      <c r="AC106" s="171"/>
      <c r="AD106" s="370"/>
      <c r="AE106" s="371" t="s">
        <v>172</v>
      </c>
      <c r="AF106" s="372" t="s">
        <v>80</v>
      </c>
      <c r="AG106" s="385"/>
      <c r="AH106" s="386" t="s">
        <v>106</v>
      </c>
      <c r="AI106" s="385" t="s">
        <v>173</v>
      </c>
      <c r="AJ106" s="371" t="s">
        <v>108</v>
      </c>
      <c r="AK106" s="282"/>
      <c r="AL106" s="282"/>
      <c r="AM106" s="282"/>
    </row>
    <row r="107" spans="1:39" ht="20.25">
      <c r="A107" s="792" t="s">
        <v>131</v>
      </c>
      <c r="B107" s="826"/>
      <c r="C107" s="311"/>
      <c r="D107" s="806"/>
      <c r="E107" s="313"/>
      <c r="F107" s="314"/>
      <c r="G107" s="314"/>
      <c r="H107" s="314"/>
      <c r="I107" s="315"/>
      <c r="J107" s="315"/>
      <c r="K107" s="314"/>
      <c r="L107" s="349"/>
      <c r="M107" s="350"/>
      <c r="N107" s="315"/>
      <c r="O107" s="315"/>
      <c r="P107" s="315"/>
      <c r="Q107" s="315"/>
      <c r="R107" s="315"/>
      <c r="S107" s="315"/>
      <c r="T107" s="477"/>
      <c r="U107" s="349"/>
      <c r="V107" s="350"/>
      <c r="W107" s="315"/>
      <c r="X107" s="315"/>
      <c r="Y107" s="315"/>
      <c r="Z107" s="315"/>
      <c r="AA107" s="315"/>
      <c r="AB107" s="315"/>
      <c r="AC107" s="378"/>
      <c r="AD107" s="349"/>
      <c r="AE107" s="379">
        <f t="shared" ref="AE107:AE118" si="41">SUM(E107:AC107)</f>
        <v>0</v>
      </c>
      <c r="AF107" s="379"/>
      <c r="AG107" s="404"/>
      <c r="AH107" s="405">
        <f t="shared" ref="AH107:AH137" si="42">AE107+AF107</f>
        <v>0</v>
      </c>
      <c r="AI107" s="406"/>
      <c r="AJ107" s="407">
        <f>AH107+AI107</f>
        <v>0</v>
      </c>
      <c r="AK107" s="234"/>
      <c r="AL107" s="234"/>
      <c r="AM107" s="234"/>
    </row>
    <row r="108" spans="1:39" ht="21">
      <c r="A108" s="792" t="s">
        <v>131</v>
      </c>
      <c r="B108" s="824"/>
      <c r="C108" s="317"/>
      <c r="D108" s="807"/>
      <c r="E108" s="319"/>
      <c r="F108" s="320"/>
      <c r="G108" s="320"/>
      <c r="H108" s="320"/>
      <c r="I108" s="321"/>
      <c r="J108" s="234"/>
      <c r="K108" s="742"/>
      <c r="L108" s="352"/>
      <c r="M108" s="353"/>
      <c r="N108" s="320"/>
      <c r="O108" s="320"/>
      <c r="P108" s="321"/>
      <c r="Q108" s="321"/>
      <c r="R108" s="321"/>
      <c r="S108" s="320"/>
      <c r="T108" s="351"/>
      <c r="U108" s="352"/>
      <c r="V108" s="353"/>
      <c r="W108" s="321"/>
      <c r="X108" s="321"/>
      <c r="Y108" s="321"/>
      <c r="Z108" s="321"/>
      <c r="AA108" s="321"/>
      <c r="AB108" s="321"/>
      <c r="AC108" s="380"/>
      <c r="AD108" s="352"/>
      <c r="AE108" s="381">
        <f t="shared" si="41"/>
        <v>0</v>
      </c>
      <c r="AF108" s="381"/>
      <c r="AG108" s="408"/>
      <c r="AH108" s="409">
        <f t="shared" si="42"/>
        <v>0</v>
      </c>
      <c r="AI108" s="410"/>
      <c r="AJ108" s="411">
        <f>AH108+AI108</f>
        <v>0</v>
      </c>
      <c r="AK108" s="234"/>
      <c r="AL108" s="234"/>
      <c r="AM108" s="234"/>
    </row>
    <row r="109" spans="1:39" ht="20.25">
      <c r="A109" s="792" t="s">
        <v>131</v>
      </c>
      <c r="B109" s="822"/>
      <c r="C109" s="295"/>
      <c r="D109" s="807"/>
      <c r="E109" s="319"/>
      <c r="F109" s="320"/>
      <c r="G109" s="320"/>
      <c r="H109" s="320"/>
      <c r="I109" s="321"/>
      <c r="J109" s="321"/>
      <c r="K109" s="320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41"/>
        <v>0</v>
      </c>
      <c r="AF109" s="381"/>
      <c r="AG109" s="408"/>
      <c r="AH109" s="409">
        <f t="shared" si="42"/>
        <v>0</v>
      </c>
      <c r="AI109" s="410"/>
      <c r="AJ109" s="411">
        <f>AH109+AI109</f>
        <v>0</v>
      </c>
      <c r="AK109" s="234"/>
      <c r="AL109" s="234"/>
      <c r="AM109" s="234"/>
    </row>
    <row r="110" spans="1:39" ht="20.25">
      <c r="A110" s="792" t="s">
        <v>131</v>
      </c>
      <c r="B110" s="710"/>
      <c r="C110" s="295"/>
      <c r="D110" s="807"/>
      <c r="E110" s="319"/>
      <c r="F110" s="320"/>
      <c r="G110" s="320"/>
      <c r="H110" s="320"/>
      <c r="I110" s="321"/>
      <c r="J110" s="321"/>
      <c r="K110" s="320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/>
      <c r="AD110" s="352"/>
      <c r="AE110" s="381">
        <f t="shared" si="41"/>
        <v>0</v>
      </c>
      <c r="AF110" s="381"/>
      <c r="AG110" s="408"/>
      <c r="AH110" s="409">
        <f t="shared" si="42"/>
        <v>0</v>
      </c>
      <c r="AI110" s="410"/>
      <c r="AJ110" s="411">
        <f>AH110+AI110</f>
        <v>0</v>
      </c>
      <c r="AK110" s="234"/>
      <c r="AL110" s="234"/>
      <c r="AM110" s="234"/>
    </row>
    <row r="111" spans="1:39" ht="20.25">
      <c r="A111" s="792" t="s">
        <v>131</v>
      </c>
      <c r="B111" s="822"/>
      <c r="C111" s="295"/>
      <c r="D111" s="807"/>
      <c r="E111" s="319"/>
      <c r="F111" s="320"/>
      <c r="G111" s="320"/>
      <c r="H111" s="320"/>
      <c r="I111" s="321"/>
      <c r="J111" s="321"/>
      <c r="K111" s="320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41"/>
        <v>0</v>
      </c>
      <c r="AF111" s="381"/>
      <c r="AG111" s="408"/>
      <c r="AH111" s="409">
        <f t="shared" si="42"/>
        <v>0</v>
      </c>
      <c r="AI111" s="410"/>
      <c r="AJ111" s="411">
        <f t="shared" ref="AJ111:AJ114" si="43">AH111+AI111</f>
        <v>0</v>
      </c>
      <c r="AK111" s="234"/>
      <c r="AL111" s="234"/>
      <c r="AM111" s="234"/>
    </row>
    <row r="112" spans="1:39" ht="20.25">
      <c r="A112" s="792" t="s">
        <v>131</v>
      </c>
      <c r="B112" s="822"/>
      <c r="C112" s="295"/>
      <c r="D112" s="807"/>
      <c r="E112" s="319"/>
      <c r="F112" s="320"/>
      <c r="G112" s="320"/>
      <c r="H112" s="321"/>
      <c r="I112" s="234"/>
      <c r="J112" s="321"/>
      <c r="K112" s="320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41"/>
        <v>0</v>
      </c>
      <c r="AF112" s="381"/>
      <c r="AG112" s="408"/>
      <c r="AH112" s="409">
        <f t="shared" si="42"/>
        <v>0</v>
      </c>
      <c r="AI112" s="410"/>
      <c r="AJ112" s="411">
        <f t="shared" si="43"/>
        <v>0</v>
      </c>
      <c r="AK112" s="234"/>
      <c r="AL112" s="234"/>
      <c r="AM112" s="234"/>
    </row>
    <row r="113" spans="1:39" ht="20.25">
      <c r="A113" s="792" t="s">
        <v>131</v>
      </c>
      <c r="B113" s="822"/>
      <c r="C113" s="295"/>
      <c r="D113" s="807"/>
      <c r="E113" s="319"/>
      <c r="F113" s="320"/>
      <c r="G113" s="320"/>
      <c r="H113" s="320"/>
      <c r="I113" s="321"/>
      <c r="J113" s="321"/>
      <c r="K113" s="741"/>
      <c r="L113" s="352"/>
      <c r="M113" s="353"/>
      <c r="N113" s="321"/>
      <c r="O113" s="321"/>
      <c r="P113" s="321"/>
      <c r="Q113" s="321"/>
      <c r="R113" s="321"/>
      <c r="S113" s="321"/>
      <c r="T113" s="832"/>
      <c r="U113" s="352"/>
      <c r="V113" s="319"/>
      <c r="W113" s="320"/>
      <c r="X113" s="320"/>
      <c r="Y113" s="321"/>
      <c r="Z113" s="321"/>
      <c r="AA113" s="321"/>
      <c r="AB113" s="320"/>
      <c r="AC113" s="380"/>
      <c r="AD113" s="352"/>
      <c r="AE113" s="381">
        <f t="shared" ref="AE113" si="44">SUM(E113:AC113)</f>
        <v>0</v>
      </c>
      <c r="AF113" s="381"/>
      <c r="AG113" s="408"/>
      <c r="AH113" s="409">
        <f t="shared" si="42"/>
        <v>0</v>
      </c>
      <c r="AI113" s="410"/>
      <c r="AJ113" s="411">
        <f t="shared" si="43"/>
        <v>0</v>
      </c>
      <c r="AK113" s="234"/>
      <c r="AL113" s="234"/>
      <c r="AM113" s="234"/>
    </row>
    <row r="114" spans="1:39" ht="20.25">
      <c r="A114" s="792" t="s">
        <v>131</v>
      </c>
      <c r="B114" s="710"/>
      <c r="C114" s="295"/>
      <c r="D114" s="807"/>
      <c r="E114" s="319"/>
      <c r="F114" s="320"/>
      <c r="G114" s="320"/>
      <c r="H114" s="320"/>
      <c r="I114" s="321"/>
      <c r="J114" s="321"/>
      <c r="K114" s="320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/>
      <c r="X114" s="320"/>
      <c r="Y114" s="321"/>
      <c r="Z114" s="321"/>
      <c r="AA114" s="321"/>
      <c r="AB114" s="320"/>
      <c r="AC114" s="380"/>
      <c r="AD114" s="352"/>
      <c r="AE114" s="381">
        <f t="shared" si="41"/>
        <v>0</v>
      </c>
      <c r="AF114" s="381"/>
      <c r="AG114" s="408"/>
      <c r="AH114" s="409">
        <f t="shared" si="42"/>
        <v>0</v>
      </c>
      <c r="AI114" s="410"/>
      <c r="AJ114" s="411">
        <f t="shared" si="43"/>
        <v>0</v>
      </c>
      <c r="AK114" s="234"/>
      <c r="AL114" s="234"/>
      <c r="AM114" s="234"/>
    </row>
    <row r="115" spans="1:39" ht="20.25">
      <c r="A115" s="792" t="s">
        <v>131</v>
      </c>
      <c r="B115" s="822"/>
      <c r="C115" s="295"/>
      <c r="D115" s="807"/>
      <c r="E115" s="319"/>
      <c r="F115" s="320"/>
      <c r="G115" s="320"/>
      <c r="H115" s="320"/>
      <c r="I115" s="321"/>
      <c r="J115" s="321"/>
      <c r="K115" s="741"/>
      <c r="L115" s="352"/>
      <c r="M115" s="353"/>
      <c r="N115" s="321"/>
      <c r="O115" s="321"/>
      <c r="P115" s="321"/>
      <c r="Q115" s="321"/>
      <c r="R115" s="321"/>
      <c r="S115" s="321"/>
      <c r="T115" s="351"/>
      <c r="U115" s="352"/>
      <c r="V115" s="319"/>
      <c r="W115" s="320"/>
      <c r="X115" s="320"/>
      <c r="Y115" s="321"/>
      <c r="Z115" s="321"/>
      <c r="AA115" s="321"/>
      <c r="AB115" s="320"/>
      <c r="AC115" s="380"/>
      <c r="AD115" s="352"/>
      <c r="AE115" s="381">
        <f t="shared" si="41"/>
        <v>0</v>
      </c>
      <c r="AF115" s="381"/>
      <c r="AG115" s="408"/>
      <c r="AH115" s="409">
        <f t="shared" si="42"/>
        <v>0</v>
      </c>
      <c r="AI115" s="410"/>
      <c r="AJ115" s="411">
        <f t="shared" ref="AJ115:AJ137" si="45">AH115+AI115</f>
        <v>0</v>
      </c>
      <c r="AK115" s="234"/>
      <c r="AL115" s="234"/>
      <c r="AM115" s="234"/>
    </row>
    <row r="116" spans="1:39" ht="20.25">
      <c r="A116" s="792" t="s">
        <v>131</v>
      </c>
      <c r="B116" s="822"/>
      <c r="C116" s="295"/>
      <c r="D116" s="807"/>
      <c r="E116" s="319"/>
      <c r="F116" s="320"/>
      <c r="G116" s="320"/>
      <c r="H116" s="320"/>
      <c r="I116" s="321"/>
      <c r="J116" s="321"/>
      <c r="K116" s="741"/>
      <c r="L116" s="352"/>
      <c r="M116" s="353"/>
      <c r="N116" s="321"/>
      <c r="O116" s="321"/>
      <c r="P116" s="321"/>
      <c r="Q116" s="321"/>
      <c r="R116" s="582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si="41"/>
        <v>0</v>
      </c>
      <c r="AF116" s="381"/>
      <c r="AG116" s="408"/>
      <c r="AH116" s="409">
        <f t="shared" si="42"/>
        <v>0</v>
      </c>
      <c r="AI116" s="410"/>
      <c r="AJ116" s="411">
        <f t="shared" si="45"/>
        <v>0</v>
      </c>
      <c r="AK116" s="234"/>
      <c r="AL116" s="234"/>
      <c r="AM116" s="234"/>
    </row>
    <row r="117" spans="1:39" ht="20.25">
      <c r="A117" s="792" t="s">
        <v>131</v>
      </c>
      <c r="B117" s="822"/>
      <c r="C117" s="295"/>
      <c r="D117" s="807"/>
      <c r="E117" s="829"/>
      <c r="F117" s="741"/>
      <c r="G117" s="741"/>
      <c r="H117" s="741"/>
      <c r="I117" s="582"/>
      <c r="J117" s="582"/>
      <c r="K117" s="741"/>
      <c r="L117" s="830"/>
      <c r="M117" s="831"/>
      <c r="N117" s="582"/>
      <c r="O117" s="582"/>
      <c r="P117" s="582"/>
      <c r="Q117" s="582"/>
      <c r="R117" s="582"/>
      <c r="S117" s="582"/>
      <c r="T117" s="832"/>
      <c r="U117" s="830"/>
      <c r="V117" s="829"/>
      <c r="W117" s="741"/>
      <c r="X117" s="741"/>
      <c r="Y117" s="582"/>
      <c r="Z117" s="582"/>
      <c r="AA117" s="582"/>
      <c r="AB117" s="741"/>
      <c r="AC117" s="833"/>
      <c r="AD117" s="352"/>
      <c r="AE117" s="381">
        <f t="shared" si="41"/>
        <v>0</v>
      </c>
      <c r="AF117" s="381"/>
      <c r="AG117" s="408"/>
      <c r="AH117" s="409">
        <f t="shared" si="42"/>
        <v>0</v>
      </c>
      <c r="AI117" s="410"/>
      <c r="AJ117" s="411">
        <f t="shared" si="45"/>
        <v>0</v>
      </c>
      <c r="AK117" s="234"/>
      <c r="AL117" s="234"/>
      <c r="AM117" s="234"/>
    </row>
    <row r="118" spans="1:39" ht="20.25">
      <c r="A118" s="792" t="s">
        <v>131</v>
      </c>
      <c r="B118" s="822"/>
      <c r="C118" s="295"/>
      <c r="D118" s="807"/>
      <c r="E118" s="829"/>
      <c r="F118" s="741"/>
      <c r="G118" s="741"/>
      <c r="H118" s="741"/>
      <c r="I118" s="582"/>
      <c r="J118" s="582"/>
      <c r="K118" s="741"/>
      <c r="L118" s="830"/>
      <c r="M118" s="831"/>
      <c r="N118" s="582"/>
      <c r="O118" s="582"/>
      <c r="P118" s="582"/>
      <c r="Q118" s="582"/>
      <c r="R118" s="582"/>
      <c r="S118" s="582"/>
      <c r="T118" s="832"/>
      <c r="U118" s="830"/>
      <c r="V118" s="829"/>
      <c r="W118" s="741"/>
      <c r="X118" s="741"/>
      <c r="Y118" s="582"/>
      <c r="Z118" s="582"/>
      <c r="AA118" s="582"/>
      <c r="AB118" s="741"/>
      <c r="AC118" s="833"/>
      <c r="AD118" s="352"/>
      <c r="AE118" s="381">
        <f t="shared" si="41"/>
        <v>0</v>
      </c>
      <c r="AF118" s="381"/>
      <c r="AG118" s="408"/>
      <c r="AH118" s="409">
        <f t="shared" si="42"/>
        <v>0</v>
      </c>
      <c r="AI118" s="410"/>
      <c r="AJ118" s="411">
        <f t="shared" si="45"/>
        <v>0</v>
      </c>
      <c r="AK118" s="234"/>
      <c r="AL118" s="234"/>
      <c r="AM118" s="234"/>
    </row>
    <row r="119" spans="1:39" ht="20.25">
      <c r="A119" s="792" t="s">
        <v>131</v>
      </c>
      <c r="B119" s="822"/>
      <c r="C119" s="295"/>
      <c r="D119" s="807"/>
      <c r="E119" s="829"/>
      <c r="F119" s="741"/>
      <c r="G119" s="741"/>
      <c r="H119" s="741"/>
      <c r="I119" s="582"/>
      <c r="J119" s="582"/>
      <c r="K119" s="741"/>
      <c r="L119" s="830"/>
      <c r="M119" s="831"/>
      <c r="N119" s="582"/>
      <c r="O119" s="582"/>
      <c r="P119" s="582"/>
      <c r="Q119" s="582"/>
      <c r="R119" s="582"/>
      <c r="S119" s="582"/>
      <c r="T119" s="832"/>
      <c r="U119" s="830"/>
      <c r="V119" s="829"/>
      <c r="W119" s="741"/>
      <c r="X119" s="741"/>
      <c r="Y119" s="582"/>
      <c r="Z119" s="582"/>
      <c r="AA119" s="582"/>
      <c r="AB119" s="741"/>
      <c r="AC119" s="833"/>
      <c r="AD119" s="352"/>
      <c r="AE119" s="381">
        <f t="shared" ref="AE119:AE137" si="46">SUM(E119:AC119)</f>
        <v>0</v>
      </c>
      <c r="AF119" s="381"/>
      <c r="AG119" s="408"/>
      <c r="AH119" s="409">
        <f t="shared" si="42"/>
        <v>0</v>
      </c>
      <c r="AI119" s="410"/>
      <c r="AJ119" s="411">
        <f t="shared" si="45"/>
        <v>0</v>
      </c>
      <c r="AK119" s="234"/>
      <c r="AL119" s="234"/>
      <c r="AM119" s="234"/>
    </row>
    <row r="120" spans="1:39" ht="20.25">
      <c r="A120" s="792" t="s">
        <v>131</v>
      </c>
      <c r="B120" s="822"/>
      <c r="C120" s="295"/>
      <c r="D120" s="807"/>
      <c r="E120" s="829"/>
      <c r="F120" s="741"/>
      <c r="G120" s="741"/>
      <c r="H120" s="741"/>
      <c r="I120" s="582"/>
      <c r="J120" s="582"/>
      <c r="K120" s="741"/>
      <c r="L120" s="830"/>
      <c r="M120" s="831"/>
      <c r="N120" s="582"/>
      <c r="O120" s="582"/>
      <c r="P120" s="582"/>
      <c r="Q120" s="582"/>
      <c r="R120" s="582"/>
      <c r="S120" s="582"/>
      <c r="T120" s="832"/>
      <c r="U120" s="830"/>
      <c r="V120" s="829"/>
      <c r="W120" s="741"/>
      <c r="X120" s="741"/>
      <c r="Y120" s="582"/>
      <c r="Z120" s="582"/>
      <c r="AA120" s="582"/>
      <c r="AB120" s="741"/>
      <c r="AC120" s="833"/>
      <c r="AD120" s="352"/>
      <c r="AE120" s="381">
        <f t="shared" si="46"/>
        <v>0</v>
      </c>
      <c r="AF120" s="381"/>
      <c r="AG120" s="408"/>
      <c r="AH120" s="409">
        <f t="shared" si="42"/>
        <v>0</v>
      </c>
      <c r="AI120" s="410"/>
      <c r="AJ120" s="411">
        <f t="shared" si="45"/>
        <v>0</v>
      </c>
      <c r="AK120" s="234"/>
      <c r="AL120" s="234"/>
      <c r="AM120" s="234"/>
    </row>
    <row r="121" spans="1:39" ht="20.25">
      <c r="A121" s="792" t="s">
        <v>131</v>
      </c>
      <c r="B121" s="827"/>
      <c r="C121" s="323"/>
      <c r="D121" s="808"/>
      <c r="E121" s="325"/>
      <c r="F121" s="297"/>
      <c r="G121" s="297"/>
      <c r="H121" s="297"/>
      <c r="I121" s="298"/>
      <c r="J121" s="298"/>
      <c r="K121" s="297"/>
      <c r="L121" s="355"/>
      <c r="M121" s="343"/>
      <c r="N121" s="298"/>
      <c r="O121" s="298"/>
      <c r="P121" s="298"/>
      <c r="Q121" s="298"/>
      <c r="R121" s="298"/>
      <c r="S121" s="298"/>
      <c r="T121" s="367"/>
      <c r="U121" s="355"/>
      <c r="V121" s="325"/>
      <c r="W121" s="297"/>
      <c r="X121" s="297"/>
      <c r="Y121" s="298"/>
      <c r="Z121" s="298"/>
      <c r="AA121" s="298"/>
      <c r="AB121" s="297"/>
      <c r="AC121" s="375"/>
      <c r="AD121" s="355"/>
      <c r="AE121" s="376">
        <f t="shared" si="46"/>
        <v>0</v>
      </c>
      <c r="AF121" s="377"/>
      <c r="AG121" s="390"/>
      <c r="AH121" s="391">
        <f t="shared" si="42"/>
        <v>0</v>
      </c>
      <c r="AI121" s="412"/>
      <c r="AJ121" s="413">
        <f t="shared" si="45"/>
        <v>0</v>
      </c>
      <c r="AK121" s="414" t="s">
        <v>8</v>
      </c>
      <c r="AL121" s="397" t="s">
        <v>23</v>
      </c>
      <c r="AM121" s="415" t="s">
        <v>174</v>
      </c>
    </row>
    <row r="122" spans="1:39" ht="20.25">
      <c r="A122" s="792" t="s">
        <v>131</v>
      </c>
      <c r="B122" s="827"/>
      <c r="C122" s="323"/>
      <c r="D122" s="808"/>
      <c r="E122" s="325"/>
      <c r="F122" s="297"/>
      <c r="G122" s="297"/>
      <c r="H122" s="297"/>
      <c r="I122" s="298"/>
      <c r="J122" s="298"/>
      <c r="K122" s="297"/>
      <c r="L122" s="355"/>
      <c r="M122" s="343"/>
      <c r="N122" s="298"/>
      <c r="O122" s="298"/>
      <c r="P122" s="298"/>
      <c r="Q122" s="298"/>
      <c r="R122" s="298"/>
      <c r="S122" s="298"/>
      <c r="T122" s="367"/>
      <c r="U122" s="355"/>
      <c r="V122" s="325"/>
      <c r="W122" s="297"/>
      <c r="X122" s="297"/>
      <c r="Y122" s="298"/>
      <c r="Z122" s="298"/>
      <c r="AA122" s="298"/>
      <c r="AB122" s="297"/>
      <c r="AC122" s="375"/>
      <c r="AD122" s="355"/>
      <c r="AE122" s="376">
        <f t="shared" si="46"/>
        <v>0</v>
      </c>
      <c r="AF122" s="377"/>
      <c r="AG122" s="390"/>
      <c r="AH122" s="391">
        <f t="shared" si="42"/>
        <v>0</v>
      </c>
      <c r="AI122" s="412"/>
      <c r="AJ122" s="413">
        <f t="shared" si="45"/>
        <v>0</v>
      </c>
      <c r="AK122" s="414" t="s">
        <v>8</v>
      </c>
      <c r="AL122" s="397" t="s">
        <v>23</v>
      </c>
      <c r="AM122" s="415" t="s">
        <v>174</v>
      </c>
    </row>
    <row r="123" spans="1:39" ht="20.25">
      <c r="A123" s="792" t="s">
        <v>131</v>
      </c>
      <c r="B123" s="827"/>
      <c r="C123" s="323"/>
      <c r="D123" s="808"/>
      <c r="E123" s="325"/>
      <c r="F123" s="297"/>
      <c r="G123" s="297"/>
      <c r="H123" s="297"/>
      <c r="I123" s="298"/>
      <c r="J123" s="298"/>
      <c r="K123" s="297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46"/>
        <v>0</v>
      </c>
      <c r="AF123" s="377"/>
      <c r="AG123" s="390"/>
      <c r="AH123" s="391">
        <f t="shared" si="42"/>
        <v>0</v>
      </c>
      <c r="AI123" s="412"/>
      <c r="AJ123" s="413">
        <f t="shared" si="45"/>
        <v>0</v>
      </c>
      <c r="AK123" s="414" t="s">
        <v>8</v>
      </c>
      <c r="AL123" s="397" t="s">
        <v>23</v>
      </c>
      <c r="AM123" s="415" t="s">
        <v>174</v>
      </c>
    </row>
    <row r="124" spans="1:39" ht="20.25">
      <c r="A124" s="792" t="s">
        <v>131</v>
      </c>
      <c r="B124" s="827"/>
      <c r="C124" s="323"/>
      <c r="D124" s="808"/>
      <c r="E124" s="325"/>
      <c r="F124" s="297"/>
      <c r="G124" s="297"/>
      <c r="H124" s="297"/>
      <c r="I124" s="298"/>
      <c r="J124" s="298"/>
      <c r="K124" s="297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46"/>
        <v>0</v>
      </c>
      <c r="AF124" s="377"/>
      <c r="AG124" s="390"/>
      <c r="AH124" s="391">
        <f t="shared" si="42"/>
        <v>0</v>
      </c>
      <c r="AI124" s="412"/>
      <c r="AJ124" s="413">
        <f t="shared" si="45"/>
        <v>0</v>
      </c>
      <c r="AK124" s="414" t="s">
        <v>8</v>
      </c>
      <c r="AL124" s="397" t="s">
        <v>23</v>
      </c>
      <c r="AM124" s="415" t="s">
        <v>174</v>
      </c>
    </row>
    <row r="125" spans="1:39" ht="20.25">
      <c r="A125" s="792" t="s">
        <v>131</v>
      </c>
      <c r="B125" s="827"/>
      <c r="C125" s="323"/>
      <c r="D125" s="808"/>
      <c r="E125" s="325"/>
      <c r="F125" s="297"/>
      <c r="G125" s="297"/>
      <c r="H125" s="297"/>
      <c r="I125" s="298"/>
      <c r="J125" s="298"/>
      <c r="K125" s="297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6">
        <f t="shared" si="46"/>
        <v>0</v>
      </c>
      <c r="AF125" s="377"/>
      <c r="AG125" s="390"/>
      <c r="AH125" s="391">
        <f t="shared" si="42"/>
        <v>0</v>
      </c>
      <c r="AI125" s="412"/>
      <c r="AJ125" s="413">
        <f t="shared" si="45"/>
        <v>0</v>
      </c>
      <c r="AK125" s="414" t="s">
        <v>8</v>
      </c>
      <c r="AL125" s="397" t="s">
        <v>23</v>
      </c>
      <c r="AM125" s="415" t="s">
        <v>174</v>
      </c>
    </row>
    <row r="126" spans="1:39" ht="20.25">
      <c r="A126" s="792" t="s">
        <v>131</v>
      </c>
      <c r="B126" s="827"/>
      <c r="C126" s="323"/>
      <c r="D126" s="808"/>
      <c r="E126" s="325"/>
      <c r="F126" s="297"/>
      <c r="G126" s="297"/>
      <c r="H126" s="297"/>
      <c r="I126" s="298"/>
      <c r="J126" s="298"/>
      <c r="K126" s="297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/>
      <c r="X126" s="297"/>
      <c r="Y126" s="298"/>
      <c r="Z126" s="298"/>
      <c r="AA126" s="298"/>
      <c r="AB126" s="297"/>
      <c r="AC126" s="375"/>
      <c r="AD126" s="355"/>
      <c r="AE126" s="376">
        <f t="shared" si="46"/>
        <v>0</v>
      </c>
      <c r="AF126" s="377"/>
      <c r="AG126" s="390"/>
      <c r="AH126" s="391">
        <f t="shared" si="42"/>
        <v>0</v>
      </c>
      <c r="AI126" s="412"/>
      <c r="AJ126" s="413">
        <f t="shared" si="45"/>
        <v>0</v>
      </c>
      <c r="AK126" s="414" t="s">
        <v>8</v>
      </c>
      <c r="AL126" s="397" t="s">
        <v>23</v>
      </c>
      <c r="AM126" s="415" t="s">
        <v>174</v>
      </c>
    </row>
    <row r="127" spans="1:39" ht="20.25">
      <c r="A127" s="792" t="s">
        <v>131</v>
      </c>
      <c r="B127" s="827"/>
      <c r="C127" s="323"/>
      <c r="D127" s="808"/>
      <c r="E127" s="325"/>
      <c r="F127" s="297"/>
      <c r="G127" s="297"/>
      <c r="H127" s="297"/>
      <c r="I127" s="298"/>
      <c r="J127" s="298"/>
      <c r="K127" s="297"/>
      <c r="L127" s="355"/>
      <c r="M127" s="343"/>
      <c r="N127" s="298"/>
      <c r="O127" s="298"/>
      <c r="P127" s="298"/>
      <c r="Q127" s="298"/>
      <c r="R127" s="298"/>
      <c r="S127" s="298"/>
      <c r="T127" s="367"/>
      <c r="U127" s="355"/>
      <c r="V127" s="325"/>
      <c r="W127" s="297"/>
      <c r="X127" s="297"/>
      <c r="Y127" s="298"/>
      <c r="Z127" s="298"/>
      <c r="AA127" s="298"/>
      <c r="AB127" s="297"/>
      <c r="AC127" s="375"/>
      <c r="AD127" s="355"/>
      <c r="AE127" s="376">
        <f t="shared" si="46"/>
        <v>0</v>
      </c>
      <c r="AF127" s="377"/>
      <c r="AG127" s="390"/>
      <c r="AH127" s="391">
        <f t="shared" si="42"/>
        <v>0</v>
      </c>
      <c r="AI127" s="412"/>
      <c r="AJ127" s="413">
        <f t="shared" si="45"/>
        <v>0</v>
      </c>
      <c r="AK127" s="414" t="s">
        <v>8</v>
      </c>
      <c r="AL127" s="397" t="s">
        <v>23</v>
      </c>
      <c r="AM127" s="415" t="s">
        <v>174</v>
      </c>
    </row>
    <row r="128" spans="1:39" ht="20.25">
      <c r="A128" s="792" t="s">
        <v>131</v>
      </c>
      <c r="B128" s="827"/>
      <c r="C128" s="323"/>
      <c r="D128" s="808"/>
      <c r="E128" s="325"/>
      <c r="F128" s="297"/>
      <c r="G128" s="297"/>
      <c r="H128" s="297"/>
      <c r="I128" s="298"/>
      <c r="J128" s="298"/>
      <c r="K128" s="297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6">
        <f t="shared" si="46"/>
        <v>0</v>
      </c>
      <c r="AF128" s="377"/>
      <c r="AG128" s="390"/>
      <c r="AH128" s="391">
        <f t="shared" si="42"/>
        <v>0</v>
      </c>
      <c r="AI128" s="412"/>
      <c r="AJ128" s="413">
        <f t="shared" si="45"/>
        <v>0</v>
      </c>
      <c r="AK128" s="414" t="s">
        <v>8</v>
      </c>
      <c r="AL128" s="397" t="s">
        <v>23</v>
      </c>
      <c r="AM128" s="415" t="s">
        <v>174</v>
      </c>
    </row>
    <row r="129" spans="1:39" ht="20.25">
      <c r="A129" s="792" t="s">
        <v>131</v>
      </c>
      <c r="B129" s="827"/>
      <c r="C129" s="323"/>
      <c r="D129" s="808"/>
      <c r="E129" s="325"/>
      <c r="F129" s="297"/>
      <c r="G129" s="297"/>
      <c r="H129" s="297"/>
      <c r="I129" s="298"/>
      <c r="J129" s="298"/>
      <c r="K129" s="297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si="46"/>
        <v>0</v>
      </c>
      <c r="AF129" s="377"/>
      <c r="AG129" s="390"/>
      <c r="AH129" s="391">
        <f t="shared" si="42"/>
        <v>0</v>
      </c>
      <c r="AI129" s="412"/>
      <c r="AJ129" s="413">
        <f t="shared" si="45"/>
        <v>0</v>
      </c>
      <c r="AK129" s="414" t="s">
        <v>8</v>
      </c>
      <c r="AL129" s="397" t="s">
        <v>23</v>
      </c>
      <c r="AM129" s="415" t="s">
        <v>174</v>
      </c>
    </row>
    <row r="130" spans="1:39" ht="20.25">
      <c r="A130" s="792" t="s">
        <v>131</v>
      </c>
      <c r="B130" s="827"/>
      <c r="C130" s="323"/>
      <c r="D130" s="808"/>
      <c r="E130" s="325"/>
      <c r="F130" s="297"/>
      <c r="G130" s="297"/>
      <c r="H130" s="297"/>
      <c r="I130" s="298"/>
      <c r="J130" s="298"/>
      <c r="K130" s="297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46"/>
        <v>0</v>
      </c>
      <c r="AF130" s="377"/>
      <c r="AG130" s="390"/>
      <c r="AH130" s="391">
        <f t="shared" si="42"/>
        <v>0</v>
      </c>
      <c r="AI130" s="412"/>
      <c r="AJ130" s="413">
        <f t="shared" si="45"/>
        <v>0</v>
      </c>
      <c r="AK130" s="414" t="s">
        <v>8</v>
      </c>
      <c r="AL130" s="397" t="s">
        <v>23</v>
      </c>
      <c r="AM130" s="415" t="s">
        <v>174</v>
      </c>
    </row>
    <row r="131" spans="1:39" ht="20.25">
      <c r="A131" s="792" t="s">
        <v>131</v>
      </c>
      <c r="B131" s="827"/>
      <c r="C131" s="323"/>
      <c r="D131" s="808"/>
      <c r="E131" s="325"/>
      <c r="F131" s="297"/>
      <c r="G131" s="297"/>
      <c r="H131" s="297"/>
      <c r="I131" s="298"/>
      <c r="J131" s="298"/>
      <c r="K131" s="297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si="46"/>
        <v>0</v>
      </c>
      <c r="AF131" s="377"/>
      <c r="AG131" s="390"/>
      <c r="AH131" s="391">
        <f t="shared" si="42"/>
        <v>0</v>
      </c>
      <c r="AI131" s="412"/>
      <c r="AJ131" s="413">
        <f t="shared" si="45"/>
        <v>0</v>
      </c>
      <c r="AK131" s="414" t="s">
        <v>8</v>
      </c>
      <c r="AL131" s="397" t="s">
        <v>23</v>
      </c>
      <c r="AM131" s="415" t="s">
        <v>174</v>
      </c>
    </row>
    <row r="132" spans="1:39" ht="20.25">
      <c r="A132" s="792" t="s">
        <v>131</v>
      </c>
      <c r="B132" s="827"/>
      <c r="C132" s="323"/>
      <c r="D132" s="808"/>
      <c r="E132" s="325"/>
      <c r="F132" s="297"/>
      <c r="G132" s="297"/>
      <c r="H132" s="297"/>
      <c r="I132" s="298"/>
      <c r="J132" s="298"/>
      <c r="K132" s="297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46"/>
        <v>0</v>
      </c>
      <c r="AF132" s="377"/>
      <c r="AG132" s="390"/>
      <c r="AH132" s="391">
        <f t="shared" si="42"/>
        <v>0</v>
      </c>
      <c r="AI132" s="412"/>
      <c r="AJ132" s="413">
        <f t="shared" si="45"/>
        <v>0</v>
      </c>
      <c r="AK132" s="414" t="s">
        <v>8</v>
      </c>
      <c r="AL132" s="397" t="s">
        <v>23</v>
      </c>
      <c r="AM132" s="415" t="s">
        <v>174</v>
      </c>
    </row>
    <row r="133" spans="1:39" ht="20.25">
      <c r="A133" s="792" t="s">
        <v>131</v>
      </c>
      <c r="B133" s="827"/>
      <c r="C133" s="323"/>
      <c r="D133" s="808"/>
      <c r="E133" s="325"/>
      <c r="F133" s="297"/>
      <c r="G133" s="297"/>
      <c r="H133" s="297"/>
      <c r="I133" s="298"/>
      <c r="J133" s="298"/>
      <c r="K133" s="297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46"/>
        <v>0</v>
      </c>
      <c r="AF133" s="377"/>
      <c r="AG133" s="390"/>
      <c r="AH133" s="391">
        <f t="shared" si="42"/>
        <v>0</v>
      </c>
      <c r="AI133" s="412"/>
      <c r="AJ133" s="413">
        <f t="shared" si="45"/>
        <v>0</v>
      </c>
      <c r="AK133" s="414" t="s">
        <v>8</v>
      </c>
      <c r="AL133" s="397" t="s">
        <v>23</v>
      </c>
      <c r="AM133" s="415" t="s">
        <v>174</v>
      </c>
    </row>
    <row r="134" spans="1:39" ht="20.25">
      <c r="A134" s="792" t="s">
        <v>131</v>
      </c>
      <c r="B134" s="827"/>
      <c r="C134" s="323"/>
      <c r="D134" s="324"/>
      <c r="E134" s="325"/>
      <c r="F134" s="297"/>
      <c r="G134" s="297"/>
      <c r="H134" s="297"/>
      <c r="I134" s="298"/>
      <c r="J134" s="298"/>
      <c r="K134" s="29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46"/>
        <v>0</v>
      </c>
      <c r="AF134" s="377"/>
      <c r="AG134" s="390"/>
      <c r="AH134" s="391">
        <f t="shared" si="42"/>
        <v>0</v>
      </c>
      <c r="AI134" s="412"/>
      <c r="AJ134" s="413">
        <f t="shared" si="45"/>
        <v>0</v>
      </c>
      <c r="AK134" s="414" t="s">
        <v>8</v>
      </c>
      <c r="AL134" s="397" t="s">
        <v>23</v>
      </c>
      <c r="AM134" s="415" t="s">
        <v>174</v>
      </c>
    </row>
    <row r="135" spans="1:39" ht="20.25" customHeight="1">
      <c r="A135" s="792" t="s">
        <v>131</v>
      </c>
      <c r="B135" s="827"/>
      <c r="C135" s="323"/>
      <c r="D135" s="324"/>
      <c r="E135" s="325"/>
      <c r="F135" s="297"/>
      <c r="G135" s="297"/>
      <c r="H135" s="297"/>
      <c r="I135" s="298"/>
      <c r="J135" s="298"/>
      <c r="K135" s="297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46"/>
        <v>0</v>
      </c>
      <c r="AF135" s="377"/>
      <c r="AG135" s="390"/>
      <c r="AH135" s="391">
        <f t="shared" si="42"/>
        <v>0</v>
      </c>
      <c r="AI135" s="412"/>
      <c r="AJ135" s="413">
        <f t="shared" si="45"/>
        <v>0</v>
      </c>
      <c r="AK135" s="414" t="s">
        <v>8</v>
      </c>
      <c r="AL135" s="397" t="s">
        <v>23</v>
      </c>
      <c r="AM135" s="415" t="s">
        <v>174</v>
      </c>
    </row>
    <row r="136" spans="1:39" ht="20.25" customHeight="1">
      <c r="A136" s="792" t="s">
        <v>131</v>
      </c>
      <c r="B136" s="827"/>
      <c r="C136" s="323"/>
      <c r="D136" s="324"/>
      <c r="E136" s="325"/>
      <c r="F136" s="297"/>
      <c r="G136" s="297"/>
      <c r="H136" s="297"/>
      <c r="I136" s="298"/>
      <c r="J136" s="298"/>
      <c r="K136" s="297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6">
        <f t="shared" si="46"/>
        <v>0</v>
      </c>
      <c r="AF136" s="377"/>
      <c r="AG136" s="390"/>
      <c r="AH136" s="391">
        <f t="shared" si="42"/>
        <v>0</v>
      </c>
      <c r="AI136" s="412"/>
      <c r="AJ136" s="413">
        <f t="shared" si="45"/>
        <v>0</v>
      </c>
      <c r="AK136" s="414" t="s">
        <v>8</v>
      </c>
      <c r="AL136" s="397" t="s">
        <v>23</v>
      </c>
      <c r="AM136" s="415" t="s">
        <v>174</v>
      </c>
    </row>
    <row r="137" spans="1:39" ht="20.25">
      <c r="A137" s="792" t="s">
        <v>131</v>
      </c>
      <c r="B137" s="827"/>
      <c r="C137" s="323"/>
      <c r="D137" s="324"/>
      <c r="E137" s="325"/>
      <c r="F137" s="297"/>
      <c r="G137" s="297"/>
      <c r="H137" s="297"/>
      <c r="I137" s="298"/>
      <c r="J137" s="298"/>
      <c r="K137" s="297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6">
        <f t="shared" si="46"/>
        <v>0</v>
      </c>
      <c r="AF137" s="377"/>
      <c r="AG137" s="390"/>
      <c r="AH137" s="391">
        <f t="shared" si="42"/>
        <v>0</v>
      </c>
      <c r="AI137" s="412"/>
      <c r="AJ137" s="413">
        <f t="shared" si="45"/>
        <v>0</v>
      </c>
      <c r="AK137" s="414" t="s">
        <v>8</v>
      </c>
      <c r="AL137" s="397" t="s">
        <v>23</v>
      </c>
      <c r="AM137" s="415" t="s">
        <v>174</v>
      </c>
    </row>
    <row r="138" spans="1:39" ht="18.75">
      <c r="A138" s="828" t="s">
        <v>132</v>
      </c>
      <c r="B138" s="327"/>
      <c r="C138" s="327"/>
      <c r="D138" s="328"/>
      <c r="E138" s="329">
        <f>SUM(E107:E137)</f>
        <v>0</v>
      </c>
      <c r="F138" s="329">
        <f t="shared" ref="F138:AJ138" si="47">SUM(F107:F137)</f>
        <v>0</v>
      </c>
      <c r="G138" s="329">
        <f t="shared" si="47"/>
        <v>0</v>
      </c>
      <c r="H138" s="329">
        <f t="shared" si="47"/>
        <v>0</v>
      </c>
      <c r="I138" s="329">
        <f t="shared" si="47"/>
        <v>0</v>
      </c>
      <c r="J138" s="329">
        <f t="shared" si="47"/>
        <v>0</v>
      </c>
      <c r="K138" s="329">
        <f t="shared" si="47"/>
        <v>0</v>
      </c>
      <c r="L138" s="329">
        <f t="shared" si="47"/>
        <v>0</v>
      </c>
      <c r="M138" s="329">
        <f t="shared" si="47"/>
        <v>0</v>
      </c>
      <c r="N138" s="329">
        <f t="shared" ref="N138:T138" si="48">SUM(N107:N137)</f>
        <v>0</v>
      </c>
      <c r="O138" s="329">
        <f t="shared" si="48"/>
        <v>0</v>
      </c>
      <c r="P138" s="329">
        <f t="shared" si="48"/>
        <v>0</v>
      </c>
      <c r="Q138" s="329">
        <f t="shared" si="48"/>
        <v>0</v>
      </c>
      <c r="R138" s="329">
        <f t="shared" si="48"/>
        <v>0</v>
      </c>
      <c r="S138" s="329">
        <f t="shared" si="48"/>
        <v>0</v>
      </c>
      <c r="T138" s="329">
        <f t="shared" si="48"/>
        <v>0</v>
      </c>
      <c r="U138" s="329">
        <f t="shared" si="47"/>
        <v>0</v>
      </c>
      <c r="V138" s="329">
        <f t="shared" si="47"/>
        <v>0</v>
      </c>
      <c r="W138" s="329">
        <f t="shared" ref="W138:AC138" si="49">SUM(W107:W137)</f>
        <v>0</v>
      </c>
      <c r="X138" s="329">
        <f t="shared" si="49"/>
        <v>0</v>
      </c>
      <c r="Y138" s="329">
        <f t="shared" si="49"/>
        <v>0</v>
      </c>
      <c r="Z138" s="329">
        <f t="shared" si="49"/>
        <v>0</v>
      </c>
      <c r="AA138" s="329">
        <f t="shared" si="49"/>
        <v>0</v>
      </c>
      <c r="AB138" s="329">
        <f t="shared" si="49"/>
        <v>0</v>
      </c>
      <c r="AC138" s="329">
        <f t="shared" si="49"/>
        <v>0</v>
      </c>
      <c r="AD138" s="329">
        <f t="shared" si="47"/>
        <v>0</v>
      </c>
      <c r="AE138" s="329">
        <f t="shared" si="47"/>
        <v>0</v>
      </c>
      <c r="AF138" s="329">
        <f t="shared" si="47"/>
        <v>0</v>
      </c>
      <c r="AG138" s="329">
        <f t="shared" si="47"/>
        <v>0</v>
      </c>
      <c r="AH138" s="329">
        <f t="shared" si="47"/>
        <v>0</v>
      </c>
      <c r="AI138" s="329">
        <f t="shared" si="47"/>
        <v>0</v>
      </c>
      <c r="AJ138" s="329">
        <f t="shared" si="47"/>
        <v>0</v>
      </c>
      <c r="AK138" s="399">
        <f>'BIG CHAIR'!CL132</f>
        <v>0</v>
      </c>
      <c r="AL138" s="400">
        <f>'Tea Table'!X224</f>
        <v>120</v>
      </c>
      <c r="AM138" s="401">
        <f>AH138+AK138+AL138</f>
        <v>120</v>
      </c>
    </row>
    <row r="139" spans="1:39" s="284" customFormat="1" ht="8.25" customHeight="1">
      <c r="A139" s="425"/>
      <c r="B139" s="426"/>
      <c r="C139" s="426"/>
      <c r="D139" s="427"/>
      <c r="E139" s="428"/>
      <c r="F139" s="428"/>
      <c r="G139" s="428"/>
      <c r="H139" s="428"/>
      <c r="I139" s="428"/>
      <c r="J139" s="428"/>
      <c r="K139" s="428"/>
      <c r="L139" s="478"/>
      <c r="M139" s="479"/>
      <c r="N139" s="479"/>
      <c r="O139" s="479"/>
      <c r="P139" s="479"/>
      <c r="Q139" s="479"/>
      <c r="R139" s="479"/>
      <c r="S139" s="479"/>
      <c r="T139" s="479"/>
      <c r="U139" s="478"/>
      <c r="V139" s="479"/>
      <c r="W139" s="479"/>
      <c r="X139" s="479"/>
      <c r="Y139" s="479"/>
      <c r="Z139" s="479"/>
      <c r="AA139" s="479"/>
      <c r="AB139" s="479"/>
      <c r="AC139" s="479"/>
      <c r="AD139" s="478"/>
      <c r="AE139" s="479"/>
      <c r="AF139" s="479"/>
      <c r="AG139" s="479"/>
      <c r="AH139" s="479"/>
      <c r="AI139" s="479"/>
      <c r="AJ139" s="506"/>
      <c r="AK139" s="403"/>
      <c r="AL139" s="403"/>
      <c r="AM139" s="403"/>
    </row>
    <row r="140" spans="1:39" s="282" customFormat="1" ht="15.75">
      <c r="A140" s="429" t="s">
        <v>179</v>
      </c>
      <c r="B140" s="287" t="s">
        <v>68</v>
      </c>
      <c r="C140" s="287" t="s">
        <v>69</v>
      </c>
      <c r="D140" s="288" t="s">
        <v>70</v>
      </c>
      <c r="E140" s="80" t="s">
        <v>96</v>
      </c>
      <c r="F140" s="49"/>
      <c r="G140" s="49" t="s">
        <v>92</v>
      </c>
      <c r="H140" s="49"/>
      <c r="I140" s="49" t="s">
        <v>85</v>
      </c>
      <c r="J140" s="49"/>
      <c r="K140" s="49" t="s">
        <v>86</v>
      </c>
      <c r="L140" s="79"/>
      <c r="M140" s="80" t="s">
        <v>97</v>
      </c>
      <c r="N140" s="49" t="s">
        <v>170</v>
      </c>
      <c r="O140" s="49" t="s">
        <v>190</v>
      </c>
      <c r="P140" s="49" t="s">
        <v>206</v>
      </c>
      <c r="Q140" s="49" t="s">
        <v>53</v>
      </c>
      <c r="R140" s="49" t="s">
        <v>222</v>
      </c>
      <c r="S140" s="126" t="s">
        <v>94</v>
      </c>
      <c r="T140" s="171"/>
      <c r="U140" s="79"/>
      <c r="V140" s="80" t="s">
        <v>94</v>
      </c>
      <c r="W140" s="49" t="s">
        <v>53</v>
      </c>
      <c r="X140" s="49" t="s">
        <v>97</v>
      </c>
      <c r="Y140" s="103" t="s">
        <v>190</v>
      </c>
      <c r="Z140" s="104"/>
      <c r="AA140" s="716"/>
      <c r="AB140" s="121"/>
      <c r="AC140" s="171"/>
      <c r="AD140" s="79"/>
      <c r="AE140" s="371" t="s">
        <v>172</v>
      </c>
      <c r="AF140" s="372" t="s">
        <v>80</v>
      </c>
      <c r="AG140" s="385"/>
      <c r="AH140" s="386" t="s">
        <v>106</v>
      </c>
      <c r="AI140" s="385" t="s">
        <v>173</v>
      </c>
      <c r="AJ140" s="371" t="s">
        <v>108</v>
      </c>
    </row>
    <row r="141" spans="1:39" s="283" customFormat="1" ht="20.25">
      <c r="A141" s="430"/>
      <c r="B141" s="431"/>
      <c r="C141" s="431"/>
      <c r="D141" s="432"/>
      <c r="E141" s="325"/>
      <c r="F141" s="297"/>
      <c r="G141" s="297"/>
      <c r="H141" s="297"/>
      <c r="I141" s="298"/>
      <c r="J141" s="298"/>
      <c r="K141" s="297"/>
      <c r="L141" s="355"/>
      <c r="M141" s="343"/>
      <c r="N141" s="298"/>
      <c r="O141" s="435"/>
      <c r="P141" s="298"/>
      <c r="Q141" s="298"/>
      <c r="R141" s="435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7">
        <f>SUM(E141:AC141)</f>
        <v>0</v>
      </c>
      <c r="AF141" s="377"/>
      <c r="AG141" s="390"/>
      <c r="AH141" s="507">
        <f>AE141+AF141</f>
        <v>0</v>
      </c>
      <c r="AI141" s="412"/>
      <c r="AJ141" s="508">
        <f>AH141+AI141</f>
        <v>0</v>
      </c>
    </row>
    <row r="142" spans="1:39" s="283" customFormat="1" ht="20.25">
      <c r="A142" s="322"/>
      <c r="B142" s="323"/>
      <c r="C142" s="323"/>
      <c r="D142" s="324"/>
      <c r="E142" s="325"/>
      <c r="F142" s="297"/>
      <c r="G142" s="297"/>
      <c r="H142" s="297"/>
      <c r="I142" s="298"/>
      <c r="J142" s="298"/>
      <c r="K142" s="297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>SUM(E142:AC142)</f>
        <v>0</v>
      </c>
      <c r="AF142" s="377"/>
      <c r="AG142" s="390"/>
      <c r="AH142" s="507">
        <f>AE142+AF142</f>
        <v>0</v>
      </c>
      <c r="AI142" s="412"/>
      <c r="AJ142" s="508">
        <f>AH142+AI142</f>
        <v>0</v>
      </c>
    </row>
    <row r="143" spans="1:39" s="283" customFormat="1" ht="20.25">
      <c r="A143" s="322"/>
      <c r="B143" s="323"/>
      <c r="C143" s="323"/>
      <c r="D143" s="324"/>
      <c r="E143" s="325"/>
      <c r="F143" s="297"/>
      <c r="G143" s="297"/>
      <c r="H143" s="297"/>
      <c r="I143" s="298"/>
      <c r="J143" s="298"/>
      <c r="K143" s="297"/>
      <c r="L143" s="355"/>
      <c r="M143" s="343"/>
      <c r="N143" s="298"/>
      <c r="O143" s="298"/>
      <c r="P143" s="298"/>
      <c r="Q143" s="298"/>
      <c r="R143" s="298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7">
        <f>SUM(E143:AC143)</f>
        <v>0</v>
      </c>
      <c r="AF143" s="377"/>
      <c r="AG143" s="390"/>
      <c r="AH143" s="507">
        <f>AE143+AF143</f>
        <v>0</v>
      </c>
      <c r="AI143" s="412"/>
      <c r="AJ143" s="508">
        <f>AH143+AI143</f>
        <v>0</v>
      </c>
    </row>
    <row r="144" spans="1:39" s="283" customFormat="1" ht="20.25">
      <c r="A144" s="322"/>
      <c r="B144" s="323"/>
      <c r="C144" s="323"/>
      <c r="D144" s="324"/>
      <c r="E144" s="325"/>
      <c r="F144" s="297"/>
      <c r="G144" s="297"/>
      <c r="H144" s="297"/>
      <c r="I144" s="298"/>
      <c r="J144" s="298"/>
      <c r="K144" s="297"/>
      <c r="L144" s="355"/>
      <c r="M144" s="343"/>
      <c r="N144" s="298"/>
      <c r="O144" s="298"/>
      <c r="P144" s="298"/>
      <c r="Q144" s="298"/>
      <c r="R144" s="298"/>
      <c r="S144" s="298"/>
      <c r="T144" s="367"/>
      <c r="U144" s="355"/>
      <c r="V144" s="325"/>
      <c r="W144" s="297"/>
      <c r="X144" s="297"/>
      <c r="Y144" s="298"/>
      <c r="Z144" s="298"/>
      <c r="AA144" s="298"/>
      <c r="AB144" s="297"/>
      <c r="AC144" s="375"/>
      <c r="AD144" s="355"/>
      <c r="AE144" s="377">
        <f>SUM(E144:AC144)</f>
        <v>0</v>
      </c>
      <c r="AF144" s="377"/>
      <c r="AG144" s="390"/>
      <c r="AH144" s="507">
        <f>AE144+AF144</f>
        <v>0</v>
      </c>
      <c r="AI144" s="412"/>
      <c r="AJ144" s="508">
        <f>AH144+AI144</f>
        <v>0</v>
      </c>
    </row>
    <row r="145" spans="1:39" s="283" customFormat="1" ht="20.25">
      <c r="A145" s="322"/>
      <c r="B145" s="323"/>
      <c r="C145" s="323"/>
      <c r="D145" s="324"/>
      <c r="E145" s="325"/>
      <c r="F145" s="297"/>
      <c r="G145" s="297"/>
      <c r="H145" s="297"/>
      <c r="I145" s="298"/>
      <c r="J145" s="298"/>
      <c r="K145" s="297"/>
      <c r="L145" s="355"/>
      <c r="M145" s="343"/>
      <c r="N145" s="298"/>
      <c r="O145" s="298"/>
      <c r="P145" s="298"/>
      <c r="Q145" s="298"/>
      <c r="R145" s="298"/>
      <c r="S145" s="298"/>
      <c r="T145" s="367"/>
      <c r="U145" s="355"/>
      <c r="V145" s="325"/>
      <c r="W145" s="297"/>
      <c r="X145" s="297"/>
      <c r="Y145" s="298"/>
      <c r="Z145" s="298"/>
      <c r="AA145" s="298"/>
      <c r="AB145" s="297"/>
      <c r="AC145" s="375"/>
      <c r="AD145" s="355"/>
      <c r="AE145" s="377">
        <f>SUM(E145:AC145)</f>
        <v>0</v>
      </c>
      <c r="AF145" s="377"/>
      <c r="AG145" s="390"/>
      <c r="AH145" s="507">
        <f>AE145+AF145</f>
        <v>0</v>
      </c>
      <c r="AI145" s="412"/>
      <c r="AJ145" s="508">
        <f t="shared" ref="AJ145" si="50">AH145+AI145</f>
        <v>0</v>
      </c>
    </row>
    <row r="146" spans="1:39" s="283" customFormat="1" ht="20.25">
      <c r="A146" s="436"/>
      <c r="B146" s="437"/>
      <c r="C146" s="437"/>
      <c r="D146" s="438"/>
      <c r="E146" s="439">
        <f>SUM(E141:E145)</f>
        <v>0</v>
      </c>
      <c r="F146" s="440">
        <f t="shared" ref="F146:K146" si="51">SUM(F141:F145)</f>
        <v>0</v>
      </c>
      <c r="G146" s="440">
        <f t="shared" si="51"/>
        <v>0</v>
      </c>
      <c r="H146" s="440">
        <f t="shared" si="51"/>
        <v>0</v>
      </c>
      <c r="I146" s="440">
        <f t="shared" si="51"/>
        <v>0</v>
      </c>
      <c r="J146" s="440">
        <f t="shared" si="51"/>
        <v>0</v>
      </c>
      <c r="K146" s="440">
        <f t="shared" si="51"/>
        <v>0</v>
      </c>
      <c r="L146" s="482"/>
      <c r="M146" s="439">
        <f t="shared" ref="M146:T146" si="52">SUM(M141:M145)</f>
        <v>0</v>
      </c>
      <c r="N146" s="440">
        <f t="shared" si="52"/>
        <v>0</v>
      </c>
      <c r="O146" s="440">
        <f t="shared" si="52"/>
        <v>0</v>
      </c>
      <c r="P146" s="440">
        <f t="shared" si="52"/>
        <v>0</v>
      </c>
      <c r="Q146" s="440">
        <f t="shared" si="52"/>
        <v>0</v>
      </c>
      <c r="R146" s="440">
        <f t="shared" si="52"/>
        <v>0</v>
      </c>
      <c r="S146" s="440">
        <f t="shared" si="52"/>
        <v>0</v>
      </c>
      <c r="T146" s="481">
        <f t="shared" si="52"/>
        <v>0</v>
      </c>
      <c r="U146" s="482"/>
      <c r="V146" s="439">
        <f t="shared" ref="V146:AC146" si="53">SUM(V141:V145)</f>
        <v>0</v>
      </c>
      <c r="W146" s="440">
        <f t="shared" si="53"/>
        <v>0</v>
      </c>
      <c r="X146" s="440">
        <f t="shared" si="53"/>
        <v>0</v>
      </c>
      <c r="Y146" s="440">
        <f t="shared" si="53"/>
        <v>0</v>
      </c>
      <c r="Z146" s="440">
        <f t="shared" si="53"/>
        <v>0</v>
      </c>
      <c r="AA146" s="440">
        <f t="shared" si="53"/>
        <v>0</v>
      </c>
      <c r="AB146" s="440">
        <f t="shared" si="53"/>
        <v>0</v>
      </c>
      <c r="AC146" s="481">
        <f t="shared" si="53"/>
        <v>0</v>
      </c>
      <c r="AD146" s="482"/>
      <c r="AE146" s="494">
        <f>SUM(AE141:AE145)</f>
        <v>0</v>
      </c>
      <c r="AF146" s="494">
        <f t="shared" ref="AF146:AJ146" si="54">SUM(AF141:AF145)</f>
        <v>0</v>
      </c>
      <c r="AG146" s="494">
        <f t="shared" si="54"/>
        <v>0</v>
      </c>
      <c r="AH146" s="509">
        <f t="shared" si="54"/>
        <v>0</v>
      </c>
      <c r="AI146" s="494">
        <f t="shared" si="54"/>
        <v>0</v>
      </c>
      <c r="AJ146" s="515">
        <f t="shared" si="54"/>
        <v>0</v>
      </c>
    </row>
    <row r="147" spans="1:39" s="284" customFormat="1" ht="8.25" customHeight="1">
      <c r="A147" s="425"/>
      <c r="B147" s="426"/>
      <c r="C147" s="426"/>
      <c r="D147" s="427"/>
      <c r="E147" s="428"/>
      <c r="F147" s="428"/>
      <c r="G147" s="428"/>
      <c r="H147" s="428"/>
      <c r="I147" s="428"/>
      <c r="J147" s="428"/>
      <c r="K147" s="428"/>
      <c r="L147" s="478"/>
      <c r="M147" s="479"/>
      <c r="N147" s="479"/>
      <c r="O147" s="479"/>
      <c r="P147" s="479"/>
      <c r="Q147" s="479"/>
      <c r="R147" s="479"/>
      <c r="S147" s="479"/>
      <c r="T147" s="479"/>
      <c r="U147" s="478"/>
      <c r="V147" s="479"/>
      <c r="W147" s="479"/>
      <c r="X147" s="479"/>
      <c r="Y147" s="479"/>
      <c r="Z147" s="479"/>
      <c r="AA147" s="479"/>
      <c r="AB147" s="479"/>
      <c r="AC147" s="479"/>
      <c r="AD147" s="478"/>
      <c r="AE147" s="479"/>
      <c r="AF147" s="479"/>
      <c r="AG147" s="479"/>
      <c r="AH147" s="479"/>
      <c r="AI147" s="479"/>
      <c r="AJ147" s="506"/>
      <c r="AK147" s="403"/>
      <c r="AL147" s="403"/>
      <c r="AM147" s="403"/>
    </row>
    <row r="148" spans="1:39" s="282" customFormat="1" ht="18">
      <c r="A148" s="441" t="s">
        <v>135</v>
      </c>
      <c r="B148" s="287" t="s">
        <v>68</v>
      </c>
      <c r="C148" s="287" t="s">
        <v>69</v>
      </c>
      <c r="D148" s="288" t="s">
        <v>70</v>
      </c>
      <c r="E148" s="80" t="s">
        <v>96</v>
      </c>
      <c r="F148" s="49"/>
      <c r="G148" s="49" t="s">
        <v>92</v>
      </c>
      <c r="H148" s="49"/>
      <c r="I148" s="49"/>
      <c r="J148" s="49"/>
      <c r="K148" s="49" t="s">
        <v>86</v>
      </c>
      <c r="L148" s="79"/>
      <c r="M148" s="80" t="s">
        <v>97</v>
      </c>
      <c r="N148" s="49" t="s">
        <v>170</v>
      </c>
      <c r="O148" s="49" t="s">
        <v>190</v>
      </c>
      <c r="P148" s="49" t="s">
        <v>206</v>
      </c>
      <c r="Q148" s="49" t="s">
        <v>53</v>
      </c>
      <c r="R148" s="49" t="s">
        <v>222</v>
      </c>
      <c r="S148" s="126" t="s">
        <v>94</v>
      </c>
      <c r="T148" s="171"/>
      <c r="U148" s="79"/>
      <c r="V148" s="80" t="s">
        <v>94</v>
      </c>
      <c r="W148" s="782" t="s">
        <v>53</v>
      </c>
      <c r="X148" s="49" t="s">
        <v>97</v>
      </c>
      <c r="Y148" s="103" t="s">
        <v>190</v>
      </c>
      <c r="Z148" s="104"/>
      <c r="AA148" s="716"/>
      <c r="AB148" s="121"/>
      <c r="AC148" s="171"/>
      <c r="AD148" s="79"/>
      <c r="AE148" s="371" t="s">
        <v>172</v>
      </c>
      <c r="AF148" s="372" t="s">
        <v>80</v>
      </c>
      <c r="AG148" s="385"/>
      <c r="AH148" s="386" t="s">
        <v>106</v>
      </c>
      <c r="AI148" s="385" t="s">
        <v>173</v>
      </c>
      <c r="AJ148" s="371" t="s">
        <v>108</v>
      </c>
    </row>
    <row r="149" spans="1:39" s="283" customFormat="1" ht="20.25">
      <c r="A149" s="442"/>
      <c r="B149" s="443"/>
      <c r="C149" s="443"/>
      <c r="D149" s="444"/>
      <c r="E149" s="433"/>
      <c r="F149" s="434"/>
      <c r="G149" s="434"/>
      <c r="H149" s="434"/>
      <c r="I149" s="435"/>
      <c r="J149" s="435"/>
      <c r="K149" s="434"/>
      <c r="L149" s="483"/>
      <c r="M149" s="484"/>
      <c r="N149" s="435"/>
      <c r="O149" s="435"/>
      <c r="P149" s="435"/>
      <c r="Q149" s="435"/>
      <c r="R149" s="435"/>
      <c r="S149" s="435"/>
      <c r="T149" s="492"/>
      <c r="U149" s="483"/>
      <c r="V149" s="433"/>
      <c r="W149" s="434"/>
      <c r="X149" s="434"/>
      <c r="Y149" s="435"/>
      <c r="Z149" s="435"/>
      <c r="AA149" s="435"/>
      <c r="AB149" s="434"/>
      <c r="AC149" s="495"/>
      <c r="AD149" s="483"/>
      <c r="AE149" s="496">
        <f>SUM(E149:AC149)</f>
        <v>0</v>
      </c>
      <c r="AF149" s="497"/>
      <c r="AG149" s="510"/>
      <c r="AH149" s="511">
        <f>AE149+AF149</f>
        <v>0</v>
      </c>
      <c r="AI149" s="512"/>
      <c r="AJ149" s="513">
        <f>AH149+AI149</f>
        <v>0</v>
      </c>
    </row>
    <row r="150" spans="1:39" s="283" customFormat="1" ht="20.25">
      <c r="A150" s="445"/>
      <c r="B150" s="323"/>
      <c r="C150" s="323"/>
      <c r="D150" s="324"/>
      <c r="E150" s="325"/>
      <c r="F150" s="297"/>
      <c r="G150" s="297"/>
      <c r="H150" s="297"/>
      <c r="I150" s="298"/>
      <c r="J150" s="298"/>
      <c r="K150" s="297"/>
      <c r="L150" s="355"/>
      <c r="M150" s="343"/>
      <c r="N150" s="298"/>
      <c r="O150" s="298"/>
      <c r="P150" s="298"/>
      <c r="Q150" s="298"/>
      <c r="R150" s="298"/>
      <c r="S150" s="298"/>
      <c r="T150" s="367"/>
      <c r="U150" s="355"/>
      <c r="V150" s="325"/>
      <c r="W150" s="297"/>
      <c r="X150" s="297"/>
      <c r="Y150" s="298"/>
      <c r="Z150" s="298"/>
      <c r="AA150" s="298"/>
      <c r="AB150" s="297"/>
      <c r="AC150" s="375"/>
      <c r="AD150" s="355"/>
      <c r="AE150" s="376">
        <f>SUM(E150:AC150)</f>
        <v>0</v>
      </c>
      <c r="AF150" s="377"/>
      <c r="AG150" s="390"/>
      <c r="AH150" s="391">
        <f>AE150+AF150</f>
        <v>0</v>
      </c>
      <c r="AI150" s="412"/>
      <c r="AJ150" s="413">
        <f t="shared" ref="AJ150:AJ152" si="55">AH150+AI150</f>
        <v>0</v>
      </c>
    </row>
    <row r="151" spans="1:39" s="283" customFormat="1" ht="20.25">
      <c r="A151" s="445"/>
      <c r="B151" s="323"/>
      <c r="C151" s="323"/>
      <c r="D151" s="324"/>
      <c r="E151" s="325"/>
      <c r="F151" s="297"/>
      <c r="G151" s="297"/>
      <c r="H151" s="297"/>
      <c r="I151" s="298"/>
      <c r="J151" s="298"/>
      <c r="K151" s="297"/>
      <c r="L151" s="355"/>
      <c r="M151" s="343"/>
      <c r="N151" s="298"/>
      <c r="O151" s="298"/>
      <c r="P151" s="298"/>
      <c r="Q151" s="298"/>
      <c r="R151" s="298"/>
      <c r="S151" s="298"/>
      <c r="T151" s="367"/>
      <c r="U151" s="355"/>
      <c r="V151" s="325"/>
      <c r="W151" s="297"/>
      <c r="X151" s="297"/>
      <c r="Y151" s="298"/>
      <c r="Z151" s="298"/>
      <c r="AA151" s="298"/>
      <c r="AB151" s="297"/>
      <c r="AC151" s="375"/>
      <c r="AD151" s="355"/>
      <c r="AE151" s="376">
        <f>SUM(E151:AC151)</f>
        <v>0</v>
      </c>
      <c r="AF151" s="377"/>
      <c r="AG151" s="390"/>
      <c r="AH151" s="391">
        <f>AE151+AF151</f>
        <v>0</v>
      </c>
      <c r="AI151" s="412"/>
      <c r="AJ151" s="413">
        <f t="shared" si="55"/>
        <v>0</v>
      </c>
    </row>
    <row r="152" spans="1:39" s="283" customFormat="1" ht="20.25">
      <c r="A152" s="322"/>
      <c r="B152" s="323"/>
      <c r="C152" s="323"/>
      <c r="D152" s="324"/>
      <c r="E152" s="325"/>
      <c r="F152" s="297"/>
      <c r="G152" s="297"/>
      <c r="H152" s="297"/>
      <c r="I152" s="298"/>
      <c r="J152" s="298"/>
      <c r="K152" s="297"/>
      <c r="L152" s="355"/>
      <c r="M152" s="343"/>
      <c r="N152" s="298"/>
      <c r="O152" s="298"/>
      <c r="P152" s="298"/>
      <c r="Q152" s="298"/>
      <c r="R152" s="298"/>
      <c r="S152" s="298"/>
      <c r="T152" s="367"/>
      <c r="U152" s="355"/>
      <c r="V152" s="325"/>
      <c r="W152" s="297"/>
      <c r="X152" s="297"/>
      <c r="Y152" s="298"/>
      <c r="Z152" s="298"/>
      <c r="AA152" s="298"/>
      <c r="AB152" s="297"/>
      <c r="AC152" s="375"/>
      <c r="AD152" s="355"/>
      <c r="AE152" s="377">
        <f>SUM(E152:AC152)</f>
        <v>0</v>
      </c>
      <c r="AF152" s="377"/>
      <c r="AG152" s="390"/>
      <c r="AH152" s="507">
        <f>AE152+AF152</f>
        <v>0</v>
      </c>
      <c r="AI152" s="412"/>
      <c r="AJ152" s="508">
        <f t="shared" si="55"/>
        <v>0</v>
      </c>
    </row>
    <row r="153" spans="1:39" s="283" customFormat="1" ht="20.25">
      <c r="A153" s="436"/>
      <c r="B153" s="437"/>
      <c r="C153" s="437"/>
      <c r="D153" s="438"/>
      <c r="E153" s="439">
        <f>SUM(E149:E152)</f>
        <v>0</v>
      </c>
      <c r="F153" s="439">
        <f t="shared" ref="F153:M153" si="56">SUM(F149:F152)</f>
        <v>0</v>
      </c>
      <c r="G153" s="439">
        <f t="shared" si="56"/>
        <v>0</v>
      </c>
      <c r="H153" s="439">
        <f t="shared" si="56"/>
        <v>0</v>
      </c>
      <c r="I153" s="439">
        <f t="shared" si="56"/>
        <v>0</v>
      </c>
      <c r="J153" s="439">
        <f t="shared" si="56"/>
        <v>0</v>
      </c>
      <c r="K153" s="439">
        <f t="shared" si="56"/>
        <v>0</v>
      </c>
      <c r="L153" s="439">
        <f t="shared" si="56"/>
        <v>0</v>
      </c>
      <c r="M153" s="439">
        <f t="shared" si="56"/>
        <v>0</v>
      </c>
      <c r="N153" s="439">
        <f t="shared" ref="N153:T153" si="57">SUM(N149:N152)</f>
        <v>0</v>
      </c>
      <c r="O153" s="439">
        <f t="shared" si="57"/>
        <v>0</v>
      </c>
      <c r="P153" s="439">
        <f t="shared" si="57"/>
        <v>0</v>
      </c>
      <c r="Q153" s="439">
        <f t="shared" si="57"/>
        <v>0</v>
      </c>
      <c r="R153" s="439">
        <f t="shared" si="57"/>
        <v>0</v>
      </c>
      <c r="S153" s="439">
        <f t="shared" si="57"/>
        <v>0</v>
      </c>
      <c r="T153" s="439">
        <f t="shared" si="57"/>
        <v>0</v>
      </c>
      <c r="U153" s="482"/>
      <c r="V153" s="439">
        <f>SUM(V149:V152)</f>
        <v>0</v>
      </c>
      <c r="W153" s="439">
        <f t="shared" ref="W153:AC153" si="58">SUM(W149:W152)</f>
        <v>0</v>
      </c>
      <c r="X153" s="439">
        <f t="shared" si="58"/>
        <v>0</v>
      </c>
      <c r="Y153" s="439">
        <f t="shared" si="58"/>
        <v>0</v>
      </c>
      <c r="Z153" s="439">
        <f t="shared" si="58"/>
        <v>0</v>
      </c>
      <c r="AA153" s="439">
        <f t="shared" si="58"/>
        <v>0</v>
      </c>
      <c r="AB153" s="439">
        <f t="shared" si="58"/>
        <v>0</v>
      </c>
      <c r="AC153" s="439">
        <f t="shared" si="58"/>
        <v>0</v>
      </c>
      <c r="AD153" s="482"/>
      <c r="AE153" s="494">
        <f>SUM(AE149:AE152)</f>
        <v>0</v>
      </c>
      <c r="AF153" s="494">
        <f>SUM(AF149:AF152)</f>
        <v>0</v>
      </c>
      <c r="AG153" s="509"/>
      <c r="AH153" s="514">
        <f>SUM(AH149:AH152)</f>
        <v>0</v>
      </c>
      <c r="AI153" s="494">
        <f>SUM(AI149:AI152)</f>
        <v>0</v>
      </c>
      <c r="AJ153" s="515">
        <f>SUM(AJ149:AJ152)</f>
        <v>0</v>
      </c>
    </row>
    <row r="154" spans="1:39" s="284" customFormat="1" ht="8.25" customHeight="1">
      <c r="A154" s="425"/>
      <c r="B154" s="426"/>
      <c r="C154" s="426"/>
      <c r="D154" s="427"/>
      <c r="E154" s="428"/>
      <c r="F154" s="428"/>
      <c r="G154" s="428"/>
      <c r="H154" s="428"/>
      <c r="I154" s="428"/>
      <c r="J154" s="428"/>
      <c r="K154" s="428"/>
      <c r="L154" s="478"/>
      <c r="M154" s="479"/>
      <c r="N154" s="479"/>
      <c r="O154" s="479"/>
      <c r="P154" s="479"/>
      <c r="Q154" s="479"/>
      <c r="R154" s="479"/>
      <c r="S154" s="479"/>
      <c r="T154" s="479"/>
      <c r="U154" s="478"/>
      <c r="V154" s="479"/>
      <c r="W154" s="479"/>
      <c r="X154" s="479"/>
      <c r="Y154" s="479"/>
      <c r="Z154" s="479"/>
      <c r="AA154" s="479"/>
      <c r="AB154" s="479"/>
      <c r="AC154" s="479"/>
      <c r="AD154" s="478"/>
      <c r="AE154" s="479"/>
      <c r="AF154" s="479"/>
      <c r="AG154" s="479"/>
      <c r="AH154" s="479"/>
      <c r="AI154" s="479"/>
      <c r="AJ154" s="506"/>
      <c r="AK154" s="403"/>
      <c r="AL154" s="403"/>
      <c r="AM154" s="403"/>
    </row>
    <row r="155" spans="1:39" s="282" customFormat="1" ht="18">
      <c r="A155" s="446" t="s">
        <v>140</v>
      </c>
      <c r="B155" s="287" t="s">
        <v>68</v>
      </c>
      <c r="C155" s="447" t="s">
        <v>69</v>
      </c>
      <c r="D155" s="448" t="s">
        <v>70</v>
      </c>
      <c r="E155" s="80" t="s">
        <v>96</v>
      </c>
      <c r="F155" s="49"/>
      <c r="G155" s="49" t="s">
        <v>92</v>
      </c>
      <c r="H155" s="49"/>
      <c r="I155" s="49" t="s">
        <v>85</v>
      </c>
      <c r="J155" s="49"/>
      <c r="K155" s="49" t="s">
        <v>86</v>
      </c>
      <c r="L155" s="79"/>
      <c r="M155" s="80" t="s">
        <v>97</v>
      </c>
      <c r="N155" s="49" t="s">
        <v>170</v>
      </c>
      <c r="O155" s="49" t="s">
        <v>190</v>
      </c>
      <c r="P155" s="49" t="s">
        <v>206</v>
      </c>
      <c r="Q155" s="49" t="s">
        <v>53</v>
      </c>
      <c r="R155" s="49" t="s">
        <v>222</v>
      </c>
      <c r="S155" s="126" t="s">
        <v>94</v>
      </c>
      <c r="T155" s="171"/>
      <c r="U155" s="79"/>
      <c r="V155" s="80" t="s">
        <v>94</v>
      </c>
      <c r="W155" s="1220" t="s">
        <v>53</v>
      </c>
      <c r="X155" s="49" t="s">
        <v>97</v>
      </c>
      <c r="Y155" s="103" t="s">
        <v>190</v>
      </c>
      <c r="Z155" s="104"/>
      <c r="AA155" s="716"/>
      <c r="AB155" s="121"/>
      <c r="AC155" s="171"/>
      <c r="AD155" s="79"/>
      <c r="AE155" s="371" t="s">
        <v>172</v>
      </c>
      <c r="AF155" s="498" t="s">
        <v>80</v>
      </c>
      <c r="AG155" s="385"/>
      <c r="AH155" s="386" t="s">
        <v>106</v>
      </c>
      <c r="AI155" s="385" t="s">
        <v>173</v>
      </c>
      <c r="AJ155" s="371" t="s">
        <v>108</v>
      </c>
    </row>
    <row r="156" spans="1:39" s="283" customFormat="1" ht="20.25">
      <c r="A156" s="449" t="s">
        <v>180</v>
      </c>
      <c r="B156" s="450"/>
      <c r="C156" s="450"/>
      <c r="D156" s="451"/>
      <c r="E156" s="452"/>
      <c r="F156" s="453"/>
      <c r="G156" s="453"/>
      <c r="H156" s="453"/>
      <c r="I156" s="454"/>
      <c r="J156" s="454"/>
      <c r="K156" s="453"/>
      <c r="L156" s="355"/>
      <c r="M156" s="343"/>
      <c r="N156" s="298"/>
      <c r="O156" s="435"/>
      <c r="P156" s="298"/>
      <c r="Q156" s="298"/>
      <c r="R156" s="435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6">
        <f t="shared" ref="AE156:AE161" si="59">SUM(E156:AC156)</f>
        <v>0</v>
      </c>
      <c r="AF156" s="499"/>
      <c r="AG156" s="516"/>
      <c r="AH156" s="391">
        <f t="shared" ref="AH156:AH161" si="60">AE156+AF156</f>
        <v>0</v>
      </c>
      <c r="AI156" s="412"/>
      <c r="AJ156" s="413">
        <f>AH156+AI156</f>
        <v>0</v>
      </c>
    </row>
    <row r="157" spans="1:39" s="283" customFormat="1" ht="20.25">
      <c r="A157" s="445"/>
      <c r="B157" s="455"/>
      <c r="C157" s="455"/>
      <c r="D157" s="456"/>
      <c r="E157" s="457"/>
      <c r="F157" s="458"/>
      <c r="G157" s="458"/>
      <c r="H157" s="458"/>
      <c r="I157" s="459"/>
      <c r="J157" s="459"/>
      <c r="K157" s="458"/>
      <c r="L157" s="355"/>
      <c r="M157" s="756"/>
      <c r="N157" s="459"/>
      <c r="O157" s="459"/>
      <c r="P157" s="459"/>
      <c r="Q157" s="459"/>
      <c r="R157" s="459"/>
      <c r="S157" s="459"/>
      <c r="T157" s="761"/>
      <c r="U157" s="355"/>
      <c r="V157" s="458"/>
      <c r="W157" s="458"/>
      <c r="X157" s="458"/>
      <c r="Y157" s="459"/>
      <c r="Z157" s="459"/>
      <c r="AA157" s="459"/>
      <c r="AB157" s="458"/>
      <c r="AC157" s="458"/>
      <c r="AD157" s="355"/>
      <c r="AE157" s="376">
        <f t="shared" si="59"/>
        <v>0</v>
      </c>
      <c r="AF157" s="500"/>
      <c r="AG157" s="516"/>
      <c r="AH157" s="391">
        <f t="shared" si="60"/>
        <v>0</v>
      </c>
      <c r="AI157" s="412"/>
      <c r="AJ157" s="413">
        <f t="shared" ref="AJ157:AJ158" si="61">AH157+AI157</f>
        <v>0</v>
      </c>
    </row>
    <row r="158" spans="1:39" s="283" customFormat="1" ht="20.25">
      <c r="A158" s="442"/>
      <c r="B158" s="455"/>
      <c r="C158" s="455"/>
      <c r="D158" s="456"/>
      <c r="E158" s="457"/>
      <c r="F158" s="458"/>
      <c r="G158" s="458"/>
      <c r="H158" s="458"/>
      <c r="I158" s="459"/>
      <c r="J158" s="459"/>
      <c r="K158" s="458"/>
      <c r="L158" s="483"/>
      <c r="M158" s="484"/>
      <c r="N158" s="435"/>
      <c r="O158" s="435"/>
      <c r="P158" s="435"/>
      <c r="Q158" s="435"/>
      <c r="R158" s="435"/>
      <c r="S158" s="435"/>
      <c r="T158" s="492"/>
      <c r="U158" s="483"/>
      <c r="V158" s="458"/>
      <c r="W158" s="458"/>
      <c r="X158" s="458"/>
      <c r="Y158" s="459"/>
      <c r="Z158" s="459"/>
      <c r="AA158" s="459"/>
      <c r="AB158" s="458"/>
      <c r="AC158" s="458"/>
      <c r="AD158" s="483"/>
      <c r="AE158" s="496">
        <f t="shared" si="59"/>
        <v>0</v>
      </c>
      <c r="AF158" s="500"/>
      <c r="AG158" s="517"/>
      <c r="AH158" s="511">
        <f t="shared" si="60"/>
        <v>0</v>
      </c>
      <c r="AI158" s="512"/>
      <c r="AJ158" s="513">
        <f t="shared" si="61"/>
        <v>0</v>
      </c>
    </row>
    <row r="159" spans="1:39" s="283" customFormat="1" ht="20.25">
      <c r="A159" s="445"/>
      <c r="B159" s="455"/>
      <c r="C159" s="455"/>
      <c r="D159" s="456"/>
      <c r="E159" s="457"/>
      <c r="F159" s="458"/>
      <c r="G159" s="458"/>
      <c r="H159" s="458"/>
      <c r="I159" s="459"/>
      <c r="J159" s="459"/>
      <c r="K159" s="458"/>
      <c r="L159" s="355"/>
      <c r="M159" s="343"/>
      <c r="N159" s="298"/>
      <c r="O159" s="298"/>
      <c r="P159" s="298"/>
      <c r="Q159" s="298"/>
      <c r="R159" s="298"/>
      <c r="S159" s="298"/>
      <c r="T159" s="367"/>
      <c r="U159" s="355"/>
      <c r="V159" s="325"/>
      <c r="W159" s="297"/>
      <c r="X159" s="297"/>
      <c r="Y159" s="298"/>
      <c r="Z159" s="298"/>
      <c r="AA159" s="298"/>
      <c r="AB159" s="297"/>
      <c r="AC159" s="375"/>
      <c r="AD159" s="355"/>
      <c r="AE159" s="376">
        <f t="shared" si="59"/>
        <v>0</v>
      </c>
      <c r="AF159" s="500"/>
      <c r="AG159" s="516"/>
      <c r="AH159" s="391">
        <f t="shared" si="60"/>
        <v>0</v>
      </c>
      <c r="AI159" s="412"/>
      <c r="AJ159" s="413">
        <f t="shared" ref="AJ159:AJ161" si="62">AH159+AI159</f>
        <v>0</v>
      </c>
    </row>
    <row r="160" spans="1:39" s="283" customFormat="1" ht="20.25">
      <c r="A160" s="445"/>
      <c r="B160" s="455"/>
      <c r="C160" s="455"/>
      <c r="D160" s="456"/>
      <c r="E160" s="457"/>
      <c r="F160" s="458"/>
      <c r="G160" s="458"/>
      <c r="H160" s="458"/>
      <c r="I160" s="459"/>
      <c r="J160" s="459"/>
      <c r="K160" s="458"/>
      <c r="L160" s="355"/>
      <c r="M160" s="343"/>
      <c r="N160" s="298"/>
      <c r="O160" s="298"/>
      <c r="P160" s="298"/>
      <c r="Q160" s="298"/>
      <c r="R160" s="298"/>
      <c r="S160" s="298"/>
      <c r="T160" s="367"/>
      <c r="U160" s="355"/>
      <c r="V160" s="325"/>
      <c r="W160" s="297"/>
      <c r="X160" s="297"/>
      <c r="Y160" s="298"/>
      <c r="Z160" s="298"/>
      <c r="AA160" s="298"/>
      <c r="AB160" s="297"/>
      <c r="AC160" s="375"/>
      <c r="AD160" s="355"/>
      <c r="AE160" s="376">
        <f t="shared" si="59"/>
        <v>0</v>
      </c>
      <c r="AF160" s="500"/>
      <c r="AG160" s="516"/>
      <c r="AH160" s="391">
        <f t="shared" si="60"/>
        <v>0</v>
      </c>
      <c r="AI160" s="412"/>
      <c r="AJ160" s="413">
        <f t="shared" si="62"/>
        <v>0</v>
      </c>
    </row>
    <row r="161" spans="1:39" s="283" customFormat="1" ht="20.25">
      <c r="A161" s="460"/>
      <c r="B161" s="461"/>
      <c r="C161" s="461"/>
      <c r="D161" s="462"/>
      <c r="E161" s="463"/>
      <c r="F161" s="464"/>
      <c r="G161" s="464"/>
      <c r="H161" s="464"/>
      <c r="I161" s="465"/>
      <c r="J161" s="465"/>
      <c r="K161" s="464"/>
      <c r="L161" s="355"/>
      <c r="M161" s="343"/>
      <c r="N161" s="298"/>
      <c r="O161" s="298"/>
      <c r="P161" s="298"/>
      <c r="Q161" s="298"/>
      <c r="R161" s="298"/>
      <c r="S161" s="298"/>
      <c r="T161" s="367"/>
      <c r="U161" s="355"/>
      <c r="V161" s="325"/>
      <c r="W161" s="297"/>
      <c r="X161" s="297"/>
      <c r="Y161" s="298"/>
      <c r="Z161" s="298"/>
      <c r="AA161" s="298"/>
      <c r="AB161" s="297"/>
      <c r="AC161" s="375"/>
      <c r="AD161" s="355"/>
      <c r="AE161" s="377">
        <f t="shared" si="59"/>
        <v>0</v>
      </c>
      <c r="AF161" s="501"/>
      <c r="AG161" s="516"/>
      <c r="AH161" s="507">
        <f t="shared" si="60"/>
        <v>0</v>
      </c>
      <c r="AI161" s="412"/>
      <c r="AJ161" s="508">
        <f t="shared" si="62"/>
        <v>0</v>
      </c>
    </row>
    <row r="162" spans="1:39" s="283" customFormat="1" ht="20.25">
      <c r="A162" s="466"/>
      <c r="B162" s="467"/>
      <c r="C162" s="467"/>
      <c r="D162" s="468"/>
      <c r="E162" s="469">
        <f>SUM(E156:E161)</f>
        <v>0</v>
      </c>
      <c r="F162" s="469">
        <f t="shared" ref="F162:K162" si="63">SUM(F156:F161)</f>
        <v>0</v>
      </c>
      <c r="G162" s="469">
        <f t="shared" si="63"/>
        <v>0</v>
      </c>
      <c r="H162" s="469">
        <f t="shared" si="63"/>
        <v>0</v>
      </c>
      <c r="I162" s="469">
        <f t="shared" si="63"/>
        <v>0</v>
      </c>
      <c r="J162" s="469">
        <f t="shared" si="63"/>
        <v>0</v>
      </c>
      <c r="K162" s="469">
        <f t="shared" si="63"/>
        <v>0</v>
      </c>
      <c r="L162" s="482"/>
      <c r="M162" s="439">
        <f>SUM(M156:M161)</f>
        <v>0</v>
      </c>
      <c r="N162" s="439">
        <f t="shared" ref="N162:T162" si="64">SUM(N156:N161)</f>
        <v>0</v>
      </c>
      <c r="O162" s="439">
        <f t="shared" si="64"/>
        <v>0</v>
      </c>
      <c r="P162" s="439">
        <f t="shared" si="64"/>
        <v>0</v>
      </c>
      <c r="Q162" s="439">
        <f t="shared" si="64"/>
        <v>0</v>
      </c>
      <c r="R162" s="439">
        <f t="shared" si="64"/>
        <v>0</v>
      </c>
      <c r="S162" s="439">
        <f t="shared" si="64"/>
        <v>0</v>
      </c>
      <c r="T162" s="439">
        <f t="shared" si="64"/>
        <v>0</v>
      </c>
      <c r="U162" s="482"/>
      <c r="V162" s="439">
        <f>SUM(V156:V161)</f>
        <v>0</v>
      </c>
      <c r="W162" s="439">
        <f t="shared" ref="W162:AC162" si="65">SUM(W156:W161)</f>
        <v>0</v>
      </c>
      <c r="X162" s="439">
        <f t="shared" si="65"/>
        <v>0</v>
      </c>
      <c r="Y162" s="439">
        <f t="shared" si="65"/>
        <v>0</v>
      </c>
      <c r="Z162" s="439">
        <f t="shared" si="65"/>
        <v>0</v>
      </c>
      <c r="AA162" s="439">
        <f t="shared" si="65"/>
        <v>0</v>
      </c>
      <c r="AB162" s="439">
        <f t="shared" si="65"/>
        <v>0</v>
      </c>
      <c r="AC162" s="439">
        <f t="shared" si="65"/>
        <v>0</v>
      </c>
      <c r="AD162" s="482"/>
      <c r="AE162" s="494">
        <f>SUM(AE156:AE161)</f>
        <v>0</v>
      </c>
      <c r="AF162" s="502">
        <f>SUM(AF156:AF161)</f>
        <v>0</v>
      </c>
      <c r="AG162" s="509"/>
      <c r="AH162" s="514">
        <f>SUM(AH156:AH161)</f>
        <v>0</v>
      </c>
      <c r="AI162" s="494">
        <f>SUM(AI156:AI161)</f>
        <v>0</v>
      </c>
      <c r="AJ162" s="515">
        <f>SUM(AJ156:AJ161)</f>
        <v>0</v>
      </c>
    </row>
    <row r="163" spans="1:39" s="284" customFormat="1" ht="8.25" customHeight="1">
      <c r="A163" s="425"/>
      <c r="B163" s="426"/>
      <c r="C163" s="426"/>
      <c r="D163" s="427"/>
      <c r="E163" s="428"/>
      <c r="F163" s="428"/>
      <c r="G163" s="428"/>
      <c r="H163" s="428"/>
      <c r="I163" s="428"/>
      <c r="J163" s="428"/>
      <c r="K163" s="428"/>
      <c r="L163" s="478"/>
      <c r="M163" s="479"/>
      <c r="N163" s="479"/>
      <c r="O163" s="479"/>
      <c r="P163" s="479"/>
      <c r="Q163" s="479"/>
      <c r="R163" s="479"/>
      <c r="S163" s="479"/>
      <c r="T163" s="479"/>
      <c r="U163" s="478"/>
      <c r="V163" s="479"/>
      <c r="W163" s="479"/>
      <c r="X163" s="479"/>
      <c r="Y163" s="479"/>
      <c r="Z163" s="479"/>
      <c r="AA163" s="479"/>
      <c r="AB163" s="479"/>
      <c r="AC163" s="479"/>
      <c r="AD163" s="478"/>
      <c r="AE163" s="479"/>
      <c r="AF163" s="479"/>
      <c r="AG163" s="479"/>
      <c r="AH163" s="479"/>
      <c r="AI163" s="479"/>
      <c r="AJ163" s="506"/>
      <c r="AK163" s="403"/>
      <c r="AL163" s="403"/>
      <c r="AM163" s="403"/>
    </row>
    <row r="164" spans="1:39" s="282" customFormat="1" ht="18">
      <c r="A164" s="441" t="s">
        <v>143</v>
      </c>
      <c r="B164" s="287" t="s">
        <v>68</v>
      </c>
      <c r="C164" s="287" t="s">
        <v>69</v>
      </c>
      <c r="D164" s="288" t="s">
        <v>70</v>
      </c>
      <c r="E164" s="80" t="s">
        <v>96</v>
      </c>
      <c r="F164" s="49"/>
      <c r="G164" s="49" t="s">
        <v>92</v>
      </c>
      <c r="H164" s="49"/>
      <c r="I164" s="49"/>
      <c r="J164" s="49" t="s">
        <v>532</v>
      </c>
      <c r="K164" s="49" t="s">
        <v>86</v>
      </c>
      <c r="L164" s="79"/>
      <c r="M164" s="80" t="s">
        <v>97</v>
      </c>
      <c r="N164" s="49" t="s">
        <v>170</v>
      </c>
      <c r="O164" s="49" t="s">
        <v>190</v>
      </c>
      <c r="P164" s="49" t="s">
        <v>206</v>
      </c>
      <c r="Q164" s="49" t="s">
        <v>53</v>
      </c>
      <c r="R164" s="49" t="s">
        <v>222</v>
      </c>
      <c r="S164" s="126" t="s">
        <v>94</v>
      </c>
      <c r="T164" s="171"/>
      <c r="U164" s="79"/>
      <c r="V164" s="80" t="s">
        <v>94</v>
      </c>
      <c r="W164" s="49" t="s">
        <v>53</v>
      </c>
      <c r="X164" s="49" t="s">
        <v>97</v>
      </c>
      <c r="Y164" s="103" t="s">
        <v>190</v>
      </c>
      <c r="Z164" s="104"/>
      <c r="AA164" s="716"/>
      <c r="AB164" s="121"/>
      <c r="AC164" s="171"/>
      <c r="AD164" s="79"/>
      <c r="AE164" s="371" t="s">
        <v>172</v>
      </c>
      <c r="AF164" s="372" t="s">
        <v>80</v>
      </c>
      <c r="AG164" s="385"/>
      <c r="AH164" s="386" t="s">
        <v>106</v>
      </c>
      <c r="AI164" s="385" t="s">
        <v>173</v>
      </c>
      <c r="AJ164" s="371" t="s">
        <v>108</v>
      </c>
    </row>
    <row r="165" spans="1:39" s="283" customFormat="1" ht="20.25">
      <c r="A165" s="471" t="s">
        <v>181</v>
      </c>
      <c r="B165" s="472"/>
      <c r="C165" s="472"/>
      <c r="D165" s="473"/>
      <c r="E165" s="474"/>
      <c r="F165" s="475"/>
      <c r="G165" s="475"/>
      <c r="H165" s="475"/>
      <c r="I165" s="476"/>
      <c r="J165" s="476"/>
      <c r="K165" s="475"/>
      <c r="L165" s="490"/>
      <c r="M165" s="491"/>
      <c r="N165" s="476"/>
      <c r="O165" s="476"/>
      <c r="P165" s="476"/>
      <c r="Q165" s="476"/>
      <c r="R165" s="476"/>
      <c r="S165" s="476"/>
      <c r="T165" s="493"/>
      <c r="U165" s="490"/>
      <c r="V165" s="474"/>
      <c r="W165" s="475"/>
      <c r="X165" s="475"/>
      <c r="Y165" s="476"/>
      <c r="Z165" s="476"/>
      <c r="AA165" s="476"/>
      <c r="AB165" s="475"/>
      <c r="AC165" s="503"/>
      <c r="AD165" s="490"/>
      <c r="AE165" s="504">
        <f>SUM(E165:AC165)</f>
        <v>0</v>
      </c>
      <c r="AF165" s="505"/>
      <c r="AG165" s="518"/>
      <c r="AH165" s="519">
        <f>AE165+AF165</f>
        <v>0</v>
      </c>
      <c r="AI165" s="520"/>
      <c r="AJ165" s="521">
        <f>AH165+AI165</f>
        <v>0</v>
      </c>
    </row>
    <row r="166" spans="1:39" s="283" customFormat="1" ht="20.25">
      <c r="A166" s="445"/>
      <c r="B166" s="323"/>
      <c r="C166" s="323"/>
      <c r="D166" s="324"/>
      <c r="E166" s="325"/>
      <c r="F166" s="297"/>
      <c r="G166" s="297"/>
      <c r="H166" s="297"/>
      <c r="I166" s="298"/>
      <c r="J166" s="298"/>
      <c r="K166" s="297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6">
        <f>SUM(E166:AC166)</f>
        <v>0</v>
      </c>
      <c r="AF166" s="377"/>
      <c r="AG166" s="390"/>
      <c r="AH166" s="391">
        <f>AE166+AF166</f>
        <v>0</v>
      </c>
      <c r="AI166" s="412"/>
      <c r="AJ166" s="413">
        <f t="shared" ref="AJ166:AJ169" si="66">AH166+AI166</f>
        <v>0</v>
      </c>
    </row>
    <row r="167" spans="1:39" s="283" customFormat="1" ht="20.25">
      <c r="A167" s="445"/>
      <c r="B167" s="323"/>
      <c r="C167" s="323"/>
      <c r="D167" s="324"/>
      <c r="E167" s="325"/>
      <c r="F167" s="297"/>
      <c r="G167" s="297"/>
      <c r="H167" s="297"/>
      <c r="I167" s="298"/>
      <c r="J167" s="298"/>
      <c r="K167" s="297"/>
      <c r="L167" s="355"/>
      <c r="M167" s="343"/>
      <c r="N167" s="298"/>
      <c r="O167" s="298"/>
      <c r="P167" s="298"/>
      <c r="Q167" s="298"/>
      <c r="R167" s="298"/>
      <c r="S167" s="298"/>
      <c r="T167" s="367"/>
      <c r="U167" s="355"/>
      <c r="V167" s="325"/>
      <c r="W167" s="297"/>
      <c r="X167" s="297"/>
      <c r="Y167" s="298"/>
      <c r="Z167" s="298"/>
      <c r="AA167" s="298"/>
      <c r="AB167" s="297"/>
      <c r="AC167" s="375"/>
      <c r="AD167" s="355"/>
      <c r="AE167" s="376">
        <f>SUM(E167:AC167)</f>
        <v>0</v>
      </c>
      <c r="AF167" s="377"/>
      <c r="AG167" s="390"/>
      <c r="AH167" s="391">
        <f>AE167+AF167</f>
        <v>0</v>
      </c>
      <c r="AI167" s="412"/>
      <c r="AJ167" s="413">
        <f t="shared" si="66"/>
        <v>0</v>
      </c>
    </row>
    <row r="168" spans="1:39" s="283" customFormat="1" ht="20.25">
      <c r="A168" s="445"/>
      <c r="B168" s="323"/>
      <c r="C168" s="323"/>
      <c r="D168" s="324"/>
      <c r="E168" s="325"/>
      <c r="F168" s="297"/>
      <c r="G168" s="297"/>
      <c r="H168" s="297"/>
      <c r="I168" s="298"/>
      <c r="J168" s="298"/>
      <c r="K168" s="297"/>
      <c r="L168" s="355"/>
      <c r="M168" s="343"/>
      <c r="N168" s="298"/>
      <c r="O168" s="298"/>
      <c r="P168" s="298"/>
      <c r="Q168" s="298"/>
      <c r="R168" s="298"/>
      <c r="S168" s="298"/>
      <c r="T168" s="367"/>
      <c r="U168" s="355"/>
      <c r="V168" s="325"/>
      <c r="W168" s="297"/>
      <c r="X168" s="297"/>
      <c r="Y168" s="298"/>
      <c r="Z168" s="298"/>
      <c r="AA168" s="298"/>
      <c r="AB168" s="297"/>
      <c r="AC168" s="375"/>
      <c r="AD168" s="355"/>
      <c r="AE168" s="376">
        <f>SUM(E168:AC168)</f>
        <v>0</v>
      </c>
      <c r="AF168" s="377"/>
      <c r="AG168" s="390"/>
      <c r="AH168" s="391">
        <f>AE168+AF168</f>
        <v>0</v>
      </c>
      <c r="AI168" s="412"/>
      <c r="AJ168" s="413">
        <f t="shared" si="66"/>
        <v>0</v>
      </c>
    </row>
    <row r="169" spans="1:39" s="283" customFormat="1" ht="20.25">
      <c r="A169" s="322"/>
      <c r="B169" s="323"/>
      <c r="C169" s="323"/>
      <c r="D169" s="324"/>
      <c r="E169" s="325"/>
      <c r="F169" s="297"/>
      <c r="G169" s="297"/>
      <c r="H169" s="297"/>
      <c r="I169" s="298"/>
      <c r="J169" s="298"/>
      <c r="K169" s="297"/>
      <c r="L169" s="355"/>
      <c r="M169" s="343"/>
      <c r="N169" s="298"/>
      <c r="O169" s="298"/>
      <c r="P169" s="298"/>
      <c r="Q169" s="298"/>
      <c r="R169" s="298"/>
      <c r="S169" s="298"/>
      <c r="T169" s="367"/>
      <c r="U169" s="355"/>
      <c r="V169" s="325"/>
      <c r="W169" s="297"/>
      <c r="X169" s="297"/>
      <c r="Y169" s="298"/>
      <c r="Z169" s="298"/>
      <c r="AA169" s="298"/>
      <c r="AB169" s="297"/>
      <c r="AC169" s="375"/>
      <c r="AD169" s="355"/>
      <c r="AE169" s="377">
        <f>SUM(E169:AC169)</f>
        <v>0</v>
      </c>
      <c r="AF169" s="377"/>
      <c r="AG169" s="390"/>
      <c r="AH169" s="507">
        <f>AE169+AF169</f>
        <v>0</v>
      </c>
      <c r="AI169" s="412"/>
      <c r="AJ169" s="508">
        <f t="shared" si="66"/>
        <v>0</v>
      </c>
    </row>
    <row r="170" spans="1:39" s="283" customFormat="1" ht="20.25">
      <c r="A170" s="436"/>
      <c r="B170" s="437"/>
      <c r="C170" s="437"/>
      <c r="D170" s="438"/>
      <c r="E170" s="439">
        <f>SUM(E165:E169)</f>
        <v>0</v>
      </c>
      <c r="F170" s="439">
        <f t="shared" ref="F170:M170" si="67">SUM(F165:F169)</f>
        <v>0</v>
      </c>
      <c r="G170" s="439">
        <f t="shared" si="67"/>
        <v>0</v>
      </c>
      <c r="H170" s="439">
        <f t="shared" si="67"/>
        <v>0</v>
      </c>
      <c r="I170" s="439">
        <f t="shared" si="67"/>
        <v>0</v>
      </c>
      <c r="J170" s="439">
        <f t="shared" si="67"/>
        <v>0</v>
      </c>
      <c r="K170" s="439">
        <f t="shared" si="67"/>
        <v>0</v>
      </c>
      <c r="L170" s="439">
        <f t="shared" si="67"/>
        <v>0</v>
      </c>
      <c r="M170" s="439">
        <f t="shared" si="67"/>
        <v>0</v>
      </c>
      <c r="N170" s="439">
        <f t="shared" ref="N170:T170" si="68">SUM(N165:N169)</f>
        <v>0</v>
      </c>
      <c r="O170" s="439">
        <f t="shared" si="68"/>
        <v>0</v>
      </c>
      <c r="P170" s="439">
        <f t="shared" si="68"/>
        <v>0</v>
      </c>
      <c r="Q170" s="439">
        <f t="shared" si="68"/>
        <v>0</v>
      </c>
      <c r="R170" s="439">
        <f t="shared" si="68"/>
        <v>0</v>
      </c>
      <c r="S170" s="439">
        <f t="shared" si="68"/>
        <v>0</v>
      </c>
      <c r="T170" s="439">
        <f t="shared" si="68"/>
        <v>0</v>
      </c>
      <c r="U170" s="482"/>
      <c r="V170" s="440">
        <f>SUM(V165:V169)</f>
        <v>0</v>
      </c>
      <c r="W170" s="440">
        <f t="shared" ref="W170:AC170" si="69">SUM(W165:W169)</f>
        <v>0</v>
      </c>
      <c r="X170" s="440">
        <f t="shared" si="69"/>
        <v>0</v>
      </c>
      <c r="Y170" s="440">
        <f t="shared" si="69"/>
        <v>0</v>
      </c>
      <c r="Z170" s="440">
        <f t="shared" si="69"/>
        <v>0</v>
      </c>
      <c r="AA170" s="440">
        <f t="shared" si="69"/>
        <v>0</v>
      </c>
      <c r="AB170" s="440">
        <f t="shared" si="69"/>
        <v>0</v>
      </c>
      <c r="AC170" s="440">
        <f t="shared" si="69"/>
        <v>0</v>
      </c>
      <c r="AD170" s="482"/>
      <c r="AE170" s="494">
        <f>SUM(AE165:AE169)</f>
        <v>0</v>
      </c>
      <c r="AF170" s="494">
        <f>SUM(AF165:AF169)</f>
        <v>0</v>
      </c>
      <c r="AG170" s="509"/>
      <c r="AH170" s="514">
        <f>SUM(AH165:AH169)</f>
        <v>0</v>
      </c>
      <c r="AI170" s="494">
        <f>SUM(AI165:AI169)</f>
        <v>0</v>
      </c>
      <c r="AJ170" s="515">
        <f>SUM(AJ165:AJ169)</f>
        <v>0</v>
      </c>
    </row>
    <row r="171" spans="1:39" s="284" customFormat="1" ht="8.25" customHeight="1">
      <c r="A171" s="522"/>
      <c r="B171" s="523"/>
      <c r="C171" s="523"/>
      <c r="D171" s="524"/>
      <c r="E171" s="525"/>
      <c r="F171" s="525"/>
      <c r="G171" s="525"/>
      <c r="H171" s="525"/>
      <c r="I171" s="525"/>
      <c r="J171" s="525"/>
      <c r="K171" s="525"/>
      <c r="L171" s="572"/>
      <c r="M171" s="573"/>
      <c r="N171" s="573"/>
      <c r="O171" s="573"/>
      <c r="P171" s="573"/>
      <c r="Q171" s="573"/>
      <c r="R171" s="573"/>
      <c r="S171" s="573"/>
      <c r="T171" s="573"/>
      <c r="U171" s="572"/>
      <c r="V171" s="573"/>
      <c r="W171" s="573"/>
      <c r="X171" s="573"/>
      <c r="Y171" s="573"/>
      <c r="Z171" s="573"/>
      <c r="AA171" s="573"/>
      <c r="AB171" s="573"/>
      <c r="AC171" s="573"/>
      <c r="AD171" s="572"/>
      <c r="AE171" s="573"/>
      <c r="AF171" s="573"/>
      <c r="AG171" s="599"/>
      <c r="AH171" s="573"/>
      <c r="AI171" s="573"/>
      <c r="AJ171" s="600"/>
      <c r="AK171" s="403"/>
      <c r="AL171" s="403"/>
      <c r="AM171" s="403"/>
    </row>
    <row r="172" spans="1:39" ht="20.25">
      <c r="A172" s="526" t="s">
        <v>145</v>
      </c>
      <c r="B172" s="527"/>
      <c r="C172" s="527"/>
      <c r="D172" s="528"/>
      <c r="E172" s="529">
        <f t="shared" ref="E172:K172" si="70">E4+E39+E64+E85+E105+E138+E146+E153+E162+E170</f>
        <v>0</v>
      </c>
      <c r="F172" s="529">
        <f t="shared" si="70"/>
        <v>0</v>
      </c>
      <c r="G172" s="529">
        <f t="shared" si="70"/>
        <v>0</v>
      </c>
      <c r="H172" s="529">
        <f t="shared" si="70"/>
        <v>0</v>
      </c>
      <c r="I172" s="529">
        <f t="shared" si="70"/>
        <v>0</v>
      </c>
      <c r="J172" s="529">
        <f t="shared" si="70"/>
        <v>0</v>
      </c>
      <c r="K172" s="529">
        <f t="shared" si="70"/>
        <v>0</v>
      </c>
      <c r="L172" s="574">
        <f>L4+L39+L64+L146</f>
        <v>0</v>
      </c>
      <c r="M172" s="529">
        <f>M4+M39+M64+M85+M105+M138+M146+M153+M162+M170</f>
        <v>0</v>
      </c>
      <c r="N172" s="529">
        <f t="shared" ref="N172:T172" si="71">N4+N39+N64+N85+N105+N138+N146+N153+N162+N170</f>
        <v>0</v>
      </c>
      <c r="O172" s="529">
        <f t="shared" si="71"/>
        <v>0</v>
      </c>
      <c r="P172" s="529">
        <f t="shared" si="71"/>
        <v>0</v>
      </c>
      <c r="Q172" s="529">
        <f t="shared" si="71"/>
        <v>0</v>
      </c>
      <c r="R172" s="529">
        <f t="shared" si="71"/>
        <v>0</v>
      </c>
      <c r="S172" s="529">
        <f t="shared" si="71"/>
        <v>0</v>
      </c>
      <c r="T172" s="529">
        <f t="shared" si="71"/>
        <v>0</v>
      </c>
      <c r="U172" s="574"/>
      <c r="V172" s="529">
        <f t="shared" ref="V172:AC172" si="72">V4+V39+V64+V85+V105+V138+V146+V153+V162+V170</f>
        <v>0</v>
      </c>
      <c r="W172" s="529">
        <f t="shared" si="72"/>
        <v>0</v>
      </c>
      <c r="X172" s="529">
        <f t="shared" si="72"/>
        <v>0</v>
      </c>
      <c r="Y172" s="529">
        <f t="shared" si="72"/>
        <v>0</v>
      </c>
      <c r="Z172" s="529">
        <f t="shared" si="72"/>
        <v>0</v>
      </c>
      <c r="AA172" s="529">
        <f t="shared" si="72"/>
        <v>0</v>
      </c>
      <c r="AB172" s="529">
        <f t="shared" si="72"/>
        <v>0</v>
      </c>
      <c r="AC172" s="529">
        <f t="shared" si="72"/>
        <v>0</v>
      </c>
      <c r="AD172" s="574"/>
      <c r="AE172" s="529">
        <f t="shared" ref="AE172:AJ172" si="73">AE4+AE39+AE64+AE85+AE105+AE138+AE146+AE153+AE162+AE170</f>
        <v>0</v>
      </c>
      <c r="AF172" s="529">
        <f t="shared" si="73"/>
        <v>0</v>
      </c>
      <c r="AG172" s="529">
        <f t="shared" si="73"/>
        <v>0</v>
      </c>
      <c r="AH172" s="529">
        <f t="shared" si="73"/>
        <v>0</v>
      </c>
      <c r="AI172" s="529">
        <f t="shared" si="73"/>
        <v>0</v>
      </c>
      <c r="AJ172" s="529">
        <f t="shared" si="73"/>
        <v>0</v>
      </c>
    </row>
    <row r="173" spans="1:39" ht="20.25">
      <c r="A173" s="530" t="s">
        <v>152</v>
      </c>
      <c r="B173" s="531"/>
      <c r="C173" s="531"/>
      <c r="D173" s="532"/>
      <c r="E173" s="533">
        <f>E172/16</f>
        <v>0</v>
      </c>
      <c r="F173" s="533">
        <f>F172/16</f>
        <v>0</v>
      </c>
      <c r="G173" s="533">
        <f t="shared" ref="G173:AJ173" si="74">G172/16</f>
        <v>0</v>
      </c>
      <c r="H173" s="533">
        <f t="shared" si="74"/>
        <v>0</v>
      </c>
      <c r="I173" s="533">
        <f t="shared" si="74"/>
        <v>0</v>
      </c>
      <c r="J173" s="533">
        <f t="shared" si="74"/>
        <v>0</v>
      </c>
      <c r="K173" s="533">
        <f t="shared" si="74"/>
        <v>0</v>
      </c>
      <c r="L173" s="533">
        <f t="shared" si="74"/>
        <v>0</v>
      </c>
      <c r="M173" s="533">
        <f t="shared" si="74"/>
        <v>0</v>
      </c>
      <c r="N173" s="533">
        <f t="shared" si="74"/>
        <v>0</v>
      </c>
      <c r="O173" s="533">
        <f t="shared" si="74"/>
        <v>0</v>
      </c>
      <c r="P173" s="533">
        <f t="shared" si="74"/>
        <v>0</v>
      </c>
      <c r="Q173" s="533">
        <f t="shared" si="74"/>
        <v>0</v>
      </c>
      <c r="R173" s="533">
        <f t="shared" si="74"/>
        <v>0</v>
      </c>
      <c r="S173" s="533">
        <f t="shared" si="74"/>
        <v>0</v>
      </c>
      <c r="T173" s="533">
        <f t="shared" si="74"/>
        <v>0</v>
      </c>
      <c r="U173" s="533"/>
      <c r="V173" s="533">
        <f t="shared" si="74"/>
        <v>0</v>
      </c>
      <c r="W173" s="533">
        <f t="shared" si="74"/>
        <v>0</v>
      </c>
      <c r="X173" s="533">
        <f t="shared" si="74"/>
        <v>0</v>
      </c>
      <c r="Y173" s="533">
        <f t="shared" si="74"/>
        <v>0</v>
      </c>
      <c r="Z173" s="533">
        <f t="shared" si="74"/>
        <v>0</v>
      </c>
      <c r="AA173" s="533">
        <f t="shared" si="74"/>
        <v>0</v>
      </c>
      <c r="AB173" s="533">
        <f t="shared" si="74"/>
        <v>0</v>
      </c>
      <c r="AC173" s="533">
        <f t="shared" si="74"/>
        <v>0</v>
      </c>
      <c r="AD173" s="533"/>
      <c r="AE173" s="533">
        <f t="shared" si="74"/>
        <v>0</v>
      </c>
      <c r="AF173" s="533">
        <f t="shared" si="74"/>
        <v>0</v>
      </c>
      <c r="AG173" s="533">
        <f t="shared" si="74"/>
        <v>0</v>
      </c>
      <c r="AH173" s="533">
        <f t="shared" si="74"/>
        <v>0</v>
      </c>
      <c r="AI173" s="533">
        <f t="shared" si="74"/>
        <v>0</v>
      </c>
      <c r="AJ173" s="533">
        <f t="shared" si="74"/>
        <v>0</v>
      </c>
    </row>
    <row r="174" spans="1:39" s="1" customFormat="1" ht="21" customHeight="1">
      <c r="A174" s="3755" t="s">
        <v>147</v>
      </c>
      <c r="B174" s="3755"/>
      <c r="C174" s="3755"/>
      <c r="D174" s="3755"/>
      <c r="E174" s="3756"/>
      <c r="F174" s="3756"/>
      <c r="G174" s="3756"/>
      <c r="H174" s="3756"/>
      <c r="I174" s="3756"/>
      <c r="J174" s="3756"/>
      <c r="K174" s="3756"/>
      <c r="L174" s="3755"/>
      <c r="M174" s="3755"/>
      <c r="N174" s="3755"/>
      <c r="O174" s="3755"/>
      <c r="P174" s="3755"/>
      <c r="Q174" s="3755"/>
      <c r="R174" s="3755"/>
      <c r="S174" s="3755"/>
      <c r="T174" s="3755"/>
      <c r="U174" s="3755"/>
      <c r="V174" s="3755"/>
      <c r="W174" s="3755"/>
      <c r="X174" s="3755"/>
      <c r="Y174" s="3755"/>
      <c r="Z174" s="3755"/>
      <c r="AA174" s="3755"/>
      <c r="AB174" s="3755"/>
      <c r="AC174" s="3755"/>
      <c r="AD174" s="3755"/>
      <c r="AE174" s="3755"/>
      <c r="AF174" s="3755"/>
      <c r="AG174" s="3755"/>
      <c r="AH174" s="3755"/>
      <c r="AI174" s="3755"/>
      <c r="AJ174" s="3755"/>
    </row>
    <row r="175" spans="1:39" ht="23.25">
      <c r="A175" s="3888" t="s">
        <v>4</v>
      </c>
      <c r="B175" s="3889"/>
      <c r="C175" s="3889"/>
      <c r="D175" s="3890"/>
      <c r="E175" s="3891" t="s">
        <v>187</v>
      </c>
      <c r="F175" s="3892"/>
      <c r="G175" s="3892"/>
      <c r="H175" s="3892"/>
      <c r="I175" s="3892"/>
      <c r="J175" s="3892"/>
      <c r="K175" s="3892"/>
      <c r="L175" s="336"/>
      <c r="M175" s="3893" t="s">
        <v>188</v>
      </c>
      <c r="N175" s="3894"/>
      <c r="O175" s="3894"/>
      <c r="P175" s="3894"/>
      <c r="Q175" s="3894"/>
      <c r="R175" s="3894"/>
      <c r="S175" s="3894"/>
      <c r="T175" s="3895"/>
      <c r="U175" s="364"/>
      <c r="V175" s="3893" t="s">
        <v>189</v>
      </c>
      <c r="W175" s="3894"/>
      <c r="X175" s="3894"/>
      <c r="Y175" s="3894"/>
      <c r="Z175" s="3894"/>
      <c r="AA175" s="3894"/>
      <c r="AB175" s="3894"/>
      <c r="AC175" s="3895"/>
      <c r="AD175" s="364"/>
      <c r="AE175" s="3893"/>
      <c r="AF175" s="3894"/>
      <c r="AG175" s="3894"/>
      <c r="AH175" s="3894"/>
      <c r="AI175" s="3894"/>
      <c r="AJ175" s="3895"/>
    </row>
    <row r="176" spans="1:39" s="276" customFormat="1" ht="30.75" thickBot="1">
      <c r="A176" s="535" t="s">
        <v>148</v>
      </c>
      <c r="B176" s="749" t="s">
        <v>68</v>
      </c>
      <c r="C176" s="536" t="s">
        <v>69</v>
      </c>
      <c r="D176" s="536" t="s">
        <v>70</v>
      </c>
      <c r="E176" s="80" t="s">
        <v>96</v>
      </c>
      <c r="F176" s="49"/>
      <c r="G176" s="49" t="s">
        <v>92</v>
      </c>
      <c r="H176" s="49"/>
      <c r="I176" s="49" t="s">
        <v>85</v>
      </c>
      <c r="J176" s="49" t="s">
        <v>532</v>
      </c>
      <c r="K176" s="49" t="s">
        <v>86</v>
      </c>
      <c r="L176" s="79"/>
      <c r="M176" s="80" t="s">
        <v>97</v>
      </c>
      <c r="N176" s="49" t="s">
        <v>170</v>
      </c>
      <c r="O176" s="49" t="s">
        <v>190</v>
      </c>
      <c r="P176" s="49" t="s">
        <v>206</v>
      </c>
      <c r="Q176" s="49" t="s">
        <v>53</v>
      </c>
      <c r="R176" s="49" t="s">
        <v>222</v>
      </c>
      <c r="S176" s="126" t="s">
        <v>94</v>
      </c>
      <c r="T176" s="171"/>
      <c r="U176" s="79"/>
      <c r="V176" s="80" t="s">
        <v>94</v>
      </c>
      <c r="W176" s="49" t="s">
        <v>53</v>
      </c>
      <c r="X176" s="49" t="s">
        <v>97</v>
      </c>
      <c r="Y176" s="103" t="s">
        <v>190</v>
      </c>
      <c r="Z176" s="104"/>
      <c r="AA176" s="716"/>
      <c r="AB176" s="121"/>
      <c r="AC176" s="171"/>
      <c r="AD176" s="589"/>
      <c r="AE176" s="590" t="s">
        <v>172</v>
      </c>
      <c r="AF176" s="591" t="s">
        <v>80</v>
      </c>
      <c r="AG176" s="602" t="s">
        <v>150</v>
      </c>
      <c r="AH176" s="603" t="s">
        <v>106</v>
      </c>
      <c r="AI176" s="602" t="s">
        <v>173</v>
      </c>
      <c r="AJ176" s="604" t="s">
        <v>108</v>
      </c>
    </row>
    <row r="177" spans="1:36" s="234" customFormat="1" ht="20.25">
      <c r="A177" s="547"/>
      <c r="B177" s="552"/>
      <c r="C177" s="553"/>
      <c r="D177" s="544"/>
      <c r="E177" s="313"/>
      <c r="F177" s="314"/>
      <c r="G177" s="314"/>
      <c r="H177" s="314"/>
      <c r="I177" s="315"/>
      <c r="J177" s="315"/>
      <c r="K177" s="378"/>
      <c r="L177" s="352"/>
      <c r="M177" s="353"/>
      <c r="N177" s="321"/>
      <c r="O177" s="321"/>
      <c r="P177" s="321"/>
      <c r="Q177" s="321"/>
      <c r="R177" s="321"/>
      <c r="S177" s="321"/>
      <c r="T177" s="363"/>
      <c r="U177" s="352"/>
      <c r="V177" s="353"/>
      <c r="W177" s="321"/>
      <c r="X177" s="321"/>
      <c r="Y177" s="321"/>
      <c r="Z177" s="321"/>
      <c r="AA177" s="321"/>
      <c r="AB177" s="321"/>
      <c r="AC177" s="380"/>
      <c r="AD177" s="352"/>
      <c r="AE177" s="404">
        <f t="shared" ref="AE177:AE200" si="75">SUM(E177:AC177)</f>
        <v>0</v>
      </c>
      <c r="AF177" s="409"/>
      <c r="AG177" s="404"/>
      <c r="AH177" s="404">
        <f t="shared" ref="AH177:AH239" si="76">AE177+AF177+AG177</f>
        <v>0</v>
      </c>
      <c r="AI177" s="835"/>
      <c r="AJ177" s="719">
        <f t="shared" ref="AJ177:AJ242" si="77">AH177+AI177</f>
        <v>0</v>
      </c>
    </row>
    <row r="178" spans="1:36" s="276" customFormat="1" ht="21" thickBot="1">
      <c r="A178" s="561"/>
      <c r="B178" s="1112"/>
      <c r="C178" s="1113"/>
      <c r="D178" s="1114"/>
      <c r="E178" s="319"/>
      <c r="F178" s="320"/>
      <c r="G178" s="320"/>
      <c r="H178" s="320"/>
      <c r="I178" s="321"/>
      <c r="J178" s="321"/>
      <c r="K178" s="380"/>
      <c r="L178" s="352"/>
      <c r="M178" s="353"/>
      <c r="N178" s="321"/>
      <c r="O178" s="321"/>
      <c r="P178" s="321"/>
      <c r="Q178" s="321"/>
      <c r="R178" s="321"/>
      <c r="S178" s="321"/>
      <c r="T178" s="363"/>
      <c r="U178" s="580"/>
      <c r="V178" s="581"/>
      <c r="W178" s="543"/>
      <c r="X178" s="543"/>
      <c r="Y178" s="543"/>
      <c r="Z178" s="543"/>
      <c r="AA178" s="543"/>
      <c r="AB178" s="543"/>
      <c r="AC178" s="592"/>
      <c r="AD178" s="580"/>
      <c r="AE178" s="593">
        <f t="shared" ref="AE178" si="78">SUM(E178:AC178)</f>
        <v>0</v>
      </c>
      <c r="AF178" s="594"/>
      <c r="AG178" s="593"/>
      <c r="AH178" s="593">
        <f t="shared" si="76"/>
        <v>0</v>
      </c>
      <c r="AI178" s="836"/>
      <c r="AJ178" s="837">
        <f t="shared" si="77"/>
        <v>0</v>
      </c>
    </row>
    <row r="179" spans="1:36" s="276" customFormat="1" ht="21" thickBot="1">
      <c r="A179" s="537"/>
      <c r="B179" s="552"/>
      <c r="C179" s="553"/>
      <c r="D179" s="2569"/>
      <c r="E179" s="319"/>
      <c r="F179" s="320"/>
      <c r="G179" s="320"/>
      <c r="H179" s="320"/>
      <c r="I179" s="321"/>
      <c r="J179" s="321"/>
      <c r="K179" s="380"/>
      <c r="L179" s="352"/>
      <c r="M179" s="353"/>
      <c r="N179" s="321"/>
      <c r="O179" s="321"/>
      <c r="P179" s="321"/>
      <c r="Q179" s="321"/>
      <c r="R179" s="321"/>
      <c r="S179" s="321"/>
      <c r="T179" s="363"/>
      <c r="U179" s="580"/>
      <c r="V179" s="581"/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si="75"/>
        <v>0</v>
      </c>
      <c r="AF179" s="594"/>
      <c r="AG179" s="593"/>
      <c r="AH179" s="593">
        <f t="shared" si="76"/>
        <v>0</v>
      </c>
      <c r="AI179" s="836"/>
      <c r="AJ179" s="837">
        <f t="shared" si="77"/>
        <v>0</v>
      </c>
    </row>
    <row r="180" spans="1:36" s="276" customFormat="1" ht="20.25">
      <c r="A180" s="551"/>
      <c r="B180" s="552"/>
      <c r="C180" s="553"/>
      <c r="D180" s="544"/>
      <c r="E180" s="541"/>
      <c r="F180" s="542"/>
      <c r="G180" s="542"/>
      <c r="H180" s="542"/>
      <c r="I180" s="543"/>
      <c r="J180" s="543"/>
      <c r="K180" s="592"/>
      <c r="L180" s="580"/>
      <c r="M180" s="581"/>
      <c r="N180" s="543"/>
      <c r="O180" s="543"/>
      <c r="P180" s="543"/>
      <c r="Q180" s="543"/>
      <c r="R180" s="543"/>
      <c r="S180" s="543"/>
      <c r="T180" s="767"/>
      <c r="U180" s="580"/>
      <c r="V180" s="581"/>
      <c r="W180" s="543"/>
      <c r="X180" s="543"/>
      <c r="Y180" s="543"/>
      <c r="Z180" s="543"/>
      <c r="AA180" s="543"/>
      <c r="AB180" s="543"/>
      <c r="AC180" s="592"/>
      <c r="AD180" s="580"/>
      <c r="AE180" s="593">
        <f t="shared" si="75"/>
        <v>0</v>
      </c>
      <c r="AF180" s="594"/>
      <c r="AG180" s="593"/>
      <c r="AH180" s="593">
        <f t="shared" si="76"/>
        <v>0</v>
      </c>
      <c r="AI180" s="836"/>
      <c r="AJ180" s="837">
        <f t="shared" si="77"/>
        <v>0</v>
      </c>
    </row>
    <row r="181" spans="1:36" s="234" customFormat="1" ht="20.25">
      <c r="A181" s="547"/>
      <c r="B181" s="552"/>
      <c r="C181" s="553"/>
      <c r="D181" s="544"/>
      <c r="E181" s="541"/>
      <c r="F181" s="542"/>
      <c r="G181" s="542"/>
      <c r="H181" s="542"/>
      <c r="I181" s="543"/>
      <c r="J181" s="543"/>
      <c r="K181" s="592"/>
      <c r="L181" s="580"/>
      <c r="M181" s="581"/>
      <c r="N181" s="543"/>
      <c r="O181" s="543"/>
      <c r="P181" s="543"/>
      <c r="Q181" s="543"/>
      <c r="R181" s="543"/>
      <c r="S181" s="543"/>
      <c r="T181" s="767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593">
        <f t="shared" si="75"/>
        <v>0</v>
      </c>
      <c r="AF181" s="409"/>
      <c r="AG181" s="408"/>
      <c r="AH181" s="408">
        <f t="shared" si="76"/>
        <v>0</v>
      </c>
      <c r="AI181" s="835"/>
      <c r="AJ181" s="720">
        <f t="shared" si="77"/>
        <v>0</v>
      </c>
    </row>
    <row r="182" spans="1:36" s="276" customFormat="1" ht="20.25">
      <c r="A182" s="547"/>
      <c r="B182" s="550"/>
      <c r="C182" s="549"/>
      <c r="D182" s="544"/>
      <c r="E182" s="319"/>
      <c r="F182" s="320"/>
      <c r="G182" s="320"/>
      <c r="H182" s="320"/>
      <c r="I182" s="321"/>
      <c r="J182" s="321"/>
      <c r="K182" s="380"/>
      <c r="L182" s="352"/>
      <c r="M182" s="353"/>
      <c r="N182" s="321"/>
      <c r="O182" s="321"/>
      <c r="P182" s="321"/>
      <c r="Q182" s="321"/>
      <c r="R182" s="321"/>
      <c r="S182" s="321"/>
      <c r="T182" s="363"/>
      <c r="U182" s="580"/>
      <c r="V182" s="581"/>
      <c r="W182" s="543"/>
      <c r="X182" s="543"/>
      <c r="Y182" s="543"/>
      <c r="Z182" s="543"/>
      <c r="AA182" s="543"/>
      <c r="AB182" s="543"/>
      <c r="AC182" s="592"/>
      <c r="AD182" s="580"/>
      <c r="AE182" s="593">
        <f t="shared" si="75"/>
        <v>0</v>
      </c>
      <c r="AF182" s="594"/>
      <c r="AG182" s="593"/>
      <c r="AH182" s="593">
        <f t="shared" si="76"/>
        <v>0</v>
      </c>
      <c r="AI182" s="836"/>
      <c r="AJ182" s="837">
        <f t="shared" ref="AJ182" si="79">AH182+AI182</f>
        <v>0</v>
      </c>
    </row>
    <row r="183" spans="1:36" s="276" customFormat="1" ht="20.25">
      <c r="A183" s="537"/>
      <c r="B183" s="550"/>
      <c r="C183" s="549"/>
      <c r="D183" s="544"/>
      <c r="E183" s="541"/>
      <c r="F183" s="542"/>
      <c r="G183" s="542"/>
      <c r="H183" s="542"/>
      <c r="I183" s="543"/>
      <c r="J183" s="543"/>
      <c r="K183" s="592"/>
      <c r="L183" s="580"/>
      <c r="M183" s="581"/>
      <c r="N183" s="543"/>
      <c r="O183" s="543"/>
      <c r="P183" s="543"/>
      <c r="Q183" s="543"/>
      <c r="R183" s="543"/>
      <c r="S183" s="543"/>
      <c r="T183" s="76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75"/>
        <v>0</v>
      </c>
      <c r="AF183" s="594"/>
      <c r="AG183" s="593"/>
      <c r="AH183" s="593">
        <f t="shared" si="76"/>
        <v>0</v>
      </c>
      <c r="AI183" s="836"/>
      <c r="AJ183" s="837">
        <f t="shared" si="77"/>
        <v>0</v>
      </c>
    </row>
    <row r="184" spans="1:36" s="234" customFormat="1" ht="20.25">
      <c r="A184" s="551"/>
      <c r="B184" s="552"/>
      <c r="C184" s="553"/>
      <c r="D184" s="544"/>
      <c r="E184" s="541"/>
      <c r="F184" s="542"/>
      <c r="G184" s="542"/>
      <c r="H184" s="542"/>
      <c r="I184" s="543"/>
      <c r="J184" s="543"/>
      <c r="K184" s="592"/>
      <c r="L184" s="580"/>
      <c r="M184" s="581"/>
      <c r="N184" s="543"/>
      <c r="O184" s="543"/>
      <c r="P184" s="543"/>
      <c r="Q184" s="543"/>
      <c r="R184" s="543"/>
      <c r="S184" s="543"/>
      <c r="T184" s="767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75"/>
        <v>0</v>
      </c>
      <c r="AF184" s="409"/>
      <c r="AG184" s="408"/>
      <c r="AH184" s="408">
        <f t="shared" si="76"/>
        <v>0</v>
      </c>
      <c r="AI184" s="835"/>
      <c r="AJ184" s="720">
        <f t="shared" si="77"/>
        <v>0</v>
      </c>
    </row>
    <row r="185" spans="1:36" s="276" customFormat="1" ht="20.25">
      <c r="A185" s="537"/>
      <c r="B185" s="550"/>
      <c r="C185" s="549"/>
      <c r="D185" s="544"/>
      <c r="E185" s="541"/>
      <c r="F185" s="320"/>
      <c r="G185" s="320"/>
      <c r="H185" s="320"/>
      <c r="I185" s="321"/>
      <c r="J185" s="321"/>
      <c r="K185" s="380"/>
      <c r="L185" s="352"/>
      <c r="M185" s="353"/>
      <c r="N185" s="321"/>
      <c r="O185" s="321"/>
      <c r="P185" s="321"/>
      <c r="Q185" s="321"/>
      <c r="R185" s="321"/>
      <c r="S185" s="321"/>
      <c r="T185" s="363"/>
      <c r="U185" s="580"/>
      <c r="V185" s="581"/>
      <c r="W185" s="543"/>
      <c r="X185" s="543"/>
      <c r="Y185" s="543"/>
      <c r="Z185" s="543"/>
      <c r="AA185" s="543"/>
      <c r="AB185" s="543"/>
      <c r="AC185" s="592"/>
      <c r="AD185" s="580"/>
      <c r="AE185" s="593">
        <f t="shared" si="75"/>
        <v>0</v>
      </c>
      <c r="AF185" s="594"/>
      <c r="AG185" s="593"/>
      <c r="AH185" s="593">
        <f t="shared" si="76"/>
        <v>0</v>
      </c>
      <c r="AI185" s="836"/>
      <c r="AJ185" s="837">
        <f t="shared" si="77"/>
        <v>0</v>
      </c>
    </row>
    <row r="186" spans="1:36" s="276" customFormat="1" ht="20.25">
      <c r="A186" s="537"/>
      <c r="B186" s="550"/>
      <c r="C186" s="549"/>
      <c r="D186" s="544"/>
      <c r="E186" s="541"/>
      <c r="F186" s="542"/>
      <c r="G186" s="542"/>
      <c r="H186" s="542"/>
      <c r="I186" s="543"/>
      <c r="J186" s="543"/>
      <c r="K186" s="592"/>
      <c r="L186" s="580"/>
      <c r="M186" s="581"/>
      <c r="N186" s="543"/>
      <c r="O186" s="543"/>
      <c r="P186" s="543"/>
      <c r="Q186" s="543"/>
      <c r="R186" s="543"/>
      <c r="S186" s="543"/>
      <c r="T186" s="76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75"/>
        <v>0</v>
      </c>
      <c r="AF186" s="594"/>
      <c r="AG186" s="593"/>
      <c r="AH186" s="593">
        <f t="shared" si="76"/>
        <v>0</v>
      </c>
      <c r="AI186" s="836"/>
      <c r="AJ186" s="837">
        <f t="shared" si="77"/>
        <v>0</v>
      </c>
    </row>
    <row r="187" spans="1:36" s="234" customFormat="1" ht="20.25">
      <c r="A187" s="537"/>
      <c r="B187" s="550"/>
      <c r="C187" s="549"/>
      <c r="D187" s="544"/>
      <c r="E187" s="353"/>
      <c r="F187" s="542"/>
      <c r="G187" s="542"/>
      <c r="H187" s="542"/>
      <c r="I187" s="543"/>
      <c r="J187" s="543"/>
      <c r="K187" s="592"/>
      <c r="L187" s="580"/>
      <c r="M187" s="581"/>
      <c r="N187" s="543"/>
      <c r="O187" s="543"/>
      <c r="P187" s="543"/>
      <c r="Q187" s="543"/>
      <c r="R187" s="543"/>
      <c r="S187" s="543"/>
      <c r="T187" s="767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75"/>
        <v>0</v>
      </c>
      <c r="AF187" s="409"/>
      <c r="AG187" s="408"/>
      <c r="AH187" s="408">
        <f t="shared" si="76"/>
        <v>0</v>
      </c>
      <c r="AI187" s="835"/>
      <c r="AJ187" s="720">
        <f t="shared" si="77"/>
        <v>0</v>
      </c>
    </row>
    <row r="188" spans="1:36" s="276" customFormat="1" ht="20.25">
      <c r="A188" s="1111"/>
      <c r="B188" s="1112"/>
      <c r="C188" s="1113"/>
      <c r="D188" s="1114"/>
      <c r="E188" s="581"/>
      <c r="F188" s="320"/>
      <c r="G188" s="320"/>
      <c r="H188" s="320"/>
      <c r="I188" s="321"/>
      <c r="J188" s="321"/>
      <c r="K188" s="380"/>
      <c r="L188" s="352"/>
      <c r="M188" s="353"/>
      <c r="N188" s="321"/>
      <c r="O188" s="321"/>
      <c r="P188" s="321"/>
      <c r="Q188" s="321"/>
      <c r="R188" s="321"/>
      <c r="S188" s="321"/>
      <c r="T188" s="363"/>
      <c r="U188" s="580"/>
      <c r="V188" s="581"/>
      <c r="W188" s="543"/>
      <c r="X188" s="543"/>
      <c r="Y188" s="543"/>
      <c r="Z188" s="543"/>
      <c r="AA188" s="543"/>
      <c r="AB188" s="543"/>
      <c r="AC188" s="592"/>
      <c r="AD188" s="580"/>
      <c r="AE188" s="593">
        <f t="shared" si="75"/>
        <v>0</v>
      </c>
      <c r="AF188" s="594"/>
      <c r="AG188" s="593"/>
      <c r="AH188" s="593">
        <f t="shared" si="76"/>
        <v>0</v>
      </c>
      <c r="AI188" s="836"/>
      <c r="AJ188" s="837">
        <f t="shared" si="77"/>
        <v>0</v>
      </c>
    </row>
    <row r="189" spans="1:36" s="234" customFormat="1" ht="20.25">
      <c r="A189" s="537"/>
      <c r="B189" s="550"/>
      <c r="C189" s="549"/>
      <c r="D189" s="544"/>
      <c r="E189" s="353"/>
      <c r="F189" s="542"/>
      <c r="G189" s="542"/>
      <c r="H189" s="542"/>
      <c r="I189" s="543"/>
      <c r="J189" s="543"/>
      <c r="K189" s="592"/>
      <c r="L189" s="580"/>
      <c r="M189" s="581"/>
      <c r="N189" s="543"/>
      <c r="O189" s="543"/>
      <c r="P189" s="543"/>
      <c r="Q189" s="543"/>
      <c r="R189" s="543"/>
      <c r="S189" s="543"/>
      <c r="T189" s="767"/>
      <c r="U189" s="352"/>
      <c r="V189" s="353"/>
      <c r="W189" s="321"/>
      <c r="X189" s="321"/>
      <c r="Y189" s="321"/>
      <c r="Z189" s="321"/>
      <c r="AA189" s="321"/>
      <c r="AB189" s="321"/>
      <c r="AC189" s="380"/>
      <c r="AD189" s="352"/>
      <c r="AE189" s="408">
        <f t="shared" si="75"/>
        <v>0</v>
      </c>
      <c r="AF189" s="409"/>
      <c r="AG189" s="408"/>
      <c r="AH189" s="408">
        <f t="shared" si="76"/>
        <v>0</v>
      </c>
      <c r="AI189" s="835"/>
      <c r="AJ189" s="720">
        <f t="shared" si="77"/>
        <v>0</v>
      </c>
    </row>
    <row r="190" spans="1:36" s="234" customFormat="1" ht="20.25">
      <c r="A190" s="551"/>
      <c r="B190" s="563"/>
      <c r="C190" s="553"/>
      <c r="D190" s="544"/>
      <c r="E190" s="658"/>
      <c r="F190" s="618"/>
      <c r="G190" s="618"/>
      <c r="H190" s="618"/>
      <c r="I190" s="619"/>
      <c r="J190" s="619"/>
      <c r="K190" s="681"/>
      <c r="L190" s="657"/>
      <c r="M190" s="658"/>
      <c r="N190" s="619"/>
      <c r="O190" s="619"/>
      <c r="P190" s="619"/>
      <c r="Q190" s="619"/>
      <c r="R190" s="619"/>
      <c r="S190" s="619"/>
      <c r="T190" s="769"/>
      <c r="U190" s="657"/>
      <c r="V190" s="658"/>
      <c r="W190" s="619"/>
      <c r="X190" s="619"/>
      <c r="Y190" s="619"/>
      <c r="Z190" s="619"/>
      <c r="AA190" s="619"/>
      <c r="AB190" s="619"/>
      <c r="AC190" s="681"/>
      <c r="AD190" s="774"/>
      <c r="AE190" s="408">
        <f t="shared" ref="AE190" si="80">SUM(E190:AC190)</f>
        <v>0</v>
      </c>
      <c r="AF190" s="409"/>
      <c r="AG190" s="408"/>
      <c r="AH190" s="408">
        <f t="shared" si="76"/>
        <v>0</v>
      </c>
      <c r="AI190" s="835"/>
      <c r="AJ190" s="720">
        <f t="shared" si="77"/>
        <v>0</v>
      </c>
    </row>
    <row r="191" spans="1:36" s="276" customFormat="1" ht="20.25">
      <c r="A191" s="561"/>
      <c r="B191" s="554"/>
      <c r="C191" s="554"/>
      <c r="D191" s="1219"/>
      <c r="E191" s="319"/>
      <c r="F191" s="320"/>
      <c r="G191" s="320"/>
      <c r="H191" s="320"/>
      <c r="I191" s="321"/>
      <c r="J191" s="321"/>
      <c r="K191" s="380"/>
      <c r="L191" s="352"/>
      <c r="M191" s="353"/>
      <c r="N191" s="321"/>
      <c r="O191" s="321"/>
      <c r="P191" s="321"/>
      <c r="Q191" s="321"/>
      <c r="R191" s="321"/>
      <c r="S191" s="321"/>
      <c r="T191" s="363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si="75"/>
        <v>0</v>
      </c>
      <c r="AF191" s="594"/>
      <c r="AG191" s="593"/>
      <c r="AH191" s="593">
        <f t="shared" si="76"/>
        <v>0</v>
      </c>
      <c r="AI191" s="836"/>
      <c r="AJ191" s="837">
        <f t="shared" si="77"/>
        <v>0</v>
      </c>
    </row>
    <row r="192" spans="1:36" s="234" customFormat="1" ht="20.25">
      <c r="A192" s="551"/>
      <c r="B192" s="552"/>
      <c r="C192" s="553"/>
      <c r="D192" s="544"/>
      <c r="E192" s="541"/>
      <c r="F192" s="542"/>
      <c r="G192" s="542"/>
      <c r="H192" s="542"/>
      <c r="I192" s="543"/>
      <c r="J192" s="543"/>
      <c r="K192" s="592"/>
      <c r="L192" s="580"/>
      <c r="M192" s="581"/>
      <c r="N192" s="543"/>
      <c r="O192" s="543"/>
      <c r="P192" s="543"/>
      <c r="Q192" s="543"/>
      <c r="R192" s="543"/>
      <c r="S192" s="543"/>
      <c r="T192" s="767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75"/>
        <v>0</v>
      </c>
      <c r="AF192" s="409"/>
      <c r="AG192" s="408"/>
      <c r="AH192" s="408">
        <f t="shared" si="76"/>
        <v>0</v>
      </c>
      <c r="AI192" s="835"/>
      <c r="AJ192" s="720">
        <f t="shared" si="77"/>
        <v>0</v>
      </c>
    </row>
    <row r="193" spans="1:36" s="234" customFormat="1" ht="23.25">
      <c r="A193" s="547"/>
      <c r="B193" s="562"/>
      <c r="C193" s="539"/>
      <c r="D193" s="544"/>
      <c r="E193" s="319"/>
      <c r="F193" s="320"/>
      <c r="G193" s="320"/>
      <c r="H193" s="320"/>
      <c r="I193" s="321"/>
      <c r="J193" s="321"/>
      <c r="K193" s="380"/>
      <c r="L193" s="352"/>
      <c r="M193" s="353"/>
      <c r="N193" s="321"/>
      <c r="O193" s="321"/>
      <c r="P193" s="321"/>
      <c r="Q193" s="321"/>
      <c r="R193" s="582"/>
      <c r="S193" s="321"/>
      <c r="T193" s="834"/>
      <c r="U193" s="352"/>
      <c r="V193" s="353"/>
      <c r="W193" s="321"/>
      <c r="X193" s="321"/>
      <c r="Y193" s="321"/>
      <c r="Z193" s="321"/>
      <c r="AA193" s="321"/>
      <c r="AB193" s="321"/>
      <c r="AC193" s="380"/>
      <c r="AD193" s="352"/>
      <c r="AE193" s="408">
        <f t="shared" si="75"/>
        <v>0</v>
      </c>
      <c r="AF193" s="409"/>
      <c r="AG193" s="408"/>
      <c r="AH193" s="408">
        <f t="shared" si="76"/>
        <v>0</v>
      </c>
      <c r="AI193" s="835"/>
      <c r="AJ193" s="720">
        <f t="shared" si="77"/>
        <v>0</v>
      </c>
    </row>
    <row r="194" spans="1:36" s="234" customFormat="1" ht="20.25">
      <c r="A194" s="551"/>
      <c r="B194" s="552"/>
      <c r="C194" s="553"/>
      <c r="D194" s="544"/>
      <c r="E194" s="319"/>
      <c r="F194" s="320"/>
      <c r="G194" s="320"/>
      <c r="H194" s="320"/>
      <c r="I194" s="321"/>
      <c r="J194" s="321"/>
      <c r="K194" s="380"/>
      <c r="L194" s="352"/>
      <c r="M194" s="353"/>
      <c r="N194" s="321"/>
      <c r="O194" s="321"/>
      <c r="P194" s="321"/>
      <c r="Q194" s="321"/>
      <c r="R194" s="321"/>
      <c r="S194" s="321"/>
      <c r="T194" s="363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ref="AE194:AE199" si="81">SUM(E194:AC194)</f>
        <v>0</v>
      </c>
      <c r="AF194" s="409"/>
      <c r="AG194" s="408"/>
      <c r="AH194" s="408">
        <f t="shared" si="76"/>
        <v>0</v>
      </c>
      <c r="AI194" s="835"/>
      <c r="AJ194" s="720">
        <f t="shared" si="77"/>
        <v>0</v>
      </c>
    </row>
    <row r="195" spans="1:36" s="234" customFormat="1" ht="20.25">
      <c r="A195" s="537"/>
      <c r="B195" s="550"/>
      <c r="C195" s="549"/>
      <c r="D195" s="544"/>
      <c r="E195" s="319"/>
      <c r="F195" s="320"/>
      <c r="G195" s="320"/>
      <c r="H195" s="320"/>
      <c r="I195" s="321"/>
      <c r="J195" s="321"/>
      <c r="K195" s="380"/>
      <c r="L195" s="352"/>
      <c r="M195" s="353"/>
      <c r="N195" s="321"/>
      <c r="O195" s="321"/>
      <c r="P195" s="321"/>
      <c r="Q195" s="582"/>
      <c r="R195" s="582"/>
      <c r="S195" s="321"/>
      <c r="T195" s="363"/>
      <c r="U195" s="352"/>
      <c r="V195" s="353"/>
      <c r="W195" s="321"/>
      <c r="X195" s="321"/>
      <c r="Y195" s="321"/>
      <c r="Z195" s="321"/>
      <c r="AA195" s="321"/>
      <c r="AB195" s="321"/>
      <c r="AC195" s="380"/>
      <c r="AD195" s="352"/>
      <c r="AE195" s="408">
        <f t="shared" si="81"/>
        <v>0</v>
      </c>
      <c r="AF195" s="409"/>
      <c r="AG195" s="408"/>
      <c r="AH195" s="408">
        <f t="shared" si="76"/>
        <v>0</v>
      </c>
      <c r="AI195" s="835"/>
      <c r="AJ195" s="720">
        <f t="shared" si="77"/>
        <v>0</v>
      </c>
    </row>
    <row r="196" spans="1:36" s="234" customFormat="1" ht="20.25">
      <c r="A196" s="537"/>
      <c r="B196" s="550"/>
      <c r="C196" s="549"/>
      <c r="D196" s="544"/>
      <c r="E196" s="319"/>
      <c r="F196" s="320"/>
      <c r="G196" s="320"/>
      <c r="H196" s="320"/>
      <c r="I196" s="321"/>
      <c r="J196" s="321"/>
      <c r="K196" s="380"/>
      <c r="L196" s="352"/>
      <c r="M196" s="353"/>
      <c r="N196" s="321"/>
      <c r="O196" s="321"/>
      <c r="P196" s="321"/>
      <c r="Q196" s="321"/>
      <c r="R196" s="321"/>
      <c r="S196" s="321"/>
      <c r="T196" s="363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81"/>
        <v>0</v>
      </c>
      <c r="AF196" s="409"/>
      <c r="AG196" s="408"/>
      <c r="AH196" s="408">
        <f t="shared" si="76"/>
        <v>0</v>
      </c>
      <c r="AI196" s="835"/>
      <c r="AJ196" s="720">
        <f t="shared" si="77"/>
        <v>0</v>
      </c>
    </row>
    <row r="197" spans="1:36" s="234" customFormat="1" ht="20.25">
      <c r="A197" s="537"/>
      <c r="B197" s="550"/>
      <c r="C197" s="549"/>
      <c r="D197" s="544"/>
      <c r="E197" s="319"/>
      <c r="F197" s="320"/>
      <c r="G197" s="320"/>
      <c r="H197" s="320"/>
      <c r="I197" s="321"/>
      <c r="J197" s="321"/>
      <c r="K197" s="380"/>
      <c r="L197" s="352"/>
      <c r="M197" s="353"/>
      <c r="N197" s="321"/>
      <c r="O197" s="321"/>
      <c r="P197" s="321"/>
      <c r="Q197" s="321"/>
      <c r="R197" s="321"/>
      <c r="S197" s="321"/>
      <c r="T197" s="363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si="81"/>
        <v>0</v>
      </c>
      <c r="AF197" s="409"/>
      <c r="AG197" s="408"/>
      <c r="AH197" s="408">
        <f t="shared" si="76"/>
        <v>0</v>
      </c>
      <c r="AI197" s="835"/>
      <c r="AJ197" s="720">
        <f t="shared" si="77"/>
        <v>0</v>
      </c>
    </row>
    <row r="198" spans="1:36" s="234" customFormat="1" ht="20.25">
      <c r="A198" s="537"/>
      <c r="B198" s="550"/>
      <c r="C198" s="549"/>
      <c r="D198" s="544"/>
      <c r="E198" s="319"/>
      <c r="F198" s="320"/>
      <c r="G198" s="320"/>
      <c r="H198" s="320"/>
      <c r="I198" s="321"/>
      <c r="J198" s="321"/>
      <c r="K198" s="380"/>
      <c r="L198" s="352"/>
      <c r="M198" s="353"/>
      <c r="N198" s="321"/>
      <c r="O198" s="321"/>
      <c r="P198" s="321"/>
      <c r="Q198" s="321"/>
      <c r="R198" s="321"/>
      <c r="S198" s="321"/>
      <c r="T198" s="363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81"/>
        <v>0</v>
      </c>
      <c r="AF198" s="409"/>
      <c r="AG198" s="408"/>
      <c r="AH198" s="408">
        <f t="shared" si="76"/>
        <v>0</v>
      </c>
      <c r="AI198" s="835"/>
      <c r="AJ198" s="720">
        <f t="shared" si="77"/>
        <v>0</v>
      </c>
    </row>
    <row r="199" spans="1:36" s="234" customFormat="1" ht="20.25">
      <c r="A199" s="537"/>
      <c r="B199" s="550"/>
      <c r="C199" s="549"/>
      <c r="D199" s="544"/>
      <c r="E199" s="319"/>
      <c r="F199" s="320"/>
      <c r="G199" s="320"/>
      <c r="H199" s="320"/>
      <c r="I199" s="321"/>
      <c r="J199" s="321"/>
      <c r="K199" s="380"/>
      <c r="L199" s="352"/>
      <c r="M199" s="353"/>
      <c r="N199" s="321"/>
      <c r="O199" s="321"/>
      <c r="P199" s="321"/>
      <c r="Q199" s="321"/>
      <c r="R199" s="321"/>
      <c r="S199" s="321"/>
      <c r="T199" s="363"/>
      <c r="U199" s="654"/>
      <c r="V199" s="321"/>
      <c r="W199" s="321"/>
      <c r="X199" s="321"/>
      <c r="Y199" s="321"/>
      <c r="Z199" s="321"/>
      <c r="AA199" s="321"/>
      <c r="AB199" s="321"/>
      <c r="AC199" s="320"/>
      <c r="AD199" s="842"/>
      <c r="AE199" s="321">
        <f t="shared" si="81"/>
        <v>0</v>
      </c>
      <c r="AF199" s="321"/>
      <c r="AG199" s="321"/>
      <c r="AH199" s="321">
        <f t="shared" si="76"/>
        <v>0</v>
      </c>
      <c r="AI199" s="845"/>
      <c r="AJ199" s="846">
        <f t="shared" si="77"/>
        <v>0</v>
      </c>
    </row>
    <row r="200" spans="1:36" s="234" customFormat="1" ht="20.25">
      <c r="A200" s="537"/>
      <c r="B200" s="538"/>
      <c r="C200" s="539"/>
      <c r="D200" s="544"/>
      <c r="E200" s="319"/>
      <c r="F200" s="320"/>
      <c r="G200" s="320"/>
      <c r="H200" s="320"/>
      <c r="I200" s="321"/>
      <c r="J200" s="321"/>
      <c r="K200" s="380"/>
      <c r="L200" s="352"/>
      <c r="M200" s="353"/>
      <c r="N200" s="321"/>
      <c r="O200" s="321"/>
      <c r="P200" s="321"/>
      <c r="Q200" s="321"/>
      <c r="R200" s="321"/>
      <c r="S200" s="321"/>
      <c r="T200" s="363"/>
      <c r="U200" s="654"/>
      <c r="V200" s="321"/>
      <c r="W200" s="321"/>
      <c r="X200" s="321"/>
      <c r="Y200" s="321"/>
      <c r="Z200" s="321"/>
      <c r="AA200" s="321"/>
      <c r="AB200" s="321"/>
      <c r="AC200" s="320"/>
      <c r="AD200" s="842"/>
      <c r="AE200" s="321">
        <f t="shared" si="75"/>
        <v>0</v>
      </c>
      <c r="AF200" s="321"/>
      <c r="AG200" s="321"/>
      <c r="AH200" s="321">
        <f t="shared" si="76"/>
        <v>0</v>
      </c>
      <c r="AI200" s="845"/>
      <c r="AJ200" s="846">
        <f t="shared" si="77"/>
        <v>0</v>
      </c>
    </row>
    <row r="201" spans="1:36" s="234" customFormat="1" ht="20.25">
      <c r="A201" s="537"/>
      <c r="B201" s="550"/>
      <c r="C201" s="549"/>
      <c r="D201" s="544"/>
      <c r="E201" s="611"/>
      <c r="F201" s="612"/>
      <c r="G201" s="612"/>
      <c r="H201" s="612"/>
      <c r="I201" s="613"/>
      <c r="J201" s="613"/>
      <c r="K201" s="678"/>
      <c r="L201" s="654"/>
      <c r="M201" s="655"/>
      <c r="N201" s="613"/>
      <c r="O201" s="613"/>
      <c r="P201" s="613"/>
      <c r="Q201" s="613"/>
      <c r="R201" s="613"/>
      <c r="S201" s="613"/>
      <c r="T201" s="768"/>
      <c r="U201" s="657"/>
      <c r="V201" s="658"/>
      <c r="W201" s="619"/>
      <c r="X201" s="619"/>
      <c r="Y201" s="619"/>
      <c r="Z201" s="619"/>
      <c r="AA201" s="619"/>
      <c r="AB201" s="619"/>
      <c r="AC201" s="681"/>
      <c r="AD201" s="657"/>
      <c r="AE201" s="682">
        <f t="shared" ref="AE201:AE247" si="82">SUM(E201:AC201)</f>
        <v>0</v>
      </c>
      <c r="AF201" s="683"/>
      <c r="AG201" s="682"/>
      <c r="AH201" s="682">
        <f t="shared" si="76"/>
        <v>0</v>
      </c>
      <c r="AI201" s="847"/>
      <c r="AJ201" s="848">
        <f t="shared" si="77"/>
        <v>0</v>
      </c>
    </row>
    <row r="202" spans="1:36" s="234" customFormat="1" ht="20.25">
      <c r="A202" s="551"/>
      <c r="B202" s="552"/>
      <c r="C202" s="553"/>
      <c r="D202" s="544"/>
      <c r="E202" s="617"/>
      <c r="F202" s="618"/>
      <c r="G202" s="618"/>
      <c r="H202" s="618"/>
      <c r="I202" s="619"/>
      <c r="J202" s="619"/>
      <c r="K202" s="681"/>
      <c r="L202" s="657"/>
      <c r="M202" s="658"/>
      <c r="N202" s="619"/>
      <c r="O202" s="619"/>
      <c r="P202" s="619"/>
      <c r="Q202" s="619"/>
      <c r="R202" s="619"/>
      <c r="S202" s="619"/>
      <c r="T202" s="769"/>
      <c r="U202" s="657"/>
      <c r="V202" s="658"/>
      <c r="W202" s="619"/>
      <c r="X202" s="619"/>
      <c r="Y202" s="619"/>
      <c r="Z202" s="619"/>
      <c r="AA202" s="619"/>
      <c r="AB202" s="619"/>
      <c r="AC202" s="681"/>
      <c r="AD202" s="843"/>
      <c r="AE202" s="408">
        <f t="shared" si="82"/>
        <v>0</v>
      </c>
      <c r="AF202" s="409"/>
      <c r="AG202" s="408"/>
      <c r="AH202" s="408">
        <f t="shared" si="76"/>
        <v>0</v>
      </c>
      <c r="AI202" s="835"/>
      <c r="AJ202" s="720">
        <f t="shared" si="77"/>
        <v>0</v>
      </c>
    </row>
    <row r="203" spans="1:36" s="234" customFormat="1" ht="20.25">
      <c r="A203" s="537"/>
      <c r="B203" s="550"/>
      <c r="C203" s="549"/>
      <c r="D203" s="544"/>
      <c r="E203" s="617"/>
      <c r="F203" s="618"/>
      <c r="G203" s="618"/>
      <c r="H203" s="618"/>
      <c r="I203" s="619"/>
      <c r="J203" s="619"/>
      <c r="K203" s="681"/>
      <c r="L203" s="657"/>
      <c r="M203" s="658"/>
      <c r="N203" s="619"/>
      <c r="O203" s="619"/>
      <c r="P203" s="619"/>
      <c r="Q203" s="619"/>
      <c r="R203" s="619"/>
      <c r="S203" s="619"/>
      <c r="T203" s="769"/>
      <c r="U203" s="657"/>
      <c r="V203" s="658"/>
      <c r="W203" s="619"/>
      <c r="X203" s="619"/>
      <c r="Y203" s="619"/>
      <c r="Z203" s="619"/>
      <c r="AA203" s="619"/>
      <c r="AB203" s="619"/>
      <c r="AC203" s="681"/>
      <c r="AD203" s="843"/>
      <c r="AE203" s="408">
        <f t="shared" si="82"/>
        <v>0</v>
      </c>
      <c r="AF203" s="409"/>
      <c r="AG203" s="408"/>
      <c r="AH203" s="408">
        <f t="shared" si="76"/>
        <v>0</v>
      </c>
      <c r="AI203" s="835"/>
      <c r="AJ203" s="720">
        <f t="shared" si="77"/>
        <v>0</v>
      </c>
    </row>
    <row r="204" spans="1:36" s="234" customFormat="1" ht="20.25">
      <c r="A204" s="537"/>
      <c r="B204" s="550"/>
      <c r="C204" s="549"/>
      <c r="D204" s="544"/>
      <c r="E204" s="617"/>
      <c r="F204" s="618"/>
      <c r="G204" s="320"/>
      <c r="H204" s="320"/>
      <c r="I204" s="619"/>
      <c r="J204" s="619"/>
      <c r="K204" s="681"/>
      <c r="L204" s="657"/>
      <c r="M204" s="658"/>
      <c r="N204" s="619"/>
      <c r="O204" s="619"/>
      <c r="P204" s="619"/>
      <c r="Q204" s="619"/>
      <c r="R204" s="619"/>
      <c r="S204" s="619"/>
      <c r="T204" s="769"/>
      <c r="U204" s="657"/>
      <c r="V204" s="658"/>
      <c r="W204" s="619"/>
      <c r="X204" s="619"/>
      <c r="Y204" s="619"/>
      <c r="Z204" s="619"/>
      <c r="AA204" s="619"/>
      <c r="AB204" s="619"/>
      <c r="AC204" s="681"/>
      <c r="AD204" s="843"/>
      <c r="AE204" s="408">
        <f t="shared" si="82"/>
        <v>0</v>
      </c>
      <c r="AF204" s="409"/>
      <c r="AG204" s="408"/>
      <c r="AH204" s="408">
        <f t="shared" si="76"/>
        <v>0</v>
      </c>
      <c r="AI204" s="835"/>
      <c r="AJ204" s="720">
        <f t="shared" si="77"/>
        <v>0</v>
      </c>
    </row>
    <row r="205" spans="1:36" s="234" customFormat="1" ht="20.25">
      <c r="A205" s="551"/>
      <c r="B205" s="552"/>
      <c r="C205" s="553"/>
      <c r="D205" s="544"/>
      <c r="E205" s="617"/>
      <c r="F205" s="618"/>
      <c r="G205" s="1221"/>
      <c r="I205" s="619"/>
      <c r="J205" s="619"/>
      <c r="K205" s="681"/>
      <c r="L205" s="657"/>
      <c r="M205" s="658"/>
      <c r="N205" s="619"/>
      <c r="O205" s="619"/>
      <c r="P205" s="619"/>
      <c r="Q205" s="619"/>
      <c r="R205" s="619"/>
      <c r="S205" s="619"/>
      <c r="T205" s="769"/>
      <c r="U205" s="657"/>
      <c r="V205" s="658"/>
      <c r="W205" s="619"/>
      <c r="X205" s="619"/>
      <c r="Y205" s="619"/>
      <c r="Z205" s="619"/>
      <c r="AA205" s="619"/>
      <c r="AB205" s="619"/>
      <c r="AC205" s="681"/>
      <c r="AD205" s="774"/>
      <c r="AE205" s="408">
        <f t="shared" si="82"/>
        <v>0</v>
      </c>
      <c r="AF205" s="409"/>
      <c r="AG205" s="408"/>
      <c r="AH205" s="408">
        <f t="shared" si="76"/>
        <v>0</v>
      </c>
      <c r="AI205" s="835"/>
      <c r="AJ205" s="720">
        <f t="shared" si="77"/>
        <v>0</v>
      </c>
    </row>
    <row r="206" spans="1:36" s="234" customFormat="1" ht="20.25">
      <c r="A206" s="551"/>
      <c r="B206" s="567"/>
      <c r="C206" s="553"/>
      <c r="D206" s="544"/>
      <c r="E206" s="617"/>
      <c r="F206" s="618"/>
      <c r="G206" s="618"/>
      <c r="H206" s="618"/>
      <c r="I206" s="619"/>
      <c r="J206" s="619"/>
      <c r="K206" s="681"/>
      <c r="L206" s="657"/>
      <c r="M206" s="658"/>
      <c r="N206" s="619"/>
      <c r="O206" s="619"/>
      <c r="P206" s="619"/>
      <c r="Q206" s="619"/>
      <c r="R206" s="619"/>
      <c r="S206" s="619"/>
      <c r="T206" s="769"/>
      <c r="U206" s="657"/>
      <c r="V206" s="658"/>
      <c r="W206" s="619"/>
      <c r="X206" s="619"/>
      <c r="Y206" s="619"/>
      <c r="Z206" s="619"/>
      <c r="AA206" s="619"/>
      <c r="AB206" s="619"/>
      <c r="AC206" s="681"/>
      <c r="AD206" s="775"/>
      <c r="AE206" s="419">
        <f t="shared" si="82"/>
        <v>0</v>
      </c>
      <c r="AF206" s="420"/>
      <c r="AG206" s="419"/>
      <c r="AH206" s="419">
        <f t="shared" si="76"/>
        <v>0</v>
      </c>
      <c r="AI206" s="849"/>
      <c r="AJ206" s="850">
        <f t="shared" si="77"/>
        <v>0</v>
      </c>
    </row>
    <row r="207" spans="1:36" s="234" customFormat="1" ht="20.25">
      <c r="A207" s="537"/>
      <c r="B207" s="538"/>
      <c r="C207" s="539"/>
      <c r="D207" s="555"/>
      <c r="E207" s="617"/>
      <c r="F207" s="618"/>
      <c r="G207" s="618"/>
      <c r="H207" s="618"/>
      <c r="I207" s="619"/>
      <c r="J207" s="619"/>
      <c r="K207" s="681"/>
      <c r="L207" s="657"/>
      <c r="M207" s="658"/>
      <c r="N207" s="619"/>
      <c r="O207" s="619"/>
      <c r="P207" s="619"/>
      <c r="Q207" s="619"/>
      <c r="R207" s="619"/>
      <c r="S207" s="619"/>
      <c r="T207" s="769"/>
      <c r="U207" s="657"/>
      <c r="V207" s="658"/>
      <c r="W207" s="619"/>
      <c r="X207" s="619"/>
      <c r="Y207" s="619"/>
      <c r="Z207" s="619"/>
      <c r="AA207" s="619"/>
      <c r="AB207" s="619"/>
      <c r="AC207" s="681"/>
      <c r="AD207" s="774"/>
      <c r="AE207" s="408">
        <f t="shared" si="82"/>
        <v>0</v>
      </c>
      <c r="AF207" s="409"/>
      <c r="AG207" s="408"/>
      <c r="AH207" s="408">
        <f t="shared" si="76"/>
        <v>0</v>
      </c>
      <c r="AI207" s="835"/>
      <c r="AJ207" s="720">
        <f t="shared" si="77"/>
        <v>0</v>
      </c>
    </row>
    <row r="208" spans="1:36" s="234" customFormat="1" ht="20.25">
      <c r="A208" s="551"/>
      <c r="B208" s="552"/>
      <c r="C208" s="553"/>
      <c r="D208" s="544"/>
      <c r="E208" s="617"/>
      <c r="F208" s="618"/>
      <c r="G208" s="618"/>
      <c r="H208" s="618"/>
      <c r="I208" s="619"/>
      <c r="J208" s="619"/>
      <c r="K208" s="681"/>
      <c r="L208" s="657"/>
      <c r="M208" s="658"/>
      <c r="N208" s="619"/>
      <c r="O208" s="619"/>
      <c r="P208" s="619"/>
      <c r="Q208" s="619"/>
      <c r="R208" s="619"/>
      <c r="S208" s="619"/>
      <c r="T208" s="769"/>
      <c r="U208" s="657"/>
      <c r="V208" s="658"/>
      <c r="W208" s="619"/>
      <c r="X208" s="619"/>
      <c r="Y208" s="619"/>
      <c r="Z208" s="619"/>
      <c r="AA208" s="619"/>
      <c r="AB208" s="619"/>
      <c r="AC208" s="681"/>
      <c r="AD208" s="774"/>
      <c r="AE208" s="419">
        <f t="shared" si="82"/>
        <v>0</v>
      </c>
      <c r="AF208" s="420"/>
      <c r="AG208" s="419"/>
      <c r="AH208" s="419">
        <f t="shared" si="76"/>
        <v>0</v>
      </c>
      <c r="AI208" s="849"/>
      <c r="AJ208" s="850">
        <f t="shared" si="77"/>
        <v>0</v>
      </c>
    </row>
    <row r="209" spans="1:36" s="234" customFormat="1" ht="20.25">
      <c r="A209" s="551"/>
      <c r="B209" s="567"/>
      <c r="C209" s="553"/>
      <c r="D209" s="544"/>
      <c r="E209" s="617"/>
      <c r="F209" s="618"/>
      <c r="G209" s="618"/>
      <c r="H209" s="618"/>
      <c r="I209" s="619"/>
      <c r="J209" s="619"/>
      <c r="K209" s="681"/>
      <c r="L209" s="657"/>
      <c r="M209" s="658"/>
      <c r="N209" s="619"/>
      <c r="O209" s="619"/>
      <c r="P209" s="619"/>
      <c r="Q209" s="619"/>
      <c r="R209" s="619"/>
      <c r="S209" s="619"/>
      <c r="T209" s="769"/>
      <c r="U209" s="657"/>
      <c r="V209" s="658"/>
      <c r="W209" s="619"/>
      <c r="X209" s="619"/>
      <c r="Y209" s="619"/>
      <c r="Z209" s="619"/>
      <c r="AA209" s="619"/>
      <c r="AB209" s="619"/>
      <c r="AC209" s="681"/>
      <c r="AD209" s="774"/>
      <c r="AE209" s="408">
        <f t="shared" si="82"/>
        <v>0</v>
      </c>
      <c r="AF209" s="409"/>
      <c r="AG209" s="408"/>
      <c r="AH209" s="408">
        <f t="shared" si="76"/>
        <v>0</v>
      </c>
      <c r="AI209" s="835"/>
      <c r="AJ209" s="720">
        <f t="shared" si="77"/>
        <v>0</v>
      </c>
    </row>
    <row r="210" spans="1:36" s="234" customFormat="1" ht="20.25">
      <c r="A210" s="551"/>
      <c r="B210" s="552"/>
      <c r="C210" s="553"/>
      <c r="D210" s="544"/>
      <c r="E210" s="617"/>
      <c r="F210" s="618"/>
      <c r="G210" s="618"/>
      <c r="H210" s="618"/>
      <c r="I210" s="619"/>
      <c r="J210" s="619"/>
      <c r="K210" s="681"/>
      <c r="L210" s="657"/>
      <c r="M210" s="658"/>
      <c r="N210" s="619"/>
      <c r="O210" s="619"/>
      <c r="P210" s="619"/>
      <c r="Q210" s="619"/>
      <c r="R210" s="619"/>
      <c r="S210" s="619"/>
      <c r="T210" s="769"/>
      <c r="U210" s="657"/>
      <c r="V210" s="658"/>
      <c r="W210" s="619"/>
      <c r="X210" s="619"/>
      <c r="Y210" s="619"/>
      <c r="Z210" s="619"/>
      <c r="AA210" s="619"/>
      <c r="AB210" s="619"/>
      <c r="AC210" s="681"/>
      <c r="AD210" s="774"/>
      <c r="AE210" s="408">
        <f t="shared" si="82"/>
        <v>0</v>
      </c>
      <c r="AF210" s="409"/>
      <c r="AG210" s="408"/>
      <c r="AH210" s="408">
        <f t="shared" si="76"/>
        <v>0</v>
      </c>
      <c r="AI210" s="835"/>
      <c r="AJ210" s="720">
        <f t="shared" si="77"/>
        <v>0</v>
      </c>
    </row>
    <row r="211" spans="1:36" s="234" customFormat="1" ht="20.25">
      <c r="A211" s="551"/>
      <c r="B211" s="552"/>
      <c r="C211" s="553"/>
      <c r="D211" s="568"/>
      <c r="E211" s="617"/>
      <c r="F211" s="618"/>
      <c r="G211" s="618"/>
      <c r="H211" s="618"/>
      <c r="I211" s="619"/>
      <c r="J211" s="619"/>
      <c r="K211" s="681"/>
      <c r="L211" s="657"/>
      <c r="M211" s="658"/>
      <c r="N211" s="619"/>
      <c r="O211" s="619"/>
      <c r="P211" s="619"/>
      <c r="Q211" s="619"/>
      <c r="R211" s="619"/>
      <c r="S211" s="619"/>
      <c r="T211" s="769"/>
      <c r="U211" s="657"/>
      <c r="V211" s="658"/>
      <c r="W211" s="619"/>
      <c r="X211" s="619"/>
      <c r="Y211" s="619"/>
      <c r="Z211" s="619"/>
      <c r="AA211" s="619"/>
      <c r="AB211" s="619"/>
      <c r="AC211" s="681"/>
      <c r="AD211" s="774"/>
      <c r="AE211" s="408">
        <f t="shared" si="82"/>
        <v>0</v>
      </c>
      <c r="AF211" s="409"/>
      <c r="AG211" s="408"/>
      <c r="AH211" s="408">
        <f t="shared" si="76"/>
        <v>0</v>
      </c>
      <c r="AI211" s="835"/>
      <c r="AJ211" s="720">
        <f t="shared" si="77"/>
        <v>0</v>
      </c>
    </row>
    <row r="212" spans="1:36" s="234" customFormat="1" ht="20.25">
      <c r="A212" s="551"/>
      <c r="B212" s="552"/>
      <c r="C212" s="553"/>
      <c r="D212" s="568"/>
      <c r="E212" s="617"/>
      <c r="F212" s="618"/>
      <c r="G212" s="618"/>
      <c r="H212" s="618"/>
      <c r="I212" s="619"/>
      <c r="J212" s="619"/>
      <c r="K212" s="681"/>
      <c r="L212" s="657"/>
      <c r="M212" s="658"/>
      <c r="N212" s="619"/>
      <c r="O212" s="619"/>
      <c r="P212" s="619"/>
      <c r="Q212" s="619"/>
      <c r="R212" s="619"/>
      <c r="S212" s="619"/>
      <c r="T212" s="769"/>
      <c r="U212" s="657"/>
      <c r="V212" s="658"/>
      <c r="W212" s="619"/>
      <c r="X212" s="619"/>
      <c r="Y212" s="619"/>
      <c r="Z212" s="619"/>
      <c r="AA212" s="619"/>
      <c r="AB212" s="619"/>
      <c r="AC212" s="681"/>
      <c r="AD212" s="774"/>
      <c r="AE212" s="408">
        <f t="shared" si="82"/>
        <v>0</v>
      </c>
      <c r="AF212" s="409"/>
      <c r="AG212" s="408"/>
      <c r="AH212" s="408">
        <f t="shared" si="76"/>
        <v>0</v>
      </c>
      <c r="AI212" s="835"/>
      <c r="AJ212" s="720">
        <f t="shared" si="77"/>
        <v>0</v>
      </c>
    </row>
    <row r="213" spans="1:36" s="234" customFormat="1" ht="20.25">
      <c r="A213" s="551"/>
      <c r="B213" s="569"/>
      <c r="C213" s="553"/>
      <c r="D213" s="318"/>
      <c r="E213" s="617"/>
      <c r="F213" s="618"/>
      <c r="G213" s="618"/>
      <c r="H213" s="618"/>
      <c r="I213" s="619"/>
      <c r="J213" s="619"/>
      <c r="K213" s="681"/>
      <c r="L213" s="657"/>
      <c r="M213" s="658"/>
      <c r="N213" s="619"/>
      <c r="O213" s="619"/>
      <c r="P213" s="619"/>
      <c r="Q213" s="619"/>
      <c r="R213" s="619"/>
      <c r="S213" s="619"/>
      <c r="T213" s="769"/>
      <c r="U213" s="657"/>
      <c r="V213" s="658"/>
      <c r="W213" s="619"/>
      <c r="X213" s="619"/>
      <c r="Y213" s="619"/>
      <c r="Z213" s="619"/>
      <c r="AA213" s="619"/>
      <c r="AB213" s="619"/>
      <c r="AC213" s="681"/>
      <c r="AD213" s="774"/>
      <c r="AE213" s="408">
        <f t="shared" si="82"/>
        <v>0</v>
      </c>
      <c r="AF213" s="409"/>
      <c r="AG213" s="408"/>
      <c r="AH213" s="408">
        <f t="shared" si="76"/>
        <v>0</v>
      </c>
      <c r="AI213" s="835"/>
      <c r="AJ213" s="720">
        <f t="shared" si="77"/>
        <v>0</v>
      </c>
    </row>
    <row r="214" spans="1:36" s="234" customFormat="1" ht="20.25">
      <c r="A214" s="551"/>
      <c r="B214" s="569"/>
      <c r="C214" s="553"/>
      <c r="D214" s="318"/>
      <c r="E214" s="617"/>
      <c r="F214" s="618"/>
      <c r="G214" s="618"/>
      <c r="H214" s="618"/>
      <c r="I214" s="619"/>
      <c r="J214" s="619"/>
      <c r="K214" s="681"/>
      <c r="L214" s="657"/>
      <c r="M214" s="658"/>
      <c r="N214" s="619"/>
      <c r="O214" s="619"/>
      <c r="P214" s="619"/>
      <c r="Q214" s="619"/>
      <c r="R214" s="619"/>
      <c r="S214" s="619"/>
      <c r="T214" s="769"/>
      <c r="U214" s="657"/>
      <c r="V214" s="658"/>
      <c r="W214" s="619"/>
      <c r="X214" s="619"/>
      <c r="Y214" s="619"/>
      <c r="Z214" s="619"/>
      <c r="AA214" s="619"/>
      <c r="AB214" s="619"/>
      <c r="AC214" s="681"/>
      <c r="AD214" s="774"/>
      <c r="AE214" s="408">
        <f t="shared" si="82"/>
        <v>0</v>
      </c>
      <c r="AF214" s="409"/>
      <c r="AG214" s="408"/>
      <c r="AH214" s="408">
        <f t="shared" si="76"/>
        <v>0</v>
      </c>
      <c r="AI214" s="835"/>
      <c r="AJ214" s="720">
        <f t="shared" si="77"/>
        <v>0</v>
      </c>
    </row>
    <row r="215" spans="1:36" s="234" customFormat="1" ht="20.25">
      <c r="A215" s="551"/>
      <c r="B215" s="567"/>
      <c r="C215" s="553"/>
      <c r="D215" s="568"/>
      <c r="E215" s="617"/>
      <c r="F215" s="618"/>
      <c r="G215" s="618"/>
      <c r="H215" s="618"/>
      <c r="I215" s="619"/>
      <c r="J215" s="619"/>
      <c r="K215" s="681"/>
      <c r="L215" s="657"/>
      <c r="M215" s="658"/>
      <c r="N215" s="619"/>
      <c r="O215" s="619"/>
      <c r="P215" s="619"/>
      <c r="Q215" s="619"/>
      <c r="R215" s="619"/>
      <c r="S215" s="619"/>
      <c r="T215" s="769"/>
      <c r="U215" s="657"/>
      <c r="V215" s="658"/>
      <c r="W215" s="619"/>
      <c r="X215" s="619"/>
      <c r="Y215" s="619"/>
      <c r="Z215" s="619"/>
      <c r="AA215" s="619"/>
      <c r="AB215" s="619"/>
      <c r="AC215" s="681"/>
      <c r="AD215" s="774"/>
      <c r="AE215" s="408">
        <f t="shared" si="82"/>
        <v>0</v>
      </c>
      <c r="AF215" s="409"/>
      <c r="AG215" s="408"/>
      <c r="AH215" s="408">
        <f t="shared" si="76"/>
        <v>0</v>
      </c>
      <c r="AI215" s="835"/>
      <c r="AJ215" s="720">
        <f t="shared" si="77"/>
        <v>0</v>
      </c>
    </row>
    <row r="216" spans="1:36" s="234" customFormat="1" ht="20.25">
      <c r="A216" s="551"/>
      <c r="B216" s="567"/>
      <c r="C216" s="553"/>
      <c r="D216" s="568"/>
      <c r="E216" s="617"/>
      <c r="F216" s="618"/>
      <c r="G216" s="618"/>
      <c r="H216" s="618"/>
      <c r="I216" s="619"/>
      <c r="J216" s="619"/>
      <c r="K216" s="681"/>
      <c r="L216" s="657"/>
      <c r="M216" s="658"/>
      <c r="N216" s="619"/>
      <c r="O216" s="619"/>
      <c r="P216" s="619"/>
      <c r="Q216" s="619"/>
      <c r="R216" s="619"/>
      <c r="S216" s="619"/>
      <c r="T216" s="769"/>
      <c r="U216" s="657"/>
      <c r="V216" s="658"/>
      <c r="W216" s="619"/>
      <c r="X216" s="619"/>
      <c r="Y216" s="619"/>
      <c r="Z216" s="619"/>
      <c r="AA216" s="619"/>
      <c r="AB216" s="619"/>
      <c r="AC216" s="681"/>
      <c r="AD216" s="774"/>
      <c r="AE216" s="408">
        <f t="shared" si="82"/>
        <v>0</v>
      </c>
      <c r="AF216" s="409"/>
      <c r="AG216" s="408"/>
      <c r="AH216" s="408">
        <f t="shared" si="76"/>
        <v>0</v>
      </c>
      <c r="AI216" s="835"/>
      <c r="AJ216" s="720">
        <f t="shared" si="77"/>
        <v>0</v>
      </c>
    </row>
    <row r="217" spans="1:36" s="234" customFormat="1" ht="20.25">
      <c r="A217" s="561"/>
      <c r="B217" s="569"/>
      <c r="C217" s="553"/>
      <c r="D217" s="568"/>
      <c r="E217" s="617"/>
      <c r="F217" s="618"/>
      <c r="G217" s="618"/>
      <c r="H217" s="618"/>
      <c r="I217" s="619"/>
      <c r="J217" s="619"/>
      <c r="K217" s="681"/>
      <c r="L217" s="657"/>
      <c r="M217" s="658"/>
      <c r="N217" s="619"/>
      <c r="O217" s="619"/>
      <c r="P217" s="619"/>
      <c r="Q217" s="619"/>
      <c r="R217" s="619"/>
      <c r="S217" s="619"/>
      <c r="T217" s="769"/>
      <c r="U217" s="657"/>
      <c r="V217" s="658"/>
      <c r="W217" s="619"/>
      <c r="X217" s="619"/>
      <c r="Y217" s="619"/>
      <c r="Z217" s="619"/>
      <c r="AA217" s="619"/>
      <c r="AB217" s="619"/>
      <c r="AC217" s="681"/>
      <c r="AD217" s="774"/>
      <c r="AE217" s="408">
        <f t="shared" si="82"/>
        <v>0</v>
      </c>
      <c r="AF217" s="409"/>
      <c r="AG217" s="408"/>
      <c r="AH217" s="408">
        <f t="shared" si="76"/>
        <v>0</v>
      </c>
      <c r="AI217" s="835"/>
      <c r="AJ217" s="720">
        <f t="shared" si="77"/>
        <v>0</v>
      </c>
    </row>
    <row r="218" spans="1:36" s="234" customFormat="1" ht="20.25">
      <c r="A218" s="551"/>
      <c r="B218" s="567"/>
      <c r="C218" s="553"/>
      <c r="D218" s="568"/>
      <c r="E218" s="617"/>
      <c r="F218" s="618"/>
      <c r="G218" s="618"/>
      <c r="H218" s="618"/>
      <c r="I218" s="619"/>
      <c r="J218" s="619"/>
      <c r="K218" s="681"/>
      <c r="L218" s="657"/>
      <c r="M218" s="658"/>
      <c r="N218" s="619"/>
      <c r="O218" s="619"/>
      <c r="P218" s="619"/>
      <c r="Q218" s="619"/>
      <c r="R218" s="619"/>
      <c r="S218" s="619"/>
      <c r="T218" s="769"/>
      <c r="U218" s="657"/>
      <c r="V218" s="658"/>
      <c r="W218" s="619"/>
      <c r="X218" s="619"/>
      <c r="Y218" s="619"/>
      <c r="Z218" s="619"/>
      <c r="AA218" s="619"/>
      <c r="AB218" s="619"/>
      <c r="AC218" s="681"/>
      <c r="AD218" s="774"/>
      <c r="AE218" s="408">
        <f t="shared" si="82"/>
        <v>0</v>
      </c>
      <c r="AF218" s="409"/>
      <c r="AG218" s="408"/>
      <c r="AH218" s="408">
        <f t="shared" si="76"/>
        <v>0</v>
      </c>
      <c r="AI218" s="835"/>
      <c r="AJ218" s="720">
        <f t="shared" si="77"/>
        <v>0</v>
      </c>
    </row>
    <row r="219" spans="1:36" s="234" customFormat="1" ht="20.25">
      <c r="A219" s="537"/>
      <c r="B219" s="550"/>
      <c r="C219" s="549"/>
      <c r="D219" s="568"/>
      <c r="E219" s="617"/>
      <c r="F219" s="618"/>
      <c r="G219" s="618"/>
      <c r="H219" s="618"/>
      <c r="I219" s="619"/>
      <c r="J219" s="619"/>
      <c r="K219" s="681"/>
      <c r="L219" s="657"/>
      <c r="M219" s="658"/>
      <c r="N219" s="619"/>
      <c r="O219" s="619"/>
      <c r="P219" s="619"/>
      <c r="Q219" s="619"/>
      <c r="R219" s="619"/>
      <c r="S219" s="619"/>
      <c r="T219" s="769"/>
      <c r="U219" s="657"/>
      <c r="V219" s="658"/>
      <c r="W219" s="619"/>
      <c r="X219" s="619"/>
      <c r="Y219" s="619"/>
      <c r="Z219" s="619"/>
      <c r="AA219" s="619"/>
      <c r="AB219" s="619"/>
      <c r="AC219" s="681"/>
      <c r="AD219" s="774"/>
      <c r="AE219" s="408">
        <f t="shared" si="82"/>
        <v>0</v>
      </c>
      <c r="AF219" s="409"/>
      <c r="AG219" s="408"/>
      <c r="AH219" s="408">
        <f t="shared" si="76"/>
        <v>0</v>
      </c>
      <c r="AI219" s="835"/>
      <c r="AJ219" s="720">
        <f t="shared" si="77"/>
        <v>0</v>
      </c>
    </row>
    <row r="220" spans="1:36" s="234" customFormat="1" ht="20.25">
      <c r="A220" s="551"/>
      <c r="B220" s="569"/>
      <c r="C220" s="553"/>
      <c r="D220" s="318"/>
      <c r="E220" s="617"/>
      <c r="F220" s="618"/>
      <c r="G220" s="618"/>
      <c r="H220" s="618"/>
      <c r="I220" s="619"/>
      <c r="J220" s="619"/>
      <c r="K220" s="681"/>
      <c r="L220" s="657"/>
      <c r="M220" s="658"/>
      <c r="N220" s="619"/>
      <c r="O220" s="619"/>
      <c r="P220" s="619"/>
      <c r="Q220" s="619"/>
      <c r="R220" s="619"/>
      <c r="S220" s="619"/>
      <c r="T220" s="769"/>
      <c r="U220" s="657"/>
      <c r="V220" s="658"/>
      <c r="W220" s="619"/>
      <c r="X220" s="619"/>
      <c r="Y220" s="619"/>
      <c r="Z220" s="619"/>
      <c r="AA220" s="619"/>
      <c r="AB220" s="619"/>
      <c r="AC220" s="681"/>
      <c r="AD220" s="774"/>
      <c r="AE220" s="408">
        <f t="shared" si="82"/>
        <v>0</v>
      </c>
      <c r="AF220" s="409"/>
      <c r="AG220" s="408"/>
      <c r="AH220" s="408">
        <f t="shared" si="76"/>
        <v>0</v>
      </c>
      <c r="AI220" s="835"/>
      <c r="AJ220" s="720">
        <f t="shared" si="77"/>
        <v>0</v>
      </c>
    </row>
    <row r="221" spans="1:36" s="234" customFormat="1" ht="20.25">
      <c r="A221" s="551"/>
      <c r="B221" s="569"/>
      <c r="C221" s="553"/>
      <c r="D221" s="318"/>
      <c r="E221" s="617"/>
      <c r="F221" s="618"/>
      <c r="G221" s="618"/>
      <c r="H221" s="618"/>
      <c r="I221" s="619"/>
      <c r="J221" s="619"/>
      <c r="K221" s="681"/>
      <c r="L221" s="657"/>
      <c r="M221" s="658"/>
      <c r="N221" s="619"/>
      <c r="O221" s="619"/>
      <c r="P221" s="619"/>
      <c r="Q221" s="619"/>
      <c r="R221" s="619"/>
      <c r="S221" s="619"/>
      <c r="T221" s="769"/>
      <c r="U221" s="657"/>
      <c r="V221" s="658"/>
      <c r="W221" s="619"/>
      <c r="X221" s="619"/>
      <c r="Y221" s="619"/>
      <c r="Z221" s="619"/>
      <c r="AA221" s="619"/>
      <c r="AB221" s="619"/>
      <c r="AC221" s="681"/>
      <c r="AD221" s="774"/>
      <c r="AE221" s="408">
        <f t="shared" si="82"/>
        <v>0</v>
      </c>
      <c r="AF221" s="409"/>
      <c r="AG221" s="408"/>
      <c r="AH221" s="408">
        <f t="shared" si="76"/>
        <v>0</v>
      </c>
      <c r="AI221" s="835"/>
      <c r="AJ221" s="720">
        <f t="shared" si="77"/>
        <v>0</v>
      </c>
    </row>
    <row r="222" spans="1:36" s="234" customFormat="1" ht="20.25">
      <c r="A222" s="551"/>
      <c r="B222" s="567"/>
      <c r="C222" s="553"/>
      <c r="D222" s="568"/>
      <c r="E222" s="617"/>
      <c r="F222" s="618"/>
      <c r="G222" s="618"/>
      <c r="H222" s="618"/>
      <c r="I222" s="619"/>
      <c r="J222" s="619"/>
      <c r="K222" s="681"/>
      <c r="L222" s="657"/>
      <c r="M222" s="658"/>
      <c r="N222" s="619"/>
      <c r="O222" s="619"/>
      <c r="P222" s="619"/>
      <c r="Q222" s="619"/>
      <c r="R222" s="619"/>
      <c r="S222" s="619"/>
      <c r="T222" s="769"/>
      <c r="U222" s="657"/>
      <c r="V222" s="658"/>
      <c r="W222" s="619"/>
      <c r="X222" s="619"/>
      <c r="Y222" s="619"/>
      <c r="Z222" s="619"/>
      <c r="AA222" s="619"/>
      <c r="AB222" s="619"/>
      <c r="AC222" s="681"/>
      <c r="AD222" s="774"/>
      <c r="AE222" s="408">
        <f t="shared" si="82"/>
        <v>0</v>
      </c>
      <c r="AF222" s="409"/>
      <c r="AG222" s="408"/>
      <c r="AH222" s="408">
        <f t="shared" si="76"/>
        <v>0</v>
      </c>
      <c r="AI222" s="835"/>
      <c r="AJ222" s="720">
        <f t="shared" si="77"/>
        <v>0</v>
      </c>
    </row>
    <row r="223" spans="1:36" s="234" customFormat="1" ht="20.25">
      <c r="A223" s="551"/>
      <c r="B223" s="567"/>
      <c r="C223" s="553"/>
      <c r="D223" s="568"/>
      <c r="E223" s="617"/>
      <c r="F223" s="618"/>
      <c r="G223" s="618"/>
      <c r="H223" s="618"/>
      <c r="I223" s="619"/>
      <c r="J223" s="619"/>
      <c r="K223" s="681"/>
      <c r="L223" s="657"/>
      <c r="M223" s="658"/>
      <c r="N223" s="619"/>
      <c r="O223" s="619"/>
      <c r="P223" s="619"/>
      <c r="Q223" s="619"/>
      <c r="R223" s="619"/>
      <c r="S223" s="619"/>
      <c r="T223" s="769"/>
      <c r="U223" s="657"/>
      <c r="V223" s="658"/>
      <c r="W223" s="619"/>
      <c r="X223" s="619"/>
      <c r="Y223" s="619"/>
      <c r="Z223" s="619"/>
      <c r="AA223" s="619"/>
      <c r="AB223" s="619"/>
      <c r="AC223" s="681"/>
      <c r="AD223" s="774"/>
      <c r="AE223" s="408">
        <f t="shared" si="82"/>
        <v>0</v>
      </c>
      <c r="AF223" s="409"/>
      <c r="AG223" s="408"/>
      <c r="AH223" s="408">
        <f t="shared" si="76"/>
        <v>0</v>
      </c>
      <c r="AI223" s="835"/>
      <c r="AJ223" s="720">
        <f t="shared" si="77"/>
        <v>0</v>
      </c>
    </row>
    <row r="224" spans="1:36" s="234" customFormat="1" ht="20.25">
      <c r="A224" s="551"/>
      <c r="B224" s="567"/>
      <c r="C224" s="553"/>
      <c r="D224" s="568"/>
      <c r="E224" s="617"/>
      <c r="F224" s="618"/>
      <c r="G224" s="618"/>
      <c r="H224" s="618"/>
      <c r="I224" s="619"/>
      <c r="J224" s="619"/>
      <c r="K224" s="681"/>
      <c r="L224" s="657"/>
      <c r="M224" s="658"/>
      <c r="N224" s="619"/>
      <c r="O224" s="619"/>
      <c r="P224" s="619"/>
      <c r="Q224" s="619"/>
      <c r="R224" s="619"/>
      <c r="S224" s="619"/>
      <c r="T224" s="769"/>
      <c r="U224" s="657"/>
      <c r="V224" s="658"/>
      <c r="W224" s="619"/>
      <c r="X224" s="619"/>
      <c r="Y224" s="619"/>
      <c r="Z224" s="619"/>
      <c r="AA224" s="619"/>
      <c r="AB224" s="619"/>
      <c r="AC224" s="681"/>
      <c r="AD224" s="775"/>
      <c r="AE224" s="419">
        <f t="shared" si="82"/>
        <v>0</v>
      </c>
      <c r="AF224" s="409"/>
      <c r="AG224" s="419"/>
      <c r="AH224" s="419">
        <f t="shared" si="76"/>
        <v>0</v>
      </c>
      <c r="AI224" s="849"/>
      <c r="AJ224" s="850">
        <f t="shared" si="77"/>
        <v>0</v>
      </c>
    </row>
    <row r="225" spans="1:36" s="234" customFormat="1" ht="20.25">
      <c r="A225" s="551"/>
      <c r="B225" s="567"/>
      <c r="C225" s="553"/>
      <c r="D225" s="568"/>
      <c r="E225" s="617"/>
      <c r="F225" s="618"/>
      <c r="G225" s="618"/>
      <c r="H225" s="618"/>
      <c r="I225" s="619"/>
      <c r="J225" s="619"/>
      <c r="K225" s="681"/>
      <c r="L225" s="657"/>
      <c r="M225" s="658"/>
      <c r="N225" s="619"/>
      <c r="O225" s="619"/>
      <c r="P225" s="619"/>
      <c r="Q225" s="619"/>
      <c r="R225" s="619"/>
      <c r="S225" s="619"/>
      <c r="T225" s="769"/>
      <c r="U225" s="657"/>
      <c r="V225" s="658"/>
      <c r="W225" s="619"/>
      <c r="X225" s="619"/>
      <c r="Y225" s="619"/>
      <c r="Z225" s="619"/>
      <c r="AA225" s="619"/>
      <c r="AB225" s="619"/>
      <c r="AC225" s="681"/>
      <c r="AD225" s="774"/>
      <c r="AE225" s="408">
        <f t="shared" ref="AE225:AE241" si="83">SUM(E225:AC225)</f>
        <v>0</v>
      </c>
      <c r="AF225" s="409"/>
      <c r="AG225" s="408"/>
      <c r="AH225" s="408">
        <f t="shared" si="76"/>
        <v>0</v>
      </c>
      <c r="AI225" s="835"/>
      <c r="AJ225" s="720">
        <f t="shared" si="77"/>
        <v>0</v>
      </c>
    </row>
    <row r="226" spans="1:36" s="234" customFormat="1" ht="20.25">
      <c r="A226" s="551"/>
      <c r="B226" s="567"/>
      <c r="C226" s="553"/>
      <c r="D226" s="568"/>
      <c r="E226" s="617"/>
      <c r="F226" s="618"/>
      <c r="G226" s="618"/>
      <c r="H226" s="618"/>
      <c r="I226" s="619"/>
      <c r="J226" s="619"/>
      <c r="K226" s="681"/>
      <c r="L226" s="657"/>
      <c r="M226" s="658"/>
      <c r="N226" s="619"/>
      <c r="O226" s="619"/>
      <c r="P226" s="619"/>
      <c r="Q226" s="619"/>
      <c r="R226" s="619"/>
      <c r="S226" s="619"/>
      <c r="T226" s="769"/>
      <c r="U226" s="657"/>
      <c r="V226" s="658"/>
      <c r="W226" s="619"/>
      <c r="X226" s="619"/>
      <c r="Y226" s="619"/>
      <c r="Z226" s="619"/>
      <c r="AA226" s="619"/>
      <c r="AB226" s="619"/>
      <c r="AC226" s="681"/>
      <c r="AD226" s="774"/>
      <c r="AE226" s="408">
        <f t="shared" si="83"/>
        <v>0</v>
      </c>
      <c r="AF226" s="409"/>
      <c r="AG226" s="408"/>
      <c r="AH226" s="408">
        <f t="shared" si="76"/>
        <v>0</v>
      </c>
      <c r="AI226" s="835"/>
      <c r="AJ226" s="720">
        <f t="shared" si="77"/>
        <v>0</v>
      </c>
    </row>
    <row r="227" spans="1:36" s="234" customFormat="1" ht="20.25">
      <c r="A227" s="551"/>
      <c r="B227" s="567"/>
      <c r="C227" s="553"/>
      <c r="D227" s="568"/>
      <c r="E227" s="617"/>
      <c r="F227" s="618"/>
      <c r="G227" s="618"/>
      <c r="H227" s="618"/>
      <c r="I227" s="619"/>
      <c r="J227" s="619"/>
      <c r="K227" s="681"/>
      <c r="L227" s="657"/>
      <c r="M227" s="658"/>
      <c r="N227" s="619"/>
      <c r="O227" s="619"/>
      <c r="P227" s="619"/>
      <c r="Q227" s="619"/>
      <c r="R227" s="619"/>
      <c r="S227" s="619"/>
      <c r="T227" s="769"/>
      <c r="U227" s="657"/>
      <c r="V227" s="658"/>
      <c r="W227" s="619"/>
      <c r="X227" s="619"/>
      <c r="Y227" s="619"/>
      <c r="Z227" s="619"/>
      <c r="AA227" s="619"/>
      <c r="AB227" s="619"/>
      <c r="AC227" s="681"/>
      <c r="AD227" s="774"/>
      <c r="AE227" s="408">
        <f t="shared" si="83"/>
        <v>0</v>
      </c>
      <c r="AF227" s="409"/>
      <c r="AG227" s="408"/>
      <c r="AH227" s="408">
        <f t="shared" si="76"/>
        <v>0</v>
      </c>
      <c r="AI227" s="835"/>
      <c r="AJ227" s="720">
        <f t="shared" si="77"/>
        <v>0</v>
      </c>
    </row>
    <row r="228" spans="1:36" s="234" customFormat="1" ht="20.25">
      <c r="A228" s="551"/>
      <c r="B228" s="567"/>
      <c r="C228" s="553"/>
      <c r="D228" s="838"/>
      <c r="E228" s="617"/>
      <c r="F228" s="618"/>
      <c r="G228" s="618"/>
      <c r="H228" s="618"/>
      <c r="I228" s="619"/>
      <c r="J228" s="619"/>
      <c r="K228" s="681"/>
      <c r="L228" s="657"/>
      <c r="M228" s="658"/>
      <c r="N228" s="619"/>
      <c r="O228" s="619"/>
      <c r="P228" s="619"/>
      <c r="Q228" s="619"/>
      <c r="R228" s="619"/>
      <c r="S228" s="619"/>
      <c r="T228" s="769"/>
      <c r="U228" s="657"/>
      <c r="V228" s="658"/>
      <c r="W228" s="619"/>
      <c r="X228" s="619"/>
      <c r="Y228" s="619"/>
      <c r="Z228" s="619"/>
      <c r="AA228" s="619"/>
      <c r="AB228" s="619"/>
      <c r="AC228" s="681"/>
      <c r="AD228" s="774"/>
      <c r="AE228" s="408">
        <f t="shared" si="83"/>
        <v>0</v>
      </c>
      <c r="AF228" s="409"/>
      <c r="AG228" s="408"/>
      <c r="AH228" s="408">
        <f t="shared" si="76"/>
        <v>0</v>
      </c>
      <c r="AI228" s="835"/>
      <c r="AJ228" s="720">
        <f t="shared" si="77"/>
        <v>0</v>
      </c>
    </row>
    <row r="229" spans="1:36" s="234" customFormat="1" ht="20.25">
      <c r="A229" s="551"/>
      <c r="B229" s="552"/>
      <c r="C229" s="553"/>
      <c r="D229" s="568"/>
      <c r="E229" s="617"/>
      <c r="F229" s="618"/>
      <c r="G229" s="618"/>
      <c r="H229" s="618"/>
      <c r="I229" s="619"/>
      <c r="J229" s="619"/>
      <c r="K229" s="681"/>
      <c r="L229" s="657"/>
      <c r="M229" s="658"/>
      <c r="N229" s="619"/>
      <c r="O229" s="619"/>
      <c r="P229" s="619"/>
      <c r="Q229" s="619"/>
      <c r="R229" s="619"/>
      <c r="S229" s="619"/>
      <c r="T229" s="769"/>
      <c r="U229" s="657"/>
      <c r="V229" s="658"/>
      <c r="W229" s="619"/>
      <c r="X229" s="619"/>
      <c r="Y229" s="619"/>
      <c r="Z229" s="619"/>
      <c r="AA229" s="619"/>
      <c r="AB229" s="619"/>
      <c r="AC229" s="681"/>
      <c r="AD229" s="774"/>
      <c r="AE229" s="408">
        <f t="shared" si="83"/>
        <v>0</v>
      </c>
      <c r="AF229" s="409"/>
      <c r="AG229" s="408"/>
      <c r="AH229" s="408">
        <f t="shared" si="76"/>
        <v>0</v>
      </c>
      <c r="AI229" s="835"/>
      <c r="AJ229" s="720">
        <f t="shared" si="77"/>
        <v>0</v>
      </c>
    </row>
    <row r="230" spans="1:36" s="234" customFormat="1" ht="20.25">
      <c r="A230" s="551"/>
      <c r="B230" s="569"/>
      <c r="C230" s="553"/>
      <c r="D230" s="793"/>
      <c r="E230" s="617"/>
      <c r="F230" s="618"/>
      <c r="G230" s="618"/>
      <c r="H230" s="618"/>
      <c r="I230" s="619"/>
      <c r="J230" s="619"/>
      <c r="K230" s="681"/>
      <c r="L230" s="657"/>
      <c r="M230" s="658"/>
      <c r="N230" s="619"/>
      <c r="O230" s="619"/>
      <c r="P230" s="619"/>
      <c r="Q230" s="619"/>
      <c r="R230" s="619"/>
      <c r="S230" s="619"/>
      <c r="T230" s="769"/>
      <c r="U230" s="657"/>
      <c r="V230" s="658"/>
      <c r="W230" s="619"/>
      <c r="X230" s="619"/>
      <c r="Y230" s="619"/>
      <c r="Z230" s="619"/>
      <c r="AA230" s="619"/>
      <c r="AB230" s="619"/>
      <c r="AC230" s="681"/>
      <c r="AD230" s="774"/>
      <c r="AE230" s="408">
        <f t="shared" si="83"/>
        <v>0</v>
      </c>
      <c r="AF230" s="409"/>
      <c r="AG230" s="408"/>
      <c r="AH230" s="408">
        <f t="shared" si="76"/>
        <v>0</v>
      </c>
      <c r="AI230" s="835"/>
      <c r="AJ230" s="720">
        <f t="shared" si="77"/>
        <v>0</v>
      </c>
    </row>
    <row r="231" spans="1:36" s="234" customFormat="1" ht="20.25">
      <c r="A231" s="551"/>
      <c r="B231" s="552"/>
      <c r="C231" s="553"/>
      <c r="D231" s="568"/>
      <c r="E231" s="617"/>
      <c r="F231" s="618"/>
      <c r="G231" s="618"/>
      <c r="H231" s="618"/>
      <c r="I231" s="619"/>
      <c r="J231" s="619"/>
      <c r="K231" s="681"/>
      <c r="L231" s="657"/>
      <c r="M231" s="658"/>
      <c r="N231" s="619"/>
      <c r="O231" s="619"/>
      <c r="P231" s="619"/>
      <c r="Q231" s="619"/>
      <c r="R231" s="619"/>
      <c r="S231" s="619"/>
      <c r="T231" s="769"/>
      <c r="U231" s="657"/>
      <c r="V231" s="658"/>
      <c r="W231" s="619"/>
      <c r="X231" s="619"/>
      <c r="Y231" s="619"/>
      <c r="Z231" s="619"/>
      <c r="AA231" s="619"/>
      <c r="AB231" s="619"/>
      <c r="AC231" s="681"/>
      <c r="AD231" s="774"/>
      <c r="AE231" s="408">
        <f t="shared" si="83"/>
        <v>0</v>
      </c>
      <c r="AF231" s="409"/>
      <c r="AG231" s="408"/>
      <c r="AH231" s="408">
        <f t="shared" si="76"/>
        <v>0</v>
      </c>
      <c r="AI231" s="835"/>
      <c r="AJ231" s="720">
        <f t="shared" si="77"/>
        <v>0</v>
      </c>
    </row>
    <row r="232" spans="1:36" s="234" customFormat="1" ht="20.25">
      <c r="A232" s="551"/>
      <c r="B232" s="552"/>
      <c r="C232" s="553"/>
      <c r="D232" s="568"/>
      <c r="E232" s="617"/>
      <c r="F232" s="618"/>
      <c r="G232" s="618"/>
      <c r="H232" s="618"/>
      <c r="I232" s="619"/>
      <c r="J232" s="619"/>
      <c r="K232" s="681"/>
      <c r="L232" s="657"/>
      <c r="M232" s="658"/>
      <c r="N232" s="619"/>
      <c r="O232" s="619"/>
      <c r="P232" s="619"/>
      <c r="Q232" s="619"/>
      <c r="R232" s="619"/>
      <c r="S232" s="619"/>
      <c r="T232" s="769"/>
      <c r="U232" s="657"/>
      <c r="V232" s="658"/>
      <c r="W232" s="619"/>
      <c r="X232" s="619"/>
      <c r="Y232" s="619"/>
      <c r="Z232" s="619"/>
      <c r="AA232" s="619"/>
      <c r="AB232" s="619"/>
      <c r="AC232" s="681"/>
      <c r="AD232" s="774"/>
      <c r="AE232" s="408">
        <f t="shared" si="83"/>
        <v>0</v>
      </c>
      <c r="AF232" s="409"/>
      <c r="AG232" s="408"/>
      <c r="AH232" s="408">
        <f t="shared" si="76"/>
        <v>0</v>
      </c>
      <c r="AI232" s="835"/>
      <c r="AJ232" s="720">
        <f t="shared" si="77"/>
        <v>0</v>
      </c>
    </row>
    <row r="233" spans="1:36" s="234" customFormat="1" ht="20.25">
      <c r="A233" s="551"/>
      <c r="B233" s="552"/>
      <c r="C233" s="553"/>
      <c r="D233" s="568"/>
      <c r="E233" s="617"/>
      <c r="F233" s="618"/>
      <c r="G233" s="618"/>
      <c r="H233" s="618"/>
      <c r="I233" s="619"/>
      <c r="J233" s="619"/>
      <c r="K233" s="681"/>
      <c r="L233" s="657"/>
      <c r="M233" s="658"/>
      <c r="N233" s="619"/>
      <c r="O233" s="619"/>
      <c r="P233" s="619"/>
      <c r="Q233" s="619"/>
      <c r="R233" s="619"/>
      <c r="S233" s="619"/>
      <c r="T233" s="769"/>
      <c r="U233" s="657"/>
      <c r="V233" s="658"/>
      <c r="W233" s="619"/>
      <c r="X233" s="619"/>
      <c r="Y233" s="619"/>
      <c r="Z233" s="619"/>
      <c r="AA233" s="619"/>
      <c r="AB233" s="619"/>
      <c r="AC233" s="681"/>
      <c r="AD233" s="774"/>
      <c r="AE233" s="682">
        <f t="shared" si="83"/>
        <v>0</v>
      </c>
      <c r="AF233" s="683"/>
      <c r="AG233" s="685"/>
      <c r="AH233" s="682">
        <f t="shared" si="76"/>
        <v>0</v>
      </c>
      <c r="AI233" s="847"/>
      <c r="AJ233" s="848">
        <f t="shared" si="77"/>
        <v>0</v>
      </c>
    </row>
    <row r="234" spans="1:36" s="234" customFormat="1" ht="20.25">
      <c r="A234" s="551"/>
      <c r="B234" s="569"/>
      <c r="C234" s="553"/>
      <c r="D234" s="793"/>
      <c r="E234" s="617"/>
      <c r="F234" s="618"/>
      <c r="G234" s="618"/>
      <c r="H234" s="618"/>
      <c r="I234" s="619"/>
      <c r="J234" s="619"/>
      <c r="K234" s="681"/>
      <c r="L234" s="657"/>
      <c r="M234" s="658"/>
      <c r="N234" s="619"/>
      <c r="O234" s="619"/>
      <c r="P234" s="619"/>
      <c r="Q234" s="619"/>
      <c r="R234" s="619"/>
      <c r="S234" s="619"/>
      <c r="T234" s="769"/>
      <c r="U234" s="657"/>
      <c r="V234" s="658"/>
      <c r="W234" s="619"/>
      <c r="X234" s="619"/>
      <c r="Y234" s="619"/>
      <c r="Z234" s="619"/>
      <c r="AA234" s="619"/>
      <c r="AB234" s="619"/>
      <c r="AC234" s="681"/>
      <c r="AD234" s="774"/>
      <c r="AE234" s="682">
        <f t="shared" si="83"/>
        <v>0</v>
      </c>
      <c r="AF234" s="683"/>
      <c r="AG234" s="685"/>
      <c r="AH234" s="682">
        <f t="shared" si="76"/>
        <v>0</v>
      </c>
      <c r="AI234" s="847"/>
      <c r="AJ234" s="848">
        <f t="shared" si="77"/>
        <v>0</v>
      </c>
    </row>
    <row r="235" spans="1:36" s="234" customFormat="1" ht="20.25">
      <c r="A235" s="551"/>
      <c r="B235" s="569"/>
      <c r="C235" s="553"/>
      <c r="D235" s="793"/>
      <c r="E235" s="617"/>
      <c r="F235" s="618"/>
      <c r="G235" s="618"/>
      <c r="H235" s="618"/>
      <c r="I235" s="619"/>
      <c r="J235" s="619"/>
      <c r="K235" s="681"/>
      <c r="L235" s="657"/>
      <c r="M235" s="658"/>
      <c r="N235" s="619"/>
      <c r="O235" s="619"/>
      <c r="P235" s="619"/>
      <c r="Q235" s="619"/>
      <c r="R235" s="619"/>
      <c r="S235" s="619"/>
      <c r="T235" s="769"/>
      <c r="U235" s="657"/>
      <c r="V235" s="658"/>
      <c r="W235" s="619"/>
      <c r="X235" s="619"/>
      <c r="Y235" s="619"/>
      <c r="Z235" s="619"/>
      <c r="AA235" s="619"/>
      <c r="AB235" s="619"/>
      <c r="AC235" s="681"/>
      <c r="AD235" s="774"/>
      <c r="AE235" s="682">
        <f t="shared" si="83"/>
        <v>0</v>
      </c>
      <c r="AF235" s="683"/>
      <c r="AG235" s="685"/>
      <c r="AH235" s="682">
        <f t="shared" si="76"/>
        <v>0</v>
      </c>
      <c r="AI235" s="847"/>
      <c r="AJ235" s="848">
        <f t="shared" si="77"/>
        <v>0</v>
      </c>
    </row>
    <row r="236" spans="1:36" s="234" customFormat="1" ht="20.25">
      <c r="A236" s="551"/>
      <c r="B236" s="567"/>
      <c r="C236" s="553"/>
      <c r="D236" s="838"/>
      <c r="E236" s="617"/>
      <c r="F236" s="618"/>
      <c r="G236" s="618"/>
      <c r="H236" s="618"/>
      <c r="I236" s="619"/>
      <c r="J236" s="619"/>
      <c r="K236" s="681"/>
      <c r="L236" s="657"/>
      <c r="M236" s="658"/>
      <c r="N236" s="619"/>
      <c r="O236" s="619"/>
      <c r="P236" s="619"/>
      <c r="Q236" s="619"/>
      <c r="R236" s="619"/>
      <c r="S236" s="619"/>
      <c r="T236" s="769"/>
      <c r="U236" s="657"/>
      <c r="V236" s="658"/>
      <c r="W236" s="619"/>
      <c r="X236" s="619"/>
      <c r="Y236" s="619"/>
      <c r="Z236" s="619"/>
      <c r="AA236" s="619"/>
      <c r="AB236" s="619"/>
      <c r="AC236" s="681"/>
      <c r="AD236" s="774"/>
      <c r="AE236" s="682">
        <f t="shared" si="83"/>
        <v>0</v>
      </c>
      <c r="AF236" s="683"/>
      <c r="AG236" s="685"/>
      <c r="AH236" s="682">
        <f t="shared" si="76"/>
        <v>0</v>
      </c>
      <c r="AI236" s="847"/>
      <c r="AJ236" s="848">
        <f t="shared" si="77"/>
        <v>0</v>
      </c>
    </row>
    <row r="237" spans="1:36" s="234" customFormat="1" ht="20.25">
      <c r="A237" s="551"/>
      <c r="B237" s="567"/>
      <c r="C237" s="553"/>
      <c r="D237" s="838"/>
      <c r="E237" s="617"/>
      <c r="F237" s="618"/>
      <c r="G237" s="618"/>
      <c r="H237" s="618"/>
      <c r="I237" s="619"/>
      <c r="J237" s="619"/>
      <c r="K237" s="681"/>
      <c r="L237" s="657"/>
      <c r="M237" s="658"/>
      <c r="N237" s="619"/>
      <c r="O237" s="619"/>
      <c r="P237" s="619"/>
      <c r="Q237" s="619"/>
      <c r="R237" s="619"/>
      <c r="S237" s="619"/>
      <c r="T237" s="769"/>
      <c r="U237" s="657"/>
      <c r="V237" s="658"/>
      <c r="W237" s="619"/>
      <c r="X237" s="619"/>
      <c r="Y237" s="619"/>
      <c r="Z237" s="619"/>
      <c r="AA237" s="619"/>
      <c r="AB237" s="619"/>
      <c r="AC237" s="681"/>
      <c r="AD237" s="774"/>
      <c r="AE237" s="682">
        <f t="shared" si="83"/>
        <v>0</v>
      </c>
      <c r="AF237" s="683"/>
      <c r="AG237" s="685"/>
      <c r="AH237" s="682">
        <f t="shared" si="76"/>
        <v>0</v>
      </c>
      <c r="AI237" s="847"/>
      <c r="AJ237" s="848">
        <f t="shared" si="77"/>
        <v>0</v>
      </c>
    </row>
    <row r="238" spans="1:36" s="234" customFormat="1" ht="20.25">
      <c r="A238" s="551"/>
      <c r="B238" s="567"/>
      <c r="C238" s="553"/>
      <c r="D238" s="838"/>
      <c r="E238" s="617"/>
      <c r="F238" s="618"/>
      <c r="G238" s="618"/>
      <c r="H238" s="618"/>
      <c r="I238" s="619"/>
      <c r="J238" s="619"/>
      <c r="K238" s="681"/>
      <c r="L238" s="657"/>
      <c r="M238" s="658"/>
      <c r="N238" s="619"/>
      <c r="O238" s="619"/>
      <c r="P238" s="619"/>
      <c r="Q238" s="619"/>
      <c r="R238" s="619"/>
      <c r="S238" s="619"/>
      <c r="T238" s="769"/>
      <c r="U238" s="657"/>
      <c r="V238" s="658"/>
      <c r="W238" s="619"/>
      <c r="X238" s="619"/>
      <c r="Y238" s="619"/>
      <c r="Z238" s="619"/>
      <c r="AA238" s="619"/>
      <c r="AB238" s="619"/>
      <c r="AC238" s="681"/>
      <c r="AD238" s="774"/>
      <c r="AE238" s="682">
        <f t="shared" si="83"/>
        <v>0</v>
      </c>
      <c r="AF238" s="683"/>
      <c r="AG238" s="685"/>
      <c r="AH238" s="682">
        <f t="shared" si="76"/>
        <v>0</v>
      </c>
      <c r="AI238" s="847"/>
      <c r="AJ238" s="848">
        <f t="shared" si="77"/>
        <v>0</v>
      </c>
    </row>
    <row r="239" spans="1:36" s="234" customFormat="1" ht="20.25">
      <c r="A239" s="551"/>
      <c r="B239" s="567"/>
      <c r="C239" s="553"/>
      <c r="D239" s="838"/>
      <c r="E239" s="617"/>
      <c r="F239" s="618"/>
      <c r="G239" s="618"/>
      <c r="H239" s="618"/>
      <c r="I239" s="619"/>
      <c r="J239" s="619"/>
      <c r="K239" s="681"/>
      <c r="L239" s="657"/>
      <c r="M239" s="658"/>
      <c r="N239" s="619"/>
      <c r="O239" s="619"/>
      <c r="P239" s="619"/>
      <c r="Q239" s="619"/>
      <c r="R239" s="619"/>
      <c r="S239" s="619"/>
      <c r="T239" s="769"/>
      <c r="U239" s="657"/>
      <c r="V239" s="658"/>
      <c r="W239" s="619"/>
      <c r="X239" s="619"/>
      <c r="Y239" s="619"/>
      <c r="Z239" s="619"/>
      <c r="AA239" s="619"/>
      <c r="AB239" s="619"/>
      <c r="AC239" s="681"/>
      <c r="AD239" s="774"/>
      <c r="AE239" s="682">
        <f t="shared" si="83"/>
        <v>0</v>
      </c>
      <c r="AF239" s="683"/>
      <c r="AG239" s="685"/>
      <c r="AH239" s="682">
        <f t="shared" si="76"/>
        <v>0</v>
      </c>
      <c r="AI239" s="847"/>
      <c r="AJ239" s="848">
        <f t="shared" si="77"/>
        <v>0</v>
      </c>
    </row>
    <row r="240" spans="1:36" s="234" customFormat="1" ht="20.25">
      <c r="A240" s="551"/>
      <c r="B240" s="567"/>
      <c r="C240" s="553"/>
      <c r="D240" s="838"/>
      <c r="E240" s="617"/>
      <c r="F240" s="618"/>
      <c r="G240" s="618"/>
      <c r="H240" s="618"/>
      <c r="I240" s="619"/>
      <c r="J240" s="619"/>
      <c r="K240" s="681"/>
      <c r="L240" s="657"/>
      <c r="M240" s="658"/>
      <c r="N240" s="619"/>
      <c r="O240" s="619"/>
      <c r="P240" s="619"/>
      <c r="Q240" s="619"/>
      <c r="R240" s="619"/>
      <c r="S240" s="619"/>
      <c r="T240" s="769"/>
      <c r="U240" s="657"/>
      <c r="V240" s="658"/>
      <c r="W240" s="619"/>
      <c r="X240" s="619"/>
      <c r="Y240" s="619"/>
      <c r="Z240" s="619"/>
      <c r="AA240" s="619"/>
      <c r="AB240" s="619"/>
      <c r="AC240" s="681"/>
      <c r="AD240" s="774"/>
      <c r="AE240" s="682">
        <f t="shared" si="83"/>
        <v>0</v>
      </c>
      <c r="AF240" s="683"/>
      <c r="AG240" s="685"/>
      <c r="AH240" s="682">
        <f t="shared" ref="AH240:AH247" si="84">AE240+AF240+AG240</f>
        <v>0</v>
      </c>
      <c r="AI240" s="847"/>
      <c r="AJ240" s="848">
        <f t="shared" si="77"/>
        <v>0</v>
      </c>
    </row>
    <row r="241" spans="1:39" s="234" customFormat="1" ht="20.25">
      <c r="A241" s="551"/>
      <c r="B241" s="567"/>
      <c r="C241" s="553"/>
      <c r="D241" s="838"/>
      <c r="E241" s="617"/>
      <c r="F241" s="618"/>
      <c r="G241" s="618"/>
      <c r="H241" s="618"/>
      <c r="I241" s="619"/>
      <c r="J241" s="619"/>
      <c r="K241" s="681"/>
      <c r="L241" s="657"/>
      <c r="M241" s="658"/>
      <c r="N241" s="619"/>
      <c r="O241" s="619"/>
      <c r="P241" s="619"/>
      <c r="Q241" s="619"/>
      <c r="R241" s="619"/>
      <c r="S241" s="619"/>
      <c r="T241" s="769"/>
      <c r="U241" s="657"/>
      <c r="V241" s="658"/>
      <c r="W241" s="619"/>
      <c r="X241" s="619"/>
      <c r="Y241" s="619"/>
      <c r="Z241" s="619"/>
      <c r="AA241" s="619"/>
      <c r="AB241" s="619"/>
      <c r="AC241" s="681"/>
      <c r="AD241" s="774"/>
      <c r="AE241" s="682">
        <f t="shared" si="83"/>
        <v>0</v>
      </c>
      <c r="AF241" s="683"/>
      <c r="AG241" s="685"/>
      <c r="AH241" s="682">
        <f t="shared" si="84"/>
        <v>0</v>
      </c>
      <c r="AI241" s="847"/>
      <c r="AJ241" s="848">
        <f t="shared" si="77"/>
        <v>0</v>
      </c>
    </row>
    <row r="242" spans="1:39" s="234" customFormat="1" ht="20.25">
      <c r="A242" s="551"/>
      <c r="B242" s="567"/>
      <c r="C242" s="553"/>
      <c r="D242" s="838"/>
      <c r="E242" s="617"/>
      <c r="F242" s="618"/>
      <c r="G242" s="618"/>
      <c r="H242" s="618"/>
      <c r="I242" s="619"/>
      <c r="J242" s="619"/>
      <c r="K242" s="681"/>
      <c r="L242" s="657"/>
      <c r="M242" s="658"/>
      <c r="N242" s="619"/>
      <c r="O242" s="619"/>
      <c r="P242" s="619"/>
      <c r="Q242" s="619"/>
      <c r="R242" s="619"/>
      <c r="S242" s="619"/>
      <c r="T242" s="769"/>
      <c r="U242" s="657"/>
      <c r="V242" s="658"/>
      <c r="W242" s="619"/>
      <c r="X242" s="619"/>
      <c r="Y242" s="619"/>
      <c r="Z242" s="619"/>
      <c r="AA242" s="619"/>
      <c r="AB242" s="619"/>
      <c r="AC242" s="681"/>
      <c r="AD242" s="774"/>
      <c r="AE242" s="682">
        <f t="shared" si="82"/>
        <v>0</v>
      </c>
      <c r="AF242" s="683"/>
      <c r="AG242" s="685"/>
      <c r="AH242" s="682">
        <f t="shared" si="84"/>
        <v>0</v>
      </c>
      <c r="AI242" s="847"/>
      <c r="AJ242" s="848">
        <f t="shared" si="77"/>
        <v>0</v>
      </c>
    </row>
    <row r="243" spans="1:39" s="234" customFormat="1" ht="20.25">
      <c r="A243" s="551"/>
      <c r="B243" s="567"/>
      <c r="C243" s="553"/>
      <c r="D243" s="838"/>
      <c r="E243" s="320"/>
      <c r="F243" s="320"/>
      <c r="G243" s="320"/>
      <c r="H243" s="320"/>
      <c r="I243" s="321"/>
      <c r="J243" s="321"/>
      <c r="K243" s="320"/>
      <c r="L243" s="657"/>
      <c r="M243" s="658"/>
      <c r="N243" s="619"/>
      <c r="O243" s="619"/>
      <c r="P243" s="619"/>
      <c r="Q243" s="619"/>
      <c r="R243" s="619"/>
      <c r="S243" s="619"/>
      <c r="T243" s="769"/>
      <c r="U243" s="657"/>
      <c r="V243" s="658"/>
      <c r="W243" s="619"/>
      <c r="X243" s="619"/>
      <c r="Y243" s="619"/>
      <c r="Z243" s="619"/>
      <c r="AA243" s="619"/>
      <c r="AB243" s="619"/>
      <c r="AC243" s="681"/>
      <c r="AD243" s="774"/>
      <c r="AE243" s="682">
        <f t="shared" si="82"/>
        <v>0</v>
      </c>
      <c r="AF243" s="683"/>
      <c r="AG243" s="685"/>
      <c r="AH243" s="682">
        <f t="shared" si="84"/>
        <v>0</v>
      </c>
      <c r="AI243" s="847"/>
      <c r="AJ243" s="848">
        <f t="shared" ref="AJ243:AJ247" si="85">AH243+AI243</f>
        <v>0</v>
      </c>
    </row>
    <row r="244" spans="1:39" s="234" customFormat="1" ht="20.25">
      <c r="A244" s="551"/>
      <c r="B244" s="567"/>
      <c r="C244" s="553"/>
      <c r="D244" s="838"/>
      <c r="E244" s="320"/>
      <c r="F244" s="320"/>
      <c r="G244" s="320"/>
      <c r="H244" s="320"/>
      <c r="I244" s="321"/>
      <c r="J244" s="321"/>
      <c r="K244" s="320"/>
      <c r="L244" s="657"/>
      <c r="M244" s="658"/>
      <c r="N244" s="619"/>
      <c r="O244" s="619"/>
      <c r="P244" s="619"/>
      <c r="Q244" s="619"/>
      <c r="R244" s="619"/>
      <c r="S244" s="619"/>
      <c r="T244" s="769"/>
      <c r="U244" s="657"/>
      <c r="V244" s="658"/>
      <c r="W244" s="619"/>
      <c r="X244" s="619"/>
      <c r="Y244" s="619"/>
      <c r="Z244" s="619"/>
      <c r="AA244" s="619"/>
      <c r="AB244" s="619"/>
      <c r="AC244" s="681"/>
      <c r="AD244" s="774"/>
      <c r="AE244" s="682">
        <f t="shared" si="82"/>
        <v>0</v>
      </c>
      <c r="AF244" s="683"/>
      <c r="AG244" s="685"/>
      <c r="AH244" s="682">
        <f t="shared" si="84"/>
        <v>0</v>
      </c>
      <c r="AI244" s="847"/>
      <c r="AJ244" s="848">
        <f t="shared" si="85"/>
        <v>0</v>
      </c>
    </row>
    <row r="245" spans="1:39" s="234" customFormat="1" ht="20.25">
      <c r="A245" s="551"/>
      <c r="B245" s="567"/>
      <c r="C245" s="553"/>
      <c r="D245" s="839"/>
      <c r="E245" s="320"/>
      <c r="F245" s="320"/>
      <c r="G245" s="320"/>
      <c r="H245" s="320"/>
      <c r="I245" s="321"/>
      <c r="J245" s="321"/>
      <c r="K245" s="320"/>
      <c r="L245" s="657"/>
      <c r="M245" s="658"/>
      <c r="N245" s="619"/>
      <c r="O245" s="619"/>
      <c r="P245" s="619"/>
      <c r="Q245" s="619"/>
      <c r="R245" s="619"/>
      <c r="S245" s="619"/>
      <c r="T245" s="769"/>
      <c r="U245" s="657"/>
      <c r="V245" s="658"/>
      <c r="W245" s="619"/>
      <c r="X245" s="619"/>
      <c r="Y245" s="619"/>
      <c r="Z245" s="619"/>
      <c r="AA245" s="619"/>
      <c r="AB245" s="619"/>
      <c r="AC245" s="681"/>
      <c r="AD245" s="774"/>
      <c r="AE245" s="682">
        <f t="shared" si="82"/>
        <v>0</v>
      </c>
      <c r="AF245" s="683"/>
      <c r="AG245" s="685"/>
      <c r="AH245" s="682">
        <f t="shared" si="84"/>
        <v>0</v>
      </c>
      <c r="AI245" s="847"/>
      <c r="AJ245" s="848">
        <f t="shared" si="85"/>
        <v>0</v>
      </c>
    </row>
    <row r="246" spans="1:39" s="234" customFormat="1" ht="20.25">
      <c r="A246" s="551"/>
      <c r="B246" s="567"/>
      <c r="C246" s="553"/>
      <c r="D246" s="838"/>
      <c r="E246" s="320"/>
      <c r="F246" s="320"/>
      <c r="G246" s="320"/>
      <c r="H246" s="320"/>
      <c r="I246" s="321"/>
      <c r="J246" s="321"/>
      <c r="K246" s="320"/>
      <c r="L246" s="657"/>
      <c r="M246" s="658"/>
      <c r="N246" s="619"/>
      <c r="O246" s="619"/>
      <c r="P246" s="619"/>
      <c r="Q246" s="619"/>
      <c r="R246" s="619"/>
      <c r="S246" s="619"/>
      <c r="T246" s="769"/>
      <c r="U246" s="657"/>
      <c r="V246" s="658"/>
      <c r="W246" s="619"/>
      <c r="X246" s="619"/>
      <c r="Y246" s="619"/>
      <c r="Z246" s="619"/>
      <c r="AA246" s="619"/>
      <c r="AB246" s="619"/>
      <c r="AC246" s="681"/>
      <c r="AD246" s="774"/>
      <c r="AE246" s="682">
        <f t="shared" si="82"/>
        <v>0</v>
      </c>
      <c r="AF246" s="683"/>
      <c r="AG246" s="685"/>
      <c r="AH246" s="682">
        <f t="shared" si="84"/>
        <v>0</v>
      </c>
      <c r="AI246" s="847"/>
      <c r="AJ246" s="848">
        <f t="shared" si="85"/>
        <v>0</v>
      </c>
    </row>
    <row r="247" spans="1:39" s="234" customFormat="1" ht="20.25">
      <c r="A247" s="551"/>
      <c r="B247" s="567"/>
      <c r="C247" s="553"/>
      <c r="D247" s="838"/>
      <c r="E247" s="618"/>
      <c r="F247" s="618"/>
      <c r="G247" s="618"/>
      <c r="H247" s="618"/>
      <c r="I247" s="619"/>
      <c r="J247" s="619"/>
      <c r="K247" s="618"/>
      <c r="L247" s="657"/>
      <c r="M247" s="658"/>
      <c r="N247" s="619"/>
      <c r="O247" s="619"/>
      <c r="P247" s="619"/>
      <c r="Q247" s="619"/>
      <c r="R247" s="619"/>
      <c r="S247" s="619"/>
      <c r="T247" s="769"/>
      <c r="U247" s="657"/>
      <c r="V247" s="658"/>
      <c r="W247" s="619"/>
      <c r="X247" s="619"/>
      <c r="Y247" s="619"/>
      <c r="Z247" s="619"/>
      <c r="AA247" s="619"/>
      <c r="AB247" s="619"/>
      <c r="AC247" s="681"/>
      <c r="AD247" s="774"/>
      <c r="AE247" s="682">
        <f t="shared" si="82"/>
        <v>0</v>
      </c>
      <c r="AF247" s="683"/>
      <c r="AG247" s="685"/>
      <c r="AH247" s="682">
        <f t="shared" si="84"/>
        <v>0</v>
      </c>
      <c r="AI247" s="847"/>
      <c r="AJ247" s="848">
        <f t="shared" si="85"/>
        <v>0</v>
      </c>
    </row>
    <row r="248" spans="1:39" ht="20.25">
      <c r="A248" s="526" t="s">
        <v>151</v>
      </c>
      <c r="B248" s="840"/>
      <c r="C248" s="840"/>
      <c r="D248" s="528"/>
      <c r="E248" s="529">
        <f>SUM(E177:E247)</f>
        <v>0</v>
      </c>
      <c r="F248" s="529">
        <f t="shared" ref="F248:AC248" si="86">SUM(F177:F247)</f>
        <v>0</v>
      </c>
      <c r="G248" s="529">
        <f t="shared" si="86"/>
        <v>0</v>
      </c>
      <c r="H248" s="529">
        <f t="shared" si="86"/>
        <v>0</v>
      </c>
      <c r="I248" s="529">
        <f t="shared" si="86"/>
        <v>0</v>
      </c>
      <c r="J248" s="529">
        <f t="shared" si="86"/>
        <v>0</v>
      </c>
      <c r="K248" s="529">
        <f t="shared" si="86"/>
        <v>0</v>
      </c>
      <c r="L248" s="529"/>
      <c r="M248" s="529">
        <f t="shared" si="86"/>
        <v>0</v>
      </c>
      <c r="N248" s="529">
        <f t="shared" si="86"/>
        <v>0</v>
      </c>
      <c r="O248" s="529">
        <f t="shared" si="86"/>
        <v>0</v>
      </c>
      <c r="P248" s="529">
        <f t="shared" si="86"/>
        <v>0</v>
      </c>
      <c r="Q248" s="529">
        <f t="shared" si="86"/>
        <v>0</v>
      </c>
      <c r="R248" s="529">
        <f t="shared" si="86"/>
        <v>0</v>
      </c>
      <c r="S248" s="529">
        <f t="shared" si="86"/>
        <v>0</v>
      </c>
      <c r="T248" s="529">
        <f t="shared" si="86"/>
        <v>0</v>
      </c>
      <c r="U248" s="529"/>
      <c r="V248" s="529">
        <f t="shared" si="86"/>
        <v>0</v>
      </c>
      <c r="W248" s="529">
        <f t="shared" si="86"/>
        <v>0</v>
      </c>
      <c r="X248" s="529">
        <f t="shared" si="86"/>
        <v>0</v>
      </c>
      <c r="Y248" s="529">
        <f t="shared" si="86"/>
        <v>0</v>
      </c>
      <c r="Z248" s="529">
        <f t="shared" si="86"/>
        <v>0</v>
      </c>
      <c r="AA248" s="529">
        <f t="shared" si="86"/>
        <v>0</v>
      </c>
      <c r="AB248" s="529">
        <f t="shared" si="86"/>
        <v>0</v>
      </c>
      <c r="AC248" s="529">
        <f t="shared" si="86"/>
        <v>0</v>
      </c>
      <c r="AD248" s="529"/>
      <c r="AE248" s="529">
        <f t="shared" ref="AE248:AJ248" si="87">SUM(AE177:AE247)</f>
        <v>0</v>
      </c>
      <c r="AF248" s="529">
        <f t="shared" si="87"/>
        <v>0</v>
      </c>
      <c r="AG248" s="529">
        <f t="shared" si="87"/>
        <v>0</v>
      </c>
      <c r="AH248" s="529">
        <f t="shared" si="87"/>
        <v>0</v>
      </c>
      <c r="AI248" s="529">
        <f t="shared" si="87"/>
        <v>0</v>
      </c>
      <c r="AJ248" s="529">
        <f t="shared" si="87"/>
        <v>0</v>
      </c>
    </row>
    <row r="249" spans="1:39" ht="20.25">
      <c r="A249" s="530" t="s">
        <v>152</v>
      </c>
      <c r="B249" s="531"/>
      <c r="C249" s="531"/>
      <c r="D249" s="630"/>
      <c r="E249" s="533">
        <f>E248/16</f>
        <v>0</v>
      </c>
      <c r="F249" s="533">
        <f t="shared" ref="F249:AJ249" si="88">F248/16</f>
        <v>0</v>
      </c>
      <c r="G249" s="533">
        <f t="shared" si="88"/>
        <v>0</v>
      </c>
      <c r="H249" s="533">
        <f t="shared" si="88"/>
        <v>0</v>
      </c>
      <c r="I249" s="533">
        <f t="shared" si="88"/>
        <v>0</v>
      </c>
      <c r="J249" s="533">
        <f t="shared" si="88"/>
        <v>0</v>
      </c>
      <c r="K249" s="533">
        <f t="shared" si="88"/>
        <v>0</v>
      </c>
      <c r="L249" s="533"/>
      <c r="M249" s="533">
        <f t="shared" si="88"/>
        <v>0</v>
      </c>
      <c r="N249" s="533">
        <f t="shared" si="88"/>
        <v>0</v>
      </c>
      <c r="O249" s="533">
        <f t="shared" si="88"/>
        <v>0</v>
      </c>
      <c r="P249" s="533">
        <f t="shared" si="88"/>
        <v>0</v>
      </c>
      <c r="Q249" s="533">
        <f t="shared" si="88"/>
        <v>0</v>
      </c>
      <c r="R249" s="533">
        <f t="shared" si="88"/>
        <v>0</v>
      </c>
      <c r="S249" s="533">
        <f t="shared" si="88"/>
        <v>0</v>
      </c>
      <c r="T249" s="533">
        <f t="shared" si="88"/>
        <v>0</v>
      </c>
      <c r="U249" s="533"/>
      <c r="V249" s="533">
        <f t="shared" si="88"/>
        <v>0</v>
      </c>
      <c r="W249" s="533">
        <f t="shared" si="88"/>
        <v>0</v>
      </c>
      <c r="X249" s="533">
        <f t="shared" si="88"/>
        <v>0</v>
      </c>
      <c r="Y249" s="533">
        <f t="shared" si="88"/>
        <v>0</v>
      </c>
      <c r="Z249" s="533">
        <f t="shared" si="88"/>
        <v>0</v>
      </c>
      <c r="AA249" s="533">
        <f t="shared" si="88"/>
        <v>0</v>
      </c>
      <c r="AB249" s="533">
        <f t="shared" si="88"/>
        <v>0</v>
      </c>
      <c r="AC249" s="687">
        <f t="shared" si="88"/>
        <v>0</v>
      </c>
      <c r="AD249" s="533"/>
      <c r="AE249" s="533">
        <f t="shared" si="88"/>
        <v>0</v>
      </c>
      <c r="AF249" s="533">
        <f t="shared" si="88"/>
        <v>0</v>
      </c>
      <c r="AG249" s="533">
        <f t="shared" si="88"/>
        <v>0</v>
      </c>
      <c r="AH249" s="533">
        <f t="shared" si="88"/>
        <v>0</v>
      </c>
      <c r="AI249" s="533">
        <f t="shared" si="88"/>
        <v>0</v>
      </c>
      <c r="AJ249" s="533">
        <f t="shared" si="88"/>
        <v>0</v>
      </c>
    </row>
    <row r="250" spans="1:39" s="284" customFormat="1" ht="19.5" thickBot="1">
      <c r="A250" s="306"/>
      <c r="B250" s="307"/>
      <c r="C250" s="307"/>
      <c r="D250" s="308"/>
      <c r="U250" s="346"/>
      <c r="V250" s="347"/>
      <c r="W250" s="347"/>
      <c r="X250" s="347"/>
      <c r="Y250" s="347"/>
      <c r="Z250" s="347"/>
      <c r="AA250" s="347"/>
      <c r="AB250" s="347"/>
      <c r="AC250" s="347"/>
      <c r="AD250" s="346"/>
      <c r="AE250" s="347"/>
      <c r="AF250" s="347"/>
      <c r="AG250" s="347"/>
      <c r="AH250" s="347"/>
      <c r="AI250" s="347"/>
      <c r="AJ250" s="402"/>
      <c r="AK250" s="403"/>
      <c r="AL250" s="403"/>
      <c r="AM250" s="403"/>
    </row>
    <row r="251" spans="1:39" s="282" customFormat="1" ht="16.5" thickBot="1">
      <c r="A251" s="3881" t="s">
        <v>183</v>
      </c>
      <c r="B251" s="3882"/>
      <c r="C251" s="3883"/>
      <c r="D251" s="288" t="s">
        <v>70</v>
      </c>
      <c r="E251" s="743" t="s">
        <v>96</v>
      </c>
      <c r="F251" s="744"/>
      <c r="G251" s="744" t="s">
        <v>92</v>
      </c>
      <c r="H251" s="744"/>
      <c r="I251" s="744" t="s">
        <v>85</v>
      </c>
      <c r="J251" s="744"/>
      <c r="K251" s="744" t="s">
        <v>86</v>
      </c>
      <c r="L251" s="79"/>
      <c r="M251" s="80" t="s">
        <v>97</v>
      </c>
      <c r="N251" s="49"/>
      <c r="O251" s="49" t="s">
        <v>190</v>
      </c>
      <c r="P251" s="49" t="s">
        <v>206</v>
      </c>
      <c r="Q251" s="49" t="s">
        <v>53</v>
      </c>
      <c r="R251" s="49" t="s">
        <v>222</v>
      </c>
      <c r="S251" s="126" t="s">
        <v>94</v>
      </c>
      <c r="T251" s="171"/>
      <c r="U251" s="79"/>
      <c r="V251" s="743" t="s">
        <v>94</v>
      </c>
      <c r="W251" s="747" t="s">
        <v>53</v>
      </c>
      <c r="X251" s="744" t="s">
        <v>97</v>
      </c>
      <c r="Y251" s="747" t="s">
        <v>190</v>
      </c>
      <c r="Z251" s="102"/>
      <c r="AA251" s="101"/>
      <c r="AB251" s="799"/>
      <c r="AC251" s="805"/>
      <c r="AD251" s="79"/>
      <c r="AE251" s="371" t="s">
        <v>172</v>
      </c>
      <c r="AF251" s="372" t="s">
        <v>80</v>
      </c>
      <c r="AG251" s="385"/>
      <c r="AH251" s="386" t="s">
        <v>106</v>
      </c>
      <c r="AI251" s="385" t="s">
        <v>173</v>
      </c>
      <c r="AJ251" s="371" t="s">
        <v>108</v>
      </c>
    </row>
    <row r="252" spans="1:39" s="283" customFormat="1" ht="20.25">
      <c r="A252" s="631"/>
      <c r="B252" s="443"/>
      <c r="C252" s="443"/>
      <c r="D252" s="444"/>
      <c r="E252" s="433"/>
      <c r="F252" s="434"/>
      <c r="G252" s="434"/>
      <c r="H252" s="434"/>
      <c r="I252" s="435"/>
      <c r="J252" s="435"/>
      <c r="K252" s="434"/>
      <c r="L252" s="483"/>
      <c r="M252" s="484"/>
      <c r="N252" s="435"/>
      <c r="O252" s="435"/>
      <c r="P252" s="435"/>
      <c r="Q252" s="435"/>
      <c r="R252" s="435"/>
      <c r="S252" s="435"/>
      <c r="T252" s="492"/>
      <c r="U252" s="483"/>
      <c r="V252" s="433"/>
      <c r="W252" s="434"/>
      <c r="X252" s="434"/>
      <c r="Y252" s="435"/>
      <c r="Z252" s="435"/>
      <c r="AA252" s="435"/>
      <c r="AB252" s="434"/>
      <c r="AC252" s="495"/>
      <c r="AD252" s="483"/>
      <c r="AE252" s="496">
        <f>SUM(E252:AC252)</f>
        <v>0</v>
      </c>
      <c r="AF252" s="497"/>
      <c r="AG252" s="510"/>
      <c r="AH252" s="511">
        <f>AE252+AF252</f>
        <v>0</v>
      </c>
      <c r="AI252" s="512"/>
      <c r="AJ252" s="703">
        <f>AH252+AI252</f>
        <v>0</v>
      </c>
    </row>
    <row r="253" spans="1:39" s="283" customFormat="1" ht="20.25">
      <c r="A253" s="322"/>
      <c r="B253" s="323"/>
      <c r="C253" s="323"/>
      <c r="D253" s="324"/>
      <c r="E253" s="325"/>
      <c r="F253" s="297"/>
      <c r="G253" s="297"/>
      <c r="H253" s="297"/>
      <c r="I253" s="298"/>
      <c r="J253" s="298"/>
      <c r="K253" s="297"/>
      <c r="L253" s="355"/>
      <c r="M253" s="343"/>
      <c r="N253" s="298"/>
      <c r="O253" s="298"/>
      <c r="P253" s="298"/>
      <c r="Q253" s="298"/>
      <c r="R253" s="298"/>
      <c r="S253" s="298"/>
      <c r="T253" s="367"/>
      <c r="U253" s="355"/>
      <c r="V253" s="325"/>
      <c r="W253" s="297"/>
      <c r="X253" s="297"/>
      <c r="Y253" s="298"/>
      <c r="Z253" s="298"/>
      <c r="AA253" s="298"/>
      <c r="AB253" s="297"/>
      <c r="AC253" s="375"/>
      <c r="AD253" s="355"/>
      <c r="AE253" s="377">
        <f>SUM(E253:AC253)</f>
        <v>0</v>
      </c>
      <c r="AF253" s="377"/>
      <c r="AG253" s="390"/>
      <c r="AH253" s="507">
        <f>AE253+AF253</f>
        <v>0</v>
      </c>
      <c r="AI253" s="412"/>
      <c r="AJ253" s="508">
        <f t="shared" ref="AJ253" si="89">AH253+AI253</f>
        <v>0</v>
      </c>
    </row>
    <row r="254" spans="1:39" s="283" customFormat="1" ht="19.5" customHeight="1">
      <c r="A254" s="436"/>
      <c r="B254" s="437"/>
      <c r="C254" s="437"/>
      <c r="D254" s="438"/>
      <c r="E254" s="439">
        <f>SUM(E252:E253)</f>
        <v>0</v>
      </c>
      <c r="F254" s="439">
        <f t="shared" ref="F254:M254" si="90">SUM(F252:F253)</f>
        <v>0</v>
      </c>
      <c r="G254" s="439">
        <f t="shared" si="90"/>
        <v>0</v>
      </c>
      <c r="H254" s="439">
        <f t="shared" si="90"/>
        <v>0</v>
      </c>
      <c r="I254" s="439">
        <f t="shared" si="90"/>
        <v>0</v>
      </c>
      <c r="J254" s="439">
        <f t="shared" si="90"/>
        <v>0</v>
      </c>
      <c r="K254" s="439">
        <f t="shared" si="90"/>
        <v>0</v>
      </c>
      <c r="L254" s="439"/>
      <c r="M254" s="439">
        <f t="shared" si="90"/>
        <v>0</v>
      </c>
      <c r="N254" s="439">
        <f t="shared" ref="N254:T254" si="91">SUM(N252:N253)</f>
        <v>0</v>
      </c>
      <c r="O254" s="439">
        <f t="shared" si="91"/>
        <v>0</v>
      </c>
      <c r="P254" s="439">
        <f t="shared" si="91"/>
        <v>0</v>
      </c>
      <c r="Q254" s="439">
        <f t="shared" si="91"/>
        <v>0</v>
      </c>
      <c r="R254" s="439">
        <f t="shared" si="91"/>
        <v>0</v>
      </c>
      <c r="S254" s="439">
        <f t="shared" si="91"/>
        <v>0</v>
      </c>
      <c r="T254" s="439">
        <f t="shared" si="91"/>
        <v>0</v>
      </c>
      <c r="U254" s="482"/>
      <c r="V254" s="439">
        <f t="shared" ref="V254:AC254" si="92">SUM(V252:V253)</f>
        <v>0</v>
      </c>
      <c r="W254" s="439">
        <f t="shared" si="92"/>
        <v>0</v>
      </c>
      <c r="X254" s="439">
        <f t="shared" si="92"/>
        <v>0</v>
      </c>
      <c r="Y254" s="439">
        <f t="shared" si="92"/>
        <v>0</v>
      </c>
      <c r="Z254" s="439">
        <f t="shared" si="92"/>
        <v>0</v>
      </c>
      <c r="AA254" s="439">
        <f t="shared" si="92"/>
        <v>0</v>
      </c>
      <c r="AB254" s="439">
        <f t="shared" si="92"/>
        <v>0</v>
      </c>
      <c r="AC254" s="439">
        <f t="shared" si="92"/>
        <v>0</v>
      </c>
      <c r="AD254" s="482"/>
      <c r="AE254" s="494">
        <f>SUM(AE252:AE253)</f>
        <v>0</v>
      </c>
      <c r="AF254" s="494">
        <f>SUM(AF252:AF253)</f>
        <v>0</v>
      </c>
      <c r="AG254" s="509"/>
      <c r="AH254" s="514">
        <f>SUM(AH252:AH253)</f>
        <v>0</v>
      </c>
      <c r="AI254" s="494">
        <f>SUM(AI252:AI253)</f>
        <v>0</v>
      </c>
      <c r="AJ254" s="515">
        <f>SUM(AJ252:AJ253)</f>
        <v>0</v>
      </c>
    </row>
    <row r="255" spans="1:39" s="284" customFormat="1" ht="24.75" customHeight="1">
      <c r="A255" s="522"/>
      <c r="B255" s="523"/>
      <c r="C255" s="523"/>
      <c r="D255" s="524"/>
      <c r="E255" s="80" t="s">
        <v>96</v>
      </c>
      <c r="F255" s="49"/>
      <c r="G255" s="49" t="s">
        <v>92</v>
      </c>
      <c r="H255" s="49"/>
      <c r="I255" s="49" t="s">
        <v>85</v>
      </c>
      <c r="J255" s="49"/>
      <c r="K255" s="49" t="s">
        <v>86</v>
      </c>
      <c r="L255" s="79"/>
      <c r="M255" s="80" t="s">
        <v>97</v>
      </c>
      <c r="N255" s="49"/>
      <c r="O255" s="49" t="s">
        <v>190</v>
      </c>
      <c r="P255" s="49" t="s">
        <v>206</v>
      </c>
      <c r="Q255" s="49" t="s">
        <v>53</v>
      </c>
      <c r="R255" s="49" t="s">
        <v>222</v>
      </c>
      <c r="S255" s="126" t="s">
        <v>94</v>
      </c>
      <c r="T255" s="171"/>
      <c r="U255" s="79"/>
      <c r="V255" s="80" t="s">
        <v>94</v>
      </c>
      <c r="W255" s="49" t="s">
        <v>53</v>
      </c>
      <c r="X255" s="49" t="s">
        <v>97</v>
      </c>
      <c r="Y255" s="103" t="s">
        <v>190</v>
      </c>
      <c r="Z255" s="104"/>
      <c r="AA255" s="716"/>
      <c r="AB255" s="121"/>
      <c r="AC255" s="171"/>
      <c r="AD255" s="572"/>
      <c r="AE255" s="573"/>
      <c r="AF255" s="573"/>
      <c r="AG255" s="599"/>
      <c r="AH255" s="573"/>
      <c r="AI255" s="573"/>
      <c r="AJ255" s="600"/>
      <c r="AK255" s="403"/>
      <c r="AL255" s="403"/>
      <c r="AM255" s="403"/>
    </row>
    <row r="256" spans="1:39" ht="20.25">
      <c r="A256" s="636" t="s">
        <v>185</v>
      </c>
      <c r="B256" s="637"/>
      <c r="C256" s="637"/>
      <c r="D256" s="638"/>
      <c r="E256" s="529">
        <f t="shared" ref="E256:K256" si="93">E172-E248+E254</f>
        <v>0</v>
      </c>
      <c r="F256" s="639">
        <f t="shared" si="93"/>
        <v>0</v>
      </c>
      <c r="G256" s="639">
        <f t="shared" si="93"/>
        <v>0</v>
      </c>
      <c r="H256" s="639">
        <f t="shared" si="93"/>
        <v>0</v>
      </c>
      <c r="I256" s="639">
        <f t="shared" si="93"/>
        <v>0</v>
      </c>
      <c r="J256" s="639">
        <f t="shared" si="93"/>
        <v>0</v>
      </c>
      <c r="K256" s="639">
        <f t="shared" si="93"/>
        <v>0</v>
      </c>
      <c r="L256" s="574"/>
      <c r="M256" s="665">
        <f t="shared" ref="M256:T256" si="94">M172-M248+M254</f>
        <v>0</v>
      </c>
      <c r="N256" s="666">
        <f t="shared" si="94"/>
        <v>0</v>
      </c>
      <c r="O256" s="666">
        <f t="shared" si="94"/>
        <v>0</v>
      </c>
      <c r="P256" s="666">
        <f t="shared" si="94"/>
        <v>0</v>
      </c>
      <c r="Q256" s="666">
        <f t="shared" si="94"/>
        <v>0</v>
      </c>
      <c r="R256" s="666">
        <f t="shared" si="94"/>
        <v>0</v>
      </c>
      <c r="S256" s="666">
        <f t="shared" si="94"/>
        <v>0</v>
      </c>
      <c r="T256" s="674">
        <f t="shared" si="94"/>
        <v>0</v>
      </c>
      <c r="U256" s="574"/>
      <c r="V256" s="665">
        <f t="shared" ref="V256:AC256" si="95">V172-V248+V254</f>
        <v>0</v>
      </c>
      <c r="W256" s="666">
        <f t="shared" si="95"/>
        <v>0</v>
      </c>
      <c r="X256" s="666">
        <f t="shared" si="95"/>
        <v>0</v>
      </c>
      <c r="Y256" s="666">
        <f t="shared" si="95"/>
        <v>0</v>
      </c>
      <c r="Z256" s="666">
        <f t="shared" si="95"/>
        <v>0</v>
      </c>
      <c r="AA256" s="666">
        <f t="shared" si="95"/>
        <v>0</v>
      </c>
      <c r="AB256" s="666">
        <f t="shared" si="95"/>
        <v>0</v>
      </c>
      <c r="AC256" s="674">
        <f t="shared" si="95"/>
        <v>0</v>
      </c>
      <c r="AD256" s="691"/>
      <c r="AE256" s="529">
        <f>AE172-AE248+AE254</f>
        <v>0</v>
      </c>
      <c r="AF256" s="3775">
        <f>AF172-AF248-AG248+AF254</f>
        <v>0</v>
      </c>
      <c r="AG256" s="3884"/>
      <c r="AH256" s="529">
        <f>AH172-AH248+AH254</f>
        <v>0</v>
      </c>
      <c r="AI256" s="529">
        <f>AI172-AI248+AI254</f>
        <v>0</v>
      </c>
      <c r="AJ256" s="693">
        <f>AJ172-AJ248+AJ254</f>
        <v>0</v>
      </c>
    </row>
    <row r="257" spans="1:37" ht="20.25">
      <c r="A257" s="640" t="s">
        <v>186</v>
      </c>
      <c r="B257" s="641"/>
      <c r="C257" s="641"/>
      <c r="D257" s="642"/>
      <c r="E257" s="529">
        <f t="shared" ref="E257:AC257" si="96">E256/16</f>
        <v>0</v>
      </c>
      <c r="F257" s="529">
        <f t="shared" si="96"/>
        <v>0</v>
      </c>
      <c r="G257" s="529">
        <f t="shared" si="96"/>
        <v>0</v>
      </c>
      <c r="H257" s="529">
        <f t="shared" si="96"/>
        <v>0</v>
      </c>
      <c r="I257" s="529">
        <f t="shared" si="96"/>
        <v>0</v>
      </c>
      <c r="J257" s="529">
        <f t="shared" si="96"/>
        <v>0</v>
      </c>
      <c r="K257" s="529">
        <f t="shared" si="96"/>
        <v>0</v>
      </c>
      <c r="L257" s="529"/>
      <c r="M257" s="529">
        <f t="shared" si="96"/>
        <v>0</v>
      </c>
      <c r="N257" s="529">
        <f t="shared" si="96"/>
        <v>0</v>
      </c>
      <c r="O257" s="529">
        <f t="shared" si="96"/>
        <v>0</v>
      </c>
      <c r="P257" s="529">
        <f t="shared" si="96"/>
        <v>0</v>
      </c>
      <c r="Q257" s="529">
        <f t="shared" si="96"/>
        <v>0</v>
      </c>
      <c r="R257" s="529">
        <f t="shared" si="96"/>
        <v>0</v>
      </c>
      <c r="S257" s="529">
        <f t="shared" si="96"/>
        <v>0</v>
      </c>
      <c r="T257" s="529">
        <f t="shared" si="96"/>
        <v>0</v>
      </c>
      <c r="U257" s="529"/>
      <c r="V257" s="529">
        <f t="shared" si="96"/>
        <v>0</v>
      </c>
      <c r="W257" s="529">
        <f t="shared" si="96"/>
        <v>0</v>
      </c>
      <c r="X257" s="529">
        <f t="shared" si="96"/>
        <v>0</v>
      </c>
      <c r="Y257" s="529">
        <f t="shared" si="96"/>
        <v>0</v>
      </c>
      <c r="Z257" s="529">
        <f t="shared" si="96"/>
        <v>0</v>
      </c>
      <c r="AA257" s="529">
        <f t="shared" si="96"/>
        <v>0</v>
      </c>
      <c r="AB257" s="529">
        <f t="shared" si="96"/>
        <v>0</v>
      </c>
      <c r="AC257" s="529">
        <f t="shared" si="96"/>
        <v>0</v>
      </c>
      <c r="AD257" s="692"/>
      <c r="AE257" s="693">
        <f>AE256/16</f>
        <v>0</v>
      </c>
      <c r="AF257" s="3775">
        <f>AF256/16</f>
        <v>0</v>
      </c>
      <c r="AG257" s="3884"/>
      <c r="AH257" s="693">
        <f>AH256/16</f>
        <v>0</v>
      </c>
      <c r="AI257" s="693">
        <f t="shared" ref="AI257:AJ257" si="97">AI256/16</f>
        <v>0</v>
      </c>
      <c r="AJ257" s="693">
        <f t="shared" si="97"/>
        <v>0</v>
      </c>
    </row>
    <row r="258" spans="1:37" ht="20.25">
      <c r="A258" s="643" t="s">
        <v>156</v>
      </c>
      <c r="B258" s="644"/>
      <c r="C258" s="644"/>
      <c r="D258" s="645"/>
      <c r="E258" s="3885">
        <f>SUM(E257:K257)</f>
        <v>0</v>
      </c>
      <c r="F258" s="3886"/>
      <c r="G258" s="3886"/>
      <c r="H258" s="3886"/>
      <c r="I258" s="3886"/>
      <c r="J258" s="3886"/>
      <c r="K258" s="3886"/>
      <c r="L258" s="667"/>
      <c r="M258" s="3775">
        <f>SUM(M257:T257)</f>
        <v>0</v>
      </c>
      <c r="N258" s="3887"/>
      <c r="O258" s="3887"/>
      <c r="P258" s="3887"/>
      <c r="Q258" s="3887"/>
      <c r="R258" s="3887"/>
      <c r="S258" s="3887"/>
      <c r="T258" s="3884"/>
      <c r="U258" s="675"/>
      <c r="V258" s="3778">
        <f>SUM(V257:AC257)</f>
        <v>0</v>
      </c>
      <c r="W258" s="3779"/>
      <c r="X258" s="3779"/>
      <c r="Y258" s="3779"/>
      <c r="Z258" s="3779"/>
      <c r="AA258" s="3779"/>
      <c r="AB258" s="3779"/>
      <c r="AC258" s="3780"/>
      <c r="AD258" s="694"/>
      <c r="AE258" s="694"/>
      <c r="AF258" s="694"/>
      <c r="AG258" s="694"/>
      <c r="AH258" s="694"/>
      <c r="AI258" s="694"/>
      <c r="AJ258" s="707"/>
      <c r="AK258" s="1"/>
    </row>
    <row r="259" spans="1:37" ht="20.25">
      <c r="A259" s="646" t="s">
        <v>157</v>
      </c>
      <c r="B259" s="647"/>
      <c r="C259" s="647"/>
      <c r="D259" s="648"/>
      <c r="E259" s="3875">
        <f>SUM(E256:K256)</f>
        <v>0</v>
      </c>
      <c r="F259" s="3876"/>
      <c r="G259" s="3876"/>
      <c r="H259" s="3876"/>
      <c r="I259" s="3876"/>
      <c r="J259" s="3876"/>
      <c r="K259" s="3876"/>
      <c r="L259" s="669"/>
      <c r="M259" s="3877">
        <f>SUM(M256:T256)</f>
        <v>0</v>
      </c>
      <c r="N259" s="3878"/>
      <c r="O259" s="3878"/>
      <c r="P259" s="3878"/>
      <c r="Q259" s="3878"/>
      <c r="R259" s="3878"/>
      <c r="S259" s="3878"/>
      <c r="T259" s="3879"/>
      <c r="U259" s="676"/>
      <c r="V259" s="3781">
        <f>SUM(V256:AC256)</f>
        <v>0</v>
      </c>
      <c r="W259" s="3788"/>
      <c r="X259" s="3788"/>
      <c r="Y259" s="3788"/>
      <c r="Z259" s="3788"/>
      <c r="AA259" s="3788"/>
      <c r="AB259" s="3788"/>
      <c r="AC259" s="3880"/>
      <c r="AD259" s="688"/>
      <c r="AE259" s="689"/>
      <c r="AF259" s="673"/>
      <c r="AG259" s="673"/>
      <c r="AH259" s="689"/>
      <c r="AI259" s="689"/>
      <c r="AJ259" s="704"/>
    </row>
    <row r="260" spans="1:37">
      <c r="A260" s="634"/>
      <c r="B260" s="635"/>
      <c r="C260" s="635"/>
      <c r="D260" s="649"/>
      <c r="U260" s="634"/>
      <c r="V260" s="634"/>
      <c r="W260" s="634"/>
      <c r="X260" s="634"/>
      <c r="Y260" s="634"/>
      <c r="Z260" s="634"/>
      <c r="AA260" s="634"/>
      <c r="AB260" s="690"/>
      <c r="AC260" s="690"/>
      <c r="AD260" s="690"/>
      <c r="AE260" s="690"/>
      <c r="AF260" s="634"/>
      <c r="AG260" s="634"/>
      <c r="AH260" s="634"/>
      <c r="AI260" s="634"/>
      <c r="AJ260" s="634"/>
    </row>
    <row r="261" spans="1:37" ht="20.25">
      <c r="A261" s="650"/>
      <c r="B261" s="651"/>
      <c r="C261" s="651"/>
      <c r="D261" s="650"/>
      <c r="E261" s="634"/>
      <c r="F261" s="634"/>
      <c r="G261" s="634"/>
      <c r="H261" s="634"/>
      <c r="I261" s="634"/>
      <c r="J261" s="634"/>
      <c r="K261" s="634"/>
      <c r="L261" s="634"/>
      <c r="M261" s="634"/>
      <c r="N261" s="634"/>
      <c r="O261" s="634"/>
      <c r="P261" s="634"/>
      <c r="Q261" s="634"/>
      <c r="R261" s="634"/>
      <c r="S261" s="634"/>
      <c r="T261" s="634"/>
      <c r="U261" s="650"/>
      <c r="V261" s="650"/>
      <c r="W261" s="650"/>
      <c r="X261" s="650"/>
      <c r="Y261" s="650"/>
      <c r="Z261" s="650"/>
      <c r="AA261" s="650"/>
      <c r="AB261" s="650"/>
      <c r="AC261" s="650"/>
      <c r="AD261" s="650"/>
      <c r="AE261" s="650"/>
      <c r="AF261" s="650"/>
      <c r="AG261" s="650"/>
      <c r="AH261" s="650"/>
      <c r="AI261" s="650"/>
      <c r="AJ261" s="650"/>
    </row>
    <row r="262" spans="1:37" ht="27">
      <c r="A262" s="634"/>
      <c r="B262" s="635"/>
      <c r="C262" s="635"/>
      <c r="D262" s="634"/>
      <c r="E262" s="650"/>
      <c r="F262" s="650"/>
      <c r="G262" s="650"/>
      <c r="H262" s="650"/>
      <c r="I262" s="650"/>
      <c r="J262" s="650"/>
      <c r="K262" s="650"/>
      <c r="L262" s="650"/>
      <c r="M262" s="650"/>
      <c r="N262" s="650"/>
      <c r="O262" s="650"/>
      <c r="P262" s="650"/>
      <c r="Q262" s="650"/>
      <c r="R262" s="650"/>
      <c r="S262" s="650"/>
      <c r="T262" s="650"/>
      <c r="U262" s="634"/>
      <c r="V262" s="634"/>
      <c r="W262" s="677"/>
      <c r="X262" s="3857" t="s">
        <v>158</v>
      </c>
      <c r="Y262" s="3858"/>
      <c r="Z262" s="3858"/>
      <c r="AA262" s="3858"/>
      <c r="AB262" s="3859"/>
      <c r="AC262" s="3802">
        <f>'BIG CHAIR'!CI325</f>
        <v>0</v>
      </c>
      <c r="AD262" s="3803"/>
      <c r="AE262" s="3804"/>
      <c r="AF262" s="634"/>
      <c r="AG262" s="634"/>
      <c r="AH262" s="634"/>
      <c r="AI262" s="634"/>
      <c r="AJ262" s="634"/>
    </row>
    <row r="263" spans="1:37" ht="27">
      <c r="A263" s="634"/>
      <c r="B263" s="635"/>
      <c r="C263" s="635"/>
      <c r="D263" s="634"/>
      <c r="E263" s="634"/>
      <c r="F263" s="634"/>
      <c r="G263" s="634"/>
      <c r="H263" s="634"/>
      <c r="I263" s="634"/>
      <c r="J263" s="634"/>
      <c r="K263" s="634"/>
      <c r="L263" s="634"/>
      <c r="M263" s="634"/>
      <c r="N263" s="634"/>
      <c r="O263" s="634"/>
      <c r="P263" s="634"/>
      <c r="Q263" s="634"/>
      <c r="R263" s="634"/>
      <c r="S263" s="634"/>
      <c r="T263" s="634"/>
      <c r="U263" s="634"/>
      <c r="V263" s="634"/>
      <c r="W263" s="677"/>
      <c r="X263" s="3857" t="s">
        <v>159</v>
      </c>
      <c r="Y263" s="3858"/>
      <c r="Z263" s="3858"/>
      <c r="AA263" s="3858"/>
      <c r="AB263" s="3859"/>
      <c r="AC263" s="3872">
        <f>AE256</f>
        <v>0</v>
      </c>
      <c r="AD263" s="3873"/>
      <c r="AE263" s="3874"/>
      <c r="AF263" s="634"/>
      <c r="AG263" s="634"/>
      <c r="AH263" s="634"/>
      <c r="AI263" s="634"/>
      <c r="AJ263" s="708"/>
    </row>
    <row r="264" spans="1:37" ht="27">
      <c r="A264" s="634"/>
      <c r="B264" s="635"/>
      <c r="C264" s="635"/>
      <c r="D264" s="634"/>
      <c r="E264" s="634"/>
      <c r="F264" s="634"/>
      <c r="G264" s="634"/>
      <c r="H264" s="634"/>
      <c r="I264" s="634"/>
      <c r="J264" s="634"/>
      <c r="K264" s="634"/>
      <c r="L264" s="634"/>
      <c r="M264" s="634"/>
      <c r="N264" s="634"/>
      <c r="O264" s="634"/>
      <c r="P264" s="634"/>
      <c r="Q264" s="634"/>
      <c r="R264" s="634"/>
      <c r="S264" s="634"/>
      <c r="T264" s="634"/>
      <c r="U264" s="634"/>
      <c r="V264" s="634"/>
      <c r="W264" s="677"/>
      <c r="X264" s="3857" t="s">
        <v>160</v>
      </c>
      <c r="Y264" s="3858"/>
      <c r="Z264" s="3858"/>
      <c r="AA264" s="3858"/>
      <c r="AB264" s="3859"/>
      <c r="AC264" s="3802">
        <f>'BIG CHAIR'!CJ325</f>
        <v>0</v>
      </c>
      <c r="AD264" s="3803"/>
      <c r="AE264" s="3804"/>
      <c r="AF264" s="634"/>
      <c r="AG264" s="634"/>
      <c r="AH264" s="634"/>
      <c r="AI264" s="634"/>
      <c r="AJ264" s="634"/>
    </row>
    <row r="265" spans="1:37" ht="27">
      <c r="A265" s="634"/>
      <c r="B265" s="635"/>
      <c r="C265" s="635"/>
      <c r="D265" s="634"/>
      <c r="E265" s="634"/>
      <c r="F265" s="634"/>
      <c r="G265" s="634"/>
      <c r="H265" s="63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4"/>
      <c r="S265" s="634"/>
      <c r="T265" s="634"/>
      <c r="U265" s="634"/>
      <c r="V265" s="634"/>
      <c r="W265" s="677"/>
      <c r="X265" s="3857" t="s">
        <v>161</v>
      </c>
      <c r="Y265" s="3858"/>
      <c r="Z265" s="3858"/>
      <c r="AA265" s="3858"/>
      <c r="AB265" s="3858"/>
      <c r="AC265" s="3872">
        <f>AF256</f>
        <v>0</v>
      </c>
      <c r="AD265" s="3803"/>
      <c r="AE265" s="3804"/>
      <c r="AF265" s="634"/>
      <c r="AG265" s="634"/>
      <c r="AH265" s="634"/>
      <c r="AI265" s="634"/>
      <c r="AJ265" s="634"/>
    </row>
    <row r="266" spans="1:37" ht="27">
      <c r="A266" s="634"/>
      <c r="B266" s="635"/>
      <c r="C266" s="635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4"/>
      <c r="P266" s="634"/>
      <c r="Q266" s="634"/>
      <c r="R266" s="634"/>
      <c r="S266" s="634"/>
      <c r="T266" s="634"/>
      <c r="U266" s="634"/>
      <c r="V266" s="634"/>
      <c r="W266" s="677"/>
      <c r="X266" s="3857" t="s">
        <v>162</v>
      </c>
      <c r="Y266" s="3858"/>
      <c r="Z266" s="3858"/>
      <c r="AA266" s="3858"/>
      <c r="AB266" s="3859"/>
      <c r="AC266" s="3802">
        <f>'Tea Table'!U285</f>
        <v>2676</v>
      </c>
      <c r="AD266" s="3803"/>
      <c r="AE266" s="3804"/>
      <c r="AF266" s="634"/>
      <c r="AG266" s="634"/>
      <c r="AH266" s="634"/>
      <c r="AI266" s="634"/>
      <c r="AJ266" s="634"/>
    </row>
    <row r="267" spans="1:37" ht="27">
      <c r="A267" s="634"/>
      <c r="B267" s="635"/>
      <c r="C267" s="635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4"/>
      <c r="P267" s="634"/>
      <c r="Q267" s="634"/>
      <c r="R267" s="634"/>
      <c r="S267" s="634"/>
      <c r="T267" s="634"/>
      <c r="U267" s="634"/>
      <c r="V267" s="634"/>
      <c r="W267" s="677"/>
      <c r="X267" s="3860" t="s">
        <v>163</v>
      </c>
      <c r="Y267" s="3861"/>
      <c r="Z267" s="3861"/>
      <c r="AA267" s="3861"/>
      <c r="AB267" s="3862"/>
      <c r="AC267" s="3863">
        <f>'Tea Table'!V285</f>
        <v>29</v>
      </c>
      <c r="AD267" s="3864"/>
      <c r="AE267" s="3865"/>
      <c r="AF267" s="634"/>
      <c r="AG267" s="634"/>
      <c r="AH267" s="634"/>
      <c r="AI267" s="634"/>
      <c r="AJ267" s="634"/>
    </row>
    <row r="268" spans="1:37" ht="27">
      <c r="A268" s="634"/>
      <c r="B268" s="635"/>
      <c r="C268" s="635"/>
      <c r="D268" s="634"/>
      <c r="E268" s="634"/>
      <c r="F268" s="634"/>
      <c r="G268" s="634"/>
      <c r="H268" s="634"/>
      <c r="I268" s="634"/>
      <c r="J268" s="634"/>
      <c r="K268" s="634"/>
      <c r="L268" s="634"/>
      <c r="M268" s="634"/>
      <c r="N268" s="634"/>
      <c r="O268" s="634"/>
      <c r="P268" s="634"/>
      <c r="Q268" s="634"/>
      <c r="R268" s="634"/>
      <c r="S268" s="634"/>
      <c r="T268" s="634"/>
      <c r="U268" s="634"/>
      <c r="V268" s="634"/>
      <c r="W268" s="677"/>
      <c r="X268" s="3866"/>
      <c r="Y268" s="3867"/>
      <c r="Z268" s="3867"/>
      <c r="AA268" s="3867"/>
      <c r="AB268" s="3868"/>
      <c r="AC268" s="3869"/>
      <c r="AD268" s="3870"/>
      <c r="AE268" s="3871"/>
      <c r="AF268" s="634"/>
      <c r="AG268" s="634"/>
      <c r="AH268" s="634"/>
      <c r="AI268" s="634"/>
      <c r="AJ268" s="634"/>
    </row>
    <row r="269" spans="1:37" ht="27">
      <c r="A269" s="634"/>
      <c r="B269" s="635"/>
      <c r="C269" s="635"/>
      <c r="D269" s="634"/>
      <c r="E269" s="634"/>
      <c r="F269" s="634"/>
      <c r="G269" s="634"/>
      <c r="H269" s="634"/>
      <c r="I269" s="634"/>
      <c r="J269" s="634"/>
      <c r="K269" s="634"/>
      <c r="L269" s="634"/>
      <c r="M269" s="634"/>
      <c r="N269" s="634"/>
      <c r="O269" s="634"/>
      <c r="P269" s="634"/>
      <c r="Q269" s="634"/>
      <c r="R269" s="634"/>
      <c r="S269" s="634"/>
      <c r="T269" s="634"/>
      <c r="U269" s="634"/>
      <c r="V269" s="634"/>
      <c r="W269" s="677"/>
      <c r="X269" s="3857" t="s">
        <v>164</v>
      </c>
      <c r="Y269" s="3858"/>
      <c r="Z269" s="3858"/>
      <c r="AA269" s="3858"/>
      <c r="AB269" s="3859"/>
      <c r="AC269" s="3796">
        <f>SUM(AC262:AE268)</f>
        <v>2705</v>
      </c>
      <c r="AD269" s="3797"/>
      <c r="AE269" s="3798"/>
      <c r="AF269" s="634"/>
      <c r="AG269" s="634"/>
      <c r="AH269" s="634"/>
      <c r="AI269" s="634"/>
      <c r="AJ269" s="634"/>
    </row>
    <row r="270" spans="1:37" ht="27">
      <c r="A270" s="634"/>
      <c r="B270" s="635"/>
      <c r="C270" s="635"/>
      <c r="D270" s="634"/>
      <c r="E270" s="634"/>
      <c r="F270" s="634"/>
      <c r="G270" s="634"/>
      <c r="H270" s="634"/>
      <c r="I270" s="634"/>
      <c r="J270" s="634"/>
      <c r="K270" s="634"/>
      <c r="L270" s="634"/>
      <c r="M270" s="634"/>
      <c r="N270" s="634"/>
      <c r="O270" s="634"/>
      <c r="P270" s="634"/>
      <c r="Q270" s="634"/>
      <c r="R270" s="634"/>
      <c r="S270" s="634"/>
      <c r="T270" s="634"/>
      <c r="U270" s="634"/>
      <c r="V270" s="634"/>
      <c r="W270" s="677"/>
      <c r="X270" s="3857" t="s">
        <v>165</v>
      </c>
      <c r="Y270" s="3858"/>
      <c r="Z270" s="3858"/>
      <c r="AA270" s="3858"/>
      <c r="AB270" s="3859"/>
      <c r="AC270" s="3796">
        <f>AE257+'BIG CHAIR'!CI326+'Tea Table'!U286</f>
        <v>223</v>
      </c>
      <c r="AD270" s="3797"/>
      <c r="AE270" s="3798"/>
      <c r="AF270" s="695"/>
      <c r="AG270" s="695"/>
      <c r="AH270" s="695"/>
      <c r="AI270" s="634"/>
      <c r="AJ270" s="634"/>
    </row>
    <row r="271" spans="1:37">
      <c r="B271" s="652"/>
      <c r="C271" s="652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AB271" s="696"/>
      <c r="AC271" s="696"/>
      <c r="AD271" s="696"/>
      <c r="AE271" s="696"/>
    </row>
    <row r="272" spans="1:37">
      <c r="B272" s="652"/>
      <c r="C272" s="652"/>
      <c r="AB272" s="696"/>
      <c r="AC272" s="696"/>
      <c r="AD272" s="696"/>
      <c r="AE272" s="696"/>
    </row>
    <row r="273" spans="2:31">
      <c r="B273" s="652"/>
      <c r="C273" s="652"/>
      <c r="AB273" s="696"/>
      <c r="AC273" s="696"/>
      <c r="AD273" s="696"/>
      <c r="AE273" s="696"/>
    </row>
    <row r="274" spans="2:31">
      <c r="B274" s="652"/>
      <c r="C274" s="652"/>
      <c r="AB274" s="696"/>
      <c r="AC274" s="696"/>
      <c r="AD274" s="696"/>
      <c r="AE274" s="696"/>
    </row>
    <row r="275" spans="2:31">
      <c r="B275" s="652"/>
      <c r="C275" s="652"/>
      <c r="AB275" s="696"/>
      <c r="AC275" s="696"/>
      <c r="AD275" s="696"/>
      <c r="AE275" s="696"/>
    </row>
    <row r="276" spans="2:31">
      <c r="B276" s="652"/>
      <c r="C276" s="652"/>
      <c r="AB276" s="696"/>
      <c r="AC276" s="696"/>
      <c r="AD276" s="696"/>
      <c r="AE276" s="696"/>
    </row>
    <row r="277" spans="2:31">
      <c r="B277" s="652"/>
      <c r="C277" s="652"/>
      <c r="AB277" s="696"/>
      <c r="AC277" s="696"/>
      <c r="AD277" s="696"/>
      <c r="AE277" s="696"/>
    </row>
    <row r="278" spans="2:31">
      <c r="B278" s="652"/>
      <c r="C278" s="652"/>
      <c r="AB278" s="696"/>
      <c r="AC278" s="696"/>
      <c r="AD278" s="696"/>
      <c r="AE278" s="696"/>
    </row>
    <row r="279" spans="2:31">
      <c r="B279" s="652"/>
      <c r="C279" s="652"/>
      <c r="AB279" s="696"/>
      <c r="AC279" s="696"/>
      <c r="AD279" s="696"/>
      <c r="AE279" s="696"/>
    </row>
    <row r="280" spans="2:31">
      <c r="B280" s="652"/>
      <c r="C280" s="652"/>
      <c r="AB280" s="696"/>
      <c r="AC280" s="696"/>
      <c r="AD280" s="696"/>
      <c r="AE280" s="696"/>
    </row>
    <row r="281" spans="2:31">
      <c r="B281" s="652"/>
      <c r="C281" s="652"/>
      <c r="AB281" s="696"/>
      <c r="AC281" s="696"/>
      <c r="AD281" s="696"/>
      <c r="AE281" s="696"/>
    </row>
    <row r="282" spans="2:31">
      <c r="B282" s="652"/>
      <c r="C282" s="652"/>
      <c r="AB282" s="696"/>
      <c r="AC282" s="696"/>
      <c r="AD282" s="696"/>
      <c r="AE282" s="696"/>
    </row>
    <row r="283" spans="2:31">
      <c r="B283" s="652"/>
      <c r="C283" s="652"/>
      <c r="AB283" s="696"/>
      <c r="AC283" s="696"/>
      <c r="AD283" s="696"/>
      <c r="AE283" s="696"/>
    </row>
    <row r="284" spans="2:31">
      <c r="B284" s="652"/>
      <c r="C284" s="652"/>
      <c r="AB284" s="696"/>
      <c r="AC284" s="696"/>
      <c r="AD284" s="696"/>
      <c r="AE284" s="696"/>
    </row>
    <row r="285" spans="2:31">
      <c r="B285" s="652"/>
      <c r="C285" s="652"/>
      <c r="AB285" s="696"/>
      <c r="AC285" s="696"/>
      <c r="AD285" s="696"/>
      <c r="AE285" s="696"/>
    </row>
    <row r="286" spans="2:31">
      <c r="B286" s="652"/>
      <c r="C286" s="652"/>
      <c r="AB286" s="696"/>
      <c r="AC286" s="696"/>
      <c r="AD286" s="696"/>
      <c r="AE286" s="696"/>
    </row>
    <row r="287" spans="2:31">
      <c r="B287" s="652"/>
      <c r="C287" s="652"/>
      <c r="AB287" s="696"/>
      <c r="AC287" s="696"/>
      <c r="AD287" s="696"/>
      <c r="AE287" s="696"/>
    </row>
    <row r="288" spans="2:31">
      <c r="B288" s="652"/>
      <c r="C288" s="652"/>
      <c r="AB288" s="696"/>
      <c r="AC288" s="696"/>
      <c r="AD288" s="696"/>
      <c r="AE288" s="696"/>
    </row>
  </sheetData>
  <mergeCells count="38">
    <mergeCell ref="A2:D2"/>
    <mergeCell ref="E2:K2"/>
    <mergeCell ref="M2:T2"/>
    <mergeCell ref="V2:AC2"/>
    <mergeCell ref="AE2:AJ2"/>
    <mergeCell ref="A174:AJ174"/>
    <mergeCell ref="A175:D175"/>
    <mergeCell ref="E175:K175"/>
    <mergeCell ref="M175:T175"/>
    <mergeCell ref="V175:AC175"/>
    <mergeCell ref="AE175:AJ175"/>
    <mergeCell ref="A251:C251"/>
    <mergeCell ref="AF256:AG256"/>
    <mergeCell ref="AF257:AG257"/>
    <mergeCell ref="E258:K258"/>
    <mergeCell ref="M258:T258"/>
    <mergeCell ref="V258:AC258"/>
    <mergeCell ref="E259:K259"/>
    <mergeCell ref="M259:T259"/>
    <mergeCell ref="V259:AC259"/>
    <mergeCell ref="X262:AB262"/>
    <mergeCell ref="AC262:AE262"/>
    <mergeCell ref="X263:AB263"/>
    <mergeCell ref="AC263:AE263"/>
    <mergeCell ref="X264:AB264"/>
    <mergeCell ref="AC264:AE264"/>
    <mergeCell ref="X265:AB265"/>
    <mergeCell ref="AC265:AE265"/>
    <mergeCell ref="X269:AB269"/>
    <mergeCell ref="AC269:AE269"/>
    <mergeCell ref="X270:AB270"/>
    <mergeCell ref="AC270:AE270"/>
    <mergeCell ref="X266:AB266"/>
    <mergeCell ref="AC266:AE266"/>
    <mergeCell ref="X267:AB267"/>
    <mergeCell ref="AC267:AE267"/>
    <mergeCell ref="X268:AB268"/>
    <mergeCell ref="AC268:AE268"/>
  </mergeCells>
  <pageMargins left="0.69930555555555596" right="0.69930555555555596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297"/>
  <sheetViews>
    <sheetView workbookViewId="0">
      <pane ySplit="3" topLeftCell="A234" activePane="bottomLeft" state="frozen"/>
      <selection activeCell="A181" sqref="A181"/>
      <selection pane="bottomLeft" activeCell="A245" sqref="A245"/>
    </sheetView>
  </sheetViews>
  <sheetFormatPr defaultColWidth="9" defaultRowHeight="23.25"/>
  <cols>
    <col min="1" max="1" width="53.5703125" customWidth="1"/>
    <col min="2" max="2" width="18.140625" style="873" customWidth="1"/>
    <col min="3" max="3" width="12.140625" style="873" customWidth="1"/>
    <col min="4" max="4" width="20.85546875" customWidth="1"/>
    <col min="5" max="5" width="13.7109375" customWidth="1"/>
    <col min="6" max="6" width="8.7109375" customWidth="1"/>
    <col min="7" max="7" width="12.42578125" customWidth="1"/>
    <col min="8" max="11" width="12" customWidth="1"/>
    <col min="12" max="12" width="10" customWidth="1"/>
    <col min="13" max="13" width="13.7109375" customWidth="1"/>
    <col min="14" max="14" width="10" customWidth="1"/>
    <col min="15" max="15" width="10.7109375" customWidth="1"/>
    <col min="16" max="16" width="15.7109375" customWidth="1"/>
    <col min="17" max="17" width="8.7109375" customWidth="1"/>
    <col min="18" max="18" width="9" customWidth="1"/>
    <col min="19" max="20" width="10.7109375" customWidth="1"/>
    <col min="21" max="21" width="2.85546875" customWidth="1"/>
    <col min="22" max="22" width="10.28515625" customWidth="1"/>
    <col min="23" max="24" width="9.5703125" customWidth="1"/>
    <col min="25" max="25" width="10.28515625" customWidth="1"/>
    <col min="26" max="26" width="11" customWidth="1"/>
    <col min="27" max="27" width="12" customWidth="1"/>
    <col min="28" max="28" width="9.140625" style="1" customWidth="1"/>
    <col min="29" max="29" width="10.85546875" style="1" customWidth="1"/>
    <col min="30" max="30" width="9.28515625" style="1" customWidth="1"/>
    <col min="31" max="39" width="9.140625" style="1" customWidth="1"/>
    <col min="40" max="257" width="10" customWidth="1"/>
  </cols>
  <sheetData>
    <row r="1" spans="1:41" ht="27" thickBot="1">
      <c r="A1" s="285" t="s">
        <v>191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906">
        <v>1</v>
      </c>
      <c r="P1" s="335">
        <v>4</v>
      </c>
      <c r="Q1" s="3848">
        <v>2026</v>
      </c>
      <c r="R1" s="3849"/>
      <c r="S1" s="285"/>
      <c r="T1" s="285"/>
      <c r="U1" s="285"/>
      <c r="V1" s="285"/>
      <c r="W1" s="285"/>
      <c r="X1" s="285"/>
      <c r="Y1" s="285"/>
      <c r="Z1" s="285"/>
      <c r="AA1" s="285"/>
      <c r="AB1" s="958"/>
      <c r="AC1" s="958"/>
      <c r="AD1" s="958"/>
      <c r="AE1" s="958"/>
      <c r="AF1" s="958"/>
      <c r="AG1" s="958"/>
      <c r="AH1" s="958"/>
      <c r="AI1" s="958"/>
      <c r="AJ1" s="958"/>
      <c r="AK1" s="958"/>
      <c r="AL1" s="958"/>
      <c r="AM1" s="958"/>
      <c r="AN1" s="958"/>
      <c r="AO1" s="958"/>
    </row>
    <row r="2" spans="1:41" ht="27" thickBot="1">
      <c r="A2" s="874"/>
      <c r="B2" s="875"/>
      <c r="C2" s="875"/>
      <c r="D2" s="876"/>
      <c r="E2" s="3745" t="s">
        <v>24</v>
      </c>
      <c r="F2" s="3850"/>
      <c r="G2" s="3850"/>
      <c r="H2" s="3850"/>
      <c r="I2" s="3850"/>
      <c r="J2" s="3850"/>
      <c r="K2" s="3850"/>
      <c r="L2" s="3850"/>
      <c r="M2" s="3850"/>
      <c r="N2" s="3850"/>
      <c r="O2" s="3850"/>
      <c r="P2" s="3850"/>
      <c r="Q2" s="3850"/>
      <c r="R2" s="3850"/>
      <c r="S2" s="3850"/>
      <c r="T2" s="3746"/>
      <c r="U2" s="876"/>
      <c r="V2" s="874"/>
      <c r="W2" s="876"/>
      <c r="X2" s="876"/>
      <c r="Y2" s="876"/>
      <c r="Z2" s="876"/>
      <c r="AA2" s="959"/>
    </row>
    <row r="3" spans="1:41" s="282" customFormat="1" ht="24" thickBot="1">
      <c r="A3" s="286" t="s">
        <v>67</v>
      </c>
      <c r="B3" s="877" t="s">
        <v>68</v>
      </c>
      <c r="C3" s="877" t="s">
        <v>69</v>
      </c>
      <c r="D3" s="878" t="s">
        <v>70</v>
      </c>
      <c r="E3" s="879" t="s">
        <v>71</v>
      </c>
      <c r="F3" s="880" t="s">
        <v>407</v>
      </c>
      <c r="G3" s="880" t="s">
        <v>250</v>
      </c>
      <c r="H3" s="879" t="s">
        <v>193</v>
      </c>
      <c r="I3" s="879" t="s">
        <v>170</v>
      </c>
      <c r="J3" s="879" t="s">
        <v>92</v>
      </c>
      <c r="K3" s="879" t="s">
        <v>194</v>
      </c>
      <c r="L3" s="880" t="s">
        <v>195</v>
      </c>
      <c r="M3" s="880" t="s">
        <v>468</v>
      </c>
      <c r="N3" s="880" t="s">
        <v>94</v>
      </c>
      <c r="O3" s="880" t="s">
        <v>86</v>
      </c>
      <c r="P3" s="880" t="s">
        <v>420</v>
      </c>
      <c r="Q3" s="880" t="s">
        <v>95</v>
      </c>
      <c r="R3" s="49" t="s">
        <v>77</v>
      </c>
      <c r="S3" s="914" t="s">
        <v>53</v>
      </c>
      <c r="T3" s="914" t="s">
        <v>149</v>
      </c>
      <c r="U3" s="915"/>
      <c r="V3" s="916" t="s">
        <v>104</v>
      </c>
      <c r="W3" s="917" t="s">
        <v>105</v>
      </c>
      <c r="X3" s="917"/>
      <c r="Y3" s="918" t="s">
        <v>106</v>
      </c>
      <c r="Z3" s="917" t="s">
        <v>107</v>
      </c>
      <c r="AA3" s="960" t="s">
        <v>108</v>
      </c>
    </row>
    <row r="4" spans="1:41" ht="24" thickBot="1">
      <c r="A4" s="881" t="s">
        <v>109</v>
      </c>
      <c r="B4" s="882" t="s">
        <v>472</v>
      </c>
      <c r="C4" s="882"/>
      <c r="D4" s="883"/>
      <c r="E4" s="884"/>
      <c r="F4" s="885">
        <f>12*12</f>
        <v>144</v>
      </c>
      <c r="G4" s="885"/>
      <c r="H4" s="884">
        <f>17*12</f>
        <v>204</v>
      </c>
      <c r="I4" s="884"/>
      <c r="J4" s="884">
        <f>5*12</f>
        <v>60</v>
      </c>
      <c r="K4" s="884">
        <f>23*12</f>
        <v>276</v>
      </c>
      <c r="L4" s="907">
        <f>2*12</f>
        <v>24</v>
      </c>
      <c r="M4" s="907">
        <f>101*12</f>
        <v>1212</v>
      </c>
      <c r="N4" s="907">
        <f>10*12</f>
        <v>120</v>
      </c>
      <c r="O4" s="907">
        <f>18*12</f>
        <v>216</v>
      </c>
      <c r="P4" s="908">
        <f>43*12</f>
        <v>516</v>
      </c>
      <c r="Q4" s="907"/>
      <c r="R4" s="919">
        <f>1*12</f>
        <v>12</v>
      </c>
      <c r="S4" s="920">
        <f>53*12</f>
        <v>636</v>
      </c>
      <c r="T4" s="920"/>
      <c r="U4" s="921"/>
      <c r="V4" s="884">
        <f t="shared" ref="V4:V28" si="0">SUM(E4:T4)</f>
        <v>3420</v>
      </c>
      <c r="W4" s="907"/>
      <c r="X4" s="907"/>
      <c r="Y4" s="919">
        <f>V4+W4</f>
        <v>3420</v>
      </c>
      <c r="Z4" s="961"/>
      <c r="AA4" s="962">
        <f>Y4+Z4</f>
        <v>3420</v>
      </c>
    </row>
    <row r="5" spans="1:41" ht="21">
      <c r="A5" s="886" t="s">
        <v>110</v>
      </c>
      <c r="B5" s="887"/>
      <c r="C5" s="887"/>
      <c r="D5" s="888">
        <v>46126</v>
      </c>
      <c r="E5" s="889"/>
      <c r="F5" s="889"/>
      <c r="G5" s="889"/>
      <c r="H5" s="889"/>
      <c r="I5" s="889"/>
      <c r="J5" s="889"/>
      <c r="K5" s="889"/>
      <c r="L5" s="909"/>
      <c r="M5" s="909"/>
      <c r="N5" s="909"/>
      <c r="O5" s="909"/>
      <c r="P5" s="909"/>
      <c r="Q5" s="909"/>
      <c r="R5" s="922"/>
      <c r="S5" s="922">
        <f>13*12+40*12</f>
        <v>636</v>
      </c>
      <c r="T5" s="922"/>
      <c r="U5" s="923"/>
      <c r="V5" s="924">
        <f t="shared" si="0"/>
        <v>636</v>
      </c>
      <c r="W5" s="924">
        <v>3</v>
      </c>
      <c r="X5" s="925"/>
      <c r="Y5" s="924">
        <f>V5+W5</f>
        <v>639</v>
      </c>
      <c r="Z5" s="963">
        <f>34+10</f>
        <v>44</v>
      </c>
      <c r="AA5" s="964">
        <f>Y5+Z5</f>
        <v>683</v>
      </c>
    </row>
    <row r="6" spans="1:41">
      <c r="A6" s="890" t="s">
        <v>110</v>
      </c>
      <c r="B6" s="891"/>
      <c r="C6" s="891"/>
      <c r="D6" s="892">
        <v>46127</v>
      </c>
      <c r="E6" s="893"/>
      <c r="F6" s="893"/>
      <c r="G6" s="893"/>
      <c r="H6" s="893"/>
      <c r="I6" s="893"/>
      <c r="J6" s="893"/>
      <c r="K6" s="893"/>
      <c r="L6" s="910"/>
      <c r="M6" s="910"/>
      <c r="N6" s="910">
        <f>18*12+38*12</f>
        <v>672</v>
      </c>
      <c r="O6" s="910"/>
      <c r="P6" s="910"/>
      <c r="Q6" s="910"/>
      <c r="R6" s="926"/>
      <c r="S6" s="926">
        <f>11*12</f>
        <v>132</v>
      </c>
      <c r="T6" s="926"/>
      <c r="U6" s="927"/>
      <c r="V6" s="928">
        <f t="shared" si="0"/>
        <v>804</v>
      </c>
      <c r="W6" s="929">
        <f>17+5</f>
        <v>22</v>
      </c>
      <c r="X6" s="930"/>
      <c r="Y6" s="928">
        <f>V6+W6</f>
        <v>826</v>
      </c>
      <c r="Z6" s="929"/>
      <c r="AA6" s="965">
        <f t="shared" ref="AA6:AA28" si="1">Y6+Z6</f>
        <v>826</v>
      </c>
    </row>
    <row r="7" spans="1:41">
      <c r="A7" s="890" t="s">
        <v>110</v>
      </c>
      <c r="B7" s="891"/>
      <c r="C7" s="891"/>
      <c r="D7" s="892">
        <v>46128</v>
      </c>
      <c r="E7" s="893"/>
      <c r="F7" s="893"/>
      <c r="G7" s="893"/>
      <c r="H7" s="893"/>
      <c r="I7" s="893"/>
      <c r="J7" s="893"/>
      <c r="K7" s="893"/>
      <c r="L7" s="910"/>
      <c r="M7" s="910"/>
      <c r="N7" s="910">
        <f>7*12</f>
        <v>84</v>
      </c>
      <c r="O7" s="910"/>
      <c r="P7" s="910"/>
      <c r="Q7" s="910"/>
      <c r="R7" s="926"/>
      <c r="S7" s="926"/>
      <c r="T7" s="926"/>
      <c r="U7" s="927"/>
      <c r="V7" s="928">
        <f t="shared" si="0"/>
        <v>84</v>
      </c>
      <c r="W7" s="929"/>
      <c r="X7" s="930"/>
      <c r="Y7" s="928">
        <f>V7+W7</f>
        <v>84</v>
      </c>
      <c r="Z7" s="929"/>
      <c r="AA7" s="965">
        <f t="shared" si="1"/>
        <v>84</v>
      </c>
    </row>
    <row r="8" spans="1:41">
      <c r="A8" s="890" t="s">
        <v>110</v>
      </c>
      <c r="B8" s="891"/>
      <c r="C8" s="891"/>
      <c r="D8" s="892"/>
      <c r="E8" s="893"/>
      <c r="F8" s="893"/>
      <c r="G8" s="893"/>
      <c r="H8" s="893"/>
      <c r="I8" s="893"/>
      <c r="J8" s="893"/>
      <c r="K8" s="893"/>
      <c r="L8" s="910"/>
      <c r="M8" s="910"/>
      <c r="N8" s="910"/>
      <c r="O8" s="910"/>
      <c r="P8" s="910"/>
      <c r="Q8" s="910"/>
      <c r="R8" s="926"/>
      <c r="S8" s="926"/>
      <c r="T8" s="926"/>
      <c r="U8" s="927"/>
      <c r="V8" s="928">
        <f t="shared" si="0"/>
        <v>0</v>
      </c>
      <c r="W8" s="929"/>
      <c r="X8" s="930"/>
      <c r="Y8" s="928">
        <f t="shared" ref="Y8:Y28" si="2">V8+W8</f>
        <v>0</v>
      </c>
      <c r="Z8" s="929"/>
      <c r="AA8" s="965">
        <f t="shared" si="1"/>
        <v>0</v>
      </c>
    </row>
    <row r="9" spans="1:41">
      <c r="A9" s="890" t="s">
        <v>110</v>
      </c>
      <c r="B9" s="891"/>
      <c r="C9" s="891"/>
      <c r="D9" s="892"/>
      <c r="E9" s="893"/>
      <c r="F9" s="893"/>
      <c r="G9" s="893"/>
      <c r="H9" s="893"/>
      <c r="I9" s="893"/>
      <c r="J9" s="893"/>
      <c r="K9" s="893"/>
      <c r="L9" s="910"/>
      <c r="M9" s="910"/>
      <c r="N9" s="910"/>
      <c r="O9" s="910"/>
      <c r="P9" s="910"/>
      <c r="Q9" s="910"/>
      <c r="R9" s="926"/>
      <c r="S9" s="926"/>
      <c r="T9" s="926"/>
      <c r="U9" s="927"/>
      <c r="V9" s="928">
        <f t="shared" si="0"/>
        <v>0</v>
      </c>
      <c r="W9" s="929"/>
      <c r="X9" s="930"/>
      <c r="Y9" s="928">
        <f t="shared" si="2"/>
        <v>0</v>
      </c>
      <c r="Z9" s="929"/>
      <c r="AA9" s="965">
        <f t="shared" si="1"/>
        <v>0</v>
      </c>
    </row>
    <row r="10" spans="1:41">
      <c r="A10" s="890" t="s">
        <v>110</v>
      </c>
      <c r="B10" s="891"/>
      <c r="C10" s="891"/>
      <c r="D10" s="892"/>
      <c r="E10" s="893"/>
      <c r="F10" s="893"/>
      <c r="G10" s="893"/>
      <c r="H10" s="893"/>
      <c r="I10" s="893"/>
      <c r="J10" s="893"/>
      <c r="K10" s="893"/>
      <c r="L10" s="910"/>
      <c r="M10" s="910"/>
      <c r="N10" s="910"/>
      <c r="O10" s="910"/>
      <c r="P10" s="910"/>
      <c r="Q10" s="910"/>
      <c r="R10" s="926"/>
      <c r="S10" s="926"/>
      <c r="T10" s="926"/>
      <c r="U10" s="927"/>
      <c r="V10" s="928">
        <f t="shared" si="0"/>
        <v>0</v>
      </c>
      <c r="W10" s="929"/>
      <c r="X10" s="930"/>
      <c r="Y10" s="928">
        <f t="shared" si="2"/>
        <v>0</v>
      </c>
      <c r="Z10" s="929"/>
      <c r="AA10" s="965">
        <f t="shared" si="1"/>
        <v>0</v>
      </c>
    </row>
    <row r="11" spans="1:41">
      <c r="A11" s="890" t="s">
        <v>110</v>
      </c>
      <c r="B11" s="891"/>
      <c r="C11" s="891"/>
      <c r="D11" s="892"/>
      <c r="E11" s="893"/>
      <c r="F11" s="893"/>
      <c r="G11" s="893"/>
      <c r="H11" s="893"/>
      <c r="I11" s="893"/>
      <c r="J11" s="893"/>
      <c r="K11" s="893"/>
      <c r="L11" s="910"/>
      <c r="M11" s="910"/>
      <c r="N11" s="910"/>
      <c r="O11" s="910"/>
      <c r="P11" s="910"/>
      <c r="Q11" s="910"/>
      <c r="R11" s="926"/>
      <c r="S11" s="926"/>
      <c r="T11" s="926"/>
      <c r="U11" s="927"/>
      <c r="V11" s="928">
        <f t="shared" si="0"/>
        <v>0</v>
      </c>
      <c r="W11" s="929"/>
      <c r="X11" s="930"/>
      <c r="Y11" s="928">
        <f t="shared" si="2"/>
        <v>0</v>
      </c>
      <c r="Z11" s="929"/>
      <c r="AA11" s="965">
        <f t="shared" si="1"/>
        <v>0</v>
      </c>
    </row>
    <row r="12" spans="1:41">
      <c r="A12" s="890" t="s">
        <v>110</v>
      </c>
      <c r="B12" s="891"/>
      <c r="C12" s="891"/>
      <c r="D12" s="892"/>
      <c r="E12" s="893"/>
      <c r="F12" s="893"/>
      <c r="G12" s="893"/>
      <c r="H12" s="893"/>
      <c r="I12" s="893"/>
      <c r="J12" s="893"/>
      <c r="K12" s="893"/>
      <c r="L12" s="910"/>
      <c r="M12" s="910"/>
      <c r="N12" s="910"/>
      <c r="O12" s="910"/>
      <c r="P12" s="910"/>
      <c r="Q12" s="910"/>
      <c r="R12" s="926"/>
      <c r="S12" s="926"/>
      <c r="T12" s="926"/>
      <c r="U12" s="927"/>
      <c r="V12" s="928">
        <f t="shared" si="0"/>
        <v>0</v>
      </c>
      <c r="W12" s="929"/>
      <c r="X12" s="930"/>
      <c r="Y12" s="928">
        <f t="shared" si="2"/>
        <v>0</v>
      </c>
      <c r="Z12" s="929"/>
      <c r="AA12" s="965">
        <f t="shared" si="1"/>
        <v>0</v>
      </c>
    </row>
    <row r="13" spans="1:41">
      <c r="A13" s="890" t="s">
        <v>110</v>
      </c>
      <c r="B13" s="891"/>
      <c r="C13" s="891"/>
      <c r="D13" s="892"/>
      <c r="E13" s="893"/>
      <c r="F13" s="893"/>
      <c r="G13" s="893"/>
      <c r="H13" s="893"/>
      <c r="I13" s="893"/>
      <c r="J13" s="893"/>
      <c r="K13" s="893"/>
      <c r="L13" s="910"/>
      <c r="M13" s="910"/>
      <c r="N13" s="910"/>
      <c r="O13" s="910"/>
      <c r="P13" s="910"/>
      <c r="Q13" s="910"/>
      <c r="R13" s="926"/>
      <c r="S13" s="926"/>
      <c r="T13" s="926"/>
      <c r="U13" s="927"/>
      <c r="V13" s="928">
        <f t="shared" si="0"/>
        <v>0</v>
      </c>
      <c r="W13" s="929"/>
      <c r="X13" s="930"/>
      <c r="Y13" s="928">
        <f t="shared" si="2"/>
        <v>0</v>
      </c>
      <c r="Z13" s="929"/>
      <c r="AA13" s="965">
        <f t="shared" si="1"/>
        <v>0</v>
      </c>
    </row>
    <row r="14" spans="1:41">
      <c r="A14" s="890" t="s">
        <v>110</v>
      </c>
      <c r="B14" s="891"/>
      <c r="C14" s="891"/>
      <c r="D14" s="892"/>
      <c r="E14" s="893"/>
      <c r="F14" s="893"/>
      <c r="G14" s="893"/>
      <c r="H14" s="893"/>
      <c r="I14" s="893"/>
      <c r="J14" s="893"/>
      <c r="K14" s="893"/>
      <c r="L14" s="910"/>
      <c r="M14" s="910"/>
      <c r="N14" s="910"/>
      <c r="O14" s="910"/>
      <c r="P14" s="910"/>
      <c r="Q14" s="910"/>
      <c r="R14" s="926"/>
      <c r="S14" s="926"/>
      <c r="T14" s="926"/>
      <c r="U14" s="927"/>
      <c r="V14" s="928">
        <f t="shared" si="0"/>
        <v>0</v>
      </c>
      <c r="W14" s="929"/>
      <c r="X14" s="930"/>
      <c r="Y14" s="928">
        <f t="shared" si="2"/>
        <v>0</v>
      </c>
      <c r="Z14" s="929"/>
      <c r="AA14" s="965">
        <f t="shared" si="1"/>
        <v>0</v>
      </c>
    </row>
    <row r="15" spans="1:41">
      <c r="A15" s="890" t="s">
        <v>110</v>
      </c>
      <c r="B15" s="891"/>
      <c r="C15" s="891"/>
      <c r="D15" s="892"/>
      <c r="E15" s="893"/>
      <c r="F15" s="893"/>
      <c r="G15" s="893"/>
      <c r="H15" s="893"/>
      <c r="I15" s="893"/>
      <c r="J15" s="893"/>
      <c r="K15" s="893"/>
      <c r="L15" s="910"/>
      <c r="M15" s="910"/>
      <c r="N15" s="910"/>
      <c r="O15" s="910"/>
      <c r="P15" s="910"/>
      <c r="Q15" s="910"/>
      <c r="R15" s="926"/>
      <c r="S15" s="926"/>
      <c r="T15" s="926"/>
      <c r="U15" s="927"/>
      <c r="V15" s="928">
        <f t="shared" si="0"/>
        <v>0</v>
      </c>
      <c r="W15" s="929"/>
      <c r="X15" s="930"/>
      <c r="Y15" s="928">
        <f t="shared" si="2"/>
        <v>0</v>
      </c>
      <c r="Z15" s="929"/>
      <c r="AA15" s="965">
        <f t="shared" si="1"/>
        <v>0</v>
      </c>
    </row>
    <row r="16" spans="1:41">
      <c r="A16" s="890" t="s">
        <v>110</v>
      </c>
      <c r="B16" s="891"/>
      <c r="C16" s="891"/>
      <c r="D16" s="892"/>
      <c r="E16" s="893"/>
      <c r="F16" s="893"/>
      <c r="G16" s="893"/>
      <c r="H16" s="893"/>
      <c r="I16" s="893"/>
      <c r="J16" s="893"/>
      <c r="K16" s="893"/>
      <c r="L16" s="910"/>
      <c r="M16" s="910"/>
      <c r="N16" s="910"/>
      <c r="O16" s="910"/>
      <c r="P16" s="910"/>
      <c r="Q16" s="910"/>
      <c r="R16" s="926"/>
      <c r="S16" s="926"/>
      <c r="T16" s="926"/>
      <c r="U16" s="927"/>
      <c r="V16" s="928">
        <f t="shared" si="0"/>
        <v>0</v>
      </c>
      <c r="W16" s="929"/>
      <c r="X16" s="930"/>
      <c r="Y16" s="928">
        <f t="shared" si="2"/>
        <v>0</v>
      </c>
      <c r="Z16" s="929"/>
      <c r="AA16" s="965">
        <f t="shared" si="1"/>
        <v>0</v>
      </c>
    </row>
    <row r="17" spans="1:30">
      <c r="A17" s="890" t="s">
        <v>110</v>
      </c>
      <c r="B17" s="891"/>
      <c r="C17" s="891"/>
      <c r="D17" s="892"/>
      <c r="E17" s="893"/>
      <c r="F17" s="893"/>
      <c r="G17" s="893"/>
      <c r="H17" s="893"/>
      <c r="I17" s="893"/>
      <c r="J17" s="893"/>
      <c r="K17" s="893"/>
      <c r="L17" s="910"/>
      <c r="M17" s="910"/>
      <c r="N17" s="910"/>
      <c r="O17" s="910"/>
      <c r="P17" s="910"/>
      <c r="Q17" s="910"/>
      <c r="R17" s="926"/>
      <c r="S17" s="926"/>
      <c r="T17" s="926"/>
      <c r="U17" s="927"/>
      <c r="V17" s="928">
        <f t="shared" si="0"/>
        <v>0</v>
      </c>
      <c r="W17" s="929"/>
      <c r="X17" s="930"/>
      <c r="Y17" s="928">
        <f t="shared" si="2"/>
        <v>0</v>
      </c>
      <c r="Z17" s="929"/>
      <c r="AA17" s="965">
        <f t="shared" si="1"/>
        <v>0</v>
      </c>
    </row>
    <row r="18" spans="1:30">
      <c r="A18" s="890" t="s">
        <v>110</v>
      </c>
      <c r="B18" s="891"/>
      <c r="C18" s="891"/>
      <c r="D18" s="892"/>
      <c r="E18" s="893"/>
      <c r="F18" s="893"/>
      <c r="G18" s="893"/>
      <c r="H18" s="893"/>
      <c r="I18" s="893"/>
      <c r="J18" s="893"/>
      <c r="K18" s="893"/>
      <c r="L18" s="910"/>
      <c r="M18" s="910"/>
      <c r="N18" s="910"/>
      <c r="O18" s="910"/>
      <c r="P18" s="910"/>
      <c r="Q18" s="910"/>
      <c r="R18" s="926"/>
      <c r="S18" s="926"/>
      <c r="T18" s="926"/>
      <c r="U18" s="927"/>
      <c r="V18" s="928">
        <f t="shared" si="0"/>
        <v>0</v>
      </c>
      <c r="W18" s="929"/>
      <c r="X18" s="930"/>
      <c r="Y18" s="928">
        <f t="shared" si="2"/>
        <v>0</v>
      </c>
      <c r="Z18" s="929"/>
      <c r="AA18" s="965">
        <f t="shared" si="1"/>
        <v>0</v>
      </c>
    </row>
    <row r="19" spans="1:30" ht="24" thickBot="1">
      <c r="A19" s="890" t="s">
        <v>110</v>
      </c>
      <c r="B19" s="891"/>
      <c r="C19" s="891"/>
      <c r="D19" s="892"/>
      <c r="E19" s="893"/>
      <c r="F19" s="893"/>
      <c r="G19" s="893"/>
      <c r="H19" s="893"/>
      <c r="I19" s="893"/>
      <c r="J19" s="893"/>
      <c r="K19" s="893"/>
      <c r="L19" s="910"/>
      <c r="M19" s="910"/>
      <c r="N19" s="910"/>
      <c r="O19" s="910"/>
      <c r="P19" s="910"/>
      <c r="Q19" s="910"/>
      <c r="R19" s="926"/>
      <c r="S19" s="926"/>
      <c r="T19" s="926"/>
      <c r="U19" s="927"/>
      <c r="V19" s="928">
        <f t="shared" si="0"/>
        <v>0</v>
      </c>
      <c r="W19" s="929"/>
      <c r="X19" s="930"/>
      <c r="Y19" s="928">
        <f t="shared" si="2"/>
        <v>0</v>
      </c>
      <c r="Z19" s="929"/>
      <c r="AA19" s="965">
        <f t="shared" si="1"/>
        <v>0</v>
      </c>
    </row>
    <row r="20" spans="1:30" ht="24" thickBot="1">
      <c r="A20" s="890" t="s">
        <v>110</v>
      </c>
      <c r="B20" s="891"/>
      <c r="C20" s="891"/>
      <c r="D20" s="892"/>
      <c r="E20" s="893"/>
      <c r="F20" s="893"/>
      <c r="G20" s="893"/>
      <c r="H20" s="893"/>
      <c r="I20" s="893"/>
      <c r="J20" s="893"/>
      <c r="K20" s="893"/>
      <c r="L20" s="910"/>
      <c r="M20" s="910"/>
      <c r="N20" s="910"/>
      <c r="O20" s="910"/>
      <c r="P20" s="910"/>
      <c r="Q20" s="910"/>
      <c r="R20" s="926"/>
      <c r="S20" s="926"/>
      <c r="T20" s="926"/>
      <c r="U20" s="927"/>
      <c r="V20" s="929">
        <f t="shared" si="0"/>
        <v>0</v>
      </c>
      <c r="W20" s="929"/>
      <c r="X20" s="930"/>
      <c r="Y20" s="929">
        <f t="shared" si="2"/>
        <v>0</v>
      </c>
      <c r="Z20" s="929"/>
      <c r="AA20" s="966">
        <f t="shared" si="1"/>
        <v>0</v>
      </c>
      <c r="AB20" s="414" t="s">
        <v>8</v>
      </c>
      <c r="AC20" s="967" t="s">
        <v>197</v>
      </c>
      <c r="AD20" s="415" t="s">
        <v>174</v>
      </c>
    </row>
    <row r="21" spans="1:30" ht="24" thickBot="1">
      <c r="A21" s="890" t="s">
        <v>110</v>
      </c>
      <c r="B21" s="891"/>
      <c r="C21" s="891"/>
      <c r="D21" s="892"/>
      <c r="E21" s="893"/>
      <c r="F21" s="893"/>
      <c r="G21" s="893"/>
      <c r="H21" s="893"/>
      <c r="I21" s="893"/>
      <c r="J21" s="893"/>
      <c r="K21" s="893"/>
      <c r="L21" s="910"/>
      <c r="M21" s="910"/>
      <c r="N21" s="910"/>
      <c r="O21" s="910"/>
      <c r="P21" s="910"/>
      <c r="Q21" s="910"/>
      <c r="R21" s="926"/>
      <c r="S21" s="926"/>
      <c r="T21" s="926"/>
      <c r="U21" s="927"/>
      <c r="V21" s="929">
        <f t="shared" si="0"/>
        <v>0</v>
      </c>
      <c r="W21" s="929"/>
      <c r="X21" s="930"/>
      <c r="Y21" s="929">
        <f t="shared" si="2"/>
        <v>0</v>
      </c>
      <c r="Z21" s="929"/>
      <c r="AA21" s="966">
        <f t="shared" si="1"/>
        <v>0</v>
      </c>
      <c r="AB21" s="414" t="s">
        <v>8</v>
      </c>
      <c r="AC21" s="967" t="s">
        <v>197</v>
      </c>
      <c r="AD21" s="415" t="s">
        <v>174</v>
      </c>
    </row>
    <row r="22" spans="1:30" ht="24" thickBot="1">
      <c r="A22" s="890" t="s">
        <v>110</v>
      </c>
      <c r="B22" s="891"/>
      <c r="C22" s="891"/>
      <c r="D22" s="892"/>
      <c r="E22" s="893"/>
      <c r="F22" s="893"/>
      <c r="G22" s="893"/>
      <c r="H22" s="893"/>
      <c r="I22" s="893"/>
      <c r="J22" s="893"/>
      <c r="K22" s="893"/>
      <c r="L22" s="910"/>
      <c r="M22" s="910"/>
      <c r="N22" s="910"/>
      <c r="O22" s="910"/>
      <c r="P22" s="910"/>
      <c r="Q22" s="910"/>
      <c r="R22" s="926"/>
      <c r="S22" s="926"/>
      <c r="T22" s="926"/>
      <c r="U22" s="927"/>
      <c r="V22" s="929">
        <f t="shared" si="0"/>
        <v>0</v>
      </c>
      <c r="W22" s="929"/>
      <c r="X22" s="930"/>
      <c r="Y22" s="929">
        <f t="shared" si="2"/>
        <v>0</v>
      </c>
      <c r="Z22" s="929"/>
      <c r="AA22" s="966">
        <f t="shared" si="1"/>
        <v>0</v>
      </c>
      <c r="AB22" s="414" t="s">
        <v>8</v>
      </c>
      <c r="AC22" s="967" t="s">
        <v>197</v>
      </c>
      <c r="AD22" s="415" t="s">
        <v>174</v>
      </c>
    </row>
    <row r="23" spans="1:30" ht="24" thickBot="1">
      <c r="A23" s="890" t="s">
        <v>110</v>
      </c>
      <c r="B23" s="891"/>
      <c r="C23" s="891"/>
      <c r="D23" s="892"/>
      <c r="E23" s="893"/>
      <c r="F23" s="893"/>
      <c r="G23" s="893"/>
      <c r="H23" s="893"/>
      <c r="I23" s="893"/>
      <c r="J23" s="893"/>
      <c r="K23" s="893"/>
      <c r="L23" s="910"/>
      <c r="M23" s="910"/>
      <c r="N23" s="910"/>
      <c r="O23" s="910"/>
      <c r="P23" s="910"/>
      <c r="Q23" s="910"/>
      <c r="R23" s="926"/>
      <c r="S23" s="926"/>
      <c r="T23" s="926"/>
      <c r="U23" s="927"/>
      <c r="V23" s="929">
        <f t="shared" si="0"/>
        <v>0</v>
      </c>
      <c r="W23" s="929"/>
      <c r="X23" s="930"/>
      <c r="Y23" s="929">
        <f t="shared" si="2"/>
        <v>0</v>
      </c>
      <c r="Z23" s="929"/>
      <c r="AA23" s="966">
        <f t="shared" si="1"/>
        <v>0</v>
      </c>
      <c r="AB23" s="414" t="s">
        <v>8</v>
      </c>
      <c r="AC23" s="967" t="s">
        <v>197</v>
      </c>
      <c r="AD23" s="415" t="s">
        <v>174</v>
      </c>
    </row>
    <row r="24" spans="1:30" ht="24" thickBot="1">
      <c r="A24" s="890" t="s">
        <v>110</v>
      </c>
      <c r="B24" s="891"/>
      <c r="C24" s="891"/>
      <c r="D24" s="892"/>
      <c r="E24" s="893"/>
      <c r="F24" s="893"/>
      <c r="G24" s="893"/>
      <c r="H24" s="893"/>
      <c r="I24" s="893"/>
      <c r="J24" s="893"/>
      <c r="K24" s="893"/>
      <c r="L24" s="910"/>
      <c r="M24" s="910"/>
      <c r="N24" s="910"/>
      <c r="O24" s="910"/>
      <c r="P24" s="910"/>
      <c r="Q24" s="910"/>
      <c r="R24" s="926"/>
      <c r="S24" s="926"/>
      <c r="T24" s="926"/>
      <c r="U24" s="927"/>
      <c r="V24" s="929">
        <f t="shared" si="0"/>
        <v>0</v>
      </c>
      <c r="W24" s="929"/>
      <c r="X24" s="930"/>
      <c r="Y24" s="929">
        <f t="shared" si="2"/>
        <v>0</v>
      </c>
      <c r="Z24" s="929"/>
      <c r="AA24" s="966">
        <f t="shared" si="1"/>
        <v>0</v>
      </c>
      <c r="AB24" s="414" t="s">
        <v>8</v>
      </c>
      <c r="AC24" s="967" t="s">
        <v>197</v>
      </c>
      <c r="AD24" s="415" t="s">
        <v>174</v>
      </c>
    </row>
    <row r="25" spans="1:30" ht="24" thickBot="1">
      <c r="A25" s="890" t="s">
        <v>110</v>
      </c>
      <c r="B25" s="891"/>
      <c r="C25" s="891"/>
      <c r="D25" s="892"/>
      <c r="E25" s="893"/>
      <c r="F25" s="893"/>
      <c r="G25" s="893"/>
      <c r="H25" s="893"/>
      <c r="I25" s="893"/>
      <c r="J25" s="893"/>
      <c r="K25" s="893"/>
      <c r="L25" s="910"/>
      <c r="M25" s="910"/>
      <c r="N25" s="910"/>
      <c r="O25" s="910"/>
      <c r="P25" s="910"/>
      <c r="Q25" s="910"/>
      <c r="R25" s="926"/>
      <c r="S25" s="926"/>
      <c r="T25" s="926"/>
      <c r="U25" s="927"/>
      <c r="V25" s="929">
        <f t="shared" si="0"/>
        <v>0</v>
      </c>
      <c r="W25" s="929"/>
      <c r="X25" s="930"/>
      <c r="Y25" s="929">
        <f t="shared" si="2"/>
        <v>0</v>
      </c>
      <c r="Z25" s="929"/>
      <c r="AA25" s="966">
        <f t="shared" si="1"/>
        <v>0</v>
      </c>
      <c r="AB25" s="414" t="s">
        <v>8</v>
      </c>
      <c r="AC25" s="967" t="s">
        <v>197</v>
      </c>
      <c r="AD25" s="415" t="s">
        <v>174</v>
      </c>
    </row>
    <row r="26" spans="1:30" ht="24" thickBot="1">
      <c r="A26" s="890" t="s">
        <v>110</v>
      </c>
      <c r="B26" s="891"/>
      <c r="C26" s="891"/>
      <c r="D26" s="892"/>
      <c r="E26" s="893"/>
      <c r="F26" s="893"/>
      <c r="G26" s="893"/>
      <c r="H26" s="893"/>
      <c r="I26" s="893"/>
      <c r="J26" s="893"/>
      <c r="K26" s="893"/>
      <c r="L26" s="910"/>
      <c r="M26" s="910"/>
      <c r="N26" s="910"/>
      <c r="O26" s="910"/>
      <c r="P26" s="910"/>
      <c r="Q26" s="910"/>
      <c r="R26" s="926"/>
      <c r="S26" s="926"/>
      <c r="T26" s="926"/>
      <c r="U26" s="927"/>
      <c r="V26" s="929">
        <f t="shared" si="0"/>
        <v>0</v>
      </c>
      <c r="W26" s="929"/>
      <c r="X26" s="930"/>
      <c r="Y26" s="929">
        <f t="shared" si="2"/>
        <v>0</v>
      </c>
      <c r="Z26" s="929"/>
      <c r="AA26" s="966">
        <f t="shared" si="1"/>
        <v>0</v>
      </c>
      <c r="AB26" s="414" t="s">
        <v>8</v>
      </c>
      <c r="AC26" s="967" t="s">
        <v>197</v>
      </c>
      <c r="AD26" s="415" t="s">
        <v>174</v>
      </c>
    </row>
    <row r="27" spans="1:30" ht="24" thickBot="1">
      <c r="A27" s="890" t="s">
        <v>110</v>
      </c>
      <c r="B27" s="891"/>
      <c r="C27" s="891"/>
      <c r="D27" s="894"/>
      <c r="E27" s="893"/>
      <c r="F27" s="893"/>
      <c r="G27" s="893"/>
      <c r="H27" s="893"/>
      <c r="I27" s="893"/>
      <c r="J27" s="893"/>
      <c r="K27" s="893"/>
      <c r="L27" s="910"/>
      <c r="M27" s="910"/>
      <c r="N27" s="910"/>
      <c r="O27" s="910"/>
      <c r="P27" s="910"/>
      <c r="Q27" s="910"/>
      <c r="R27" s="926"/>
      <c r="S27" s="926"/>
      <c r="T27" s="926"/>
      <c r="U27" s="927"/>
      <c r="V27" s="929">
        <f t="shared" si="0"/>
        <v>0</v>
      </c>
      <c r="W27" s="929"/>
      <c r="X27" s="930"/>
      <c r="Y27" s="929">
        <f t="shared" si="2"/>
        <v>0</v>
      </c>
      <c r="Z27" s="929"/>
      <c r="AA27" s="966">
        <f t="shared" si="1"/>
        <v>0</v>
      </c>
      <c r="AB27" s="414" t="s">
        <v>8</v>
      </c>
      <c r="AC27" s="967" t="s">
        <v>197</v>
      </c>
      <c r="AD27" s="415" t="s">
        <v>174</v>
      </c>
    </row>
    <row r="28" spans="1:30" ht="24" thickBot="1">
      <c r="A28" s="890" t="s">
        <v>110</v>
      </c>
      <c r="B28" s="891"/>
      <c r="C28" s="891"/>
      <c r="D28" s="894"/>
      <c r="E28" s="893"/>
      <c r="F28" s="893"/>
      <c r="G28" s="893"/>
      <c r="H28" s="893"/>
      <c r="I28" s="893"/>
      <c r="J28" s="893"/>
      <c r="K28" s="893"/>
      <c r="L28" s="910"/>
      <c r="M28" s="910"/>
      <c r="N28" s="910"/>
      <c r="O28" s="910"/>
      <c r="P28" s="910"/>
      <c r="Q28" s="910"/>
      <c r="R28" s="926"/>
      <c r="S28" s="926"/>
      <c r="T28" s="926"/>
      <c r="U28" s="927"/>
      <c r="V28" s="931">
        <f t="shared" si="0"/>
        <v>0</v>
      </c>
      <c r="W28" s="931"/>
      <c r="X28" s="930"/>
      <c r="Y28" s="931">
        <f t="shared" si="2"/>
        <v>0</v>
      </c>
      <c r="Z28" s="929"/>
      <c r="AA28" s="966">
        <f t="shared" si="1"/>
        <v>0</v>
      </c>
      <c r="AB28" s="414" t="s">
        <v>8</v>
      </c>
      <c r="AC28" s="967" t="s">
        <v>197</v>
      </c>
      <c r="AD28" s="415" t="s">
        <v>174</v>
      </c>
    </row>
    <row r="29" spans="1:30" s="870" customFormat="1" ht="24" thickBot="1">
      <c r="A29" s="326" t="s">
        <v>175</v>
      </c>
      <c r="B29" s="895"/>
      <c r="C29" s="895"/>
      <c r="D29" s="896"/>
      <c r="E29" s="897">
        <f>SUM(E5:E28)</f>
        <v>0</v>
      </c>
      <c r="F29" s="897">
        <f t="shared" ref="F29:R29" si="3">SUM(F5:F28)</f>
        <v>0</v>
      </c>
      <c r="G29" s="897">
        <f t="shared" si="3"/>
        <v>0</v>
      </c>
      <c r="H29" s="897">
        <f t="shared" si="3"/>
        <v>0</v>
      </c>
      <c r="I29" s="897">
        <f t="shared" si="3"/>
        <v>0</v>
      </c>
      <c r="J29" s="897">
        <f t="shared" si="3"/>
        <v>0</v>
      </c>
      <c r="K29" s="897">
        <f t="shared" si="3"/>
        <v>0</v>
      </c>
      <c r="L29" s="897">
        <f t="shared" si="3"/>
        <v>0</v>
      </c>
      <c r="M29" s="897">
        <f t="shared" si="3"/>
        <v>0</v>
      </c>
      <c r="N29" s="897">
        <f t="shared" si="3"/>
        <v>756</v>
      </c>
      <c r="O29" s="897">
        <f t="shared" si="3"/>
        <v>0</v>
      </c>
      <c r="P29" s="897">
        <f t="shared" si="3"/>
        <v>0</v>
      </c>
      <c r="Q29" s="897">
        <f t="shared" si="3"/>
        <v>0</v>
      </c>
      <c r="R29" s="897">
        <f t="shared" si="3"/>
        <v>0</v>
      </c>
      <c r="S29" s="897">
        <f t="shared" ref="S29:T29" si="4">SUM(S5:S28)</f>
        <v>768</v>
      </c>
      <c r="T29" s="897">
        <f t="shared" si="4"/>
        <v>0</v>
      </c>
      <c r="U29" s="932"/>
      <c r="V29" s="933">
        <f t="shared" ref="V29:AA29" si="5">SUM(V5:V28)</f>
        <v>1524</v>
      </c>
      <c r="W29" s="934">
        <f t="shared" si="5"/>
        <v>25</v>
      </c>
      <c r="X29" s="934">
        <f t="shared" si="5"/>
        <v>0</v>
      </c>
      <c r="Y29" s="935">
        <f t="shared" si="5"/>
        <v>1549</v>
      </c>
      <c r="Z29" s="951">
        <f t="shared" si="5"/>
        <v>44</v>
      </c>
      <c r="AA29" s="897">
        <f t="shared" si="5"/>
        <v>1593</v>
      </c>
      <c r="AB29" s="399">
        <f>'BIG CHAIR'!CL36</f>
        <v>0</v>
      </c>
      <c r="AC29" s="400">
        <f>'Jordan Chair'!AH38</f>
        <v>627</v>
      </c>
      <c r="AD29" s="401">
        <f>Y29+AB29+AC29</f>
        <v>2176</v>
      </c>
    </row>
    <row r="30" spans="1:30" s="870" customFormat="1" ht="24" thickBot="1">
      <c r="A30" s="306"/>
      <c r="B30" s="898"/>
      <c r="C30" s="898"/>
      <c r="D30" s="899"/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0"/>
      <c r="S30" s="900"/>
      <c r="T30" s="900"/>
      <c r="U30" s="900"/>
      <c r="V30" s="900"/>
      <c r="W30" s="900"/>
      <c r="X30" s="900"/>
      <c r="Y30" s="900"/>
      <c r="Z30" s="900"/>
      <c r="AA30" s="900"/>
      <c r="AB30" s="403"/>
      <c r="AC30" s="403"/>
      <c r="AD30" s="403"/>
    </row>
    <row r="31" spans="1:30" s="870" customFormat="1" ht="24" thickBot="1">
      <c r="A31" s="286" t="s">
        <v>117</v>
      </c>
      <c r="B31" s="877" t="s">
        <v>68</v>
      </c>
      <c r="C31" s="877" t="s">
        <v>69</v>
      </c>
      <c r="D31" s="878" t="s">
        <v>70</v>
      </c>
      <c r="E31" s="879" t="s">
        <v>71</v>
      </c>
      <c r="F31" s="880" t="s">
        <v>407</v>
      </c>
      <c r="G31" s="880" t="s">
        <v>250</v>
      </c>
      <c r="H31" s="879" t="s">
        <v>193</v>
      </c>
      <c r="I31" s="879" t="s">
        <v>170</v>
      </c>
      <c r="J31" s="879" t="s">
        <v>92</v>
      </c>
      <c r="K31" s="879" t="s">
        <v>194</v>
      </c>
      <c r="L31" s="880" t="s">
        <v>195</v>
      </c>
      <c r="M31" s="880" t="s">
        <v>468</v>
      </c>
      <c r="N31" s="880" t="s">
        <v>94</v>
      </c>
      <c r="O31" s="880" t="s">
        <v>86</v>
      </c>
      <c r="P31" s="880" t="s">
        <v>420</v>
      </c>
      <c r="Q31" s="880" t="s">
        <v>95</v>
      </c>
      <c r="R31" s="49" t="s">
        <v>77</v>
      </c>
      <c r="S31" s="914" t="s">
        <v>53</v>
      </c>
      <c r="T31" s="914" t="s">
        <v>149</v>
      </c>
      <c r="U31" s="915"/>
      <c r="V31" s="916" t="s">
        <v>104</v>
      </c>
      <c r="W31" s="917" t="s">
        <v>105</v>
      </c>
      <c r="X31" s="917"/>
      <c r="Y31" s="918" t="s">
        <v>106</v>
      </c>
      <c r="Z31" s="917" t="s">
        <v>107</v>
      </c>
      <c r="AA31" s="960" t="s">
        <v>108</v>
      </c>
      <c r="AB31" s="403"/>
      <c r="AC31" s="403"/>
      <c r="AD31" s="403"/>
    </row>
    <row r="32" spans="1:30">
      <c r="A32" s="726" t="s">
        <v>120</v>
      </c>
      <c r="B32" s="891"/>
      <c r="C32" s="891"/>
      <c r="D32" s="902"/>
      <c r="E32" s="903"/>
      <c r="F32" s="903"/>
      <c r="G32" s="903"/>
      <c r="H32" s="903"/>
      <c r="I32" s="903"/>
      <c r="J32" s="903"/>
      <c r="K32" s="903"/>
      <c r="L32" s="911"/>
      <c r="M32" s="911"/>
      <c r="N32" s="911"/>
      <c r="O32" s="911"/>
      <c r="P32" s="911"/>
      <c r="Q32" s="911"/>
      <c r="R32" s="937"/>
      <c r="S32" s="937"/>
      <c r="T32" s="937"/>
      <c r="U32" s="938"/>
      <c r="V32" s="939">
        <f t="shared" ref="V32:V57" si="6">SUM(E32:T32)</f>
        <v>0</v>
      </c>
      <c r="W32" s="940"/>
      <c r="X32" s="903"/>
      <c r="Y32" s="911">
        <f t="shared" ref="Y32:Y57" si="7">V32+W32</f>
        <v>0</v>
      </c>
      <c r="Z32" s="911"/>
      <c r="AA32" s="968">
        <f t="shared" ref="AA32:AA57" si="8">Y32+Z32</f>
        <v>0</v>
      </c>
      <c r="AB32" s="394"/>
      <c r="AC32" s="394"/>
      <c r="AD32" s="394"/>
    </row>
    <row r="33" spans="1:30">
      <c r="A33" s="726" t="s">
        <v>120</v>
      </c>
      <c r="B33" s="891"/>
      <c r="C33" s="891"/>
      <c r="D33" s="902"/>
      <c r="E33" s="904"/>
      <c r="F33" s="904"/>
      <c r="G33" s="904"/>
      <c r="H33" s="904"/>
      <c r="I33" s="904"/>
      <c r="J33" s="904"/>
      <c r="K33" s="904"/>
      <c r="L33" s="912"/>
      <c r="M33" s="912"/>
      <c r="N33" s="912"/>
      <c r="O33" s="912"/>
      <c r="P33" s="912"/>
      <c r="Q33" s="912"/>
      <c r="R33" s="941"/>
      <c r="S33" s="941"/>
      <c r="T33" s="941"/>
      <c r="U33" s="938"/>
      <c r="V33" s="938">
        <f t="shared" si="6"/>
        <v>0</v>
      </c>
      <c r="W33" s="942"/>
      <c r="X33" s="904"/>
      <c r="Y33" s="912">
        <f t="shared" si="7"/>
        <v>0</v>
      </c>
      <c r="Z33" s="912"/>
      <c r="AA33" s="969">
        <f t="shared" si="8"/>
        <v>0</v>
      </c>
      <c r="AB33" s="394"/>
      <c r="AC33" s="394"/>
      <c r="AD33" s="394"/>
    </row>
    <row r="34" spans="1:30">
      <c r="A34" s="726" t="s">
        <v>120</v>
      </c>
      <c r="B34" s="891"/>
      <c r="C34" s="891"/>
      <c r="D34" s="902"/>
      <c r="E34" s="904"/>
      <c r="F34" s="904"/>
      <c r="G34" s="904"/>
      <c r="H34" s="904"/>
      <c r="I34" s="904"/>
      <c r="J34" s="904"/>
      <c r="K34" s="904"/>
      <c r="L34" s="912"/>
      <c r="M34" s="912"/>
      <c r="N34" s="912"/>
      <c r="O34" s="912"/>
      <c r="P34" s="912"/>
      <c r="Q34" s="912"/>
      <c r="R34" s="941"/>
      <c r="S34" s="941"/>
      <c r="T34" s="941"/>
      <c r="U34" s="938"/>
      <c r="V34" s="938">
        <f t="shared" si="6"/>
        <v>0</v>
      </c>
      <c r="W34" s="942"/>
      <c r="X34" s="904"/>
      <c r="Y34" s="912">
        <f t="shared" si="7"/>
        <v>0</v>
      </c>
      <c r="Z34" s="912"/>
      <c r="AA34" s="969">
        <f t="shared" si="8"/>
        <v>0</v>
      </c>
      <c r="AB34" s="394"/>
      <c r="AC34" s="394"/>
      <c r="AD34" s="394"/>
    </row>
    <row r="35" spans="1:30">
      <c r="A35" s="726" t="s">
        <v>120</v>
      </c>
      <c r="B35" s="891"/>
      <c r="C35" s="891"/>
      <c r="D35" s="902"/>
      <c r="E35" s="904"/>
      <c r="F35" s="904"/>
      <c r="G35" s="904"/>
      <c r="H35" s="904"/>
      <c r="I35" s="904"/>
      <c r="J35" s="904"/>
      <c r="K35" s="904"/>
      <c r="L35" s="912"/>
      <c r="M35" s="912"/>
      <c r="N35" s="912"/>
      <c r="O35" s="912"/>
      <c r="P35" s="912"/>
      <c r="Q35" s="912"/>
      <c r="R35" s="941"/>
      <c r="S35" s="941"/>
      <c r="T35" s="941"/>
      <c r="U35" s="938"/>
      <c r="V35" s="938">
        <f t="shared" si="6"/>
        <v>0</v>
      </c>
      <c r="W35" s="942"/>
      <c r="X35" s="904"/>
      <c r="Y35" s="912">
        <f t="shared" si="7"/>
        <v>0</v>
      </c>
      <c r="Z35" s="912"/>
      <c r="AA35" s="969">
        <f t="shared" si="8"/>
        <v>0</v>
      </c>
      <c r="AB35" s="394"/>
      <c r="AC35" s="394"/>
      <c r="AD35" s="394"/>
    </row>
    <row r="36" spans="1:30">
      <c r="A36" s="726" t="s">
        <v>120</v>
      </c>
      <c r="B36" s="891"/>
      <c r="C36" s="891"/>
      <c r="D36" s="902"/>
      <c r="E36" s="904"/>
      <c r="F36" s="904"/>
      <c r="G36" s="904"/>
      <c r="H36" s="904"/>
      <c r="I36" s="904"/>
      <c r="J36" s="904"/>
      <c r="K36" s="904"/>
      <c r="L36" s="912"/>
      <c r="M36" s="912"/>
      <c r="N36" s="912"/>
      <c r="O36" s="912"/>
      <c r="P36" s="912"/>
      <c r="Q36" s="912"/>
      <c r="R36" s="941"/>
      <c r="S36" s="941"/>
      <c r="T36" s="941"/>
      <c r="U36" s="938"/>
      <c r="V36" s="938">
        <f t="shared" si="6"/>
        <v>0</v>
      </c>
      <c r="W36" s="942"/>
      <c r="X36" s="904"/>
      <c r="Y36" s="912">
        <f t="shared" si="7"/>
        <v>0</v>
      </c>
      <c r="Z36" s="912"/>
      <c r="AA36" s="969">
        <f t="shared" si="8"/>
        <v>0</v>
      </c>
      <c r="AB36" s="394"/>
      <c r="AC36" s="394"/>
      <c r="AD36" s="394"/>
    </row>
    <row r="37" spans="1:30">
      <c r="A37" s="726" t="s">
        <v>120</v>
      </c>
      <c r="B37" s="891"/>
      <c r="C37" s="891"/>
      <c r="D37" s="902"/>
      <c r="E37" s="904"/>
      <c r="F37" s="904"/>
      <c r="G37" s="904"/>
      <c r="H37" s="904"/>
      <c r="I37" s="904"/>
      <c r="J37" s="904"/>
      <c r="K37" s="904"/>
      <c r="L37" s="912"/>
      <c r="M37" s="912"/>
      <c r="N37" s="912"/>
      <c r="O37" s="912"/>
      <c r="P37" s="912"/>
      <c r="Q37" s="912"/>
      <c r="R37" s="941"/>
      <c r="S37" s="941"/>
      <c r="T37" s="941"/>
      <c r="U37" s="938"/>
      <c r="V37" s="938">
        <f t="shared" si="6"/>
        <v>0</v>
      </c>
      <c r="W37" s="942"/>
      <c r="X37" s="904"/>
      <c r="Y37" s="912">
        <f t="shared" si="7"/>
        <v>0</v>
      </c>
      <c r="Z37" s="912"/>
      <c r="AA37" s="969">
        <f t="shared" si="8"/>
        <v>0</v>
      </c>
      <c r="AB37" s="394"/>
      <c r="AC37" s="394"/>
      <c r="AD37" s="394"/>
    </row>
    <row r="38" spans="1:30">
      <c r="A38" s="726" t="s">
        <v>120</v>
      </c>
      <c r="B38" s="891"/>
      <c r="C38" s="891"/>
      <c r="D38" s="902"/>
      <c r="E38" s="904"/>
      <c r="F38" s="904"/>
      <c r="G38" s="904"/>
      <c r="H38" s="904"/>
      <c r="I38" s="904"/>
      <c r="J38" s="904"/>
      <c r="K38" s="904"/>
      <c r="L38" s="912"/>
      <c r="M38" s="912"/>
      <c r="N38" s="912"/>
      <c r="O38" s="912"/>
      <c r="P38" s="912"/>
      <c r="Q38" s="912"/>
      <c r="R38" s="941"/>
      <c r="S38" s="941"/>
      <c r="T38" s="941"/>
      <c r="U38" s="938"/>
      <c r="V38" s="938">
        <f t="shared" si="6"/>
        <v>0</v>
      </c>
      <c r="W38" s="942"/>
      <c r="X38" s="904"/>
      <c r="Y38" s="912">
        <f t="shared" si="7"/>
        <v>0</v>
      </c>
      <c r="Z38" s="912"/>
      <c r="AA38" s="969">
        <f t="shared" si="8"/>
        <v>0</v>
      </c>
      <c r="AB38" s="394"/>
      <c r="AC38" s="394"/>
      <c r="AD38" s="394"/>
    </row>
    <row r="39" spans="1:30">
      <c r="A39" s="726" t="s">
        <v>120</v>
      </c>
      <c r="B39" s="891"/>
      <c r="C39" s="891"/>
      <c r="D39" s="902"/>
      <c r="E39" s="904"/>
      <c r="F39" s="904"/>
      <c r="G39" s="904"/>
      <c r="H39" s="904"/>
      <c r="I39" s="904"/>
      <c r="J39" s="904"/>
      <c r="K39" s="904"/>
      <c r="L39" s="912"/>
      <c r="M39" s="912"/>
      <c r="N39" s="912"/>
      <c r="O39" s="912"/>
      <c r="P39" s="912"/>
      <c r="Q39" s="912"/>
      <c r="R39" s="941"/>
      <c r="S39" s="941"/>
      <c r="T39" s="941"/>
      <c r="U39" s="938"/>
      <c r="V39" s="938">
        <f t="shared" si="6"/>
        <v>0</v>
      </c>
      <c r="W39" s="942"/>
      <c r="X39" s="904"/>
      <c r="Y39" s="912">
        <f t="shared" si="7"/>
        <v>0</v>
      </c>
      <c r="Z39" s="912"/>
      <c r="AA39" s="969">
        <f t="shared" si="8"/>
        <v>0</v>
      </c>
      <c r="AB39" s="394"/>
      <c r="AC39" s="394"/>
      <c r="AD39" s="394"/>
    </row>
    <row r="40" spans="1:30">
      <c r="A40" s="726" t="s">
        <v>120</v>
      </c>
      <c r="B40" s="891"/>
      <c r="C40" s="891"/>
      <c r="D40" s="902"/>
      <c r="E40" s="904"/>
      <c r="F40" s="904"/>
      <c r="G40" s="904"/>
      <c r="H40" s="904"/>
      <c r="I40" s="904"/>
      <c r="J40" s="904"/>
      <c r="K40" s="904"/>
      <c r="L40" s="912"/>
      <c r="M40" s="912"/>
      <c r="N40" s="912"/>
      <c r="O40" s="912"/>
      <c r="P40" s="912"/>
      <c r="Q40" s="912"/>
      <c r="R40" s="941"/>
      <c r="S40" s="941"/>
      <c r="T40" s="941"/>
      <c r="U40" s="938"/>
      <c r="V40" s="938">
        <f t="shared" si="6"/>
        <v>0</v>
      </c>
      <c r="W40" s="942"/>
      <c r="X40" s="904"/>
      <c r="Y40" s="912">
        <f t="shared" si="7"/>
        <v>0</v>
      </c>
      <c r="Z40" s="912"/>
      <c r="AA40" s="969">
        <f t="shared" si="8"/>
        <v>0</v>
      </c>
      <c r="AB40" s="394"/>
      <c r="AC40" s="394"/>
      <c r="AD40" s="394"/>
    </row>
    <row r="41" spans="1:30">
      <c r="A41" s="726" t="s">
        <v>120</v>
      </c>
      <c r="B41" s="891"/>
      <c r="C41" s="891"/>
      <c r="D41" s="902"/>
      <c r="E41" s="904"/>
      <c r="F41" s="904"/>
      <c r="G41" s="904"/>
      <c r="H41" s="904"/>
      <c r="I41" s="904"/>
      <c r="J41" s="904"/>
      <c r="K41" s="904"/>
      <c r="L41" s="912"/>
      <c r="M41" s="912"/>
      <c r="N41" s="912"/>
      <c r="O41" s="912"/>
      <c r="P41" s="912"/>
      <c r="Q41" s="912"/>
      <c r="R41" s="941"/>
      <c r="S41" s="941"/>
      <c r="T41" s="941"/>
      <c r="U41" s="938"/>
      <c r="V41" s="938">
        <f t="shared" si="6"/>
        <v>0</v>
      </c>
      <c r="W41" s="942"/>
      <c r="X41" s="904"/>
      <c r="Y41" s="912">
        <f t="shared" si="7"/>
        <v>0</v>
      </c>
      <c r="Z41" s="912"/>
      <c r="AA41" s="969">
        <f t="shared" si="8"/>
        <v>0</v>
      </c>
      <c r="AB41" s="394"/>
      <c r="AC41" s="394"/>
      <c r="AD41" s="394"/>
    </row>
    <row r="42" spans="1:30">
      <c r="A42" s="726" t="s">
        <v>120</v>
      </c>
      <c r="B42" s="891"/>
      <c r="C42" s="891"/>
      <c r="D42" s="902"/>
      <c r="E42" s="904"/>
      <c r="F42" s="904"/>
      <c r="G42" s="904"/>
      <c r="H42" s="904"/>
      <c r="I42" s="904"/>
      <c r="J42" s="904"/>
      <c r="K42" s="904"/>
      <c r="L42" s="912"/>
      <c r="M42" s="912"/>
      <c r="N42" s="912"/>
      <c r="O42" s="912"/>
      <c r="P42" s="912"/>
      <c r="Q42" s="912"/>
      <c r="R42" s="941"/>
      <c r="S42" s="941"/>
      <c r="T42" s="941"/>
      <c r="U42" s="938"/>
      <c r="V42" s="938">
        <f t="shared" si="6"/>
        <v>0</v>
      </c>
      <c r="W42" s="942"/>
      <c r="X42" s="904"/>
      <c r="Y42" s="912">
        <f t="shared" si="7"/>
        <v>0</v>
      </c>
      <c r="Z42" s="912"/>
      <c r="AA42" s="969">
        <f t="shared" si="8"/>
        <v>0</v>
      </c>
      <c r="AB42" s="394"/>
      <c r="AC42" s="394"/>
      <c r="AD42" s="394"/>
    </row>
    <row r="43" spans="1:30">
      <c r="A43" s="726" t="s">
        <v>120</v>
      </c>
      <c r="B43" s="891"/>
      <c r="C43" s="891"/>
      <c r="D43" s="902"/>
      <c r="E43" s="904"/>
      <c r="F43" s="904"/>
      <c r="G43" s="904"/>
      <c r="H43" s="904"/>
      <c r="I43" s="904"/>
      <c r="J43" s="904"/>
      <c r="K43" s="904"/>
      <c r="L43" s="912"/>
      <c r="M43" s="912"/>
      <c r="N43" s="912"/>
      <c r="O43" s="912"/>
      <c r="P43" s="912"/>
      <c r="Q43" s="912"/>
      <c r="R43" s="941"/>
      <c r="S43" s="941"/>
      <c r="T43" s="941"/>
      <c r="U43" s="938"/>
      <c r="V43" s="938">
        <f t="shared" si="6"/>
        <v>0</v>
      </c>
      <c r="W43" s="942"/>
      <c r="X43" s="904"/>
      <c r="Y43" s="912">
        <f t="shared" si="7"/>
        <v>0</v>
      </c>
      <c r="Z43" s="912"/>
      <c r="AA43" s="969">
        <f t="shared" si="8"/>
        <v>0</v>
      </c>
      <c r="AB43" s="394"/>
      <c r="AC43" s="394"/>
      <c r="AD43" s="394"/>
    </row>
    <row r="44" spans="1:30">
      <c r="A44" s="726" t="s">
        <v>120</v>
      </c>
      <c r="B44" s="891"/>
      <c r="C44" s="891"/>
      <c r="D44" s="902"/>
      <c r="E44" s="904"/>
      <c r="F44" s="904"/>
      <c r="G44" s="904"/>
      <c r="H44" s="904"/>
      <c r="I44" s="904"/>
      <c r="J44" s="904"/>
      <c r="K44" s="904"/>
      <c r="L44" s="912"/>
      <c r="M44" s="912"/>
      <c r="N44" s="912"/>
      <c r="O44" s="912"/>
      <c r="P44" s="912"/>
      <c r="Q44" s="912"/>
      <c r="R44" s="941"/>
      <c r="S44" s="941"/>
      <c r="T44" s="941"/>
      <c r="U44" s="938"/>
      <c r="V44" s="938">
        <f t="shared" si="6"/>
        <v>0</v>
      </c>
      <c r="W44" s="942"/>
      <c r="X44" s="904"/>
      <c r="Y44" s="912">
        <f t="shared" si="7"/>
        <v>0</v>
      </c>
      <c r="Z44" s="912"/>
      <c r="AA44" s="969">
        <f t="shared" si="8"/>
        <v>0</v>
      </c>
      <c r="AB44" s="394"/>
      <c r="AC44" s="394"/>
      <c r="AD44" s="394"/>
    </row>
    <row r="45" spans="1:30">
      <c r="A45" s="726" t="s">
        <v>120</v>
      </c>
      <c r="B45" s="891"/>
      <c r="C45" s="891"/>
      <c r="D45" s="902"/>
      <c r="E45" s="904"/>
      <c r="F45" s="904"/>
      <c r="G45" s="904"/>
      <c r="H45" s="904"/>
      <c r="I45" s="904"/>
      <c r="J45" s="904"/>
      <c r="K45" s="904"/>
      <c r="L45" s="912"/>
      <c r="M45" s="912"/>
      <c r="N45" s="912"/>
      <c r="O45" s="912"/>
      <c r="P45" s="912"/>
      <c r="Q45" s="912"/>
      <c r="R45" s="941"/>
      <c r="S45" s="941"/>
      <c r="T45" s="941"/>
      <c r="U45" s="938"/>
      <c r="V45" s="938">
        <f t="shared" si="6"/>
        <v>0</v>
      </c>
      <c r="W45" s="942"/>
      <c r="X45" s="904"/>
      <c r="Y45" s="912">
        <f t="shared" si="7"/>
        <v>0</v>
      </c>
      <c r="Z45" s="912"/>
      <c r="AA45" s="969">
        <f t="shared" si="8"/>
        <v>0</v>
      </c>
      <c r="AB45" s="394"/>
      <c r="AC45" s="394"/>
      <c r="AD45" s="394"/>
    </row>
    <row r="46" spans="1:30">
      <c r="A46" s="726" t="s">
        <v>120</v>
      </c>
      <c r="B46" s="891"/>
      <c r="C46" s="891"/>
      <c r="D46" s="902"/>
      <c r="E46" s="904"/>
      <c r="F46" s="904"/>
      <c r="G46" s="904"/>
      <c r="H46" s="904"/>
      <c r="I46" s="904"/>
      <c r="J46" s="904"/>
      <c r="K46" s="904"/>
      <c r="L46" s="912"/>
      <c r="M46" s="912"/>
      <c r="N46" s="912"/>
      <c r="O46" s="912"/>
      <c r="P46" s="912"/>
      <c r="Q46" s="912"/>
      <c r="R46" s="941"/>
      <c r="S46" s="941"/>
      <c r="T46" s="941"/>
      <c r="U46" s="938"/>
      <c r="V46" s="938">
        <f t="shared" si="6"/>
        <v>0</v>
      </c>
      <c r="W46" s="942"/>
      <c r="X46" s="904"/>
      <c r="Y46" s="912">
        <f t="shared" si="7"/>
        <v>0</v>
      </c>
      <c r="Z46" s="912"/>
      <c r="AA46" s="969">
        <f t="shared" si="8"/>
        <v>0</v>
      </c>
      <c r="AB46" s="394"/>
      <c r="AC46" s="394"/>
      <c r="AD46" s="394"/>
    </row>
    <row r="47" spans="1:30">
      <c r="A47" s="726" t="s">
        <v>120</v>
      </c>
      <c r="B47" s="891"/>
      <c r="C47" s="891"/>
      <c r="D47" s="902"/>
      <c r="E47" s="904"/>
      <c r="F47" s="904"/>
      <c r="G47" s="904"/>
      <c r="H47" s="904"/>
      <c r="I47" s="904"/>
      <c r="J47" s="904"/>
      <c r="K47" s="904"/>
      <c r="L47" s="912"/>
      <c r="M47" s="912"/>
      <c r="N47" s="912"/>
      <c r="O47" s="912"/>
      <c r="P47" s="912"/>
      <c r="Q47" s="912"/>
      <c r="R47" s="941"/>
      <c r="S47" s="941"/>
      <c r="T47" s="941"/>
      <c r="U47" s="938"/>
      <c r="V47" s="938">
        <f t="shared" si="6"/>
        <v>0</v>
      </c>
      <c r="W47" s="942"/>
      <c r="X47" s="904"/>
      <c r="Y47" s="912">
        <f t="shared" si="7"/>
        <v>0</v>
      </c>
      <c r="Z47" s="912"/>
      <c r="AA47" s="969">
        <f t="shared" si="8"/>
        <v>0</v>
      </c>
      <c r="AB47" s="394"/>
      <c r="AC47" s="394"/>
      <c r="AD47" s="394"/>
    </row>
    <row r="48" spans="1:30">
      <c r="A48" s="726" t="s">
        <v>120</v>
      </c>
      <c r="B48" s="891"/>
      <c r="C48" s="891"/>
      <c r="D48" s="902"/>
      <c r="E48" s="904"/>
      <c r="F48" s="904"/>
      <c r="G48" s="904"/>
      <c r="H48" s="904"/>
      <c r="I48" s="904"/>
      <c r="J48" s="904"/>
      <c r="K48" s="904"/>
      <c r="L48" s="912"/>
      <c r="M48" s="912"/>
      <c r="N48" s="912"/>
      <c r="O48" s="912"/>
      <c r="P48" s="912"/>
      <c r="Q48" s="912"/>
      <c r="R48" s="941"/>
      <c r="S48" s="941"/>
      <c r="T48" s="941"/>
      <c r="U48" s="938"/>
      <c r="V48" s="938">
        <f t="shared" si="6"/>
        <v>0</v>
      </c>
      <c r="W48" s="942"/>
      <c r="X48" s="904"/>
      <c r="Y48" s="912">
        <f t="shared" si="7"/>
        <v>0</v>
      </c>
      <c r="Z48" s="912"/>
      <c r="AA48" s="969">
        <f t="shared" si="8"/>
        <v>0</v>
      </c>
      <c r="AB48" s="394"/>
      <c r="AC48" s="394"/>
      <c r="AD48" s="394"/>
    </row>
    <row r="49" spans="1:30">
      <c r="A49" s="726" t="s">
        <v>120</v>
      </c>
      <c r="B49" s="891"/>
      <c r="C49" s="891"/>
      <c r="D49" s="905"/>
      <c r="E49" s="904"/>
      <c r="F49" s="904"/>
      <c r="G49" s="904"/>
      <c r="H49" s="904"/>
      <c r="I49" s="904"/>
      <c r="J49" s="904"/>
      <c r="K49" s="904"/>
      <c r="L49" s="912"/>
      <c r="M49" s="912"/>
      <c r="N49" s="912"/>
      <c r="O49" s="912"/>
      <c r="P49" s="912"/>
      <c r="Q49" s="912"/>
      <c r="R49" s="941"/>
      <c r="S49" s="941"/>
      <c r="T49" s="941"/>
      <c r="U49" s="938"/>
      <c r="V49" s="938">
        <f t="shared" si="6"/>
        <v>0</v>
      </c>
      <c r="W49" s="942"/>
      <c r="X49" s="904"/>
      <c r="Y49" s="912">
        <f t="shared" si="7"/>
        <v>0</v>
      </c>
      <c r="Z49" s="912"/>
      <c r="AA49" s="969">
        <f t="shared" si="8"/>
        <v>0</v>
      </c>
      <c r="AB49" s="394"/>
      <c r="AC49" s="394"/>
      <c r="AD49" s="394"/>
    </row>
    <row r="50" spans="1:30">
      <c r="A50" s="726" t="s">
        <v>120</v>
      </c>
      <c r="B50" s="891"/>
      <c r="C50" s="891"/>
      <c r="D50" s="902"/>
      <c r="E50" s="904"/>
      <c r="F50" s="904"/>
      <c r="G50" s="904"/>
      <c r="H50" s="904"/>
      <c r="I50" s="904"/>
      <c r="J50" s="904"/>
      <c r="K50" s="904"/>
      <c r="L50" s="912"/>
      <c r="M50" s="912"/>
      <c r="N50" s="912"/>
      <c r="O50" s="912"/>
      <c r="P50" s="912"/>
      <c r="Q50" s="912"/>
      <c r="R50" s="941"/>
      <c r="S50" s="941"/>
      <c r="T50" s="941"/>
      <c r="U50" s="938"/>
      <c r="V50" s="938">
        <f t="shared" si="6"/>
        <v>0</v>
      </c>
      <c r="W50" s="942"/>
      <c r="X50" s="904"/>
      <c r="Y50" s="912">
        <f t="shared" si="7"/>
        <v>0</v>
      </c>
      <c r="Z50" s="912"/>
      <c r="AA50" s="969">
        <f t="shared" si="8"/>
        <v>0</v>
      </c>
      <c r="AB50" s="394"/>
      <c r="AC50" s="394"/>
      <c r="AD50" s="394"/>
    </row>
    <row r="51" spans="1:30">
      <c r="A51" s="726" t="s">
        <v>120</v>
      </c>
      <c r="B51" s="891"/>
      <c r="C51" s="891"/>
      <c r="D51" s="902"/>
      <c r="E51" s="904"/>
      <c r="F51" s="904"/>
      <c r="G51" s="904"/>
      <c r="H51" s="904"/>
      <c r="I51" s="904"/>
      <c r="J51" s="904"/>
      <c r="K51" s="904"/>
      <c r="L51" s="912"/>
      <c r="M51" s="912"/>
      <c r="N51" s="912"/>
      <c r="O51" s="912"/>
      <c r="P51" s="912"/>
      <c r="Q51" s="912"/>
      <c r="R51" s="941"/>
      <c r="S51" s="941"/>
      <c r="T51" s="941"/>
      <c r="U51" s="938"/>
      <c r="V51" s="938">
        <f t="shared" si="6"/>
        <v>0</v>
      </c>
      <c r="W51" s="942"/>
      <c r="X51" s="904"/>
      <c r="Y51" s="912">
        <f t="shared" si="7"/>
        <v>0</v>
      </c>
      <c r="Z51" s="912"/>
      <c r="AA51" s="969">
        <f t="shared" si="8"/>
        <v>0</v>
      </c>
      <c r="AB51" s="394"/>
      <c r="AC51" s="394"/>
      <c r="AD51" s="394"/>
    </row>
    <row r="52" spans="1:30">
      <c r="A52" s="726" t="s">
        <v>120</v>
      </c>
      <c r="B52" s="891"/>
      <c r="C52" s="891"/>
      <c r="D52" s="902"/>
      <c r="E52" s="904"/>
      <c r="F52" s="904"/>
      <c r="G52" s="904"/>
      <c r="H52" s="904"/>
      <c r="I52" s="904"/>
      <c r="J52" s="904"/>
      <c r="K52" s="904"/>
      <c r="L52" s="912"/>
      <c r="M52" s="912"/>
      <c r="N52" s="912"/>
      <c r="O52" s="912"/>
      <c r="P52" s="912"/>
      <c r="Q52" s="912"/>
      <c r="R52" s="941"/>
      <c r="S52" s="941"/>
      <c r="T52" s="941"/>
      <c r="U52" s="938"/>
      <c r="V52" s="938">
        <f t="shared" si="6"/>
        <v>0</v>
      </c>
      <c r="W52" s="942"/>
      <c r="X52" s="904"/>
      <c r="Y52" s="912">
        <f t="shared" si="7"/>
        <v>0</v>
      </c>
      <c r="Z52" s="912"/>
      <c r="AA52" s="969">
        <f t="shared" si="8"/>
        <v>0</v>
      </c>
      <c r="AB52" s="394"/>
      <c r="AC52" s="394"/>
      <c r="AD52" s="394"/>
    </row>
    <row r="53" spans="1:30">
      <c r="A53" s="726" t="s">
        <v>120</v>
      </c>
      <c r="B53" s="891"/>
      <c r="C53" s="891"/>
      <c r="D53" s="902"/>
      <c r="E53" s="904"/>
      <c r="F53" s="904"/>
      <c r="G53" s="904"/>
      <c r="H53" s="904"/>
      <c r="I53" s="904"/>
      <c r="J53" s="904"/>
      <c r="K53" s="904"/>
      <c r="L53" s="912"/>
      <c r="M53" s="912"/>
      <c r="N53" s="912"/>
      <c r="O53" s="912"/>
      <c r="P53" s="912"/>
      <c r="Q53" s="912"/>
      <c r="R53" s="941"/>
      <c r="S53" s="941"/>
      <c r="T53" s="941"/>
      <c r="U53" s="938"/>
      <c r="V53" s="938">
        <f t="shared" si="6"/>
        <v>0</v>
      </c>
      <c r="W53" s="942"/>
      <c r="X53" s="904"/>
      <c r="Y53" s="912">
        <f t="shared" si="7"/>
        <v>0</v>
      </c>
      <c r="Z53" s="912"/>
      <c r="AA53" s="969">
        <f t="shared" si="8"/>
        <v>0</v>
      </c>
      <c r="AB53" s="394"/>
      <c r="AC53" s="394"/>
      <c r="AD53" s="394"/>
    </row>
    <row r="54" spans="1:30">
      <c r="A54" s="726" t="s">
        <v>120</v>
      </c>
      <c r="B54" s="891"/>
      <c r="C54" s="891"/>
      <c r="D54" s="902"/>
      <c r="E54" s="904"/>
      <c r="F54" s="904"/>
      <c r="G54" s="904"/>
      <c r="H54" s="904"/>
      <c r="I54" s="904"/>
      <c r="J54" s="904"/>
      <c r="K54" s="904"/>
      <c r="L54" s="912"/>
      <c r="M54" s="912"/>
      <c r="N54" s="912"/>
      <c r="O54" s="912"/>
      <c r="P54" s="912"/>
      <c r="Q54" s="912"/>
      <c r="R54" s="941"/>
      <c r="S54" s="941"/>
      <c r="T54" s="941"/>
      <c r="U54" s="938"/>
      <c r="V54" s="938">
        <f t="shared" si="6"/>
        <v>0</v>
      </c>
      <c r="W54" s="942"/>
      <c r="X54" s="904"/>
      <c r="Y54" s="912">
        <f t="shared" si="7"/>
        <v>0</v>
      </c>
      <c r="Z54" s="912"/>
      <c r="AA54" s="969">
        <f t="shared" si="8"/>
        <v>0</v>
      </c>
      <c r="AB54" s="394"/>
      <c r="AC54" s="394"/>
      <c r="AD54" s="394"/>
    </row>
    <row r="55" spans="1:30" ht="24" thickBot="1">
      <c r="A55" s="726" t="s">
        <v>120</v>
      </c>
      <c r="B55" s="891"/>
      <c r="C55" s="891"/>
      <c r="D55" s="902"/>
      <c r="E55" s="904"/>
      <c r="F55" s="904"/>
      <c r="G55" s="904"/>
      <c r="H55" s="904"/>
      <c r="I55" s="904"/>
      <c r="J55" s="904"/>
      <c r="K55" s="904"/>
      <c r="L55" s="912"/>
      <c r="M55" s="912"/>
      <c r="N55" s="912"/>
      <c r="O55" s="912"/>
      <c r="P55" s="912"/>
      <c r="Q55" s="912"/>
      <c r="R55" s="941"/>
      <c r="S55" s="941"/>
      <c r="T55" s="941"/>
      <c r="U55" s="938"/>
      <c r="V55" s="938">
        <f t="shared" si="6"/>
        <v>0</v>
      </c>
      <c r="W55" s="942"/>
      <c r="X55" s="904"/>
      <c r="Y55" s="912">
        <f t="shared" si="7"/>
        <v>0</v>
      </c>
      <c r="Z55" s="912"/>
      <c r="AA55" s="969">
        <f t="shared" si="8"/>
        <v>0</v>
      </c>
      <c r="AB55" s="394"/>
      <c r="AC55" s="394"/>
      <c r="AD55" s="394"/>
    </row>
    <row r="56" spans="1:30" ht="24" thickBot="1">
      <c r="A56" s="726" t="s">
        <v>120</v>
      </c>
      <c r="B56" s="891"/>
      <c r="C56" s="891"/>
      <c r="D56" s="902"/>
      <c r="E56" s="904"/>
      <c r="F56" s="904"/>
      <c r="G56" s="904"/>
      <c r="H56" s="904"/>
      <c r="I56" s="904"/>
      <c r="J56" s="904"/>
      <c r="K56" s="904"/>
      <c r="L56" s="912"/>
      <c r="M56" s="912"/>
      <c r="N56" s="912"/>
      <c r="O56" s="912"/>
      <c r="P56" s="912"/>
      <c r="Q56" s="912"/>
      <c r="R56" s="941"/>
      <c r="S56" s="941"/>
      <c r="T56" s="941"/>
      <c r="U56" s="938"/>
      <c r="V56" s="943">
        <f t="shared" si="6"/>
        <v>0</v>
      </c>
      <c r="W56" s="944"/>
      <c r="X56" s="945"/>
      <c r="Y56" s="946">
        <f t="shared" si="7"/>
        <v>0</v>
      </c>
      <c r="Z56" s="946"/>
      <c r="AA56" s="970">
        <f t="shared" si="8"/>
        <v>0</v>
      </c>
      <c r="AB56" s="971" t="s">
        <v>8</v>
      </c>
      <c r="AC56" s="967" t="s">
        <v>197</v>
      </c>
      <c r="AD56" s="398" t="s">
        <v>174</v>
      </c>
    </row>
    <row r="57" spans="1:30" ht="24" thickBot="1">
      <c r="A57" s="726" t="s">
        <v>120</v>
      </c>
      <c r="B57" s="891"/>
      <c r="C57" s="891"/>
      <c r="D57" s="902"/>
      <c r="E57" s="904"/>
      <c r="F57" s="904"/>
      <c r="G57" s="904"/>
      <c r="H57" s="904"/>
      <c r="I57" s="904"/>
      <c r="J57" s="904"/>
      <c r="K57" s="904"/>
      <c r="L57" s="912"/>
      <c r="M57" s="912"/>
      <c r="N57" s="912"/>
      <c r="O57" s="912"/>
      <c r="P57" s="912"/>
      <c r="Q57" s="912"/>
      <c r="R57" s="941"/>
      <c r="S57" s="941"/>
      <c r="T57" s="941"/>
      <c r="U57" s="938"/>
      <c r="V57" s="947">
        <f t="shared" si="6"/>
        <v>0</v>
      </c>
      <c r="W57" s="948"/>
      <c r="X57" s="949"/>
      <c r="Y57" s="950">
        <f t="shared" si="7"/>
        <v>0</v>
      </c>
      <c r="Z57" s="950"/>
      <c r="AA57" s="972">
        <f t="shared" si="8"/>
        <v>0</v>
      </c>
      <c r="AB57" s="971" t="s">
        <v>8</v>
      </c>
      <c r="AC57" s="967" t="s">
        <v>197</v>
      </c>
      <c r="AD57" s="398" t="s">
        <v>174</v>
      </c>
    </row>
    <row r="58" spans="1:30" s="870" customFormat="1" ht="24" thickBot="1">
      <c r="A58" s="326" t="s">
        <v>177</v>
      </c>
      <c r="B58" s="895"/>
      <c r="C58" s="895"/>
      <c r="D58" s="896"/>
      <c r="E58" s="897">
        <f t="shared" ref="E58:R58" si="9">SUM(E32:E57)</f>
        <v>0</v>
      </c>
      <c r="F58" s="897">
        <f t="shared" si="9"/>
        <v>0</v>
      </c>
      <c r="G58" s="897">
        <f t="shared" si="9"/>
        <v>0</v>
      </c>
      <c r="H58" s="897">
        <f t="shared" si="9"/>
        <v>0</v>
      </c>
      <c r="I58" s="897">
        <f t="shared" si="9"/>
        <v>0</v>
      </c>
      <c r="J58" s="897">
        <f t="shared" si="9"/>
        <v>0</v>
      </c>
      <c r="K58" s="897">
        <f t="shared" si="9"/>
        <v>0</v>
      </c>
      <c r="L58" s="897">
        <f t="shared" si="9"/>
        <v>0</v>
      </c>
      <c r="M58" s="897">
        <f t="shared" si="9"/>
        <v>0</v>
      </c>
      <c r="N58" s="897">
        <f t="shared" si="9"/>
        <v>0</v>
      </c>
      <c r="O58" s="897">
        <f t="shared" si="9"/>
        <v>0</v>
      </c>
      <c r="P58" s="897">
        <f t="shared" si="9"/>
        <v>0</v>
      </c>
      <c r="Q58" s="897">
        <f t="shared" si="9"/>
        <v>0</v>
      </c>
      <c r="R58" s="897">
        <f t="shared" si="9"/>
        <v>0</v>
      </c>
      <c r="S58" s="897">
        <f t="shared" ref="S58" si="10">SUM(S32:S57)</f>
        <v>0</v>
      </c>
      <c r="T58" s="897">
        <f>SUM(T32:T57)</f>
        <v>0</v>
      </c>
      <c r="U58" s="932"/>
      <c r="V58" s="932">
        <f>SUM(V32:V57)</f>
        <v>0</v>
      </c>
      <c r="W58" s="951">
        <f>SUM(W32:W57)</f>
        <v>0</v>
      </c>
      <c r="X58" s="897"/>
      <c r="Y58" s="934">
        <f>SUM(Y32:Y57)</f>
        <v>0</v>
      </c>
      <c r="Z58" s="934">
        <f>SUM(Z32:Z57)</f>
        <v>0</v>
      </c>
      <c r="AA58" s="973">
        <f>SUM(AA32:AA57)</f>
        <v>0</v>
      </c>
      <c r="AB58" s="399">
        <f>'BIG CHAIR'!CL42</f>
        <v>880</v>
      </c>
      <c r="AC58" s="400">
        <f>'Jordan Chair'!AH26</f>
        <v>0</v>
      </c>
      <c r="AD58" s="401">
        <f>Y58+AB58+AC58</f>
        <v>880</v>
      </c>
    </row>
    <row r="59" spans="1:30" s="870" customFormat="1" ht="24" thickBot="1">
      <c r="A59" s="286" t="s">
        <v>122</v>
      </c>
      <c r="B59" s="877" t="s">
        <v>68</v>
      </c>
      <c r="C59" s="877" t="s">
        <v>69</v>
      </c>
      <c r="D59" s="878" t="s">
        <v>70</v>
      </c>
      <c r="E59" s="901" t="s">
        <v>71</v>
      </c>
      <c r="F59" s="880" t="s">
        <v>407</v>
      </c>
      <c r="G59" s="880" t="s">
        <v>250</v>
      </c>
      <c r="H59" s="879" t="s">
        <v>193</v>
      </c>
      <c r="I59" s="879" t="s">
        <v>170</v>
      </c>
      <c r="J59" s="879" t="s">
        <v>92</v>
      </c>
      <c r="K59" s="879" t="s">
        <v>194</v>
      </c>
      <c r="L59" s="880" t="s">
        <v>195</v>
      </c>
      <c r="M59" s="880" t="s">
        <v>468</v>
      </c>
      <c r="N59" s="880" t="s">
        <v>94</v>
      </c>
      <c r="O59" s="880" t="s">
        <v>86</v>
      </c>
      <c r="P59" s="880" t="s">
        <v>420</v>
      </c>
      <c r="Q59" s="880" t="s">
        <v>95</v>
      </c>
      <c r="R59" s="744" t="s">
        <v>77</v>
      </c>
      <c r="S59" s="914" t="s">
        <v>53</v>
      </c>
      <c r="T59" s="936" t="s">
        <v>149</v>
      </c>
      <c r="U59" s="915"/>
      <c r="V59" s="952" t="s">
        <v>104</v>
      </c>
      <c r="W59" s="953" t="s">
        <v>105</v>
      </c>
      <c r="X59" s="954"/>
      <c r="Y59" s="918" t="s">
        <v>106</v>
      </c>
      <c r="Z59" s="917" t="s">
        <v>107</v>
      </c>
      <c r="AA59" s="960" t="s">
        <v>108</v>
      </c>
      <c r="AB59" s="403"/>
      <c r="AC59" s="403"/>
      <c r="AD59" s="403"/>
    </row>
    <row r="60" spans="1:30">
      <c r="A60" s="726" t="s">
        <v>199</v>
      </c>
      <c r="B60" s="891"/>
      <c r="C60" s="891"/>
      <c r="D60" s="902"/>
      <c r="E60" s="903"/>
      <c r="F60" s="903"/>
      <c r="G60" s="903"/>
      <c r="H60" s="903"/>
      <c r="I60" s="903"/>
      <c r="J60" s="903"/>
      <c r="K60" s="903"/>
      <c r="L60" s="911"/>
      <c r="M60" s="911"/>
      <c r="N60" s="911"/>
      <c r="O60" s="911"/>
      <c r="P60" s="911"/>
      <c r="Q60" s="911"/>
      <c r="R60" s="937"/>
      <c r="S60" s="937"/>
      <c r="T60" s="937"/>
      <c r="U60" s="938"/>
      <c r="V60" s="955">
        <f t="shared" ref="V60:V84" si="11">SUM(E60:T60)</f>
        <v>0</v>
      </c>
      <c r="W60" s="956"/>
      <c r="X60" s="742"/>
      <c r="Y60" s="940">
        <f t="shared" ref="Y60:Y84" si="12">V60+W60</f>
        <v>0</v>
      </c>
      <c r="Z60" s="742"/>
      <c r="AA60" s="940">
        <f>Y60+Z60</f>
        <v>0</v>
      </c>
      <c r="AB60" s="394"/>
      <c r="AC60" s="394"/>
      <c r="AD60" s="394"/>
    </row>
    <row r="61" spans="1:30">
      <c r="A61" s="726" t="s">
        <v>199</v>
      </c>
      <c r="B61" s="891"/>
      <c r="C61" s="891"/>
      <c r="D61" s="902"/>
      <c r="E61" s="904"/>
      <c r="F61" s="904"/>
      <c r="G61" s="904"/>
      <c r="H61" s="904"/>
      <c r="I61" s="904"/>
      <c r="J61" s="904"/>
      <c r="K61" s="904"/>
      <c r="L61" s="912"/>
      <c r="M61" s="912"/>
      <c r="N61" s="912"/>
      <c r="O61" s="912"/>
      <c r="P61" s="912"/>
      <c r="Q61" s="912"/>
      <c r="R61" s="941"/>
      <c r="S61" s="941"/>
      <c r="T61" s="941"/>
      <c r="U61" s="938"/>
      <c r="V61" s="938">
        <f t="shared" si="11"/>
        <v>0</v>
      </c>
      <c r="W61" s="942"/>
      <c r="X61" s="957"/>
      <c r="Y61" s="942">
        <f t="shared" si="12"/>
        <v>0</v>
      </c>
      <c r="Z61" s="957"/>
      <c r="AA61" s="942">
        <f t="shared" ref="AA61:AA84" si="13">Y61+Z61</f>
        <v>0</v>
      </c>
      <c r="AB61" s="394"/>
      <c r="AC61" s="394"/>
      <c r="AD61" s="394"/>
    </row>
    <row r="62" spans="1:30">
      <c r="A62" s="726" t="s">
        <v>199</v>
      </c>
      <c r="B62" s="891"/>
      <c r="C62" s="891"/>
      <c r="D62" s="902"/>
      <c r="E62" s="904"/>
      <c r="F62" s="904"/>
      <c r="G62" s="904"/>
      <c r="H62" s="904"/>
      <c r="I62" s="904"/>
      <c r="J62" s="904"/>
      <c r="K62" s="904"/>
      <c r="L62" s="912"/>
      <c r="M62" s="912"/>
      <c r="N62" s="912"/>
      <c r="O62" s="912"/>
      <c r="P62" s="912"/>
      <c r="Q62" s="912"/>
      <c r="R62" s="941"/>
      <c r="S62" s="941"/>
      <c r="T62" s="941"/>
      <c r="U62" s="938"/>
      <c r="V62" s="938">
        <f t="shared" si="11"/>
        <v>0</v>
      </c>
      <c r="W62" s="942"/>
      <c r="X62" s="957"/>
      <c r="Y62" s="942">
        <f t="shared" si="12"/>
        <v>0</v>
      </c>
      <c r="Z62" s="957"/>
      <c r="AA62" s="942">
        <f t="shared" si="13"/>
        <v>0</v>
      </c>
      <c r="AB62" s="394"/>
      <c r="AC62" s="394"/>
      <c r="AD62" s="394"/>
    </row>
    <row r="63" spans="1:30">
      <c r="A63" s="726" t="s">
        <v>199</v>
      </c>
      <c r="B63" s="891"/>
      <c r="C63" s="891"/>
      <c r="D63" s="902"/>
      <c r="E63" s="904"/>
      <c r="F63" s="904"/>
      <c r="G63" s="904"/>
      <c r="H63" s="904"/>
      <c r="I63" s="904"/>
      <c r="J63" s="904"/>
      <c r="K63" s="904"/>
      <c r="L63" s="912"/>
      <c r="M63" s="912"/>
      <c r="N63" s="912"/>
      <c r="O63" s="912"/>
      <c r="P63" s="912"/>
      <c r="Q63" s="912"/>
      <c r="R63" s="912"/>
      <c r="S63" s="941"/>
      <c r="T63" s="941"/>
      <c r="U63" s="938"/>
      <c r="V63" s="938">
        <f t="shared" si="11"/>
        <v>0</v>
      </c>
      <c r="W63" s="942"/>
      <c r="X63" s="957"/>
      <c r="Y63" s="942">
        <f t="shared" si="12"/>
        <v>0</v>
      </c>
      <c r="Z63" s="957"/>
      <c r="AA63" s="942">
        <f t="shared" si="13"/>
        <v>0</v>
      </c>
      <c r="AB63" s="394"/>
      <c r="AC63" s="394"/>
      <c r="AD63" s="394"/>
    </row>
    <row r="64" spans="1:30">
      <c r="A64" s="726" t="s">
        <v>199</v>
      </c>
      <c r="B64" s="891"/>
      <c r="C64" s="891"/>
      <c r="D64" s="902"/>
      <c r="E64" s="904"/>
      <c r="F64" s="904"/>
      <c r="G64" s="904"/>
      <c r="H64" s="904"/>
      <c r="I64" s="904"/>
      <c r="J64" s="904"/>
      <c r="K64" s="904"/>
      <c r="L64" s="912"/>
      <c r="M64" s="912"/>
      <c r="N64" s="912"/>
      <c r="O64" s="912"/>
      <c r="P64" s="913"/>
      <c r="Q64" s="912"/>
      <c r="R64" s="941"/>
      <c r="S64" s="941"/>
      <c r="T64" s="941"/>
      <c r="U64" s="938"/>
      <c r="V64" s="938">
        <f t="shared" si="11"/>
        <v>0</v>
      </c>
      <c r="W64" s="942"/>
      <c r="X64" s="957"/>
      <c r="Y64" s="942">
        <f t="shared" si="12"/>
        <v>0</v>
      </c>
      <c r="Z64" s="957"/>
      <c r="AA64" s="942">
        <f t="shared" si="13"/>
        <v>0</v>
      </c>
      <c r="AB64" s="394"/>
      <c r="AC64" s="394"/>
      <c r="AD64" s="394"/>
    </row>
    <row r="65" spans="1:30">
      <c r="A65" s="726" t="s">
        <v>199</v>
      </c>
      <c r="B65" s="891"/>
      <c r="C65" s="891"/>
      <c r="D65" s="902"/>
      <c r="E65" s="904"/>
      <c r="F65" s="904"/>
      <c r="G65" s="904"/>
      <c r="H65" s="904"/>
      <c r="I65" s="904"/>
      <c r="J65" s="904"/>
      <c r="K65" s="904"/>
      <c r="L65" s="912"/>
      <c r="M65" s="912"/>
      <c r="N65" s="912"/>
      <c r="O65" s="912"/>
      <c r="P65" s="912"/>
      <c r="Q65" s="912"/>
      <c r="R65" s="941"/>
      <c r="S65" s="941"/>
      <c r="T65" s="941"/>
      <c r="U65" s="938"/>
      <c r="V65" s="938">
        <f t="shared" si="11"/>
        <v>0</v>
      </c>
      <c r="W65" s="942"/>
      <c r="X65" s="957"/>
      <c r="Y65" s="942">
        <f t="shared" si="12"/>
        <v>0</v>
      </c>
      <c r="Z65" s="957"/>
      <c r="AA65" s="942">
        <f t="shared" si="13"/>
        <v>0</v>
      </c>
      <c r="AB65" s="394"/>
      <c r="AC65" s="394"/>
      <c r="AD65" s="394"/>
    </row>
    <row r="66" spans="1:30">
      <c r="A66" s="726" t="s">
        <v>199</v>
      </c>
      <c r="B66" s="891"/>
      <c r="C66" s="891"/>
      <c r="D66" s="902"/>
      <c r="E66" s="904"/>
      <c r="F66" s="904"/>
      <c r="G66" s="904"/>
      <c r="H66" s="904"/>
      <c r="I66" s="904"/>
      <c r="J66" s="904"/>
      <c r="K66" s="904"/>
      <c r="L66" s="912"/>
      <c r="M66" s="912"/>
      <c r="N66" s="912"/>
      <c r="O66" s="912"/>
      <c r="P66" s="912"/>
      <c r="Q66" s="912"/>
      <c r="R66" s="941"/>
      <c r="S66" s="941"/>
      <c r="T66" s="941"/>
      <c r="U66" s="938"/>
      <c r="V66" s="938">
        <f t="shared" si="11"/>
        <v>0</v>
      </c>
      <c r="W66" s="942"/>
      <c r="X66" s="957"/>
      <c r="Y66" s="942">
        <f t="shared" si="12"/>
        <v>0</v>
      </c>
      <c r="Z66" s="957"/>
      <c r="AA66" s="942">
        <f t="shared" si="13"/>
        <v>0</v>
      </c>
      <c r="AB66" s="394"/>
      <c r="AC66" s="394"/>
      <c r="AD66" s="394"/>
    </row>
    <row r="67" spans="1:30">
      <c r="A67" s="726" t="s">
        <v>199</v>
      </c>
      <c r="B67" s="891"/>
      <c r="C67" s="891"/>
      <c r="D67" s="902"/>
      <c r="E67" s="904"/>
      <c r="F67" s="904"/>
      <c r="G67" s="904"/>
      <c r="H67" s="904"/>
      <c r="I67" s="904"/>
      <c r="J67" s="904"/>
      <c r="K67" s="904"/>
      <c r="L67" s="912"/>
      <c r="M67" s="912"/>
      <c r="N67" s="912"/>
      <c r="O67" s="912"/>
      <c r="P67" s="912"/>
      <c r="Q67" s="912"/>
      <c r="R67" s="941"/>
      <c r="S67" s="941"/>
      <c r="T67" s="941"/>
      <c r="U67" s="938"/>
      <c r="V67" s="938">
        <f t="shared" si="11"/>
        <v>0</v>
      </c>
      <c r="W67" s="942"/>
      <c r="X67" s="957"/>
      <c r="Y67" s="942">
        <f t="shared" si="12"/>
        <v>0</v>
      </c>
      <c r="Z67" s="957"/>
      <c r="AA67" s="942">
        <f t="shared" si="13"/>
        <v>0</v>
      </c>
      <c r="AB67" s="394"/>
      <c r="AC67" s="394"/>
      <c r="AD67" s="394"/>
    </row>
    <row r="68" spans="1:30">
      <c r="A68" s="726" t="s">
        <v>199</v>
      </c>
      <c r="B68" s="891"/>
      <c r="C68" s="891"/>
      <c r="D68" s="902"/>
      <c r="E68" s="904"/>
      <c r="F68" s="904"/>
      <c r="G68" s="904"/>
      <c r="H68" s="904"/>
      <c r="I68" s="904"/>
      <c r="J68" s="904"/>
      <c r="K68" s="904"/>
      <c r="L68" s="912"/>
      <c r="M68" s="912"/>
      <c r="N68" s="912"/>
      <c r="O68" s="912"/>
      <c r="P68" s="912"/>
      <c r="Q68" s="912"/>
      <c r="R68" s="941"/>
      <c r="S68" s="941"/>
      <c r="T68" s="941"/>
      <c r="U68" s="938"/>
      <c r="V68" s="938">
        <f t="shared" si="11"/>
        <v>0</v>
      </c>
      <c r="W68" s="942"/>
      <c r="X68" s="957"/>
      <c r="Y68" s="942">
        <f t="shared" si="12"/>
        <v>0</v>
      </c>
      <c r="Z68" s="957"/>
      <c r="AA68" s="942">
        <f t="shared" si="13"/>
        <v>0</v>
      </c>
      <c r="AB68" s="394"/>
      <c r="AC68" s="394"/>
      <c r="AD68" s="394"/>
    </row>
    <row r="69" spans="1:30">
      <c r="A69" s="726" t="s">
        <v>199</v>
      </c>
      <c r="B69" s="891"/>
      <c r="C69" s="891"/>
      <c r="D69" s="902"/>
      <c r="E69" s="904"/>
      <c r="F69" s="904"/>
      <c r="G69" s="904"/>
      <c r="H69" s="904"/>
      <c r="I69" s="904"/>
      <c r="J69" s="904"/>
      <c r="K69" s="904"/>
      <c r="L69" s="912"/>
      <c r="M69" s="912"/>
      <c r="N69" s="912"/>
      <c r="O69" s="912"/>
      <c r="P69" s="912"/>
      <c r="Q69" s="912"/>
      <c r="R69" s="941"/>
      <c r="S69" s="941"/>
      <c r="T69" s="941"/>
      <c r="U69" s="938"/>
      <c r="V69" s="938">
        <f t="shared" si="11"/>
        <v>0</v>
      </c>
      <c r="W69" s="942"/>
      <c r="X69" s="957"/>
      <c r="Y69" s="942">
        <f t="shared" si="12"/>
        <v>0</v>
      </c>
      <c r="Z69" s="957"/>
      <c r="AA69" s="942">
        <f t="shared" si="13"/>
        <v>0</v>
      </c>
      <c r="AB69" s="394"/>
      <c r="AC69" s="394"/>
      <c r="AD69" s="394"/>
    </row>
    <row r="70" spans="1:30">
      <c r="A70" s="726" t="s">
        <v>199</v>
      </c>
      <c r="B70" s="891"/>
      <c r="C70" s="891"/>
      <c r="D70" s="902"/>
      <c r="E70" s="904"/>
      <c r="F70" s="904"/>
      <c r="G70" s="904"/>
      <c r="H70" s="904"/>
      <c r="I70" s="904"/>
      <c r="J70" s="904"/>
      <c r="K70" s="904"/>
      <c r="L70" s="912"/>
      <c r="M70" s="912"/>
      <c r="N70" s="912"/>
      <c r="O70" s="912"/>
      <c r="P70" s="912"/>
      <c r="Q70" s="912"/>
      <c r="R70" s="941"/>
      <c r="S70" s="941"/>
      <c r="T70" s="941"/>
      <c r="U70" s="938"/>
      <c r="V70" s="938">
        <f t="shared" si="11"/>
        <v>0</v>
      </c>
      <c r="W70" s="942"/>
      <c r="X70" s="957"/>
      <c r="Y70" s="942">
        <f t="shared" si="12"/>
        <v>0</v>
      </c>
      <c r="Z70" s="957"/>
      <c r="AA70" s="942">
        <f t="shared" si="13"/>
        <v>0</v>
      </c>
      <c r="AB70" s="394"/>
      <c r="AC70" s="394"/>
      <c r="AD70" s="394"/>
    </row>
    <row r="71" spans="1:30">
      <c r="A71" s="726" t="s">
        <v>199</v>
      </c>
      <c r="B71" s="891"/>
      <c r="C71" s="891"/>
      <c r="D71" s="902"/>
      <c r="E71" s="904"/>
      <c r="F71" s="904"/>
      <c r="G71" s="904"/>
      <c r="H71" s="904"/>
      <c r="I71" s="904"/>
      <c r="J71" s="904"/>
      <c r="K71" s="904"/>
      <c r="L71" s="912"/>
      <c r="M71" s="912"/>
      <c r="N71" s="912"/>
      <c r="O71" s="912"/>
      <c r="P71" s="912"/>
      <c r="Q71" s="912"/>
      <c r="R71" s="941"/>
      <c r="S71" s="941"/>
      <c r="T71" s="941"/>
      <c r="U71" s="938"/>
      <c r="V71" s="938">
        <f t="shared" si="11"/>
        <v>0</v>
      </c>
      <c r="W71" s="942"/>
      <c r="X71" s="957"/>
      <c r="Y71" s="942">
        <f t="shared" si="12"/>
        <v>0</v>
      </c>
      <c r="Z71" s="957"/>
      <c r="AA71" s="942">
        <f t="shared" si="13"/>
        <v>0</v>
      </c>
      <c r="AB71" s="394"/>
      <c r="AC71" s="394"/>
      <c r="AD71" s="394"/>
    </row>
    <row r="72" spans="1:30">
      <c r="A72" s="726" t="s">
        <v>199</v>
      </c>
      <c r="B72" s="891"/>
      <c r="C72" s="891"/>
      <c r="D72" s="902"/>
      <c r="E72" s="904"/>
      <c r="F72" s="904"/>
      <c r="G72" s="904"/>
      <c r="H72" s="904"/>
      <c r="I72" s="904"/>
      <c r="J72" s="904"/>
      <c r="K72" s="904"/>
      <c r="L72" s="912"/>
      <c r="M72" s="912"/>
      <c r="N72" s="912"/>
      <c r="O72" s="912"/>
      <c r="P72" s="912"/>
      <c r="Q72" s="912"/>
      <c r="R72" s="941"/>
      <c r="S72" s="941"/>
      <c r="T72" s="941"/>
      <c r="U72" s="938"/>
      <c r="V72" s="938">
        <f t="shared" si="11"/>
        <v>0</v>
      </c>
      <c r="W72" s="942"/>
      <c r="X72" s="957"/>
      <c r="Y72" s="942">
        <f t="shared" si="12"/>
        <v>0</v>
      </c>
      <c r="Z72" s="957"/>
      <c r="AA72" s="942">
        <f t="shared" si="13"/>
        <v>0</v>
      </c>
      <c r="AB72" s="394"/>
      <c r="AC72" s="394"/>
      <c r="AD72" s="394"/>
    </row>
    <row r="73" spans="1:30">
      <c r="A73" s="726" t="s">
        <v>199</v>
      </c>
      <c r="B73" s="891"/>
      <c r="C73" s="891"/>
      <c r="D73" s="902"/>
      <c r="E73" s="904"/>
      <c r="F73" s="904"/>
      <c r="G73" s="904"/>
      <c r="H73" s="904"/>
      <c r="I73" s="904"/>
      <c r="J73" s="904"/>
      <c r="K73" s="904"/>
      <c r="L73" s="912"/>
      <c r="M73" s="912"/>
      <c r="N73" s="912"/>
      <c r="O73" s="912"/>
      <c r="P73" s="912"/>
      <c r="Q73" s="912"/>
      <c r="R73" s="941"/>
      <c r="S73" s="941"/>
      <c r="T73" s="941"/>
      <c r="U73" s="938"/>
      <c r="V73" s="938">
        <f t="shared" si="11"/>
        <v>0</v>
      </c>
      <c r="W73" s="942"/>
      <c r="X73" s="957"/>
      <c r="Y73" s="942">
        <f t="shared" si="12"/>
        <v>0</v>
      </c>
      <c r="Z73" s="957"/>
      <c r="AA73" s="942">
        <f t="shared" si="13"/>
        <v>0</v>
      </c>
      <c r="AB73" s="394"/>
      <c r="AC73" s="394"/>
      <c r="AD73" s="394"/>
    </row>
    <row r="74" spans="1:30">
      <c r="A74" s="726" t="s">
        <v>199</v>
      </c>
      <c r="B74" s="891"/>
      <c r="C74" s="891"/>
      <c r="D74" s="902"/>
      <c r="E74" s="904"/>
      <c r="F74" s="904"/>
      <c r="G74" s="904"/>
      <c r="H74" s="904"/>
      <c r="I74" s="904"/>
      <c r="J74" s="904"/>
      <c r="K74" s="904"/>
      <c r="L74" s="912"/>
      <c r="M74" s="912"/>
      <c r="N74" s="912"/>
      <c r="O74" s="912"/>
      <c r="P74" s="912"/>
      <c r="Q74" s="912"/>
      <c r="R74" s="941"/>
      <c r="S74" s="941"/>
      <c r="T74" s="941"/>
      <c r="U74" s="938"/>
      <c r="V74" s="938">
        <f t="shared" si="11"/>
        <v>0</v>
      </c>
      <c r="W74" s="942"/>
      <c r="X74" s="957"/>
      <c r="Y74" s="942">
        <f t="shared" si="12"/>
        <v>0</v>
      </c>
      <c r="Z74" s="957"/>
      <c r="AA74" s="942">
        <f t="shared" si="13"/>
        <v>0</v>
      </c>
      <c r="AB74" s="394"/>
      <c r="AC74" s="394"/>
      <c r="AD74" s="394"/>
    </row>
    <row r="75" spans="1:30">
      <c r="A75" s="726" t="s">
        <v>199</v>
      </c>
      <c r="B75" s="891"/>
      <c r="C75" s="891"/>
      <c r="D75" s="902"/>
      <c r="E75" s="904"/>
      <c r="F75" s="904"/>
      <c r="G75" s="904"/>
      <c r="H75" s="904"/>
      <c r="I75" s="904"/>
      <c r="J75" s="904"/>
      <c r="K75" s="904"/>
      <c r="L75" s="912"/>
      <c r="M75" s="912"/>
      <c r="N75" s="912"/>
      <c r="O75" s="912"/>
      <c r="P75" s="912"/>
      <c r="Q75" s="912"/>
      <c r="R75" s="941"/>
      <c r="S75" s="941"/>
      <c r="T75" s="941"/>
      <c r="U75" s="938"/>
      <c r="V75" s="938">
        <f t="shared" si="11"/>
        <v>0</v>
      </c>
      <c r="W75" s="942"/>
      <c r="X75" s="957"/>
      <c r="Y75" s="942">
        <f t="shared" si="12"/>
        <v>0</v>
      </c>
      <c r="Z75" s="957"/>
      <c r="AA75" s="942">
        <f t="shared" si="13"/>
        <v>0</v>
      </c>
      <c r="AB75" s="394"/>
      <c r="AC75" s="394"/>
      <c r="AD75" s="394"/>
    </row>
    <row r="76" spans="1:30">
      <c r="A76" s="726" t="s">
        <v>199</v>
      </c>
      <c r="B76" s="891"/>
      <c r="C76" s="891"/>
      <c r="D76" s="902"/>
      <c r="E76" s="904"/>
      <c r="F76" s="904"/>
      <c r="G76" s="904"/>
      <c r="H76" s="904"/>
      <c r="I76" s="904"/>
      <c r="J76" s="904"/>
      <c r="K76" s="904"/>
      <c r="L76" s="912"/>
      <c r="M76" s="912"/>
      <c r="N76" s="912"/>
      <c r="O76" s="912"/>
      <c r="P76" s="912"/>
      <c r="Q76" s="912"/>
      <c r="R76" s="941"/>
      <c r="S76" s="941"/>
      <c r="T76" s="941"/>
      <c r="U76" s="938"/>
      <c r="V76" s="938">
        <f t="shared" si="11"/>
        <v>0</v>
      </c>
      <c r="W76" s="942"/>
      <c r="X76" s="957"/>
      <c r="Y76" s="942">
        <f t="shared" si="12"/>
        <v>0</v>
      </c>
      <c r="Z76" s="957"/>
      <c r="AA76" s="942">
        <f t="shared" si="13"/>
        <v>0</v>
      </c>
      <c r="AB76" s="394"/>
      <c r="AC76" s="394"/>
      <c r="AD76" s="394"/>
    </row>
    <row r="77" spans="1:30">
      <c r="A77" s="726" t="s">
        <v>199</v>
      </c>
      <c r="B77" s="891"/>
      <c r="C77" s="891"/>
      <c r="D77" s="902"/>
      <c r="E77" s="904"/>
      <c r="F77" s="904"/>
      <c r="G77" s="904"/>
      <c r="H77" s="904"/>
      <c r="I77" s="904"/>
      <c r="J77" s="904"/>
      <c r="K77" s="904"/>
      <c r="L77" s="912"/>
      <c r="M77" s="912"/>
      <c r="N77" s="912"/>
      <c r="O77" s="912"/>
      <c r="P77" s="912"/>
      <c r="Q77" s="912"/>
      <c r="R77" s="941"/>
      <c r="S77" s="941"/>
      <c r="T77" s="941"/>
      <c r="U77" s="938"/>
      <c r="V77" s="938">
        <f t="shared" si="11"/>
        <v>0</v>
      </c>
      <c r="W77" s="942"/>
      <c r="X77" s="957"/>
      <c r="Y77" s="942">
        <f t="shared" si="12"/>
        <v>0</v>
      </c>
      <c r="Z77" s="957"/>
      <c r="AA77" s="942">
        <f t="shared" si="13"/>
        <v>0</v>
      </c>
      <c r="AB77" s="394"/>
      <c r="AC77" s="394"/>
      <c r="AD77" s="394"/>
    </row>
    <row r="78" spans="1:30">
      <c r="A78" s="726" t="s">
        <v>199</v>
      </c>
      <c r="B78" s="891"/>
      <c r="C78" s="891"/>
      <c r="D78" s="902"/>
      <c r="E78" s="904"/>
      <c r="F78" s="904"/>
      <c r="G78" s="904"/>
      <c r="H78" s="904"/>
      <c r="I78" s="904"/>
      <c r="J78" s="904"/>
      <c r="K78" s="904"/>
      <c r="L78" s="912"/>
      <c r="M78" s="912"/>
      <c r="N78" s="912"/>
      <c r="O78" s="912"/>
      <c r="P78" s="912"/>
      <c r="Q78" s="912"/>
      <c r="R78" s="941"/>
      <c r="S78" s="941"/>
      <c r="T78" s="941"/>
      <c r="U78" s="938"/>
      <c r="V78" s="938">
        <f t="shared" si="11"/>
        <v>0</v>
      </c>
      <c r="W78" s="942"/>
      <c r="X78" s="957"/>
      <c r="Y78" s="942">
        <f t="shared" si="12"/>
        <v>0</v>
      </c>
      <c r="Z78" s="957"/>
      <c r="AA78" s="942">
        <f t="shared" si="13"/>
        <v>0</v>
      </c>
      <c r="AB78" s="394"/>
      <c r="AC78" s="394"/>
      <c r="AD78" s="394"/>
    </row>
    <row r="79" spans="1:30">
      <c r="A79" s="726" t="s">
        <v>199</v>
      </c>
      <c r="B79" s="891"/>
      <c r="C79" s="891"/>
      <c r="D79" s="902"/>
      <c r="E79" s="904"/>
      <c r="F79" s="904"/>
      <c r="G79" s="904"/>
      <c r="H79" s="904"/>
      <c r="I79" s="904"/>
      <c r="J79" s="904"/>
      <c r="K79" s="904"/>
      <c r="L79" s="912"/>
      <c r="M79" s="912"/>
      <c r="N79" s="912"/>
      <c r="O79" s="912"/>
      <c r="P79" s="912"/>
      <c r="Q79" s="912"/>
      <c r="R79" s="941"/>
      <c r="S79" s="941"/>
      <c r="T79" s="941"/>
      <c r="U79" s="938"/>
      <c r="V79" s="938">
        <f t="shared" si="11"/>
        <v>0</v>
      </c>
      <c r="W79" s="942"/>
      <c r="X79" s="957"/>
      <c r="Y79" s="942">
        <f t="shared" si="12"/>
        <v>0</v>
      </c>
      <c r="Z79" s="957"/>
      <c r="AA79" s="942">
        <f t="shared" si="13"/>
        <v>0</v>
      </c>
      <c r="AB79" s="394"/>
      <c r="AC79" s="394"/>
      <c r="AD79" s="394"/>
    </row>
    <row r="80" spans="1:30">
      <c r="A80" s="726" t="s">
        <v>199</v>
      </c>
      <c r="B80" s="891"/>
      <c r="C80" s="891"/>
      <c r="D80" s="902"/>
      <c r="E80" s="904"/>
      <c r="F80" s="904"/>
      <c r="G80" s="904"/>
      <c r="H80" s="904"/>
      <c r="I80" s="904"/>
      <c r="J80" s="904"/>
      <c r="K80" s="904"/>
      <c r="L80" s="912"/>
      <c r="M80" s="912"/>
      <c r="N80" s="912"/>
      <c r="O80" s="912"/>
      <c r="P80" s="912"/>
      <c r="Q80" s="912"/>
      <c r="R80" s="941"/>
      <c r="S80" s="941"/>
      <c r="T80" s="941"/>
      <c r="U80" s="938"/>
      <c r="V80" s="938">
        <f t="shared" si="11"/>
        <v>0</v>
      </c>
      <c r="W80" s="942"/>
      <c r="X80" s="957"/>
      <c r="Y80" s="942">
        <f t="shared" si="12"/>
        <v>0</v>
      </c>
      <c r="Z80" s="957"/>
      <c r="AA80" s="942">
        <f t="shared" si="13"/>
        <v>0</v>
      </c>
      <c r="AB80" s="394"/>
      <c r="AC80" s="394"/>
      <c r="AD80" s="394"/>
    </row>
    <row r="81" spans="1:30">
      <c r="A81" s="726" t="s">
        <v>199</v>
      </c>
      <c r="B81" s="891"/>
      <c r="C81" s="891"/>
      <c r="D81" s="902"/>
      <c r="E81" s="904"/>
      <c r="F81" s="904"/>
      <c r="G81" s="904"/>
      <c r="H81" s="904"/>
      <c r="I81" s="904"/>
      <c r="J81" s="904"/>
      <c r="K81" s="904"/>
      <c r="L81" s="912"/>
      <c r="M81" s="912"/>
      <c r="N81" s="912"/>
      <c r="O81" s="912"/>
      <c r="P81" s="912"/>
      <c r="Q81" s="912"/>
      <c r="R81" s="941"/>
      <c r="S81" s="941"/>
      <c r="T81" s="941"/>
      <c r="U81" s="938"/>
      <c r="V81" s="938">
        <f t="shared" si="11"/>
        <v>0</v>
      </c>
      <c r="W81" s="942"/>
      <c r="X81" s="957"/>
      <c r="Y81" s="942">
        <f t="shared" si="12"/>
        <v>0</v>
      </c>
      <c r="Z81" s="957"/>
      <c r="AA81" s="942">
        <f t="shared" si="13"/>
        <v>0</v>
      </c>
      <c r="AB81" s="394"/>
      <c r="AC81" s="394"/>
      <c r="AD81" s="394"/>
    </row>
    <row r="82" spans="1:30">
      <c r="A82" s="726" t="s">
        <v>199</v>
      </c>
      <c r="B82" s="891"/>
      <c r="C82" s="891"/>
      <c r="D82" s="902"/>
      <c r="E82" s="904"/>
      <c r="F82" s="904"/>
      <c r="G82" s="904"/>
      <c r="H82" s="904"/>
      <c r="I82" s="904"/>
      <c r="J82" s="904"/>
      <c r="K82" s="904"/>
      <c r="L82" s="912"/>
      <c r="M82" s="912"/>
      <c r="N82" s="912"/>
      <c r="O82" s="912"/>
      <c r="P82" s="912"/>
      <c r="Q82" s="912"/>
      <c r="R82" s="941"/>
      <c r="S82" s="941"/>
      <c r="T82" s="941"/>
      <c r="U82" s="938"/>
      <c r="V82" s="938">
        <f t="shared" si="11"/>
        <v>0</v>
      </c>
      <c r="W82" s="942"/>
      <c r="X82" s="957"/>
      <c r="Y82" s="942">
        <f t="shared" si="12"/>
        <v>0</v>
      </c>
      <c r="Z82" s="957"/>
      <c r="AA82" s="942">
        <f t="shared" si="13"/>
        <v>0</v>
      </c>
      <c r="AB82" s="394"/>
      <c r="AC82" s="394"/>
      <c r="AD82" s="394"/>
    </row>
    <row r="83" spans="1:30" ht="24" thickBot="1">
      <c r="A83" s="726" t="s">
        <v>199</v>
      </c>
      <c r="B83" s="891"/>
      <c r="C83" s="891"/>
      <c r="D83" s="902"/>
      <c r="E83" s="904"/>
      <c r="F83" s="904"/>
      <c r="G83" s="904"/>
      <c r="H83" s="904"/>
      <c r="I83" s="904"/>
      <c r="J83" s="904"/>
      <c r="K83" s="904"/>
      <c r="L83" s="912"/>
      <c r="M83" s="912"/>
      <c r="N83" s="912"/>
      <c r="O83" s="912"/>
      <c r="P83" s="912"/>
      <c r="Q83" s="912"/>
      <c r="R83" s="941"/>
      <c r="S83" s="941"/>
      <c r="T83" s="941"/>
      <c r="U83" s="938"/>
      <c r="V83" s="938">
        <f t="shared" si="11"/>
        <v>0</v>
      </c>
      <c r="W83" s="942"/>
      <c r="X83" s="957"/>
      <c r="Y83" s="942">
        <f t="shared" si="12"/>
        <v>0</v>
      </c>
      <c r="Z83" s="957"/>
      <c r="AA83" s="942">
        <f t="shared" si="13"/>
        <v>0</v>
      </c>
      <c r="AB83" s="394"/>
      <c r="AC83" s="394"/>
      <c r="AD83" s="394"/>
    </row>
    <row r="84" spans="1:30" ht="24" thickBot="1">
      <c r="A84" s="726" t="s">
        <v>199</v>
      </c>
      <c r="B84" s="891"/>
      <c r="C84" s="891"/>
      <c r="D84" s="902"/>
      <c r="E84" s="904"/>
      <c r="F84" s="904"/>
      <c r="G84" s="904"/>
      <c r="H84" s="904"/>
      <c r="I84" s="904"/>
      <c r="J84" s="904"/>
      <c r="K84" s="904"/>
      <c r="L84" s="912"/>
      <c r="M84" s="912"/>
      <c r="N84" s="912"/>
      <c r="O84" s="912"/>
      <c r="P84" s="912"/>
      <c r="Q84" s="912"/>
      <c r="R84" s="941"/>
      <c r="S84" s="941"/>
      <c r="T84" s="941"/>
      <c r="U84" s="938"/>
      <c r="V84" s="975">
        <f t="shared" si="11"/>
        <v>0</v>
      </c>
      <c r="W84" s="976"/>
      <c r="X84" s="977"/>
      <c r="Y84" s="976">
        <f t="shared" si="12"/>
        <v>0</v>
      </c>
      <c r="Z84" s="977"/>
      <c r="AA84" s="976">
        <f t="shared" si="13"/>
        <v>0</v>
      </c>
      <c r="AB84" s="971" t="s">
        <v>8</v>
      </c>
      <c r="AC84" s="967" t="s">
        <v>197</v>
      </c>
      <c r="AD84" s="398" t="s">
        <v>174</v>
      </c>
    </row>
    <row r="85" spans="1:30" s="870" customFormat="1" ht="24" thickBot="1">
      <c r="A85" s="326" t="s">
        <v>126</v>
      </c>
      <c r="B85" s="895"/>
      <c r="C85" s="895"/>
      <c r="D85" s="896"/>
      <c r="E85" s="897">
        <f>SUM(E60:E84)</f>
        <v>0</v>
      </c>
      <c r="F85" s="897">
        <f t="shared" ref="F85:R85" si="14">SUM(F60:F84)</f>
        <v>0</v>
      </c>
      <c r="G85" s="897">
        <f t="shared" si="14"/>
        <v>0</v>
      </c>
      <c r="H85" s="897">
        <f t="shared" si="14"/>
        <v>0</v>
      </c>
      <c r="I85" s="897">
        <f t="shared" si="14"/>
        <v>0</v>
      </c>
      <c r="J85" s="897">
        <f t="shared" si="14"/>
        <v>0</v>
      </c>
      <c r="K85" s="897">
        <f t="shared" si="14"/>
        <v>0</v>
      </c>
      <c r="L85" s="897">
        <f t="shared" si="14"/>
        <v>0</v>
      </c>
      <c r="M85" s="897">
        <f t="shared" si="14"/>
        <v>0</v>
      </c>
      <c r="N85" s="897">
        <f t="shared" si="14"/>
        <v>0</v>
      </c>
      <c r="O85" s="897">
        <f t="shared" si="14"/>
        <v>0</v>
      </c>
      <c r="P85" s="897">
        <f t="shared" si="14"/>
        <v>0</v>
      </c>
      <c r="Q85" s="897">
        <f t="shared" si="14"/>
        <v>0</v>
      </c>
      <c r="R85" s="897">
        <f t="shared" si="14"/>
        <v>0</v>
      </c>
      <c r="S85" s="897">
        <f t="shared" ref="S85:T85" si="15">SUM(S60:S84)</f>
        <v>0</v>
      </c>
      <c r="T85" s="897">
        <f t="shared" si="15"/>
        <v>0</v>
      </c>
      <c r="U85" s="932"/>
      <c r="V85" s="933">
        <f>SUM(V60:V84)</f>
        <v>0</v>
      </c>
      <c r="W85" s="934">
        <f>SUM(W60:W84)</f>
        <v>0</v>
      </c>
      <c r="X85" s="934"/>
      <c r="Y85" s="934">
        <f>SUM(Y60:Y84)</f>
        <v>0</v>
      </c>
      <c r="Z85" s="934">
        <f>SUM(Z60:Z84)</f>
        <v>0</v>
      </c>
      <c r="AA85" s="973">
        <f>SUM(AA60:AA84)</f>
        <v>0</v>
      </c>
      <c r="AB85" s="399">
        <f>'BIG CHAIR'!CL77</f>
        <v>14560</v>
      </c>
      <c r="AC85" s="400">
        <f>'Jordan Chair'!AH53</f>
        <v>0</v>
      </c>
      <c r="AD85" s="401">
        <f>Y85+AB85+AC85</f>
        <v>14560</v>
      </c>
    </row>
    <row r="86" spans="1:30" ht="24" thickBot="1">
      <c r="A86" s="286" t="s">
        <v>127</v>
      </c>
      <c r="B86" s="877" t="s">
        <v>68</v>
      </c>
      <c r="C86" s="877" t="s">
        <v>69</v>
      </c>
      <c r="D86" s="878" t="s">
        <v>70</v>
      </c>
      <c r="E86" s="879" t="s">
        <v>71</v>
      </c>
      <c r="F86" s="880" t="s">
        <v>407</v>
      </c>
      <c r="G86" s="880" t="s">
        <v>250</v>
      </c>
      <c r="H86" s="879" t="s">
        <v>193</v>
      </c>
      <c r="I86" s="879" t="s">
        <v>170</v>
      </c>
      <c r="J86" s="879" t="s">
        <v>92</v>
      </c>
      <c r="K86" s="879" t="s">
        <v>194</v>
      </c>
      <c r="L86" s="880" t="s">
        <v>195</v>
      </c>
      <c r="M86" s="880" t="s">
        <v>468</v>
      </c>
      <c r="N86" s="880" t="s">
        <v>94</v>
      </c>
      <c r="O86" s="880" t="s">
        <v>86</v>
      </c>
      <c r="P86" s="880" t="s">
        <v>420</v>
      </c>
      <c r="Q86" s="880" t="s">
        <v>95</v>
      </c>
      <c r="R86" s="49" t="s">
        <v>77</v>
      </c>
      <c r="S86" s="914" t="s">
        <v>53</v>
      </c>
      <c r="T86" s="914" t="s">
        <v>149</v>
      </c>
      <c r="U86" s="915"/>
      <c r="V86" s="952" t="s">
        <v>104</v>
      </c>
      <c r="W86" s="953" t="s">
        <v>105</v>
      </c>
      <c r="X86" s="954"/>
      <c r="Y86" s="918" t="s">
        <v>106</v>
      </c>
      <c r="Z86" s="917" t="s">
        <v>107</v>
      </c>
      <c r="AA86" s="960" t="s">
        <v>108</v>
      </c>
      <c r="AB86" s="403"/>
      <c r="AC86" s="403"/>
      <c r="AD86" s="403"/>
    </row>
    <row r="87" spans="1:30">
      <c r="A87" s="726" t="s">
        <v>128</v>
      </c>
      <c r="B87" s="891"/>
      <c r="C87" s="891"/>
      <c r="D87" s="902"/>
      <c r="E87" s="903"/>
      <c r="F87" s="903"/>
      <c r="G87" s="903"/>
      <c r="H87" s="903"/>
      <c r="I87" s="903"/>
      <c r="J87" s="903"/>
      <c r="K87" s="903"/>
      <c r="L87" s="911"/>
      <c r="M87" s="911"/>
      <c r="N87" s="911"/>
      <c r="O87" s="911"/>
      <c r="P87" s="911"/>
      <c r="Q87" s="911"/>
      <c r="R87" s="937"/>
      <c r="S87" s="937"/>
      <c r="T87" s="937"/>
      <c r="U87" s="938"/>
      <c r="V87" s="955">
        <f t="shared" ref="V87:V111" si="16">SUM(E87:T87)</f>
        <v>0</v>
      </c>
      <c r="W87" s="956"/>
      <c r="X87" s="742"/>
      <c r="Y87" s="940">
        <f t="shared" ref="Y87:Y111" si="17">V87+W87</f>
        <v>0</v>
      </c>
      <c r="Z87" s="742"/>
      <c r="AA87" s="940">
        <f>Y87+Z87</f>
        <v>0</v>
      </c>
      <c r="AB87" s="394"/>
      <c r="AC87" s="394"/>
      <c r="AD87" s="394"/>
    </row>
    <row r="88" spans="1:30">
      <c r="A88" s="726" t="s">
        <v>128</v>
      </c>
      <c r="B88" s="891"/>
      <c r="C88" s="891"/>
      <c r="D88" s="902"/>
      <c r="E88" s="904"/>
      <c r="F88" s="904"/>
      <c r="G88" s="904"/>
      <c r="H88" s="904"/>
      <c r="I88" s="904"/>
      <c r="J88" s="904"/>
      <c r="K88" s="904"/>
      <c r="L88" s="912"/>
      <c r="M88" s="912"/>
      <c r="N88" s="912"/>
      <c r="O88" s="912"/>
      <c r="P88" s="912"/>
      <c r="Q88" s="912"/>
      <c r="R88" s="941"/>
      <c r="S88" s="941"/>
      <c r="T88" s="941"/>
      <c r="U88" s="938"/>
      <c r="V88" s="938">
        <f t="shared" si="16"/>
        <v>0</v>
      </c>
      <c r="W88" s="942"/>
      <c r="X88" s="957"/>
      <c r="Y88" s="942">
        <f t="shared" si="17"/>
        <v>0</v>
      </c>
      <c r="Z88" s="957"/>
      <c r="AA88" s="942">
        <f t="shared" ref="AA88:AA111" si="18">Y88+Z88</f>
        <v>0</v>
      </c>
      <c r="AB88" s="394"/>
      <c r="AC88" s="394"/>
      <c r="AD88" s="394"/>
    </row>
    <row r="89" spans="1:30">
      <c r="A89" s="726" t="s">
        <v>128</v>
      </c>
      <c r="B89" s="891"/>
      <c r="C89" s="891"/>
      <c r="D89" s="902"/>
      <c r="E89" s="904"/>
      <c r="F89" s="904"/>
      <c r="G89" s="904"/>
      <c r="H89" s="904"/>
      <c r="I89" s="904"/>
      <c r="J89" s="904"/>
      <c r="K89" s="904"/>
      <c r="L89" s="912"/>
      <c r="M89" s="912"/>
      <c r="N89" s="912"/>
      <c r="O89" s="912"/>
      <c r="P89" s="912"/>
      <c r="Q89" s="912"/>
      <c r="R89" s="941"/>
      <c r="S89" s="941"/>
      <c r="T89" s="941"/>
      <c r="U89" s="938"/>
      <c r="V89" s="938">
        <f t="shared" si="16"/>
        <v>0</v>
      </c>
      <c r="W89" s="942"/>
      <c r="X89" s="957"/>
      <c r="Y89" s="942">
        <f t="shared" si="17"/>
        <v>0</v>
      </c>
      <c r="Z89" s="957"/>
      <c r="AA89" s="942">
        <f t="shared" si="18"/>
        <v>0</v>
      </c>
      <c r="AB89" s="394"/>
      <c r="AC89" s="394"/>
      <c r="AD89" s="394"/>
    </row>
    <row r="90" spans="1:30">
      <c r="A90" s="726" t="s">
        <v>128</v>
      </c>
      <c r="B90" s="891"/>
      <c r="C90" s="891"/>
      <c r="D90" s="902"/>
      <c r="E90" s="904"/>
      <c r="F90" s="904"/>
      <c r="G90" s="904"/>
      <c r="H90" s="904"/>
      <c r="I90" s="904"/>
      <c r="J90" s="904"/>
      <c r="K90" s="904"/>
      <c r="L90" s="912"/>
      <c r="M90" s="912"/>
      <c r="N90" s="912"/>
      <c r="O90" s="912"/>
      <c r="P90" s="912"/>
      <c r="Q90" s="912"/>
      <c r="R90" s="912"/>
      <c r="S90" s="941"/>
      <c r="T90" s="941"/>
      <c r="U90" s="938"/>
      <c r="V90" s="938">
        <f t="shared" si="16"/>
        <v>0</v>
      </c>
      <c r="W90" s="942"/>
      <c r="X90" s="957"/>
      <c r="Y90" s="942">
        <f t="shared" si="17"/>
        <v>0</v>
      </c>
      <c r="Z90" s="957"/>
      <c r="AA90" s="942">
        <f t="shared" si="18"/>
        <v>0</v>
      </c>
      <c r="AB90" s="394"/>
      <c r="AC90" s="394"/>
      <c r="AD90" s="394"/>
    </row>
    <row r="91" spans="1:30">
      <c r="A91" s="726" t="s">
        <v>128</v>
      </c>
      <c r="B91" s="891"/>
      <c r="C91" s="891"/>
      <c r="D91" s="902"/>
      <c r="E91" s="904"/>
      <c r="F91" s="904"/>
      <c r="G91" s="904"/>
      <c r="H91" s="904"/>
      <c r="I91" s="904"/>
      <c r="J91" s="904"/>
      <c r="K91" s="904"/>
      <c r="L91" s="912"/>
      <c r="M91" s="912"/>
      <c r="N91" s="912"/>
      <c r="O91" s="912"/>
      <c r="P91" s="974"/>
      <c r="Q91" s="912"/>
      <c r="R91" s="941"/>
      <c r="S91" s="941"/>
      <c r="T91" s="941"/>
      <c r="U91" s="938"/>
      <c r="V91" s="938">
        <f t="shared" si="16"/>
        <v>0</v>
      </c>
      <c r="W91" s="942"/>
      <c r="X91" s="957"/>
      <c r="Y91" s="942">
        <f t="shared" si="17"/>
        <v>0</v>
      </c>
      <c r="Z91" s="957"/>
      <c r="AA91" s="942">
        <f t="shared" si="18"/>
        <v>0</v>
      </c>
      <c r="AB91" s="394"/>
      <c r="AC91" s="394"/>
      <c r="AD91" s="394"/>
    </row>
    <row r="92" spans="1:30">
      <c r="A92" s="726" t="s">
        <v>128</v>
      </c>
      <c r="B92" s="891"/>
      <c r="C92" s="891"/>
      <c r="D92" s="902"/>
      <c r="E92" s="904"/>
      <c r="F92" s="904"/>
      <c r="G92" s="904"/>
      <c r="H92" s="904"/>
      <c r="I92" s="904"/>
      <c r="J92" s="904"/>
      <c r="K92" s="904"/>
      <c r="L92" s="912"/>
      <c r="M92" s="912"/>
      <c r="N92" s="912"/>
      <c r="O92" s="912"/>
      <c r="P92" s="912"/>
      <c r="Q92" s="912"/>
      <c r="R92" s="941"/>
      <c r="S92" s="941"/>
      <c r="T92" s="941"/>
      <c r="U92" s="938"/>
      <c r="V92" s="938">
        <f t="shared" si="16"/>
        <v>0</v>
      </c>
      <c r="W92" s="942"/>
      <c r="X92" s="957"/>
      <c r="Y92" s="942">
        <f t="shared" si="17"/>
        <v>0</v>
      </c>
      <c r="Z92" s="957"/>
      <c r="AA92" s="942">
        <f t="shared" si="18"/>
        <v>0</v>
      </c>
      <c r="AB92" s="394"/>
      <c r="AC92" s="394"/>
      <c r="AD92" s="394"/>
    </row>
    <row r="93" spans="1:30">
      <c r="A93" s="726" t="s">
        <v>128</v>
      </c>
      <c r="B93" s="891"/>
      <c r="C93" s="891"/>
      <c r="D93" s="902"/>
      <c r="E93" s="904"/>
      <c r="F93" s="904"/>
      <c r="G93" s="904"/>
      <c r="H93" s="904"/>
      <c r="I93" s="904"/>
      <c r="J93" s="904"/>
      <c r="K93" s="904"/>
      <c r="L93" s="912"/>
      <c r="M93" s="912"/>
      <c r="N93" s="912"/>
      <c r="O93" s="912"/>
      <c r="P93" s="912"/>
      <c r="Q93" s="912"/>
      <c r="R93" s="941"/>
      <c r="S93" s="941"/>
      <c r="T93" s="941"/>
      <c r="U93" s="938"/>
      <c r="V93" s="938">
        <f t="shared" si="16"/>
        <v>0</v>
      </c>
      <c r="W93" s="942"/>
      <c r="X93" s="957"/>
      <c r="Y93" s="942">
        <f t="shared" si="17"/>
        <v>0</v>
      </c>
      <c r="Z93" s="957"/>
      <c r="AA93" s="942">
        <f t="shared" si="18"/>
        <v>0</v>
      </c>
      <c r="AB93" s="394"/>
      <c r="AC93" s="394"/>
      <c r="AD93" s="394"/>
    </row>
    <row r="94" spans="1:30">
      <c r="A94" s="726" t="s">
        <v>128</v>
      </c>
      <c r="B94" s="891"/>
      <c r="C94" s="891"/>
      <c r="D94" s="902"/>
      <c r="E94" s="904"/>
      <c r="F94" s="904"/>
      <c r="G94" s="904"/>
      <c r="H94" s="904"/>
      <c r="I94" s="904"/>
      <c r="J94" s="904"/>
      <c r="K94" s="904"/>
      <c r="L94" s="912"/>
      <c r="M94" s="912"/>
      <c r="N94" s="912"/>
      <c r="O94" s="912"/>
      <c r="P94" s="912"/>
      <c r="Q94" s="912"/>
      <c r="R94" s="941"/>
      <c r="S94" s="941"/>
      <c r="T94" s="941"/>
      <c r="U94" s="938"/>
      <c r="V94" s="938">
        <f t="shared" si="16"/>
        <v>0</v>
      </c>
      <c r="W94" s="942"/>
      <c r="X94" s="957"/>
      <c r="Y94" s="942">
        <f t="shared" si="17"/>
        <v>0</v>
      </c>
      <c r="Z94" s="957"/>
      <c r="AA94" s="942">
        <f t="shared" si="18"/>
        <v>0</v>
      </c>
      <c r="AB94" s="394"/>
      <c r="AC94" s="394"/>
      <c r="AD94" s="394"/>
    </row>
    <row r="95" spans="1:30">
      <c r="A95" s="726" t="s">
        <v>128</v>
      </c>
      <c r="B95" s="891"/>
      <c r="C95" s="891"/>
      <c r="D95" s="902"/>
      <c r="E95" s="904"/>
      <c r="F95" s="904"/>
      <c r="G95" s="904"/>
      <c r="H95" s="904"/>
      <c r="I95" s="904"/>
      <c r="J95" s="904"/>
      <c r="K95" s="904"/>
      <c r="L95" s="912"/>
      <c r="M95" s="912"/>
      <c r="N95" s="912"/>
      <c r="O95" s="912"/>
      <c r="P95" s="912"/>
      <c r="Q95" s="912"/>
      <c r="R95" s="941"/>
      <c r="S95" s="941"/>
      <c r="T95" s="941"/>
      <c r="U95" s="938"/>
      <c r="V95" s="938">
        <f t="shared" si="16"/>
        <v>0</v>
      </c>
      <c r="W95" s="942"/>
      <c r="X95" s="957"/>
      <c r="Y95" s="942">
        <f t="shared" si="17"/>
        <v>0</v>
      </c>
      <c r="Z95" s="957"/>
      <c r="AA95" s="942">
        <f t="shared" si="18"/>
        <v>0</v>
      </c>
      <c r="AB95" s="394"/>
      <c r="AC95" s="394"/>
      <c r="AD95" s="394"/>
    </row>
    <row r="96" spans="1:30">
      <c r="A96" s="726" t="s">
        <v>128</v>
      </c>
      <c r="B96" s="891"/>
      <c r="C96" s="891"/>
      <c r="D96" s="902"/>
      <c r="E96" s="904"/>
      <c r="F96" s="904"/>
      <c r="G96" s="904"/>
      <c r="H96" s="904"/>
      <c r="I96" s="904"/>
      <c r="J96" s="904"/>
      <c r="K96" s="904"/>
      <c r="L96" s="912"/>
      <c r="M96" s="912"/>
      <c r="N96" s="912"/>
      <c r="O96" s="912"/>
      <c r="P96" s="912"/>
      <c r="Q96" s="912"/>
      <c r="R96" s="941"/>
      <c r="S96" s="941"/>
      <c r="T96" s="941"/>
      <c r="U96" s="938"/>
      <c r="V96" s="938">
        <f t="shared" si="16"/>
        <v>0</v>
      </c>
      <c r="W96" s="942"/>
      <c r="X96" s="957"/>
      <c r="Y96" s="942">
        <f t="shared" si="17"/>
        <v>0</v>
      </c>
      <c r="Z96" s="957"/>
      <c r="AA96" s="942">
        <f t="shared" si="18"/>
        <v>0</v>
      </c>
      <c r="AB96" s="394"/>
      <c r="AC96" s="394"/>
      <c r="AD96" s="394"/>
    </row>
    <row r="97" spans="1:30">
      <c r="A97" s="726" t="s">
        <v>128</v>
      </c>
      <c r="B97" s="891"/>
      <c r="C97" s="891"/>
      <c r="D97" s="902"/>
      <c r="E97" s="904"/>
      <c r="F97" s="904"/>
      <c r="G97" s="904"/>
      <c r="H97" s="904"/>
      <c r="I97" s="904"/>
      <c r="J97" s="904"/>
      <c r="K97" s="904"/>
      <c r="L97" s="912"/>
      <c r="M97" s="912"/>
      <c r="N97" s="912"/>
      <c r="O97" s="912"/>
      <c r="P97" s="912"/>
      <c r="Q97" s="912"/>
      <c r="R97" s="941"/>
      <c r="S97" s="941"/>
      <c r="T97" s="941"/>
      <c r="U97" s="938"/>
      <c r="V97" s="938">
        <f t="shared" si="16"/>
        <v>0</v>
      </c>
      <c r="W97" s="942"/>
      <c r="X97" s="957"/>
      <c r="Y97" s="942">
        <f t="shared" si="17"/>
        <v>0</v>
      </c>
      <c r="Z97" s="957"/>
      <c r="AA97" s="942">
        <f t="shared" si="18"/>
        <v>0</v>
      </c>
      <c r="AB97" s="394"/>
      <c r="AC97" s="394"/>
      <c r="AD97" s="394"/>
    </row>
    <row r="98" spans="1:30">
      <c r="A98" s="726" t="s">
        <v>128</v>
      </c>
      <c r="B98" s="891"/>
      <c r="C98" s="891"/>
      <c r="D98" s="902"/>
      <c r="E98" s="904"/>
      <c r="F98" s="904"/>
      <c r="G98" s="904"/>
      <c r="H98" s="904"/>
      <c r="I98" s="904"/>
      <c r="J98" s="904"/>
      <c r="K98" s="904"/>
      <c r="L98" s="912"/>
      <c r="M98" s="912"/>
      <c r="N98" s="912"/>
      <c r="O98" s="912"/>
      <c r="P98" s="912"/>
      <c r="Q98" s="912"/>
      <c r="R98" s="941"/>
      <c r="S98" s="941"/>
      <c r="T98" s="941"/>
      <c r="U98" s="938"/>
      <c r="V98" s="938">
        <f t="shared" si="16"/>
        <v>0</v>
      </c>
      <c r="W98" s="942"/>
      <c r="X98" s="957"/>
      <c r="Y98" s="942">
        <f t="shared" si="17"/>
        <v>0</v>
      </c>
      <c r="Z98" s="957"/>
      <c r="AA98" s="942">
        <f t="shared" si="18"/>
        <v>0</v>
      </c>
      <c r="AB98" s="394"/>
      <c r="AC98" s="394"/>
      <c r="AD98" s="394"/>
    </row>
    <row r="99" spans="1:30">
      <c r="A99" s="726" t="s">
        <v>128</v>
      </c>
      <c r="B99" s="891"/>
      <c r="C99" s="891"/>
      <c r="D99" s="902"/>
      <c r="E99" s="904"/>
      <c r="F99" s="904"/>
      <c r="G99" s="904"/>
      <c r="H99" s="904"/>
      <c r="I99" s="904"/>
      <c r="J99" s="904"/>
      <c r="K99" s="904"/>
      <c r="L99" s="912"/>
      <c r="M99" s="912"/>
      <c r="N99" s="912"/>
      <c r="O99" s="912"/>
      <c r="P99" s="912"/>
      <c r="Q99" s="912"/>
      <c r="R99" s="941"/>
      <c r="S99" s="941"/>
      <c r="T99" s="941"/>
      <c r="U99" s="938"/>
      <c r="V99" s="938">
        <f t="shared" si="16"/>
        <v>0</v>
      </c>
      <c r="W99" s="942"/>
      <c r="X99" s="957"/>
      <c r="Y99" s="942">
        <f t="shared" si="17"/>
        <v>0</v>
      </c>
      <c r="Z99" s="957"/>
      <c r="AA99" s="942">
        <f t="shared" si="18"/>
        <v>0</v>
      </c>
      <c r="AB99" s="394"/>
      <c r="AC99" s="394"/>
      <c r="AD99" s="394"/>
    </row>
    <row r="100" spans="1:30">
      <c r="A100" s="726" t="s">
        <v>128</v>
      </c>
      <c r="B100" s="891"/>
      <c r="C100" s="891"/>
      <c r="D100" s="902"/>
      <c r="E100" s="904"/>
      <c r="F100" s="904"/>
      <c r="G100" s="904"/>
      <c r="H100" s="904"/>
      <c r="I100" s="904"/>
      <c r="J100" s="904"/>
      <c r="K100" s="904"/>
      <c r="L100" s="912"/>
      <c r="M100" s="912"/>
      <c r="N100" s="912"/>
      <c r="O100" s="912"/>
      <c r="P100" s="912"/>
      <c r="Q100" s="912"/>
      <c r="R100" s="941"/>
      <c r="S100" s="941"/>
      <c r="T100" s="941"/>
      <c r="U100" s="938"/>
      <c r="V100" s="938">
        <f t="shared" si="16"/>
        <v>0</v>
      </c>
      <c r="W100" s="942"/>
      <c r="X100" s="957"/>
      <c r="Y100" s="942">
        <f t="shared" si="17"/>
        <v>0</v>
      </c>
      <c r="Z100" s="957"/>
      <c r="AA100" s="942">
        <f t="shared" si="18"/>
        <v>0</v>
      </c>
      <c r="AB100" s="394"/>
      <c r="AC100" s="394"/>
      <c r="AD100" s="394"/>
    </row>
    <row r="101" spans="1:30">
      <c r="A101" s="726" t="s">
        <v>128</v>
      </c>
      <c r="B101" s="891"/>
      <c r="C101" s="891"/>
      <c r="D101" s="902"/>
      <c r="E101" s="904"/>
      <c r="F101" s="904"/>
      <c r="G101" s="904"/>
      <c r="H101" s="904"/>
      <c r="I101" s="904"/>
      <c r="J101" s="904"/>
      <c r="K101" s="904"/>
      <c r="L101" s="912"/>
      <c r="M101" s="912"/>
      <c r="N101" s="912"/>
      <c r="O101" s="912"/>
      <c r="P101" s="912"/>
      <c r="Q101" s="912"/>
      <c r="R101" s="941"/>
      <c r="S101" s="941"/>
      <c r="T101" s="941"/>
      <c r="U101" s="938"/>
      <c r="V101" s="938">
        <f t="shared" si="16"/>
        <v>0</v>
      </c>
      <c r="W101" s="942"/>
      <c r="X101" s="957"/>
      <c r="Y101" s="942">
        <f t="shared" si="17"/>
        <v>0</v>
      </c>
      <c r="Z101" s="957"/>
      <c r="AA101" s="942">
        <f t="shared" si="18"/>
        <v>0</v>
      </c>
      <c r="AB101" s="394"/>
      <c r="AC101" s="394"/>
      <c r="AD101" s="394"/>
    </row>
    <row r="102" spans="1:30">
      <c r="A102" s="726" t="s">
        <v>128</v>
      </c>
      <c r="B102" s="891"/>
      <c r="C102" s="891"/>
      <c r="D102" s="902"/>
      <c r="E102" s="904"/>
      <c r="F102" s="904"/>
      <c r="G102" s="904"/>
      <c r="H102" s="904"/>
      <c r="I102" s="904"/>
      <c r="J102" s="904"/>
      <c r="K102" s="904"/>
      <c r="L102" s="912"/>
      <c r="M102" s="912"/>
      <c r="N102" s="912"/>
      <c r="O102" s="912"/>
      <c r="P102" s="912"/>
      <c r="Q102" s="912"/>
      <c r="R102" s="941"/>
      <c r="S102" s="941"/>
      <c r="T102" s="941"/>
      <c r="U102" s="938"/>
      <c r="V102" s="938">
        <f t="shared" si="16"/>
        <v>0</v>
      </c>
      <c r="W102" s="942"/>
      <c r="X102" s="957"/>
      <c r="Y102" s="942">
        <f t="shared" si="17"/>
        <v>0</v>
      </c>
      <c r="Z102" s="957"/>
      <c r="AA102" s="942">
        <f t="shared" si="18"/>
        <v>0</v>
      </c>
      <c r="AB102" s="394"/>
      <c r="AC102" s="394"/>
      <c r="AD102" s="394"/>
    </row>
    <row r="103" spans="1:30">
      <c r="A103" s="726" t="s">
        <v>128</v>
      </c>
      <c r="B103" s="891"/>
      <c r="C103" s="891"/>
      <c r="D103" s="902"/>
      <c r="E103" s="904"/>
      <c r="F103" s="904"/>
      <c r="G103" s="904"/>
      <c r="H103" s="904"/>
      <c r="I103" s="904"/>
      <c r="J103" s="904"/>
      <c r="K103" s="904"/>
      <c r="L103" s="912"/>
      <c r="M103" s="912"/>
      <c r="N103" s="912"/>
      <c r="O103" s="912"/>
      <c r="P103" s="912"/>
      <c r="Q103" s="912"/>
      <c r="R103" s="941"/>
      <c r="S103" s="941"/>
      <c r="T103" s="941"/>
      <c r="U103" s="938"/>
      <c r="V103" s="938">
        <f t="shared" si="16"/>
        <v>0</v>
      </c>
      <c r="W103" s="942"/>
      <c r="X103" s="957"/>
      <c r="Y103" s="942">
        <f t="shared" si="17"/>
        <v>0</v>
      </c>
      <c r="Z103" s="957"/>
      <c r="AA103" s="942">
        <f t="shared" si="18"/>
        <v>0</v>
      </c>
      <c r="AB103" s="394"/>
      <c r="AC103" s="394"/>
      <c r="AD103" s="394"/>
    </row>
    <row r="104" spans="1:30">
      <c r="A104" s="726" t="s">
        <v>128</v>
      </c>
      <c r="B104" s="891"/>
      <c r="C104" s="891"/>
      <c r="D104" s="902"/>
      <c r="E104" s="904"/>
      <c r="F104" s="904"/>
      <c r="G104" s="904"/>
      <c r="H104" s="904"/>
      <c r="I104" s="904"/>
      <c r="J104" s="904"/>
      <c r="K104" s="904"/>
      <c r="L104" s="912"/>
      <c r="M104" s="912"/>
      <c r="N104" s="912"/>
      <c r="O104" s="912"/>
      <c r="P104" s="912"/>
      <c r="Q104" s="912"/>
      <c r="R104" s="941"/>
      <c r="S104" s="941"/>
      <c r="T104" s="941"/>
      <c r="U104" s="938"/>
      <c r="V104" s="938">
        <f t="shared" si="16"/>
        <v>0</v>
      </c>
      <c r="W104" s="942"/>
      <c r="X104" s="957"/>
      <c r="Y104" s="942">
        <f t="shared" si="17"/>
        <v>0</v>
      </c>
      <c r="Z104" s="957"/>
      <c r="AA104" s="942">
        <f t="shared" si="18"/>
        <v>0</v>
      </c>
      <c r="AB104" s="394"/>
      <c r="AC104" s="394"/>
      <c r="AD104" s="394"/>
    </row>
    <row r="105" spans="1:30">
      <c r="A105" s="726" t="s">
        <v>128</v>
      </c>
      <c r="B105" s="891"/>
      <c r="C105" s="891"/>
      <c r="D105" s="902"/>
      <c r="E105" s="904"/>
      <c r="F105" s="904"/>
      <c r="G105" s="904"/>
      <c r="H105" s="904"/>
      <c r="I105" s="904"/>
      <c r="J105" s="904"/>
      <c r="K105" s="904"/>
      <c r="L105" s="912"/>
      <c r="M105" s="912"/>
      <c r="N105" s="912"/>
      <c r="O105" s="912"/>
      <c r="P105" s="912"/>
      <c r="Q105" s="912"/>
      <c r="R105" s="941"/>
      <c r="S105" s="941"/>
      <c r="T105" s="941"/>
      <c r="U105" s="938"/>
      <c r="V105" s="938">
        <f t="shared" si="16"/>
        <v>0</v>
      </c>
      <c r="W105" s="942"/>
      <c r="X105" s="957"/>
      <c r="Y105" s="942">
        <f t="shared" si="17"/>
        <v>0</v>
      </c>
      <c r="Z105" s="957"/>
      <c r="AA105" s="942">
        <f t="shared" si="18"/>
        <v>0</v>
      </c>
      <c r="AB105" s="394"/>
      <c r="AC105" s="394"/>
      <c r="AD105" s="394"/>
    </row>
    <row r="106" spans="1:30">
      <c r="A106" s="726" t="s">
        <v>128</v>
      </c>
      <c r="B106" s="891"/>
      <c r="C106" s="891"/>
      <c r="D106" s="902"/>
      <c r="E106" s="904"/>
      <c r="F106" s="904"/>
      <c r="G106" s="904"/>
      <c r="H106" s="904"/>
      <c r="I106" s="904"/>
      <c r="J106" s="904"/>
      <c r="K106" s="904"/>
      <c r="L106" s="912"/>
      <c r="M106" s="912"/>
      <c r="N106" s="912"/>
      <c r="O106" s="912"/>
      <c r="P106" s="912"/>
      <c r="Q106" s="912"/>
      <c r="R106" s="941"/>
      <c r="S106" s="941"/>
      <c r="T106" s="941"/>
      <c r="U106" s="938"/>
      <c r="V106" s="938">
        <f t="shared" si="16"/>
        <v>0</v>
      </c>
      <c r="W106" s="942"/>
      <c r="X106" s="957"/>
      <c r="Y106" s="942">
        <f t="shared" si="17"/>
        <v>0</v>
      </c>
      <c r="Z106" s="957"/>
      <c r="AA106" s="942">
        <f t="shared" si="18"/>
        <v>0</v>
      </c>
      <c r="AB106" s="394"/>
      <c r="AC106" s="394"/>
      <c r="AD106" s="394"/>
    </row>
    <row r="107" spans="1:30">
      <c r="A107" s="726" t="s">
        <v>128</v>
      </c>
      <c r="B107" s="891"/>
      <c r="C107" s="891"/>
      <c r="D107" s="902"/>
      <c r="E107" s="904"/>
      <c r="F107" s="904"/>
      <c r="G107" s="904"/>
      <c r="H107" s="904"/>
      <c r="I107" s="904"/>
      <c r="J107" s="904"/>
      <c r="K107" s="904"/>
      <c r="L107" s="912"/>
      <c r="M107" s="912"/>
      <c r="N107" s="912"/>
      <c r="O107" s="912"/>
      <c r="P107" s="912"/>
      <c r="Q107" s="912"/>
      <c r="R107" s="941"/>
      <c r="S107" s="941"/>
      <c r="T107" s="941"/>
      <c r="U107" s="938"/>
      <c r="V107" s="938">
        <f t="shared" si="16"/>
        <v>0</v>
      </c>
      <c r="W107" s="942"/>
      <c r="X107" s="957"/>
      <c r="Y107" s="942">
        <f t="shared" si="17"/>
        <v>0</v>
      </c>
      <c r="Z107" s="957"/>
      <c r="AA107" s="942">
        <f t="shared" si="18"/>
        <v>0</v>
      </c>
      <c r="AB107" s="394"/>
      <c r="AC107" s="394"/>
      <c r="AD107" s="394"/>
    </row>
    <row r="108" spans="1:30">
      <c r="A108" s="726" t="s">
        <v>128</v>
      </c>
      <c r="B108" s="891"/>
      <c r="C108" s="891"/>
      <c r="D108" s="902"/>
      <c r="E108" s="904"/>
      <c r="F108" s="904"/>
      <c r="G108" s="904"/>
      <c r="H108" s="904"/>
      <c r="I108" s="904"/>
      <c r="J108" s="904"/>
      <c r="K108" s="904"/>
      <c r="L108" s="912"/>
      <c r="M108" s="912"/>
      <c r="N108" s="912"/>
      <c r="O108" s="912"/>
      <c r="P108" s="912"/>
      <c r="Q108" s="912"/>
      <c r="R108" s="941"/>
      <c r="S108" s="941"/>
      <c r="T108" s="941"/>
      <c r="U108" s="938"/>
      <c r="V108" s="938">
        <f t="shared" si="16"/>
        <v>0</v>
      </c>
      <c r="W108" s="942"/>
      <c r="X108" s="957"/>
      <c r="Y108" s="942">
        <f t="shared" si="17"/>
        <v>0</v>
      </c>
      <c r="Z108" s="957"/>
      <c r="AA108" s="942">
        <f t="shared" si="18"/>
        <v>0</v>
      </c>
      <c r="AB108" s="394"/>
      <c r="AC108" s="394"/>
      <c r="AD108" s="394"/>
    </row>
    <row r="109" spans="1:30">
      <c r="A109" s="726" t="s">
        <v>128</v>
      </c>
      <c r="B109" s="891"/>
      <c r="C109" s="891"/>
      <c r="D109" s="902"/>
      <c r="E109" s="904"/>
      <c r="F109" s="904"/>
      <c r="G109" s="904"/>
      <c r="H109" s="904"/>
      <c r="I109" s="904"/>
      <c r="J109" s="904"/>
      <c r="K109" s="904"/>
      <c r="L109" s="912"/>
      <c r="M109" s="912"/>
      <c r="N109" s="912"/>
      <c r="O109" s="912"/>
      <c r="P109" s="912"/>
      <c r="Q109" s="912"/>
      <c r="R109" s="941"/>
      <c r="S109" s="941"/>
      <c r="T109" s="941"/>
      <c r="U109" s="938"/>
      <c r="V109" s="938">
        <f t="shared" si="16"/>
        <v>0</v>
      </c>
      <c r="W109" s="942"/>
      <c r="X109" s="957"/>
      <c r="Y109" s="942">
        <f t="shared" si="17"/>
        <v>0</v>
      </c>
      <c r="Z109" s="957"/>
      <c r="AA109" s="942">
        <f t="shared" si="18"/>
        <v>0</v>
      </c>
      <c r="AB109" s="394"/>
      <c r="AC109" s="394"/>
      <c r="AD109" s="394"/>
    </row>
    <row r="110" spans="1:30" ht="24" thickBot="1">
      <c r="A110" s="726" t="s">
        <v>128</v>
      </c>
      <c r="B110" s="891"/>
      <c r="C110" s="891"/>
      <c r="D110" s="902"/>
      <c r="E110" s="904"/>
      <c r="F110" s="904"/>
      <c r="G110" s="904"/>
      <c r="H110" s="904"/>
      <c r="I110" s="904"/>
      <c r="J110" s="904"/>
      <c r="K110" s="904"/>
      <c r="L110" s="912"/>
      <c r="M110" s="912"/>
      <c r="N110" s="912"/>
      <c r="O110" s="912"/>
      <c r="P110" s="912"/>
      <c r="Q110" s="912"/>
      <c r="R110" s="941"/>
      <c r="S110" s="941"/>
      <c r="T110" s="941"/>
      <c r="U110" s="938"/>
      <c r="V110" s="938">
        <f t="shared" si="16"/>
        <v>0</v>
      </c>
      <c r="W110" s="942"/>
      <c r="X110" s="957"/>
      <c r="Y110" s="942">
        <f t="shared" si="17"/>
        <v>0</v>
      </c>
      <c r="Z110" s="957"/>
      <c r="AA110" s="942">
        <f t="shared" si="18"/>
        <v>0</v>
      </c>
      <c r="AB110" s="394"/>
      <c r="AC110" s="394"/>
      <c r="AD110" s="394"/>
    </row>
    <row r="111" spans="1:30" ht="24" thickBot="1">
      <c r="A111" s="726" t="s">
        <v>128</v>
      </c>
      <c r="B111" s="891"/>
      <c r="C111" s="891"/>
      <c r="D111" s="902"/>
      <c r="E111" s="904"/>
      <c r="F111" s="904"/>
      <c r="G111" s="904"/>
      <c r="H111" s="904"/>
      <c r="I111" s="904"/>
      <c r="J111" s="904"/>
      <c r="K111" s="904"/>
      <c r="L111" s="912"/>
      <c r="M111" s="912"/>
      <c r="N111" s="912"/>
      <c r="O111" s="912"/>
      <c r="P111" s="912"/>
      <c r="Q111" s="912"/>
      <c r="R111" s="941"/>
      <c r="S111" s="941"/>
      <c r="T111" s="941"/>
      <c r="U111" s="938"/>
      <c r="V111" s="975">
        <f t="shared" si="16"/>
        <v>0</v>
      </c>
      <c r="W111" s="976"/>
      <c r="X111" s="977"/>
      <c r="Y111" s="976">
        <f t="shared" si="17"/>
        <v>0</v>
      </c>
      <c r="Z111" s="977"/>
      <c r="AA111" s="976">
        <f t="shared" si="18"/>
        <v>0</v>
      </c>
      <c r="AB111" s="971" t="s">
        <v>8</v>
      </c>
      <c r="AC111" s="967" t="s">
        <v>197</v>
      </c>
      <c r="AD111" s="398" t="s">
        <v>174</v>
      </c>
    </row>
    <row r="112" spans="1:30" ht="24" thickBot="1">
      <c r="A112" s="326" t="s">
        <v>129</v>
      </c>
      <c r="B112" s="895"/>
      <c r="C112" s="895"/>
      <c r="D112" s="896"/>
      <c r="E112" s="897">
        <f>SUM(E87:E111)</f>
        <v>0</v>
      </c>
      <c r="F112" s="897">
        <f t="shared" ref="F112:R112" si="19">SUM(F87:F111)</f>
        <v>0</v>
      </c>
      <c r="G112" s="897">
        <f t="shared" si="19"/>
        <v>0</v>
      </c>
      <c r="H112" s="897">
        <f t="shared" si="19"/>
        <v>0</v>
      </c>
      <c r="I112" s="897">
        <f t="shared" si="19"/>
        <v>0</v>
      </c>
      <c r="J112" s="897">
        <f t="shared" si="19"/>
        <v>0</v>
      </c>
      <c r="K112" s="897">
        <f t="shared" si="19"/>
        <v>0</v>
      </c>
      <c r="L112" s="897">
        <f t="shared" si="19"/>
        <v>0</v>
      </c>
      <c r="M112" s="897">
        <f t="shared" si="19"/>
        <v>0</v>
      </c>
      <c r="N112" s="897">
        <f t="shared" si="19"/>
        <v>0</v>
      </c>
      <c r="O112" s="897">
        <f t="shared" si="19"/>
        <v>0</v>
      </c>
      <c r="P112" s="897">
        <f t="shared" si="19"/>
        <v>0</v>
      </c>
      <c r="Q112" s="897">
        <f t="shared" si="19"/>
        <v>0</v>
      </c>
      <c r="R112" s="897">
        <f t="shared" si="19"/>
        <v>0</v>
      </c>
      <c r="S112" s="897">
        <f t="shared" ref="S112:T112" si="20">SUM(S87:S111)</f>
        <v>0</v>
      </c>
      <c r="T112" s="897">
        <f t="shared" si="20"/>
        <v>0</v>
      </c>
      <c r="U112" s="932"/>
      <c r="V112" s="933">
        <f>SUM(V87:V111)</f>
        <v>0</v>
      </c>
      <c r="W112" s="933">
        <f>SUM(W87:W111)</f>
        <v>0</v>
      </c>
      <c r="X112" s="934"/>
      <c r="Y112" s="934">
        <f>SUM(Y87:Y111)</f>
        <v>0</v>
      </c>
      <c r="Z112" s="934">
        <f>SUM(Z87:Z111)</f>
        <v>0</v>
      </c>
      <c r="AA112" s="973">
        <f>SUM(AA87:AA111)</f>
        <v>0</v>
      </c>
      <c r="AB112" s="399">
        <f>'BIG CHAIR'!CL104</f>
        <v>0</v>
      </c>
      <c r="AC112" s="400">
        <f>'Jordan Chair'!AH145</f>
        <v>0</v>
      </c>
      <c r="AD112" s="401">
        <f>Y112+AB112+AC112</f>
        <v>0</v>
      </c>
    </row>
    <row r="113" spans="1:30" s="870" customFormat="1" ht="24" thickBot="1">
      <c r="A113" s="286" t="s">
        <v>130</v>
      </c>
      <c r="B113" s="877" t="s">
        <v>68</v>
      </c>
      <c r="C113" s="877" t="s">
        <v>69</v>
      </c>
      <c r="D113" s="878" t="s">
        <v>70</v>
      </c>
      <c r="E113" s="879" t="s">
        <v>71</v>
      </c>
      <c r="F113" s="880" t="s">
        <v>407</v>
      </c>
      <c r="G113" s="880" t="s">
        <v>250</v>
      </c>
      <c r="H113" s="879" t="s">
        <v>193</v>
      </c>
      <c r="I113" s="879" t="s">
        <v>170</v>
      </c>
      <c r="J113" s="879" t="s">
        <v>92</v>
      </c>
      <c r="K113" s="879" t="s">
        <v>194</v>
      </c>
      <c r="L113" s="880" t="s">
        <v>195</v>
      </c>
      <c r="M113" s="880" t="s">
        <v>468</v>
      </c>
      <c r="N113" s="880" t="s">
        <v>94</v>
      </c>
      <c r="O113" s="880" t="s">
        <v>86</v>
      </c>
      <c r="P113" s="880" t="s">
        <v>420</v>
      </c>
      <c r="Q113" s="880" t="s">
        <v>95</v>
      </c>
      <c r="R113" s="49" t="s">
        <v>77</v>
      </c>
      <c r="S113" s="914" t="s">
        <v>53</v>
      </c>
      <c r="T113" s="914" t="s">
        <v>149</v>
      </c>
      <c r="U113" s="915"/>
      <c r="V113" s="952" t="s">
        <v>104</v>
      </c>
      <c r="W113" s="953" t="s">
        <v>105</v>
      </c>
      <c r="X113" s="954"/>
      <c r="Y113" s="918" t="s">
        <v>106</v>
      </c>
      <c r="Z113" s="917" t="s">
        <v>107</v>
      </c>
      <c r="AA113" s="960" t="s">
        <v>108</v>
      </c>
      <c r="AB113" s="403"/>
      <c r="AC113" s="403"/>
      <c r="AD113" s="403"/>
    </row>
    <row r="114" spans="1:30" s="282" customFormat="1">
      <c r="A114" s="726" t="s">
        <v>131</v>
      </c>
      <c r="B114" s="891"/>
      <c r="C114" s="891"/>
      <c r="D114" s="902"/>
      <c r="E114" s="903"/>
      <c r="F114" s="903"/>
      <c r="G114" s="903"/>
      <c r="H114" s="903"/>
      <c r="I114" s="903"/>
      <c r="J114" s="903"/>
      <c r="K114" s="903"/>
      <c r="L114" s="911"/>
      <c r="M114" s="911"/>
      <c r="N114" s="911"/>
      <c r="O114" s="911"/>
      <c r="P114" s="911"/>
      <c r="Q114" s="911"/>
      <c r="R114" s="937"/>
      <c r="S114" s="937"/>
      <c r="T114" s="937"/>
      <c r="U114" s="938"/>
      <c r="V114" s="955">
        <f t="shared" ref="V114:V138" si="21">SUM(E114:T114)</f>
        <v>0</v>
      </c>
      <c r="W114" s="956"/>
      <c r="X114" s="742"/>
      <c r="Y114" s="940">
        <f t="shared" ref="Y114:Y138" si="22">V114+W114</f>
        <v>0</v>
      </c>
      <c r="Z114" s="742"/>
      <c r="AA114" s="940">
        <f>Y114+Z114</f>
        <v>0</v>
      </c>
      <c r="AB114" s="394"/>
      <c r="AC114" s="394"/>
      <c r="AD114" s="394"/>
    </row>
    <row r="115" spans="1:30">
      <c r="A115" s="726" t="s">
        <v>131</v>
      </c>
      <c r="B115" s="891"/>
      <c r="C115" s="891"/>
      <c r="D115" s="902"/>
      <c r="E115" s="904"/>
      <c r="F115" s="904"/>
      <c r="G115" s="904"/>
      <c r="H115" s="904"/>
      <c r="I115" s="904"/>
      <c r="J115" s="904"/>
      <c r="K115" s="904"/>
      <c r="L115" s="912"/>
      <c r="M115" s="912"/>
      <c r="N115" s="912"/>
      <c r="O115" s="912"/>
      <c r="P115" s="912"/>
      <c r="Q115" s="912"/>
      <c r="R115" s="941"/>
      <c r="S115" s="941"/>
      <c r="T115" s="941"/>
      <c r="U115" s="938"/>
      <c r="V115" s="938">
        <f t="shared" si="21"/>
        <v>0</v>
      </c>
      <c r="W115" s="942"/>
      <c r="X115" s="957"/>
      <c r="Y115" s="942">
        <f t="shared" si="22"/>
        <v>0</v>
      </c>
      <c r="Z115" s="957"/>
      <c r="AA115" s="942">
        <f t="shared" ref="AA115:AA138" si="23">Y115+Z115</f>
        <v>0</v>
      </c>
      <c r="AB115" s="394"/>
      <c r="AC115" s="394"/>
      <c r="AD115" s="394"/>
    </row>
    <row r="116" spans="1:30">
      <c r="A116" s="726" t="s">
        <v>131</v>
      </c>
      <c r="B116" s="891"/>
      <c r="C116" s="891"/>
      <c r="D116" s="902"/>
      <c r="E116" s="904"/>
      <c r="F116" s="904"/>
      <c r="G116" s="904"/>
      <c r="H116" s="904"/>
      <c r="I116" s="904"/>
      <c r="J116" s="904"/>
      <c r="K116" s="904"/>
      <c r="L116" s="912"/>
      <c r="M116" s="912"/>
      <c r="N116" s="912"/>
      <c r="O116" s="912"/>
      <c r="P116" s="912"/>
      <c r="Q116" s="912"/>
      <c r="R116" s="941"/>
      <c r="S116" s="941"/>
      <c r="T116" s="941"/>
      <c r="U116" s="938"/>
      <c r="V116" s="938">
        <f t="shared" si="21"/>
        <v>0</v>
      </c>
      <c r="W116" s="942"/>
      <c r="X116" s="957"/>
      <c r="Y116" s="942">
        <f t="shared" si="22"/>
        <v>0</v>
      </c>
      <c r="Z116" s="957"/>
      <c r="AA116" s="942">
        <f t="shared" si="23"/>
        <v>0</v>
      </c>
      <c r="AB116" s="394"/>
      <c r="AC116" s="394"/>
      <c r="AD116" s="394"/>
    </row>
    <row r="117" spans="1:30">
      <c r="A117" s="726" t="s">
        <v>131</v>
      </c>
      <c r="B117" s="891"/>
      <c r="C117" s="891"/>
      <c r="D117" s="902"/>
      <c r="E117" s="904"/>
      <c r="F117" s="904"/>
      <c r="G117" s="904"/>
      <c r="H117" s="904"/>
      <c r="I117" s="904"/>
      <c r="J117" s="904"/>
      <c r="K117" s="904"/>
      <c r="L117" s="912"/>
      <c r="M117" s="912"/>
      <c r="N117" s="912"/>
      <c r="O117" s="912"/>
      <c r="P117" s="912"/>
      <c r="Q117" s="912"/>
      <c r="R117" s="912"/>
      <c r="S117" s="941"/>
      <c r="T117" s="941"/>
      <c r="U117" s="938"/>
      <c r="V117" s="938">
        <f t="shared" si="21"/>
        <v>0</v>
      </c>
      <c r="W117" s="942"/>
      <c r="X117" s="957"/>
      <c r="Y117" s="942">
        <f t="shared" si="22"/>
        <v>0</v>
      </c>
      <c r="Z117" s="957"/>
      <c r="AA117" s="942">
        <f t="shared" si="23"/>
        <v>0</v>
      </c>
      <c r="AB117" s="394"/>
      <c r="AC117" s="394"/>
      <c r="AD117" s="394"/>
    </row>
    <row r="118" spans="1:30">
      <c r="A118" s="726" t="s">
        <v>131</v>
      </c>
      <c r="B118" s="891"/>
      <c r="C118" s="891"/>
      <c r="D118" s="902"/>
      <c r="E118" s="904"/>
      <c r="F118" s="904"/>
      <c r="G118" s="904"/>
      <c r="H118" s="904"/>
      <c r="I118" s="904"/>
      <c r="J118" s="904"/>
      <c r="K118" s="904"/>
      <c r="L118" s="912"/>
      <c r="M118" s="912"/>
      <c r="N118" s="912"/>
      <c r="O118" s="912"/>
      <c r="P118" s="974"/>
      <c r="Q118" s="912"/>
      <c r="R118" s="941"/>
      <c r="S118" s="941"/>
      <c r="T118" s="941"/>
      <c r="U118" s="938"/>
      <c r="V118" s="938">
        <f t="shared" si="21"/>
        <v>0</v>
      </c>
      <c r="W118" s="942"/>
      <c r="X118" s="957"/>
      <c r="Y118" s="942">
        <f t="shared" si="22"/>
        <v>0</v>
      </c>
      <c r="Z118" s="957"/>
      <c r="AA118" s="942">
        <f t="shared" si="23"/>
        <v>0</v>
      </c>
      <c r="AB118" s="394"/>
      <c r="AC118" s="394"/>
      <c r="AD118" s="394"/>
    </row>
    <row r="119" spans="1:30">
      <c r="A119" s="726" t="s">
        <v>131</v>
      </c>
      <c r="B119" s="891"/>
      <c r="C119" s="891"/>
      <c r="D119" s="902"/>
      <c r="E119" s="904"/>
      <c r="F119" s="904"/>
      <c r="G119" s="904"/>
      <c r="H119" s="904"/>
      <c r="I119" s="904"/>
      <c r="J119" s="904"/>
      <c r="K119" s="904"/>
      <c r="L119" s="912"/>
      <c r="M119" s="912"/>
      <c r="N119" s="912"/>
      <c r="O119" s="912"/>
      <c r="P119" s="912"/>
      <c r="Q119" s="912"/>
      <c r="R119" s="941"/>
      <c r="S119" s="941"/>
      <c r="T119" s="941"/>
      <c r="U119" s="938"/>
      <c r="V119" s="938">
        <f t="shared" si="21"/>
        <v>0</v>
      </c>
      <c r="W119" s="942"/>
      <c r="X119" s="957"/>
      <c r="Y119" s="942">
        <f t="shared" si="22"/>
        <v>0</v>
      </c>
      <c r="Z119" s="957"/>
      <c r="AA119" s="942">
        <f t="shared" si="23"/>
        <v>0</v>
      </c>
      <c r="AB119" s="394"/>
      <c r="AC119" s="394"/>
      <c r="AD119" s="394"/>
    </row>
    <row r="120" spans="1:30" s="870" customFormat="1">
      <c r="A120" s="726" t="s">
        <v>131</v>
      </c>
      <c r="B120" s="891"/>
      <c r="C120" s="891"/>
      <c r="D120" s="902"/>
      <c r="E120" s="904"/>
      <c r="F120" s="904"/>
      <c r="G120" s="904"/>
      <c r="H120" s="904"/>
      <c r="I120" s="904"/>
      <c r="J120" s="904"/>
      <c r="K120" s="904"/>
      <c r="L120" s="912"/>
      <c r="M120" s="912"/>
      <c r="N120" s="912"/>
      <c r="O120" s="912"/>
      <c r="P120" s="912"/>
      <c r="Q120" s="912"/>
      <c r="R120" s="941"/>
      <c r="S120" s="941"/>
      <c r="T120" s="941"/>
      <c r="U120" s="938"/>
      <c r="V120" s="938">
        <f t="shared" si="21"/>
        <v>0</v>
      </c>
      <c r="W120" s="942"/>
      <c r="X120" s="957"/>
      <c r="Y120" s="942">
        <f t="shared" si="22"/>
        <v>0</v>
      </c>
      <c r="Z120" s="957"/>
      <c r="AA120" s="942">
        <f t="shared" si="23"/>
        <v>0</v>
      </c>
      <c r="AB120" s="394"/>
      <c r="AC120" s="394"/>
      <c r="AD120" s="394"/>
    </row>
    <row r="121" spans="1:30" s="870" customFormat="1">
      <c r="A121" s="726" t="s">
        <v>131</v>
      </c>
      <c r="B121" s="891"/>
      <c r="C121" s="891"/>
      <c r="D121" s="902"/>
      <c r="E121" s="904"/>
      <c r="F121" s="904"/>
      <c r="G121" s="904"/>
      <c r="H121" s="904"/>
      <c r="I121" s="904"/>
      <c r="J121" s="904"/>
      <c r="K121" s="904"/>
      <c r="L121" s="912"/>
      <c r="M121" s="912"/>
      <c r="N121" s="912"/>
      <c r="O121" s="912"/>
      <c r="P121" s="912"/>
      <c r="Q121" s="912"/>
      <c r="R121" s="941"/>
      <c r="S121" s="941"/>
      <c r="T121" s="941"/>
      <c r="U121" s="938"/>
      <c r="V121" s="938">
        <f t="shared" si="21"/>
        <v>0</v>
      </c>
      <c r="W121" s="942"/>
      <c r="X121" s="957"/>
      <c r="Y121" s="942">
        <f t="shared" si="22"/>
        <v>0</v>
      </c>
      <c r="Z121" s="957"/>
      <c r="AA121" s="942">
        <f t="shared" si="23"/>
        <v>0</v>
      </c>
      <c r="AB121" s="394"/>
      <c r="AC121" s="394"/>
      <c r="AD121" s="394"/>
    </row>
    <row r="122" spans="1:30" s="282" customFormat="1">
      <c r="A122" s="726" t="s">
        <v>131</v>
      </c>
      <c r="B122" s="891"/>
      <c r="C122" s="891"/>
      <c r="D122" s="902"/>
      <c r="E122" s="904"/>
      <c r="F122" s="904"/>
      <c r="G122" s="904"/>
      <c r="H122" s="904"/>
      <c r="I122" s="904"/>
      <c r="J122" s="904"/>
      <c r="K122" s="904"/>
      <c r="L122" s="912"/>
      <c r="M122" s="912"/>
      <c r="N122" s="912"/>
      <c r="O122" s="912"/>
      <c r="P122" s="912"/>
      <c r="Q122" s="912"/>
      <c r="R122" s="941"/>
      <c r="S122" s="941"/>
      <c r="T122" s="941"/>
      <c r="U122" s="938"/>
      <c r="V122" s="938">
        <f t="shared" si="21"/>
        <v>0</v>
      </c>
      <c r="W122" s="942"/>
      <c r="X122" s="957"/>
      <c r="Y122" s="942">
        <f t="shared" si="22"/>
        <v>0</v>
      </c>
      <c r="Z122" s="957"/>
      <c r="AA122" s="942">
        <f t="shared" si="23"/>
        <v>0</v>
      </c>
      <c r="AB122" s="394"/>
      <c r="AC122" s="394"/>
      <c r="AD122" s="394"/>
    </row>
    <row r="123" spans="1:30">
      <c r="A123" s="726" t="s">
        <v>131</v>
      </c>
      <c r="B123" s="891"/>
      <c r="C123" s="891"/>
      <c r="D123" s="902"/>
      <c r="E123" s="904"/>
      <c r="F123" s="904"/>
      <c r="G123" s="904"/>
      <c r="H123" s="904"/>
      <c r="I123" s="904"/>
      <c r="J123" s="904"/>
      <c r="K123" s="904"/>
      <c r="L123" s="912"/>
      <c r="M123" s="912"/>
      <c r="N123" s="912"/>
      <c r="O123" s="912"/>
      <c r="P123" s="912"/>
      <c r="Q123" s="912"/>
      <c r="R123" s="941"/>
      <c r="S123" s="941"/>
      <c r="T123" s="941"/>
      <c r="U123" s="938"/>
      <c r="V123" s="938">
        <f t="shared" si="21"/>
        <v>0</v>
      </c>
      <c r="W123" s="942"/>
      <c r="X123" s="957"/>
      <c r="Y123" s="942">
        <f t="shared" si="22"/>
        <v>0</v>
      </c>
      <c r="Z123" s="957"/>
      <c r="AA123" s="942">
        <f t="shared" si="23"/>
        <v>0</v>
      </c>
      <c r="AB123" s="394"/>
      <c r="AC123" s="394"/>
      <c r="AD123" s="394"/>
    </row>
    <row r="124" spans="1:30">
      <c r="A124" s="726" t="s">
        <v>131</v>
      </c>
      <c r="B124" s="891"/>
      <c r="C124" s="891"/>
      <c r="D124" s="902"/>
      <c r="E124" s="904"/>
      <c r="F124" s="904"/>
      <c r="G124" s="904"/>
      <c r="H124" s="904"/>
      <c r="I124" s="904"/>
      <c r="J124" s="904"/>
      <c r="K124" s="904"/>
      <c r="L124" s="912"/>
      <c r="M124" s="912"/>
      <c r="N124" s="912"/>
      <c r="O124" s="912"/>
      <c r="P124" s="912"/>
      <c r="Q124" s="912"/>
      <c r="R124" s="941"/>
      <c r="S124" s="941"/>
      <c r="T124" s="941"/>
      <c r="U124" s="938"/>
      <c r="V124" s="938">
        <f t="shared" si="21"/>
        <v>0</v>
      </c>
      <c r="W124" s="942"/>
      <c r="X124" s="957"/>
      <c r="Y124" s="942">
        <f t="shared" si="22"/>
        <v>0</v>
      </c>
      <c r="Z124" s="957"/>
      <c r="AA124" s="942">
        <f t="shared" si="23"/>
        <v>0</v>
      </c>
      <c r="AB124" s="394"/>
      <c r="AC124" s="394"/>
      <c r="AD124" s="394"/>
    </row>
    <row r="125" spans="1:30">
      <c r="A125" s="726" t="s">
        <v>131</v>
      </c>
      <c r="B125" s="891"/>
      <c r="C125" s="891"/>
      <c r="D125" s="902"/>
      <c r="E125" s="904"/>
      <c r="F125" s="904"/>
      <c r="G125" s="904"/>
      <c r="H125" s="904"/>
      <c r="I125" s="904"/>
      <c r="J125" s="904"/>
      <c r="K125" s="904"/>
      <c r="L125" s="912"/>
      <c r="M125" s="912"/>
      <c r="N125" s="912"/>
      <c r="O125" s="912"/>
      <c r="P125" s="912"/>
      <c r="Q125" s="912"/>
      <c r="R125" s="941"/>
      <c r="S125" s="941"/>
      <c r="T125" s="941"/>
      <c r="U125" s="938"/>
      <c r="V125" s="938">
        <f t="shared" si="21"/>
        <v>0</v>
      </c>
      <c r="W125" s="942"/>
      <c r="X125" s="957"/>
      <c r="Y125" s="942">
        <f t="shared" si="22"/>
        <v>0</v>
      </c>
      <c r="Z125" s="957"/>
      <c r="AA125" s="942">
        <f t="shared" si="23"/>
        <v>0</v>
      </c>
      <c r="AB125" s="394"/>
      <c r="AC125" s="394"/>
      <c r="AD125" s="394"/>
    </row>
    <row r="126" spans="1:30">
      <c r="A126" s="726" t="s">
        <v>131</v>
      </c>
      <c r="B126" s="891"/>
      <c r="C126" s="891"/>
      <c r="D126" s="902"/>
      <c r="E126" s="904"/>
      <c r="F126" s="904"/>
      <c r="G126" s="904"/>
      <c r="H126" s="904"/>
      <c r="I126" s="904"/>
      <c r="J126" s="904"/>
      <c r="K126" s="904"/>
      <c r="L126" s="912"/>
      <c r="M126" s="912"/>
      <c r="N126" s="912"/>
      <c r="O126" s="912"/>
      <c r="P126" s="912"/>
      <c r="Q126" s="912"/>
      <c r="R126" s="941"/>
      <c r="S126" s="941"/>
      <c r="T126" s="941"/>
      <c r="U126" s="938"/>
      <c r="V126" s="938">
        <f t="shared" si="21"/>
        <v>0</v>
      </c>
      <c r="W126" s="942"/>
      <c r="X126" s="957"/>
      <c r="Y126" s="942">
        <f t="shared" si="22"/>
        <v>0</v>
      </c>
      <c r="Z126" s="957"/>
      <c r="AA126" s="942">
        <f t="shared" si="23"/>
        <v>0</v>
      </c>
      <c r="AB126" s="394"/>
      <c r="AC126" s="394"/>
      <c r="AD126" s="394"/>
    </row>
    <row r="127" spans="1:30">
      <c r="A127" s="726" t="s">
        <v>131</v>
      </c>
      <c r="B127" s="891"/>
      <c r="C127" s="891"/>
      <c r="D127" s="902"/>
      <c r="E127" s="904"/>
      <c r="F127" s="904"/>
      <c r="G127" s="904"/>
      <c r="H127" s="904"/>
      <c r="I127" s="904"/>
      <c r="J127" s="904"/>
      <c r="K127" s="904"/>
      <c r="L127" s="912"/>
      <c r="M127" s="912"/>
      <c r="N127" s="912"/>
      <c r="O127" s="912"/>
      <c r="P127" s="912"/>
      <c r="Q127" s="912"/>
      <c r="R127" s="941"/>
      <c r="S127" s="941"/>
      <c r="T127" s="941"/>
      <c r="U127" s="938"/>
      <c r="V127" s="938">
        <f t="shared" si="21"/>
        <v>0</v>
      </c>
      <c r="W127" s="942"/>
      <c r="X127" s="957"/>
      <c r="Y127" s="942">
        <f t="shared" si="22"/>
        <v>0</v>
      </c>
      <c r="Z127" s="957"/>
      <c r="AA127" s="942">
        <f t="shared" si="23"/>
        <v>0</v>
      </c>
      <c r="AB127" s="394"/>
      <c r="AC127" s="394"/>
      <c r="AD127" s="394"/>
    </row>
    <row r="128" spans="1:30" s="870" customFormat="1">
      <c r="A128" s="726" t="s">
        <v>131</v>
      </c>
      <c r="B128" s="891"/>
      <c r="C128" s="891"/>
      <c r="D128" s="902"/>
      <c r="E128" s="904"/>
      <c r="F128" s="904"/>
      <c r="G128" s="904"/>
      <c r="H128" s="904"/>
      <c r="I128" s="904"/>
      <c r="J128" s="904"/>
      <c r="K128" s="904"/>
      <c r="L128" s="912"/>
      <c r="M128" s="912"/>
      <c r="N128" s="912"/>
      <c r="O128" s="912"/>
      <c r="P128" s="912"/>
      <c r="Q128" s="912"/>
      <c r="R128" s="941"/>
      <c r="S128" s="941"/>
      <c r="T128" s="941"/>
      <c r="U128" s="938"/>
      <c r="V128" s="938">
        <f t="shared" si="21"/>
        <v>0</v>
      </c>
      <c r="W128" s="942"/>
      <c r="X128" s="957"/>
      <c r="Y128" s="942">
        <f t="shared" si="22"/>
        <v>0</v>
      </c>
      <c r="Z128" s="957"/>
      <c r="AA128" s="942">
        <f t="shared" si="23"/>
        <v>0</v>
      </c>
      <c r="AB128" s="394"/>
      <c r="AC128" s="394"/>
      <c r="AD128" s="394"/>
    </row>
    <row r="129" spans="1:30" s="870" customFormat="1">
      <c r="A129" s="726" t="s">
        <v>131</v>
      </c>
      <c r="B129" s="891"/>
      <c r="C129" s="891"/>
      <c r="D129" s="902"/>
      <c r="E129" s="904"/>
      <c r="F129" s="904"/>
      <c r="G129" s="904"/>
      <c r="H129" s="904"/>
      <c r="I129" s="904"/>
      <c r="J129" s="904"/>
      <c r="K129" s="904"/>
      <c r="L129" s="912"/>
      <c r="M129" s="912"/>
      <c r="N129" s="912"/>
      <c r="O129" s="912"/>
      <c r="P129" s="912"/>
      <c r="Q129" s="912"/>
      <c r="R129" s="941"/>
      <c r="S129" s="941"/>
      <c r="T129" s="941"/>
      <c r="U129" s="938"/>
      <c r="V129" s="938">
        <f t="shared" si="21"/>
        <v>0</v>
      </c>
      <c r="W129" s="942"/>
      <c r="X129" s="957"/>
      <c r="Y129" s="942">
        <f t="shared" si="22"/>
        <v>0</v>
      </c>
      <c r="Z129" s="957"/>
      <c r="AA129" s="942">
        <f t="shared" si="23"/>
        <v>0</v>
      </c>
      <c r="AB129" s="394"/>
      <c r="AC129" s="394"/>
      <c r="AD129" s="394"/>
    </row>
    <row r="130" spans="1:30" s="282" customFormat="1">
      <c r="A130" s="726" t="s">
        <v>131</v>
      </c>
      <c r="B130" s="891"/>
      <c r="C130" s="891"/>
      <c r="D130" s="902"/>
      <c r="E130" s="904"/>
      <c r="F130" s="904"/>
      <c r="G130" s="904"/>
      <c r="H130" s="904"/>
      <c r="I130" s="904"/>
      <c r="J130" s="904"/>
      <c r="K130" s="904"/>
      <c r="L130" s="912"/>
      <c r="M130" s="912"/>
      <c r="N130" s="912"/>
      <c r="O130" s="912"/>
      <c r="P130" s="912"/>
      <c r="Q130" s="912"/>
      <c r="R130" s="941"/>
      <c r="S130" s="941"/>
      <c r="T130" s="941"/>
      <c r="U130" s="938"/>
      <c r="V130" s="938">
        <f t="shared" si="21"/>
        <v>0</v>
      </c>
      <c r="W130" s="942"/>
      <c r="X130" s="957"/>
      <c r="Y130" s="942">
        <f t="shared" si="22"/>
        <v>0</v>
      </c>
      <c r="Z130" s="957"/>
      <c r="AA130" s="942">
        <f t="shared" si="23"/>
        <v>0</v>
      </c>
      <c r="AB130" s="394"/>
      <c r="AC130" s="394"/>
      <c r="AD130" s="394"/>
    </row>
    <row r="131" spans="1:30">
      <c r="A131" s="726" t="s">
        <v>131</v>
      </c>
      <c r="B131" s="891"/>
      <c r="C131" s="891"/>
      <c r="D131" s="902"/>
      <c r="E131" s="904"/>
      <c r="F131" s="904"/>
      <c r="G131" s="904"/>
      <c r="H131" s="904"/>
      <c r="I131" s="904"/>
      <c r="J131" s="904"/>
      <c r="K131" s="904"/>
      <c r="L131" s="912"/>
      <c r="M131" s="912"/>
      <c r="N131" s="912"/>
      <c r="O131" s="912"/>
      <c r="P131" s="912"/>
      <c r="Q131" s="912"/>
      <c r="R131" s="941"/>
      <c r="S131" s="941"/>
      <c r="T131" s="941"/>
      <c r="U131" s="938"/>
      <c r="V131" s="938">
        <f t="shared" si="21"/>
        <v>0</v>
      </c>
      <c r="W131" s="942"/>
      <c r="X131" s="957"/>
      <c r="Y131" s="942">
        <f t="shared" si="22"/>
        <v>0</v>
      </c>
      <c r="Z131" s="957"/>
      <c r="AA131" s="942">
        <f t="shared" si="23"/>
        <v>0</v>
      </c>
      <c r="AB131" s="394"/>
      <c r="AC131" s="394"/>
      <c r="AD131" s="394"/>
    </row>
    <row r="132" spans="1:30">
      <c r="A132" s="726" t="s">
        <v>131</v>
      </c>
      <c r="B132" s="891"/>
      <c r="C132" s="891"/>
      <c r="D132" s="902"/>
      <c r="E132" s="904"/>
      <c r="F132" s="904"/>
      <c r="G132" s="904"/>
      <c r="H132" s="904"/>
      <c r="I132" s="904"/>
      <c r="J132" s="904"/>
      <c r="K132" s="904"/>
      <c r="L132" s="912"/>
      <c r="M132" s="912"/>
      <c r="N132" s="912"/>
      <c r="O132" s="912"/>
      <c r="P132" s="912"/>
      <c r="Q132" s="912"/>
      <c r="R132" s="941"/>
      <c r="S132" s="941"/>
      <c r="T132" s="941"/>
      <c r="U132" s="938"/>
      <c r="V132" s="938">
        <f t="shared" si="21"/>
        <v>0</v>
      </c>
      <c r="W132" s="942"/>
      <c r="X132" s="957"/>
      <c r="Y132" s="942">
        <f t="shared" si="22"/>
        <v>0</v>
      </c>
      <c r="Z132" s="957"/>
      <c r="AA132" s="942">
        <f t="shared" si="23"/>
        <v>0</v>
      </c>
      <c r="AB132" s="394"/>
      <c r="AC132" s="394"/>
      <c r="AD132" s="394"/>
    </row>
    <row r="133" spans="1:30">
      <c r="A133" s="726" t="s">
        <v>131</v>
      </c>
      <c r="B133" s="891"/>
      <c r="C133" s="891"/>
      <c r="D133" s="902"/>
      <c r="E133" s="904"/>
      <c r="F133" s="904"/>
      <c r="G133" s="904"/>
      <c r="H133" s="904"/>
      <c r="I133" s="904"/>
      <c r="J133" s="904"/>
      <c r="K133" s="904"/>
      <c r="L133" s="912"/>
      <c r="M133" s="912"/>
      <c r="N133" s="912"/>
      <c r="O133" s="912"/>
      <c r="P133" s="912"/>
      <c r="Q133" s="912"/>
      <c r="R133" s="941"/>
      <c r="S133" s="941"/>
      <c r="T133" s="941"/>
      <c r="U133" s="938"/>
      <c r="V133" s="938">
        <f t="shared" si="21"/>
        <v>0</v>
      </c>
      <c r="W133" s="942"/>
      <c r="X133" s="957"/>
      <c r="Y133" s="942">
        <f t="shared" si="22"/>
        <v>0</v>
      </c>
      <c r="Z133" s="957"/>
      <c r="AA133" s="942">
        <f t="shared" si="23"/>
        <v>0</v>
      </c>
      <c r="AB133" s="394"/>
      <c r="AC133" s="394"/>
      <c r="AD133" s="394"/>
    </row>
    <row r="134" spans="1:30">
      <c r="A134" s="726" t="s">
        <v>131</v>
      </c>
      <c r="B134" s="891"/>
      <c r="C134" s="891"/>
      <c r="D134" s="902"/>
      <c r="E134" s="904"/>
      <c r="F134" s="904"/>
      <c r="G134" s="904"/>
      <c r="H134" s="904"/>
      <c r="I134" s="904"/>
      <c r="J134" s="904"/>
      <c r="K134" s="904"/>
      <c r="L134" s="912"/>
      <c r="M134" s="912"/>
      <c r="N134" s="912"/>
      <c r="O134" s="912"/>
      <c r="P134" s="912"/>
      <c r="Q134" s="912"/>
      <c r="R134" s="941"/>
      <c r="S134" s="941"/>
      <c r="T134" s="941"/>
      <c r="U134" s="938"/>
      <c r="V134" s="938">
        <f t="shared" si="21"/>
        <v>0</v>
      </c>
      <c r="W134" s="942"/>
      <c r="X134" s="957"/>
      <c r="Y134" s="942">
        <f t="shared" si="22"/>
        <v>0</v>
      </c>
      <c r="Z134" s="957"/>
      <c r="AA134" s="942">
        <f t="shared" si="23"/>
        <v>0</v>
      </c>
      <c r="AB134" s="394"/>
      <c r="AC134" s="394"/>
      <c r="AD134" s="394"/>
    </row>
    <row r="135" spans="1:30">
      <c r="A135" s="726" t="s">
        <v>131</v>
      </c>
      <c r="B135" s="891"/>
      <c r="C135" s="891"/>
      <c r="D135" s="902"/>
      <c r="E135" s="904"/>
      <c r="F135" s="904"/>
      <c r="G135" s="904"/>
      <c r="H135" s="904"/>
      <c r="I135" s="904"/>
      <c r="J135" s="904"/>
      <c r="K135" s="904"/>
      <c r="L135" s="912"/>
      <c r="M135" s="912"/>
      <c r="N135" s="912"/>
      <c r="O135" s="912"/>
      <c r="P135" s="912"/>
      <c r="Q135" s="912"/>
      <c r="R135" s="941"/>
      <c r="S135" s="941"/>
      <c r="T135" s="941"/>
      <c r="U135" s="938"/>
      <c r="V135" s="938">
        <f t="shared" si="21"/>
        <v>0</v>
      </c>
      <c r="W135" s="942"/>
      <c r="X135" s="957"/>
      <c r="Y135" s="942">
        <f t="shared" si="22"/>
        <v>0</v>
      </c>
      <c r="Z135" s="957"/>
      <c r="AA135" s="942">
        <f t="shared" si="23"/>
        <v>0</v>
      </c>
      <c r="AB135" s="394"/>
      <c r="AC135" s="394"/>
      <c r="AD135" s="394"/>
    </row>
    <row r="136" spans="1:30" s="870" customFormat="1">
      <c r="A136" s="726" t="s">
        <v>131</v>
      </c>
      <c r="B136" s="891"/>
      <c r="C136" s="891"/>
      <c r="D136" s="902"/>
      <c r="E136" s="904"/>
      <c r="F136" s="904"/>
      <c r="G136" s="904"/>
      <c r="H136" s="904"/>
      <c r="I136" s="904"/>
      <c r="J136" s="904"/>
      <c r="K136" s="904"/>
      <c r="L136" s="912"/>
      <c r="M136" s="912"/>
      <c r="N136" s="912"/>
      <c r="O136" s="912"/>
      <c r="P136" s="912"/>
      <c r="Q136" s="912"/>
      <c r="R136" s="941"/>
      <c r="S136" s="941"/>
      <c r="T136" s="941"/>
      <c r="U136" s="938"/>
      <c r="V136" s="938">
        <f t="shared" si="21"/>
        <v>0</v>
      </c>
      <c r="W136" s="942"/>
      <c r="X136" s="957"/>
      <c r="Y136" s="942">
        <f t="shared" si="22"/>
        <v>0</v>
      </c>
      <c r="Z136" s="957"/>
      <c r="AA136" s="942">
        <f t="shared" si="23"/>
        <v>0</v>
      </c>
      <c r="AB136" s="394"/>
      <c r="AC136" s="394"/>
      <c r="AD136" s="394"/>
    </row>
    <row r="137" spans="1:30" s="870" customFormat="1" ht="24" thickBot="1">
      <c r="A137" s="726" t="s">
        <v>131</v>
      </c>
      <c r="B137" s="891"/>
      <c r="C137" s="891"/>
      <c r="D137" s="902"/>
      <c r="E137" s="904"/>
      <c r="F137" s="904"/>
      <c r="G137" s="904"/>
      <c r="H137" s="904"/>
      <c r="I137" s="904"/>
      <c r="J137" s="904"/>
      <c r="K137" s="904"/>
      <c r="L137" s="912"/>
      <c r="M137" s="912"/>
      <c r="N137" s="912"/>
      <c r="O137" s="912"/>
      <c r="P137" s="912"/>
      <c r="Q137" s="912"/>
      <c r="R137" s="941"/>
      <c r="S137" s="941"/>
      <c r="T137" s="941"/>
      <c r="U137" s="938"/>
      <c r="V137" s="938">
        <f t="shared" si="21"/>
        <v>0</v>
      </c>
      <c r="W137" s="942"/>
      <c r="X137" s="957"/>
      <c r="Y137" s="942">
        <f t="shared" si="22"/>
        <v>0</v>
      </c>
      <c r="Z137" s="957"/>
      <c r="AA137" s="942">
        <f t="shared" si="23"/>
        <v>0</v>
      </c>
      <c r="AB137" s="394"/>
      <c r="AC137" s="394"/>
      <c r="AD137" s="394"/>
    </row>
    <row r="138" spans="1:30" s="282" customFormat="1" ht="24" thickBot="1">
      <c r="A138" s="726" t="s">
        <v>131</v>
      </c>
      <c r="B138" s="891"/>
      <c r="C138" s="891"/>
      <c r="D138" s="902"/>
      <c r="E138" s="904"/>
      <c r="F138" s="904"/>
      <c r="G138" s="904"/>
      <c r="H138" s="904"/>
      <c r="I138" s="904"/>
      <c r="J138" s="904"/>
      <c r="K138" s="904"/>
      <c r="L138" s="912"/>
      <c r="M138" s="912"/>
      <c r="N138" s="912"/>
      <c r="O138" s="912"/>
      <c r="P138" s="912"/>
      <c r="Q138" s="912"/>
      <c r="R138" s="941"/>
      <c r="S138" s="941"/>
      <c r="T138" s="941"/>
      <c r="U138" s="938"/>
      <c r="V138" s="975">
        <f t="shared" si="21"/>
        <v>0</v>
      </c>
      <c r="W138" s="976"/>
      <c r="X138" s="977"/>
      <c r="Y138" s="976">
        <f t="shared" si="22"/>
        <v>0</v>
      </c>
      <c r="Z138" s="977"/>
      <c r="AA138" s="976">
        <f t="shared" si="23"/>
        <v>0</v>
      </c>
      <c r="AB138" s="971" t="s">
        <v>8</v>
      </c>
      <c r="AC138" s="967" t="s">
        <v>197</v>
      </c>
      <c r="AD138" s="398" t="s">
        <v>174</v>
      </c>
    </row>
    <row r="139" spans="1:30" ht="24" thickBot="1">
      <c r="A139" s="326" t="s">
        <v>132</v>
      </c>
      <c r="B139" s="895"/>
      <c r="C139" s="895"/>
      <c r="D139" s="896"/>
      <c r="E139" s="897">
        <f>SUM(E114:E138)</f>
        <v>0</v>
      </c>
      <c r="F139" s="897">
        <f t="shared" ref="F139:T139" si="24">SUM(F114:F138)</f>
        <v>0</v>
      </c>
      <c r="G139" s="897">
        <f t="shared" si="24"/>
        <v>0</v>
      </c>
      <c r="H139" s="897">
        <f t="shared" si="24"/>
        <v>0</v>
      </c>
      <c r="I139" s="897">
        <f t="shared" si="24"/>
        <v>0</v>
      </c>
      <c r="J139" s="897">
        <f t="shared" si="24"/>
        <v>0</v>
      </c>
      <c r="K139" s="897">
        <f t="shared" si="24"/>
        <v>0</v>
      </c>
      <c r="L139" s="897">
        <f t="shared" si="24"/>
        <v>0</v>
      </c>
      <c r="M139" s="897">
        <f t="shared" si="24"/>
        <v>0</v>
      </c>
      <c r="N139" s="897">
        <f t="shared" si="24"/>
        <v>0</v>
      </c>
      <c r="O139" s="897">
        <f t="shared" si="24"/>
        <v>0</v>
      </c>
      <c r="P139" s="897">
        <f t="shared" si="24"/>
        <v>0</v>
      </c>
      <c r="Q139" s="897">
        <f t="shared" si="24"/>
        <v>0</v>
      </c>
      <c r="R139" s="897">
        <f t="shared" si="24"/>
        <v>0</v>
      </c>
      <c r="S139" s="897">
        <f t="shared" ref="S139" si="25">SUM(S114:S138)</f>
        <v>0</v>
      </c>
      <c r="T139" s="897">
        <f t="shared" si="24"/>
        <v>0</v>
      </c>
      <c r="U139" s="932"/>
      <c r="V139" s="933">
        <f>SUM(V114:V138)</f>
        <v>0</v>
      </c>
      <c r="W139" s="933">
        <f>SUM(W114:W138)</f>
        <v>0</v>
      </c>
      <c r="X139" s="934"/>
      <c r="Y139" s="934">
        <f>SUM(Y114:Y138)</f>
        <v>0</v>
      </c>
      <c r="Z139" s="934">
        <f>SUM(Z114:Z138)</f>
        <v>0</v>
      </c>
      <c r="AA139" s="973">
        <f>SUM(AA114:AA138)</f>
        <v>0</v>
      </c>
      <c r="AB139" s="399">
        <f>'BIG CHAIR'!CL132</f>
        <v>0</v>
      </c>
      <c r="AC139" s="400">
        <f>'Jordan Chair'!AH172</f>
        <v>300</v>
      </c>
      <c r="AD139" s="401">
        <f>Y139+AB139+AC139</f>
        <v>300</v>
      </c>
    </row>
    <row r="140" spans="1:30" ht="24" thickBot="1">
      <c r="A140" s="286" t="s">
        <v>393</v>
      </c>
      <c r="B140" s="877" t="s">
        <v>68</v>
      </c>
      <c r="C140" s="877" t="s">
        <v>69</v>
      </c>
      <c r="D140" s="878" t="s">
        <v>70</v>
      </c>
      <c r="E140" s="879" t="s">
        <v>71</v>
      </c>
      <c r="F140" s="880" t="s">
        <v>407</v>
      </c>
      <c r="G140" s="880" t="s">
        <v>250</v>
      </c>
      <c r="H140" s="879" t="s">
        <v>193</v>
      </c>
      <c r="I140" s="879" t="s">
        <v>170</v>
      </c>
      <c r="J140" s="879" t="s">
        <v>92</v>
      </c>
      <c r="K140" s="879" t="s">
        <v>194</v>
      </c>
      <c r="L140" s="880" t="s">
        <v>195</v>
      </c>
      <c r="M140" s="880" t="s">
        <v>468</v>
      </c>
      <c r="N140" s="880" t="s">
        <v>94</v>
      </c>
      <c r="O140" s="880" t="s">
        <v>86</v>
      </c>
      <c r="P140" s="880" t="s">
        <v>420</v>
      </c>
      <c r="Q140" s="880" t="s">
        <v>95</v>
      </c>
      <c r="R140" s="49" t="s">
        <v>77</v>
      </c>
      <c r="S140" s="914" t="s">
        <v>53</v>
      </c>
      <c r="T140" s="914" t="s">
        <v>149</v>
      </c>
      <c r="U140" s="915"/>
      <c r="V140" s="952" t="s">
        <v>104</v>
      </c>
      <c r="W140" s="953" t="s">
        <v>105</v>
      </c>
      <c r="X140" s="954"/>
      <c r="Y140" s="918" t="s">
        <v>106</v>
      </c>
      <c r="Z140" s="917" t="s">
        <v>107</v>
      </c>
      <c r="AA140" s="960" t="s">
        <v>108</v>
      </c>
      <c r="AB140" s="403"/>
      <c r="AC140" s="403"/>
      <c r="AD140" s="403"/>
    </row>
    <row r="141" spans="1:30">
      <c r="A141" s="726" t="s">
        <v>392</v>
      </c>
      <c r="B141" s="891"/>
      <c r="C141" s="891"/>
      <c r="D141" s="902"/>
      <c r="E141" s="903"/>
      <c r="F141" s="903"/>
      <c r="G141" s="903"/>
      <c r="H141" s="903"/>
      <c r="I141" s="903"/>
      <c r="J141" s="903"/>
      <c r="K141" s="903"/>
      <c r="L141" s="911"/>
      <c r="M141" s="911"/>
      <c r="N141" s="911"/>
      <c r="O141" s="911"/>
      <c r="P141" s="911"/>
      <c r="Q141" s="911"/>
      <c r="R141" s="937"/>
      <c r="S141" s="937"/>
      <c r="T141" s="937"/>
      <c r="U141" s="938"/>
      <c r="V141" s="955">
        <f t="shared" ref="V141:V165" si="26">SUM(E141:T141)</f>
        <v>0</v>
      </c>
      <c r="W141" s="956"/>
      <c r="X141" s="742"/>
      <c r="Y141" s="940">
        <f t="shared" ref="Y141:Y165" si="27">V141+W141</f>
        <v>0</v>
      </c>
      <c r="Z141" s="742"/>
      <c r="AA141" s="940">
        <f>Y141+Z141</f>
        <v>0</v>
      </c>
      <c r="AB141" s="282"/>
      <c r="AC141" s="282"/>
      <c r="AD141" s="282"/>
    </row>
    <row r="142" spans="1:30">
      <c r="A142" s="726" t="s">
        <v>392</v>
      </c>
      <c r="B142" s="891"/>
      <c r="C142" s="891"/>
      <c r="D142" s="902"/>
      <c r="E142" s="904"/>
      <c r="F142" s="904"/>
      <c r="G142" s="904"/>
      <c r="H142" s="904"/>
      <c r="I142" s="904"/>
      <c r="J142" s="904"/>
      <c r="K142" s="904"/>
      <c r="L142" s="912"/>
      <c r="M142" s="912"/>
      <c r="N142" s="912"/>
      <c r="O142" s="912"/>
      <c r="P142" s="912"/>
      <c r="Q142" s="912"/>
      <c r="R142" s="941"/>
      <c r="S142" s="941"/>
      <c r="T142" s="941"/>
      <c r="U142" s="938"/>
      <c r="V142" s="938">
        <f t="shared" si="26"/>
        <v>0</v>
      </c>
      <c r="W142" s="942"/>
      <c r="X142" s="957"/>
      <c r="Y142" s="942">
        <f t="shared" si="27"/>
        <v>0</v>
      </c>
      <c r="Z142" s="957"/>
      <c r="AA142" s="942">
        <f t="shared" ref="AA142:AA165" si="28">Y142+Z142</f>
        <v>0</v>
      </c>
    </row>
    <row r="143" spans="1:30">
      <c r="A143" s="726" t="s">
        <v>392</v>
      </c>
      <c r="B143" s="891"/>
      <c r="C143" s="891"/>
      <c r="D143" s="902"/>
      <c r="E143" s="904"/>
      <c r="F143" s="904"/>
      <c r="G143" s="904"/>
      <c r="H143" s="904"/>
      <c r="I143" s="904"/>
      <c r="J143" s="904"/>
      <c r="K143" s="904"/>
      <c r="L143" s="912"/>
      <c r="M143" s="912"/>
      <c r="N143" s="912"/>
      <c r="O143" s="912"/>
      <c r="P143" s="912"/>
      <c r="Q143" s="912"/>
      <c r="R143" s="941"/>
      <c r="S143" s="941"/>
      <c r="T143" s="941"/>
      <c r="U143" s="938"/>
      <c r="V143" s="938">
        <f t="shared" si="26"/>
        <v>0</v>
      </c>
      <c r="W143" s="942"/>
      <c r="X143" s="957"/>
      <c r="Y143" s="942">
        <f t="shared" si="27"/>
        <v>0</v>
      </c>
      <c r="Z143" s="957"/>
      <c r="AA143" s="942">
        <f t="shared" si="28"/>
        <v>0</v>
      </c>
    </row>
    <row r="144" spans="1:30" s="870" customFormat="1">
      <c r="A144" s="726" t="s">
        <v>392</v>
      </c>
      <c r="B144" s="891"/>
      <c r="C144" s="891"/>
      <c r="D144" s="902"/>
      <c r="E144" s="904"/>
      <c r="F144" s="904"/>
      <c r="G144" s="904"/>
      <c r="H144" s="904"/>
      <c r="I144" s="904"/>
      <c r="J144" s="904"/>
      <c r="K144" s="904"/>
      <c r="L144" s="912"/>
      <c r="M144" s="912"/>
      <c r="N144" s="912"/>
      <c r="O144" s="912"/>
      <c r="P144" s="912"/>
      <c r="Q144" s="912"/>
      <c r="R144" s="912"/>
      <c r="S144" s="941"/>
      <c r="T144" s="941"/>
      <c r="U144" s="938"/>
      <c r="V144" s="938">
        <f t="shared" si="26"/>
        <v>0</v>
      </c>
      <c r="W144" s="942"/>
      <c r="X144" s="957"/>
      <c r="Y144" s="942">
        <f t="shared" si="27"/>
        <v>0</v>
      </c>
      <c r="Z144" s="957"/>
      <c r="AA144" s="942">
        <f t="shared" si="28"/>
        <v>0</v>
      </c>
      <c r="AB144" s="1"/>
      <c r="AC144" s="1"/>
      <c r="AD144" s="1"/>
    </row>
    <row r="145" spans="1:44" s="870" customFormat="1">
      <c r="A145" s="726" t="s">
        <v>392</v>
      </c>
      <c r="B145" s="891"/>
      <c r="C145" s="891"/>
      <c r="D145" s="902"/>
      <c r="E145" s="904"/>
      <c r="F145" s="904"/>
      <c r="G145" s="904"/>
      <c r="H145" s="904"/>
      <c r="I145" s="904"/>
      <c r="J145" s="904"/>
      <c r="K145" s="904"/>
      <c r="L145" s="912"/>
      <c r="M145" s="912"/>
      <c r="N145" s="912"/>
      <c r="O145" s="912"/>
      <c r="P145" s="3529"/>
      <c r="Q145" s="912"/>
      <c r="R145" s="941"/>
      <c r="S145" s="941"/>
      <c r="T145" s="941"/>
      <c r="U145" s="938"/>
      <c r="V145" s="938">
        <f t="shared" si="26"/>
        <v>0</v>
      </c>
      <c r="W145" s="942"/>
      <c r="X145" s="957"/>
      <c r="Y145" s="942">
        <f t="shared" si="27"/>
        <v>0</v>
      </c>
      <c r="Z145" s="957"/>
      <c r="AA145" s="942">
        <f t="shared" si="28"/>
        <v>0</v>
      </c>
      <c r="AB145" s="1"/>
      <c r="AC145" s="1"/>
      <c r="AD145" s="1"/>
    </row>
    <row r="146" spans="1:44" ht="21" customHeight="1">
      <c r="A146" s="726" t="s">
        <v>392</v>
      </c>
      <c r="B146" s="891"/>
      <c r="C146" s="891"/>
      <c r="D146" s="902"/>
      <c r="E146" s="904"/>
      <c r="F146" s="904"/>
      <c r="G146" s="904"/>
      <c r="H146" s="904"/>
      <c r="I146" s="904"/>
      <c r="J146" s="904"/>
      <c r="K146" s="904"/>
      <c r="L146" s="912"/>
      <c r="M146" s="912"/>
      <c r="N146" s="912"/>
      <c r="O146" s="912"/>
      <c r="P146" s="912"/>
      <c r="Q146" s="912"/>
      <c r="R146" s="941"/>
      <c r="S146" s="941"/>
      <c r="T146" s="941"/>
      <c r="U146" s="938"/>
      <c r="V146" s="938">
        <f t="shared" si="26"/>
        <v>0</v>
      </c>
      <c r="W146" s="942"/>
      <c r="X146" s="957"/>
      <c r="Y146" s="942">
        <f t="shared" si="27"/>
        <v>0</v>
      </c>
      <c r="Z146" s="957"/>
      <c r="AA146" s="942">
        <f t="shared" si="28"/>
        <v>0</v>
      </c>
      <c r="AB146" s="394"/>
      <c r="AC146" s="394"/>
      <c r="AD146" s="394"/>
    </row>
    <row r="147" spans="1:44">
      <c r="A147" s="726" t="s">
        <v>392</v>
      </c>
      <c r="B147" s="891"/>
      <c r="C147" s="891"/>
      <c r="D147" s="902"/>
      <c r="E147" s="904"/>
      <c r="F147" s="904"/>
      <c r="G147" s="904"/>
      <c r="H147" s="904"/>
      <c r="I147" s="904"/>
      <c r="J147" s="904"/>
      <c r="K147" s="904"/>
      <c r="L147" s="912"/>
      <c r="M147" s="912"/>
      <c r="N147" s="912"/>
      <c r="O147" s="912"/>
      <c r="P147" s="912"/>
      <c r="Q147" s="912"/>
      <c r="R147" s="941"/>
      <c r="S147" s="941"/>
      <c r="T147" s="941"/>
      <c r="U147" s="938"/>
      <c r="V147" s="938">
        <f t="shared" si="26"/>
        <v>0</v>
      </c>
      <c r="W147" s="942"/>
      <c r="X147" s="957"/>
      <c r="Y147" s="942">
        <f t="shared" si="27"/>
        <v>0</v>
      </c>
      <c r="Z147" s="957"/>
      <c r="AA147" s="942">
        <f t="shared" si="28"/>
        <v>0</v>
      </c>
      <c r="AB147" s="403"/>
      <c r="AC147" s="403"/>
      <c r="AD147" s="403"/>
    </row>
    <row r="148" spans="1:44" s="1" customFormat="1" ht="21.75" customHeight="1">
      <c r="A148" s="726" t="s">
        <v>392</v>
      </c>
      <c r="B148" s="891"/>
      <c r="C148" s="891"/>
      <c r="D148" s="902"/>
      <c r="E148" s="904"/>
      <c r="F148" s="904"/>
      <c r="G148" s="904"/>
      <c r="H148" s="904"/>
      <c r="I148" s="904"/>
      <c r="J148" s="904"/>
      <c r="K148" s="904"/>
      <c r="L148" s="912"/>
      <c r="M148" s="912"/>
      <c r="N148" s="912"/>
      <c r="O148" s="912"/>
      <c r="P148" s="912"/>
      <c r="Q148" s="912"/>
      <c r="R148" s="941"/>
      <c r="S148" s="941"/>
      <c r="T148" s="941"/>
      <c r="U148" s="938"/>
      <c r="V148" s="938">
        <f t="shared" si="26"/>
        <v>0</v>
      </c>
      <c r="W148" s="942"/>
      <c r="X148" s="957"/>
      <c r="Y148" s="942">
        <f t="shared" si="27"/>
        <v>0</v>
      </c>
      <c r="Z148" s="957"/>
      <c r="AA148" s="942">
        <f t="shared" si="28"/>
        <v>0</v>
      </c>
      <c r="AB148" s="403"/>
      <c r="AC148" s="403"/>
      <c r="AD148" s="403"/>
      <c r="AE148" s="1026"/>
      <c r="AF148" s="1026"/>
      <c r="AG148" s="1026"/>
      <c r="AH148" s="1026"/>
      <c r="AI148" s="1026"/>
      <c r="AJ148" s="1026"/>
      <c r="AK148" s="1026"/>
      <c r="AL148" s="1026"/>
      <c r="AM148" s="1026"/>
      <c r="AN148" s="1026"/>
      <c r="AO148" s="1026"/>
      <c r="AP148" s="1026"/>
      <c r="AQ148" s="1026"/>
      <c r="AR148" s="1026"/>
    </row>
    <row r="149" spans="1:44" s="276" customFormat="1" ht="30.75" customHeight="1">
      <c r="A149" s="726" t="s">
        <v>392</v>
      </c>
      <c r="B149" s="891"/>
      <c r="C149" s="891"/>
      <c r="D149" s="902"/>
      <c r="E149" s="904"/>
      <c r="F149" s="904"/>
      <c r="G149" s="904"/>
      <c r="H149" s="904"/>
      <c r="I149" s="904"/>
      <c r="J149" s="904"/>
      <c r="K149" s="904"/>
      <c r="L149" s="912"/>
      <c r="M149" s="912"/>
      <c r="N149" s="912"/>
      <c r="O149" s="912"/>
      <c r="P149" s="912"/>
      <c r="Q149" s="912"/>
      <c r="R149" s="941"/>
      <c r="S149" s="941"/>
      <c r="T149" s="941"/>
      <c r="U149" s="938"/>
      <c r="V149" s="938">
        <f t="shared" si="26"/>
        <v>0</v>
      </c>
      <c r="W149" s="942"/>
      <c r="X149" s="957"/>
      <c r="Y149" s="942">
        <f t="shared" si="27"/>
        <v>0</v>
      </c>
      <c r="Z149" s="957"/>
      <c r="AA149" s="942">
        <f t="shared" si="28"/>
        <v>0</v>
      </c>
      <c r="AB149" s="282"/>
      <c r="AC149" s="282"/>
      <c r="AD149" s="282"/>
    </row>
    <row r="150" spans="1:44" s="871" customFormat="1">
      <c r="A150" s="726" t="s">
        <v>392</v>
      </c>
      <c r="B150" s="891"/>
      <c r="C150" s="891"/>
      <c r="D150" s="902"/>
      <c r="E150" s="904"/>
      <c r="F150" s="904"/>
      <c r="G150" s="904"/>
      <c r="H150" s="904"/>
      <c r="I150" s="904"/>
      <c r="J150" s="904"/>
      <c r="K150" s="904"/>
      <c r="L150" s="912"/>
      <c r="M150" s="912"/>
      <c r="N150" s="912"/>
      <c r="O150" s="912"/>
      <c r="P150" s="912"/>
      <c r="Q150" s="912"/>
      <c r="R150" s="941"/>
      <c r="S150" s="941"/>
      <c r="T150" s="941"/>
      <c r="U150" s="938"/>
      <c r="V150" s="938">
        <f t="shared" si="26"/>
        <v>0</v>
      </c>
      <c r="W150" s="942"/>
      <c r="X150" s="957"/>
      <c r="Y150" s="942">
        <f t="shared" si="27"/>
        <v>0</v>
      </c>
      <c r="Z150" s="957"/>
      <c r="AA150" s="942">
        <f t="shared" si="28"/>
        <v>0</v>
      </c>
      <c r="AB150" s="1"/>
      <c r="AC150" s="1"/>
      <c r="AD150" s="1"/>
    </row>
    <row r="151" spans="1:44" s="872" customFormat="1">
      <c r="A151" s="726" t="s">
        <v>392</v>
      </c>
      <c r="B151" s="891"/>
      <c r="C151" s="891"/>
      <c r="D151" s="902"/>
      <c r="E151" s="904"/>
      <c r="F151" s="904"/>
      <c r="G151" s="904"/>
      <c r="H151" s="904"/>
      <c r="I151" s="904"/>
      <c r="J151" s="904"/>
      <c r="K151" s="904"/>
      <c r="L151" s="912"/>
      <c r="M151" s="912"/>
      <c r="N151" s="912"/>
      <c r="O151" s="912"/>
      <c r="P151" s="912"/>
      <c r="Q151" s="912"/>
      <c r="R151" s="941"/>
      <c r="S151" s="941"/>
      <c r="T151" s="941"/>
      <c r="U151" s="938"/>
      <c r="V151" s="938">
        <f t="shared" si="26"/>
        <v>0</v>
      </c>
      <c r="W151" s="942"/>
      <c r="X151" s="957"/>
      <c r="Y151" s="942">
        <f t="shared" si="27"/>
        <v>0</v>
      </c>
      <c r="Z151" s="957"/>
      <c r="AA151" s="942">
        <f t="shared" si="28"/>
        <v>0</v>
      </c>
      <c r="AB151" s="1"/>
      <c r="AC151" s="1"/>
      <c r="AD151" s="1"/>
    </row>
    <row r="152" spans="1:44" s="871" customFormat="1">
      <c r="A152" s="726" t="s">
        <v>392</v>
      </c>
      <c r="B152" s="891"/>
      <c r="C152" s="891"/>
      <c r="D152" s="902"/>
      <c r="E152" s="904"/>
      <c r="F152" s="904"/>
      <c r="G152" s="904"/>
      <c r="H152" s="904"/>
      <c r="I152" s="904"/>
      <c r="J152" s="904"/>
      <c r="K152" s="904"/>
      <c r="L152" s="912"/>
      <c r="M152" s="912"/>
      <c r="N152" s="912"/>
      <c r="O152" s="912"/>
      <c r="P152" s="912"/>
      <c r="Q152" s="912"/>
      <c r="R152" s="941"/>
      <c r="S152" s="941"/>
      <c r="T152" s="941"/>
      <c r="U152" s="938"/>
      <c r="V152" s="938">
        <f t="shared" si="26"/>
        <v>0</v>
      </c>
      <c r="W152" s="942"/>
      <c r="X152" s="957"/>
      <c r="Y152" s="942">
        <f t="shared" si="27"/>
        <v>0</v>
      </c>
      <c r="Z152" s="957"/>
      <c r="AA152" s="942">
        <f t="shared" si="28"/>
        <v>0</v>
      </c>
      <c r="AB152" s="1"/>
      <c r="AC152" s="1"/>
      <c r="AD152" s="1"/>
    </row>
    <row r="153" spans="1:44" s="872" customFormat="1">
      <c r="A153" s="726" t="s">
        <v>392</v>
      </c>
      <c r="B153" s="891"/>
      <c r="C153" s="891"/>
      <c r="D153" s="902"/>
      <c r="E153" s="904"/>
      <c r="F153" s="904"/>
      <c r="G153" s="904"/>
      <c r="H153" s="904"/>
      <c r="I153" s="904"/>
      <c r="J153" s="904"/>
      <c r="K153" s="904"/>
      <c r="L153" s="912"/>
      <c r="M153" s="912"/>
      <c r="N153" s="912"/>
      <c r="O153" s="912"/>
      <c r="P153" s="912"/>
      <c r="Q153" s="912"/>
      <c r="R153" s="941"/>
      <c r="S153" s="941"/>
      <c r="T153" s="941"/>
      <c r="U153" s="938"/>
      <c r="V153" s="938">
        <f t="shared" si="26"/>
        <v>0</v>
      </c>
      <c r="W153" s="942"/>
      <c r="X153" s="957"/>
      <c r="Y153" s="942">
        <f t="shared" si="27"/>
        <v>0</v>
      </c>
      <c r="Z153" s="957"/>
      <c r="AA153" s="942">
        <f t="shared" si="28"/>
        <v>0</v>
      </c>
      <c r="AB153" s="1"/>
      <c r="AC153" s="1"/>
      <c r="AD153" s="1"/>
    </row>
    <row r="154" spans="1:44" s="871" customFormat="1">
      <c r="A154" s="726" t="s">
        <v>392</v>
      </c>
      <c r="B154" s="891"/>
      <c r="C154" s="891"/>
      <c r="D154" s="902"/>
      <c r="E154" s="904"/>
      <c r="F154" s="904"/>
      <c r="G154" s="904"/>
      <c r="H154" s="904"/>
      <c r="I154" s="904"/>
      <c r="J154" s="904"/>
      <c r="K154" s="904"/>
      <c r="L154" s="912"/>
      <c r="M154" s="912"/>
      <c r="N154" s="912"/>
      <c r="O154" s="912"/>
      <c r="P154" s="912"/>
      <c r="Q154" s="912"/>
      <c r="R154" s="941"/>
      <c r="S154" s="941"/>
      <c r="T154" s="941"/>
      <c r="U154" s="938"/>
      <c r="V154" s="938">
        <f t="shared" si="26"/>
        <v>0</v>
      </c>
      <c r="W154" s="942"/>
      <c r="X154" s="957"/>
      <c r="Y154" s="942">
        <f t="shared" si="27"/>
        <v>0</v>
      </c>
      <c r="Z154" s="957"/>
      <c r="AA154" s="942">
        <f t="shared" si="28"/>
        <v>0</v>
      </c>
      <c r="AB154" s="394"/>
      <c r="AC154" s="394"/>
      <c r="AD154" s="394"/>
    </row>
    <row r="155" spans="1:44" s="871" customFormat="1">
      <c r="A155" s="726" t="s">
        <v>392</v>
      </c>
      <c r="B155" s="891"/>
      <c r="C155" s="891"/>
      <c r="D155" s="902"/>
      <c r="E155" s="904"/>
      <c r="F155" s="904"/>
      <c r="G155" s="904"/>
      <c r="H155" s="904"/>
      <c r="I155" s="904"/>
      <c r="J155" s="904"/>
      <c r="K155" s="904"/>
      <c r="L155" s="912"/>
      <c r="M155" s="912"/>
      <c r="N155" s="912"/>
      <c r="O155" s="912"/>
      <c r="P155" s="912"/>
      <c r="Q155" s="912"/>
      <c r="R155" s="941"/>
      <c r="S155" s="941"/>
      <c r="T155" s="941"/>
      <c r="U155" s="938"/>
      <c r="V155" s="938">
        <f t="shared" si="26"/>
        <v>0</v>
      </c>
      <c r="W155" s="942"/>
      <c r="X155" s="957"/>
      <c r="Y155" s="942">
        <f t="shared" si="27"/>
        <v>0</v>
      </c>
      <c r="Z155" s="957"/>
      <c r="AA155" s="942">
        <f t="shared" si="28"/>
        <v>0</v>
      </c>
      <c r="AB155" s="403"/>
      <c r="AC155" s="403"/>
      <c r="AD155" s="403"/>
    </row>
    <row r="156" spans="1:44" s="872" customFormat="1">
      <c r="A156" s="726" t="s">
        <v>392</v>
      </c>
      <c r="B156" s="891"/>
      <c r="C156" s="891"/>
      <c r="D156" s="902"/>
      <c r="E156" s="904"/>
      <c r="F156" s="904"/>
      <c r="G156" s="904"/>
      <c r="H156" s="904"/>
      <c r="I156" s="904"/>
      <c r="J156" s="904"/>
      <c r="K156" s="904"/>
      <c r="L156" s="912"/>
      <c r="M156" s="912"/>
      <c r="N156" s="912"/>
      <c r="O156" s="912"/>
      <c r="P156" s="912"/>
      <c r="Q156" s="912"/>
      <c r="R156" s="941"/>
      <c r="S156" s="941"/>
      <c r="T156" s="941"/>
      <c r="U156" s="938"/>
      <c r="V156" s="938">
        <f t="shared" si="26"/>
        <v>0</v>
      </c>
      <c r="W156" s="942"/>
      <c r="X156" s="957"/>
      <c r="Y156" s="942">
        <f t="shared" si="27"/>
        <v>0</v>
      </c>
      <c r="Z156" s="957"/>
      <c r="AA156" s="942">
        <f t="shared" si="28"/>
        <v>0</v>
      </c>
      <c r="AB156" s="403"/>
      <c r="AC156" s="403"/>
      <c r="AD156" s="403"/>
    </row>
    <row r="157" spans="1:44" s="871" customFormat="1">
      <c r="A157" s="726" t="s">
        <v>392</v>
      </c>
      <c r="B157" s="891"/>
      <c r="C157" s="891"/>
      <c r="D157" s="902"/>
      <c r="E157" s="904"/>
      <c r="F157" s="904"/>
      <c r="G157" s="904"/>
      <c r="H157" s="904"/>
      <c r="I157" s="904"/>
      <c r="J157" s="904"/>
      <c r="K157" s="904"/>
      <c r="L157" s="912"/>
      <c r="M157" s="912"/>
      <c r="N157" s="912"/>
      <c r="O157" s="912"/>
      <c r="P157" s="912"/>
      <c r="Q157" s="912"/>
      <c r="R157" s="941"/>
      <c r="S157" s="941"/>
      <c r="T157" s="941"/>
      <c r="U157" s="938"/>
      <c r="V157" s="938">
        <f t="shared" si="26"/>
        <v>0</v>
      </c>
      <c r="W157" s="942"/>
      <c r="X157" s="957"/>
      <c r="Y157" s="942">
        <f t="shared" si="27"/>
        <v>0</v>
      </c>
      <c r="Z157" s="957"/>
      <c r="AA157" s="942">
        <f t="shared" si="28"/>
        <v>0</v>
      </c>
      <c r="AB157" s="282"/>
      <c r="AC157" s="282"/>
      <c r="AD157" s="282"/>
    </row>
    <row r="158" spans="1:44" s="872" customFormat="1">
      <c r="A158" s="726" t="s">
        <v>392</v>
      </c>
      <c r="B158" s="891"/>
      <c r="C158" s="891"/>
      <c r="D158" s="902"/>
      <c r="E158" s="904"/>
      <c r="F158" s="904"/>
      <c r="G158" s="904"/>
      <c r="H158" s="904"/>
      <c r="I158" s="904"/>
      <c r="J158" s="904"/>
      <c r="K158" s="904"/>
      <c r="L158" s="912"/>
      <c r="M158" s="912"/>
      <c r="N158" s="912"/>
      <c r="O158" s="912"/>
      <c r="P158" s="912"/>
      <c r="Q158" s="912"/>
      <c r="R158" s="941"/>
      <c r="S158" s="941"/>
      <c r="T158" s="941"/>
      <c r="U158" s="938"/>
      <c r="V158" s="938">
        <f t="shared" si="26"/>
        <v>0</v>
      </c>
      <c r="W158" s="942"/>
      <c r="X158" s="957"/>
      <c r="Y158" s="942">
        <f t="shared" si="27"/>
        <v>0</v>
      </c>
      <c r="Z158" s="957"/>
      <c r="AA158" s="942">
        <f t="shared" si="28"/>
        <v>0</v>
      </c>
      <c r="AB158" s="1"/>
      <c r="AC158" s="1"/>
      <c r="AD158" s="1"/>
    </row>
    <row r="159" spans="1:44" s="871" customFormat="1">
      <c r="A159" s="726" t="s">
        <v>392</v>
      </c>
      <c r="B159" s="891"/>
      <c r="C159" s="891"/>
      <c r="D159" s="902"/>
      <c r="E159" s="904"/>
      <c r="F159" s="904"/>
      <c r="G159" s="904"/>
      <c r="H159" s="904"/>
      <c r="I159" s="904"/>
      <c r="J159" s="904"/>
      <c r="K159" s="904"/>
      <c r="L159" s="912"/>
      <c r="M159" s="912"/>
      <c r="N159" s="912"/>
      <c r="O159" s="912"/>
      <c r="P159" s="912"/>
      <c r="Q159" s="912"/>
      <c r="R159" s="941"/>
      <c r="S159" s="941"/>
      <c r="T159" s="941"/>
      <c r="U159" s="938"/>
      <c r="V159" s="938">
        <f t="shared" si="26"/>
        <v>0</v>
      </c>
      <c r="W159" s="942"/>
      <c r="X159" s="957"/>
      <c r="Y159" s="942">
        <f t="shared" si="27"/>
        <v>0</v>
      </c>
      <c r="Z159" s="957"/>
      <c r="AA159" s="942">
        <f t="shared" si="28"/>
        <v>0</v>
      </c>
      <c r="AB159" s="1"/>
      <c r="AC159" s="1"/>
      <c r="AD159" s="1"/>
    </row>
    <row r="160" spans="1:44" s="872" customFormat="1">
      <c r="A160" s="726" t="s">
        <v>392</v>
      </c>
      <c r="B160" s="891"/>
      <c r="C160" s="891"/>
      <c r="D160" s="902"/>
      <c r="E160" s="904"/>
      <c r="F160" s="904"/>
      <c r="G160" s="904"/>
      <c r="H160" s="904"/>
      <c r="I160" s="904"/>
      <c r="J160" s="904"/>
      <c r="K160" s="904"/>
      <c r="L160" s="912"/>
      <c r="M160" s="912"/>
      <c r="N160" s="912"/>
      <c r="O160" s="912"/>
      <c r="P160" s="912"/>
      <c r="Q160" s="912"/>
      <c r="R160" s="941"/>
      <c r="S160" s="941"/>
      <c r="T160" s="941"/>
      <c r="U160" s="938"/>
      <c r="V160" s="938">
        <f t="shared" si="26"/>
        <v>0</v>
      </c>
      <c r="W160" s="942"/>
      <c r="X160" s="957"/>
      <c r="Y160" s="942">
        <f t="shared" si="27"/>
        <v>0</v>
      </c>
      <c r="Z160" s="957"/>
      <c r="AA160" s="942">
        <f t="shared" si="28"/>
        <v>0</v>
      </c>
      <c r="AB160" s="1"/>
      <c r="AC160" s="1"/>
      <c r="AD160" s="1"/>
    </row>
    <row r="161" spans="1:30" s="871" customFormat="1">
      <c r="A161" s="726" t="s">
        <v>392</v>
      </c>
      <c r="B161" s="891"/>
      <c r="C161" s="891"/>
      <c r="D161" s="902"/>
      <c r="E161" s="904"/>
      <c r="F161" s="904"/>
      <c r="G161" s="904"/>
      <c r="H161" s="904"/>
      <c r="I161" s="904"/>
      <c r="J161" s="904"/>
      <c r="K161" s="904"/>
      <c r="L161" s="912"/>
      <c r="M161" s="912"/>
      <c r="N161" s="912"/>
      <c r="O161" s="912"/>
      <c r="P161" s="912"/>
      <c r="Q161" s="912"/>
      <c r="R161" s="941"/>
      <c r="S161" s="941"/>
      <c r="T161" s="941"/>
      <c r="U161" s="938"/>
      <c r="V161" s="938">
        <f t="shared" si="26"/>
        <v>0</v>
      </c>
      <c r="W161" s="942"/>
      <c r="X161" s="957"/>
      <c r="Y161" s="942">
        <f t="shared" si="27"/>
        <v>0</v>
      </c>
      <c r="Z161" s="957"/>
      <c r="AA161" s="942">
        <f t="shared" si="28"/>
        <v>0</v>
      </c>
      <c r="AB161" s="1"/>
      <c r="AC161" s="1"/>
      <c r="AD161" s="1"/>
    </row>
    <row r="162" spans="1:30" s="872" customFormat="1">
      <c r="A162" s="726" t="s">
        <v>392</v>
      </c>
      <c r="B162" s="891"/>
      <c r="C162" s="891"/>
      <c r="D162" s="902"/>
      <c r="E162" s="904"/>
      <c r="F162" s="904"/>
      <c r="G162" s="904"/>
      <c r="H162" s="904"/>
      <c r="I162" s="904"/>
      <c r="J162" s="904"/>
      <c r="K162" s="904"/>
      <c r="L162" s="912"/>
      <c r="M162" s="912"/>
      <c r="N162" s="912"/>
      <c r="O162" s="912"/>
      <c r="P162" s="912"/>
      <c r="Q162" s="912"/>
      <c r="R162" s="941"/>
      <c r="S162" s="941"/>
      <c r="T162" s="941"/>
      <c r="U162" s="938"/>
      <c r="V162" s="938">
        <f t="shared" si="26"/>
        <v>0</v>
      </c>
      <c r="W162" s="942"/>
      <c r="X162" s="957"/>
      <c r="Y162" s="942">
        <f t="shared" si="27"/>
        <v>0</v>
      </c>
      <c r="Z162" s="957"/>
      <c r="AA162" s="942">
        <f t="shared" si="28"/>
        <v>0</v>
      </c>
      <c r="AB162" s="394"/>
      <c r="AC162" s="394"/>
      <c r="AD162" s="394"/>
    </row>
    <row r="163" spans="1:30" s="872" customFormat="1">
      <c r="A163" s="726" t="s">
        <v>392</v>
      </c>
      <c r="B163" s="891"/>
      <c r="C163" s="891"/>
      <c r="D163" s="902"/>
      <c r="E163" s="904"/>
      <c r="F163" s="904"/>
      <c r="G163" s="904"/>
      <c r="H163" s="904"/>
      <c r="I163" s="904"/>
      <c r="J163" s="904"/>
      <c r="K163" s="904"/>
      <c r="L163" s="912"/>
      <c r="M163" s="912"/>
      <c r="N163" s="912"/>
      <c r="O163" s="912"/>
      <c r="P163" s="912"/>
      <c r="Q163" s="912"/>
      <c r="R163" s="941"/>
      <c r="S163" s="941"/>
      <c r="T163" s="941"/>
      <c r="U163" s="938"/>
      <c r="V163" s="938">
        <f t="shared" si="26"/>
        <v>0</v>
      </c>
      <c r="W163" s="942"/>
      <c r="X163" s="957"/>
      <c r="Y163" s="942">
        <f t="shared" si="27"/>
        <v>0</v>
      </c>
      <c r="Z163" s="957"/>
      <c r="AA163" s="942">
        <f t="shared" si="28"/>
        <v>0</v>
      </c>
      <c r="AB163" s="403"/>
      <c r="AC163" s="403"/>
      <c r="AD163" s="403"/>
    </row>
    <row r="164" spans="1:30" s="871" customFormat="1">
      <c r="A164" s="726" t="s">
        <v>392</v>
      </c>
      <c r="B164" s="891"/>
      <c r="C164" s="891"/>
      <c r="D164" s="902"/>
      <c r="E164" s="904"/>
      <c r="F164" s="904"/>
      <c r="G164" s="904"/>
      <c r="H164" s="904"/>
      <c r="I164" s="904"/>
      <c r="J164" s="904"/>
      <c r="K164" s="904"/>
      <c r="L164" s="912"/>
      <c r="M164" s="912"/>
      <c r="N164" s="912"/>
      <c r="O164" s="912"/>
      <c r="P164" s="912"/>
      <c r="Q164" s="912"/>
      <c r="R164" s="941"/>
      <c r="S164" s="941"/>
      <c r="T164" s="941"/>
      <c r="U164" s="938"/>
      <c r="V164" s="938">
        <f t="shared" si="26"/>
        <v>0</v>
      </c>
      <c r="W164" s="942"/>
      <c r="X164" s="957"/>
      <c r="Y164" s="942">
        <f t="shared" si="27"/>
        <v>0</v>
      </c>
      <c r="Z164" s="957"/>
      <c r="AA164" s="942">
        <f t="shared" si="28"/>
        <v>0</v>
      </c>
      <c r="AB164" s="403"/>
      <c r="AC164" s="403"/>
      <c r="AD164" s="403"/>
    </row>
    <row r="165" spans="1:30" s="872" customFormat="1" ht="24" thickBot="1">
      <c r="A165" s="726" t="s">
        <v>392</v>
      </c>
      <c r="B165" s="891"/>
      <c r="C165" s="891"/>
      <c r="D165" s="902"/>
      <c r="E165" s="904"/>
      <c r="F165" s="904"/>
      <c r="G165" s="904"/>
      <c r="H165" s="904"/>
      <c r="I165" s="904"/>
      <c r="J165" s="904"/>
      <c r="K165" s="904"/>
      <c r="L165" s="912"/>
      <c r="M165" s="912"/>
      <c r="N165" s="912"/>
      <c r="O165" s="912"/>
      <c r="P165" s="912"/>
      <c r="Q165" s="912"/>
      <c r="R165" s="941"/>
      <c r="S165" s="941"/>
      <c r="T165" s="941"/>
      <c r="U165" s="938"/>
      <c r="V165" s="975">
        <f t="shared" si="26"/>
        <v>0</v>
      </c>
      <c r="W165" s="976"/>
      <c r="X165" s="977"/>
      <c r="Y165" s="976">
        <f t="shared" si="27"/>
        <v>0</v>
      </c>
      <c r="Z165" s="977"/>
      <c r="AA165" s="976">
        <f t="shared" si="28"/>
        <v>0</v>
      </c>
      <c r="AB165" s="282"/>
      <c r="AC165" s="282"/>
      <c r="AD165" s="282"/>
    </row>
    <row r="166" spans="1:30" s="871" customFormat="1" ht="24" thickBot="1">
      <c r="A166" s="326" t="s">
        <v>415</v>
      </c>
      <c r="B166" s="895"/>
      <c r="C166" s="895"/>
      <c r="D166" s="896"/>
      <c r="E166" s="897">
        <f>SUM(E141:E165)</f>
        <v>0</v>
      </c>
      <c r="F166" s="897">
        <f t="shared" ref="F166:T166" si="29">SUM(F141:F165)</f>
        <v>0</v>
      </c>
      <c r="G166" s="897">
        <f t="shared" si="29"/>
        <v>0</v>
      </c>
      <c r="H166" s="897">
        <f t="shared" si="29"/>
        <v>0</v>
      </c>
      <c r="I166" s="897">
        <f t="shared" si="29"/>
        <v>0</v>
      </c>
      <c r="J166" s="897">
        <f t="shared" si="29"/>
        <v>0</v>
      </c>
      <c r="K166" s="897">
        <f t="shared" si="29"/>
        <v>0</v>
      </c>
      <c r="L166" s="897">
        <f t="shared" si="29"/>
        <v>0</v>
      </c>
      <c r="M166" s="897">
        <f t="shared" si="29"/>
        <v>0</v>
      </c>
      <c r="N166" s="897">
        <f t="shared" si="29"/>
        <v>0</v>
      </c>
      <c r="O166" s="897">
        <f t="shared" si="29"/>
        <v>0</v>
      </c>
      <c r="P166" s="897">
        <f t="shared" si="29"/>
        <v>0</v>
      </c>
      <c r="Q166" s="897">
        <f t="shared" si="29"/>
        <v>0</v>
      </c>
      <c r="R166" s="897">
        <f t="shared" si="29"/>
        <v>0</v>
      </c>
      <c r="S166" s="897">
        <f t="shared" si="29"/>
        <v>0</v>
      </c>
      <c r="T166" s="897">
        <f t="shared" si="29"/>
        <v>0</v>
      </c>
      <c r="U166" s="932"/>
      <c r="V166" s="933">
        <f>SUM(V141:V165)</f>
        <v>0</v>
      </c>
      <c r="W166" s="933">
        <f>SUM(W141:W165)</f>
        <v>0</v>
      </c>
      <c r="X166" s="934"/>
      <c r="Y166" s="934">
        <f>SUM(Y141:Y165)</f>
        <v>0</v>
      </c>
      <c r="Z166" s="934">
        <f>SUM(Z141:Z165)</f>
        <v>0</v>
      </c>
      <c r="AA166" s="973">
        <f>SUM(AA141:AA165)</f>
        <v>0</v>
      </c>
      <c r="AB166" s="1"/>
      <c r="AC166" s="1"/>
      <c r="AD166" s="1"/>
    </row>
    <row r="167" spans="1:30" s="872" customFormat="1" ht="24" thickBot="1">
      <c r="A167" s="978"/>
      <c r="B167" s="979"/>
      <c r="C167" s="979"/>
      <c r="D167" s="980"/>
      <c r="E167" s="981"/>
      <c r="F167" s="981"/>
      <c r="G167" s="981"/>
      <c r="H167" s="981"/>
      <c r="I167" s="981"/>
      <c r="J167" s="981"/>
      <c r="K167" s="981"/>
      <c r="L167" s="981"/>
      <c r="M167" s="981"/>
      <c r="N167" s="981"/>
      <c r="O167" s="981"/>
      <c r="P167" s="981"/>
      <c r="Q167" s="981"/>
      <c r="R167" s="981"/>
      <c r="S167" s="981"/>
      <c r="T167" s="981"/>
      <c r="U167" s="981"/>
      <c r="V167" s="981"/>
      <c r="W167" s="981"/>
      <c r="X167" s="981"/>
      <c r="Y167" s="981"/>
      <c r="Z167" s="981"/>
      <c r="AA167" s="981"/>
      <c r="AB167" s="1"/>
      <c r="AC167" s="1"/>
      <c r="AD167" s="1"/>
    </row>
    <row r="168" spans="1:30" s="871" customFormat="1" ht="24" thickBot="1">
      <c r="A168" s="982" t="s">
        <v>200</v>
      </c>
      <c r="B168" s="877" t="s">
        <v>68</v>
      </c>
      <c r="C168" s="877" t="s">
        <v>69</v>
      </c>
      <c r="D168" s="878" t="s">
        <v>70</v>
      </c>
      <c r="E168" s="879" t="s">
        <v>71</v>
      </c>
      <c r="F168" s="880" t="s">
        <v>407</v>
      </c>
      <c r="G168" s="880" t="s">
        <v>250</v>
      </c>
      <c r="H168" s="879" t="s">
        <v>193</v>
      </c>
      <c r="I168" s="879" t="s">
        <v>170</v>
      </c>
      <c r="J168" s="879" t="s">
        <v>92</v>
      </c>
      <c r="K168" s="879" t="s">
        <v>194</v>
      </c>
      <c r="L168" s="880" t="s">
        <v>195</v>
      </c>
      <c r="M168" s="880" t="s">
        <v>468</v>
      </c>
      <c r="N168" s="880" t="s">
        <v>94</v>
      </c>
      <c r="O168" s="880" t="s">
        <v>86</v>
      </c>
      <c r="P168" s="880" t="s">
        <v>420</v>
      </c>
      <c r="Q168" s="880" t="s">
        <v>95</v>
      </c>
      <c r="R168" s="49" t="s">
        <v>77</v>
      </c>
      <c r="S168" s="914" t="s">
        <v>53</v>
      </c>
      <c r="T168" s="914" t="s">
        <v>149</v>
      </c>
      <c r="U168" s="915"/>
      <c r="V168" s="916" t="s">
        <v>104</v>
      </c>
      <c r="W168" s="917" t="s">
        <v>105</v>
      </c>
      <c r="X168" s="917"/>
      <c r="Y168" s="918" t="s">
        <v>106</v>
      </c>
      <c r="Z168" s="917" t="s">
        <v>107</v>
      </c>
      <c r="AA168" s="960" t="s">
        <v>108</v>
      </c>
      <c r="AB168" s="1"/>
      <c r="AC168" s="1"/>
      <c r="AD168" s="1"/>
    </row>
    <row r="169" spans="1:30" s="872" customFormat="1" ht="21">
      <c r="A169" s="430"/>
      <c r="B169" s="431"/>
      <c r="C169" s="431"/>
      <c r="D169" s="432"/>
      <c r="E169" s="889"/>
      <c r="F169" s="889"/>
      <c r="G169" s="889"/>
      <c r="H169" s="889"/>
      <c r="I169" s="889"/>
      <c r="J169" s="889"/>
      <c r="K169" s="889"/>
      <c r="L169" s="909"/>
      <c r="M169" s="909"/>
      <c r="N169" s="909"/>
      <c r="O169" s="909"/>
      <c r="P169" s="909"/>
      <c r="Q169" s="909"/>
      <c r="R169" s="922"/>
      <c r="S169" s="922"/>
      <c r="T169" s="922"/>
      <c r="U169" s="1006"/>
      <c r="V169" s="924">
        <f>SUM(E169:T169)</f>
        <v>0</v>
      </c>
      <c r="W169" s="924"/>
      <c r="X169" s="925"/>
      <c r="Y169" s="924">
        <f>V169+W169</f>
        <v>0</v>
      </c>
      <c r="Z169" s="925"/>
      <c r="AA169" s="924">
        <f>Y169+Z169</f>
        <v>0</v>
      </c>
      <c r="AB169" s="1"/>
      <c r="AC169" s="1"/>
      <c r="AD169" s="1"/>
    </row>
    <row r="170" spans="1:30" s="871" customFormat="1" ht="21">
      <c r="A170" s="430"/>
      <c r="B170" s="431"/>
      <c r="C170" s="431"/>
      <c r="D170" s="432"/>
      <c r="E170" s="893"/>
      <c r="F170" s="893"/>
      <c r="G170" s="893"/>
      <c r="H170" s="893"/>
      <c r="I170" s="893"/>
      <c r="J170" s="893"/>
      <c r="K170" s="893"/>
      <c r="L170" s="910"/>
      <c r="M170" s="910"/>
      <c r="N170" s="910"/>
      <c r="O170" s="910"/>
      <c r="P170" s="910"/>
      <c r="Q170" s="910"/>
      <c r="R170" s="926"/>
      <c r="S170" s="926"/>
      <c r="T170" s="926"/>
      <c r="U170" s="927"/>
      <c r="V170" s="928">
        <f>SUM(E170:T170)</f>
        <v>0</v>
      </c>
      <c r="W170" s="929"/>
      <c r="X170" s="930"/>
      <c r="Y170" s="928">
        <f t="shared" ref="Y170:Y173" si="30">V170+W170</f>
        <v>0</v>
      </c>
      <c r="Z170" s="930"/>
      <c r="AA170" s="928">
        <f t="shared" ref="AA170:AA173" si="31">Y170+Z170</f>
        <v>0</v>
      </c>
      <c r="AB170" s="394"/>
      <c r="AC170" s="394"/>
      <c r="AD170" s="394"/>
    </row>
    <row r="171" spans="1:30" s="872" customFormat="1" ht="21">
      <c r="A171" s="983"/>
      <c r="B171" s="929"/>
      <c r="C171" s="929"/>
      <c r="D171" s="984"/>
      <c r="E171" s="893"/>
      <c r="F171" s="893"/>
      <c r="G171" s="893"/>
      <c r="H171" s="893"/>
      <c r="I171" s="893"/>
      <c r="J171" s="893"/>
      <c r="K171" s="893"/>
      <c r="L171" s="910"/>
      <c r="M171" s="910"/>
      <c r="N171" s="910"/>
      <c r="O171" s="910"/>
      <c r="P171" s="910"/>
      <c r="Q171" s="910"/>
      <c r="R171" s="926"/>
      <c r="S171" s="926"/>
      <c r="T171" s="926"/>
      <c r="U171" s="927"/>
      <c r="V171" s="928">
        <f>SUM(E171:T171)</f>
        <v>0</v>
      </c>
      <c r="W171" s="929"/>
      <c r="X171" s="930"/>
      <c r="Y171" s="928">
        <f t="shared" si="30"/>
        <v>0</v>
      </c>
      <c r="Z171" s="930"/>
      <c r="AA171" s="928">
        <f t="shared" si="31"/>
        <v>0</v>
      </c>
      <c r="AB171" s="403"/>
      <c r="AC171" s="403"/>
      <c r="AD171" s="403"/>
    </row>
    <row r="172" spans="1:30" s="872" customFormat="1" ht="21">
      <c r="A172" s="983"/>
      <c r="B172" s="929"/>
      <c r="C172" s="929"/>
      <c r="D172" s="984"/>
      <c r="E172" s="893"/>
      <c r="F172" s="893"/>
      <c r="G172" s="893"/>
      <c r="H172" s="893"/>
      <c r="I172" s="893"/>
      <c r="J172" s="893"/>
      <c r="K172" s="893"/>
      <c r="L172" s="910"/>
      <c r="M172" s="910"/>
      <c r="N172" s="910"/>
      <c r="O172" s="910"/>
      <c r="P172" s="910"/>
      <c r="Q172" s="910"/>
      <c r="R172" s="926"/>
      <c r="S172" s="926"/>
      <c r="T172" s="926"/>
      <c r="U172" s="927"/>
      <c r="V172" s="928">
        <f>SUM(E172:T172)</f>
        <v>0</v>
      </c>
      <c r="W172" s="929"/>
      <c r="X172" s="930"/>
      <c r="Y172" s="928">
        <f t="shared" si="30"/>
        <v>0</v>
      </c>
      <c r="Z172" s="930"/>
      <c r="AA172" s="928">
        <f t="shared" si="31"/>
        <v>0</v>
      </c>
      <c r="AB172" s="403"/>
      <c r="AC172" s="403"/>
      <c r="AD172" s="403"/>
    </row>
    <row r="173" spans="1:30" s="872" customFormat="1" ht="21.75" thickBot="1">
      <c r="A173" s="983"/>
      <c r="B173" s="929"/>
      <c r="C173" s="929"/>
      <c r="D173" s="984"/>
      <c r="E173" s="893"/>
      <c r="F173" s="893"/>
      <c r="G173" s="893"/>
      <c r="H173" s="893"/>
      <c r="I173" s="893"/>
      <c r="J173" s="893"/>
      <c r="K173" s="893"/>
      <c r="L173" s="910"/>
      <c r="M173" s="910"/>
      <c r="N173" s="910"/>
      <c r="O173" s="910"/>
      <c r="P173" s="910"/>
      <c r="Q173" s="910"/>
      <c r="R173" s="926"/>
      <c r="S173" s="926"/>
      <c r="T173" s="926"/>
      <c r="U173" s="927"/>
      <c r="V173" s="931">
        <f>SUM(E173:T173)</f>
        <v>0</v>
      </c>
      <c r="W173" s="931"/>
      <c r="X173" s="930"/>
      <c r="Y173" s="931">
        <f t="shared" si="30"/>
        <v>0</v>
      </c>
      <c r="Z173" s="930"/>
      <c r="AA173" s="931">
        <f t="shared" si="31"/>
        <v>0</v>
      </c>
      <c r="AB173" s="1"/>
      <c r="AC173" s="152"/>
      <c r="AD173" s="1"/>
    </row>
    <row r="174" spans="1:30" s="871" customFormat="1" ht="24" thickBot="1">
      <c r="A174" s="985" t="s">
        <v>134</v>
      </c>
      <c r="B174" s="895"/>
      <c r="C174" s="895"/>
      <c r="D174" s="896"/>
      <c r="E174" s="986">
        <f>SUM(E169:E173)</f>
        <v>0</v>
      </c>
      <c r="F174" s="986">
        <f>SUM(F169:F173)</f>
        <v>0</v>
      </c>
      <c r="G174" s="986">
        <f t="shared" ref="G174:T174" si="32">SUM(G169:G173)</f>
        <v>0</v>
      </c>
      <c r="H174" s="986">
        <f t="shared" si="32"/>
        <v>0</v>
      </c>
      <c r="I174" s="986">
        <f t="shared" si="32"/>
        <v>0</v>
      </c>
      <c r="J174" s="986">
        <f t="shared" si="32"/>
        <v>0</v>
      </c>
      <c r="K174" s="986">
        <f t="shared" si="32"/>
        <v>0</v>
      </c>
      <c r="L174" s="986">
        <f t="shared" si="32"/>
        <v>0</v>
      </c>
      <c r="M174" s="986">
        <f t="shared" si="32"/>
        <v>0</v>
      </c>
      <c r="N174" s="986">
        <f t="shared" si="32"/>
        <v>0</v>
      </c>
      <c r="O174" s="986">
        <f t="shared" si="32"/>
        <v>0</v>
      </c>
      <c r="P174" s="986">
        <f t="shared" si="32"/>
        <v>0</v>
      </c>
      <c r="Q174" s="986">
        <f t="shared" si="32"/>
        <v>0</v>
      </c>
      <c r="R174" s="986">
        <f t="shared" si="32"/>
        <v>0</v>
      </c>
      <c r="S174" s="986">
        <f t="shared" ref="S174" si="33">SUM(S169:S173)</f>
        <v>0</v>
      </c>
      <c r="T174" s="986">
        <f t="shared" si="32"/>
        <v>0</v>
      </c>
      <c r="U174" s="1007"/>
      <c r="V174" s="1008">
        <f>SUM(V169:V173)</f>
        <v>0</v>
      </c>
      <c r="W174" s="1009">
        <f>SUM(W169:W173)</f>
        <v>0</v>
      </c>
      <c r="X174" s="1009"/>
      <c r="Y174" s="1009">
        <f>SUM(Y169:Y173)</f>
        <v>0</v>
      </c>
      <c r="Z174" s="1009">
        <f>SUM(Z169:Z173)</f>
        <v>0</v>
      </c>
      <c r="AA174" s="1025">
        <f>SUM(AA169:AA173)</f>
        <v>0</v>
      </c>
      <c r="AB174" s="1"/>
      <c r="AC174" s="1"/>
      <c r="AD174" s="1"/>
    </row>
    <row r="175" spans="1:30" s="872" customFormat="1" ht="24" thickBot="1">
      <c r="A175" s="978"/>
      <c r="B175" s="979"/>
      <c r="C175" s="979"/>
      <c r="D175" s="980"/>
      <c r="E175" s="981"/>
      <c r="F175" s="981"/>
      <c r="G175" s="981"/>
      <c r="H175" s="981"/>
      <c r="I175" s="981"/>
      <c r="J175" s="981"/>
      <c r="K175" s="981"/>
      <c r="L175" s="981"/>
      <c r="M175" s="981"/>
      <c r="N175" s="981"/>
      <c r="O175" s="981"/>
      <c r="P175" s="981"/>
      <c r="Q175" s="981"/>
      <c r="R175" s="981"/>
      <c r="S175" s="981"/>
      <c r="T175" s="981"/>
      <c r="U175" s="981"/>
      <c r="V175" s="981"/>
      <c r="W175" s="981"/>
      <c r="X175" s="981"/>
      <c r="Y175" s="981"/>
      <c r="Z175" s="981"/>
      <c r="AA175" s="981"/>
      <c r="AB175" s="1026"/>
      <c r="AC175" s="1026"/>
      <c r="AD175" s="1026"/>
    </row>
    <row r="176" spans="1:30" s="871" customFormat="1" ht="24" thickBot="1">
      <c r="A176" s="441" t="s">
        <v>135</v>
      </c>
      <c r="B176" s="877" t="s">
        <v>68</v>
      </c>
      <c r="C176" s="877" t="s">
        <v>69</v>
      </c>
      <c r="D176" s="878" t="s">
        <v>70</v>
      </c>
      <c r="E176" s="879" t="s">
        <v>71</v>
      </c>
      <c r="F176" s="880" t="s">
        <v>407</v>
      </c>
      <c r="G176" s="880" t="s">
        <v>250</v>
      </c>
      <c r="H176" s="879" t="s">
        <v>193</v>
      </c>
      <c r="I176" s="879" t="s">
        <v>170</v>
      </c>
      <c r="J176" s="879" t="s">
        <v>92</v>
      </c>
      <c r="K176" s="879" t="s">
        <v>194</v>
      </c>
      <c r="L176" s="880" t="s">
        <v>195</v>
      </c>
      <c r="M176" s="880" t="s">
        <v>468</v>
      </c>
      <c r="N176" s="880" t="s">
        <v>94</v>
      </c>
      <c r="O176" s="880" t="s">
        <v>86</v>
      </c>
      <c r="P176" s="880" t="s">
        <v>420</v>
      </c>
      <c r="Q176" s="880" t="s">
        <v>95</v>
      </c>
      <c r="R176" s="49" t="s">
        <v>77</v>
      </c>
      <c r="S176" s="914" t="s">
        <v>53</v>
      </c>
      <c r="T176" s="914" t="s">
        <v>149</v>
      </c>
      <c r="U176" s="915"/>
      <c r="V176" s="916" t="s">
        <v>104</v>
      </c>
      <c r="W176" s="917" t="s">
        <v>105</v>
      </c>
      <c r="X176" s="917"/>
      <c r="Y176" s="918" t="s">
        <v>106</v>
      </c>
      <c r="Z176" s="917" t="s">
        <v>107</v>
      </c>
      <c r="AA176" s="960" t="s">
        <v>108</v>
      </c>
      <c r="AB176" s="276"/>
      <c r="AC176" s="276"/>
      <c r="AD176" s="276"/>
    </row>
    <row r="177" spans="1:30" s="871" customFormat="1" ht="21">
      <c r="A177" s="987"/>
      <c r="B177" s="538"/>
      <c r="C177" s="539"/>
      <c r="D177" s="988"/>
      <c r="E177" s="889"/>
      <c r="F177" s="889"/>
      <c r="G177" s="889"/>
      <c r="H177" s="889"/>
      <c r="I177" s="889"/>
      <c r="J177" s="889"/>
      <c r="K177" s="889"/>
      <c r="L177" s="909"/>
      <c r="M177" s="909"/>
      <c r="N177" s="909"/>
      <c r="O177" s="909"/>
      <c r="P177" s="909"/>
      <c r="Q177" s="909"/>
      <c r="R177" s="922"/>
      <c r="S177" s="922"/>
      <c r="T177" s="922"/>
      <c r="U177" s="1006"/>
      <c r="V177" s="924">
        <f>SUM(E177:T177)</f>
        <v>0</v>
      </c>
      <c r="W177" s="924"/>
      <c r="X177" s="925"/>
      <c r="Y177" s="924">
        <f>V177+W177</f>
        <v>0</v>
      </c>
      <c r="Z177" s="925"/>
      <c r="AA177" s="924">
        <f>Y177+Z177</f>
        <v>0</v>
      </c>
      <c r="AB177" s="872"/>
      <c r="AC177" s="872"/>
      <c r="AD177" s="872"/>
    </row>
    <row r="178" spans="1:30" s="872" customFormat="1" ht="21">
      <c r="A178" s="983"/>
      <c r="B178" s="929"/>
      <c r="C178" s="929"/>
      <c r="D178" s="984"/>
      <c r="E178" s="893"/>
      <c r="F178" s="893"/>
      <c r="G178" s="893"/>
      <c r="H178" s="893"/>
      <c r="I178" s="893"/>
      <c r="J178" s="893"/>
      <c r="K178" s="893"/>
      <c r="L178" s="910"/>
      <c r="M178" s="910"/>
      <c r="N178" s="910"/>
      <c r="O178" s="910"/>
      <c r="P178" s="910"/>
      <c r="Q178" s="910"/>
      <c r="R178" s="926"/>
      <c r="S178" s="926"/>
      <c r="T178" s="926"/>
      <c r="U178" s="927"/>
      <c r="V178" s="928">
        <f>SUM(E178:T178)</f>
        <v>0</v>
      </c>
      <c r="W178" s="929"/>
      <c r="X178" s="930"/>
      <c r="Y178" s="928">
        <f t="shared" ref="Y178:Y181" si="34">V178+W178</f>
        <v>0</v>
      </c>
      <c r="Z178" s="930"/>
      <c r="AA178" s="928">
        <f t="shared" ref="AA178:AA181" si="35">Y178+Z178</f>
        <v>0</v>
      </c>
      <c r="AB178" s="871"/>
      <c r="AC178" s="871"/>
      <c r="AD178" s="871"/>
    </row>
    <row r="179" spans="1:30" s="872" customFormat="1" ht="21">
      <c r="A179" s="983"/>
      <c r="B179" s="929"/>
      <c r="C179" s="929"/>
      <c r="D179" s="984"/>
      <c r="E179" s="893"/>
      <c r="F179" s="893"/>
      <c r="G179" s="893"/>
      <c r="H179" s="893"/>
      <c r="I179" s="893"/>
      <c r="J179" s="893"/>
      <c r="K179" s="893"/>
      <c r="L179" s="910"/>
      <c r="M179" s="910"/>
      <c r="N179" s="910"/>
      <c r="O179" s="910"/>
      <c r="P179" s="910"/>
      <c r="Q179" s="910"/>
      <c r="R179" s="926"/>
      <c r="S179" s="926"/>
      <c r="T179" s="926"/>
      <c r="U179" s="927"/>
      <c r="V179" s="928">
        <f>SUM(E179:T179)</f>
        <v>0</v>
      </c>
      <c r="W179" s="929"/>
      <c r="X179" s="930"/>
      <c r="Y179" s="928">
        <f t="shared" si="34"/>
        <v>0</v>
      </c>
      <c r="Z179" s="930"/>
      <c r="AA179" s="928">
        <f t="shared" si="35"/>
        <v>0</v>
      </c>
      <c r="AB179" s="871"/>
      <c r="AC179" s="871"/>
      <c r="AD179" s="871"/>
    </row>
    <row r="180" spans="1:30" s="871" customFormat="1" ht="21">
      <c r="A180" s="983"/>
      <c r="B180" s="929"/>
      <c r="C180" s="929"/>
      <c r="D180" s="984"/>
      <c r="E180" s="893"/>
      <c r="F180" s="893"/>
      <c r="G180" s="893"/>
      <c r="H180" s="893"/>
      <c r="I180" s="893"/>
      <c r="J180" s="893"/>
      <c r="K180" s="893"/>
      <c r="L180" s="910"/>
      <c r="M180" s="910"/>
      <c r="N180" s="910"/>
      <c r="O180" s="910"/>
      <c r="P180" s="910"/>
      <c r="Q180" s="910"/>
      <c r="R180" s="926"/>
      <c r="S180" s="926"/>
      <c r="T180" s="926"/>
      <c r="U180" s="927"/>
      <c r="V180" s="928">
        <f>SUM(E180:T180)</f>
        <v>0</v>
      </c>
      <c r="W180" s="929"/>
      <c r="X180" s="930"/>
      <c r="Y180" s="928">
        <f t="shared" si="34"/>
        <v>0</v>
      </c>
      <c r="Z180" s="930"/>
      <c r="AA180" s="928">
        <f t="shared" si="35"/>
        <v>0</v>
      </c>
    </row>
    <row r="181" spans="1:30" s="872" customFormat="1" ht="21.75" thickBot="1">
      <c r="A181" s="983"/>
      <c r="B181" s="929"/>
      <c r="C181" s="929"/>
      <c r="D181" s="984"/>
      <c r="E181" s="893"/>
      <c r="F181" s="893"/>
      <c r="G181" s="893"/>
      <c r="H181" s="893"/>
      <c r="I181" s="893"/>
      <c r="J181" s="893"/>
      <c r="K181" s="893"/>
      <c r="L181" s="910"/>
      <c r="M181" s="910"/>
      <c r="N181" s="910"/>
      <c r="O181" s="910"/>
      <c r="P181" s="910"/>
      <c r="Q181" s="910"/>
      <c r="R181" s="926"/>
      <c r="S181" s="926"/>
      <c r="T181" s="926"/>
      <c r="U181" s="927"/>
      <c r="V181" s="931">
        <f>SUM(E181:T181)</f>
        <v>0</v>
      </c>
      <c r="W181" s="931"/>
      <c r="X181" s="930"/>
      <c r="Y181" s="931">
        <f t="shared" si="34"/>
        <v>0</v>
      </c>
      <c r="Z181" s="930"/>
      <c r="AA181" s="931">
        <f t="shared" si="35"/>
        <v>0</v>
      </c>
    </row>
    <row r="182" spans="1:30" s="872" customFormat="1" ht="24" thickBot="1">
      <c r="A182" s="985" t="s">
        <v>134</v>
      </c>
      <c r="B182" s="895"/>
      <c r="C182" s="895"/>
      <c r="D182" s="896"/>
      <c r="E182" s="986">
        <f>SUM(E177:E181)</f>
        <v>0</v>
      </c>
      <c r="F182" s="986">
        <f t="shared" ref="F182:T182" si="36">SUM(F177:F181)</f>
        <v>0</v>
      </c>
      <c r="G182" s="986">
        <f t="shared" si="36"/>
        <v>0</v>
      </c>
      <c r="H182" s="986">
        <f t="shared" si="36"/>
        <v>0</v>
      </c>
      <c r="I182" s="986">
        <f t="shared" si="36"/>
        <v>0</v>
      </c>
      <c r="J182" s="986">
        <f t="shared" si="36"/>
        <v>0</v>
      </c>
      <c r="K182" s="986">
        <f t="shared" si="36"/>
        <v>0</v>
      </c>
      <c r="L182" s="986">
        <f t="shared" si="36"/>
        <v>0</v>
      </c>
      <c r="M182" s="986">
        <f t="shared" si="36"/>
        <v>0</v>
      </c>
      <c r="N182" s="986">
        <f t="shared" si="36"/>
        <v>0</v>
      </c>
      <c r="O182" s="986">
        <f t="shared" si="36"/>
        <v>0</v>
      </c>
      <c r="P182" s="986">
        <f t="shared" si="36"/>
        <v>0</v>
      </c>
      <c r="Q182" s="986">
        <f t="shared" si="36"/>
        <v>0</v>
      </c>
      <c r="R182" s="986">
        <f t="shared" si="36"/>
        <v>0</v>
      </c>
      <c r="S182" s="986">
        <f t="shared" ref="S182" si="37">SUM(S177:S181)</f>
        <v>0</v>
      </c>
      <c r="T182" s="986">
        <f t="shared" si="36"/>
        <v>0</v>
      </c>
      <c r="U182" s="1007"/>
      <c r="V182" s="1008">
        <f>SUM(V177:V181)</f>
        <v>0</v>
      </c>
      <c r="W182" s="1009">
        <f>SUM(W177:W181)</f>
        <v>0</v>
      </c>
      <c r="X182" s="1009"/>
      <c r="Y182" s="1009">
        <f>SUM(Y177:Y181)</f>
        <v>0</v>
      </c>
      <c r="Z182" s="1009">
        <f>SUM(Z177:Z181)</f>
        <v>0</v>
      </c>
      <c r="AA182" s="1025">
        <f>SUM(AA177:AA181)</f>
        <v>0</v>
      </c>
      <c r="AB182" s="871"/>
      <c r="AC182" s="871"/>
      <c r="AD182" s="871"/>
    </row>
    <row r="183" spans="1:30" s="871" customFormat="1" ht="24" thickBot="1">
      <c r="A183" s="978"/>
      <c r="B183" s="979"/>
      <c r="C183" s="979"/>
      <c r="D183" s="980"/>
      <c r="E183" s="981"/>
      <c r="F183" s="981"/>
      <c r="G183" s="981"/>
      <c r="H183" s="981"/>
      <c r="I183" s="981"/>
      <c r="J183" s="981"/>
      <c r="K183" s="981"/>
      <c r="L183" s="981"/>
      <c r="M183" s="981"/>
      <c r="N183" s="981"/>
      <c r="O183" s="981"/>
      <c r="P183" s="981"/>
      <c r="Q183" s="981"/>
      <c r="R183" s="981"/>
      <c r="S183" s="981"/>
      <c r="T183" s="981"/>
      <c r="U183" s="981"/>
      <c r="V183" s="981"/>
      <c r="W183" s="981"/>
      <c r="X183" s="981"/>
      <c r="Y183" s="981"/>
      <c r="Z183" s="981"/>
      <c r="AA183" s="981"/>
      <c r="AB183" s="872"/>
      <c r="AC183" s="872"/>
      <c r="AD183" s="872"/>
    </row>
    <row r="184" spans="1:30" s="872" customFormat="1" ht="24" thickBot="1">
      <c r="A184" s="989" t="s">
        <v>140</v>
      </c>
      <c r="B184" s="877" t="s">
        <v>68</v>
      </c>
      <c r="C184" s="877" t="s">
        <v>69</v>
      </c>
      <c r="D184" s="878" t="s">
        <v>70</v>
      </c>
      <c r="E184" s="879" t="s">
        <v>71</v>
      </c>
      <c r="F184" s="880" t="s">
        <v>407</v>
      </c>
      <c r="G184" s="880" t="s">
        <v>250</v>
      </c>
      <c r="H184" s="879" t="s">
        <v>193</v>
      </c>
      <c r="I184" s="879" t="s">
        <v>170</v>
      </c>
      <c r="J184" s="879" t="s">
        <v>92</v>
      </c>
      <c r="K184" s="879" t="s">
        <v>194</v>
      </c>
      <c r="L184" s="880" t="s">
        <v>195</v>
      </c>
      <c r="M184" s="880" t="s">
        <v>468</v>
      </c>
      <c r="N184" s="880" t="s">
        <v>94</v>
      </c>
      <c r="O184" s="880" t="s">
        <v>86</v>
      </c>
      <c r="P184" s="880" t="s">
        <v>420</v>
      </c>
      <c r="Q184" s="880" t="s">
        <v>95</v>
      </c>
      <c r="R184" s="49" t="s">
        <v>77</v>
      </c>
      <c r="S184" s="914" t="s">
        <v>53</v>
      </c>
      <c r="T184" s="914" t="s">
        <v>149</v>
      </c>
      <c r="U184" s="915"/>
      <c r="V184" s="916" t="s">
        <v>104</v>
      </c>
      <c r="W184" s="917" t="s">
        <v>105</v>
      </c>
      <c r="X184" s="917"/>
      <c r="Y184" s="918" t="s">
        <v>106</v>
      </c>
      <c r="Z184" s="917" t="s">
        <v>107</v>
      </c>
      <c r="AA184" s="960" t="s">
        <v>108</v>
      </c>
      <c r="AB184" s="871"/>
      <c r="AC184" s="871"/>
      <c r="AD184" s="871"/>
    </row>
    <row r="185" spans="1:30" s="871" customFormat="1" ht="21">
      <c r="A185" s="445"/>
      <c r="B185" s="963"/>
      <c r="C185" s="963"/>
      <c r="D185" s="990"/>
      <c r="E185" s="889"/>
      <c r="F185" s="889"/>
      <c r="G185" s="889"/>
      <c r="H185" s="889"/>
      <c r="I185" s="889"/>
      <c r="J185" s="889"/>
      <c r="K185" s="889"/>
      <c r="L185" s="909"/>
      <c r="M185" s="909"/>
      <c r="N185" s="909"/>
      <c r="O185" s="909"/>
      <c r="P185" s="909"/>
      <c r="Q185" s="909"/>
      <c r="R185" s="922"/>
      <c r="S185" s="922"/>
      <c r="T185" s="922"/>
      <c r="U185" s="1006"/>
      <c r="V185" s="924">
        <f>SUM(E185:T185)</f>
        <v>0</v>
      </c>
      <c r="W185" s="924"/>
      <c r="X185" s="925"/>
      <c r="Y185" s="924">
        <f>V185+W185</f>
        <v>0</v>
      </c>
      <c r="Z185" s="925">
        <v>0</v>
      </c>
      <c r="AA185" s="924">
        <f>Y185+Z185</f>
        <v>0</v>
      </c>
      <c r="AB185" s="872"/>
      <c r="AC185" s="872"/>
      <c r="AD185" s="872"/>
    </row>
    <row r="186" spans="1:30" s="872" customFormat="1" ht="21">
      <c r="A186" s="983"/>
      <c r="B186" s="929"/>
      <c r="C186" s="929"/>
      <c r="D186" s="984"/>
      <c r="E186" s="893"/>
      <c r="F186" s="893"/>
      <c r="G186" s="893"/>
      <c r="H186" s="893"/>
      <c r="I186" s="893"/>
      <c r="J186" s="893"/>
      <c r="K186" s="893"/>
      <c r="L186" s="910"/>
      <c r="M186" s="910"/>
      <c r="N186" s="910"/>
      <c r="O186" s="910"/>
      <c r="P186" s="910"/>
      <c r="Q186" s="910"/>
      <c r="R186" s="926"/>
      <c r="S186" s="926"/>
      <c r="T186" s="926"/>
      <c r="U186" s="927"/>
      <c r="V186" s="928">
        <f>SUM(E186:T186)</f>
        <v>0</v>
      </c>
      <c r="W186" s="929"/>
      <c r="X186" s="930"/>
      <c r="Y186" s="928">
        <f t="shared" ref="Y186:Y189" si="38">V186+W186</f>
        <v>0</v>
      </c>
      <c r="Z186" s="930"/>
      <c r="AA186" s="928">
        <f t="shared" ref="AA186:AA189" si="39">Y186+Z186</f>
        <v>0</v>
      </c>
      <c r="AB186" s="871"/>
      <c r="AC186" s="871"/>
      <c r="AD186" s="871"/>
    </row>
    <row r="187" spans="1:30" ht="21">
      <c r="A187" s="983"/>
      <c r="B187" s="929"/>
      <c r="C187" s="929"/>
      <c r="D187" s="984"/>
      <c r="E187" s="893"/>
      <c r="F187" s="893"/>
      <c r="G187" s="893"/>
      <c r="H187" s="893"/>
      <c r="I187" s="893"/>
      <c r="J187" s="893"/>
      <c r="K187" s="893"/>
      <c r="L187" s="910"/>
      <c r="M187" s="910"/>
      <c r="N187" s="910"/>
      <c r="O187" s="910"/>
      <c r="P187" s="910"/>
      <c r="Q187" s="910"/>
      <c r="R187" s="926"/>
      <c r="S187" s="926"/>
      <c r="T187" s="926"/>
      <c r="U187" s="927"/>
      <c r="V187" s="928">
        <f>SUM(E187:T187)</f>
        <v>0</v>
      </c>
      <c r="W187" s="929"/>
      <c r="X187" s="930"/>
      <c r="Y187" s="928">
        <f t="shared" si="38"/>
        <v>0</v>
      </c>
      <c r="Z187" s="930"/>
      <c r="AA187" s="928">
        <f t="shared" si="39"/>
        <v>0</v>
      </c>
      <c r="AB187" s="872"/>
      <c r="AC187" s="872"/>
      <c r="AD187" s="872"/>
    </row>
    <row r="188" spans="1:30" s="872" customFormat="1" ht="21">
      <c r="A188" s="983"/>
      <c r="B188" s="929"/>
      <c r="C188" s="929"/>
      <c r="D188" s="984"/>
      <c r="E188" s="893"/>
      <c r="F188" s="893"/>
      <c r="G188" s="893"/>
      <c r="H188" s="893"/>
      <c r="I188" s="893"/>
      <c r="J188" s="893"/>
      <c r="K188" s="893"/>
      <c r="L188" s="910"/>
      <c r="M188" s="910"/>
      <c r="N188" s="910"/>
      <c r="O188" s="910"/>
      <c r="P188" s="910"/>
      <c r="Q188" s="910"/>
      <c r="R188" s="926"/>
      <c r="S188" s="926"/>
      <c r="T188" s="926"/>
      <c r="U188" s="927"/>
      <c r="V188" s="928">
        <f>SUM(E188:T188)</f>
        <v>0</v>
      </c>
      <c r="W188" s="929"/>
      <c r="X188" s="930"/>
      <c r="Y188" s="928">
        <f t="shared" si="38"/>
        <v>0</v>
      </c>
      <c r="Z188" s="930"/>
      <c r="AA188" s="928">
        <f t="shared" si="39"/>
        <v>0</v>
      </c>
    </row>
    <row r="189" spans="1:30" s="872" customFormat="1" ht="21.75" thickBot="1">
      <c r="A189" s="983"/>
      <c r="B189" s="929"/>
      <c r="C189" s="929"/>
      <c r="D189" s="984"/>
      <c r="E189" s="893"/>
      <c r="F189" s="893"/>
      <c r="G189" s="893"/>
      <c r="H189" s="893"/>
      <c r="I189" s="893"/>
      <c r="J189" s="893"/>
      <c r="K189" s="893"/>
      <c r="L189" s="910"/>
      <c r="M189" s="910"/>
      <c r="N189" s="910"/>
      <c r="O189" s="910"/>
      <c r="P189" s="910"/>
      <c r="Q189" s="910"/>
      <c r="R189" s="926"/>
      <c r="S189" s="926"/>
      <c r="T189" s="926"/>
      <c r="U189" s="927"/>
      <c r="V189" s="931">
        <f>SUM(E189:T189)</f>
        <v>0</v>
      </c>
      <c r="W189" s="931"/>
      <c r="X189" s="930"/>
      <c r="Y189" s="931">
        <f t="shared" si="38"/>
        <v>0</v>
      </c>
      <c r="Z189" s="930"/>
      <c r="AA189" s="931">
        <f t="shared" si="39"/>
        <v>0</v>
      </c>
    </row>
    <row r="190" spans="1:30" s="871" customFormat="1" ht="24" thickBot="1">
      <c r="A190" s="985" t="s">
        <v>134</v>
      </c>
      <c r="B190" s="895"/>
      <c r="C190" s="895"/>
      <c r="D190" s="896"/>
      <c r="E190" s="986">
        <f>SUM(E185:E189)</f>
        <v>0</v>
      </c>
      <c r="F190" s="986">
        <f t="shared" ref="F190:T190" si="40">SUM(F185:F189)</f>
        <v>0</v>
      </c>
      <c r="G190" s="986">
        <f t="shared" si="40"/>
        <v>0</v>
      </c>
      <c r="H190" s="986">
        <f t="shared" si="40"/>
        <v>0</v>
      </c>
      <c r="I190" s="986">
        <f t="shared" si="40"/>
        <v>0</v>
      </c>
      <c r="J190" s="986">
        <f t="shared" si="40"/>
        <v>0</v>
      </c>
      <c r="K190" s="986">
        <f t="shared" si="40"/>
        <v>0</v>
      </c>
      <c r="L190" s="986">
        <f t="shared" si="40"/>
        <v>0</v>
      </c>
      <c r="M190" s="986">
        <f t="shared" si="40"/>
        <v>0</v>
      </c>
      <c r="N190" s="986">
        <f t="shared" si="40"/>
        <v>0</v>
      </c>
      <c r="O190" s="986">
        <f t="shared" si="40"/>
        <v>0</v>
      </c>
      <c r="P190" s="986">
        <f t="shared" si="40"/>
        <v>0</v>
      </c>
      <c r="Q190" s="986">
        <f t="shared" si="40"/>
        <v>0</v>
      </c>
      <c r="R190" s="986">
        <f t="shared" si="40"/>
        <v>0</v>
      </c>
      <c r="S190" s="986">
        <f t="shared" ref="S190" si="41">SUM(S185:S189)</f>
        <v>0</v>
      </c>
      <c r="T190" s="986">
        <f t="shared" si="40"/>
        <v>0</v>
      </c>
      <c r="U190" s="1007"/>
      <c r="V190" s="1008">
        <f>SUM(V185:V189)</f>
        <v>0</v>
      </c>
      <c r="W190" s="1009">
        <f>SUM(W185:W189)</f>
        <v>0</v>
      </c>
      <c r="X190" s="1009"/>
      <c r="Y190" s="1009">
        <f>SUM(Y185:Y189)</f>
        <v>0</v>
      </c>
      <c r="Z190" s="1009">
        <f>SUM(Z185:Z189)</f>
        <v>0</v>
      </c>
      <c r="AA190" s="1025">
        <f>SUM(AA185:AA189)</f>
        <v>0</v>
      </c>
    </row>
    <row r="191" spans="1:30" s="872" customFormat="1" ht="24" thickBot="1">
      <c r="A191" s="978"/>
      <c r="B191" s="979"/>
      <c r="C191" s="979"/>
      <c r="D191" s="980"/>
      <c r="E191" s="981"/>
      <c r="F191" s="981"/>
      <c r="G191" s="981"/>
      <c r="H191" s="981"/>
      <c r="I191" s="981"/>
      <c r="J191" s="981"/>
      <c r="K191" s="981"/>
      <c r="L191" s="981"/>
      <c r="M191" s="981"/>
      <c r="N191" s="981"/>
      <c r="O191" s="981"/>
      <c r="P191" s="981"/>
      <c r="Q191" s="981"/>
      <c r="R191" s="981"/>
      <c r="S191" s="981"/>
      <c r="T191" s="981"/>
      <c r="U191" s="981"/>
      <c r="V191" s="981"/>
      <c r="W191" s="981"/>
      <c r="X191" s="981"/>
      <c r="Y191" s="981"/>
      <c r="Z191" s="981"/>
      <c r="AA191" s="981"/>
    </row>
    <row r="192" spans="1:30" s="872" customFormat="1" ht="24" thickBot="1">
      <c r="A192" s="289" t="s">
        <v>143</v>
      </c>
      <c r="B192" s="877" t="s">
        <v>68</v>
      </c>
      <c r="C192" s="877" t="s">
        <v>69</v>
      </c>
      <c r="D192" s="878" t="s">
        <v>70</v>
      </c>
      <c r="E192" s="879" t="s">
        <v>71</v>
      </c>
      <c r="F192" s="880" t="s">
        <v>407</v>
      </c>
      <c r="G192" s="880" t="s">
        <v>250</v>
      </c>
      <c r="H192" s="879" t="s">
        <v>193</v>
      </c>
      <c r="I192" s="879" t="s">
        <v>170</v>
      </c>
      <c r="J192" s="879" t="s">
        <v>92</v>
      </c>
      <c r="K192" s="879" t="s">
        <v>194</v>
      </c>
      <c r="L192" s="880" t="s">
        <v>195</v>
      </c>
      <c r="M192" s="880" t="s">
        <v>468</v>
      </c>
      <c r="N192" s="880" t="s">
        <v>94</v>
      </c>
      <c r="O192" s="880" t="s">
        <v>86</v>
      </c>
      <c r="P192" s="880" t="s">
        <v>420</v>
      </c>
      <c r="Q192" s="880" t="s">
        <v>95</v>
      </c>
      <c r="R192" s="49" t="s">
        <v>77</v>
      </c>
      <c r="S192" s="914" t="s">
        <v>53</v>
      </c>
      <c r="T192" s="914" t="s">
        <v>149</v>
      </c>
      <c r="U192" s="915"/>
      <c r="V192" s="916" t="s">
        <v>104</v>
      </c>
      <c r="W192" s="917" t="s">
        <v>105</v>
      </c>
      <c r="X192" s="917"/>
      <c r="Y192" s="918" t="s">
        <v>106</v>
      </c>
      <c r="Z192" s="917" t="s">
        <v>107</v>
      </c>
      <c r="AA192" s="960" t="s">
        <v>108</v>
      </c>
      <c r="AB192" s="871"/>
      <c r="AC192" s="871"/>
      <c r="AD192" s="871"/>
    </row>
    <row r="193" spans="1:30" s="872" customFormat="1" ht="21">
      <c r="A193" s="537"/>
      <c r="B193" s="323"/>
      <c r="C193" s="323"/>
      <c r="D193" s="324"/>
      <c r="E193" s="889"/>
      <c r="F193" s="889"/>
      <c r="G193" s="889"/>
      <c r="H193" s="889"/>
      <c r="I193" s="889"/>
      <c r="J193" s="889"/>
      <c r="K193" s="889"/>
      <c r="L193" s="909"/>
      <c r="M193" s="909"/>
      <c r="N193" s="909"/>
      <c r="O193" s="909"/>
      <c r="P193" s="909"/>
      <c r="Q193" s="909"/>
      <c r="R193" s="922"/>
      <c r="S193" s="922"/>
      <c r="T193" s="922"/>
      <c r="U193" s="1006"/>
      <c r="V193" s="924">
        <f>SUM(E193:T193)</f>
        <v>0</v>
      </c>
      <c r="W193" s="924"/>
      <c r="X193" s="925"/>
      <c r="Y193" s="924">
        <f>V193+W193</f>
        <v>0</v>
      </c>
      <c r="Z193" s="925"/>
      <c r="AA193" s="924">
        <f>Y193+Z193</f>
        <v>0</v>
      </c>
    </row>
    <row r="194" spans="1:30" s="872" customFormat="1" ht="21">
      <c r="A194" s="537"/>
      <c r="B194" s="929"/>
      <c r="C194" s="929"/>
      <c r="D194" s="984"/>
      <c r="E194" s="893"/>
      <c r="F194" s="893"/>
      <c r="G194" s="893"/>
      <c r="H194" s="893"/>
      <c r="I194" s="893"/>
      <c r="J194" s="893"/>
      <c r="K194" s="893"/>
      <c r="L194" s="910"/>
      <c r="M194" s="910"/>
      <c r="N194" s="910"/>
      <c r="O194" s="910"/>
      <c r="P194" s="910"/>
      <c r="Q194" s="910"/>
      <c r="R194" s="926"/>
      <c r="S194" s="926"/>
      <c r="T194" s="926"/>
      <c r="U194" s="927"/>
      <c r="V194" s="928">
        <f>SUM(E194:T194)</f>
        <v>0</v>
      </c>
      <c r="W194" s="929"/>
      <c r="X194" s="930"/>
      <c r="Y194" s="928">
        <f t="shared" ref="Y194:Y197" si="42">V194+W194</f>
        <v>0</v>
      </c>
      <c r="Z194" s="930"/>
      <c r="AA194" s="928">
        <f t="shared" ref="AA194:AA197" si="43">Y194+Z194</f>
        <v>0</v>
      </c>
    </row>
    <row r="195" spans="1:30" ht="21">
      <c r="A195" s="537"/>
      <c r="B195" s="929"/>
      <c r="C195" s="929"/>
      <c r="D195" s="984"/>
      <c r="E195" s="893"/>
      <c r="F195" s="893"/>
      <c r="G195" s="893"/>
      <c r="H195" s="893"/>
      <c r="I195" s="893"/>
      <c r="J195" s="893"/>
      <c r="K195" s="893"/>
      <c r="L195" s="910"/>
      <c r="M195" s="910"/>
      <c r="N195" s="910"/>
      <c r="O195" s="910"/>
      <c r="P195" s="910"/>
      <c r="Q195" s="910"/>
      <c r="R195" s="926"/>
      <c r="S195" s="926"/>
      <c r="T195" s="926"/>
      <c r="U195" s="927"/>
      <c r="V195" s="928">
        <f>SUM(E195:T195)</f>
        <v>0</v>
      </c>
      <c r="W195" s="929"/>
      <c r="X195" s="930"/>
      <c r="Y195" s="928">
        <f t="shared" si="42"/>
        <v>0</v>
      </c>
      <c r="Z195" s="930"/>
      <c r="AA195" s="928">
        <f t="shared" si="43"/>
        <v>0</v>
      </c>
      <c r="AB195" s="871"/>
      <c r="AC195" s="871"/>
      <c r="AD195" s="871"/>
    </row>
    <row r="196" spans="1:30" s="870" customFormat="1" ht="21">
      <c r="A196" s="547"/>
      <c r="B196" s="929"/>
      <c r="C196" s="929"/>
      <c r="D196" s="984"/>
      <c r="E196" s="893"/>
      <c r="F196" s="893"/>
      <c r="G196" s="893"/>
      <c r="H196" s="893"/>
      <c r="I196" s="893"/>
      <c r="J196" s="893"/>
      <c r="K196" s="893"/>
      <c r="L196" s="910"/>
      <c r="M196" s="910"/>
      <c r="N196" s="910"/>
      <c r="O196" s="910"/>
      <c r="P196" s="910"/>
      <c r="Q196" s="910"/>
      <c r="R196" s="926"/>
      <c r="S196" s="926"/>
      <c r="T196" s="926"/>
      <c r="U196" s="927"/>
      <c r="V196" s="928">
        <f>SUM(E196:T196)</f>
        <v>0</v>
      </c>
      <c r="W196" s="929"/>
      <c r="X196" s="930"/>
      <c r="Y196" s="928">
        <f t="shared" si="42"/>
        <v>0</v>
      </c>
      <c r="Z196" s="930"/>
      <c r="AA196" s="928">
        <f t="shared" si="43"/>
        <v>0</v>
      </c>
      <c r="AB196" s="872"/>
      <c r="AC196" s="872"/>
      <c r="AD196" s="872"/>
    </row>
    <row r="197" spans="1:30" ht="21.75" thickBot="1">
      <c r="A197" s="983"/>
      <c r="B197" s="929"/>
      <c r="C197" s="929"/>
      <c r="D197" s="984"/>
      <c r="E197" s="893"/>
      <c r="F197" s="893"/>
      <c r="G197" s="893"/>
      <c r="H197" s="893"/>
      <c r="I197" s="893"/>
      <c r="J197" s="893"/>
      <c r="K197" s="893"/>
      <c r="L197" s="910"/>
      <c r="M197" s="910"/>
      <c r="N197" s="910"/>
      <c r="O197" s="910"/>
      <c r="P197" s="910"/>
      <c r="Q197" s="910"/>
      <c r="R197" s="926"/>
      <c r="S197" s="926"/>
      <c r="T197" s="926"/>
      <c r="U197" s="927"/>
      <c r="V197" s="931">
        <f>SUM(E197:T197)</f>
        <v>0</v>
      </c>
      <c r="W197" s="931"/>
      <c r="X197" s="930"/>
      <c r="Y197" s="931">
        <f t="shared" si="42"/>
        <v>0</v>
      </c>
      <c r="Z197" s="930"/>
      <c r="AA197" s="931">
        <f t="shared" si="43"/>
        <v>0</v>
      </c>
      <c r="AB197" s="872"/>
      <c r="AC197" s="872"/>
      <c r="AD197" s="872"/>
    </row>
    <row r="198" spans="1:30" s="282" customFormat="1" ht="24" thickBot="1">
      <c r="A198" s="985" t="s">
        <v>134</v>
      </c>
      <c r="B198" s="895"/>
      <c r="C198" s="895"/>
      <c r="D198" s="896"/>
      <c r="E198" s="897">
        <f>SUM(E193:E197)</f>
        <v>0</v>
      </c>
      <c r="F198" s="897">
        <f t="shared" ref="F198:T198" si="44">SUM(F193:F197)</f>
        <v>0</v>
      </c>
      <c r="G198" s="897">
        <f t="shared" si="44"/>
        <v>0</v>
      </c>
      <c r="H198" s="897">
        <f t="shared" si="44"/>
        <v>0</v>
      </c>
      <c r="I198" s="897">
        <f t="shared" si="44"/>
        <v>0</v>
      </c>
      <c r="J198" s="897">
        <f t="shared" si="44"/>
        <v>0</v>
      </c>
      <c r="K198" s="897">
        <f t="shared" si="44"/>
        <v>0</v>
      </c>
      <c r="L198" s="897">
        <f t="shared" si="44"/>
        <v>0</v>
      </c>
      <c r="M198" s="897">
        <f t="shared" si="44"/>
        <v>0</v>
      </c>
      <c r="N198" s="897">
        <f t="shared" si="44"/>
        <v>0</v>
      </c>
      <c r="O198" s="897">
        <f t="shared" si="44"/>
        <v>0</v>
      </c>
      <c r="P198" s="897">
        <f t="shared" si="44"/>
        <v>0</v>
      </c>
      <c r="Q198" s="897">
        <f t="shared" si="44"/>
        <v>0</v>
      </c>
      <c r="R198" s="897">
        <f t="shared" si="44"/>
        <v>0</v>
      </c>
      <c r="S198" s="935">
        <f t="shared" ref="S198" si="45">SUM(S193:S197)</f>
        <v>0</v>
      </c>
      <c r="T198" s="935">
        <f t="shared" si="44"/>
        <v>0</v>
      </c>
      <c r="U198" s="932"/>
      <c r="V198" s="933">
        <f>SUM(V193:V197)</f>
        <v>0</v>
      </c>
      <c r="W198" s="934">
        <f>SUM(W193:W197)</f>
        <v>0</v>
      </c>
      <c r="X198" s="934"/>
      <c r="Y198" s="934">
        <f>SUM(Y193:Y197)</f>
        <v>0</v>
      </c>
      <c r="Z198" s="934">
        <f>SUM(Z193:Z197)</f>
        <v>0</v>
      </c>
      <c r="AA198" s="973">
        <f>SUM(AA193:AA197)</f>
        <v>0</v>
      </c>
      <c r="AB198" s="872"/>
      <c r="AC198" s="872"/>
      <c r="AD198" s="872"/>
    </row>
    <row r="199" spans="1:30" ht="24" thickBot="1">
      <c r="A199" s="978"/>
      <c r="B199" s="979"/>
      <c r="C199" s="979"/>
      <c r="D199" s="980"/>
      <c r="E199" s="981"/>
      <c r="F199" s="981"/>
      <c r="G199" s="981"/>
      <c r="H199" s="981"/>
      <c r="I199" s="981"/>
      <c r="J199" s="981"/>
      <c r="K199" s="981"/>
      <c r="L199" s="981"/>
      <c r="M199" s="981"/>
      <c r="N199" s="981"/>
      <c r="O199" s="981"/>
      <c r="P199" s="981"/>
      <c r="Q199" s="981"/>
      <c r="R199" s="981"/>
      <c r="S199" s="981"/>
      <c r="T199" s="981"/>
      <c r="U199" s="981"/>
      <c r="V199" s="981"/>
      <c r="W199" s="981"/>
      <c r="X199" s="981"/>
      <c r="Y199" s="981"/>
      <c r="Z199" s="981"/>
      <c r="AA199" s="981"/>
      <c r="AB199" s="871"/>
      <c r="AC199" s="871"/>
      <c r="AD199" s="871"/>
    </row>
    <row r="200" spans="1:30" ht="24" thickBot="1">
      <c r="A200" s="991" t="s">
        <v>151</v>
      </c>
      <c r="B200" s="992"/>
      <c r="C200" s="992"/>
      <c r="D200" s="991"/>
      <c r="E200" s="993">
        <f t="shared" ref="E200:T200" si="46">E4+E29+E58+E85+E112+E139+E174+E182+E190+E198+E166</f>
        <v>0</v>
      </c>
      <c r="F200" s="993">
        <f t="shared" si="46"/>
        <v>144</v>
      </c>
      <c r="G200" s="993">
        <f t="shared" si="46"/>
        <v>0</v>
      </c>
      <c r="H200" s="993">
        <f t="shared" si="46"/>
        <v>204</v>
      </c>
      <c r="I200" s="993">
        <f t="shared" si="46"/>
        <v>0</v>
      </c>
      <c r="J200" s="993">
        <f t="shared" si="46"/>
        <v>60</v>
      </c>
      <c r="K200" s="993">
        <f t="shared" si="46"/>
        <v>276</v>
      </c>
      <c r="L200" s="993">
        <f t="shared" si="46"/>
        <v>24</v>
      </c>
      <c r="M200" s="993">
        <f t="shared" si="46"/>
        <v>1212</v>
      </c>
      <c r="N200" s="993">
        <f t="shared" si="46"/>
        <v>876</v>
      </c>
      <c r="O200" s="993">
        <f t="shared" si="46"/>
        <v>216</v>
      </c>
      <c r="P200" s="993">
        <f t="shared" si="46"/>
        <v>516</v>
      </c>
      <c r="Q200" s="993">
        <f t="shared" si="46"/>
        <v>0</v>
      </c>
      <c r="R200" s="993">
        <f t="shared" si="46"/>
        <v>12</v>
      </c>
      <c r="S200" s="993">
        <f t="shared" si="46"/>
        <v>1404</v>
      </c>
      <c r="T200" s="993">
        <f t="shared" si="46"/>
        <v>0</v>
      </c>
      <c r="U200" s="993"/>
      <c r="V200" s="993">
        <f t="shared" ref="V200:AA200" si="47">V4+V29+V58+V85+V112+V139+V174+V182+V190+V198+V166</f>
        <v>4944</v>
      </c>
      <c r="W200" s="993">
        <f t="shared" si="47"/>
        <v>25</v>
      </c>
      <c r="X200" s="993">
        <f t="shared" si="47"/>
        <v>0</v>
      </c>
      <c r="Y200" s="993">
        <f t="shared" si="47"/>
        <v>4969</v>
      </c>
      <c r="Z200" s="993">
        <f t="shared" si="47"/>
        <v>44</v>
      </c>
      <c r="AA200" s="993">
        <f t="shared" si="47"/>
        <v>5013</v>
      </c>
      <c r="AB200" s="872"/>
      <c r="AC200" s="872"/>
      <c r="AD200" s="872"/>
    </row>
    <row r="201" spans="1:30" s="870" customFormat="1" ht="24" thickBot="1">
      <c r="A201" s="994" t="s">
        <v>146</v>
      </c>
      <c r="B201" s="992"/>
      <c r="C201" s="992"/>
      <c r="D201" s="994"/>
      <c r="E201" s="995">
        <f>E200/12</f>
        <v>0</v>
      </c>
      <c r="F201" s="996">
        <f t="shared" ref="F201:R201" si="48">F200/12</f>
        <v>12</v>
      </c>
      <c r="G201" s="996">
        <f t="shared" si="48"/>
        <v>0</v>
      </c>
      <c r="H201" s="995">
        <f t="shared" si="48"/>
        <v>17</v>
      </c>
      <c r="I201" s="995">
        <f t="shared" si="48"/>
        <v>0</v>
      </c>
      <c r="J201" s="995">
        <f t="shared" si="48"/>
        <v>5</v>
      </c>
      <c r="K201" s="995">
        <f t="shared" si="48"/>
        <v>23</v>
      </c>
      <c r="L201" s="996">
        <f t="shared" si="48"/>
        <v>2</v>
      </c>
      <c r="M201" s="996">
        <f t="shared" si="48"/>
        <v>101</v>
      </c>
      <c r="N201" s="996">
        <f t="shared" si="48"/>
        <v>73</v>
      </c>
      <c r="O201" s="996">
        <f t="shared" si="48"/>
        <v>18</v>
      </c>
      <c r="P201" s="996">
        <f t="shared" si="48"/>
        <v>43</v>
      </c>
      <c r="Q201" s="996">
        <f t="shared" si="48"/>
        <v>0</v>
      </c>
      <c r="R201" s="996">
        <f t="shared" si="48"/>
        <v>1</v>
      </c>
      <c r="S201" s="1010">
        <f t="shared" ref="S201:T201" si="49">S200/12</f>
        <v>117</v>
      </c>
      <c r="T201" s="1010">
        <f t="shared" si="49"/>
        <v>0</v>
      </c>
      <c r="U201" s="76"/>
      <c r="V201" s="995">
        <f t="shared" ref="V201:AA201" si="50">V200/12</f>
        <v>412</v>
      </c>
      <c r="W201" s="1011">
        <f t="shared" si="50"/>
        <v>2.0833333333333335</v>
      </c>
      <c r="X201" s="1011">
        <f t="shared" si="50"/>
        <v>0</v>
      </c>
      <c r="Y201" s="1012">
        <f t="shared" si="50"/>
        <v>414.08333333333331</v>
      </c>
      <c r="Z201" s="1012">
        <f t="shared" si="50"/>
        <v>3.6666666666666665</v>
      </c>
      <c r="AA201" s="1027">
        <f t="shared" si="50"/>
        <v>417.75</v>
      </c>
      <c r="AB201" s="871"/>
      <c r="AC201" s="871"/>
      <c r="AD201" s="871"/>
    </row>
    <row r="202" spans="1:30" s="1" customFormat="1" ht="24" thickBot="1">
      <c r="A202" s="3851" t="s">
        <v>201</v>
      </c>
      <c r="B202" s="3851"/>
      <c r="C202" s="3851"/>
      <c r="D202" s="3851"/>
      <c r="E202" s="3852"/>
      <c r="F202" s="3852"/>
      <c r="G202" s="3852"/>
      <c r="H202" s="3852"/>
      <c r="I202" s="3852"/>
      <c r="J202" s="3852"/>
      <c r="K202" s="3852"/>
      <c r="L202" s="3852"/>
      <c r="M202" s="3852"/>
      <c r="N202" s="3852"/>
      <c r="O202" s="3852"/>
      <c r="P202" s="3852"/>
      <c r="Q202" s="3852"/>
      <c r="R202" s="3852"/>
      <c r="S202" s="3852"/>
      <c r="T202" s="3852"/>
      <c r="U202" s="3851"/>
      <c r="V202" s="3852"/>
      <c r="W202" s="3852"/>
      <c r="X202" s="3852"/>
      <c r="Y202" s="3852"/>
      <c r="Z202" s="3852"/>
      <c r="AA202" s="3852"/>
      <c r="AB202" s="872"/>
      <c r="AC202" s="872"/>
      <c r="AD202" s="872"/>
    </row>
    <row r="203" spans="1:30" ht="24" thickBot="1">
      <c r="A203" s="997" t="s">
        <v>148</v>
      </c>
      <c r="B203" s="998" t="s">
        <v>68</v>
      </c>
      <c r="C203" s="998" t="s">
        <v>69</v>
      </c>
      <c r="D203" s="999" t="s">
        <v>70</v>
      </c>
      <c r="E203" s="879" t="s">
        <v>71</v>
      </c>
      <c r="F203" s="880" t="s">
        <v>407</v>
      </c>
      <c r="G203" s="880" t="s">
        <v>250</v>
      </c>
      <c r="H203" s="879" t="s">
        <v>193</v>
      </c>
      <c r="I203" s="879" t="s">
        <v>170</v>
      </c>
      <c r="J203" s="879" t="s">
        <v>92</v>
      </c>
      <c r="K203" s="879" t="s">
        <v>194</v>
      </c>
      <c r="L203" s="880" t="s">
        <v>195</v>
      </c>
      <c r="M203" s="880" t="s">
        <v>468</v>
      </c>
      <c r="N203" s="880" t="s">
        <v>94</v>
      </c>
      <c r="O203" s="880" t="s">
        <v>86</v>
      </c>
      <c r="P203" s="880" t="s">
        <v>420</v>
      </c>
      <c r="Q203" s="880" t="s">
        <v>95</v>
      </c>
      <c r="R203" s="49" t="s">
        <v>77</v>
      </c>
      <c r="S203" s="914" t="s">
        <v>53</v>
      </c>
      <c r="T203" s="914" t="s">
        <v>149</v>
      </c>
      <c r="U203" s="1015"/>
      <c r="V203" s="1016" t="s">
        <v>104</v>
      </c>
      <c r="W203" s="1017" t="s">
        <v>105</v>
      </c>
      <c r="X203" s="1017"/>
      <c r="Y203" s="1018" t="s">
        <v>106</v>
      </c>
      <c r="Z203" s="1017" t="s">
        <v>107</v>
      </c>
      <c r="AA203" s="1028" t="s">
        <v>108</v>
      </c>
      <c r="AB203" s="871"/>
      <c r="AC203" s="871"/>
      <c r="AD203" s="871"/>
    </row>
    <row r="204" spans="1:30" ht="21">
      <c r="A204" s="537" t="s">
        <v>619</v>
      </c>
      <c r="B204" s="323"/>
      <c r="C204" s="323"/>
      <c r="D204" s="324">
        <v>46116</v>
      </c>
      <c r="E204" s="889"/>
      <c r="F204" s="889"/>
      <c r="G204" s="889"/>
      <c r="H204" s="889"/>
      <c r="I204" s="889"/>
      <c r="J204" s="889">
        <f>1*12</f>
        <v>12</v>
      </c>
      <c r="K204" s="889"/>
      <c r="L204" s="909"/>
      <c r="M204" s="909"/>
      <c r="N204" s="909">
        <f>2*12</f>
        <v>24</v>
      </c>
      <c r="O204" s="909">
        <f>1*12</f>
        <v>12</v>
      </c>
      <c r="P204" s="909">
        <f>2*12</f>
        <v>24</v>
      </c>
      <c r="Q204" s="909"/>
      <c r="R204" s="922"/>
      <c r="S204" s="922"/>
      <c r="T204" s="922"/>
      <c r="U204" s="938"/>
      <c r="V204" s="944">
        <f t="shared" ref="V204:V239" si="51">SUM(E204:T204)</f>
        <v>72</v>
      </c>
      <c r="W204" s="942"/>
      <c r="X204" s="957"/>
      <c r="Y204" s="944">
        <f>V204+W204</f>
        <v>72</v>
      </c>
      <c r="Z204" s="957"/>
      <c r="AA204" s="944">
        <f>Y204+Z204</f>
        <v>72</v>
      </c>
      <c r="AB204" s="872"/>
      <c r="AC204" s="872"/>
      <c r="AD204" s="872"/>
    </row>
    <row r="205" spans="1:30" ht="21">
      <c r="A205" s="537" t="s">
        <v>620</v>
      </c>
      <c r="B205" s="929"/>
      <c r="C205" s="929"/>
      <c r="D205" s="984">
        <v>46117</v>
      </c>
      <c r="E205" s="893"/>
      <c r="F205" s="893"/>
      <c r="G205" s="893"/>
      <c r="H205" s="893"/>
      <c r="I205" s="893"/>
      <c r="J205" s="893"/>
      <c r="K205" s="893"/>
      <c r="L205" s="910"/>
      <c r="M205" s="910">
        <f>3*12</f>
        <v>36</v>
      </c>
      <c r="N205" s="910"/>
      <c r="O205" s="910"/>
      <c r="P205" s="910">
        <f>3*12</f>
        <v>36</v>
      </c>
      <c r="Q205" s="910"/>
      <c r="R205" s="926"/>
      <c r="S205" s="926">
        <f>3*12</f>
        <v>36</v>
      </c>
      <c r="T205" s="926"/>
      <c r="U205" s="1021"/>
      <c r="V205" s="944">
        <f t="shared" si="51"/>
        <v>108</v>
      </c>
      <c r="W205" s="1022"/>
      <c r="X205" s="1023"/>
      <c r="Y205" s="1024">
        <f t="shared" ref="Y205:Y273" si="52">V205+W205</f>
        <v>108</v>
      </c>
      <c r="Z205" s="1023"/>
      <c r="AA205" s="1024">
        <f t="shared" ref="AA205:AA273" si="53">Y205+Z205</f>
        <v>108</v>
      </c>
      <c r="AB205" s="871"/>
      <c r="AC205" s="871"/>
      <c r="AD205" s="871"/>
    </row>
    <row r="206" spans="1:30" ht="21">
      <c r="A206" s="537" t="s">
        <v>621</v>
      </c>
      <c r="B206" s="929"/>
      <c r="C206" s="929"/>
      <c r="D206" s="984">
        <v>46119</v>
      </c>
      <c r="E206" s="893"/>
      <c r="F206" s="893"/>
      <c r="G206" s="893"/>
      <c r="H206" s="893"/>
      <c r="I206" s="893"/>
      <c r="J206" s="893"/>
      <c r="K206" s="893"/>
      <c r="L206" s="910"/>
      <c r="M206" s="910"/>
      <c r="N206" s="910"/>
      <c r="O206" s="910"/>
      <c r="P206" s="910">
        <f>3*12</f>
        <v>36</v>
      </c>
      <c r="Q206" s="910"/>
      <c r="R206" s="926"/>
      <c r="S206" s="926">
        <f>5*12</f>
        <v>60</v>
      </c>
      <c r="T206" s="926"/>
      <c r="U206" s="1021"/>
      <c r="V206" s="1024">
        <f t="shared" si="51"/>
        <v>96</v>
      </c>
      <c r="W206" s="1022"/>
      <c r="X206" s="1023"/>
      <c r="Y206" s="1024">
        <f t="shared" si="52"/>
        <v>96</v>
      </c>
      <c r="Z206" s="1023"/>
      <c r="AA206" s="1024">
        <f t="shared" si="53"/>
        <v>96</v>
      </c>
      <c r="AB206" s="871"/>
      <c r="AC206" s="871"/>
      <c r="AD206" s="871"/>
    </row>
    <row r="207" spans="1:30" ht="21">
      <c r="A207" s="537" t="s">
        <v>622</v>
      </c>
      <c r="B207" s="929"/>
      <c r="C207" s="929"/>
      <c r="D207" s="3543">
        <v>45754</v>
      </c>
      <c r="E207" s="3544"/>
      <c r="F207" s="893"/>
      <c r="G207" s="893"/>
      <c r="H207" s="893"/>
      <c r="I207" s="893"/>
      <c r="J207" s="893"/>
      <c r="K207" s="893"/>
      <c r="L207" s="910"/>
      <c r="M207" s="910">
        <f>4*12</f>
        <v>48</v>
      </c>
      <c r="N207" s="910"/>
      <c r="O207" s="910"/>
      <c r="P207" s="910">
        <f>2*12</f>
        <v>24</v>
      </c>
      <c r="Q207" s="910"/>
      <c r="R207" s="926"/>
      <c r="S207" s="926"/>
      <c r="T207" s="926"/>
      <c r="U207" s="1021"/>
      <c r="V207" s="1024">
        <f t="shared" si="51"/>
        <v>72</v>
      </c>
      <c r="W207" s="1022"/>
      <c r="X207" s="1023"/>
      <c r="Y207" s="1024">
        <f t="shared" si="52"/>
        <v>72</v>
      </c>
      <c r="Z207" s="1023"/>
      <c r="AA207" s="1024">
        <f t="shared" si="53"/>
        <v>72</v>
      </c>
      <c r="AB207" s="872"/>
      <c r="AC207" s="872"/>
      <c r="AD207" s="872"/>
    </row>
    <row r="208" spans="1:30" ht="21">
      <c r="A208" s="537" t="s">
        <v>623</v>
      </c>
      <c r="B208" s="545"/>
      <c r="C208" s="539"/>
      <c r="D208" s="544">
        <v>46119</v>
      </c>
      <c r="E208" s="861"/>
      <c r="F208" s="946"/>
      <c r="G208" s="904"/>
      <c r="H208" s="904">
        <f>1*12</f>
        <v>12</v>
      </c>
      <c r="I208" s="904"/>
      <c r="J208" s="904">
        <f>1*12</f>
        <v>12</v>
      </c>
      <c r="K208" s="904"/>
      <c r="L208" s="912"/>
      <c r="M208" s="912"/>
      <c r="N208" s="912">
        <f>3*12</f>
        <v>36</v>
      </c>
      <c r="O208" s="912">
        <f>1*12</f>
        <v>12</v>
      </c>
      <c r="P208" s="912"/>
      <c r="Q208" s="912"/>
      <c r="R208" s="941"/>
      <c r="S208" s="969">
        <f>4*12</f>
        <v>48</v>
      </c>
      <c r="T208" s="969"/>
      <c r="U208" s="938"/>
      <c r="V208" s="944">
        <f t="shared" si="51"/>
        <v>120</v>
      </c>
      <c r="W208" s="942"/>
      <c r="X208" s="957"/>
      <c r="Y208" s="944">
        <f t="shared" si="52"/>
        <v>120</v>
      </c>
      <c r="Z208" s="957"/>
      <c r="AA208" s="944">
        <f t="shared" si="53"/>
        <v>120</v>
      </c>
      <c r="AB208" s="872"/>
      <c r="AC208" s="872"/>
      <c r="AD208" s="872"/>
    </row>
    <row r="209" spans="1:30" ht="21">
      <c r="A209" s="537" t="s">
        <v>624</v>
      </c>
      <c r="B209" s="545"/>
      <c r="C209" s="539"/>
      <c r="D209" s="544">
        <v>46120</v>
      </c>
      <c r="E209" s="1001"/>
      <c r="F209" s="1001"/>
      <c r="G209" s="1001"/>
      <c r="H209" s="1001"/>
      <c r="I209" s="1001"/>
      <c r="J209" s="1001"/>
      <c r="K209" s="1001"/>
      <c r="L209" s="1005"/>
      <c r="M209" s="1005"/>
      <c r="N209" s="1005"/>
      <c r="O209" s="1005"/>
      <c r="P209" s="1005">
        <f>2*12</f>
        <v>24</v>
      </c>
      <c r="Q209" s="1005"/>
      <c r="R209" s="1019"/>
      <c r="S209" s="969">
        <f>4*12</f>
        <v>48</v>
      </c>
      <c r="T209" s="969"/>
      <c r="U209" s="1021"/>
      <c r="V209" s="1024">
        <f t="shared" si="51"/>
        <v>72</v>
      </c>
      <c r="W209" s="1022"/>
      <c r="X209" s="1023"/>
      <c r="Y209" s="1024">
        <f t="shared" si="52"/>
        <v>72</v>
      </c>
      <c r="Z209" s="1023"/>
      <c r="AA209" s="1024">
        <f t="shared" si="53"/>
        <v>72</v>
      </c>
      <c r="AB209" s="871"/>
      <c r="AC209" s="871"/>
      <c r="AD209" s="871"/>
    </row>
    <row r="210" spans="1:30" ht="21">
      <c r="A210" s="537" t="s">
        <v>629</v>
      </c>
      <c r="B210" s="796"/>
      <c r="C210" s="797"/>
      <c r="D210" s="544">
        <v>46122</v>
      </c>
      <c r="E210" s="794"/>
      <c r="F210" s="904"/>
      <c r="G210" s="904"/>
      <c r="H210" s="904"/>
      <c r="I210" s="904"/>
      <c r="J210" s="904"/>
      <c r="K210" s="904"/>
      <c r="L210" s="912"/>
      <c r="M210" s="912"/>
      <c r="N210" s="912">
        <f>6*12</f>
        <v>72</v>
      </c>
      <c r="O210" s="912"/>
      <c r="P210" s="912"/>
      <c r="Q210" s="912"/>
      <c r="R210" s="941"/>
      <c r="S210" s="969"/>
      <c r="T210" s="969"/>
      <c r="U210" s="938"/>
      <c r="V210" s="944">
        <f t="shared" ref="V210:V211" si="54">SUM(E210:T210)</f>
        <v>72</v>
      </c>
      <c r="W210" s="942"/>
      <c r="X210" s="957"/>
      <c r="Y210" s="944">
        <f t="shared" ref="Y210:Y211" si="55">V210+W210</f>
        <v>72</v>
      </c>
      <c r="Z210" s="957"/>
      <c r="AA210" s="944">
        <f t="shared" ref="AA210:AA211" si="56">Y210+Z210</f>
        <v>72</v>
      </c>
      <c r="AB210" s="872"/>
      <c r="AC210" s="872"/>
      <c r="AD210" s="872"/>
    </row>
    <row r="211" spans="1:30" ht="21">
      <c r="A211" s="537" t="s">
        <v>631</v>
      </c>
      <c r="B211" s="796"/>
      <c r="C211" s="797"/>
      <c r="D211" s="544">
        <v>46122</v>
      </c>
      <c r="E211" s="794"/>
      <c r="F211" s="904"/>
      <c r="G211" s="904"/>
      <c r="H211" s="904"/>
      <c r="I211" s="904"/>
      <c r="J211" s="904"/>
      <c r="K211" s="904"/>
      <c r="L211" s="912"/>
      <c r="M211" s="912">
        <f>2*12</f>
        <v>24</v>
      </c>
      <c r="N211" s="912">
        <f>6*12</f>
        <v>72</v>
      </c>
      <c r="O211" s="912"/>
      <c r="P211" s="912">
        <f>4*12</f>
        <v>48</v>
      </c>
      <c r="Q211" s="912"/>
      <c r="R211" s="941"/>
      <c r="S211" s="969">
        <f>6*12</f>
        <v>72</v>
      </c>
      <c r="T211" s="969"/>
      <c r="U211" s="938"/>
      <c r="V211" s="944">
        <f t="shared" si="54"/>
        <v>216</v>
      </c>
      <c r="W211" s="942"/>
      <c r="X211" s="957"/>
      <c r="Y211" s="944">
        <f t="shared" si="55"/>
        <v>216</v>
      </c>
      <c r="Z211" s="957"/>
      <c r="AA211" s="944">
        <f t="shared" si="56"/>
        <v>216</v>
      </c>
      <c r="AB211" s="871"/>
      <c r="AC211" s="871"/>
      <c r="AD211" s="871"/>
    </row>
    <row r="212" spans="1:30" ht="21">
      <c r="A212" s="537" t="s">
        <v>633</v>
      </c>
      <c r="B212" s="550"/>
      <c r="C212" s="539"/>
      <c r="D212" s="544">
        <v>46124</v>
      </c>
      <c r="E212" s="904"/>
      <c r="F212" s="904"/>
      <c r="G212" s="904"/>
      <c r="H212" s="904"/>
      <c r="I212" s="904"/>
      <c r="J212" s="904"/>
      <c r="K212" s="904"/>
      <c r="L212" s="912"/>
      <c r="M212" s="912">
        <f>4*12</f>
        <v>48</v>
      </c>
      <c r="N212" s="912">
        <f>8*12</f>
        <v>96</v>
      </c>
      <c r="O212" s="912"/>
      <c r="P212" s="912">
        <f>2*12</f>
        <v>24</v>
      </c>
      <c r="Q212" s="912"/>
      <c r="R212" s="941"/>
      <c r="S212" s="969"/>
      <c r="T212" s="969"/>
      <c r="U212" s="938"/>
      <c r="V212" s="944">
        <f t="shared" si="51"/>
        <v>168</v>
      </c>
      <c r="W212" s="942"/>
      <c r="X212" s="957"/>
      <c r="Y212" s="944">
        <f t="shared" si="52"/>
        <v>168</v>
      </c>
      <c r="Z212" s="957"/>
      <c r="AA212" s="944">
        <f t="shared" si="53"/>
        <v>168</v>
      </c>
      <c r="AB212" s="872"/>
      <c r="AC212" s="872"/>
      <c r="AD212" s="872"/>
    </row>
    <row r="213" spans="1:30" ht="21">
      <c r="A213" s="537" t="s">
        <v>634</v>
      </c>
      <c r="B213" s="550"/>
      <c r="C213" s="539"/>
      <c r="D213" s="544">
        <v>46124</v>
      </c>
      <c r="E213" s="1001"/>
      <c r="F213" s="1001"/>
      <c r="G213" s="1001"/>
      <c r="H213" s="1001"/>
      <c r="I213" s="1001"/>
      <c r="J213" s="1001"/>
      <c r="K213" s="1001"/>
      <c r="L213" s="1005"/>
      <c r="M213" s="1005">
        <f>3*12</f>
        <v>36</v>
      </c>
      <c r="N213" s="1005"/>
      <c r="O213" s="1005"/>
      <c r="P213" s="1005"/>
      <c r="Q213" s="1005"/>
      <c r="R213" s="1019"/>
      <c r="S213" s="1020"/>
      <c r="T213" s="1020"/>
      <c r="U213" s="1021"/>
      <c r="V213" s="1024">
        <f t="shared" si="51"/>
        <v>36</v>
      </c>
      <c r="W213" s="1022"/>
      <c r="X213" s="1023"/>
      <c r="Y213" s="1024">
        <f t="shared" si="52"/>
        <v>36</v>
      </c>
      <c r="Z213" s="1023"/>
      <c r="AA213" s="1024">
        <f t="shared" si="53"/>
        <v>36</v>
      </c>
      <c r="AB213" s="872"/>
      <c r="AC213" s="872"/>
      <c r="AD213" s="872"/>
    </row>
    <row r="214" spans="1:30" ht="21">
      <c r="A214" s="537" t="s">
        <v>635</v>
      </c>
      <c r="B214" s="796"/>
      <c r="C214" s="797"/>
      <c r="D214" s="544">
        <v>46125</v>
      </c>
      <c r="E214" s="904"/>
      <c r="F214" s="904"/>
      <c r="G214" s="904"/>
      <c r="H214" s="904"/>
      <c r="I214" s="904"/>
      <c r="J214" s="904"/>
      <c r="K214" s="904"/>
      <c r="L214" s="912"/>
      <c r="M214" s="912">
        <f>1*12</f>
        <v>12</v>
      </c>
      <c r="N214" s="912">
        <f>1*12</f>
        <v>12</v>
      </c>
      <c r="O214" s="912"/>
      <c r="P214" s="912"/>
      <c r="Q214" s="912"/>
      <c r="R214" s="941"/>
      <c r="S214" s="969">
        <f>1*12</f>
        <v>12</v>
      </c>
      <c r="T214" s="969"/>
      <c r="U214" s="938"/>
      <c r="V214" s="944">
        <f t="shared" ref="V214" si="57">SUM(E214:T214)</f>
        <v>36</v>
      </c>
      <c r="W214" s="942"/>
      <c r="X214" s="957"/>
      <c r="Y214" s="944">
        <f t="shared" ref="Y214" si="58">V214+W214</f>
        <v>36</v>
      </c>
      <c r="Z214" s="957"/>
      <c r="AA214" s="944">
        <f t="shared" ref="AA214" si="59">Y214+Z214</f>
        <v>36</v>
      </c>
      <c r="AB214" s="872"/>
      <c r="AC214" s="872"/>
      <c r="AD214" s="872"/>
    </row>
    <row r="215" spans="1:30" ht="21">
      <c r="A215" s="551" t="s">
        <v>623</v>
      </c>
      <c r="B215" s="796"/>
      <c r="C215" s="797"/>
      <c r="D215" s="544">
        <v>46126</v>
      </c>
      <c r="E215" s="794"/>
      <c r="F215" s="904"/>
      <c r="G215" s="904"/>
      <c r="H215" s="904"/>
      <c r="I215" s="904"/>
      <c r="J215" s="904"/>
      <c r="K215" s="904"/>
      <c r="L215" s="912"/>
      <c r="M215" s="912">
        <f>1*12</f>
        <v>12</v>
      </c>
      <c r="N215" s="912"/>
      <c r="O215" s="912"/>
      <c r="P215" s="912"/>
      <c r="Q215" s="912"/>
      <c r="R215" s="941"/>
      <c r="S215" s="969"/>
      <c r="T215" s="969"/>
      <c r="U215" s="938"/>
      <c r="V215" s="944">
        <f t="shared" si="51"/>
        <v>12</v>
      </c>
      <c r="W215" s="942"/>
      <c r="X215" s="957"/>
      <c r="Y215" s="944">
        <f t="shared" si="52"/>
        <v>12</v>
      </c>
      <c r="Z215" s="957"/>
      <c r="AA215" s="944">
        <f t="shared" si="53"/>
        <v>12</v>
      </c>
      <c r="AB215" s="871"/>
      <c r="AC215" s="871"/>
      <c r="AD215" s="871"/>
    </row>
    <row r="216" spans="1:30" ht="21">
      <c r="A216" s="561" t="s">
        <v>639</v>
      </c>
      <c r="B216" s="796"/>
      <c r="C216" s="797"/>
      <c r="D216" s="544">
        <v>46126</v>
      </c>
      <c r="E216" s="1001"/>
      <c r="F216" s="1001"/>
      <c r="G216" s="1001"/>
      <c r="H216" s="1001"/>
      <c r="I216" s="1001"/>
      <c r="J216" s="1001"/>
      <c r="K216" s="1001"/>
      <c r="L216" s="1005"/>
      <c r="M216" s="1005"/>
      <c r="N216" s="1005"/>
      <c r="O216" s="1005">
        <f>2*12</f>
        <v>24</v>
      </c>
      <c r="P216" s="1005"/>
      <c r="Q216" s="1005"/>
      <c r="R216" s="1019"/>
      <c r="S216" s="1020"/>
      <c r="T216" s="1020"/>
      <c r="U216" s="1021"/>
      <c r="V216" s="1024">
        <f t="shared" si="51"/>
        <v>24</v>
      </c>
      <c r="W216" s="1022"/>
      <c r="X216" s="1023"/>
      <c r="Y216" s="1024">
        <f t="shared" si="52"/>
        <v>24</v>
      </c>
      <c r="Z216" s="1023"/>
      <c r="AA216" s="1024">
        <f t="shared" si="53"/>
        <v>24</v>
      </c>
      <c r="AB216" s="872"/>
      <c r="AC216" s="872"/>
      <c r="AD216" s="872"/>
    </row>
    <row r="217" spans="1:30" ht="21">
      <c r="A217" s="561" t="s">
        <v>624</v>
      </c>
      <c r="B217" s="545"/>
      <c r="C217" s="539"/>
      <c r="D217" s="544">
        <v>46129</v>
      </c>
      <c r="E217" s="904"/>
      <c r="F217" s="904"/>
      <c r="G217" s="904"/>
      <c r="H217" s="904"/>
      <c r="I217" s="904"/>
      <c r="J217" s="904"/>
      <c r="K217" s="904"/>
      <c r="L217" s="912"/>
      <c r="M217" s="912"/>
      <c r="N217" s="912"/>
      <c r="O217" s="912"/>
      <c r="P217" s="912">
        <f>3*12</f>
        <v>36</v>
      </c>
      <c r="Q217" s="912"/>
      <c r="R217" s="941"/>
      <c r="S217" s="969">
        <f>2*12</f>
        <v>24</v>
      </c>
      <c r="T217" s="969"/>
      <c r="U217" s="938"/>
      <c r="V217" s="944">
        <f t="shared" si="51"/>
        <v>60</v>
      </c>
      <c r="W217" s="942"/>
      <c r="X217" s="957"/>
      <c r="Y217" s="944">
        <f t="shared" si="52"/>
        <v>60</v>
      </c>
      <c r="Z217" s="957"/>
      <c r="AA217" s="944">
        <f t="shared" si="53"/>
        <v>60</v>
      </c>
      <c r="AB217" s="872"/>
      <c r="AC217" s="872"/>
      <c r="AD217" s="872"/>
    </row>
    <row r="218" spans="1:30" ht="21">
      <c r="A218" s="561" t="s">
        <v>619</v>
      </c>
      <c r="B218" s="796"/>
      <c r="C218" s="797"/>
      <c r="D218" s="544">
        <v>46130</v>
      </c>
      <c r="E218" s="904"/>
      <c r="F218" s="904"/>
      <c r="G218" s="904">
        <f>1*12</f>
        <v>12</v>
      </c>
      <c r="H218" s="904"/>
      <c r="I218" s="904"/>
      <c r="J218" s="904"/>
      <c r="K218" s="904"/>
      <c r="L218" s="912"/>
      <c r="M218" s="912"/>
      <c r="N218" s="912">
        <f>2*12</f>
        <v>24</v>
      </c>
      <c r="O218" s="912"/>
      <c r="P218" s="912">
        <f>2*12</f>
        <v>24</v>
      </c>
      <c r="Q218" s="912"/>
      <c r="R218" s="941"/>
      <c r="S218" s="969">
        <f>2*12</f>
        <v>24</v>
      </c>
      <c r="T218" s="969"/>
      <c r="U218" s="938"/>
      <c r="V218" s="944">
        <f t="shared" si="51"/>
        <v>84</v>
      </c>
      <c r="W218" s="942"/>
      <c r="X218" s="957"/>
      <c r="Y218" s="944">
        <f t="shared" si="52"/>
        <v>84</v>
      </c>
      <c r="Z218" s="957"/>
      <c r="AA218" s="944">
        <f t="shared" si="53"/>
        <v>84</v>
      </c>
      <c r="AB218" s="872"/>
      <c r="AC218" s="872"/>
      <c r="AD218" s="872"/>
    </row>
    <row r="219" spans="1:30" ht="21">
      <c r="A219" s="547" t="s">
        <v>647</v>
      </c>
      <c r="B219" s="548"/>
      <c r="C219" s="549"/>
      <c r="D219" s="544" t="s">
        <v>648</v>
      </c>
      <c r="E219" s="904"/>
      <c r="F219" s="904"/>
      <c r="G219" s="904"/>
      <c r="H219" s="904"/>
      <c r="I219" s="904"/>
      <c r="J219" s="904"/>
      <c r="K219" s="904"/>
      <c r="L219" s="912"/>
      <c r="M219" s="912">
        <f>5*12</f>
        <v>60</v>
      </c>
      <c r="N219" s="912">
        <f>2*12</f>
        <v>24</v>
      </c>
      <c r="O219" s="912"/>
      <c r="P219" s="912">
        <f>5*12</f>
        <v>60</v>
      </c>
      <c r="Q219" s="912"/>
      <c r="R219" s="941"/>
      <c r="S219" s="969">
        <f>4*12</f>
        <v>48</v>
      </c>
      <c r="T219" s="969"/>
      <c r="U219" s="938"/>
      <c r="V219" s="944">
        <f t="shared" si="51"/>
        <v>192</v>
      </c>
      <c r="W219" s="942"/>
      <c r="X219" s="957"/>
      <c r="Y219" s="944">
        <f t="shared" si="52"/>
        <v>192</v>
      </c>
      <c r="Z219" s="957"/>
      <c r="AA219" s="944">
        <f t="shared" si="53"/>
        <v>192</v>
      </c>
      <c r="AB219" s="872"/>
      <c r="AC219" s="872"/>
      <c r="AD219" s="872"/>
    </row>
    <row r="220" spans="1:30" ht="21">
      <c r="A220" s="547" t="s">
        <v>653</v>
      </c>
      <c r="B220" s="548"/>
      <c r="C220" s="549"/>
      <c r="D220" s="544">
        <v>46130</v>
      </c>
      <c r="E220" s="1001"/>
      <c r="F220" s="1001"/>
      <c r="G220" s="1001"/>
      <c r="H220" s="1001"/>
      <c r="I220" s="1001"/>
      <c r="J220" s="1001"/>
      <c r="K220" s="1001"/>
      <c r="L220" s="1005"/>
      <c r="M220" s="1005">
        <f>2*12</f>
        <v>24</v>
      </c>
      <c r="N220" s="1005"/>
      <c r="O220" s="1005"/>
      <c r="P220" s="1005">
        <f>1*12</f>
        <v>12</v>
      </c>
      <c r="Q220" s="1005"/>
      <c r="R220" s="1019"/>
      <c r="S220" s="1020">
        <f>2*12</f>
        <v>24</v>
      </c>
      <c r="T220" s="1020"/>
      <c r="U220" s="1021"/>
      <c r="V220" s="1024">
        <f t="shared" si="51"/>
        <v>60</v>
      </c>
      <c r="W220" s="1022"/>
      <c r="X220" s="1023"/>
      <c r="Y220" s="1024">
        <f t="shared" si="52"/>
        <v>60</v>
      </c>
      <c r="Z220" s="1023"/>
      <c r="AA220" s="1024">
        <f t="shared" si="53"/>
        <v>60</v>
      </c>
      <c r="AB220" s="872"/>
      <c r="AC220" s="872"/>
      <c r="AD220" s="872"/>
    </row>
    <row r="221" spans="1:30" ht="21">
      <c r="A221" s="547" t="s">
        <v>634</v>
      </c>
      <c r="B221" s="552"/>
      <c r="C221" s="553"/>
      <c r="D221" s="544">
        <v>46131</v>
      </c>
      <c r="E221" s="904"/>
      <c r="F221" s="904"/>
      <c r="G221" s="904"/>
      <c r="H221" s="904"/>
      <c r="I221" s="904"/>
      <c r="J221" s="904"/>
      <c r="K221" s="904"/>
      <c r="L221" s="912"/>
      <c r="M221" s="912">
        <f>4*12</f>
        <v>48</v>
      </c>
      <c r="N221" s="912"/>
      <c r="O221" s="912"/>
      <c r="P221" s="912"/>
      <c r="Q221" s="912"/>
      <c r="R221" s="941"/>
      <c r="S221" s="969"/>
      <c r="T221" s="969"/>
      <c r="U221" s="938"/>
      <c r="V221" s="944">
        <f t="shared" si="51"/>
        <v>48</v>
      </c>
      <c r="W221" s="942"/>
      <c r="X221" s="957"/>
      <c r="Y221" s="944">
        <f t="shared" si="52"/>
        <v>48</v>
      </c>
      <c r="Z221" s="957"/>
      <c r="AA221" s="944">
        <f t="shared" si="53"/>
        <v>48</v>
      </c>
      <c r="AB221" s="872"/>
      <c r="AC221" s="872"/>
      <c r="AD221" s="872"/>
    </row>
    <row r="222" spans="1:30" ht="21">
      <c r="A222" s="547" t="s">
        <v>643</v>
      </c>
      <c r="B222" s="552"/>
      <c r="C222" s="553"/>
      <c r="D222" s="544">
        <v>46132</v>
      </c>
      <c r="E222" s="1001"/>
      <c r="F222" s="1001"/>
      <c r="G222" s="1001"/>
      <c r="H222" s="1001"/>
      <c r="I222" s="1001"/>
      <c r="J222" s="1001"/>
      <c r="K222" s="1001"/>
      <c r="L222" s="1005"/>
      <c r="M222" s="1005"/>
      <c r="N222" s="1005">
        <f>2*12</f>
        <v>24</v>
      </c>
      <c r="O222" s="1005"/>
      <c r="P222" s="1005">
        <f>3*12</f>
        <v>36</v>
      </c>
      <c r="Q222" s="1005"/>
      <c r="R222" s="1019"/>
      <c r="S222" s="1020">
        <f>4*12</f>
        <v>48</v>
      </c>
      <c r="T222" s="1020"/>
      <c r="U222" s="1021"/>
      <c r="V222" s="1024">
        <f t="shared" si="51"/>
        <v>108</v>
      </c>
      <c r="W222" s="1022"/>
      <c r="X222" s="1023"/>
      <c r="Y222" s="1024">
        <f t="shared" si="52"/>
        <v>108</v>
      </c>
      <c r="Z222" s="1023"/>
      <c r="AA222" s="1024">
        <f t="shared" si="53"/>
        <v>108</v>
      </c>
      <c r="AB222" s="872"/>
      <c r="AC222" s="872"/>
      <c r="AD222" s="872"/>
    </row>
    <row r="223" spans="1:30" ht="21">
      <c r="A223" s="547" t="s">
        <v>661</v>
      </c>
      <c r="B223" s="550"/>
      <c r="C223" s="539"/>
      <c r="D223" s="555">
        <v>46133</v>
      </c>
      <c r="E223" s="945"/>
      <c r="F223" s="904"/>
      <c r="G223" s="904"/>
      <c r="H223" s="904"/>
      <c r="I223" s="904"/>
      <c r="J223" s="904">
        <f>1*12</f>
        <v>12</v>
      </c>
      <c r="K223" s="904"/>
      <c r="L223" s="912"/>
      <c r="M223" s="912"/>
      <c r="N223" s="912"/>
      <c r="O223" s="912"/>
      <c r="P223" s="912"/>
      <c r="Q223" s="912"/>
      <c r="R223" s="941"/>
      <c r="S223" s="969"/>
      <c r="T223" s="969"/>
      <c r="U223" s="938"/>
      <c r="V223" s="944">
        <f t="shared" si="51"/>
        <v>12</v>
      </c>
      <c r="W223" s="942"/>
      <c r="X223" s="957"/>
      <c r="Y223" s="944">
        <f t="shared" si="52"/>
        <v>12</v>
      </c>
      <c r="Z223" s="957"/>
      <c r="AA223" s="944">
        <f t="shared" si="53"/>
        <v>12</v>
      </c>
      <c r="AB223" s="872"/>
      <c r="AC223" s="872"/>
      <c r="AD223" s="872"/>
    </row>
    <row r="224" spans="1:30" ht="21">
      <c r="A224" s="551" t="s">
        <v>623</v>
      </c>
      <c r="B224" s="552"/>
      <c r="C224" s="553"/>
      <c r="D224" s="544">
        <v>46133</v>
      </c>
      <c r="E224" s="904"/>
      <c r="F224" s="904"/>
      <c r="G224" s="904"/>
      <c r="H224" s="904"/>
      <c r="I224" s="904"/>
      <c r="J224" s="904"/>
      <c r="K224" s="904"/>
      <c r="L224" s="912"/>
      <c r="M224" s="912">
        <f>2*12</f>
        <v>24</v>
      </c>
      <c r="N224" s="912"/>
      <c r="O224" s="912"/>
      <c r="P224" s="912">
        <f>2*12</f>
        <v>24</v>
      </c>
      <c r="Q224" s="912"/>
      <c r="R224" s="941"/>
      <c r="S224" s="969">
        <f>2*12</f>
        <v>24</v>
      </c>
      <c r="T224" s="969"/>
      <c r="U224" s="938"/>
      <c r="V224" s="944">
        <f t="shared" si="51"/>
        <v>72</v>
      </c>
      <c r="W224" s="942"/>
      <c r="X224" s="957"/>
      <c r="Y224" s="944">
        <f t="shared" si="52"/>
        <v>72</v>
      </c>
      <c r="Z224" s="957"/>
      <c r="AA224" s="944">
        <f t="shared" si="53"/>
        <v>72</v>
      </c>
      <c r="AB224" s="872"/>
      <c r="AC224" s="872"/>
      <c r="AD224" s="872"/>
    </row>
    <row r="225" spans="1:30" ht="21">
      <c r="A225" s="551" t="s">
        <v>634</v>
      </c>
      <c r="B225" s="552"/>
      <c r="C225" s="553"/>
      <c r="D225" s="544">
        <v>46133</v>
      </c>
      <c r="E225" s="1001"/>
      <c r="F225" s="1001"/>
      <c r="G225" s="1001"/>
      <c r="H225" s="1001"/>
      <c r="I225" s="1001"/>
      <c r="J225" s="1001"/>
      <c r="K225" s="1001"/>
      <c r="L225" s="1005"/>
      <c r="M225" s="1005">
        <f>3*12</f>
        <v>36</v>
      </c>
      <c r="N225" s="1005">
        <f>3*12</f>
        <v>36</v>
      </c>
      <c r="O225" s="1005"/>
      <c r="P225" s="1005"/>
      <c r="Q225" s="1005"/>
      <c r="R225" s="1019"/>
      <c r="S225" s="1020"/>
      <c r="T225" s="1020"/>
      <c r="U225" s="1021"/>
      <c r="V225" s="1024">
        <f t="shared" si="51"/>
        <v>72</v>
      </c>
      <c r="W225" s="1022"/>
      <c r="X225" s="1023"/>
      <c r="Y225" s="1024">
        <f t="shared" si="52"/>
        <v>72</v>
      </c>
      <c r="Z225" s="1023"/>
      <c r="AA225" s="1024">
        <f t="shared" si="53"/>
        <v>72</v>
      </c>
      <c r="AB225" s="872"/>
      <c r="AC225" s="872"/>
      <c r="AD225" s="872"/>
    </row>
    <row r="226" spans="1:30" ht="21.75" thickBot="1">
      <c r="A226" s="537" t="s">
        <v>664</v>
      </c>
      <c r="B226" s="552"/>
      <c r="C226" s="553"/>
      <c r="D226" s="544">
        <v>46134</v>
      </c>
      <c r="E226" s="904"/>
      <c r="F226" s="904"/>
      <c r="G226" s="904"/>
      <c r="H226" s="904">
        <f>1*12</f>
        <v>12</v>
      </c>
      <c r="I226" s="904"/>
      <c r="J226" s="904">
        <f>1*12</f>
        <v>12</v>
      </c>
      <c r="K226" s="904"/>
      <c r="L226" s="912"/>
      <c r="M226" s="912">
        <f>3*12</f>
        <v>36</v>
      </c>
      <c r="N226" s="912"/>
      <c r="O226" s="912"/>
      <c r="P226" s="912">
        <f>3*12</f>
        <v>36</v>
      </c>
      <c r="Q226" s="912"/>
      <c r="R226" s="941"/>
      <c r="S226" s="969"/>
      <c r="T226" s="969"/>
      <c r="U226" s="938"/>
      <c r="V226" s="944">
        <f t="shared" si="51"/>
        <v>96</v>
      </c>
      <c r="W226" s="942"/>
      <c r="X226" s="957"/>
      <c r="Y226" s="944">
        <f t="shared" si="52"/>
        <v>96</v>
      </c>
      <c r="Z226" s="957"/>
      <c r="AA226" s="944">
        <f t="shared" si="53"/>
        <v>96</v>
      </c>
      <c r="AB226" s="872"/>
      <c r="AC226" s="872"/>
      <c r="AD226" s="872"/>
    </row>
    <row r="227" spans="1:30" ht="21.75" thickBot="1">
      <c r="A227" s="561" t="s">
        <v>665</v>
      </c>
      <c r="B227" s="552"/>
      <c r="C227" s="553"/>
      <c r="D227" s="2569">
        <v>46134</v>
      </c>
      <c r="E227" s="904"/>
      <c r="F227" s="904"/>
      <c r="G227" s="904"/>
      <c r="H227" s="904"/>
      <c r="I227" s="904"/>
      <c r="J227" s="904"/>
      <c r="K227" s="904"/>
      <c r="L227" s="912"/>
      <c r="M227" s="912"/>
      <c r="N227" s="912">
        <f>4*12</f>
        <v>48</v>
      </c>
      <c r="O227" s="912"/>
      <c r="P227" s="912"/>
      <c r="Q227" s="912"/>
      <c r="R227" s="941"/>
      <c r="S227" s="969">
        <f>8*12</f>
        <v>96</v>
      </c>
      <c r="T227" s="969"/>
      <c r="U227" s="938"/>
      <c r="V227" s="944">
        <f t="shared" si="51"/>
        <v>144</v>
      </c>
      <c r="W227" s="942"/>
      <c r="X227" s="957"/>
      <c r="Y227" s="944">
        <f t="shared" si="52"/>
        <v>144</v>
      </c>
      <c r="Z227" s="957"/>
      <c r="AA227" s="944">
        <f t="shared" si="53"/>
        <v>144</v>
      </c>
      <c r="AB227" s="872"/>
      <c r="AC227" s="872"/>
      <c r="AD227" s="872"/>
    </row>
    <row r="228" spans="1:30" ht="21">
      <c r="A228" s="547" t="s">
        <v>621</v>
      </c>
      <c r="B228" s="552"/>
      <c r="C228" s="553"/>
      <c r="D228" s="544">
        <v>46134</v>
      </c>
      <c r="E228" s="1029"/>
      <c r="F228" s="904"/>
      <c r="G228" s="904"/>
      <c r="H228" s="904"/>
      <c r="I228" s="904"/>
      <c r="J228" s="904"/>
      <c r="K228" s="904"/>
      <c r="L228" s="912"/>
      <c r="M228" s="912"/>
      <c r="N228" s="912"/>
      <c r="O228" s="912"/>
      <c r="P228" s="912"/>
      <c r="Q228" s="912"/>
      <c r="R228" s="941"/>
      <c r="S228" s="969">
        <f>20*12</f>
        <v>240</v>
      </c>
      <c r="T228" s="969"/>
      <c r="U228" s="938"/>
      <c r="V228" s="944">
        <f t="shared" si="51"/>
        <v>240</v>
      </c>
      <c r="W228" s="942"/>
      <c r="X228" s="957"/>
      <c r="Y228" s="944">
        <f t="shared" si="52"/>
        <v>240</v>
      </c>
      <c r="Z228" s="957"/>
      <c r="AA228" s="944">
        <f t="shared" si="53"/>
        <v>240</v>
      </c>
      <c r="AB228" s="872"/>
      <c r="AC228" s="872"/>
      <c r="AD228" s="872"/>
    </row>
    <row r="229" spans="1:30" ht="21">
      <c r="A229" s="537" t="s">
        <v>668</v>
      </c>
      <c r="B229" s="552"/>
      <c r="C229" s="553"/>
      <c r="D229" s="544">
        <v>38830</v>
      </c>
      <c r="E229" s="1001"/>
      <c r="F229" s="1001"/>
      <c r="G229" s="1001"/>
      <c r="H229" s="1001"/>
      <c r="I229" s="1001"/>
      <c r="J229" s="1001"/>
      <c r="K229" s="1001"/>
      <c r="L229" s="1005"/>
      <c r="M229" s="1005">
        <f>5*12</f>
        <v>60</v>
      </c>
      <c r="N229" s="1005"/>
      <c r="O229" s="1005"/>
      <c r="P229" s="1005">
        <f>5*12</f>
        <v>60</v>
      </c>
      <c r="Q229" s="1005"/>
      <c r="R229" s="1019"/>
      <c r="S229" s="1020"/>
      <c r="T229" s="1020"/>
      <c r="U229" s="1021"/>
      <c r="V229" s="1024">
        <f t="shared" si="51"/>
        <v>120</v>
      </c>
      <c r="W229" s="1022"/>
      <c r="X229" s="1023"/>
      <c r="Y229" s="1024">
        <f t="shared" si="52"/>
        <v>120</v>
      </c>
      <c r="Z229" s="1023"/>
      <c r="AA229" s="1024">
        <f t="shared" si="53"/>
        <v>120</v>
      </c>
      <c r="AB229" s="872"/>
      <c r="AC229" s="872"/>
      <c r="AD229" s="872"/>
    </row>
    <row r="230" spans="1:30" ht="21">
      <c r="A230" s="547" t="s">
        <v>619</v>
      </c>
      <c r="B230" s="552"/>
      <c r="C230" s="553"/>
      <c r="D230" s="559">
        <v>46135</v>
      </c>
      <c r="E230" s="904"/>
      <c r="F230" s="904"/>
      <c r="G230" s="904"/>
      <c r="H230" s="904"/>
      <c r="I230" s="904"/>
      <c r="J230" s="904"/>
      <c r="K230" s="904"/>
      <c r="L230" s="1005"/>
      <c r="M230" s="1005"/>
      <c r="N230" s="1005"/>
      <c r="O230" s="1005"/>
      <c r="P230" s="1005">
        <f>2*12</f>
        <v>24</v>
      </c>
      <c r="Q230" s="1005"/>
      <c r="R230" s="1019"/>
      <c r="S230" s="1020"/>
      <c r="T230" s="1020"/>
      <c r="U230" s="938"/>
      <c r="V230" s="944">
        <f t="shared" si="51"/>
        <v>24</v>
      </c>
      <c r="W230" s="942"/>
      <c r="X230" s="957"/>
      <c r="Y230" s="944">
        <f t="shared" si="52"/>
        <v>24</v>
      </c>
      <c r="Z230" s="957"/>
      <c r="AA230" s="944">
        <f t="shared" si="53"/>
        <v>24</v>
      </c>
      <c r="AB230" s="872"/>
      <c r="AC230" s="872"/>
      <c r="AD230" s="872"/>
    </row>
    <row r="231" spans="1:30" ht="21">
      <c r="A231" s="551" t="s">
        <v>627</v>
      </c>
      <c r="B231" s="552"/>
      <c r="C231" s="553"/>
      <c r="D231" s="544">
        <v>46136</v>
      </c>
      <c r="E231" s="1004"/>
      <c r="F231" s="1001"/>
      <c r="G231" s="1001"/>
      <c r="H231" s="1001"/>
      <c r="I231" s="1001"/>
      <c r="J231" s="1001"/>
      <c r="K231" s="1001"/>
      <c r="L231" s="1005"/>
      <c r="M231" s="1005">
        <f>8*12</f>
        <v>96</v>
      </c>
      <c r="N231" s="1005">
        <f>4*12</f>
        <v>48</v>
      </c>
      <c r="O231" s="1005"/>
      <c r="P231" s="1005"/>
      <c r="Q231" s="1005"/>
      <c r="R231" s="1019"/>
      <c r="S231" s="1020">
        <f>4*12</f>
        <v>48</v>
      </c>
      <c r="T231" s="1020"/>
      <c r="U231" s="1021"/>
      <c r="V231" s="1024">
        <f t="shared" si="51"/>
        <v>192</v>
      </c>
      <c r="W231" s="1022"/>
      <c r="X231" s="1023"/>
      <c r="Y231" s="1024">
        <f t="shared" si="52"/>
        <v>192</v>
      </c>
      <c r="Z231" s="1023"/>
      <c r="AA231" s="1024">
        <f t="shared" si="53"/>
        <v>192</v>
      </c>
      <c r="AB231" s="872"/>
      <c r="AC231" s="872"/>
      <c r="AD231" s="872"/>
    </row>
    <row r="232" spans="1:30" ht="21">
      <c r="A232" s="547" t="s">
        <v>636</v>
      </c>
      <c r="B232" s="563"/>
      <c r="C232" s="553"/>
      <c r="D232" s="544">
        <v>46136</v>
      </c>
      <c r="E232" s="904"/>
      <c r="F232" s="904"/>
      <c r="G232" s="904"/>
      <c r="H232" s="904"/>
      <c r="I232" s="904"/>
      <c r="J232" s="904"/>
      <c r="K232" s="904"/>
      <c r="L232" s="912"/>
      <c r="M232" s="912">
        <f>21*12</f>
        <v>252</v>
      </c>
      <c r="N232" s="912"/>
      <c r="O232" s="912"/>
      <c r="P232" s="912"/>
      <c r="Q232" s="912"/>
      <c r="R232" s="941"/>
      <c r="S232" s="969"/>
      <c r="T232" s="969"/>
      <c r="U232" s="938"/>
      <c r="V232" s="944">
        <f t="shared" si="51"/>
        <v>252</v>
      </c>
      <c r="W232" s="942"/>
      <c r="X232" s="957"/>
      <c r="Y232" s="944">
        <f t="shared" si="52"/>
        <v>252</v>
      </c>
      <c r="Z232" s="957"/>
      <c r="AA232" s="944">
        <f t="shared" si="53"/>
        <v>252</v>
      </c>
      <c r="AB232" s="872"/>
      <c r="AC232" s="872"/>
      <c r="AD232" s="872"/>
    </row>
    <row r="233" spans="1:30" ht="21">
      <c r="A233" s="551" t="s">
        <v>672</v>
      </c>
      <c r="B233" s="538"/>
      <c r="C233" s="539"/>
      <c r="D233" s="544">
        <v>46136</v>
      </c>
      <c r="E233" s="904"/>
      <c r="F233" s="904"/>
      <c r="G233" s="904"/>
      <c r="H233" s="904"/>
      <c r="I233" s="904"/>
      <c r="J233" s="904"/>
      <c r="K233" s="904"/>
      <c r="L233" s="912"/>
      <c r="M233" s="912">
        <f>2*12</f>
        <v>24</v>
      </c>
      <c r="N233" s="912"/>
      <c r="O233" s="912"/>
      <c r="P233" s="912"/>
      <c r="Q233" s="912"/>
      <c r="R233" s="941"/>
      <c r="S233" s="969"/>
      <c r="T233" s="969"/>
      <c r="U233" s="938"/>
      <c r="V233" s="944">
        <f t="shared" ref="V233" si="60">SUM(E233:T233)</f>
        <v>24</v>
      </c>
      <c r="W233" s="942"/>
      <c r="X233" s="957"/>
      <c r="Y233" s="944">
        <f t="shared" ref="Y233" si="61">V233+W233</f>
        <v>24</v>
      </c>
      <c r="Z233" s="957"/>
      <c r="AA233" s="944">
        <f t="shared" ref="AA233" si="62">Y233+Z233</f>
        <v>24</v>
      </c>
      <c r="AB233" s="872"/>
      <c r="AC233" s="872"/>
      <c r="AD233" s="872"/>
    </row>
    <row r="234" spans="1:30" ht="21">
      <c r="A234" s="547" t="s">
        <v>675</v>
      </c>
      <c r="B234" s="552"/>
      <c r="C234" s="553"/>
      <c r="D234" s="544">
        <v>46137</v>
      </c>
      <c r="E234" s="1001"/>
      <c r="F234" s="1001"/>
      <c r="G234" s="1001"/>
      <c r="H234" s="1001"/>
      <c r="I234" s="1001"/>
      <c r="J234" s="1001"/>
      <c r="K234" s="1001"/>
      <c r="L234" s="1005">
        <f>2*12</f>
        <v>24</v>
      </c>
      <c r="M234" s="1005">
        <f>2*12</f>
        <v>24</v>
      </c>
      <c r="N234" s="1005">
        <f>2*12</f>
        <v>24</v>
      </c>
      <c r="O234" s="1005"/>
      <c r="P234" s="1005"/>
      <c r="Q234" s="1005"/>
      <c r="R234" s="1019">
        <f>1*12</f>
        <v>12</v>
      </c>
      <c r="S234" s="1020">
        <f>2*12</f>
        <v>24</v>
      </c>
      <c r="T234" s="1020"/>
      <c r="U234" s="1021"/>
      <c r="V234" s="1024">
        <f t="shared" si="51"/>
        <v>108</v>
      </c>
      <c r="W234" s="1022"/>
      <c r="X234" s="1023"/>
      <c r="Y234" s="1024">
        <f t="shared" si="52"/>
        <v>108</v>
      </c>
      <c r="Z234" s="1023"/>
      <c r="AA234" s="1024">
        <f t="shared" si="53"/>
        <v>108</v>
      </c>
      <c r="AB234" s="872"/>
      <c r="AC234" s="872"/>
      <c r="AD234" s="872"/>
    </row>
    <row r="235" spans="1:30" ht="21">
      <c r="A235" s="551" t="s">
        <v>634</v>
      </c>
      <c r="B235" s="552"/>
      <c r="C235" s="553"/>
      <c r="D235" s="544">
        <v>46138</v>
      </c>
      <c r="E235" s="904"/>
      <c r="F235" s="904"/>
      <c r="G235" s="904"/>
      <c r="H235" s="904"/>
      <c r="I235" s="904"/>
      <c r="J235" s="904"/>
      <c r="K235" s="904"/>
      <c r="L235" s="912"/>
      <c r="M235" s="912">
        <f>1*12</f>
        <v>12</v>
      </c>
      <c r="N235" s="912"/>
      <c r="O235" s="912"/>
      <c r="P235" s="912"/>
      <c r="Q235" s="912"/>
      <c r="R235" s="941"/>
      <c r="S235" s="969">
        <f>1*12</f>
        <v>12</v>
      </c>
      <c r="T235" s="969"/>
      <c r="U235" s="938"/>
      <c r="V235" s="944">
        <f t="shared" si="51"/>
        <v>24</v>
      </c>
      <c r="W235" s="942"/>
      <c r="X235" s="957"/>
      <c r="Y235" s="944">
        <f t="shared" si="52"/>
        <v>24</v>
      </c>
      <c r="Z235" s="957"/>
      <c r="AA235" s="944">
        <f t="shared" si="53"/>
        <v>24</v>
      </c>
      <c r="AB235" s="872"/>
      <c r="AC235" s="872"/>
      <c r="AD235" s="872"/>
    </row>
    <row r="236" spans="1:30" ht="21">
      <c r="A236" s="547" t="s">
        <v>676</v>
      </c>
      <c r="B236" s="552"/>
      <c r="C236" s="553"/>
      <c r="D236" s="544">
        <v>46138</v>
      </c>
      <c r="E236" s="1001"/>
      <c r="F236" s="1001"/>
      <c r="G236" s="1001"/>
      <c r="H236" s="1001"/>
      <c r="I236" s="1001"/>
      <c r="J236" s="1001"/>
      <c r="K236" s="1001"/>
      <c r="L236" s="1005"/>
      <c r="M236" s="1005">
        <f>3*12</f>
        <v>36</v>
      </c>
      <c r="N236" s="1005">
        <f>5*12</f>
        <v>60</v>
      </c>
      <c r="O236" s="1005"/>
      <c r="P236" s="1005"/>
      <c r="Q236" s="1005"/>
      <c r="R236" s="1019"/>
      <c r="S236" s="1020"/>
      <c r="T236" s="1020"/>
      <c r="U236" s="1021"/>
      <c r="V236" s="1024">
        <f t="shared" si="51"/>
        <v>96</v>
      </c>
      <c r="W236" s="1022"/>
      <c r="X236" s="1023"/>
      <c r="Y236" s="1024">
        <f t="shared" si="52"/>
        <v>96</v>
      </c>
      <c r="Z236" s="1023"/>
      <c r="AA236" s="1024">
        <f t="shared" si="53"/>
        <v>96</v>
      </c>
      <c r="AB236" s="872"/>
      <c r="AC236" s="872"/>
      <c r="AD236" s="872"/>
    </row>
    <row r="237" spans="1:30" ht="21">
      <c r="A237" s="547" t="s">
        <v>677</v>
      </c>
      <c r="B237" s="538"/>
      <c r="C237" s="3079"/>
      <c r="D237" s="544">
        <v>46138</v>
      </c>
      <c r="E237" s="1001"/>
      <c r="F237" s="1001"/>
      <c r="G237" s="1001"/>
      <c r="H237" s="1001"/>
      <c r="I237" s="1001"/>
      <c r="J237" s="1001"/>
      <c r="K237" s="1001"/>
      <c r="L237" s="1005"/>
      <c r="M237" s="1005">
        <f>1*12</f>
        <v>12</v>
      </c>
      <c r="N237" s="1005">
        <f>4*12</f>
        <v>48</v>
      </c>
      <c r="O237" s="1005"/>
      <c r="P237" s="1005"/>
      <c r="Q237" s="1005"/>
      <c r="R237" s="1019"/>
      <c r="S237" s="1020">
        <f>4*12</f>
        <v>48</v>
      </c>
      <c r="T237" s="1020"/>
      <c r="U237" s="1021"/>
      <c r="V237" s="1024">
        <f t="shared" si="51"/>
        <v>108</v>
      </c>
      <c r="W237" s="1022"/>
      <c r="X237" s="1023"/>
      <c r="Y237" s="1024">
        <f t="shared" si="52"/>
        <v>108</v>
      </c>
      <c r="Z237" s="1023"/>
      <c r="AA237" s="1024">
        <f t="shared" si="53"/>
        <v>108</v>
      </c>
      <c r="AB237" s="872"/>
      <c r="AC237" s="872"/>
      <c r="AD237" s="872"/>
    </row>
    <row r="238" spans="1:30" ht="21">
      <c r="A238" s="551" t="s">
        <v>634</v>
      </c>
      <c r="B238" s="550"/>
      <c r="C238" s="549"/>
      <c r="D238" s="544">
        <v>46138</v>
      </c>
      <c r="E238" s="904"/>
      <c r="F238" s="904"/>
      <c r="G238" s="904"/>
      <c r="H238" s="904"/>
      <c r="I238" s="904"/>
      <c r="J238" s="904"/>
      <c r="K238" s="904"/>
      <c r="L238" s="912"/>
      <c r="M238" s="912">
        <f>3*12</f>
        <v>36</v>
      </c>
      <c r="N238" s="912"/>
      <c r="O238" s="912"/>
      <c r="P238" s="912"/>
      <c r="Q238" s="912"/>
      <c r="R238" s="941"/>
      <c r="S238" s="969"/>
      <c r="T238" s="969"/>
      <c r="U238" s="938"/>
      <c r="V238" s="944">
        <f t="shared" si="51"/>
        <v>36</v>
      </c>
      <c r="W238" s="942"/>
      <c r="X238" s="957"/>
      <c r="Y238" s="944">
        <f t="shared" si="52"/>
        <v>36</v>
      </c>
      <c r="Z238" s="957"/>
      <c r="AA238" s="944">
        <f t="shared" si="53"/>
        <v>36</v>
      </c>
      <c r="AB238" s="872"/>
      <c r="AC238" s="872"/>
      <c r="AD238" s="872"/>
    </row>
    <row r="239" spans="1:30" ht="21">
      <c r="A239" s="537" t="s">
        <v>680</v>
      </c>
      <c r="B239" s="552"/>
      <c r="C239"/>
      <c r="D239" s="544">
        <v>46139</v>
      </c>
      <c r="E239" s="904"/>
      <c r="F239" s="904"/>
      <c r="G239" s="904"/>
      <c r="H239" s="904"/>
      <c r="I239" s="904"/>
      <c r="J239" s="904"/>
      <c r="K239" s="904"/>
      <c r="L239" s="912"/>
      <c r="M239" s="912"/>
      <c r="N239" s="912">
        <f>8*12</f>
        <v>96</v>
      </c>
      <c r="O239" s="912"/>
      <c r="P239" s="912"/>
      <c r="Q239" s="912"/>
      <c r="R239" s="941"/>
      <c r="S239" s="969">
        <f>16*12</f>
        <v>192</v>
      </c>
      <c r="T239" s="969"/>
      <c r="U239" s="938"/>
      <c r="V239" s="944">
        <f t="shared" si="51"/>
        <v>288</v>
      </c>
      <c r="W239" s="942"/>
      <c r="X239" s="957"/>
      <c r="Y239" s="944">
        <f t="shared" si="52"/>
        <v>288</v>
      </c>
      <c r="Z239" s="957"/>
      <c r="AA239" s="944">
        <f t="shared" si="53"/>
        <v>288</v>
      </c>
      <c r="AB239" s="872"/>
      <c r="AC239" s="872"/>
      <c r="AD239" s="872"/>
    </row>
    <row r="240" spans="1:30" ht="21">
      <c r="A240" s="547" t="s">
        <v>683</v>
      </c>
      <c r="B240" s="552"/>
      <c r="C240" s="553"/>
      <c r="D240" s="544">
        <v>46140</v>
      </c>
      <c r="E240" s="1001"/>
      <c r="F240" s="1001"/>
      <c r="G240" s="1001"/>
      <c r="H240" s="1001"/>
      <c r="I240" s="1001"/>
      <c r="J240" s="1001"/>
      <c r="K240" s="1001"/>
      <c r="L240" s="1005"/>
      <c r="M240" s="1005">
        <f>3*12</f>
        <v>36</v>
      </c>
      <c r="N240" s="1005"/>
      <c r="O240" s="1005"/>
      <c r="P240" s="1005"/>
      <c r="Q240" s="1005"/>
      <c r="R240" s="1019"/>
      <c r="S240" s="1020"/>
      <c r="T240" s="1020"/>
      <c r="U240" s="1021"/>
      <c r="V240" s="1024">
        <f t="shared" ref="V240:V274" si="63">SUM(E240:T240)</f>
        <v>36</v>
      </c>
      <c r="W240" s="1022"/>
      <c r="X240" s="1023"/>
      <c r="Y240" s="1024">
        <f t="shared" si="52"/>
        <v>36</v>
      </c>
      <c r="Z240" s="1023"/>
      <c r="AA240" s="1024">
        <f t="shared" si="53"/>
        <v>36</v>
      </c>
      <c r="AB240" s="872"/>
      <c r="AC240" s="872"/>
      <c r="AD240" s="872"/>
    </row>
    <row r="241" spans="1:30" ht="21">
      <c r="A241" s="537" t="s">
        <v>635</v>
      </c>
      <c r="B241" s="538"/>
      <c r="C241" s="539"/>
      <c r="D241" s="544">
        <v>46141</v>
      </c>
      <c r="E241" s="904"/>
      <c r="F241" s="904"/>
      <c r="G241" s="904"/>
      <c r="H241" s="904"/>
      <c r="I241" s="904"/>
      <c r="J241" s="904"/>
      <c r="K241" s="904"/>
      <c r="L241" s="912"/>
      <c r="M241" s="912"/>
      <c r="N241" s="912">
        <f>2*12</f>
        <v>24</v>
      </c>
      <c r="O241" s="912"/>
      <c r="P241" s="912"/>
      <c r="Q241" s="912"/>
      <c r="R241" s="941"/>
      <c r="S241" s="969">
        <f>2*12</f>
        <v>24</v>
      </c>
      <c r="T241" s="969"/>
      <c r="U241" s="938"/>
      <c r="V241" s="944">
        <f t="shared" si="63"/>
        <v>48</v>
      </c>
      <c r="W241" s="942"/>
      <c r="X241" s="957"/>
      <c r="Y241" s="944">
        <f t="shared" si="52"/>
        <v>48</v>
      </c>
      <c r="Z241" s="957"/>
      <c r="AA241" s="944">
        <f t="shared" si="53"/>
        <v>48</v>
      </c>
      <c r="AB241" s="872"/>
      <c r="AC241" s="872"/>
      <c r="AD241" s="872"/>
    </row>
    <row r="242" spans="1:30" ht="21">
      <c r="A242" s="547" t="s">
        <v>686</v>
      </c>
      <c r="B242" s="1112"/>
      <c r="C242" s="1113"/>
      <c r="D242" s="1114">
        <v>46141</v>
      </c>
      <c r="E242" s="1001"/>
      <c r="F242" s="1001"/>
      <c r="G242" s="1001"/>
      <c r="H242" s="1001"/>
      <c r="I242" s="1001"/>
      <c r="J242" s="1001"/>
      <c r="K242" s="1001"/>
      <c r="L242" s="1005"/>
      <c r="M242" s="1005"/>
      <c r="N242" s="1005">
        <f>2*12</f>
        <v>24</v>
      </c>
      <c r="O242" s="1005"/>
      <c r="P242" s="1005"/>
      <c r="Q242" s="1005"/>
      <c r="R242" s="1019"/>
      <c r="S242" s="1020">
        <f>1*12</f>
        <v>12</v>
      </c>
      <c r="T242" s="1020"/>
      <c r="U242" s="1021"/>
      <c r="V242" s="1024">
        <f t="shared" si="63"/>
        <v>36</v>
      </c>
      <c r="W242" s="1022"/>
      <c r="X242" s="1023"/>
      <c r="Y242" s="1024">
        <f t="shared" si="52"/>
        <v>36</v>
      </c>
      <c r="Z242" s="1023"/>
      <c r="AA242" s="1024">
        <f t="shared" si="53"/>
        <v>36</v>
      </c>
      <c r="AB242" s="872"/>
      <c r="AC242" s="872"/>
      <c r="AD242" s="872"/>
    </row>
    <row r="243" spans="1:30" ht="21">
      <c r="A243" s="537" t="s">
        <v>659</v>
      </c>
      <c r="B243" s="1112"/>
      <c r="C243" s="1113"/>
      <c r="D243" s="1114">
        <v>46142</v>
      </c>
      <c r="E243" s="904"/>
      <c r="F243" s="904"/>
      <c r="G243" s="904"/>
      <c r="H243" s="904"/>
      <c r="I243" s="904"/>
      <c r="J243" s="904"/>
      <c r="K243" s="904"/>
      <c r="L243" s="912"/>
      <c r="M243" s="912"/>
      <c r="N243" s="912">
        <f>2*12</f>
        <v>24</v>
      </c>
      <c r="O243" s="912"/>
      <c r="P243" s="912"/>
      <c r="Q243" s="912"/>
      <c r="R243" s="941"/>
      <c r="S243" s="969">
        <f>4*12</f>
        <v>48</v>
      </c>
      <c r="T243" s="969"/>
      <c r="U243" s="938"/>
      <c r="V243" s="944">
        <f t="shared" si="63"/>
        <v>72</v>
      </c>
      <c r="W243" s="942"/>
      <c r="X243" s="957"/>
      <c r="Y243" s="944">
        <f t="shared" si="52"/>
        <v>72</v>
      </c>
      <c r="Z243" s="957"/>
      <c r="AA243" s="944">
        <f t="shared" si="53"/>
        <v>72</v>
      </c>
    </row>
    <row r="244" spans="1:30" ht="21">
      <c r="A244" s="537" t="s">
        <v>665</v>
      </c>
      <c r="B244" s="550"/>
      <c r="C244" s="549"/>
      <c r="D244" s="544">
        <v>46142</v>
      </c>
      <c r="E244" s="904"/>
      <c r="F244" s="904"/>
      <c r="G244" s="904"/>
      <c r="H244" s="904"/>
      <c r="I244" s="904"/>
      <c r="J244" s="904"/>
      <c r="K244" s="904"/>
      <c r="L244" s="912"/>
      <c r="M244" s="912"/>
      <c r="N244" s="912">
        <f>5*12</f>
        <v>60</v>
      </c>
      <c r="O244" s="912"/>
      <c r="P244" s="912"/>
      <c r="Q244" s="912"/>
      <c r="R244" s="941"/>
      <c r="S244" s="969">
        <f>10*12</f>
        <v>120</v>
      </c>
      <c r="T244" s="969"/>
      <c r="U244" s="938"/>
      <c r="V244" s="944">
        <f t="shared" ref="V244" si="64">SUM(E244:T244)</f>
        <v>180</v>
      </c>
      <c r="W244" s="942"/>
      <c r="X244" s="957"/>
      <c r="Y244" s="944">
        <f t="shared" ref="Y244" si="65">V244+W244</f>
        <v>180</v>
      </c>
      <c r="Z244" s="957"/>
      <c r="AA244" s="944">
        <f t="shared" ref="AA244" si="66">Y244+Z244</f>
        <v>180</v>
      </c>
    </row>
    <row r="245" spans="1:30" ht="21">
      <c r="A245" s="551" t="s">
        <v>619</v>
      </c>
      <c r="B245" s="552"/>
      <c r="C245" s="553"/>
      <c r="D245" s="544">
        <v>46142</v>
      </c>
      <c r="E245" s="904"/>
      <c r="F245" s="904"/>
      <c r="G245" s="904"/>
      <c r="H245" s="904"/>
      <c r="I245" s="904"/>
      <c r="J245" s="904"/>
      <c r="K245" s="904"/>
      <c r="L245" s="912"/>
      <c r="M245" s="912"/>
      <c r="N245" s="912">
        <f>4*12</f>
        <v>48</v>
      </c>
      <c r="O245" s="912"/>
      <c r="P245" s="912"/>
      <c r="Q245" s="912"/>
      <c r="R245" s="941"/>
      <c r="S245" s="969">
        <f>5*12</f>
        <v>60</v>
      </c>
      <c r="T245" s="969"/>
      <c r="U245" s="938"/>
      <c r="V245" s="944">
        <f t="shared" si="63"/>
        <v>108</v>
      </c>
      <c r="W245" s="942"/>
      <c r="X245" s="957"/>
      <c r="Y245" s="944">
        <f t="shared" si="52"/>
        <v>108</v>
      </c>
      <c r="Z245" s="957"/>
      <c r="AA245" s="944">
        <f t="shared" si="53"/>
        <v>108</v>
      </c>
      <c r="AB245" s="403"/>
      <c r="AC245" s="403"/>
      <c r="AD245" s="403"/>
    </row>
    <row r="246" spans="1:30" ht="21">
      <c r="A246" s="537"/>
      <c r="B246" s="552"/>
      <c r="C246" s="553"/>
      <c r="D246" s="544"/>
      <c r="E246" s="904"/>
      <c r="F246" s="904"/>
      <c r="G246" s="904"/>
      <c r="H246" s="904"/>
      <c r="I246" s="904"/>
      <c r="J246" s="904"/>
      <c r="K246" s="904"/>
      <c r="L246" s="912"/>
      <c r="M246" s="912"/>
      <c r="N246" s="912"/>
      <c r="O246" s="912"/>
      <c r="P246" s="912"/>
      <c r="Q246" s="912"/>
      <c r="R246" s="941"/>
      <c r="S246" s="969"/>
      <c r="T246" s="969"/>
      <c r="U246" s="938"/>
      <c r="V246" s="944">
        <f t="shared" si="63"/>
        <v>0</v>
      </c>
      <c r="W246" s="942"/>
      <c r="X246" s="957"/>
      <c r="Y246" s="944">
        <f t="shared" si="52"/>
        <v>0</v>
      </c>
      <c r="Z246" s="957"/>
      <c r="AA246" s="944">
        <f t="shared" si="53"/>
        <v>0</v>
      </c>
      <c r="AB246" s="282"/>
      <c r="AC246" s="282"/>
      <c r="AD246" s="282"/>
    </row>
    <row r="247" spans="1:30" ht="21">
      <c r="A247" s="537"/>
      <c r="B247" s="550"/>
      <c r="C247" s="549"/>
      <c r="D247" s="544"/>
      <c r="E247" s="1001"/>
      <c r="F247" s="1001"/>
      <c r="G247" s="1001"/>
      <c r="H247" s="1001"/>
      <c r="I247" s="1001"/>
      <c r="J247" s="1001"/>
      <c r="K247" s="1001"/>
      <c r="L247" s="1005"/>
      <c r="M247" s="1005"/>
      <c r="N247" s="1005"/>
      <c r="O247" s="1005"/>
      <c r="P247" s="1005"/>
      <c r="Q247" s="1005"/>
      <c r="R247" s="1019"/>
      <c r="S247" s="1020"/>
      <c r="T247" s="1020"/>
      <c r="U247" s="1021"/>
      <c r="V247" s="1024">
        <f t="shared" si="63"/>
        <v>0</v>
      </c>
      <c r="W247" s="1022"/>
      <c r="X247" s="1023"/>
      <c r="Y247" s="1024">
        <f t="shared" si="52"/>
        <v>0</v>
      </c>
      <c r="Z247" s="1023"/>
      <c r="AA247" s="1024">
        <f t="shared" si="53"/>
        <v>0</v>
      </c>
    </row>
    <row r="248" spans="1:30" ht="21">
      <c r="A248" s="537"/>
      <c r="B248" s="552"/>
      <c r="C248" s="553"/>
      <c r="D248" s="544"/>
      <c r="E248" s="904"/>
      <c r="F248" s="904"/>
      <c r="G248" s="904"/>
      <c r="H248" s="904"/>
      <c r="I248" s="904"/>
      <c r="J248" s="904"/>
      <c r="K248" s="904"/>
      <c r="L248" s="912"/>
      <c r="M248" s="912"/>
      <c r="N248" s="912"/>
      <c r="O248" s="912"/>
      <c r="P248" s="912"/>
      <c r="Q248" s="912"/>
      <c r="R248" s="941"/>
      <c r="S248" s="969"/>
      <c r="T248" s="969"/>
      <c r="U248" s="938"/>
      <c r="V248" s="944">
        <f t="shared" si="63"/>
        <v>0</v>
      </c>
      <c r="W248" s="942"/>
      <c r="X248" s="957"/>
      <c r="Y248" s="944">
        <f t="shared" si="52"/>
        <v>0</v>
      </c>
      <c r="Z248" s="957"/>
      <c r="AA248" s="944">
        <f t="shared" si="53"/>
        <v>0</v>
      </c>
      <c r="AB248" s="394"/>
      <c r="AC248" s="394"/>
      <c r="AD248" s="394"/>
    </row>
    <row r="249" spans="1:30" ht="21">
      <c r="A249" s="537"/>
      <c r="B249" s="552"/>
      <c r="C249" s="553"/>
      <c r="D249" s="544"/>
      <c r="E249" s="904"/>
      <c r="F249" s="904"/>
      <c r="G249" s="904"/>
      <c r="H249" s="904"/>
      <c r="I249" s="904"/>
      <c r="J249" s="904"/>
      <c r="K249" s="904"/>
      <c r="L249" s="912"/>
      <c r="M249" s="912"/>
      <c r="N249" s="912"/>
      <c r="O249" s="912"/>
      <c r="P249" s="912"/>
      <c r="Q249" s="912"/>
      <c r="R249" s="941"/>
      <c r="S249" s="969"/>
      <c r="T249" s="969"/>
      <c r="U249" s="938"/>
      <c r="V249" s="944">
        <f t="shared" si="63"/>
        <v>0</v>
      </c>
      <c r="W249" s="942"/>
      <c r="X249" s="957"/>
      <c r="Y249" s="944">
        <f t="shared" si="52"/>
        <v>0</v>
      </c>
      <c r="Z249" s="957"/>
      <c r="AA249" s="944">
        <f t="shared" si="53"/>
        <v>0</v>
      </c>
      <c r="AB249" s="403"/>
      <c r="AC249" s="403"/>
      <c r="AD249" s="403"/>
    </row>
    <row r="250" spans="1:30" ht="21">
      <c r="A250" s="537"/>
      <c r="B250" s="550"/>
      <c r="C250" s="549"/>
      <c r="D250" s="544"/>
      <c r="E250" s="904"/>
      <c r="F250" s="904"/>
      <c r="G250" s="904"/>
      <c r="H250" s="904"/>
      <c r="I250" s="904"/>
      <c r="J250" s="904"/>
      <c r="K250" s="904"/>
      <c r="L250" s="912"/>
      <c r="M250" s="912"/>
      <c r="N250" s="912"/>
      <c r="O250" s="912"/>
      <c r="P250" s="912"/>
      <c r="Q250" s="912"/>
      <c r="R250" s="941"/>
      <c r="S250" s="969"/>
      <c r="T250" s="969"/>
      <c r="U250" s="938"/>
      <c r="V250" s="944">
        <f t="shared" si="63"/>
        <v>0</v>
      </c>
      <c r="W250" s="942"/>
      <c r="X250" s="957"/>
      <c r="Y250" s="944">
        <f t="shared" si="52"/>
        <v>0</v>
      </c>
      <c r="Z250" s="957"/>
      <c r="AA250" s="944">
        <f t="shared" si="53"/>
        <v>0</v>
      </c>
    </row>
    <row r="251" spans="1:30" ht="21">
      <c r="A251" s="537"/>
      <c r="B251" s="550"/>
      <c r="C251" s="549"/>
      <c r="D251" s="544"/>
      <c r="E251" s="904"/>
      <c r="F251" s="904"/>
      <c r="G251" s="904"/>
      <c r="H251" s="904"/>
      <c r="I251" s="904"/>
      <c r="J251" s="904"/>
      <c r="K251" s="904"/>
      <c r="L251" s="912"/>
      <c r="M251" s="912"/>
      <c r="N251" s="912"/>
      <c r="O251" s="912"/>
      <c r="P251" s="912"/>
      <c r="Q251" s="912"/>
      <c r="R251" s="941"/>
      <c r="S251" s="969"/>
      <c r="T251" s="969"/>
      <c r="U251" s="938"/>
      <c r="V251" s="944">
        <f t="shared" si="63"/>
        <v>0</v>
      </c>
      <c r="W251" s="942"/>
      <c r="X251" s="957"/>
      <c r="Y251" s="944">
        <f t="shared" si="52"/>
        <v>0</v>
      </c>
      <c r="Z251" s="957"/>
      <c r="AA251" s="944">
        <f t="shared" si="53"/>
        <v>0</v>
      </c>
    </row>
    <row r="252" spans="1:30" ht="21">
      <c r="A252" s="537"/>
      <c r="B252" s="550"/>
      <c r="C252" s="549"/>
      <c r="D252" s="544"/>
      <c r="E252" s="904"/>
      <c r="F252" s="904"/>
      <c r="G252" s="904"/>
      <c r="H252" s="904"/>
      <c r="I252" s="904"/>
      <c r="J252" s="904"/>
      <c r="K252" s="904"/>
      <c r="L252" s="912"/>
      <c r="M252" s="912"/>
      <c r="N252" s="912"/>
      <c r="O252" s="912"/>
      <c r="P252" s="912"/>
      <c r="Q252" s="912"/>
      <c r="R252" s="941"/>
      <c r="S252" s="969"/>
      <c r="T252" s="969"/>
      <c r="U252" s="938"/>
      <c r="V252" s="944">
        <f t="shared" si="63"/>
        <v>0</v>
      </c>
      <c r="W252" s="942"/>
      <c r="X252" s="957"/>
      <c r="Y252" s="944">
        <f t="shared" si="52"/>
        <v>0</v>
      </c>
      <c r="Z252" s="957"/>
      <c r="AA252" s="944">
        <f t="shared" si="53"/>
        <v>0</v>
      </c>
    </row>
    <row r="253" spans="1:30" ht="21">
      <c r="A253" s="551"/>
      <c r="B253" s="552"/>
      <c r="C253" s="553"/>
      <c r="D253" s="544"/>
      <c r="E253" s="904"/>
      <c r="F253" s="904"/>
      <c r="G253" s="904"/>
      <c r="H253" s="904"/>
      <c r="I253" s="904"/>
      <c r="J253" s="904"/>
      <c r="K253" s="904"/>
      <c r="L253" s="912"/>
      <c r="M253" s="912"/>
      <c r="N253" s="912"/>
      <c r="O253" s="912"/>
      <c r="P253" s="912"/>
      <c r="Q253" s="912"/>
      <c r="R253" s="941"/>
      <c r="S253" s="969"/>
      <c r="T253" s="969"/>
      <c r="U253" s="938"/>
      <c r="V253" s="944">
        <f t="shared" si="63"/>
        <v>0</v>
      </c>
      <c r="W253" s="942"/>
      <c r="X253" s="957"/>
      <c r="Y253" s="944">
        <f t="shared" si="52"/>
        <v>0</v>
      </c>
      <c r="Z253" s="957"/>
      <c r="AA253" s="944">
        <f t="shared" si="53"/>
        <v>0</v>
      </c>
    </row>
    <row r="254" spans="1:30" ht="21">
      <c r="A254" s="551"/>
      <c r="B254" s="552"/>
      <c r="C254" s="553"/>
      <c r="D254" s="544"/>
      <c r="E254" s="904"/>
      <c r="F254" s="904"/>
      <c r="G254" s="904"/>
      <c r="H254" s="904"/>
      <c r="I254" s="904"/>
      <c r="J254" s="904"/>
      <c r="K254" s="904"/>
      <c r="L254" s="912"/>
      <c r="M254" s="912"/>
      <c r="N254" s="912"/>
      <c r="O254" s="912"/>
      <c r="P254" s="912"/>
      <c r="Q254" s="912"/>
      <c r="R254" s="941"/>
      <c r="S254" s="969"/>
      <c r="T254" s="969"/>
      <c r="U254" s="943"/>
      <c r="V254" s="942">
        <f t="shared" si="63"/>
        <v>0</v>
      </c>
      <c r="W254" s="942"/>
      <c r="X254" s="957"/>
      <c r="Y254" s="942">
        <f t="shared" si="52"/>
        <v>0</v>
      </c>
      <c r="Z254" s="957"/>
      <c r="AA254" s="942">
        <f t="shared" si="53"/>
        <v>0</v>
      </c>
    </row>
    <row r="255" spans="1:30" ht="21">
      <c r="A255" s="537"/>
      <c r="B255" s="550"/>
      <c r="C255" s="549"/>
      <c r="D255" s="544"/>
      <c r="E255" s="912"/>
      <c r="F255" s="912"/>
      <c r="G255" s="912"/>
      <c r="H255" s="912"/>
      <c r="I255" s="912"/>
      <c r="J255" s="912"/>
      <c r="K255" s="912"/>
      <c r="L255" s="912"/>
      <c r="M255" s="912"/>
      <c r="N255" s="912"/>
      <c r="O255" s="912"/>
      <c r="P255" s="912"/>
      <c r="Q255" s="912"/>
      <c r="R255" s="912"/>
      <c r="S255" s="941"/>
      <c r="T255" s="941"/>
      <c r="U255" s="956"/>
      <c r="V255" s="904">
        <f t="shared" si="63"/>
        <v>0</v>
      </c>
      <c r="W255" s="912"/>
      <c r="X255" s="912"/>
      <c r="Y255" s="912">
        <f t="shared" si="52"/>
        <v>0</v>
      </c>
      <c r="Z255" s="912"/>
      <c r="AA255" s="912">
        <f t="shared" si="53"/>
        <v>0</v>
      </c>
    </row>
    <row r="256" spans="1:30" ht="21">
      <c r="A256" s="537"/>
      <c r="B256" s="550"/>
      <c r="C256" s="549"/>
      <c r="D256" s="544"/>
      <c r="E256" s="912"/>
      <c r="F256" s="912"/>
      <c r="G256" s="912"/>
      <c r="H256" s="912"/>
      <c r="I256" s="912"/>
      <c r="J256" s="912"/>
      <c r="K256" s="912"/>
      <c r="L256" s="912"/>
      <c r="M256" s="912"/>
      <c r="N256" s="912"/>
      <c r="O256" s="912"/>
      <c r="P256" s="912"/>
      <c r="Q256" s="912"/>
      <c r="R256" s="912"/>
      <c r="S256" s="941"/>
      <c r="T256" s="941"/>
      <c r="U256" s="942"/>
      <c r="V256" s="904">
        <f t="shared" si="63"/>
        <v>0</v>
      </c>
      <c r="W256" s="912"/>
      <c r="X256" s="912"/>
      <c r="Y256" s="912">
        <f t="shared" si="52"/>
        <v>0</v>
      </c>
      <c r="Z256" s="912"/>
      <c r="AA256" s="912">
        <f t="shared" si="53"/>
        <v>0</v>
      </c>
    </row>
    <row r="257" spans="1:27" ht="21">
      <c r="A257" s="537"/>
      <c r="B257" s="550"/>
      <c r="C257" s="549"/>
      <c r="D257" s="544"/>
      <c r="E257" s="912"/>
      <c r="F257" s="912"/>
      <c r="G257" s="912"/>
      <c r="H257" s="912"/>
      <c r="I257" s="912"/>
      <c r="J257" s="912"/>
      <c r="K257" s="912"/>
      <c r="L257" s="912"/>
      <c r="M257" s="912"/>
      <c r="N257" s="912"/>
      <c r="O257" s="912"/>
      <c r="P257" s="912"/>
      <c r="Q257" s="912"/>
      <c r="R257" s="912"/>
      <c r="S257" s="941"/>
      <c r="T257" s="941"/>
      <c r="U257" s="942"/>
      <c r="V257" s="904">
        <f t="shared" si="63"/>
        <v>0</v>
      </c>
      <c r="W257" s="912"/>
      <c r="X257" s="912"/>
      <c r="Y257" s="912">
        <f t="shared" si="52"/>
        <v>0</v>
      </c>
      <c r="Z257" s="912"/>
      <c r="AA257" s="912">
        <f t="shared" si="53"/>
        <v>0</v>
      </c>
    </row>
    <row r="258" spans="1:27" ht="21">
      <c r="A258" s="537"/>
      <c r="B258" s="550"/>
      <c r="C258" s="549"/>
      <c r="D258" s="544"/>
      <c r="E258" s="912"/>
      <c r="F258" s="912"/>
      <c r="G258" s="912"/>
      <c r="H258" s="912"/>
      <c r="I258" s="912"/>
      <c r="J258" s="912"/>
      <c r="K258" s="912"/>
      <c r="L258" s="912"/>
      <c r="M258" s="912"/>
      <c r="N258" s="912"/>
      <c r="O258" s="912"/>
      <c r="P258" s="912"/>
      <c r="Q258" s="912"/>
      <c r="R258" s="912"/>
      <c r="S258" s="941"/>
      <c r="T258" s="941"/>
      <c r="U258" s="942"/>
      <c r="V258" s="904">
        <f t="shared" si="63"/>
        <v>0</v>
      </c>
      <c r="W258" s="912"/>
      <c r="X258" s="912"/>
      <c r="Y258" s="912">
        <f t="shared" si="52"/>
        <v>0</v>
      </c>
      <c r="Z258" s="912"/>
      <c r="AA258" s="912">
        <f t="shared" si="53"/>
        <v>0</v>
      </c>
    </row>
    <row r="259" spans="1:27" ht="21">
      <c r="A259" s="537"/>
      <c r="B259" s="550"/>
      <c r="C259" s="549"/>
      <c r="D259" s="544"/>
      <c r="E259" s="912"/>
      <c r="F259" s="912"/>
      <c r="G259" s="912"/>
      <c r="H259" s="912"/>
      <c r="I259" s="912"/>
      <c r="J259" s="912"/>
      <c r="K259" s="912"/>
      <c r="L259" s="912"/>
      <c r="M259" s="912"/>
      <c r="N259" s="912"/>
      <c r="O259" s="912"/>
      <c r="P259" s="912"/>
      <c r="Q259" s="912"/>
      <c r="R259" s="912"/>
      <c r="S259" s="941"/>
      <c r="T259" s="941"/>
      <c r="U259" s="942"/>
      <c r="V259" s="904">
        <f t="shared" si="63"/>
        <v>0</v>
      </c>
      <c r="W259" s="912"/>
      <c r="X259" s="912"/>
      <c r="Y259" s="912">
        <f t="shared" si="52"/>
        <v>0</v>
      </c>
      <c r="Z259" s="912"/>
      <c r="AA259" s="912">
        <f t="shared" si="53"/>
        <v>0</v>
      </c>
    </row>
    <row r="260" spans="1:27" ht="21">
      <c r="A260" s="537"/>
      <c r="B260" s="550"/>
      <c r="C260" s="549"/>
      <c r="D260" s="544"/>
      <c r="E260" s="912"/>
      <c r="F260" s="912"/>
      <c r="G260" s="912"/>
      <c r="H260" s="912"/>
      <c r="I260" s="912"/>
      <c r="J260" s="912"/>
      <c r="K260" s="912"/>
      <c r="L260" s="912"/>
      <c r="M260" s="912"/>
      <c r="N260" s="912"/>
      <c r="O260" s="912"/>
      <c r="P260" s="912"/>
      <c r="Q260" s="912"/>
      <c r="R260" s="912"/>
      <c r="S260" s="941"/>
      <c r="T260" s="941"/>
      <c r="U260" s="942"/>
      <c r="V260" s="904">
        <f t="shared" si="63"/>
        <v>0</v>
      </c>
      <c r="W260" s="912"/>
      <c r="X260" s="912"/>
      <c r="Y260" s="912">
        <f t="shared" si="52"/>
        <v>0</v>
      </c>
      <c r="Z260" s="912"/>
      <c r="AA260" s="912">
        <f t="shared" si="53"/>
        <v>0</v>
      </c>
    </row>
    <row r="261" spans="1:27" ht="21">
      <c r="A261" s="537"/>
      <c r="B261" s="538"/>
      <c r="C261" s="539"/>
      <c r="D261" s="544"/>
      <c r="E261" s="912"/>
      <c r="F261" s="912"/>
      <c r="G261" s="912"/>
      <c r="H261" s="912"/>
      <c r="I261" s="912"/>
      <c r="J261" s="912"/>
      <c r="K261" s="912"/>
      <c r="L261" s="912"/>
      <c r="M261" s="912"/>
      <c r="N261" s="912"/>
      <c r="O261" s="912"/>
      <c r="P261" s="912"/>
      <c r="Q261" s="912"/>
      <c r="R261" s="912"/>
      <c r="S261" s="941"/>
      <c r="T261" s="941"/>
      <c r="U261" s="942"/>
      <c r="V261" s="904">
        <f t="shared" si="63"/>
        <v>0</v>
      </c>
      <c r="W261" s="912"/>
      <c r="X261" s="912"/>
      <c r="Y261" s="912">
        <f t="shared" si="52"/>
        <v>0</v>
      </c>
      <c r="Z261" s="912"/>
      <c r="AA261" s="912">
        <f t="shared" si="53"/>
        <v>0</v>
      </c>
    </row>
    <row r="262" spans="1:27" ht="21.75" thickBot="1">
      <c r="A262" s="537"/>
      <c r="B262" s="550"/>
      <c r="C262" s="549"/>
      <c r="D262" s="544"/>
      <c r="E262" s="912"/>
      <c r="F262" s="912"/>
      <c r="G262" s="912"/>
      <c r="H262" s="912"/>
      <c r="I262" s="912"/>
      <c r="J262" s="912"/>
      <c r="K262" s="912"/>
      <c r="L262" s="912"/>
      <c r="M262" s="912"/>
      <c r="N262" s="912"/>
      <c r="O262" s="912"/>
      <c r="P262" s="912"/>
      <c r="Q262" s="912"/>
      <c r="R262" s="912"/>
      <c r="S262" s="941"/>
      <c r="T262" s="941"/>
      <c r="U262" s="976"/>
      <c r="V262" s="904">
        <f t="shared" si="63"/>
        <v>0</v>
      </c>
      <c r="W262" s="912"/>
      <c r="X262" s="912"/>
      <c r="Y262" s="912">
        <f t="shared" si="52"/>
        <v>0</v>
      </c>
      <c r="Z262" s="912"/>
      <c r="AA262" s="912">
        <f t="shared" si="53"/>
        <v>0</v>
      </c>
    </row>
    <row r="263" spans="1:27" ht="21.75" thickBot="1">
      <c r="A263" s="551"/>
      <c r="B263" s="552"/>
      <c r="C263" s="553"/>
      <c r="D263" s="544"/>
      <c r="E263" s="912"/>
      <c r="F263" s="912"/>
      <c r="G263" s="912"/>
      <c r="H263" s="912"/>
      <c r="I263" s="912"/>
      <c r="J263" s="912"/>
      <c r="K263" s="912"/>
      <c r="L263" s="912"/>
      <c r="M263" s="912"/>
      <c r="N263" s="912"/>
      <c r="O263" s="912"/>
      <c r="P263" s="912"/>
      <c r="Q263" s="912"/>
      <c r="R263" s="912"/>
      <c r="S263" s="941"/>
      <c r="T263" s="941"/>
      <c r="U263" s="976"/>
      <c r="V263" s="904">
        <f t="shared" si="63"/>
        <v>0</v>
      </c>
      <c r="W263" s="912"/>
      <c r="X263" s="912"/>
      <c r="Y263" s="912">
        <f t="shared" si="52"/>
        <v>0</v>
      </c>
      <c r="Z263" s="912"/>
      <c r="AA263" s="912">
        <f t="shared" si="53"/>
        <v>0</v>
      </c>
    </row>
    <row r="264" spans="1:27" ht="21.75" thickBot="1">
      <c r="A264" s="537"/>
      <c r="B264" s="550"/>
      <c r="C264" s="549"/>
      <c r="D264" s="544"/>
      <c r="E264" s="912"/>
      <c r="F264" s="912"/>
      <c r="G264" s="912"/>
      <c r="H264" s="912"/>
      <c r="I264" s="912"/>
      <c r="J264" s="912"/>
      <c r="K264" s="912"/>
      <c r="L264" s="912"/>
      <c r="M264" s="912"/>
      <c r="N264" s="912"/>
      <c r="O264" s="912"/>
      <c r="P264" s="912"/>
      <c r="Q264" s="912"/>
      <c r="R264" s="912"/>
      <c r="S264" s="941"/>
      <c r="T264" s="941"/>
      <c r="U264" s="976"/>
      <c r="V264" s="904">
        <f t="shared" si="63"/>
        <v>0</v>
      </c>
      <c r="W264" s="912"/>
      <c r="X264" s="912"/>
      <c r="Y264" s="912">
        <f t="shared" si="52"/>
        <v>0</v>
      </c>
      <c r="Z264" s="912"/>
      <c r="AA264" s="912">
        <f t="shared" si="53"/>
        <v>0</v>
      </c>
    </row>
    <row r="265" spans="1:27" ht="21.75" thickBot="1">
      <c r="A265" s="537"/>
      <c r="B265" s="550"/>
      <c r="C265" s="549"/>
      <c r="D265" s="544"/>
      <c r="E265" s="912"/>
      <c r="F265" s="912"/>
      <c r="G265" s="912"/>
      <c r="H265" s="912"/>
      <c r="I265" s="912"/>
      <c r="J265" s="912"/>
      <c r="K265" s="912"/>
      <c r="L265" s="912"/>
      <c r="M265" s="912"/>
      <c r="N265" s="912"/>
      <c r="O265" s="912"/>
      <c r="P265" s="912"/>
      <c r="Q265" s="912"/>
      <c r="R265" s="912"/>
      <c r="S265" s="941"/>
      <c r="T265" s="941"/>
      <c r="U265" s="976"/>
      <c r="V265" s="904">
        <f t="shared" si="63"/>
        <v>0</v>
      </c>
      <c r="W265" s="912"/>
      <c r="X265" s="912"/>
      <c r="Y265" s="912">
        <f t="shared" si="52"/>
        <v>0</v>
      </c>
      <c r="Z265" s="912"/>
      <c r="AA265" s="912">
        <f t="shared" si="53"/>
        <v>0</v>
      </c>
    </row>
    <row r="266" spans="1:27" ht="21.75" thickBot="1">
      <c r="A266" s="551"/>
      <c r="B266" s="552"/>
      <c r="C266" s="553"/>
      <c r="D266" s="544"/>
      <c r="E266" s="912"/>
      <c r="F266" s="912"/>
      <c r="G266" s="912"/>
      <c r="H266" s="912"/>
      <c r="I266" s="912"/>
      <c r="J266" s="912"/>
      <c r="K266" s="912"/>
      <c r="L266" s="912"/>
      <c r="M266" s="912"/>
      <c r="N266" s="912"/>
      <c r="O266" s="912"/>
      <c r="P266" s="912"/>
      <c r="Q266" s="912"/>
      <c r="R266" s="912"/>
      <c r="S266" s="941"/>
      <c r="T266" s="941"/>
      <c r="U266" s="976"/>
      <c r="V266" s="904">
        <f t="shared" si="63"/>
        <v>0</v>
      </c>
      <c r="W266" s="912"/>
      <c r="X266" s="912"/>
      <c r="Y266" s="912">
        <f t="shared" si="52"/>
        <v>0</v>
      </c>
      <c r="Z266" s="912"/>
      <c r="AA266" s="912">
        <f t="shared" si="53"/>
        <v>0</v>
      </c>
    </row>
    <row r="267" spans="1:27" ht="21.75" thickBot="1">
      <c r="A267" s="551"/>
      <c r="B267" s="552"/>
      <c r="C267" s="553"/>
      <c r="D267" s="544"/>
      <c r="E267" s="912"/>
      <c r="F267" s="912"/>
      <c r="G267" s="912"/>
      <c r="H267" s="912"/>
      <c r="I267" s="912"/>
      <c r="J267" s="912"/>
      <c r="K267" s="912"/>
      <c r="L267" s="912"/>
      <c r="M267" s="912"/>
      <c r="N267" s="912"/>
      <c r="O267" s="912"/>
      <c r="P267" s="912"/>
      <c r="Q267" s="912"/>
      <c r="R267" s="912"/>
      <c r="S267" s="941"/>
      <c r="T267" s="941"/>
      <c r="U267" s="976"/>
      <c r="V267" s="904">
        <f t="shared" si="63"/>
        <v>0</v>
      </c>
      <c r="W267" s="912"/>
      <c r="X267" s="912"/>
      <c r="Y267" s="912">
        <f t="shared" si="52"/>
        <v>0</v>
      </c>
      <c r="Z267" s="912"/>
      <c r="AA267" s="912">
        <f t="shared" si="53"/>
        <v>0</v>
      </c>
    </row>
    <row r="268" spans="1:27" ht="21.75" thickBot="1">
      <c r="A268" s="537"/>
      <c r="B268" s="550"/>
      <c r="C268" s="549"/>
      <c r="D268" s="544"/>
      <c r="E268" s="912"/>
      <c r="F268" s="912"/>
      <c r="G268" s="912"/>
      <c r="H268" s="912"/>
      <c r="I268" s="912"/>
      <c r="J268" s="912"/>
      <c r="K268" s="912"/>
      <c r="L268" s="912"/>
      <c r="M268" s="912"/>
      <c r="N268" s="912"/>
      <c r="O268" s="912"/>
      <c r="P268" s="912"/>
      <c r="Q268" s="912"/>
      <c r="R268" s="912"/>
      <c r="S268" s="941"/>
      <c r="T268" s="941"/>
      <c r="U268" s="976"/>
      <c r="V268" s="904">
        <f t="shared" si="63"/>
        <v>0</v>
      </c>
      <c r="W268" s="912"/>
      <c r="X268" s="912"/>
      <c r="Y268" s="912">
        <f t="shared" si="52"/>
        <v>0</v>
      </c>
      <c r="Z268" s="912"/>
      <c r="AA268" s="912">
        <f t="shared" si="53"/>
        <v>0</v>
      </c>
    </row>
    <row r="269" spans="1:27" ht="21.75" thickBot="1">
      <c r="A269" s="537"/>
      <c r="B269" s="550"/>
      <c r="C269" s="549"/>
      <c r="D269" s="544"/>
      <c r="E269" s="912"/>
      <c r="F269" s="912"/>
      <c r="G269" s="912"/>
      <c r="H269" s="912"/>
      <c r="I269" s="912"/>
      <c r="J269" s="912"/>
      <c r="K269" s="912"/>
      <c r="L269" s="912"/>
      <c r="M269" s="912"/>
      <c r="N269" s="912"/>
      <c r="O269" s="912"/>
      <c r="P269" s="912"/>
      <c r="Q269" s="912"/>
      <c r="R269" s="912"/>
      <c r="S269" s="941"/>
      <c r="T269" s="941"/>
      <c r="U269" s="976"/>
      <c r="V269" s="904">
        <f t="shared" si="63"/>
        <v>0</v>
      </c>
      <c r="W269" s="912"/>
      <c r="X269" s="912"/>
      <c r="Y269" s="912">
        <f t="shared" si="52"/>
        <v>0</v>
      </c>
      <c r="Z269" s="912"/>
      <c r="AA269" s="912">
        <f t="shared" si="53"/>
        <v>0</v>
      </c>
    </row>
    <row r="270" spans="1:27" ht="21.75" thickBot="1">
      <c r="A270" s="537"/>
      <c r="B270" s="550"/>
      <c r="C270" s="549"/>
      <c r="D270" s="544"/>
      <c r="E270" s="912"/>
      <c r="F270" s="912"/>
      <c r="G270" s="912"/>
      <c r="H270" s="912"/>
      <c r="I270" s="912"/>
      <c r="J270" s="912"/>
      <c r="K270" s="912"/>
      <c r="L270" s="912"/>
      <c r="M270" s="912"/>
      <c r="N270" s="912"/>
      <c r="O270" s="912"/>
      <c r="P270" s="912"/>
      <c r="Q270" s="912"/>
      <c r="R270" s="912"/>
      <c r="S270" s="941"/>
      <c r="T270" s="941"/>
      <c r="U270" s="976"/>
      <c r="V270" s="904">
        <f t="shared" si="63"/>
        <v>0</v>
      </c>
      <c r="W270" s="912"/>
      <c r="X270" s="912"/>
      <c r="Y270" s="912">
        <f t="shared" si="52"/>
        <v>0</v>
      </c>
      <c r="Z270" s="912"/>
      <c r="AA270" s="912">
        <f t="shared" si="53"/>
        <v>0</v>
      </c>
    </row>
    <row r="271" spans="1:27" ht="21.75" thickBot="1">
      <c r="A271" s="537"/>
      <c r="B271" s="550"/>
      <c r="C271" s="549"/>
      <c r="D271" s="544"/>
      <c r="E271" s="912"/>
      <c r="F271" s="912"/>
      <c r="G271" s="912"/>
      <c r="H271" s="912"/>
      <c r="I271" s="912"/>
      <c r="J271" s="912"/>
      <c r="K271" s="912"/>
      <c r="L271" s="912"/>
      <c r="M271" s="912"/>
      <c r="N271" s="912"/>
      <c r="O271" s="912"/>
      <c r="P271" s="912"/>
      <c r="Q271" s="912"/>
      <c r="R271" s="912"/>
      <c r="S271" s="941"/>
      <c r="T271" s="941"/>
      <c r="U271" s="976"/>
      <c r="V271" s="904">
        <f t="shared" si="63"/>
        <v>0</v>
      </c>
      <c r="W271" s="912"/>
      <c r="X271" s="912"/>
      <c r="Y271" s="912">
        <f t="shared" si="52"/>
        <v>0</v>
      </c>
      <c r="Z271" s="912"/>
      <c r="AA271" s="912">
        <f t="shared" si="53"/>
        <v>0</v>
      </c>
    </row>
    <row r="272" spans="1:27" ht="21.75" thickBot="1">
      <c r="A272" s="551"/>
      <c r="B272" s="552"/>
      <c r="C272" s="553"/>
      <c r="D272" s="1030"/>
      <c r="E272" s="912"/>
      <c r="F272" s="912"/>
      <c r="G272" s="912"/>
      <c r="H272" s="912"/>
      <c r="I272" s="912"/>
      <c r="J272" s="912"/>
      <c r="K272" s="912"/>
      <c r="L272" s="912"/>
      <c r="M272" s="912"/>
      <c r="N272" s="912"/>
      <c r="O272" s="912"/>
      <c r="P272" s="912"/>
      <c r="Q272" s="912"/>
      <c r="R272" s="912"/>
      <c r="S272" s="941"/>
      <c r="T272" s="941"/>
      <c r="U272" s="976"/>
      <c r="V272" s="904">
        <f t="shared" si="63"/>
        <v>0</v>
      </c>
      <c r="W272" s="912"/>
      <c r="X272" s="912"/>
      <c r="Y272" s="912">
        <f t="shared" si="52"/>
        <v>0</v>
      </c>
      <c r="Z272" s="912"/>
      <c r="AA272" s="912">
        <f t="shared" si="53"/>
        <v>0</v>
      </c>
    </row>
    <row r="273" spans="1:27" ht="21.75" thickBot="1">
      <c r="A273" s="551"/>
      <c r="B273" s="552"/>
      <c r="C273" s="553"/>
      <c r="D273" s="1030"/>
      <c r="E273" s="912"/>
      <c r="F273" s="912"/>
      <c r="G273" s="912"/>
      <c r="H273" s="912"/>
      <c r="I273" s="912"/>
      <c r="J273" s="912"/>
      <c r="K273" s="912"/>
      <c r="L273" s="912"/>
      <c r="M273" s="912"/>
      <c r="N273" s="912"/>
      <c r="O273" s="912"/>
      <c r="P273" s="912"/>
      <c r="Q273" s="912"/>
      <c r="R273" s="912"/>
      <c r="S273" s="941"/>
      <c r="T273" s="941"/>
      <c r="U273" s="976"/>
      <c r="V273" s="904">
        <f t="shared" si="63"/>
        <v>0</v>
      </c>
      <c r="W273" s="912"/>
      <c r="X273" s="912"/>
      <c r="Y273" s="912">
        <f t="shared" si="52"/>
        <v>0</v>
      </c>
      <c r="Z273" s="912"/>
      <c r="AA273" s="912">
        <f t="shared" si="53"/>
        <v>0</v>
      </c>
    </row>
    <row r="274" spans="1:27" ht="21.75" thickBot="1">
      <c r="A274" s="551"/>
      <c r="B274" s="552"/>
      <c r="C274" s="553"/>
      <c r="D274" s="1030"/>
      <c r="E274" s="912"/>
      <c r="F274" s="912"/>
      <c r="G274" s="912"/>
      <c r="H274" s="912"/>
      <c r="I274" s="912"/>
      <c r="J274" s="912"/>
      <c r="K274" s="912"/>
      <c r="L274" s="912"/>
      <c r="M274" s="912"/>
      <c r="N274" s="912"/>
      <c r="O274" s="912"/>
      <c r="P274" s="912"/>
      <c r="Q274" s="912"/>
      <c r="R274" s="912"/>
      <c r="S274" s="941"/>
      <c r="T274" s="941"/>
      <c r="U274" s="976"/>
      <c r="V274" s="904">
        <f t="shared" si="63"/>
        <v>0</v>
      </c>
      <c r="W274" s="912"/>
      <c r="X274" s="912"/>
      <c r="Y274" s="912">
        <f t="shared" ref="Y274" si="67">V274+W274</f>
        <v>0</v>
      </c>
      <c r="Z274" s="912"/>
      <c r="AA274" s="912">
        <f t="shared" ref="AA274" si="68">Y274+Z274</f>
        <v>0</v>
      </c>
    </row>
    <row r="275" spans="1:27" ht="24" thickBot="1">
      <c r="A275" s="991" t="s">
        <v>151</v>
      </c>
      <c r="B275" s="992"/>
      <c r="C275" s="992"/>
      <c r="D275" s="1031"/>
      <c r="E275" s="993">
        <f t="shared" ref="E275:T275" si="69">SUM(E204:E274)</f>
        <v>0</v>
      </c>
      <c r="F275" s="993">
        <f t="shared" si="69"/>
        <v>0</v>
      </c>
      <c r="G275" s="993">
        <f t="shared" si="69"/>
        <v>12</v>
      </c>
      <c r="H275" s="993">
        <f t="shared" si="69"/>
        <v>24</v>
      </c>
      <c r="I275" s="993">
        <f t="shared" si="69"/>
        <v>0</v>
      </c>
      <c r="J275" s="993">
        <f t="shared" si="69"/>
        <v>48</v>
      </c>
      <c r="K275" s="993">
        <f t="shared" si="69"/>
        <v>0</v>
      </c>
      <c r="L275" s="993">
        <f t="shared" si="69"/>
        <v>24</v>
      </c>
      <c r="M275" s="993">
        <f t="shared" si="69"/>
        <v>1032</v>
      </c>
      <c r="N275" s="993">
        <f t="shared" si="69"/>
        <v>924</v>
      </c>
      <c r="O275" s="993">
        <f t="shared" si="69"/>
        <v>48</v>
      </c>
      <c r="P275" s="993">
        <f t="shared" si="69"/>
        <v>528</v>
      </c>
      <c r="Q275" s="993">
        <f t="shared" si="69"/>
        <v>0</v>
      </c>
      <c r="R275" s="993">
        <f t="shared" si="69"/>
        <v>12</v>
      </c>
      <c r="S275" s="993">
        <f t="shared" si="69"/>
        <v>1392</v>
      </c>
      <c r="T275" s="993">
        <f t="shared" si="69"/>
        <v>0</v>
      </c>
      <c r="U275" s="993"/>
      <c r="V275" s="993">
        <f t="shared" ref="V275:AA275" si="70">SUM(V204:V274)</f>
        <v>4044</v>
      </c>
      <c r="W275" s="993">
        <f t="shared" si="70"/>
        <v>0</v>
      </c>
      <c r="X275" s="993">
        <f t="shared" si="70"/>
        <v>0</v>
      </c>
      <c r="Y275" s="993">
        <f t="shared" si="70"/>
        <v>4044</v>
      </c>
      <c r="Z275" s="993">
        <f t="shared" si="70"/>
        <v>0</v>
      </c>
      <c r="AA275" s="993">
        <f t="shared" si="70"/>
        <v>4044</v>
      </c>
    </row>
    <row r="276" spans="1:27" ht="24" thickBot="1">
      <c r="A276" s="994" t="s">
        <v>146</v>
      </c>
      <c r="B276" s="992"/>
      <c r="C276" s="992"/>
      <c r="D276" s="1032"/>
      <c r="E276" s="993">
        <f>E275/12</f>
        <v>0</v>
      </c>
      <c r="F276" s="14">
        <f>F275/12</f>
        <v>0</v>
      </c>
      <c r="G276" s="14">
        <f t="shared" ref="G276:R276" si="71">G275/12</f>
        <v>1</v>
      </c>
      <c r="H276" s="993">
        <f t="shared" si="71"/>
        <v>2</v>
      </c>
      <c r="I276" s="993">
        <f t="shared" si="71"/>
        <v>0</v>
      </c>
      <c r="J276" s="993">
        <f t="shared" si="71"/>
        <v>4</v>
      </c>
      <c r="K276" s="993">
        <f t="shared" si="71"/>
        <v>0</v>
      </c>
      <c r="L276" s="14">
        <f t="shared" si="71"/>
        <v>2</v>
      </c>
      <c r="M276" s="14">
        <f t="shared" si="71"/>
        <v>86</v>
      </c>
      <c r="N276" s="14">
        <f>N275/12</f>
        <v>77</v>
      </c>
      <c r="O276" s="14">
        <f t="shared" si="71"/>
        <v>4</v>
      </c>
      <c r="P276" s="14">
        <f t="shared" si="71"/>
        <v>44</v>
      </c>
      <c r="Q276" s="14">
        <f t="shared" si="71"/>
        <v>0</v>
      </c>
      <c r="R276" s="14">
        <f t="shared" si="71"/>
        <v>1</v>
      </c>
      <c r="S276" s="1047">
        <f t="shared" ref="S276:T276" si="72">S275/12</f>
        <v>116</v>
      </c>
      <c r="T276" s="1047">
        <f t="shared" si="72"/>
        <v>0</v>
      </c>
      <c r="U276" s="246"/>
      <c r="V276" s="140">
        <f t="shared" ref="V276:AA276" si="73">V275/12</f>
        <v>337</v>
      </c>
      <c r="W276" s="1048">
        <f t="shared" si="73"/>
        <v>0</v>
      </c>
      <c r="X276" s="1049">
        <f t="shared" si="73"/>
        <v>0</v>
      </c>
      <c r="Y276" s="1050">
        <f t="shared" si="73"/>
        <v>337</v>
      </c>
      <c r="Z276" s="1059">
        <f t="shared" si="73"/>
        <v>0</v>
      </c>
      <c r="AA276" s="1050">
        <f t="shared" si="73"/>
        <v>337</v>
      </c>
    </row>
    <row r="277" spans="1:27" ht="24" thickBot="1">
      <c r="A277" s="1033"/>
      <c r="B277" s="1034"/>
      <c r="C277" s="1034"/>
      <c r="D277" s="1035"/>
      <c r="E277" s="1036"/>
      <c r="F277" s="1036"/>
      <c r="G277" s="1036"/>
      <c r="H277" s="1036"/>
      <c r="I277" s="1036"/>
      <c r="J277" s="1036"/>
      <c r="K277" s="1036"/>
      <c r="L277" s="1036"/>
      <c r="M277" s="1036"/>
      <c r="N277" s="1036"/>
      <c r="O277" s="1036"/>
      <c r="P277" s="1036"/>
      <c r="Q277" s="1036"/>
      <c r="R277" s="1036"/>
      <c r="S277" s="1036"/>
      <c r="T277" s="1036"/>
      <c r="U277" s="1036"/>
      <c r="V277" s="1036"/>
      <c r="W277" s="1036"/>
      <c r="X277" s="1036"/>
      <c r="Y277" s="1036"/>
      <c r="Z277" s="1036"/>
      <c r="AA277" s="1036"/>
    </row>
    <row r="278" spans="1:27" ht="24" thickBot="1">
      <c r="A278" s="1037" t="s">
        <v>202</v>
      </c>
      <c r="B278" s="877" t="s">
        <v>68</v>
      </c>
      <c r="C278" s="877" t="s">
        <v>69</v>
      </c>
      <c r="D278" s="878" t="s">
        <v>70</v>
      </c>
      <c r="E278" s="879" t="s">
        <v>71</v>
      </c>
      <c r="F278" s="880" t="s">
        <v>407</v>
      </c>
      <c r="G278" s="880" t="s">
        <v>250</v>
      </c>
      <c r="H278" s="879" t="s">
        <v>193</v>
      </c>
      <c r="I278" s="879" t="s">
        <v>170</v>
      </c>
      <c r="J278" s="879" t="s">
        <v>92</v>
      </c>
      <c r="K278" s="879" t="s">
        <v>194</v>
      </c>
      <c r="L278" s="880" t="s">
        <v>195</v>
      </c>
      <c r="M278" s="880" t="s">
        <v>468</v>
      </c>
      <c r="N278" s="880" t="s">
        <v>94</v>
      </c>
      <c r="O278" s="880" t="s">
        <v>86</v>
      </c>
      <c r="P278" s="880" t="s">
        <v>420</v>
      </c>
      <c r="Q278" s="880" t="s">
        <v>95</v>
      </c>
      <c r="R278" s="49" t="s">
        <v>77</v>
      </c>
      <c r="S278" s="914" t="s">
        <v>53</v>
      </c>
      <c r="T278" s="914" t="s">
        <v>149</v>
      </c>
      <c r="U278" s="915"/>
      <c r="V278" s="916" t="s">
        <v>104</v>
      </c>
      <c r="W278" s="917" t="s">
        <v>105</v>
      </c>
      <c r="X278" s="917"/>
      <c r="Y278" s="918" t="s">
        <v>106</v>
      </c>
      <c r="Z278" s="917" t="s">
        <v>107</v>
      </c>
      <c r="AA278" s="960" t="s">
        <v>108</v>
      </c>
    </row>
    <row r="279" spans="1:27">
      <c r="A279" s="1038"/>
      <c r="B279" s="1039"/>
      <c r="C279" s="1039"/>
      <c r="D279" s="990"/>
      <c r="E279" s="889"/>
      <c r="F279" s="889"/>
      <c r="G279" s="889"/>
      <c r="H279" s="889"/>
      <c r="I279" s="889"/>
      <c r="J279" s="889"/>
      <c r="K279" s="889"/>
      <c r="L279" s="909"/>
      <c r="M279" s="909"/>
      <c r="N279" s="909"/>
      <c r="O279" s="909"/>
      <c r="P279" s="909"/>
      <c r="Q279" s="909"/>
      <c r="R279" s="922"/>
      <c r="S279" s="922"/>
      <c r="T279" s="922"/>
      <c r="U279" s="1006"/>
      <c r="V279" s="1051">
        <f>SUM(E279:T279)</f>
        <v>0</v>
      </c>
      <c r="W279" s="924"/>
      <c r="X279" s="925"/>
      <c r="Y279" s="924">
        <f>V279+W279</f>
        <v>0</v>
      </c>
      <c r="Z279" s="925"/>
      <c r="AA279" s="924">
        <f>Y279+Z279</f>
        <v>0</v>
      </c>
    </row>
    <row r="280" spans="1:27" ht="24" thickBot="1">
      <c r="A280" s="983"/>
      <c r="B280" s="1040"/>
      <c r="C280" s="1040"/>
      <c r="D280" s="984"/>
      <c r="E280" s="893"/>
      <c r="F280" s="893"/>
      <c r="G280" s="893"/>
      <c r="H280" s="893"/>
      <c r="I280" s="893"/>
      <c r="J280" s="893"/>
      <c r="K280" s="893"/>
      <c r="L280" s="910"/>
      <c r="M280" s="910"/>
      <c r="N280" s="910"/>
      <c r="O280" s="910"/>
      <c r="P280" s="910"/>
      <c r="Q280" s="910"/>
      <c r="R280" s="926"/>
      <c r="S280" s="926"/>
      <c r="T280" s="926"/>
      <c r="U280" s="927"/>
      <c r="V280" s="1052">
        <f>SUM(E280:T280)</f>
        <v>0</v>
      </c>
      <c r="W280" s="929"/>
      <c r="X280" s="930"/>
      <c r="Y280" s="929">
        <f t="shared" ref="Y280" si="74">V280+W280</f>
        <v>0</v>
      </c>
      <c r="Z280" s="930"/>
      <c r="AA280" s="929">
        <f t="shared" ref="AA280" si="75">Y280+Z280</f>
        <v>0</v>
      </c>
    </row>
    <row r="281" spans="1:27" ht="24" thickBot="1">
      <c r="A281" s="985" t="s">
        <v>134</v>
      </c>
      <c r="B281" s="895"/>
      <c r="C281" s="895"/>
      <c r="D281" s="896"/>
      <c r="E281" s="897">
        <f>SUM(E279:E280)</f>
        <v>0</v>
      </c>
      <c r="F281" s="897">
        <f>SUM(F279:F280)</f>
        <v>0</v>
      </c>
      <c r="G281" s="897">
        <f t="shared" ref="G281:T281" si="76">SUM(G279:G280)</f>
        <v>0</v>
      </c>
      <c r="H281" s="897">
        <f t="shared" si="76"/>
        <v>0</v>
      </c>
      <c r="I281" s="897">
        <f t="shared" si="76"/>
        <v>0</v>
      </c>
      <c r="J281" s="897">
        <f t="shared" si="76"/>
        <v>0</v>
      </c>
      <c r="K281" s="897">
        <f t="shared" si="76"/>
        <v>0</v>
      </c>
      <c r="L281" s="897">
        <f t="shared" si="76"/>
        <v>0</v>
      </c>
      <c r="M281" s="897">
        <f t="shared" si="76"/>
        <v>0</v>
      </c>
      <c r="N281" s="897">
        <f t="shared" si="76"/>
        <v>0</v>
      </c>
      <c r="O281" s="897">
        <f t="shared" si="76"/>
        <v>0</v>
      </c>
      <c r="P281" s="897">
        <f t="shared" si="76"/>
        <v>0</v>
      </c>
      <c r="Q281" s="897">
        <f t="shared" si="76"/>
        <v>0</v>
      </c>
      <c r="R281" s="897">
        <f t="shared" si="76"/>
        <v>0</v>
      </c>
      <c r="S281" s="935">
        <f t="shared" ref="S281" si="77">SUM(S279:S280)</f>
        <v>0</v>
      </c>
      <c r="T281" s="935">
        <f t="shared" si="76"/>
        <v>0</v>
      </c>
      <c r="U281" s="932"/>
      <c r="V281" s="951">
        <f>SUM(V279:V280)</f>
        <v>0</v>
      </c>
      <c r="W281" s="951">
        <f>SUM(W279:W280)</f>
        <v>0</v>
      </c>
      <c r="X281" s="1053"/>
      <c r="Y281" s="951">
        <f>SUM(Y279:Y280)</f>
        <v>0</v>
      </c>
      <c r="Z281" s="1053">
        <f>SUM(Z279:Z280)</f>
        <v>0</v>
      </c>
      <c r="AA281" s="951">
        <f>SUM(AA279:AA280)</f>
        <v>0</v>
      </c>
    </row>
    <row r="282" spans="1:27" ht="24" thickBot="1">
      <c r="A282" s="1041"/>
      <c r="B282" s="1042"/>
      <c r="C282" s="1042"/>
      <c r="D282" s="1043"/>
      <c r="E282" s="1044"/>
      <c r="F282" s="1044"/>
      <c r="G282" s="1044"/>
      <c r="H282" s="1044"/>
      <c r="I282" s="1044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54"/>
      <c r="V282" s="1054"/>
      <c r="W282" s="1044"/>
      <c r="X282" s="1044"/>
      <c r="Y282" s="1054"/>
      <c r="Z282" s="1044"/>
      <c r="AA282" s="1054"/>
    </row>
    <row r="283" spans="1:27" ht="24" thickBot="1">
      <c r="A283" s="991" t="s">
        <v>203</v>
      </c>
      <c r="B283" s="875"/>
      <c r="C283" s="875"/>
      <c r="D283" s="1045"/>
      <c r="E283" s="993">
        <f t="shared" ref="E283:T283" si="78">E200-E275+E281</f>
        <v>0</v>
      </c>
      <c r="F283" s="14">
        <f t="shared" si="78"/>
        <v>144</v>
      </c>
      <c r="G283" s="14">
        <f t="shared" si="78"/>
        <v>-12</v>
      </c>
      <c r="H283" s="993">
        <f t="shared" si="78"/>
        <v>180</v>
      </c>
      <c r="I283" s="993">
        <f t="shared" si="78"/>
        <v>0</v>
      </c>
      <c r="J283" s="993">
        <f t="shared" si="78"/>
        <v>12</v>
      </c>
      <c r="K283" s="993">
        <f t="shared" si="78"/>
        <v>276</v>
      </c>
      <c r="L283" s="14">
        <f t="shared" si="78"/>
        <v>0</v>
      </c>
      <c r="M283" s="14">
        <f t="shared" si="78"/>
        <v>180</v>
      </c>
      <c r="N283" s="14">
        <f t="shared" si="78"/>
        <v>-48</v>
      </c>
      <c r="O283" s="14">
        <f t="shared" si="78"/>
        <v>168</v>
      </c>
      <c r="P283" s="14">
        <f t="shared" si="78"/>
        <v>-12</v>
      </c>
      <c r="Q283" s="14">
        <f t="shared" si="78"/>
        <v>0</v>
      </c>
      <c r="R283" s="14">
        <f t="shared" si="78"/>
        <v>0</v>
      </c>
      <c r="S283" s="1047">
        <f t="shared" si="78"/>
        <v>12</v>
      </c>
      <c r="T283" s="1047">
        <f t="shared" si="78"/>
        <v>0</v>
      </c>
      <c r="U283" s="1055"/>
      <c r="V283" s="1056">
        <f>V200-V275+V281</f>
        <v>900</v>
      </c>
      <c r="W283" s="3853">
        <f>W200-W275-X275+W281</f>
        <v>25</v>
      </c>
      <c r="X283" s="3854"/>
      <c r="Y283" s="1057">
        <f>Y200-Y275+Y281</f>
        <v>925</v>
      </c>
      <c r="Z283" s="1057">
        <f>Z200-Z275+Z281</f>
        <v>44</v>
      </c>
      <c r="AA283" s="1060">
        <f>AA200-AA275+AA281</f>
        <v>969</v>
      </c>
    </row>
    <row r="284" spans="1:27" ht="24" thickBot="1">
      <c r="A284" s="994" t="s">
        <v>146</v>
      </c>
      <c r="B284" s="875"/>
      <c r="C284" s="875"/>
      <c r="D284" s="1046"/>
      <c r="E284" s="995">
        <f>E283/12</f>
        <v>0</v>
      </c>
      <c r="F284" s="996">
        <f t="shared" ref="F284:T284" si="79">F283/12</f>
        <v>12</v>
      </c>
      <c r="G284" s="996">
        <f t="shared" si="79"/>
        <v>-1</v>
      </c>
      <c r="H284" s="995">
        <f t="shared" si="79"/>
        <v>15</v>
      </c>
      <c r="I284" s="995">
        <f t="shared" si="79"/>
        <v>0</v>
      </c>
      <c r="J284" s="995">
        <f t="shared" si="79"/>
        <v>1</v>
      </c>
      <c r="K284" s="995">
        <f t="shared" si="79"/>
        <v>23</v>
      </c>
      <c r="L284" s="996">
        <f t="shared" si="79"/>
        <v>0</v>
      </c>
      <c r="M284" s="996">
        <f t="shared" si="79"/>
        <v>15</v>
      </c>
      <c r="N284" s="996">
        <f>N283/12</f>
        <v>-4</v>
      </c>
      <c r="O284" s="996">
        <f t="shared" si="79"/>
        <v>14</v>
      </c>
      <c r="P284" s="996">
        <f t="shared" si="79"/>
        <v>-1</v>
      </c>
      <c r="Q284" s="996">
        <f t="shared" si="79"/>
        <v>0</v>
      </c>
      <c r="R284" s="996">
        <f t="shared" si="79"/>
        <v>0</v>
      </c>
      <c r="S284" s="1010">
        <f t="shared" ref="S284" si="80">S283/12</f>
        <v>1</v>
      </c>
      <c r="T284" s="1010">
        <f t="shared" si="79"/>
        <v>0</v>
      </c>
      <c r="U284" s="246"/>
      <c r="V284" s="993">
        <f>SUM(E284:T284)</f>
        <v>75</v>
      </c>
      <c r="W284" s="3855">
        <f>W283/12</f>
        <v>2.0833333333333335</v>
      </c>
      <c r="X284" s="3856"/>
      <c r="Y284" s="1058">
        <f>Y283/12</f>
        <v>77.083333333333329</v>
      </c>
      <c r="Z284" s="1058">
        <f>Z283/12</f>
        <v>3.6666666666666665</v>
      </c>
      <c r="AA284" s="1061">
        <f>AA283/12</f>
        <v>80.75</v>
      </c>
    </row>
    <row r="285" spans="1:27" ht="24" thickBot="1">
      <c r="A285" s="994" t="s">
        <v>156</v>
      </c>
      <c r="B285" s="875"/>
      <c r="C285" s="875"/>
      <c r="D285" s="1046"/>
      <c r="E285" s="3837">
        <f>SUM(E284:T284)</f>
        <v>75</v>
      </c>
      <c r="F285" s="3838"/>
      <c r="G285" s="3838"/>
      <c r="H285" s="3838"/>
      <c r="I285" s="3838"/>
      <c r="J285" s="3838"/>
      <c r="K285" s="3838"/>
      <c r="L285" s="3838"/>
      <c r="M285" s="3838"/>
      <c r="N285" s="3838"/>
      <c r="O285" s="3838"/>
      <c r="P285" s="3838"/>
      <c r="Q285" s="3838"/>
      <c r="R285" s="3838"/>
      <c r="S285" s="3838"/>
      <c r="T285" s="3839"/>
      <c r="U285" s="6"/>
      <c r="V285" s="3837">
        <f>SUM(V284:AA284)</f>
        <v>238.58333333333331</v>
      </c>
      <c r="W285" s="3838"/>
      <c r="X285" s="3838"/>
      <c r="Y285" s="3838"/>
      <c r="Z285" s="3838"/>
      <c r="AA285" s="3839"/>
    </row>
    <row r="286" spans="1:27" ht="21.75" thickBot="1">
      <c r="A286" s="3840" t="s">
        <v>157</v>
      </c>
      <c r="B286" s="3841"/>
      <c r="C286" s="3841"/>
      <c r="D286" s="3841"/>
      <c r="E286" s="3842">
        <f>SUM(E283:T283)</f>
        <v>900</v>
      </c>
      <c r="F286" s="3843"/>
      <c r="G286" s="3843"/>
      <c r="H286" s="3843"/>
      <c r="I286" s="3843"/>
      <c r="J286" s="3843"/>
      <c r="K286" s="3843"/>
      <c r="L286" s="3843"/>
      <c r="M286" s="3843"/>
      <c r="N286" s="3843"/>
      <c r="O286" s="3843"/>
      <c r="P286" s="3843"/>
      <c r="Q286" s="3843"/>
      <c r="R286" s="3843"/>
      <c r="S286" s="3843"/>
      <c r="T286" s="3844"/>
      <c r="U286" s="174"/>
      <c r="V286" s="3845">
        <f>SUM(V283:AA283)</f>
        <v>2863</v>
      </c>
      <c r="W286" s="3846"/>
      <c r="X286" s="3846"/>
      <c r="Y286" s="3846"/>
      <c r="Z286" s="3846"/>
      <c r="AA286" s="3847"/>
    </row>
    <row r="288" spans="1:27" ht="24" thickBot="1"/>
    <row r="289" spans="5:27" ht="27.75" thickBot="1">
      <c r="E289" s="3826"/>
      <c r="F289" s="3826"/>
      <c r="G289" s="3826"/>
      <c r="H289" s="3826"/>
      <c r="I289" s="3826"/>
      <c r="J289" s="3826"/>
      <c r="K289" s="3826"/>
      <c r="L289" s="3826"/>
      <c r="M289" s="3826"/>
      <c r="N289" s="3826"/>
      <c r="O289" s="3826"/>
      <c r="P289" s="3819" t="s">
        <v>158</v>
      </c>
      <c r="Q289" s="3820"/>
      <c r="R289" s="3820"/>
      <c r="S289" s="3820"/>
      <c r="T289" s="3820"/>
      <c r="U289" s="3821"/>
      <c r="V289" s="3832">
        <f>'BIG CHAIR'!CI325</f>
        <v>0</v>
      </c>
      <c r="W289" s="3833"/>
      <c r="X289" s="873"/>
      <c r="Y289" s="1"/>
      <c r="Z289" s="1"/>
      <c r="AA289" s="1"/>
    </row>
    <row r="290" spans="5:27" ht="27.75" thickBot="1">
      <c r="E290" s="3826"/>
      <c r="F290" s="3826"/>
      <c r="G290" s="3826"/>
      <c r="H290" s="3826"/>
      <c r="I290" s="3826"/>
      <c r="J290" s="3826"/>
      <c r="K290" s="3826"/>
      <c r="L290" s="3826"/>
      <c r="M290" s="3826"/>
      <c r="N290" s="3826"/>
      <c r="O290" s="3826"/>
      <c r="P290" s="3834" t="s">
        <v>159</v>
      </c>
      <c r="Q290" s="3835"/>
      <c r="R290" s="3835"/>
      <c r="S290" s="3835"/>
      <c r="T290" s="3835"/>
      <c r="U290" s="3836"/>
      <c r="V290" s="3822">
        <f>'Jordan Chair'!AE250</f>
        <v>2412</v>
      </c>
      <c r="W290" s="3823"/>
      <c r="X290" s="873"/>
    </row>
    <row r="291" spans="5:27" ht="27.75" thickBot="1">
      <c r="E291" s="3826"/>
      <c r="F291" s="3826"/>
      <c r="G291" s="3826"/>
      <c r="H291" s="3826"/>
      <c r="I291" s="3826"/>
      <c r="J291" s="3826"/>
      <c r="K291" s="3826"/>
      <c r="L291" s="3826"/>
      <c r="M291" s="3826"/>
      <c r="N291" s="3826"/>
      <c r="O291" s="3826"/>
      <c r="P291" s="3819" t="s">
        <v>160</v>
      </c>
      <c r="Q291" s="3820"/>
      <c r="R291" s="3820"/>
      <c r="S291" s="3820"/>
      <c r="T291" s="3820"/>
      <c r="U291" s="3821"/>
      <c r="V291" s="3827">
        <f>'BIG CHAIR'!CJ325</f>
        <v>0</v>
      </c>
      <c r="W291" s="3828"/>
      <c r="X291" s="873"/>
    </row>
    <row r="292" spans="5:27" ht="27.75" thickBot="1">
      <c r="E292" s="3826"/>
      <c r="F292" s="3826"/>
      <c r="G292" s="3826"/>
      <c r="H292" s="3826"/>
      <c r="I292" s="3826"/>
      <c r="J292" s="3826"/>
      <c r="K292" s="3826"/>
      <c r="L292" s="3826"/>
      <c r="M292" s="3826"/>
      <c r="N292" s="3826"/>
      <c r="O292" s="3826"/>
      <c r="P292" s="3819" t="s">
        <v>161</v>
      </c>
      <c r="Q292" s="3820"/>
      <c r="R292" s="3820"/>
      <c r="S292" s="3820"/>
      <c r="T292" s="3820"/>
      <c r="U292" s="3821"/>
      <c r="V292" s="3822">
        <f>'Jordan Chair'!AF250</f>
        <v>3</v>
      </c>
      <c r="W292" s="3823"/>
      <c r="X292" s="873"/>
    </row>
    <row r="293" spans="5:27" ht="27.75" thickBot="1">
      <c r="E293" s="3826"/>
      <c r="F293" s="3826"/>
      <c r="G293" s="3826"/>
      <c r="H293" s="3826"/>
      <c r="I293" s="3826"/>
      <c r="J293" s="3826"/>
      <c r="K293" s="3826"/>
      <c r="L293" s="3826"/>
      <c r="M293" s="3826"/>
      <c r="N293" s="3826"/>
      <c r="O293" s="3826"/>
      <c r="P293" s="3819" t="s">
        <v>162</v>
      </c>
      <c r="Q293" s="3820"/>
      <c r="R293" s="3820"/>
      <c r="S293" s="3820"/>
      <c r="T293" s="3820"/>
      <c r="U293" s="3821"/>
      <c r="V293" s="3827">
        <f>V283</f>
        <v>900</v>
      </c>
      <c r="W293" s="3828"/>
      <c r="X293" s="873"/>
    </row>
    <row r="294" spans="5:27" ht="27.75" thickBot="1">
      <c r="E294" s="3826"/>
      <c r="F294" s="3826"/>
      <c r="G294" s="3826"/>
      <c r="H294" s="3826"/>
      <c r="I294" s="3826"/>
      <c r="J294" s="3826"/>
      <c r="K294" s="3826"/>
      <c r="L294" s="3826"/>
      <c r="M294" s="3826"/>
      <c r="N294" s="3826"/>
      <c r="O294" s="3826"/>
      <c r="P294" s="3829" t="s">
        <v>163</v>
      </c>
      <c r="Q294" s="3830"/>
      <c r="R294" s="3830"/>
      <c r="S294" s="3830"/>
      <c r="T294" s="3830"/>
      <c r="U294" s="3831"/>
      <c r="V294" s="3822">
        <f>W283</f>
        <v>25</v>
      </c>
      <c r="W294" s="3823"/>
      <c r="X294" s="873"/>
    </row>
    <row r="295" spans="5:27" ht="26.25" thickTop="1" thickBot="1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814"/>
      <c r="Q295" s="3815"/>
      <c r="R295" s="3815"/>
      <c r="S295" s="3815"/>
      <c r="T295" s="3815"/>
      <c r="U295" s="3816"/>
      <c r="V295" s="3817"/>
      <c r="W295" s="3818"/>
      <c r="X295" s="1062"/>
    </row>
    <row r="296" spans="5:27" ht="25.5" thickBot="1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819" t="s">
        <v>164</v>
      </c>
      <c r="Q296" s="3820"/>
      <c r="R296" s="3820"/>
      <c r="S296" s="3820"/>
      <c r="T296" s="3820"/>
      <c r="U296" s="3821"/>
      <c r="V296" s="3822">
        <f>SUM(V289:W294)</f>
        <v>3340</v>
      </c>
      <c r="W296" s="3823"/>
      <c r="X296" s="873"/>
    </row>
    <row r="297" spans="5:27" ht="25.5" thickBot="1">
      <c r="P297" s="3819" t="s">
        <v>165</v>
      </c>
      <c r="Q297" s="3820"/>
      <c r="R297" s="3820"/>
      <c r="S297" s="3820"/>
      <c r="T297" s="3820"/>
      <c r="U297" s="3821"/>
      <c r="V297" s="3824">
        <f>V284+'BIG CHAIR'!CI326+'Jordan Chair'!AE251</f>
        <v>276</v>
      </c>
      <c r="W297" s="3825"/>
      <c r="X297" s="873"/>
    </row>
  </sheetData>
  <mergeCells count="34">
    <mergeCell ref="Q1:R1"/>
    <mergeCell ref="E2:T2"/>
    <mergeCell ref="A202:AA202"/>
    <mergeCell ref="W283:X283"/>
    <mergeCell ref="W284:X284"/>
    <mergeCell ref="E285:T285"/>
    <mergeCell ref="V285:AA285"/>
    <mergeCell ref="A286:D286"/>
    <mergeCell ref="E286:T286"/>
    <mergeCell ref="V286:AA286"/>
    <mergeCell ref="E289:O289"/>
    <mergeCell ref="P289:U289"/>
    <mergeCell ref="V289:W289"/>
    <mergeCell ref="E290:O290"/>
    <mergeCell ref="P290:U290"/>
    <mergeCell ref="V290:W290"/>
    <mergeCell ref="E291:O291"/>
    <mergeCell ref="P291:U291"/>
    <mergeCell ref="V291:W291"/>
    <mergeCell ref="E292:O292"/>
    <mergeCell ref="P292:U292"/>
    <mergeCell ref="V292:W292"/>
    <mergeCell ref="E293:O293"/>
    <mergeCell ref="P293:U293"/>
    <mergeCell ref="V293:W293"/>
    <mergeCell ref="E294:O294"/>
    <mergeCell ref="P294:U294"/>
    <mergeCell ref="V294:W294"/>
    <mergeCell ref="P295:U295"/>
    <mergeCell ref="V295:W295"/>
    <mergeCell ref="P296:U296"/>
    <mergeCell ref="V296:W296"/>
    <mergeCell ref="P297:U297"/>
    <mergeCell ref="V297:W297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74"/>
  <sheetViews>
    <sheetView topLeftCell="A170" zoomScale="98" zoomScaleNormal="98" workbookViewId="0">
      <selection activeCell="A186" sqref="A186"/>
    </sheetView>
  </sheetViews>
  <sheetFormatPr defaultColWidth="9" defaultRowHeight="15"/>
  <cols>
    <col min="1" max="1" width="55.42578125" customWidth="1"/>
    <col min="2" max="2" width="16.5703125" style="276" customWidth="1"/>
    <col min="3" max="3" width="7.7109375" style="276" bestFit="1" customWidth="1"/>
    <col min="4" max="4" width="20.85546875" customWidth="1"/>
    <col min="5" max="8" width="11.5703125" customWidth="1"/>
    <col min="9" max="9" width="9.7109375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9" width="11.5703125" customWidth="1"/>
    <col min="20" max="20" width="14.7109375" customWidth="1"/>
    <col min="21" max="21" width="1.5703125" customWidth="1"/>
    <col min="22" max="22" width="15.7109375" customWidth="1"/>
    <col min="23" max="23" width="11.5703125" customWidth="1"/>
    <col min="24" max="24" width="12.85546875" customWidth="1"/>
    <col min="25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210</v>
      </c>
      <c r="F2" s="3892"/>
      <c r="G2" s="3892"/>
      <c r="H2" s="3892"/>
      <c r="I2" s="3892"/>
      <c r="J2" s="3892"/>
      <c r="K2" s="3904"/>
      <c r="L2" s="336"/>
      <c r="M2" s="3893" t="s">
        <v>211</v>
      </c>
      <c r="N2" s="3894"/>
      <c r="O2" s="3894"/>
      <c r="P2" s="3894"/>
      <c r="Q2" s="3894"/>
      <c r="R2" s="3894"/>
      <c r="S2" s="3894"/>
      <c r="T2" s="3895"/>
      <c r="U2" s="364"/>
      <c r="V2" s="3893"/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87</v>
      </c>
      <c r="F3" s="49" t="s">
        <v>85</v>
      </c>
      <c r="G3" s="49" t="s">
        <v>86</v>
      </c>
      <c r="H3" s="49" t="s">
        <v>92</v>
      </c>
      <c r="I3" s="49" t="s">
        <v>213</v>
      </c>
      <c r="J3" s="49" t="s">
        <v>97</v>
      </c>
      <c r="K3" s="126" t="s">
        <v>407</v>
      </c>
      <c r="L3" s="79"/>
      <c r="M3" s="80" t="s">
        <v>214</v>
      </c>
      <c r="N3" s="49" t="s">
        <v>53</v>
      </c>
      <c r="O3" s="49" t="s">
        <v>94</v>
      </c>
      <c r="P3" s="49" t="s">
        <v>76</v>
      </c>
      <c r="Q3" s="49" t="s">
        <v>95</v>
      </c>
      <c r="R3" s="49" t="s">
        <v>73</v>
      </c>
      <c r="S3" s="860" t="s">
        <v>486</v>
      </c>
      <c r="T3" s="171" t="s">
        <v>523</v>
      </c>
      <c r="U3" s="79"/>
      <c r="V3" s="99" t="s">
        <v>526</v>
      </c>
      <c r="W3" s="716"/>
      <c r="X3" s="104"/>
      <c r="Y3" s="103"/>
      <c r="Z3" s="104"/>
      <c r="AA3" s="104"/>
      <c r="AB3" s="121"/>
      <c r="AC3" s="717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>
        <f>115*20</f>
        <v>2300</v>
      </c>
      <c r="F4" s="293">
        <f>9*20</f>
        <v>180</v>
      </c>
      <c r="G4" s="293">
        <f>46*20</f>
        <v>920</v>
      </c>
      <c r="H4" s="293">
        <f>48*20</f>
        <v>960</v>
      </c>
      <c r="I4" s="337"/>
      <c r="J4" s="337"/>
      <c r="K4" s="338">
        <f>28*20</f>
        <v>560</v>
      </c>
      <c r="L4" s="339"/>
      <c r="M4" s="340">
        <f>25*20</f>
        <v>500</v>
      </c>
      <c r="N4" s="293">
        <f>192*20</f>
        <v>3840</v>
      </c>
      <c r="O4" s="337">
        <f>183*20</f>
        <v>3660</v>
      </c>
      <c r="P4" s="337"/>
      <c r="Q4" s="337"/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12920</v>
      </c>
      <c r="AF4" s="374"/>
      <c r="AG4" s="373"/>
      <c r="AH4" s="387">
        <f>AF4+AE4</f>
        <v>12920</v>
      </c>
      <c r="AI4" s="388"/>
      <c r="AJ4" s="389">
        <f>AH4+AI4</f>
        <v>12920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11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19" si="1">AE6+AF6</f>
        <v>0</v>
      </c>
      <c r="AI6" s="392"/>
      <c r="AJ6" s="393">
        <f t="shared" ref="AJ6:AJ7" si="2">AH6+AI6</f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ref="AJ8:AJ13" si="3">AH8+AI8</f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3"/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3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ref="AE12:AE19" si="4">SUM(E12:AC12)</f>
        <v>0</v>
      </c>
      <c r="AF12" s="377"/>
      <c r="AG12" s="390"/>
      <c r="AH12" s="391">
        <f t="shared" si="1"/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4"/>
        <v>0</v>
      </c>
      <c r="AF13" s="377"/>
      <c r="AG13" s="390"/>
      <c r="AH13" s="391">
        <f t="shared" si="1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ref="AE14" si="5">SUM(E14:AC14)</f>
        <v>0</v>
      </c>
      <c r="AF14" s="377"/>
      <c r="AG14" s="390"/>
      <c r="AH14" s="391">
        <f t="shared" si="1"/>
        <v>0</v>
      </c>
      <c r="AI14" s="392"/>
      <c r="AJ14" s="393">
        <f t="shared" ref="AJ14:AJ19" si="6">AH14+AI14</f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4"/>
        <v>0</v>
      </c>
      <c r="AF15" s="377"/>
      <c r="AG15" s="390"/>
      <c r="AH15" s="391">
        <f t="shared" si="1"/>
        <v>0</v>
      </c>
      <c r="AI15" s="392"/>
      <c r="AJ15" s="393">
        <f t="shared" si="6"/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4"/>
        <v>0</v>
      </c>
      <c r="AF16" s="377"/>
      <c r="AG16" s="390"/>
      <c r="AH16" s="391">
        <f t="shared" si="1"/>
        <v>0</v>
      </c>
      <c r="AI16" s="392"/>
      <c r="AJ16" s="393">
        <f t="shared" si="6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4"/>
        <v>0</v>
      </c>
      <c r="AF17" s="377"/>
      <c r="AG17" s="390"/>
      <c r="AH17" s="391">
        <f t="shared" si="1"/>
        <v>0</v>
      </c>
      <c r="AI17" s="392"/>
      <c r="AJ17" s="393">
        <f t="shared" si="6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4"/>
        <v>0</v>
      </c>
      <c r="AF18" s="377"/>
      <c r="AG18" s="390"/>
      <c r="AH18" s="391">
        <f t="shared" si="1"/>
        <v>0</v>
      </c>
      <c r="AI18" s="392"/>
      <c r="AJ18" s="393">
        <f t="shared" si="6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4"/>
        <v>0</v>
      </c>
      <c r="AF19" s="377"/>
      <c r="AG19" s="390"/>
      <c r="AH19" s="391">
        <f t="shared" si="1"/>
        <v>0</v>
      </c>
      <c r="AI19" s="392"/>
      <c r="AJ19" s="393">
        <f t="shared" si="6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ref="AE20:AE21" si="7">SUM(E20:AC20)</f>
        <v>0</v>
      </c>
      <c r="AF20" s="377"/>
      <c r="AG20" s="390"/>
      <c r="AH20" s="391">
        <f t="shared" ref="AH20:AH21" si="8">AE20+AF20</f>
        <v>0</v>
      </c>
      <c r="AI20" s="392"/>
      <c r="AJ20" s="393">
        <f t="shared" ref="AJ20:AJ21" si="9">AH20+AI20</f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7"/>
        <v>0</v>
      </c>
      <c r="AF21" s="377"/>
      <c r="AG21" s="390"/>
      <c r="AH21" s="391">
        <f t="shared" si="8"/>
        <v>0</v>
      </c>
      <c r="AI21" s="392"/>
      <c r="AJ21" s="393">
        <f t="shared" si="9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ref="AE22:AE24" si="10">SUM(E22:AC22)</f>
        <v>0</v>
      </c>
      <c r="AF22" s="377"/>
      <c r="AG22" s="390"/>
      <c r="AH22" s="391">
        <f t="shared" ref="AH22:AH24" si="11">AE22+AF22</f>
        <v>0</v>
      </c>
      <c r="AI22" s="392"/>
      <c r="AJ22" s="393">
        <f t="shared" ref="AJ22:AJ27" si="12">AH22+AI22</f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10"/>
        <v>0</v>
      </c>
      <c r="AF23" s="377"/>
      <c r="AG23" s="390"/>
      <c r="AH23" s="391">
        <f t="shared" si="11"/>
        <v>0</v>
      </c>
      <c r="AI23" s="392"/>
      <c r="AJ23" s="393">
        <f t="shared" si="12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10"/>
        <v>0</v>
      </c>
      <c r="AF24" s="377"/>
      <c r="AG24" s="390"/>
      <c r="AH24" s="391">
        <f t="shared" si="11"/>
        <v>0</v>
      </c>
      <c r="AI24" s="392"/>
      <c r="AJ24" s="393">
        <f t="shared" si="12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ref="AE25:AE26" si="13">SUM(E25:AC25)</f>
        <v>0</v>
      </c>
      <c r="AF25" s="377"/>
      <c r="AG25" s="390"/>
      <c r="AH25" s="391">
        <f t="shared" ref="AH25:AH30" si="14">AE25+AF25</f>
        <v>0</v>
      </c>
      <c r="AI25" s="392"/>
      <c r="AJ25" s="393">
        <f t="shared" si="12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13"/>
        <v>0</v>
      </c>
      <c r="AF26" s="377"/>
      <c r="AG26" s="390"/>
      <c r="AH26" s="391">
        <f t="shared" si="14"/>
        <v>0</v>
      </c>
      <c r="AI26" s="392"/>
      <c r="AJ26" s="393">
        <f t="shared" si="12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ref="AE27:AE31" si="15">SUM(E27:AC27)</f>
        <v>0</v>
      </c>
      <c r="AF27" s="377"/>
      <c r="AG27" s="390"/>
      <c r="AH27" s="391">
        <f t="shared" si="14"/>
        <v>0</v>
      </c>
      <c r="AI27" s="392"/>
      <c r="AJ27" s="393">
        <f t="shared" si="12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15"/>
        <v>0</v>
      </c>
      <c r="AF28" s="377"/>
      <c r="AG28" s="390"/>
      <c r="AH28" s="391">
        <f t="shared" si="14"/>
        <v>0</v>
      </c>
      <c r="AI28" s="392"/>
      <c r="AJ28" s="393">
        <f t="shared" ref="AJ28:AJ30" si="16">AH28+AI28</f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15"/>
        <v>0</v>
      </c>
      <c r="AF29" s="377"/>
      <c r="AG29" s="390"/>
      <c r="AH29" s="391">
        <f t="shared" si="14"/>
        <v>0</v>
      </c>
      <c r="AI29" s="392"/>
      <c r="AJ29" s="393">
        <f t="shared" si="16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15"/>
        <v>0</v>
      </c>
      <c r="AF30" s="377"/>
      <c r="AG30" s="390"/>
      <c r="AH30" s="391">
        <f t="shared" si="14"/>
        <v>0</v>
      </c>
      <c r="AI30" s="392"/>
      <c r="AJ30" s="393">
        <f t="shared" si="16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15"/>
        <v>0</v>
      </c>
      <c r="AF31" s="377"/>
      <c r="AG31" s="390"/>
      <c r="AH31" s="391">
        <f t="shared" ref="AH31:AH37" si="17">AE31+AF31</f>
        <v>0</v>
      </c>
      <c r="AI31" s="392"/>
      <c r="AJ31" s="393">
        <f t="shared" ref="AJ31:AJ33" si="18">AH31+AI31</f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ref="AE32:AE37" si="19">SUM(E32:AC32)</f>
        <v>0</v>
      </c>
      <c r="AF32" s="377"/>
      <c r="AG32" s="390"/>
      <c r="AH32" s="391">
        <f t="shared" si="17"/>
        <v>0</v>
      </c>
      <c r="AI32" s="392"/>
      <c r="AJ32" s="393">
        <f t="shared" si="18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19"/>
        <v>0</v>
      </c>
      <c r="AF33" s="377"/>
      <c r="AG33" s="390"/>
      <c r="AH33" s="391">
        <f t="shared" si="17"/>
        <v>0</v>
      </c>
      <c r="AI33" s="392"/>
      <c r="AJ33" s="393">
        <f t="shared" si="18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19"/>
        <v>0</v>
      </c>
      <c r="AF34" s="377"/>
      <c r="AG34" s="390"/>
      <c r="AH34" s="391">
        <f t="shared" si="17"/>
        <v>0</v>
      </c>
      <c r="AI34" s="392"/>
      <c r="AJ34" s="393">
        <f t="shared" ref="AJ34:AJ35" si="20">AH34+AI34</f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19"/>
        <v>0</v>
      </c>
      <c r="AF35" s="377"/>
      <c r="AG35" s="390"/>
      <c r="AH35" s="391">
        <f t="shared" si="17"/>
        <v>0</v>
      </c>
      <c r="AI35" s="392"/>
      <c r="AJ35" s="393">
        <f t="shared" si="20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19"/>
        <v>0</v>
      </c>
      <c r="AF36" s="377"/>
      <c r="AG36" s="390"/>
      <c r="AH36" s="391">
        <f t="shared" si="17"/>
        <v>0</v>
      </c>
      <c r="AI36" s="392"/>
      <c r="AJ36" s="393">
        <f t="shared" ref="AJ36:AJ37" si="21">AH36+AI36</f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19"/>
        <v>0</v>
      </c>
      <c r="AF37" s="377"/>
      <c r="AG37" s="390"/>
      <c r="AH37" s="391">
        <f t="shared" si="17"/>
        <v>0</v>
      </c>
      <c r="AI37" s="392"/>
      <c r="AJ37" s="395">
        <f t="shared" si="21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8.75">
      <c r="A38" s="302" t="s">
        <v>175</v>
      </c>
      <c r="B38" s="303"/>
      <c r="C38" s="303"/>
      <c r="D38" s="304"/>
      <c r="E38" s="305">
        <f t="shared" ref="E38:AJ38" si="22">SUM(E5:E37)</f>
        <v>0</v>
      </c>
      <c r="F38" s="305">
        <f t="shared" si="22"/>
        <v>0</v>
      </c>
      <c r="G38" s="305">
        <f t="shared" si="22"/>
        <v>0</v>
      </c>
      <c r="H38" s="305">
        <f t="shared" si="22"/>
        <v>0</v>
      </c>
      <c r="I38" s="305">
        <f t="shared" si="22"/>
        <v>0</v>
      </c>
      <c r="J38" s="305">
        <f t="shared" si="22"/>
        <v>0</v>
      </c>
      <c r="K38" s="305">
        <f t="shared" si="22"/>
        <v>0</v>
      </c>
      <c r="L38" s="305">
        <f t="shared" si="22"/>
        <v>0</v>
      </c>
      <c r="M38" s="305">
        <f t="shared" si="22"/>
        <v>0</v>
      </c>
      <c r="N38" s="305">
        <f t="shared" si="22"/>
        <v>0</v>
      </c>
      <c r="O38" s="305">
        <f t="shared" si="22"/>
        <v>0</v>
      </c>
      <c r="P38" s="305">
        <f t="shared" si="22"/>
        <v>0</v>
      </c>
      <c r="Q38" s="305">
        <f t="shared" si="22"/>
        <v>0</v>
      </c>
      <c r="R38" s="305">
        <f t="shared" si="22"/>
        <v>0</v>
      </c>
      <c r="S38" s="305">
        <f t="shared" si="22"/>
        <v>0</v>
      </c>
      <c r="T38" s="812">
        <f t="shared" si="22"/>
        <v>0</v>
      </c>
      <c r="U38" s="305">
        <f t="shared" si="22"/>
        <v>0</v>
      </c>
      <c r="V38" s="305">
        <f t="shared" si="22"/>
        <v>0</v>
      </c>
      <c r="W38" s="305">
        <f t="shared" si="22"/>
        <v>0</v>
      </c>
      <c r="X38" s="305">
        <f t="shared" si="22"/>
        <v>0</v>
      </c>
      <c r="Y38" s="305">
        <f t="shared" si="22"/>
        <v>0</v>
      </c>
      <c r="Z38" s="305">
        <f t="shared" si="22"/>
        <v>0</v>
      </c>
      <c r="AA38" s="305">
        <f t="shared" si="22"/>
        <v>0</v>
      </c>
      <c r="AB38" s="305">
        <f t="shared" si="22"/>
        <v>0</v>
      </c>
      <c r="AC38" s="305">
        <f t="shared" si="22"/>
        <v>0</v>
      </c>
      <c r="AD38" s="305">
        <f t="shared" si="22"/>
        <v>0</v>
      </c>
      <c r="AE38" s="305">
        <f t="shared" si="22"/>
        <v>0</v>
      </c>
      <c r="AF38" s="305">
        <f t="shared" si="22"/>
        <v>0</v>
      </c>
      <c r="AG38" s="305">
        <f t="shared" si="22"/>
        <v>0</v>
      </c>
      <c r="AH38" s="305">
        <f t="shared" si="22"/>
        <v>0</v>
      </c>
      <c r="AI38" s="305">
        <f t="shared" si="22"/>
        <v>0</v>
      </c>
      <c r="AJ38" s="305">
        <f t="shared" si="22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19.5" thickBot="1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86" t="s">
        <v>117</v>
      </c>
      <c r="B40" s="287" t="s">
        <v>68</v>
      </c>
      <c r="C40" s="287" t="s">
        <v>69</v>
      </c>
      <c r="D40" s="288" t="s">
        <v>70</v>
      </c>
      <c r="E40" s="80" t="s">
        <v>87</v>
      </c>
      <c r="F40" s="49" t="s">
        <v>85</v>
      </c>
      <c r="G40" s="49" t="s">
        <v>86</v>
      </c>
      <c r="H40" s="49" t="s">
        <v>92</v>
      </c>
      <c r="I40" s="49" t="s">
        <v>213</v>
      </c>
      <c r="J40" s="49" t="s">
        <v>97</v>
      </c>
      <c r="K40" s="126" t="s">
        <v>407</v>
      </c>
      <c r="L40" s="79"/>
      <c r="M40" s="80" t="s">
        <v>214</v>
      </c>
      <c r="N40" s="49" t="s">
        <v>53</v>
      </c>
      <c r="O40" s="49" t="s">
        <v>94</v>
      </c>
      <c r="P40" s="49" t="s">
        <v>76</v>
      </c>
      <c r="Q40" s="49" t="s">
        <v>95</v>
      </c>
      <c r="R40" s="49" t="s">
        <v>73</v>
      </c>
      <c r="S40" s="860" t="s">
        <v>486</v>
      </c>
      <c r="T40" s="171"/>
      <c r="U40" s="79"/>
      <c r="V40" s="99" t="s">
        <v>526</v>
      </c>
      <c r="W40" s="716" t="s">
        <v>53</v>
      </c>
      <c r="X40" s="104" t="s">
        <v>215</v>
      </c>
      <c r="Y40" s="103" t="s">
        <v>94</v>
      </c>
      <c r="Z40" s="104"/>
      <c r="AA40" s="104" t="s">
        <v>96</v>
      </c>
      <c r="AB40" s="121" t="s">
        <v>86</v>
      </c>
      <c r="AC40" s="717"/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1" thickBot="1">
      <c r="A41" s="310" t="s">
        <v>176</v>
      </c>
      <c r="B41" s="311"/>
      <c r="C41" s="311"/>
      <c r="D41" s="291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23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316" t="s">
        <v>120</v>
      </c>
      <c r="B42" s="317"/>
      <c r="C42" s="317"/>
      <c r="D42" s="291"/>
      <c r="E42" s="319"/>
      <c r="F42" s="320"/>
      <c r="G42" s="320"/>
      <c r="H42" s="321"/>
      <c r="I42" s="321"/>
      <c r="J42" s="320"/>
      <c r="K42" s="351"/>
      <c r="L42" s="352"/>
      <c r="M42" s="353"/>
      <c r="N42" s="321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23"/>
        <v>0</v>
      </c>
      <c r="AF42" s="381"/>
      <c r="AG42" s="408"/>
      <c r="AH42" s="409">
        <f t="shared" ref="AH42:AH52" si="24">AE42+AF42</f>
        <v>0</v>
      </c>
      <c r="AI42" s="410"/>
      <c r="AJ42" s="411">
        <f>AH42+AI42</f>
        <v>0</v>
      </c>
    </row>
    <row r="43" spans="1:39" s="234" customFormat="1" ht="20.25">
      <c r="A43" s="316" t="s">
        <v>120</v>
      </c>
      <c r="B43" s="295"/>
      <c r="C43" s="295"/>
      <c r="D43" s="291"/>
      <c r="E43" s="319"/>
      <c r="F43" s="320"/>
      <c r="G43" s="320"/>
      <c r="H43" s="321"/>
      <c r="I43" s="321"/>
      <c r="J43" s="320"/>
      <c r="K43" s="354"/>
      <c r="L43" s="352"/>
      <c r="M43" s="353"/>
      <c r="N43" s="320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23"/>
        <v>0</v>
      </c>
      <c r="AF43" s="381"/>
      <c r="AG43" s="408"/>
      <c r="AH43" s="409">
        <f t="shared" si="24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295"/>
      <c r="C44" s="295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0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23"/>
        <v>0</v>
      </c>
      <c r="AF44" s="381"/>
      <c r="AG44" s="408"/>
      <c r="AH44" s="409">
        <f t="shared" si="24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295"/>
      <c r="C45" s="295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23"/>
        <v>0</v>
      </c>
      <c r="AF45" s="381"/>
      <c r="AG45" s="408"/>
      <c r="AH45" s="409">
        <f t="shared" ref="AH45:AH46" si="25">AE45+AF45</f>
        <v>0</v>
      </c>
      <c r="AI45" s="410"/>
      <c r="AJ45" s="411">
        <f t="shared" ref="AJ45:AJ47" si="26">AH45+AI45</f>
        <v>0</v>
      </c>
    </row>
    <row r="46" spans="1:39" s="234" customFormat="1" ht="20.25">
      <c r="A46" s="316" t="s">
        <v>120</v>
      </c>
      <c r="B46" s="295"/>
      <c r="C46" s="295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27">SUM(E46:AC46)</f>
        <v>0</v>
      </c>
      <c r="AF46" s="381"/>
      <c r="AG46" s="408"/>
      <c r="AH46" s="409">
        <f t="shared" si="25"/>
        <v>0</v>
      </c>
      <c r="AI46" s="410"/>
      <c r="AJ46" s="411">
        <f t="shared" si="26"/>
        <v>0</v>
      </c>
    </row>
    <row r="47" spans="1:39" s="234" customFormat="1" ht="20.25">
      <c r="A47" s="316" t="s">
        <v>120</v>
      </c>
      <c r="B47" s="295"/>
      <c r="C47" s="295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23"/>
        <v>0</v>
      </c>
      <c r="AF47" s="381"/>
      <c r="AG47" s="408"/>
      <c r="AH47" s="409">
        <f t="shared" si="24"/>
        <v>0</v>
      </c>
      <c r="AI47" s="410"/>
      <c r="AJ47" s="411">
        <f t="shared" si="26"/>
        <v>0</v>
      </c>
    </row>
    <row r="48" spans="1:39" s="234" customFormat="1" ht="20.25">
      <c r="A48" s="316" t="s">
        <v>120</v>
      </c>
      <c r="B48" s="295"/>
      <c r="C48" s="295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23"/>
        <v>0</v>
      </c>
      <c r="AF48" s="381"/>
      <c r="AG48" s="408"/>
      <c r="AH48" s="409">
        <f t="shared" si="24"/>
        <v>0</v>
      </c>
      <c r="AI48" s="410"/>
      <c r="AJ48" s="411">
        <f t="shared" ref="AJ48:AJ52" si="28">AH48+AI48</f>
        <v>0</v>
      </c>
    </row>
    <row r="49" spans="1:39" s="234" customFormat="1" ht="20.25">
      <c r="A49" s="316" t="s">
        <v>120</v>
      </c>
      <c r="B49" s="295"/>
      <c r="C49" s="295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29">SUM(E49:AC49)</f>
        <v>0</v>
      </c>
      <c r="AF49" s="381"/>
      <c r="AG49" s="408"/>
      <c r="AH49" s="409">
        <f t="shared" si="24"/>
        <v>0</v>
      </c>
      <c r="AI49" s="410"/>
      <c r="AJ49" s="411">
        <f t="shared" si="28"/>
        <v>0</v>
      </c>
    </row>
    <row r="50" spans="1:39" s="234" customFormat="1" ht="20.25">
      <c r="A50" s="316" t="s">
        <v>120</v>
      </c>
      <c r="B50" s="295"/>
      <c r="C50" s="295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29"/>
        <v>0</v>
      </c>
      <c r="AF50" s="381"/>
      <c r="AG50" s="408"/>
      <c r="AH50" s="409">
        <f t="shared" si="24"/>
        <v>0</v>
      </c>
      <c r="AI50" s="410"/>
      <c r="AJ50" s="411">
        <f t="shared" si="28"/>
        <v>0</v>
      </c>
    </row>
    <row r="51" spans="1:39" s="234" customFormat="1" ht="20.25">
      <c r="A51" s="316" t="s">
        <v>120</v>
      </c>
      <c r="B51" s="295"/>
      <c r="C51" s="295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23"/>
        <v>0</v>
      </c>
      <c r="AF51" s="381"/>
      <c r="AG51" s="408"/>
      <c r="AH51" s="409">
        <f t="shared" si="24"/>
        <v>0</v>
      </c>
      <c r="AI51" s="410"/>
      <c r="AJ51" s="411">
        <f t="shared" si="28"/>
        <v>0</v>
      </c>
    </row>
    <row r="52" spans="1:39" s="283" customFormat="1" ht="20.25">
      <c r="A52" s="322"/>
      <c r="B52" s="323"/>
      <c r="C52" s="323"/>
      <c r="D52" s="324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30">SUM(E52:AC52)</f>
        <v>0</v>
      </c>
      <c r="AF52" s="377"/>
      <c r="AG52" s="390"/>
      <c r="AH52" s="391">
        <f t="shared" si="24"/>
        <v>0</v>
      </c>
      <c r="AI52" s="412"/>
      <c r="AJ52" s="413">
        <f t="shared" si="28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8.75">
      <c r="A53" s="326" t="s">
        <v>177</v>
      </c>
      <c r="B53" s="327"/>
      <c r="C53" s="327"/>
      <c r="D53" s="328"/>
      <c r="E53" s="329">
        <f>SUM(E41:E52)</f>
        <v>0</v>
      </c>
      <c r="F53" s="329">
        <f t="shared" ref="F53:K53" si="31">SUM(F41:F52)</f>
        <v>0</v>
      </c>
      <c r="G53" s="329">
        <f t="shared" si="31"/>
        <v>0</v>
      </c>
      <c r="H53" s="329">
        <f t="shared" si="31"/>
        <v>0</v>
      </c>
      <c r="I53" s="329">
        <f t="shared" si="31"/>
        <v>0</v>
      </c>
      <c r="J53" s="329">
        <f t="shared" si="31"/>
        <v>0</v>
      </c>
      <c r="K53" s="329">
        <f t="shared" si="31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32">SUM(Q41:Q52)</f>
        <v>0</v>
      </c>
      <c r="R53" s="359">
        <f t="shared" si="32"/>
        <v>0</v>
      </c>
      <c r="S53" s="359">
        <f t="shared" si="32"/>
        <v>0</v>
      </c>
      <c r="T53" s="369">
        <f t="shared" si="32"/>
        <v>0</v>
      </c>
      <c r="U53" s="357"/>
      <c r="V53" s="358">
        <f t="shared" ref="V53:AC53" si="33">SUM(V41:V52)</f>
        <v>0</v>
      </c>
      <c r="W53" s="359">
        <f t="shared" si="33"/>
        <v>0</v>
      </c>
      <c r="X53" s="359">
        <f t="shared" si="33"/>
        <v>0</v>
      </c>
      <c r="Y53" s="359">
        <f t="shared" si="33"/>
        <v>0</v>
      </c>
      <c r="Z53" s="359">
        <f t="shared" si="33"/>
        <v>0</v>
      </c>
      <c r="AA53" s="359">
        <f t="shared" si="33"/>
        <v>0</v>
      </c>
      <c r="AB53" s="359">
        <f t="shared" si="33"/>
        <v>0</v>
      </c>
      <c r="AC53" s="369">
        <f t="shared" si="33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34">SUM(AG41:AG52)</f>
        <v>0</v>
      </c>
      <c r="AH53" s="417">
        <f t="shared" si="34"/>
        <v>0</v>
      </c>
      <c r="AI53" s="382">
        <f t="shared" si="34"/>
        <v>0</v>
      </c>
      <c r="AJ53" s="418">
        <f t="shared" si="34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19.5" thickBot="1">
      <c r="A54" s="306"/>
      <c r="B54" s="307"/>
      <c r="C54" s="307"/>
      <c r="D54" s="308"/>
      <c r="E54" s="309"/>
      <c r="F54" s="309"/>
      <c r="G54" s="309"/>
      <c r="H54" s="309"/>
      <c r="I54" s="309"/>
      <c r="J54" s="309"/>
      <c r="K54" s="309"/>
      <c r="L54" s="346"/>
      <c r="M54" s="347"/>
      <c r="N54" s="347"/>
      <c r="O54" s="347"/>
      <c r="P54" s="347"/>
      <c r="Q54" s="347"/>
      <c r="R54" s="347"/>
      <c r="S54" s="347"/>
      <c r="T54" s="347"/>
      <c r="U54" s="346"/>
      <c r="V54" s="347"/>
      <c r="W54" s="347"/>
      <c r="X54" s="347"/>
      <c r="Y54" s="347"/>
      <c r="Z54" s="347"/>
      <c r="AA54" s="347"/>
      <c r="AB54" s="347"/>
      <c r="AC54" s="347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86" t="s">
        <v>122</v>
      </c>
      <c r="B55" s="287" t="s">
        <v>68</v>
      </c>
      <c r="C55" s="287" t="s">
        <v>69</v>
      </c>
      <c r="D55" s="288" t="s">
        <v>70</v>
      </c>
      <c r="E55" s="80" t="s">
        <v>87</v>
      </c>
      <c r="F55" s="49" t="s">
        <v>85</v>
      </c>
      <c r="G55" s="49" t="s">
        <v>86</v>
      </c>
      <c r="H55" s="49" t="s">
        <v>92</v>
      </c>
      <c r="I55" s="49" t="s">
        <v>213</v>
      </c>
      <c r="J55" s="49" t="s">
        <v>97</v>
      </c>
      <c r="K55" s="126" t="s">
        <v>407</v>
      </c>
      <c r="L55" s="79"/>
      <c r="M55" s="80" t="s">
        <v>214</v>
      </c>
      <c r="N55" s="49" t="s">
        <v>53</v>
      </c>
      <c r="O55" s="49" t="s">
        <v>94</v>
      </c>
      <c r="P55" s="49" t="s">
        <v>76</v>
      </c>
      <c r="Q55" s="49" t="s">
        <v>95</v>
      </c>
      <c r="R55" s="49" t="s">
        <v>73</v>
      </c>
      <c r="S55" s="860" t="s">
        <v>486</v>
      </c>
      <c r="T55" s="171"/>
      <c r="U55" s="79"/>
      <c r="V55" s="99" t="s">
        <v>526</v>
      </c>
      <c r="W55" s="716" t="s">
        <v>53</v>
      </c>
      <c r="X55" s="104" t="s">
        <v>519</v>
      </c>
      <c r="Y55" s="103" t="s">
        <v>94</v>
      </c>
      <c r="Z55" s="104"/>
      <c r="AA55" s="104" t="s">
        <v>96</v>
      </c>
      <c r="AB55" s="121" t="s">
        <v>86</v>
      </c>
      <c r="AC55" s="717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310" t="s">
        <v>125</v>
      </c>
      <c r="B56" s="311"/>
      <c r="C56" s="311"/>
      <c r="D56" s="312"/>
      <c r="E56" s="313"/>
      <c r="F56" s="314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35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316" t="s">
        <v>125</v>
      </c>
      <c r="B57" s="317"/>
      <c r="C57" s="317"/>
      <c r="D57" s="318"/>
      <c r="E57" s="319"/>
      <c r="F57" s="320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35"/>
        <v>0</v>
      </c>
      <c r="AF57" s="381"/>
      <c r="AG57" s="408"/>
      <c r="AH57" s="409">
        <f t="shared" ref="AH57:AH59" si="36">AE57+AF57</f>
        <v>0</v>
      </c>
      <c r="AI57" s="410"/>
      <c r="AJ57" s="411">
        <f>AH57+AI57</f>
        <v>0</v>
      </c>
    </row>
    <row r="58" spans="1:39" s="234" customFormat="1" ht="20.25">
      <c r="A58" s="316" t="s">
        <v>125</v>
      </c>
      <c r="B58" s="295"/>
      <c r="C58" s="295"/>
      <c r="D58" s="318"/>
      <c r="E58" s="319"/>
      <c r="F58" s="320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35"/>
        <v>0</v>
      </c>
      <c r="AF58" s="381"/>
      <c r="AG58" s="408"/>
      <c r="AH58" s="409">
        <f t="shared" si="36"/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318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35"/>
        <v>0</v>
      </c>
      <c r="AF59" s="381"/>
      <c r="AG59" s="408"/>
      <c r="AH59" s="409">
        <f t="shared" si="36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67" si="37">SUM(E60:AC60)</f>
        <v>0</v>
      </c>
      <c r="AF60" s="381"/>
      <c r="AG60" s="408"/>
      <c r="AH60" s="409">
        <f t="shared" ref="AH60:AH67" si="38">AE60+AF60</f>
        <v>0</v>
      </c>
      <c r="AI60" s="410"/>
      <c r="AJ60" s="411">
        <f t="shared" ref="AJ60:AJ62" si="39">AH60+AI60</f>
        <v>0</v>
      </c>
    </row>
    <row r="61" spans="1:39" s="234" customFormat="1" ht="20.25">
      <c r="A61" s="316" t="s">
        <v>125</v>
      </c>
      <c r="B61" s="295"/>
      <c r="C61" s="295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37"/>
        <v>0</v>
      </c>
      <c r="AF61" s="381"/>
      <c r="AG61" s="408"/>
      <c r="AH61" s="409">
        <f t="shared" si="38"/>
        <v>0</v>
      </c>
      <c r="AI61" s="410"/>
      <c r="AJ61" s="411">
        <f t="shared" si="39"/>
        <v>0</v>
      </c>
    </row>
    <row r="62" spans="1:39" s="234" customFormat="1" ht="20.25">
      <c r="A62" s="316" t="s">
        <v>125</v>
      </c>
      <c r="B62" s="295"/>
      <c r="C62" s="295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37"/>
        <v>0</v>
      </c>
      <c r="AF62" s="381"/>
      <c r="AG62" s="408"/>
      <c r="AH62" s="409">
        <f t="shared" si="38"/>
        <v>0</v>
      </c>
      <c r="AI62" s="410"/>
      <c r="AJ62" s="411">
        <f t="shared" si="39"/>
        <v>0</v>
      </c>
    </row>
    <row r="63" spans="1:39" s="234" customFormat="1" ht="20.25">
      <c r="A63" s="316" t="s">
        <v>125</v>
      </c>
      <c r="B63" s="295"/>
      <c r="C63" s="295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37"/>
        <v>0</v>
      </c>
      <c r="AF63" s="381"/>
      <c r="AG63" s="408"/>
      <c r="AH63" s="409">
        <f t="shared" si="38"/>
        <v>0</v>
      </c>
      <c r="AI63" s="410"/>
      <c r="AJ63" s="411">
        <f t="shared" ref="AJ63:AJ67" si="40">AH63+AI63</f>
        <v>0</v>
      </c>
    </row>
    <row r="64" spans="1:39" s="234" customFormat="1" ht="20.25">
      <c r="A64" s="316" t="s">
        <v>125</v>
      </c>
      <c r="B64" s="295"/>
      <c r="C64" s="295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37"/>
        <v>0</v>
      </c>
      <c r="AF64" s="381"/>
      <c r="AG64" s="408"/>
      <c r="AH64" s="409">
        <f t="shared" si="38"/>
        <v>0</v>
      </c>
      <c r="AI64" s="410"/>
      <c r="AJ64" s="411">
        <f t="shared" si="40"/>
        <v>0</v>
      </c>
    </row>
    <row r="65" spans="1:39" s="234" customFormat="1" ht="20.25">
      <c r="A65" s="316" t="s">
        <v>125</v>
      </c>
      <c r="B65" s="295"/>
      <c r="C65" s="295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37"/>
        <v>0</v>
      </c>
      <c r="AF65" s="381"/>
      <c r="AG65" s="408"/>
      <c r="AH65" s="409">
        <f t="shared" si="38"/>
        <v>0</v>
      </c>
      <c r="AI65" s="410"/>
      <c r="AJ65" s="411">
        <f t="shared" si="40"/>
        <v>0</v>
      </c>
    </row>
    <row r="66" spans="1:39" s="234" customFormat="1" ht="20.25">
      <c r="A66" s="316" t="s">
        <v>125</v>
      </c>
      <c r="B66" s="295"/>
      <c r="C66" s="295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37"/>
        <v>0</v>
      </c>
      <c r="AF66" s="381"/>
      <c r="AG66" s="408"/>
      <c r="AH66" s="409">
        <f t="shared" si="38"/>
        <v>0</v>
      </c>
      <c r="AI66" s="410"/>
      <c r="AJ66" s="411">
        <f t="shared" si="40"/>
        <v>0</v>
      </c>
    </row>
    <row r="67" spans="1:39" s="283" customFormat="1" ht="20.25">
      <c r="A67" s="322"/>
      <c r="B67" s="323"/>
      <c r="C67" s="323"/>
      <c r="D67" s="324"/>
      <c r="E67" s="325"/>
      <c r="F67" s="297"/>
      <c r="G67" s="297"/>
      <c r="H67" s="298"/>
      <c r="I67" s="298"/>
      <c r="J67" s="297"/>
      <c r="K67" s="344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325"/>
      <c r="W67" s="297"/>
      <c r="X67" s="297"/>
      <c r="Y67" s="298"/>
      <c r="Z67" s="298"/>
      <c r="AA67" s="298"/>
      <c r="AB67" s="297"/>
      <c r="AC67" s="375"/>
      <c r="AD67" s="355"/>
      <c r="AE67" s="376">
        <f t="shared" si="37"/>
        <v>0</v>
      </c>
      <c r="AF67" s="377"/>
      <c r="AG67" s="390"/>
      <c r="AH67" s="391">
        <f t="shared" si="38"/>
        <v>0</v>
      </c>
      <c r="AI67" s="412"/>
      <c r="AJ67" s="413">
        <f t="shared" si="40"/>
        <v>0</v>
      </c>
      <c r="AK67" s="414" t="s">
        <v>8</v>
      </c>
      <c r="AL67" s="397" t="s">
        <v>23</v>
      </c>
      <c r="AM67" s="415" t="s">
        <v>174</v>
      </c>
    </row>
    <row r="68" spans="1:39" s="284" customFormat="1" ht="19.5" thickBot="1">
      <c r="A68" s="326" t="s">
        <v>126</v>
      </c>
      <c r="B68" s="327"/>
      <c r="C68" s="327"/>
      <c r="D68" s="328"/>
      <c r="E68" s="329">
        <f t="shared" ref="E68:K68" si="41">SUM(E56:E67)</f>
        <v>0</v>
      </c>
      <c r="F68" s="330">
        <f t="shared" si="41"/>
        <v>0</v>
      </c>
      <c r="G68" s="330">
        <f t="shared" si="41"/>
        <v>0</v>
      </c>
      <c r="H68" s="330">
        <f t="shared" si="41"/>
        <v>0</v>
      </c>
      <c r="I68" s="330">
        <f t="shared" si="41"/>
        <v>0</v>
      </c>
      <c r="J68" s="330">
        <f t="shared" si="41"/>
        <v>0</v>
      </c>
      <c r="K68" s="356">
        <f t="shared" si="41"/>
        <v>0</v>
      </c>
      <c r="L68" s="357"/>
      <c r="M68" s="358">
        <f>SUM(M56:M67)</f>
        <v>0</v>
      </c>
      <c r="N68" s="359">
        <f>SUM(N56:N67)</f>
        <v>0</v>
      </c>
      <c r="O68" s="359">
        <f>SUM(O56:O67)</f>
        <v>0</v>
      </c>
      <c r="P68" s="359">
        <f>SUM(P56:P67)</f>
        <v>0</v>
      </c>
      <c r="Q68" s="359">
        <f t="shared" ref="Q68:S68" si="42">SUM(Q56:Q67)</f>
        <v>0</v>
      </c>
      <c r="R68" s="359">
        <f t="shared" si="42"/>
        <v>0</v>
      </c>
      <c r="S68" s="359">
        <f t="shared" si="42"/>
        <v>0</v>
      </c>
      <c r="T68" s="369">
        <f t="shared" ref="T68" si="43">SUM(T56:T67)</f>
        <v>0</v>
      </c>
      <c r="U68" s="357"/>
      <c r="V68" s="358">
        <f t="shared" ref="V68:AC68" si="44">SUM(V56:V67)</f>
        <v>0</v>
      </c>
      <c r="W68" s="359">
        <f t="shared" si="44"/>
        <v>0</v>
      </c>
      <c r="X68" s="359">
        <f t="shared" si="44"/>
        <v>0</v>
      </c>
      <c r="Y68" s="359">
        <f t="shared" si="44"/>
        <v>0</v>
      </c>
      <c r="Z68" s="359">
        <f t="shared" si="44"/>
        <v>0</v>
      </c>
      <c r="AA68" s="359">
        <f t="shared" si="44"/>
        <v>0</v>
      </c>
      <c r="AB68" s="359">
        <f t="shared" si="44"/>
        <v>0</v>
      </c>
      <c r="AC68" s="369">
        <f t="shared" si="44"/>
        <v>0</v>
      </c>
      <c r="AD68" s="357"/>
      <c r="AE68" s="382">
        <f>SUM(AE56:AE67)</f>
        <v>0</v>
      </c>
      <c r="AF68" s="382">
        <f>SUM(AF56:AF67)</f>
        <v>0</v>
      </c>
      <c r="AG68" s="416">
        <f t="shared" ref="AG68:AJ68" si="45">SUM(AG56:AG67)</f>
        <v>0</v>
      </c>
      <c r="AH68" s="417">
        <f t="shared" si="45"/>
        <v>0</v>
      </c>
      <c r="AI68" s="382">
        <f t="shared" si="45"/>
        <v>0</v>
      </c>
      <c r="AJ68" s="418">
        <f t="shared" si="45"/>
        <v>0</v>
      </c>
      <c r="AK68" s="399">
        <f>'BIG CHAIR'!CL91</f>
        <v>0</v>
      </c>
      <c r="AL68" s="400">
        <f>'Tea Table'!X181</f>
        <v>0</v>
      </c>
      <c r="AM68" s="401">
        <f>AH68+AK68+AL68</f>
        <v>0</v>
      </c>
    </row>
    <row r="69" spans="1:39" ht="24" thickBot="1">
      <c r="A69" s="423" t="s">
        <v>127</v>
      </c>
      <c r="B69" s="287" t="s">
        <v>68</v>
      </c>
      <c r="C69" s="287" t="s">
        <v>69</v>
      </c>
      <c r="D69" s="288" t="s">
        <v>70</v>
      </c>
      <c r="E69" s="80" t="s">
        <v>87</v>
      </c>
      <c r="F69" s="49" t="s">
        <v>85</v>
      </c>
      <c r="G69" s="49" t="s">
        <v>86</v>
      </c>
      <c r="H69" s="49" t="s">
        <v>92</v>
      </c>
      <c r="I69" s="49" t="s">
        <v>213</v>
      </c>
      <c r="J69" s="49" t="s">
        <v>97</v>
      </c>
      <c r="K69" s="126" t="s">
        <v>407</v>
      </c>
      <c r="L69" s="79"/>
      <c r="M69" s="80" t="s">
        <v>214</v>
      </c>
      <c r="N69" s="49" t="s">
        <v>53</v>
      </c>
      <c r="O69" s="49" t="s">
        <v>94</v>
      </c>
      <c r="P69" s="49" t="s">
        <v>76</v>
      </c>
      <c r="Q69" s="49" t="s">
        <v>95</v>
      </c>
      <c r="R69" s="49" t="s">
        <v>73</v>
      </c>
      <c r="S69" s="860" t="s">
        <v>486</v>
      </c>
      <c r="T69" s="171"/>
      <c r="U69" s="79"/>
      <c r="V69" s="99" t="s">
        <v>526</v>
      </c>
      <c r="W69" s="716" t="s">
        <v>53</v>
      </c>
      <c r="X69" s="104" t="s">
        <v>519</v>
      </c>
      <c r="Y69" s="103" t="s">
        <v>94</v>
      </c>
      <c r="Z69" s="104"/>
      <c r="AA69" s="104" t="s">
        <v>96</v>
      </c>
      <c r="AB69" s="121" t="s">
        <v>86</v>
      </c>
      <c r="AC69" s="717"/>
      <c r="AD69" s="370"/>
      <c r="AE69" s="371" t="s">
        <v>172</v>
      </c>
      <c r="AF69" s="372" t="s">
        <v>80</v>
      </c>
      <c r="AG69" s="385"/>
      <c r="AH69" s="386" t="s">
        <v>106</v>
      </c>
      <c r="AI69" s="385" t="s">
        <v>173</v>
      </c>
      <c r="AJ69" s="371" t="s">
        <v>108</v>
      </c>
      <c r="AK69" s="282"/>
      <c r="AL69" s="282"/>
      <c r="AM69" s="282"/>
    </row>
    <row r="70" spans="1:39" ht="20.25">
      <c r="A70" s="424" t="s">
        <v>128</v>
      </c>
      <c r="B70" s="311"/>
      <c r="C70" s="311"/>
      <c r="D70" s="312"/>
      <c r="E70" s="313"/>
      <c r="F70" s="314"/>
      <c r="G70" s="314"/>
      <c r="H70" s="315"/>
      <c r="I70" s="315"/>
      <c r="J70" s="314"/>
      <c r="K70" s="348"/>
      <c r="L70" s="349"/>
      <c r="M70" s="350"/>
      <c r="N70" s="315"/>
      <c r="O70" s="315"/>
      <c r="P70" s="315"/>
      <c r="Q70" s="315"/>
      <c r="R70" s="315"/>
      <c r="S70" s="315"/>
      <c r="T70" s="348"/>
      <c r="U70" s="349"/>
      <c r="V70" s="350"/>
      <c r="W70" s="315"/>
      <c r="X70" s="315"/>
      <c r="Y70" s="315"/>
      <c r="Z70" s="315"/>
      <c r="AA70" s="315"/>
      <c r="AB70" s="315"/>
      <c r="AC70" s="378"/>
      <c r="AD70" s="349"/>
      <c r="AE70" s="379">
        <f t="shared" ref="AE70:AE73" si="46">SUM(E70:AC70)</f>
        <v>0</v>
      </c>
      <c r="AF70" s="379"/>
      <c r="AG70" s="404"/>
      <c r="AH70" s="405">
        <f>AE70+AF70</f>
        <v>0</v>
      </c>
      <c r="AI70" s="406"/>
      <c r="AJ70" s="407">
        <f>AH70+AI70</f>
        <v>0</v>
      </c>
      <c r="AK70" s="234"/>
      <c r="AL70" s="234"/>
      <c r="AM70" s="234"/>
    </row>
    <row r="71" spans="1:39" ht="20.25">
      <c r="A71" s="424" t="s">
        <v>128</v>
      </c>
      <c r="B71" s="317"/>
      <c r="C71" s="317"/>
      <c r="D71" s="318"/>
      <c r="E71" s="319"/>
      <c r="F71" s="320"/>
      <c r="G71" s="320"/>
      <c r="H71" s="321"/>
      <c r="I71" s="321"/>
      <c r="J71" s="320"/>
      <c r="K71" s="351"/>
      <c r="L71" s="352"/>
      <c r="M71" s="353"/>
      <c r="N71" s="320"/>
      <c r="O71" s="320"/>
      <c r="P71" s="321"/>
      <c r="Q71" s="321"/>
      <c r="R71" s="321"/>
      <c r="S71" s="320"/>
      <c r="T71" s="351"/>
      <c r="U71" s="352"/>
      <c r="V71" s="353"/>
      <c r="W71" s="321"/>
      <c r="X71" s="321"/>
      <c r="Y71" s="321"/>
      <c r="Z71" s="321"/>
      <c r="AA71" s="321"/>
      <c r="AB71" s="321"/>
      <c r="AC71" s="380"/>
      <c r="AD71" s="352"/>
      <c r="AE71" s="381">
        <f t="shared" si="46"/>
        <v>0</v>
      </c>
      <c r="AF71" s="381"/>
      <c r="AG71" s="408"/>
      <c r="AH71" s="409">
        <f t="shared" ref="AH71:AH73" si="47">AE71+AF71</f>
        <v>0</v>
      </c>
      <c r="AI71" s="410"/>
      <c r="AJ71" s="411">
        <f>AH71+AI71</f>
        <v>0</v>
      </c>
      <c r="AK71" s="234"/>
      <c r="AL71" s="234"/>
      <c r="AM71" s="234"/>
    </row>
    <row r="72" spans="1:39" ht="20.25">
      <c r="A72" s="424" t="s">
        <v>128</v>
      </c>
      <c r="B72" s="295"/>
      <c r="C72" s="295"/>
      <c r="D72" s="318"/>
      <c r="E72" s="319"/>
      <c r="F72" s="320"/>
      <c r="G72" s="320"/>
      <c r="H72" s="321"/>
      <c r="I72" s="321"/>
      <c r="J72" s="320"/>
      <c r="K72" s="354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46"/>
        <v>0</v>
      </c>
      <c r="AF72" s="381"/>
      <c r="AG72" s="408"/>
      <c r="AH72" s="409">
        <f t="shared" si="47"/>
        <v>0</v>
      </c>
      <c r="AI72" s="410"/>
      <c r="AJ72" s="411">
        <f>AH72+AI72</f>
        <v>0</v>
      </c>
      <c r="AK72" s="234"/>
      <c r="AL72" s="234"/>
      <c r="AM72" s="234"/>
    </row>
    <row r="73" spans="1:39" ht="20.25">
      <c r="A73" s="424" t="s">
        <v>128</v>
      </c>
      <c r="B73" s="710"/>
      <c r="C73" s="295"/>
      <c r="D73" s="318"/>
      <c r="E73" s="319"/>
      <c r="F73" s="320"/>
      <c r="G73" s="320"/>
      <c r="H73" s="321"/>
      <c r="I73" s="321"/>
      <c r="J73" s="320"/>
      <c r="K73" s="354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46"/>
        <v>0</v>
      </c>
      <c r="AF73" s="381"/>
      <c r="AG73" s="408"/>
      <c r="AH73" s="409">
        <f t="shared" si="47"/>
        <v>0</v>
      </c>
      <c r="AI73" s="410"/>
      <c r="AJ73" s="411">
        <f>AH73+AI73</f>
        <v>0</v>
      </c>
      <c r="AK73" s="234"/>
      <c r="AL73" s="234"/>
      <c r="AM73" s="234"/>
    </row>
    <row r="74" spans="1:39" ht="20.25">
      <c r="A74" s="424" t="s">
        <v>128</v>
      </c>
      <c r="B74" s="710"/>
      <c r="C74" s="295"/>
      <c r="D74" s="318"/>
      <c r="E74" s="319"/>
      <c r="F74" s="320"/>
      <c r="G74" s="320"/>
      <c r="H74" s="321"/>
      <c r="I74" s="321"/>
      <c r="J74" s="320"/>
      <c r="K74" s="354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ref="AE74:AE81" si="48">SUM(E74:AC74)</f>
        <v>0</v>
      </c>
      <c r="AF74" s="381"/>
      <c r="AG74" s="408"/>
      <c r="AH74" s="409">
        <f t="shared" ref="AH74:AH81" si="49">AE74+AF74</f>
        <v>0</v>
      </c>
      <c r="AI74" s="410"/>
      <c r="AJ74" s="411">
        <f t="shared" ref="AJ74:AJ76" si="50">AH74+AI74</f>
        <v>0</v>
      </c>
      <c r="AK74" s="234"/>
      <c r="AL74" s="234"/>
      <c r="AM74" s="234"/>
    </row>
    <row r="75" spans="1:39" ht="20.25">
      <c r="A75" s="424" t="s">
        <v>128</v>
      </c>
      <c r="B75" s="295"/>
      <c r="C75" s="295"/>
      <c r="D75" s="318"/>
      <c r="E75" s="319"/>
      <c r="F75" s="320"/>
      <c r="G75" s="320"/>
      <c r="H75" s="321"/>
      <c r="I75" s="321"/>
      <c r="J75" s="320"/>
      <c r="K75" s="354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48"/>
        <v>0</v>
      </c>
      <c r="AF75" s="381"/>
      <c r="AG75" s="408"/>
      <c r="AH75" s="409">
        <f t="shared" si="49"/>
        <v>0</v>
      </c>
      <c r="AI75" s="410"/>
      <c r="AJ75" s="411">
        <f t="shared" si="50"/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48"/>
        <v>0</v>
      </c>
      <c r="AF76" s="381"/>
      <c r="AG76" s="408"/>
      <c r="AH76" s="409">
        <f t="shared" si="49"/>
        <v>0</v>
      </c>
      <c r="AI76" s="410"/>
      <c r="AJ76" s="411">
        <f t="shared" si="50"/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48"/>
        <v>0</v>
      </c>
      <c r="AF77" s="381"/>
      <c r="AG77" s="408"/>
      <c r="AH77" s="409">
        <f t="shared" si="49"/>
        <v>0</v>
      </c>
      <c r="AI77" s="410"/>
      <c r="AJ77" s="411">
        <f t="shared" ref="AJ77:AJ81" si="51">AH77+AI77</f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48"/>
        <v>0</v>
      </c>
      <c r="AF78" s="381"/>
      <c r="AG78" s="408"/>
      <c r="AH78" s="409">
        <f t="shared" si="49"/>
        <v>0</v>
      </c>
      <c r="AI78" s="410"/>
      <c r="AJ78" s="411">
        <f t="shared" si="51"/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48"/>
        <v>0</v>
      </c>
      <c r="AF79" s="381"/>
      <c r="AG79" s="408"/>
      <c r="AH79" s="409">
        <f t="shared" si="49"/>
        <v>0</v>
      </c>
      <c r="AI79" s="410"/>
      <c r="AJ79" s="411">
        <f t="shared" si="51"/>
        <v>0</v>
      </c>
      <c r="AK79" s="234"/>
      <c r="AL79" s="234"/>
      <c r="AM79" s="234"/>
    </row>
    <row r="80" spans="1:39" ht="20.25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48"/>
        <v>0</v>
      </c>
      <c r="AF80" s="381"/>
      <c r="AG80" s="408"/>
      <c r="AH80" s="409">
        <f t="shared" si="49"/>
        <v>0</v>
      </c>
      <c r="AI80" s="410"/>
      <c r="AJ80" s="411">
        <f t="shared" si="51"/>
        <v>0</v>
      </c>
      <c r="AK80" s="234"/>
      <c r="AL80" s="234"/>
      <c r="AM80" s="234"/>
    </row>
    <row r="81" spans="1:39" ht="20.25">
      <c r="A81" s="322"/>
      <c r="B81" s="323"/>
      <c r="C81" s="323"/>
      <c r="D81" s="324"/>
      <c r="E81" s="325"/>
      <c r="F81" s="297"/>
      <c r="G81" s="297"/>
      <c r="H81" s="298"/>
      <c r="I81" s="298"/>
      <c r="J81" s="297"/>
      <c r="K81" s="344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48"/>
        <v>0</v>
      </c>
      <c r="AF81" s="377"/>
      <c r="AG81" s="390"/>
      <c r="AH81" s="391">
        <f t="shared" si="49"/>
        <v>0</v>
      </c>
      <c r="AI81" s="412"/>
      <c r="AJ81" s="413">
        <f t="shared" si="51"/>
        <v>0</v>
      </c>
      <c r="AK81" s="414" t="s">
        <v>8</v>
      </c>
      <c r="AL81" s="397" t="s">
        <v>23</v>
      </c>
      <c r="AM81" s="415" t="s">
        <v>174</v>
      </c>
    </row>
    <row r="82" spans="1:39" ht="19.5" thickBot="1">
      <c r="A82" s="326" t="s">
        <v>129</v>
      </c>
      <c r="B82" s="327"/>
      <c r="C82" s="327"/>
      <c r="D82" s="328"/>
      <c r="E82" s="329">
        <f>SUM(E70:E81)</f>
        <v>0</v>
      </c>
      <c r="F82" s="329">
        <f t="shared" ref="F82:AJ82" si="52">SUM(F70:F81)</f>
        <v>0</v>
      </c>
      <c r="G82" s="329">
        <f t="shared" si="52"/>
        <v>0</v>
      </c>
      <c r="H82" s="329">
        <f t="shared" si="52"/>
        <v>0</v>
      </c>
      <c r="I82" s="329">
        <f t="shared" si="52"/>
        <v>0</v>
      </c>
      <c r="J82" s="329">
        <f t="shared" si="52"/>
        <v>0</v>
      </c>
      <c r="K82" s="329">
        <f t="shared" si="52"/>
        <v>0</v>
      </c>
      <c r="L82" s="329">
        <f t="shared" si="52"/>
        <v>0</v>
      </c>
      <c r="M82" s="329">
        <f t="shared" si="52"/>
        <v>0</v>
      </c>
      <c r="N82" s="329">
        <f t="shared" si="52"/>
        <v>0</v>
      </c>
      <c r="O82" s="329">
        <f t="shared" si="52"/>
        <v>0</v>
      </c>
      <c r="P82" s="329">
        <f t="shared" si="52"/>
        <v>0</v>
      </c>
      <c r="Q82" s="329">
        <f t="shared" si="52"/>
        <v>0</v>
      </c>
      <c r="R82" s="329">
        <f t="shared" si="52"/>
        <v>0</v>
      </c>
      <c r="S82" s="329">
        <f t="shared" si="52"/>
        <v>0</v>
      </c>
      <c r="T82" s="329">
        <f t="shared" si="52"/>
        <v>0</v>
      </c>
      <c r="U82" s="329">
        <f t="shared" si="52"/>
        <v>0</v>
      </c>
      <c r="V82" s="329">
        <f t="shared" si="52"/>
        <v>0</v>
      </c>
      <c r="W82" s="329">
        <f t="shared" si="52"/>
        <v>0</v>
      </c>
      <c r="X82" s="329">
        <f t="shared" si="52"/>
        <v>0</v>
      </c>
      <c r="Y82" s="329">
        <f t="shared" si="52"/>
        <v>0</v>
      </c>
      <c r="Z82" s="329">
        <f t="shared" si="52"/>
        <v>0</v>
      </c>
      <c r="AA82" s="329">
        <f t="shared" si="52"/>
        <v>0</v>
      </c>
      <c r="AB82" s="329">
        <f t="shared" si="52"/>
        <v>0</v>
      </c>
      <c r="AC82" s="329">
        <f t="shared" si="52"/>
        <v>0</v>
      </c>
      <c r="AD82" s="329">
        <f t="shared" si="52"/>
        <v>0</v>
      </c>
      <c r="AE82" s="329">
        <f t="shared" si="52"/>
        <v>0</v>
      </c>
      <c r="AF82" s="329">
        <f t="shared" si="52"/>
        <v>0</v>
      </c>
      <c r="AG82" s="329">
        <f t="shared" si="52"/>
        <v>0</v>
      </c>
      <c r="AH82" s="329">
        <f t="shared" si="52"/>
        <v>0</v>
      </c>
      <c r="AI82" s="329">
        <f t="shared" si="52"/>
        <v>0</v>
      </c>
      <c r="AJ82" s="329">
        <f t="shared" si="52"/>
        <v>0</v>
      </c>
      <c r="AK82" s="399">
        <f>'BIG CHAIR'!CL105</f>
        <v>0</v>
      </c>
      <c r="AL82" s="400">
        <f>'Tea Table'!X195</f>
        <v>0</v>
      </c>
      <c r="AM82" s="401">
        <f>AH82+AK82+AL82</f>
        <v>0</v>
      </c>
    </row>
    <row r="83" spans="1:39" ht="24" thickBot="1">
      <c r="A83" s="721" t="s">
        <v>130</v>
      </c>
      <c r="B83" s="722" t="s">
        <v>68</v>
      </c>
      <c r="C83" s="287" t="s">
        <v>69</v>
      </c>
      <c r="D83" s="288" t="s">
        <v>70</v>
      </c>
      <c r="E83" s="80" t="s">
        <v>87</v>
      </c>
      <c r="F83" s="49" t="s">
        <v>85</v>
      </c>
      <c r="G83" s="49" t="s">
        <v>86</v>
      </c>
      <c r="H83" s="49" t="s">
        <v>92</v>
      </c>
      <c r="I83" s="49" t="s">
        <v>213</v>
      </c>
      <c r="J83" s="49" t="s">
        <v>97</v>
      </c>
      <c r="K83" s="126" t="s">
        <v>407</v>
      </c>
      <c r="L83" s="79"/>
      <c r="M83" s="80" t="s">
        <v>214</v>
      </c>
      <c r="N83" s="49" t="s">
        <v>53</v>
      </c>
      <c r="O83" s="49" t="s">
        <v>94</v>
      </c>
      <c r="P83" s="49" t="s">
        <v>76</v>
      </c>
      <c r="Q83" s="49" t="s">
        <v>95</v>
      </c>
      <c r="R83" s="49" t="s">
        <v>73</v>
      </c>
      <c r="S83" s="860" t="s">
        <v>486</v>
      </c>
      <c r="T83" s="171"/>
      <c r="U83" s="79"/>
      <c r="V83" s="99" t="s">
        <v>526</v>
      </c>
      <c r="W83" s="716" t="s">
        <v>53</v>
      </c>
      <c r="X83" s="104" t="s">
        <v>519</v>
      </c>
      <c r="Y83" s="103" t="s">
        <v>94</v>
      </c>
      <c r="Z83" s="104"/>
      <c r="AA83" s="104" t="s">
        <v>96</v>
      </c>
      <c r="AB83" s="121" t="s">
        <v>86</v>
      </c>
      <c r="AC83" s="717"/>
      <c r="AD83" s="370"/>
      <c r="AE83" s="371" t="s">
        <v>172</v>
      </c>
      <c r="AF83" s="372" t="s">
        <v>80</v>
      </c>
      <c r="AG83" s="385"/>
      <c r="AH83" s="386" t="s">
        <v>106</v>
      </c>
      <c r="AI83" s="385" t="s">
        <v>173</v>
      </c>
      <c r="AJ83" s="371" t="s">
        <v>108</v>
      </c>
      <c r="AK83" s="282"/>
      <c r="AL83" s="282"/>
      <c r="AM83" s="282"/>
    </row>
    <row r="84" spans="1:39" ht="20.25">
      <c r="A84" s="792" t="s">
        <v>131</v>
      </c>
      <c r="B84" s="311"/>
      <c r="C84" s="311"/>
      <c r="D84" s="312"/>
      <c r="E84" s="313"/>
      <c r="F84" s="314"/>
      <c r="G84" s="314"/>
      <c r="H84" s="315"/>
      <c r="I84" s="315"/>
      <c r="J84" s="314"/>
      <c r="K84" s="348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ref="AE84:AE87" si="53">SUM(E84:AC84)</f>
        <v>0</v>
      </c>
      <c r="AF84" s="379"/>
      <c r="AG84" s="404"/>
      <c r="AH84" s="405">
        <f>AE84+AF84</f>
        <v>0</v>
      </c>
      <c r="AI84" s="406"/>
      <c r="AJ84" s="407">
        <f>AH84+AI84</f>
        <v>0</v>
      </c>
      <c r="AK84" s="234"/>
      <c r="AL84" s="234"/>
      <c r="AM84" s="234"/>
    </row>
    <row r="85" spans="1:39" ht="20.25">
      <c r="A85" s="424" t="s">
        <v>131</v>
      </c>
      <c r="B85" s="317"/>
      <c r="C85" s="317"/>
      <c r="D85" s="318"/>
      <c r="E85" s="319"/>
      <c r="F85" s="320"/>
      <c r="G85" s="320"/>
      <c r="H85" s="321"/>
      <c r="I85" s="321"/>
      <c r="J85" s="320"/>
      <c r="K85" s="351"/>
      <c r="L85" s="352"/>
      <c r="M85" s="353"/>
      <c r="N85" s="320"/>
      <c r="O85" s="320"/>
      <c r="P85" s="321"/>
      <c r="Q85" s="321"/>
      <c r="R85" s="321"/>
      <c r="S85" s="320"/>
      <c r="T85" s="351"/>
      <c r="U85" s="352"/>
      <c r="V85" s="353"/>
      <c r="W85" s="321"/>
      <c r="X85" s="321"/>
      <c r="Y85" s="321"/>
      <c r="Z85" s="321"/>
      <c r="AA85" s="321"/>
      <c r="AB85" s="321"/>
      <c r="AC85" s="380"/>
      <c r="AD85" s="352"/>
      <c r="AE85" s="381">
        <f t="shared" si="53"/>
        <v>0</v>
      </c>
      <c r="AF85" s="381"/>
      <c r="AG85" s="408"/>
      <c r="AH85" s="409">
        <f t="shared" ref="AH85:AH100" si="54">AE85+AF85</f>
        <v>0</v>
      </c>
      <c r="AI85" s="410"/>
      <c r="AJ85" s="411">
        <f>AH85+AI85</f>
        <v>0</v>
      </c>
      <c r="AK85" s="234"/>
      <c r="AL85" s="234"/>
      <c r="AM85" s="234"/>
    </row>
    <row r="86" spans="1:39" ht="20.25">
      <c r="A86" s="424" t="s">
        <v>131</v>
      </c>
      <c r="B86" s="295"/>
      <c r="C86" s="295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53"/>
        <v>0</v>
      </c>
      <c r="AF86" s="381"/>
      <c r="AG86" s="408"/>
      <c r="AH86" s="409">
        <f t="shared" si="54"/>
        <v>0</v>
      </c>
      <c r="AI86" s="410"/>
      <c r="AJ86" s="411">
        <f>AH86+AI86</f>
        <v>0</v>
      </c>
      <c r="AK86" s="234"/>
      <c r="AL86" s="234"/>
      <c r="AM86" s="234"/>
    </row>
    <row r="87" spans="1:39" ht="20.25">
      <c r="A87" s="424" t="s">
        <v>131</v>
      </c>
      <c r="B87" s="710"/>
      <c r="C87" s="295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53"/>
        <v>0</v>
      </c>
      <c r="AF87" s="381"/>
      <c r="AG87" s="408"/>
      <c r="AH87" s="409">
        <f t="shared" si="54"/>
        <v>0</v>
      </c>
      <c r="AI87" s="410"/>
      <c r="AJ87" s="411">
        <f>AH87+AI87</f>
        <v>0</v>
      </c>
      <c r="AK87" s="234"/>
      <c r="AL87" s="234"/>
      <c r="AM87" s="234"/>
    </row>
    <row r="88" spans="1:39" ht="20.25">
      <c r="A88" s="424" t="s">
        <v>131</v>
      </c>
      <c r="B88" s="710"/>
      <c r="C88" s="295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ref="AE88:AE100" si="55">SUM(E88:AC88)</f>
        <v>0</v>
      </c>
      <c r="AF88" s="381"/>
      <c r="AG88" s="408"/>
      <c r="AH88" s="409">
        <f t="shared" si="54"/>
        <v>0</v>
      </c>
      <c r="AI88" s="410"/>
      <c r="AJ88" s="411">
        <f t="shared" ref="AJ88:AJ100" si="56">AH88+AI88</f>
        <v>0</v>
      </c>
      <c r="AK88" s="234"/>
      <c r="AL88" s="234"/>
      <c r="AM88" s="234"/>
    </row>
    <row r="89" spans="1:39" ht="20.25">
      <c r="A89" s="424" t="s">
        <v>131</v>
      </c>
      <c r="B89" s="295"/>
      <c r="C89" s="295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55"/>
        <v>0</v>
      </c>
      <c r="AF89" s="381"/>
      <c r="AG89" s="408"/>
      <c r="AH89" s="409">
        <f t="shared" si="54"/>
        <v>0</v>
      </c>
      <c r="AI89" s="410"/>
      <c r="AJ89" s="411">
        <f t="shared" si="56"/>
        <v>0</v>
      </c>
      <c r="AK89" s="234"/>
      <c r="AL89" s="234"/>
      <c r="AM89" s="234"/>
    </row>
    <row r="90" spans="1:39" ht="20.25">
      <c r="A90" s="424" t="s">
        <v>131</v>
      </c>
      <c r="B90" s="295"/>
      <c r="C90" s="295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55"/>
        <v>0</v>
      </c>
      <c r="AF90" s="381"/>
      <c r="AG90" s="408"/>
      <c r="AH90" s="409">
        <f t="shared" si="54"/>
        <v>0</v>
      </c>
      <c r="AI90" s="410"/>
      <c r="AJ90" s="411">
        <f t="shared" si="56"/>
        <v>0</v>
      </c>
      <c r="AK90" s="234"/>
      <c r="AL90" s="234"/>
      <c r="AM90" s="234"/>
    </row>
    <row r="91" spans="1:39" ht="20.25">
      <c r="A91" s="424" t="s">
        <v>131</v>
      </c>
      <c r="B91" s="295"/>
      <c r="C91" s="295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55"/>
        <v>0</v>
      </c>
      <c r="AF91" s="381"/>
      <c r="AG91" s="408"/>
      <c r="AH91" s="409">
        <f t="shared" si="54"/>
        <v>0</v>
      </c>
      <c r="AI91" s="410"/>
      <c r="AJ91" s="411">
        <f t="shared" si="56"/>
        <v>0</v>
      </c>
      <c r="AK91" s="234"/>
      <c r="AL91" s="234"/>
      <c r="AM91" s="234"/>
    </row>
    <row r="92" spans="1:39" ht="20.25">
      <c r="A92" s="424" t="s">
        <v>131</v>
      </c>
      <c r="B92" s="295"/>
      <c r="C92" s="295"/>
      <c r="D92" s="318"/>
      <c r="E92" s="319"/>
      <c r="F92" s="320"/>
      <c r="G92" s="320"/>
      <c r="H92" s="321"/>
      <c r="I92" s="321"/>
      <c r="J92" s="320"/>
      <c r="K92" s="354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55"/>
        <v>0</v>
      </c>
      <c r="AF92" s="381"/>
      <c r="AG92" s="408"/>
      <c r="AH92" s="409">
        <f t="shared" si="54"/>
        <v>0</v>
      </c>
      <c r="AI92" s="410"/>
      <c r="AJ92" s="411">
        <f t="shared" si="56"/>
        <v>0</v>
      </c>
      <c r="AK92" s="234"/>
      <c r="AL92" s="234"/>
      <c r="AM92" s="234"/>
    </row>
    <row r="93" spans="1:39" ht="20.25">
      <c r="A93" s="424" t="s">
        <v>131</v>
      </c>
      <c r="B93" s="295"/>
      <c r="C93" s="295"/>
      <c r="D93" s="318"/>
      <c r="E93" s="319"/>
      <c r="F93" s="320"/>
      <c r="G93" s="320"/>
      <c r="H93" s="321"/>
      <c r="I93" s="321"/>
      <c r="J93" s="320"/>
      <c r="K93" s="354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ref="AE93:AE94" si="57">SUM(E93:AC93)</f>
        <v>0</v>
      </c>
      <c r="AF93" s="381"/>
      <c r="AG93" s="408"/>
      <c r="AH93" s="409">
        <f t="shared" ref="AH93:AH94" si="58">AE93+AF93</f>
        <v>0</v>
      </c>
      <c r="AI93" s="410"/>
      <c r="AJ93" s="411">
        <f t="shared" ref="AJ93:AJ94" si="59">AH93+AI93</f>
        <v>0</v>
      </c>
      <c r="AK93" s="234"/>
      <c r="AL93" s="234"/>
      <c r="AM93" s="234"/>
    </row>
    <row r="94" spans="1:39" ht="20.25">
      <c r="A94" s="424" t="s">
        <v>131</v>
      </c>
      <c r="B94" s="295"/>
      <c r="C94" s="295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57"/>
        <v>0</v>
      </c>
      <c r="AF94" s="381"/>
      <c r="AG94" s="408"/>
      <c r="AH94" s="409">
        <f t="shared" si="58"/>
        <v>0</v>
      </c>
      <c r="AI94" s="410"/>
      <c r="AJ94" s="411">
        <f t="shared" si="59"/>
        <v>0</v>
      </c>
      <c r="AK94" s="234"/>
      <c r="AL94" s="234"/>
      <c r="AM94" s="234"/>
    </row>
    <row r="95" spans="1:39" ht="20.25">
      <c r="A95" s="424" t="s">
        <v>131</v>
      </c>
      <c r="B95" s="295"/>
      <c r="C95" s="295"/>
      <c r="D95" s="318"/>
      <c r="E95" s="319"/>
      <c r="F95" s="320"/>
      <c r="G95" s="320"/>
      <c r="H95" s="321"/>
      <c r="I95" s="321"/>
      <c r="J95" s="320"/>
      <c r="K95" s="354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55"/>
        <v>0</v>
      </c>
      <c r="AF95" s="381"/>
      <c r="AG95" s="408"/>
      <c r="AH95" s="409">
        <f t="shared" si="54"/>
        <v>0</v>
      </c>
      <c r="AI95" s="410"/>
      <c r="AJ95" s="411">
        <f t="shared" si="56"/>
        <v>0</v>
      </c>
      <c r="AK95" s="234"/>
      <c r="AL95" s="234"/>
      <c r="AM95" s="234"/>
    </row>
    <row r="96" spans="1:39" ht="20.25">
      <c r="A96" s="424" t="s">
        <v>131</v>
      </c>
      <c r="B96" s="295"/>
      <c r="C96" s="295"/>
      <c r="D96" s="318"/>
      <c r="E96" s="319"/>
      <c r="F96" s="320"/>
      <c r="G96" s="320"/>
      <c r="H96" s="321"/>
      <c r="I96" s="321"/>
      <c r="J96" s="320"/>
      <c r="K96" s="354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55"/>
        <v>0</v>
      </c>
      <c r="AF96" s="381"/>
      <c r="AG96" s="408"/>
      <c r="AH96" s="409">
        <f t="shared" si="54"/>
        <v>0</v>
      </c>
      <c r="AI96" s="410"/>
      <c r="AJ96" s="411">
        <f t="shared" si="56"/>
        <v>0</v>
      </c>
      <c r="AK96" s="234"/>
      <c r="AL96" s="234"/>
      <c r="AM96" s="234"/>
    </row>
    <row r="97" spans="1:39" ht="20.25">
      <c r="A97" s="424" t="s">
        <v>131</v>
      </c>
      <c r="B97" s="295"/>
      <c r="C97" s="295"/>
      <c r="D97" s="318"/>
      <c r="E97" s="319"/>
      <c r="F97" s="320"/>
      <c r="G97" s="320"/>
      <c r="H97" s="321"/>
      <c r="I97" s="321"/>
      <c r="J97" s="320"/>
      <c r="K97" s="354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ref="AE97:AE99" si="60">SUM(E97:AC97)</f>
        <v>0</v>
      </c>
      <c r="AF97" s="381"/>
      <c r="AG97" s="408"/>
      <c r="AH97" s="409">
        <f t="shared" ref="AH97:AH99" si="61">AE97+AF97</f>
        <v>0</v>
      </c>
      <c r="AI97" s="410"/>
      <c r="AJ97" s="411">
        <f t="shared" ref="AJ97:AJ99" si="62">AH97+AI97</f>
        <v>0</v>
      </c>
      <c r="AK97" s="234"/>
      <c r="AL97" s="234"/>
      <c r="AM97" s="234"/>
    </row>
    <row r="98" spans="1:39" ht="20.25">
      <c r="A98" s="424" t="s">
        <v>131</v>
      </c>
      <c r="B98" s="295"/>
      <c r="C98" s="295"/>
      <c r="D98" s="318"/>
      <c r="E98" s="319"/>
      <c r="F98" s="320"/>
      <c r="G98" s="320"/>
      <c r="H98" s="321"/>
      <c r="I98" s="321"/>
      <c r="J98" s="320"/>
      <c r="K98" s="354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ref="AE98" si="63">SUM(E98:AC98)</f>
        <v>0</v>
      </c>
      <c r="AF98" s="381"/>
      <c r="AG98" s="408"/>
      <c r="AH98" s="409">
        <f t="shared" ref="AH98" si="64">AE98+AF98</f>
        <v>0</v>
      </c>
      <c r="AI98" s="410"/>
      <c r="AJ98" s="411">
        <f t="shared" ref="AJ98" si="65">AH98+AI98</f>
        <v>0</v>
      </c>
      <c r="AK98" s="234"/>
      <c r="AL98" s="234"/>
      <c r="AM98" s="234"/>
    </row>
    <row r="99" spans="1:39" ht="21" thickBot="1">
      <c r="A99" s="424" t="s">
        <v>131</v>
      </c>
      <c r="B99" s="295"/>
      <c r="C99" s="295"/>
      <c r="D99" s="318"/>
      <c r="E99" s="319"/>
      <c r="F99" s="320"/>
      <c r="G99" s="320"/>
      <c r="H99" s="321"/>
      <c r="I99" s="321"/>
      <c r="J99" s="320"/>
      <c r="K99" s="354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60"/>
        <v>0</v>
      </c>
      <c r="AF99" s="381"/>
      <c r="AG99" s="408"/>
      <c r="AH99" s="409">
        <f t="shared" si="61"/>
        <v>0</v>
      </c>
      <c r="AI99" s="410"/>
      <c r="AJ99" s="411">
        <f t="shared" si="62"/>
        <v>0</v>
      </c>
      <c r="AK99" s="234"/>
      <c r="AL99" s="234"/>
      <c r="AM99" s="234"/>
    </row>
    <row r="100" spans="1:39" ht="21" thickBot="1">
      <c r="A100" s="322"/>
      <c r="B100" s="323"/>
      <c r="C100" s="323"/>
      <c r="D100" s="324"/>
      <c r="E100" s="325"/>
      <c r="F100" s="297"/>
      <c r="G100" s="297"/>
      <c r="H100" s="298"/>
      <c r="I100" s="298"/>
      <c r="J100" s="297"/>
      <c r="K100" s="344"/>
      <c r="L100" s="355"/>
      <c r="M100" s="343"/>
      <c r="N100" s="298"/>
      <c r="O100" s="298"/>
      <c r="P100" s="298"/>
      <c r="Q100" s="298"/>
      <c r="R100" s="298"/>
      <c r="S100" s="298"/>
      <c r="T100" s="367"/>
      <c r="U100" s="355"/>
      <c r="V100" s="325"/>
      <c r="W100" s="297"/>
      <c r="X100" s="297"/>
      <c r="Y100" s="298"/>
      <c r="Z100" s="298"/>
      <c r="AA100" s="298"/>
      <c r="AB100" s="297"/>
      <c r="AC100" s="375"/>
      <c r="AD100" s="355"/>
      <c r="AE100" s="376">
        <f t="shared" si="55"/>
        <v>0</v>
      </c>
      <c r="AF100" s="377"/>
      <c r="AG100" s="390"/>
      <c r="AH100" s="391">
        <f t="shared" si="54"/>
        <v>0</v>
      </c>
      <c r="AI100" s="412"/>
      <c r="AJ100" s="413">
        <f t="shared" si="56"/>
        <v>0</v>
      </c>
      <c r="AK100" s="414" t="s">
        <v>8</v>
      </c>
      <c r="AL100" s="397" t="s">
        <v>23</v>
      </c>
      <c r="AM100" s="415" t="s">
        <v>174</v>
      </c>
    </row>
    <row r="101" spans="1:39" ht="19.5" thickBot="1">
      <c r="A101" s="326" t="s">
        <v>132</v>
      </c>
      <c r="B101" s="327"/>
      <c r="C101" s="327"/>
      <c r="D101" s="328"/>
      <c r="E101" s="329">
        <f>SUM(E84:E100)</f>
        <v>0</v>
      </c>
      <c r="F101" s="329">
        <f t="shared" ref="F101:AJ101" si="66">SUM(F84:F100)</f>
        <v>0</v>
      </c>
      <c r="G101" s="329">
        <f t="shared" si="66"/>
        <v>0</v>
      </c>
      <c r="H101" s="329">
        <f t="shared" si="66"/>
        <v>0</v>
      </c>
      <c r="I101" s="329">
        <f t="shared" si="66"/>
        <v>0</v>
      </c>
      <c r="J101" s="329">
        <f t="shared" si="66"/>
        <v>0</v>
      </c>
      <c r="K101" s="329">
        <f t="shared" si="66"/>
        <v>0</v>
      </c>
      <c r="L101" s="329">
        <f t="shared" si="66"/>
        <v>0</v>
      </c>
      <c r="M101" s="329">
        <f t="shared" si="66"/>
        <v>0</v>
      </c>
      <c r="N101" s="329">
        <f t="shared" si="66"/>
        <v>0</v>
      </c>
      <c r="O101" s="329">
        <f t="shared" si="66"/>
        <v>0</v>
      </c>
      <c r="P101" s="329">
        <f t="shared" si="66"/>
        <v>0</v>
      </c>
      <c r="Q101" s="329">
        <f t="shared" si="66"/>
        <v>0</v>
      </c>
      <c r="R101" s="329">
        <f t="shared" si="66"/>
        <v>0</v>
      </c>
      <c r="S101" s="329">
        <f t="shared" si="66"/>
        <v>0</v>
      </c>
      <c r="T101" s="329">
        <f t="shared" si="66"/>
        <v>0</v>
      </c>
      <c r="U101" s="329">
        <f t="shared" si="66"/>
        <v>0</v>
      </c>
      <c r="V101" s="329">
        <f t="shared" si="66"/>
        <v>0</v>
      </c>
      <c r="W101" s="329">
        <f t="shared" si="66"/>
        <v>0</v>
      </c>
      <c r="X101" s="329">
        <f t="shared" si="66"/>
        <v>0</v>
      </c>
      <c r="Y101" s="329">
        <f t="shared" si="66"/>
        <v>0</v>
      </c>
      <c r="Z101" s="329">
        <f t="shared" si="66"/>
        <v>0</v>
      </c>
      <c r="AA101" s="329">
        <f t="shared" si="66"/>
        <v>0</v>
      </c>
      <c r="AB101" s="329">
        <f t="shared" si="66"/>
        <v>0</v>
      </c>
      <c r="AC101" s="329">
        <f t="shared" si="66"/>
        <v>0</v>
      </c>
      <c r="AD101" s="329">
        <f t="shared" si="66"/>
        <v>0</v>
      </c>
      <c r="AE101" s="329">
        <f t="shared" si="66"/>
        <v>0</v>
      </c>
      <c r="AF101" s="329">
        <f t="shared" si="66"/>
        <v>0</v>
      </c>
      <c r="AG101" s="329">
        <f t="shared" si="66"/>
        <v>0</v>
      </c>
      <c r="AH101" s="329">
        <f t="shared" si="66"/>
        <v>0</v>
      </c>
      <c r="AI101" s="329">
        <f t="shared" si="66"/>
        <v>0</v>
      </c>
      <c r="AJ101" s="329">
        <f t="shared" si="66"/>
        <v>0</v>
      </c>
      <c r="AK101" s="399">
        <f>'BIG CHAIR'!CL119</f>
        <v>0</v>
      </c>
      <c r="AL101" s="400">
        <f>'Tea Table'!X209</f>
        <v>144</v>
      </c>
      <c r="AM101" s="401">
        <f>AH101+AK101+AL101</f>
        <v>144</v>
      </c>
    </row>
    <row r="102" spans="1:39" ht="24" thickBot="1">
      <c r="A102" s="721" t="s">
        <v>393</v>
      </c>
      <c r="B102" s="722" t="s">
        <v>68</v>
      </c>
      <c r="C102" s="287" t="s">
        <v>69</v>
      </c>
      <c r="D102" s="288" t="s">
        <v>70</v>
      </c>
      <c r="E102" s="80" t="s">
        <v>87</v>
      </c>
      <c r="F102" s="49" t="s">
        <v>85</v>
      </c>
      <c r="G102" s="49" t="s">
        <v>86</v>
      </c>
      <c r="H102" s="49" t="s">
        <v>92</v>
      </c>
      <c r="I102" s="49" t="s">
        <v>213</v>
      </c>
      <c r="J102" s="49" t="s">
        <v>97</v>
      </c>
      <c r="K102" s="126"/>
      <c r="L102" s="79"/>
      <c r="M102" s="80" t="s">
        <v>214</v>
      </c>
      <c r="N102" s="49" t="s">
        <v>53</v>
      </c>
      <c r="O102" s="49" t="s">
        <v>94</v>
      </c>
      <c r="P102" s="49" t="s">
        <v>76</v>
      </c>
      <c r="Q102" s="49" t="s">
        <v>95</v>
      </c>
      <c r="R102" s="49" t="s">
        <v>73</v>
      </c>
      <c r="S102" s="860" t="s">
        <v>486</v>
      </c>
      <c r="T102" s="171" t="s">
        <v>215</v>
      </c>
      <c r="U102" s="79"/>
      <c r="V102" s="99" t="s">
        <v>526</v>
      </c>
      <c r="W102" s="716" t="s">
        <v>53</v>
      </c>
      <c r="X102" s="104" t="s">
        <v>519</v>
      </c>
      <c r="Y102" s="103" t="s">
        <v>94</v>
      </c>
      <c r="Z102" s="104"/>
      <c r="AA102" s="104" t="s">
        <v>96</v>
      </c>
      <c r="AB102" s="121" t="s">
        <v>86</v>
      </c>
      <c r="AC102" s="717"/>
      <c r="AD102" s="370"/>
      <c r="AE102" s="371" t="s">
        <v>172</v>
      </c>
      <c r="AF102" s="372" t="s">
        <v>80</v>
      </c>
      <c r="AG102" s="385"/>
      <c r="AH102" s="386" t="s">
        <v>106</v>
      </c>
      <c r="AI102" s="385" t="s">
        <v>173</v>
      </c>
      <c r="AJ102" s="371" t="s">
        <v>108</v>
      </c>
      <c r="AK102" s="282"/>
      <c r="AL102" s="282"/>
      <c r="AM102" s="282"/>
    </row>
    <row r="103" spans="1:39" ht="20.25">
      <c r="A103" s="792" t="s">
        <v>392</v>
      </c>
      <c r="B103" s="311"/>
      <c r="C103" s="311"/>
      <c r="D103" s="312"/>
      <c r="E103" s="313"/>
      <c r="F103" s="314"/>
      <c r="G103" s="314"/>
      <c r="H103" s="315"/>
      <c r="I103" s="315"/>
      <c r="J103" s="314"/>
      <c r="K103" s="477"/>
      <c r="L103" s="349"/>
      <c r="M103" s="350"/>
      <c r="N103" s="315"/>
      <c r="O103" s="315"/>
      <c r="P103" s="315"/>
      <c r="Q103" s="315"/>
      <c r="R103" s="315"/>
      <c r="S103" s="315"/>
      <c r="T103" s="477"/>
      <c r="U103" s="349"/>
      <c r="V103" s="350"/>
      <c r="W103" s="315"/>
      <c r="X103" s="315"/>
      <c r="Y103" s="315"/>
      <c r="Z103" s="315"/>
      <c r="AA103" s="315"/>
      <c r="AB103" s="315"/>
      <c r="AC103" s="378"/>
      <c r="AD103" s="349"/>
      <c r="AE103" s="379">
        <f t="shared" ref="AE103:AE106" si="67">SUM(E103:AC103)</f>
        <v>0</v>
      </c>
      <c r="AF103" s="379"/>
      <c r="AG103" s="404"/>
      <c r="AH103" s="405">
        <f>AE103+AF103</f>
        <v>0</v>
      </c>
      <c r="AI103" s="406"/>
      <c r="AJ103" s="407">
        <f>AH103+AI103</f>
        <v>0</v>
      </c>
      <c r="AK103" s="234"/>
      <c r="AL103" s="234"/>
      <c r="AM103" s="234"/>
    </row>
    <row r="104" spans="1:39" ht="20.25">
      <c r="A104" s="424" t="s">
        <v>392</v>
      </c>
      <c r="B104" s="317"/>
      <c r="C104" s="317"/>
      <c r="D104" s="318"/>
      <c r="E104" s="319"/>
      <c r="F104" s="320"/>
      <c r="G104" s="320"/>
      <c r="H104" s="321"/>
      <c r="I104" s="321"/>
      <c r="J104" s="320"/>
      <c r="K104" s="351"/>
      <c r="L104" s="352"/>
      <c r="M104" s="353"/>
      <c r="N104" s="320"/>
      <c r="O104" s="320"/>
      <c r="P104" s="321"/>
      <c r="Q104" s="321"/>
      <c r="R104" s="321"/>
      <c r="S104" s="320"/>
      <c r="T104" s="351"/>
      <c r="U104" s="352"/>
      <c r="V104" s="353"/>
      <c r="W104" s="321"/>
      <c r="X104" s="321"/>
      <c r="Y104" s="321"/>
      <c r="Z104" s="321"/>
      <c r="AA104" s="321"/>
      <c r="AB104" s="321"/>
      <c r="AC104" s="380"/>
      <c r="AD104" s="352"/>
      <c r="AE104" s="381">
        <f t="shared" si="67"/>
        <v>0</v>
      </c>
      <c r="AF104" s="381"/>
      <c r="AG104" s="408"/>
      <c r="AH104" s="409">
        <f t="shared" ref="AH104:AH106" si="68">AE104+AF104</f>
        <v>0</v>
      </c>
      <c r="AI104" s="410"/>
      <c r="AJ104" s="411">
        <f>AH104+AI104</f>
        <v>0</v>
      </c>
      <c r="AK104" s="234"/>
      <c r="AL104" s="234"/>
      <c r="AM104" s="234"/>
    </row>
    <row r="105" spans="1:39" ht="20.25">
      <c r="A105" s="424" t="s">
        <v>392</v>
      </c>
      <c r="B105" s="295"/>
      <c r="C105" s="295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67"/>
        <v>0</v>
      </c>
      <c r="AF105" s="381"/>
      <c r="AG105" s="408"/>
      <c r="AH105" s="409">
        <f t="shared" si="68"/>
        <v>0</v>
      </c>
      <c r="AI105" s="410"/>
      <c r="AJ105" s="411">
        <f>AH105+AI105</f>
        <v>0</v>
      </c>
      <c r="AK105" s="234"/>
      <c r="AL105" s="234"/>
      <c r="AM105" s="234"/>
    </row>
    <row r="106" spans="1:39" ht="20.25">
      <c r="A106" s="424" t="s">
        <v>392</v>
      </c>
      <c r="B106" s="295"/>
      <c r="C106" s="295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67"/>
        <v>0</v>
      </c>
      <c r="AF106" s="381"/>
      <c r="AG106" s="408"/>
      <c r="AH106" s="409">
        <f t="shared" si="68"/>
        <v>0</v>
      </c>
      <c r="AI106" s="410"/>
      <c r="AJ106" s="411">
        <f>AH106+AI106</f>
        <v>0</v>
      </c>
      <c r="AK106" s="234"/>
      <c r="AL106" s="234"/>
      <c r="AM106" s="234"/>
    </row>
    <row r="107" spans="1:39" ht="20.25">
      <c r="A107" s="424" t="s">
        <v>392</v>
      </c>
      <c r="B107" s="295"/>
      <c r="C107" s="295"/>
      <c r="D107" s="318"/>
      <c r="E107" s="1190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ref="AE107:AE114" si="69">SUM(E107:AC107)</f>
        <v>0</v>
      </c>
      <c r="AF107" s="381"/>
      <c r="AG107" s="408"/>
      <c r="AH107" s="409">
        <f t="shared" ref="AH107:AH114" si="70">AE107+AF107</f>
        <v>0</v>
      </c>
      <c r="AI107" s="410"/>
      <c r="AJ107" s="411">
        <f t="shared" ref="AJ107:AJ109" si="71">AH107+AI107</f>
        <v>0</v>
      </c>
      <c r="AK107" s="234"/>
      <c r="AL107" s="234"/>
      <c r="AM107" s="234"/>
    </row>
    <row r="108" spans="1:39" ht="20.25">
      <c r="A108" s="424" t="s">
        <v>392</v>
      </c>
      <c r="B108" s="295"/>
      <c r="C108" s="295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69"/>
        <v>0</v>
      </c>
      <c r="AF108" s="381"/>
      <c r="AG108" s="408"/>
      <c r="AH108" s="409">
        <f t="shared" si="70"/>
        <v>0</v>
      </c>
      <c r="AI108" s="410"/>
      <c r="AJ108" s="411">
        <f t="shared" si="71"/>
        <v>0</v>
      </c>
      <c r="AK108" s="234"/>
      <c r="AL108" s="234"/>
      <c r="AM108" s="234"/>
    </row>
    <row r="109" spans="1:39" ht="20.25">
      <c r="A109" s="424" t="s">
        <v>392</v>
      </c>
      <c r="B109" s="295"/>
      <c r="C109" s="295"/>
      <c r="D109" s="318"/>
      <c r="E109" s="319"/>
      <c r="F109" s="320"/>
      <c r="G109" s="320"/>
      <c r="H109" s="321"/>
      <c r="I109" s="321"/>
      <c r="J109" s="320"/>
      <c r="K109" s="354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69"/>
        <v>0</v>
      </c>
      <c r="AF109" s="381"/>
      <c r="AG109" s="408"/>
      <c r="AH109" s="409">
        <f t="shared" si="70"/>
        <v>0</v>
      </c>
      <c r="AI109" s="410"/>
      <c r="AJ109" s="411">
        <f t="shared" si="71"/>
        <v>0</v>
      </c>
      <c r="AK109" s="234"/>
      <c r="AL109" s="234"/>
      <c r="AM109" s="234"/>
    </row>
    <row r="110" spans="1:39" ht="20.25">
      <c r="A110" s="424" t="s">
        <v>392</v>
      </c>
      <c r="B110" s="295"/>
      <c r="C110" s="295"/>
      <c r="D110" s="318"/>
      <c r="E110" s="319"/>
      <c r="F110" s="320"/>
      <c r="G110" s="320"/>
      <c r="H110" s="321"/>
      <c r="I110" s="321"/>
      <c r="J110" s="320"/>
      <c r="K110" s="354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/>
      <c r="AD110" s="352"/>
      <c r="AE110" s="381">
        <f t="shared" si="69"/>
        <v>0</v>
      </c>
      <c r="AF110" s="381"/>
      <c r="AG110" s="408"/>
      <c r="AH110" s="409">
        <f t="shared" si="70"/>
        <v>0</v>
      </c>
      <c r="AI110" s="410"/>
      <c r="AJ110" s="411">
        <f t="shared" ref="AJ110:AJ114" si="72">AH110+AI110</f>
        <v>0</v>
      </c>
      <c r="AK110" s="234"/>
      <c r="AL110" s="234"/>
      <c r="AM110" s="234"/>
    </row>
    <row r="111" spans="1:39" ht="20.25">
      <c r="A111" s="424" t="s">
        <v>392</v>
      </c>
      <c r="B111" s="295"/>
      <c r="C111" s="295"/>
      <c r="D111" s="318"/>
      <c r="E111" s="319"/>
      <c r="F111" s="320"/>
      <c r="G111" s="320"/>
      <c r="H111" s="321"/>
      <c r="I111" s="321"/>
      <c r="J111" s="320"/>
      <c r="K111" s="354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69"/>
        <v>0</v>
      </c>
      <c r="AF111" s="381"/>
      <c r="AG111" s="408"/>
      <c r="AH111" s="409">
        <f t="shared" si="70"/>
        <v>0</v>
      </c>
      <c r="AI111" s="410"/>
      <c r="AJ111" s="411">
        <f t="shared" si="72"/>
        <v>0</v>
      </c>
      <c r="AK111" s="234"/>
      <c r="AL111" s="234"/>
      <c r="AM111" s="234"/>
    </row>
    <row r="112" spans="1:39" ht="20.25">
      <c r="A112" s="424" t="s">
        <v>392</v>
      </c>
      <c r="B112" s="295"/>
      <c r="C112" s="295"/>
      <c r="D112" s="318"/>
      <c r="E112" s="319"/>
      <c r="F112" s="320"/>
      <c r="G112" s="320"/>
      <c r="H112" s="321"/>
      <c r="I112" s="321"/>
      <c r="J112" s="320"/>
      <c r="K112" s="354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69"/>
        <v>0</v>
      </c>
      <c r="AF112" s="381"/>
      <c r="AG112" s="408"/>
      <c r="AH112" s="409">
        <f t="shared" si="70"/>
        <v>0</v>
      </c>
      <c r="AI112" s="410"/>
      <c r="AJ112" s="411">
        <f t="shared" si="72"/>
        <v>0</v>
      </c>
      <c r="AK112" s="234"/>
      <c r="AL112" s="234"/>
      <c r="AM112" s="234"/>
    </row>
    <row r="113" spans="1:39" ht="20.25">
      <c r="A113" s="424" t="s">
        <v>392</v>
      </c>
      <c r="B113" s="295"/>
      <c r="C113" s="295"/>
      <c r="D113" s="318"/>
      <c r="E113" s="319"/>
      <c r="F113" s="320"/>
      <c r="G113" s="320"/>
      <c r="H113" s="321"/>
      <c r="I113" s="321"/>
      <c r="J113" s="320"/>
      <c r="K113" s="354"/>
      <c r="L113" s="352"/>
      <c r="M113" s="353"/>
      <c r="N113" s="321"/>
      <c r="O113" s="321"/>
      <c r="P113" s="321"/>
      <c r="Q113" s="321"/>
      <c r="R113" s="321"/>
      <c r="S113" s="321"/>
      <c r="T113" s="351"/>
      <c r="U113" s="352"/>
      <c r="V113" s="319"/>
      <c r="W113" s="320"/>
      <c r="X113" s="320"/>
      <c r="Y113" s="321"/>
      <c r="Z113" s="321"/>
      <c r="AA113" s="321"/>
      <c r="AB113" s="320"/>
      <c r="AC113" s="380"/>
      <c r="AD113" s="352"/>
      <c r="AE113" s="381">
        <f t="shared" si="69"/>
        <v>0</v>
      </c>
      <c r="AF113" s="381"/>
      <c r="AG113" s="408"/>
      <c r="AH113" s="409">
        <f t="shared" si="70"/>
        <v>0</v>
      </c>
      <c r="AI113" s="410"/>
      <c r="AJ113" s="411">
        <f t="shared" si="72"/>
        <v>0</v>
      </c>
      <c r="AK113" s="234"/>
      <c r="AL113" s="234"/>
      <c r="AM113" s="234"/>
    </row>
    <row r="114" spans="1:39" ht="20.25">
      <c r="A114" s="424" t="s">
        <v>392</v>
      </c>
      <c r="B114" s="323"/>
      <c r="C114" s="323"/>
      <c r="D114" s="324"/>
      <c r="E114" s="325"/>
      <c r="F114" s="297"/>
      <c r="G114" s="297"/>
      <c r="H114" s="298"/>
      <c r="I114" s="298"/>
      <c r="J114" s="297"/>
      <c r="K114" s="344"/>
      <c r="L114" s="355"/>
      <c r="M114" s="343"/>
      <c r="N114" s="298"/>
      <c r="O114" s="298"/>
      <c r="P114" s="298"/>
      <c r="Q114" s="298"/>
      <c r="R114" s="298"/>
      <c r="S114" s="298"/>
      <c r="T114" s="367"/>
      <c r="U114" s="355"/>
      <c r="V114" s="325"/>
      <c r="W114" s="297"/>
      <c r="X114" s="297"/>
      <c r="Y114" s="298"/>
      <c r="Z114" s="298"/>
      <c r="AA114" s="298"/>
      <c r="AB114" s="297"/>
      <c r="AC114" s="375"/>
      <c r="AD114" s="355"/>
      <c r="AE114" s="376">
        <f t="shared" si="69"/>
        <v>0</v>
      </c>
      <c r="AF114" s="377"/>
      <c r="AG114" s="390"/>
      <c r="AH114" s="391">
        <f t="shared" si="70"/>
        <v>0</v>
      </c>
      <c r="AI114" s="412"/>
      <c r="AJ114" s="413">
        <f t="shared" si="72"/>
        <v>0</v>
      </c>
      <c r="AK114" s="414" t="s">
        <v>8</v>
      </c>
      <c r="AL114" s="397" t="s">
        <v>23</v>
      </c>
      <c r="AM114" s="415" t="s">
        <v>174</v>
      </c>
    </row>
    <row r="115" spans="1:39" ht="19.5" thickBot="1">
      <c r="A115" s="326" t="s">
        <v>426</v>
      </c>
      <c r="B115" s="327"/>
      <c r="C115" s="327"/>
      <c r="D115" s="328"/>
      <c r="E115" s="329">
        <f>SUM(E103:E114)</f>
        <v>0</v>
      </c>
      <c r="F115" s="329">
        <f t="shared" ref="F115:AJ115" si="73">SUM(F103:F114)</f>
        <v>0</v>
      </c>
      <c r="G115" s="329">
        <f t="shared" si="73"/>
        <v>0</v>
      </c>
      <c r="H115" s="329">
        <f t="shared" si="73"/>
        <v>0</v>
      </c>
      <c r="I115" s="329">
        <f t="shared" si="73"/>
        <v>0</v>
      </c>
      <c r="J115" s="329">
        <f t="shared" si="73"/>
        <v>0</v>
      </c>
      <c r="K115" s="329">
        <f t="shared" si="73"/>
        <v>0</v>
      </c>
      <c r="L115" s="329">
        <f t="shared" si="73"/>
        <v>0</v>
      </c>
      <c r="M115" s="329">
        <f t="shared" si="73"/>
        <v>0</v>
      </c>
      <c r="N115" s="329">
        <f t="shared" si="73"/>
        <v>0</v>
      </c>
      <c r="O115" s="329">
        <f t="shared" si="73"/>
        <v>0</v>
      </c>
      <c r="P115" s="329">
        <f t="shared" si="73"/>
        <v>0</v>
      </c>
      <c r="Q115" s="329">
        <f t="shared" si="73"/>
        <v>0</v>
      </c>
      <c r="R115" s="329">
        <f t="shared" si="73"/>
        <v>0</v>
      </c>
      <c r="S115" s="329">
        <f t="shared" si="73"/>
        <v>0</v>
      </c>
      <c r="T115" s="329">
        <f t="shared" si="73"/>
        <v>0</v>
      </c>
      <c r="U115" s="329">
        <f t="shared" si="73"/>
        <v>0</v>
      </c>
      <c r="V115" s="329">
        <f t="shared" si="73"/>
        <v>0</v>
      </c>
      <c r="W115" s="329">
        <f t="shared" si="73"/>
        <v>0</v>
      </c>
      <c r="X115" s="329">
        <f t="shared" si="73"/>
        <v>0</v>
      </c>
      <c r="Y115" s="329">
        <f t="shared" si="73"/>
        <v>0</v>
      </c>
      <c r="Z115" s="329">
        <f t="shared" si="73"/>
        <v>0</v>
      </c>
      <c r="AA115" s="329">
        <f t="shared" si="73"/>
        <v>0</v>
      </c>
      <c r="AB115" s="329">
        <f t="shared" si="73"/>
        <v>0</v>
      </c>
      <c r="AC115" s="329">
        <f t="shared" si="73"/>
        <v>0</v>
      </c>
      <c r="AD115" s="329">
        <f t="shared" si="73"/>
        <v>0</v>
      </c>
      <c r="AE115" s="329">
        <f t="shared" si="73"/>
        <v>0</v>
      </c>
      <c r="AF115" s="329">
        <f t="shared" si="73"/>
        <v>0</v>
      </c>
      <c r="AG115" s="329">
        <f t="shared" si="73"/>
        <v>0</v>
      </c>
      <c r="AH115" s="329">
        <f t="shared" si="73"/>
        <v>0</v>
      </c>
      <c r="AI115" s="329">
        <f t="shared" si="73"/>
        <v>0</v>
      </c>
      <c r="AJ115" s="305">
        <f t="shared" si="73"/>
        <v>0</v>
      </c>
      <c r="AK115" s="399">
        <f>'BIG CHAIR'!CL119</f>
        <v>0</v>
      </c>
      <c r="AL115" s="400">
        <f>'Tea Table'!X207</f>
        <v>120</v>
      </c>
      <c r="AM115" s="401">
        <f>AH115+AK115+AL115</f>
        <v>120</v>
      </c>
    </row>
    <row r="116" spans="1:39" ht="24" thickBot="1">
      <c r="A116" s="721" t="s">
        <v>535</v>
      </c>
      <c r="B116" s="3541" t="s">
        <v>68</v>
      </c>
      <c r="C116" s="287" t="s">
        <v>69</v>
      </c>
      <c r="D116" s="288" t="s">
        <v>70</v>
      </c>
      <c r="E116" s="80" t="s">
        <v>87</v>
      </c>
      <c r="F116" s="49" t="s">
        <v>85</v>
      </c>
      <c r="G116" s="49" t="s">
        <v>86</v>
      </c>
      <c r="H116" s="49" t="s">
        <v>92</v>
      </c>
      <c r="I116" s="49" t="s">
        <v>213</v>
      </c>
      <c r="J116" s="49" t="s">
        <v>97</v>
      </c>
      <c r="K116" s="126"/>
      <c r="L116" s="79"/>
      <c r="M116" s="80" t="s">
        <v>214</v>
      </c>
      <c r="N116" s="49" t="s">
        <v>53</v>
      </c>
      <c r="O116" s="49" t="s">
        <v>94</v>
      </c>
      <c r="P116" s="49" t="s">
        <v>76</v>
      </c>
      <c r="Q116" s="49" t="s">
        <v>95</v>
      </c>
      <c r="R116" s="49" t="s">
        <v>73</v>
      </c>
      <c r="S116" s="860" t="s">
        <v>486</v>
      </c>
      <c r="T116" s="171" t="s">
        <v>215</v>
      </c>
      <c r="U116" s="79"/>
      <c r="V116" s="99" t="s">
        <v>526</v>
      </c>
      <c r="W116" s="716" t="s">
        <v>53</v>
      </c>
      <c r="X116" s="104" t="s">
        <v>519</v>
      </c>
      <c r="Y116" s="103" t="s">
        <v>94</v>
      </c>
      <c r="Z116" s="104"/>
      <c r="AA116" s="104" t="s">
        <v>96</v>
      </c>
      <c r="AB116" s="121" t="s">
        <v>86</v>
      </c>
      <c r="AC116" s="717"/>
      <c r="AD116" s="370"/>
      <c r="AE116" s="371" t="s">
        <v>172</v>
      </c>
      <c r="AF116" s="372" t="s">
        <v>80</v>
      </c>
      <c r="AG116" s="385"/>
      <c r="AH116" s="386" t="s">
        <v>106</v>
      </c>
      <c r="AI116" s="385" t="s">
        <v>173</v>
      </c>
      <c r="AJ116" s="371" t="s">
        <v>108</v>
      </c>
    </row>
    <row r="117" spans="1:39" s="284" customFormat="1" ht="18.75" customHeight="1">
      <c r="A117" s="792" t="s">
        <v>536</v>
      </c>
      <c r="B117" s="311"/>
      <c r="C117" s="311"/>
      <c r="D117" s="312"/>
      <c r="E117" s="313"/>
      <c r="F117" s="314"/>
      <c r="G117" s="314"/>
      <c r="H117" s="315"/>
      <c r="I117" s="315"/>
      <c r="J117" s="314"/>
      <c r="K117" s="477"/>
      <c r="L117" s="349"/>
      <c r="M117" s="350"/>
      <c r="N117" s="315"/>
      <c r="O117" s="315"/>
      <c r="P117" s="315"/>
      <c r="Q117" s="315"/>
      <c r="R117" s="315"/>
      <c r="S117" s="315"/>
      <c r="T117" s="477"/>
      <c r="U117" s="349"/>
      <c r="V117" s="350"/>
      <c r="W117" s="315"/>
      <c r="X117" s="315"/>
      <c r="Y117" s="315"/>
      <c r="Z117" s="315"/>
      <c r="AA117" s="315"/>
      <c r="AB117" s="315"/>
      <c r="AC117" s="378"/>
      <c r="AD117" s="349"/>
      <c r="AE117" s="379">
        <f t="shared" ref="AE117:AE120" si="74">SUM(E117:AC117)</f>
        <v>0</v>
      </c>
      <c r="AF117" s="379"/>
      <c r="AG117" s="404"/>
      <c r="AH117" s="405">
        <f>AE117+AF117</f>
        <v>0</v>
      </c>
      <c r="AI117" s="406"/>
      <c r="AJ117" s="407">
        <f>AH117+AI117</f>
        <v>0</v>
      </c>
      <c r="AK117" s="403"/>
      <c r="AL117" s="403"/>
      <c r="AM117" s="403"/>
    </row>
    <row r="118" spans="1:39" s="282" customFormat="1" ht="20.25">
      <c r="A118" s="792" t="s">
        <v>536</v>
      </c>
      <c r="B118" s="317"/>
      <c r="C118" s="317"/>
      <c r="D118" s="318"/>
      <c r="E118" s="319"/>
      <c r="F118" s="320"/>
      <c r="G118" s="320"/>
      <c r="H118" s="321"/>
      <c r="I118" s="321"/>
      <c r="J118" s="320"/>
      <c r="K118" s="351"/>
      <c r="L118" s="352"/>
      <c r="M118" s="353"/>
      <c r="N118" s="320"/>
      <c r="O118" s="320"/>
      <c r="P118" s="321"/>
      <c r="Q118" s="321"/>
      <c r="R118" s="321"/>
      <c r="S118" s="320"/>
      <c r="T118" s="351"/>
      <c r="U118" s="352"/>
      <c r="V118" s="353"/>
      <c r="W118" s="321"/>
      <c r="X118" s="321"/>
      <c r="Y118" s="321"/>
      <c r="Z118" s="321"/>
      <c r="AA118" s="321"/>
      <c r="AB118" s="321"/>
      <c r="AC118" s="380"/>
      <c r="AD118" s="352"/>
      <c r="AE118" s="381">
        <f t="shared" si="74"/>
        <v>0</v>
      </c>
      <c r="AF118" s="381"/>
      <c r="AG118" s="408"/>
      <c r="AH118" s="409">
        <f t="shared" ref="AH118:AH128" si="75">AE118+AF118</f>
        <v>0</v>
      </c>
      <c r="AI118" s="410"/>
      <c r="AJ118" s="411">
        <f>AH118+AI118</f>
        <v>0</v>
      </c>
    </row>
    <row r="119" spans="1:39" s="283" customFormat="1" ht="20.25">
      <c r="A119" s="792" t="s">
        <v>536</v>
      </c>
      <c r="B119" s="295"/>
      <c r="C119" s="295"/>
      <c r="D119" s="318"/>
      <c r="E119" s="319"/>
      <c r="F119" s="320"/>
      <c r="G119" s="320"/>
      <c r="H119" s="321"/>
      <c r="I119" s="321"/>
      <c r="J119" s="320"/>
      <c r="K119" s="354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74"/>
        <v>0</v>
      </c>
      <c r="AF119" s="381"/>
      <c r="AG119" s="408"/>
      <c r="AH119" s="409">
        <f t="shared" si="75"/>
        <v>0</v>
      </c>
      <c r="AI119" s="410"/>
      <c r="AJ119" s="411">
        <f>AH119+AI119</f>
        <v>0</v>
      </c>
    </row>
    <row r="120" spans="1:39" s="283" customFormat="1" ht="20.25">
      <c r="A120" s="792" t="s">
        <v>536</v>
      </c>
      <c r="B120" s="295"/>
      <c r="C120" s="295"/>
      <c r="D120" s="318"/>
      <c r="E120" s="319"/>
      <c r="F120" s="320"/>
      <c r="G120" s="320"/>
      <c r="H120" s="321"/>
      <c r="I120" s="321"/>
      <c r="J120" s="320"/>
      <c r="K120" s="354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74"/>
        <v>0</v>
      </c>
      <c r="AF120" s="381"/>
      <c r="AG120" s="408"/>
      <c r="AH120" s="409">
        <f t="shared" si="75"/>
        <v>0</v>
      </c>
      <c r="AI120" s="410"/>
      <c r="AJ120" s="411">
        <f>AH120+AI120</f>
        <v>0</v>
      </c>
    </row>
    <row r="121" spans="1:39" s="283" customFormat="1" ht="20.25">
      <c r="A121" s="792" t="s">
        <v>536</v>
      </c>
      <c r="B121" s="295"/>
      <c r="C121" s="295"/>
      <c r="D121" s="318"/>
      <c r="E121" s="1190"/>
      <c r="F121" s="320"/>
      <c r="G121" s="320"/>
      <c r="H121" s="321"/>
      <c r="I121" s="321"/>
      <c r="J121" s="320"/>
      <c r="K121" s="354"/>
      <c r="L121" s="352"/>
      <c r="M121" s="353"/>
      <c r="N121" s="321"/>
      <c r="O121" s="321"/>
      <c r="P121" s="321"/>
      <c r="Q121" s="321"/>
      <c r="R121" s="321"/>
      <c r="S121" s="321"/>
      <c r="T121" s="351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ref="AE121:AE128" si="76">SUM(E121:AC121)</f>
        <v>0</v>
      </c>
      <c r="AF121" s="381"/>
      <c r="AG121" s="408"/>
      <c r="AH121" s="409">
        <f t="shared" si="75"/>
        <v>0</v>
      </c>
      <c r="AI121" s="410"/>
      <c r="AJ121" s="411">
        <f t="shared" ref="AJ121:AJ128" si="77">AH121+AI121</f>
        <v>0</v>
      </c>
    </row>
    <row r="122" spans="1:39" s="283" customFormat="1" ht="20.25">
      <c r="A122" s="792" t="s">
        <v>536</v>
      </c>
      <c r="B122" s="295"/>
      <c r="C122" s="295"/>
      <c r="D122" s="318"/>
      <c r="E122" s="319"/>
      <c r="F122" s="320"/>
      <c r="G122" s="320"/>
      <c r="H122" s="321"/>
      <c r="I122" s="321"/>
      <c r="J122" s="320"/>
      <c r="K122" s="354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76"/>
        <v>0</v>
      </c>
      <c r="AF122" s="381"/>
      <c r="AG122" s="408"/>
      <c r="AH122" s="409">
        <f t="shared" si="75"/>
        <v>0</v>
      </c>
      <c r="AI122" s="410"/>
      <c r="AJ122" s="411">
        <f t="shared" si="77"/>
        <v>0</v>
      </c>
    </row>
    <row r="123" spans="1:39" s="283" customFormat="1" ht="20.25">
      <c r="A123" s="792" t="s">
        <v>536</v>
      </c>
      <c r="B123" s="295"/>
      <c r="C123" s="295"/>
      <c r="D123" s="318"/>
      <c r="E123" s="319"/>
      <c r="F123" s="320"/>
      <c r="G123" s="320"/>
      <c r="H123" s="321"/>
      <c r="I123" s="321"/>
      <c r="J123" s="320"/>
      <c r="K123" s="354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76"/>
        <v>0</v>
      </c>
      <c r="AF123" s="381"/>
      <c r="AG123" s="408"/>
      <c r="AH123" s="409">
        <f t="shared" si="75"/>
        <v>0</v>
      </c>
      <c r="AI123" s="410"/>
      <c r="AJ123" s="411">
        <f t="shared" si="77"/>
        <v>0</v>
      </c>
    </row>
    <row r="124" spans="1:39" s="283" customFormat="1" ht="20.25">
      <c r="A124" s="792" t="s">
        <v>536</v>
      </c>
      <c r="B124" s="295"/>
      <c r="C124" s="295"/>
      <c r="D124" s="318"/>
      <c r="E124" s="319"/>
      <c r="F124" s="320"/>
      <c r="G124" s="320"/>
      <c r="H124" s="321"/>
      <c r="I124" s="321"/>
      <c r="J124" s="320"/>
      <c r="K124" s="354"/>
      <c r="L124" s="352"/>
      <c r="M124" s="353"/>
      <c r="N124" s="321"/>
      <c r="O124" s="321"/>
      <c r="P124" s="321"/>
      <c r="Q124" s="321"/>
      <c r="R124" s="321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76"/>
        <v>0</v>
      </c>
      <c r="AF124" s="381"/>
      <c r="AG124" s="408"/>
      <c r="AH124" s="409">
        <f t="shared" si="75"/>
        <v>0</v>
      </c>
      <c r="AI124" s="410"/>
      <c r="AJ124" s="411">
        <f t="shared" si="77"/>
        <v>0</v>
      </c>
    </row>
    <row r="125" spans="1:39" s="284" customFormat="1" ht="20.25">
      <c r="A125" s="792" t="s">
        <v>536</v>
      </c>
      <c r="B125" s="295"/>
      <c r="C125" s="295"/>
      <c r="D125" s="318"/>
      <c r="E125" s="319"/>
      <c r="F125" s="320"/>
      <c r="G125" s="320"/>
      <c r="H125" s="321"/>
      <c r="I125" s="321"/>
      <c r="J125" s="320"/>
      <c r="K125" s="354"/>
      <c r="L125" s="352"/>
      <c r="M125" s="353"/>
      <c r="N125" s="321"/>
      <c r="O125" s="321"/>
      <c r="P125" s="321"/>
      <c r="Q125" s="321"/>
      <c r="R125" s="321"/>
      <c r="S125" s="321"/>
      <c r="T125" s="351"/>
      <c r="U125" s="352"/>
      <c r="V125" s="319"/>
      <c r="W125" s="320"/>
      <c r="X125" s="320"/>
      <c r="Y125" s="321"/>
      <c r="Z125" s="321"/>
      <c r="AA125" s="321"/>
      <c r="AB125" s="320"/>
      <c r="AC125" s="380"/>
      <c r="AD125" s="352"/>
      <c r="AE125" s="381">
        <f t="shared" si="76"/>
        <v>0</v>
      </c>
      <c r="AF125" s="381"/>
      <c r="AG125" s="408"/>
      <c r="AH125" s="409">
        <f t="shared" si="75"/>
        <v>0</v>
      </c>
      <c r="AI125" s="410"/>
      <c r="AJ125" s="411">
        <f t="shared" si="77"/>
        <v>0</v>
      </c>
      <c r="AK125" s="403"/>
      <c r="AL125" s="403"/>
      <c r="AM125" s="403"/>
    </row>
    <row r="126" spans="1:39" s="282" customFormat="1" ht="20.25">
      <c r="A126" s="792" t="s">
        <v>536</v>
      </c>
      <c r="B126" s="295"/>
      <c r="C126" s="295"/>
      <c r="D126" s="318"/>
      <c r="E126" s="319"/>
      <c r="F126" s="320"/>
      <c r="G126" s="320"/>
      <c r="H126" s="321"/>
      <c r="I126" s="321"/>
      <c r="J126" s="320"/>
      <c r="K126" s="354"/>
      <c r="L126" s="352"/>
      <c r="M126" s="353"/>
      <c r="N126" s="321"/>
      <c r="O126" s="321"/>
      <c r="P126" s="321"/>
      <c r="Q126" s="321"/>
      <c r="R126" s="321"/>
      <c r="S126" s="321"/>
      <c r="T126" s="351"/>
      <c r="U126" s="352"/>
      <c r="V126" s="319"/>
      <c r="W126" s="320"/>
      <c r="X126" s="320"/>
      <c r="Y126" s="321"/>
      <c r="Z126" s="321"/>
      <c r="AA126" s="321"/>
      <c r="AB126" s="320"/>
      <c r="AC126" s="380"/>
      <c r="AD126" s="352"/>
      <c r="AE126" s="381">
        <f t="shared" si="76"/>
        <v>0</v>
      </c>
      <c r="AF126" s="381"/>
      <c r="AG126" s="408"/>
      <c r="AH126" s="409">
        <f t="shared" si="75"/>
        <v>0</v>
      </c>
      <c r="AI126" s="410"/>
      <c r="AJ126" s="411">
        <f t="shared" si="77"/>
        <v>0</v>
      </c>
    </row>
    <row r="127" spans="1:39" s="283" customFormat="1" ht="20.25">
      <c r="A127" s="792" t="s">
        <v>536</v>
      </c>
      <c r="B127" s="295"/>
      <c r="C127" s="295"/>
      <c r="D127" s="318"/>
      <c r="E127" s="319"/>
      <c r="F127" s="320"/>
      <c r="G127" s="320"/>
      <c r="H127" s="321"/>
      <c r="I127" s="321"/>
      <c r="J127" s="320"/>
      <c r="K127" s="354"/>
      <c r="L127" s="352"/>
      <c r="M127" s="353"/>
      <c r="N127" s="321"/>
      <c r="O127" s="321"/>
      <c r="P127" s="321"/>
      <c r="Q127" s="321"/>
      <c r="R127" s="321"/>
      <c r="S127" s="321"/>
      <c r="T127" s="351"/>
      <c r="U127" s="352"/>
      <c r="V127" s="319"/>
      <c r="W127" s="320"/>
      <c r="X127" s="320"/>
      <c r="Y127" s="321"/>
      <c r="Z127" s="321"/>
      <c r="AA127" s="321"/>
      <c r="AB127" s="320"/>
      <c r="AC127" s="380"/>
      <c r="AD127" s="352"/>
      <c r="AE127" s="381">
        <f t="shared" si="76"/>
        <v>0</v>
      </c>
      <c r="AF127" s="381"/>
      <c r="AG127" s="408"/>
      <c r="AH127" s="409">
        <f t="shared" si="75"/>
        <v>0</v>
      </c>
      <c r="AI127" s="410"/>
      <c r="AJ127" s="411">
        <f t="shared" si="77"/>
        <v>0</v>
      </c>
    </row>
    <row r="128" spans="1:39" s="283" customFormat="1" ht="21" thickBot="1">
      <c r="A128" s="792" t="s">
        <v>536</v>
      </c>
      <c r="B128" s="323"/>
      <c r="C128" s="323"/>
      <c r="D128" s="324"/>
      <c r="E128" s="325"/>
      <c r="F128" s="297"/>
      <c r="G128" s="297"/>
      <c r="H128" s="298"/>
      <c r="I128" s="298"/>
      <c r="J128" s="297"/>
      <c r="K128" s="344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6">
        <f t="shared" si="76"/>
        <v>0</v>
      </c>
      <c r="AF128" s="377"/>
      <c r="AG128" s="390"/>
      <c r="AH128" s="391">
        <f t="shared" si="75"/>
        <v>0</v>
      </c>
      <c r="AI128" s="412"/>
      <c r="AJ128" s="413">
        <f t="shared" si="77"/>
        <v>0</v>
      </c>
    </row>
    <row r="129" spans="1:39" s="283" customFormat="1" ht="19.5" thickBot="1">
      <c r="A129" s="326" t="s">
        <v>550</v>
      </c>
      <c r="B129" s="327"/>
      <c r="C129" s="327"/>
      <c r="D129" s="328"/>
      <c r="E129" s="329">
        <f>SUM(E117:E128)</f>
        <v>0</v>
      </c>
      <c r="F129" s="329">
        <f t="shared" ref="F129:AJ129" si="78">SUM(F117:F128)</f>
        <v>0</v>
      </c>
      <c r="G129" s="329">
        <f t="shared" si="78"/>
        <v>0</v>
      </c>
      <c r="H129" s="329">
        <f t="shared" si="78"/>
        <v>0</v>
      </c>
      <c r="I129" s="329">
        <f t="shared" si="78"/>
        <v>0</v>
      </c>
      <c r="J129" s="329">
        <f t="shared" si="78"/>
        <v>0</v>
      </c>
      <c r="K129" s="329">
        <f t="shared" si="78"/>
        <v>0</v>
      </c>
      <c r="L129" s="329">
        <f t="shared" si="78"/>
        <v>0</v>
      </c>
      <c r="M129" s="329">
        <f t="shared" si="78"/>
        <v>0</v>
      </c>
      <c r="N129" s="329">
        <f t="shared" si="78"/>
        <v>0</v>
      </c>
      <c r="O129" s="329">
        <f t="shared" si="78"/>
        <v>0</v>
      </c>
      <c r="P129" s="329">
        <f t="shared" si="78"/>
        <v>0</v>
      </c>
      <c r="Q129" s="329">
        <f t="shared" si="78"/>
        <v>0</v>
      </c>
      <c r="R129" s="329">
        <f t="shared" si="78"/>
        <v>0</v>
      </c>
      <c r="S129" s="329">
        <f t="shared" si="78"/>
        <v>0</v>
      </c>
      <c r="T129" s="329">
        <f t="shared" si="78"/>
        <v>0</v>
      </c>
      <c r="U129" s="329">
        <f t="shared" si="78"/>
        <v>0</v>
      </c>
      <c r="V129" s="329">
        <f t="shared" si="78"/>
        <v>0</v>
      </c>
      <c r="W129" s="329">
        <f t="shared" si="78"/>
        <v>0</v>
      </c>
      <c r="X129" s="329">
        <f t="shared" si="78"/>
        <v>0</v>
      </c>
      <c r="Y129" s="329">
        <f t="shared" si="78"/>
        <v>0</v>
      </c>
      <c r="Z129" s="329">
        <f t="shared" si="78"/>
        <v>0</v>
      </c>
      <c r="AA129" s="329">
        <f t="shared" si="78"/>
        <v>0</v>
      </c>
      <c r="AB129" s="329">
        <f t="shared" si="78"/>
        <v>0</v>
      </c>
      <c r="AC129" s="329">
        <f t="shared" si="78"/>
        <v>0</v>
      </c>
      <c r="AD129" s="329">
        <f t="shared" si="78"/>
        <v>0</v>
      </c>
      <c r="AE129" s="329">
        <f t="shared" si="78"/>
        <v>0</v>
      </c>
      <c r="AF129" s="329">
        <f t="shared" si="78"/>
        <v>0</v>
      </c>
      <c r="AG129" s="329">
        <f t="shared" si="78"/>
        <v>0</v>
      </c>
      <c r="AH129" s="329">
        <f t="shared" si="78"/>
        <v>0</v>
      </c>
      <c r="AI129" s="329">
        <f t="shared" si="78"/>
        <v>0</v>
      </c>
      <c r="AJ129" s="305">
        <f t="shared" si="78"/>
        <v>0</v>
      </c>
    </row>
    <row r="130" spans="1:39" s="283" customFormat="1">
      <c r="A130"/>
      <c r="B130" s="276"/>
      <c r="C130" s="276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9" s="283" customFormat="1" ht="19.5" thickBot="1">
      <c r="A131" s="425"/>
      <c r="B131" s="426"/>
      <c r="C131" s="426"/>
      <c r="D131" s="427"/>
      <c r="E131" s="428"/>
      <c r="F131" s="428"/>
      <c r="G131" s="428"/>
      <c r="H131" s="428"/>
      <c r="I131" s="428"/>
      <c r="J131" s="428"/>
      <c r="K131" s="428"/>
      <c r="L131" s="478"/>
      <c r="M131" s="479"/>
      <c r="N131" s="479"/>
      <c r="O131" s="479"/>
      <c r="P131" s="479"/>
      <c r="Q131" s="479"/>
      <c r="R131" s="479"/>
      <c r="S131" s="479"/>
      <c r="T131" s="479"/>
      <c r="U131" s="478"/>
      <c r="V131" s="479"/>
      <c r="W131" s="479"/>
      <c r="X131" s="479"/>
      <c r="Y131" s="479"/>
      <c r="Z131" s="479"/>
      <c r="AA131" s="479"/>
      <c r="AB131" s="479"/>
      <c r="AC131" s="479"/>
      <c r="AD131" s="478"/>
      <c r="AE131" s="479"/>
      <c r="AF131" s="479"/>
      <c r="AG131" s="479"/>
      <c r="AH131" s="479"/>
      <c r="AI131" s="479"/>
      <c r="AJ131" s="506"/>
    </row>
    <row r="132" spans="1:39" s="284" customFormat="1" ht="18" customHeight="1" thickBot="1">
      <c r="A132" s="429" t="s">
        <v>179</v>
      </c>
      <c r="B132" s="287" t="s">
        <v>68</v>
      </c>
      <c r="C132" s="287" t="s">
        <v>69</v>
      </c>
      <c r="D132" s="288" t="s">
        <v>70</v>
      </c>
      <c r="E132" s="80" t="s">
        <v>87</v>
      </c>
      <c r="F132" s="49" t="s">
        <v>85</v>
      </c>
      <c r="G132" s="49" t="s">
        <v>86</v>
      </c>
      <c r="H132" s="49" t="s">
        <v>92</v>
      </c>
      <c r="I132" s="49" t="s">
        <v>213</v>
      </c>
      <c r="J132" s="49" t="s">
        <v>97</v>
      </c>
      <c r="K132" s="126" t="s">
        <v>407</v>
      </c>
      <c r="L132" s="79"/>
      <c r="M132" s="80" t="s">
        <v>214</v>
      </c>
      <c r="N132" s="49" t="s">
        <v>53</v>
      </c>
      <c r="O132" s="49" t="s">
        <v>94</v>
      </c>
      <c r="P132" s="49" t="s">
        <v>76</v>
      </c>
      <c r="Q132" s="49" t="s">
        <v>95</v>
      </c>
      <c r="R132" s="49" t="s">
        <v>73</v>
      </c>
      <c r="S132" s="860" t="s">
        <v>486</v>
      </c>
      <c r="T132" s="171"/>
      <c r="U132" s="79"/>
      <c r="V132" s="99" t="s">
        <v>526</v>
      </c>
      <c r="W132" s="716" t="s">
        <v>53</v>
      </c>
      <c r="X132" s="104" t="s">
        <v>519</v>
      </c>
      <c r="Y132" s="103" t="s">
        <v>94</v>
      </c>
      <c r="Z132" s="104"/>
      <c r="AA132" s="104" t="s">
        <v>96</v>
      </c>
      <c r="AB132" s="121" t="s">
        <v>86</v>
      </c>
      <c r="AC132" s="844"/>
      <c r="AD132" s="79"/>
      <c r="AE132" s="371" t="s">
        <v>172</v>
      </c>
      <c r="AF132" s="372" t="s">
        <v>80</v>
      </c>
      <c r="AG132" s="385"/>
      <c r="AH132" s="386" t="s">
        <v>106</v>
      </c>
      <c r="AI132" s="385" t="s">
        <v>173</v>
      </c>
      <c r="AJ132" s="371" t="s">
        <v>108</v>
      </c>
      <c r="AK132" s="403"/>
      <c r="AL132" s="403"/>
      <c r="AM132" s="403"/>
    </row>
    <row r="133" spans="1:39" s="282" customFormat="1" ht="20.25">
      <c r="A133" s="322"/>
      <c r="B133" s="323"/>
      <c r="C133" s="323"/>
      <c r="D133" s="324"/>
      <c r="E133" s="433"/>
      <c r="F133" s="434"/>
      <c r="G133" s="434"/>
      <c r="H133" s="435"/>
      <c r="I133" s="435"/>
      <c r="J133" s="434"/>
      <c r="K133" s="480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433"/>
      <c r="W133" s="434"/>
      <c r="X133" s="434"/>
      <c r="Y133" s="435"/>
      <c r="Z133" s="435"/>
      <c r="AA133" s="435"/>
      <c r="AB133" s="434"/>
      <c r="AC133" s="495"/>
      <c r="AD133" s="355"/>
      <c r="AE133" s="377">
        <f t="shared" ref="AE133:AE135" si="79">SUM(E133:AC133)</f>
        <v>0</v>
      </c>
      <c r="AF133" s="377"/>
      <c r="AG133" s="390"/>
      <c r="AH133" s="507">
        <f t="shared" ref="AH133:AH137" si="80">AE133+AF133</f>
        <v>0</v>
      </c>
      <c r="AI133" s="412"/>
      <c r="AJ133" s="508">
        <f>AH133+AI133</f>
        <v>0</v>
      </c>
    </row>
    <row r="134" spans="1:39" s="283" customFormat="1" ht="20.25">
      <c r="A134" s="322"/>
      <c r="B134" s="323"/>
      <c r="C134" s="323"/>
      <c r="D134" s="324"/>
      <c r="E134" s="325"/>
      <c r="F134" s="297"/>
      <c r="G134" s="297"/>
      <c r="H134" s="298"/>
      <c r="I134" s="298"/>
      <c r="J134" s="297"/>
      <c r="K134" s="344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7">
        <f t="shared" ref="AE134" si="81">SUM(E134:AC134)</f>
        <v>0</v>
      </c>
      <c r="AF134" s="377"/>
      <c r="AG134" s="390"/>
      <c r="AH134" s="507">
        <f t="shared" si="80"/>
        <v>0</v>
      </c>
      <c r="AI134" s="412"/>
      <c r="AJ134" s="508">
        <f>AH134+AI134</f>
        <v>0</v>
      </c>
    </row>
    <row r="135" spans="1:39" s="283" customFormat="1" ht="20.25">
      <c r="A135" s="322"/>
      <c r="B135" s="323"/>
      <c r="C135" s="323"/>
      <c r="D135" s="324"/>
      <c r="E135" s="325"/>
      <c r="F135" s="297"/>
      <c r="G135" s="297"/>
      <c r="H135" s="298"/>
      <c r="I135" s="298"/>
      <c r="J135" s="297"/>
      <c r="K135" s="344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7">
        <f t="shared" si="79"/>
        <v>0</v>
      </c>
      <c r="AF135" s="377"/>
      <c r="AG135" s="390"/>
      <c r="AH135" s="507">
        <f t="shared" si="80"/>
        <v>0</v>
      </c>
      <c r="AI135" s="412"/>
      <c r="AJ135" s="508">
        <f>AH135+AI135</f>
        <v>0</v>
      </c>
    </row>
    <row r="136" spans="1:39" s="283" customFormat="1" ht="22.5" customHeight="1">
      <c r="A136" s="322"/>
      <c r="B136" s="323"/>
      <c r="C136" s="323"/>
      <c r="D136" s="324"/>
      <c r="E136" s="325"/>
      <c r="F136" s="297"/>
      <c r="G136" s="297"/>
      <c r="H136" s="298"/>
      <c r="I136" s="298"/>
      <c r="J136" s="297"/>
      <c r="K136" s="344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7">
        <f t="shared" ref="AE136:AE137" si="82">SUM(E136:AC136)</f>
        <v>0</v>
      </c>
      <c r="AF136" s="377"/>
      <c r="AG136" s="390"/>
      <c r="AH136" s="507">
        <f t="shared" si="80"/>
        <v>0</v>
      </c>
      <c r="AI136" s="412"/>
      <c r="AJ136" s="508">
        <f>AH136+AI136</f>
        <v>0</v>
      </c>
    </row>
    <row r="137" spans="1:39" s="283" customFormat="1" ht="21" thickBot="1">
      <c r="A137" s="322"/>
      <c r="B137" s="323"/>
      <c r="C137" s="323"/>
      <c r="D137" s="324"/>
      <c r="E137" s="325"/>
      <c r="F137" s="297"/>
      <c r="G137" s="297"/>
      <c r="H137" s="298"/>
      <c r="I137" s="298"/>
      <c r="J137" s="297"/>
      <c r="K137" s="344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7">
        <f t="shared" si="82"/>
        <v>0</v>
      </c>
      <c r="AF137" s="377"/>
      <c r="AG137" s="390"/>
      <c r="AH137" s="507">
        <f t="shared" si="80"/>
        <v>0</v>
      </c>
      <c r="AI137" s="412"/>
      <c r="AJ137" s="508">
        <f t="shared" ref="AJ137" si="83">AH137+AI137</f>
        <v>0</v>
      </c>
    </row>
    <row r="138" spans="1:39" s="283" customFormat="1" ht="21" thickBot="1">
      <c r="A138" s="436"/>
      <c r="B138" s="437"/>
      <c r="C138" s="437"/>
      <c r="D138" s="438"/>
      <c r="E138" s="439">
        <f t="shared" ref="E138:K138" si="84">SUM(E133:E137)</f>
        <v>0</v>
      </c>
      <c r="F138" s="440">
        <f t="shared" si="84"/>
        <v>0</v>
      </c>
      <c r="G138" s="440">
        <f t="shared" si="84"/>
        <v>0</v>
      </c>
      <c r="H138" s="440">
        <f t="shared" si="84"/>
        <v>0</v>
      </c>
      <c r="I138" s="440">
        <f t="shared" si="84"/>
        <v>0</v>
      </c>
      <c r="J138" s="440">
        <f t="shared" si="84"/>
        <v>0</v>
      </c>
      <c r="K138" s="481">
        <f t="shared" si="84"/>
        <v>0</v>
      </c>
      <c r="L138" s="482"/>
      <c r="M138" s="439">
        <f t="shared" ref="M138:T138" si="85">SUM(M133:M137)</f>
        <v>0</v>
      </c>
      <c r="N138" s="440">
        <f t="shared" si="85"/>
        <v>0</v>
      </c>
      <c r="O138" s="440">
        <f t="shared" si="85"/>
        <v>0</v>
      </c>
      <c r="P138" s="440">
        <f t="shared" si="85"/>
        <v>0</v>
      </c>
      <c r="Q138" s="440">
        <f t="shared" si="85"/>
        <v>0</v>
      </c>
      <c r="R138" s="440">
        <f t="shared" si="85"/>
        <v>0</v>
      </c>
      <c r="S138" s="440">
        <f t="shared" si="85"/>
        <v>0</v>
      </c>
      <c r="T138" s="481">
        <f t="shared" si="85"/>
        <v>0</v>
      </c>
      <c r="U138" s="482"/>
      <c r="V138" s="439">
        <f t="shared" ref="V138:AC138" si="86">SUM(V133:V137)</f>
        <v>0</v>
      </c>
      <c r="W138" s="440">
        <f t="shared" si="86"/>
        <v>0</v>
      </c>
      <c r="X138" s="440">
        <f t="shared" si="86"/>
        <v>0</v>
      </c>
      <c r="Y138" s="440">
        <f t="shared" si="86"/>
        <v>0</v>
      </c>
      <c r="Z138" s="440">
        <f t="shared" si="86"/>
        <v>0</v>
      </c>
      <c r="AA138" s="440">
        <f t="shared" si="86"/>
        <v>0</v>
      </c>
      <c r="AB138" s="440">
        <f t="shared" si="86"/>
        <v>0</v>
      </c>
      <c r="AC138" s="481">
        <f t="shared" si="86"/>
        <v>0</v>
      </c>
      <c r="AD138" s="482"/>
      <c r="AE138" s="494">
        <f t="shared" ref="AE138:AJ138" si="87">SUM(AE133:AE137)</f>
        <v>0</v>
      </c>
      <c r="AF138" s="494">
        <f t="shared" si="87"/>
        <v>0</v>
      </c>
      <c r="AG138" s="494">
        <f t="shared" si="87"/>
        <v>0</v>
      </c>
      <c r="AH138" s="509">
        <f t="shared" si="87"/>
        <v>0</v>
      </c>
      <c r="AI138" s="494">
        <f t="shared" si="87"/>
        <v>0</v>
      </c>
      <c r="AJ138" s="509">
        <f t="shared" si="87"/>
        <v>0</v>
      </c>
    </row>
    <row r="139" spans="1:39" s="283" customFormat="1" ht="19.5" thickBot="1">
      <c r="A139" s="425"/>
      <c r="B139" s="426"/>
      <c r="C139" s="426"/>
      <c r="D139" s="427"/>
      <c r="E139" s="428"/>
      <c r="F139" s="428"/>
      <c r="G139" s="428"/>
      <c r="H139" s="428"/>
      <c r="I139" s="428"/>
      <c r="J139" s="428"/>
      <c r="K139" s="428"/>
      <c r="L139" s="478"/>
      <c r="M139" s="479"/>
      <c r="N139" s="479"/>
      <c r="O139" s="479"/>
      <c r="P139" s="479"/>
      <c r="Q139" s="479"/>
      <c r="R139" s="479"/>
      <c r="S139" s="479"/>
      <c r="T139" s="479"/>
      <c r="U139" s="478"/>
      <c r="V139" s="479"/>
      <c r="W139" s="479"/>
      <c r="X139" s="479"/>
      <c r="Y139" s="479"/>
      <c r="Z139" s="479"/>
      <c r="AA139" s="479"/>
      <c r="AB139" s="479"/>
      <c r="AC139" s="479"/>
      <c r="AD139" s="478"/>
      <c r="AE139" s="479"/>
      <c r="AF139" s="479"/>
      <c r="AG139" s="479"/>
      <c r="AH139" s="479"/>
      <c r="AI139" s="479"/>
      <c r="AJ139" s="506"/>
    </row>
    <row r="140" spans="1:39" s="283" customFormat="1" ht="18.75" thickBot="1">
      <c r="A140" s="441" t="s">
        <v>135</v>
      </c>
      <c r="B140" s="287" t="s">
        <v>68</v>
      </c>
      <c r="C140" s="287" t="s">
        <v>69</v>
      </c>
      <c r="D140" s="288" t="s">
        <v>70</v>
      </c>
      <c r="E140" s="80" t="s">
        <v>87</v>
      </c>
      <c r="F140" s="49" t="s">
        <v>85</v>
      </c>
      <c r="G140" s="49" t="s">
        <v>86</v>
      </c>
      <c r="H140" s="49" t="s">
        <v>92</v>
      </c>
      <c r="I140" s="49" t="s">
        <v>213</v>
      </c>
      <c r="J140" s="49" t="s">
        <v>97</v>
      </c>
      <c r="K140" s="126" t="s">
        <v>407</v>
      </c>
      <c r="L140" s="79"/>
      <c r="M140" s="80" t="s">
        <v>214</v>
      </c>
      <c r="N140" s="49" t="s">
        <v>53</v>
      </c>
      <c r="O140" s="49" t="s">
        <v>94</v>
      </c>
      <c r="P140" s="49" t="s">
        <v>76</v>
      </c>
      <c r="Q140" s="49" t="s">
        <v>95</v>
      </c>
      <c r="R140" s="49" t="s">
        <v>73</v>
      </c>
      <c r="S140" s="860" t="s">
        <v>486</v>
      </c>
      <c r="T140" s="171"/>
      <c r="U140" s="79"/>
      <c r="V140" s="99" t="s">
        <v>526</v>
      </c>
      <c r="W140" s="716" t="s">
        <v>53</v>
      </c>
      <c r="X140" s="104" t="s">
        <v>215</v>
      </c>
      <c r="Y140" s="103" t="s">
        <v>94</v>
      </c>
      <c r="Z140" s="104"/>
      <c r="AA140" s="104" t="s">
        <v>96</v>
      </c>
      <c r="AB140" s="121" t="s">
        <v>86</v>
      </c>
      <c r="AC140" s="844"/>
      <c r="AD140" s="79"/>
      <c r="AE140" s="371" t="s">
        <v>172</v>
      </c>
      <c r="AF140" s="372" t="s">
        <v>80</v>
      </c>
      <c r="AG140" s="385"/>
      <c r="AH140" s="386" t="s">
        <v>106</v>
      </c>
      <c r="AI140" s="385" t="s">
        <v>173</v>
      </c>
      <c r="AJ140" s="371" t="s">
        <v>108</v>
      </c>
    </row>
    <row r="141" spans="1:39" s="284" customFormat="1" ht="8.25" customHeight="1">
      <c r="A141" s="442"/>
      <c r="B141" s="443"/>
      <c r="C141" s="443"/>
      <c r="D141" s="444"/>
      <c r="E141" s="433"/>
      <c r="F141" s="434"/>
      <c r="G141" s="434"/>
      <c r="H141" s="435"/>
      <c r="I141" s="435"/>
      <c r="J141" s="434"/>
      <c r="K141" s="480"/>
      <c r="L141" s="483"/>
      <c r="M141" s="484"/>
      <c r="N141" s="435"/>
      <c r="O141" s="435"/>
      <c r="P141" s="435"/>
      <c r="Q141" s="435"/>
      <c r="R141" s="435"/>
      <c r="S141" s="435"/>
      <c r="T141" s="492"/>
      <c r="U141" s="483"/>
      <c r="V141" s="433"/>
      <c r="W141" s="434"/>
      <c r="X141" s="434"/>
      <c r="Y141" s="435"/>
      <c r="Z141" s="435"/>
      <c r="AA141" s="435"/>
      <c r="AB141" s="434"/>
      <c r="AC141" s="495"/>
      <c r="AD141" s="483"/>
      <c r="AE141" s="496">
        <f t="shared" ref="AE141:AE144" si="88">SUM(E141:AC141)</f>
        <v>0</v>
      </c>
      <c r="AF141" s="497"/>
      <c r="AG141" s="510"/>
      <c r="AH141" s="511">
        <f t="shared" ref="AH141:AH144" si="89">AE141+AF141</f>
        <v>0</v>
      </c>
      <c r="AI141" s="512"/>
      <c r="AJ141" s="513">
        <f>AH141+AI141</f>
        <v>0</v>
      </c>
      <c r="AK141" s="403"/>
      <c r="AL141" s="403"/>
      <c r="AM141" s="403"/>
    </row>
    <row r="142" spans="1:39" s="282" customFormat="1" ht="20.25">
      <c r="A142" s="445"/>
      <c r="B142" s="323"/>
      <c r="C142" s="323"/>
      <c r="D142" s="324"/>
      <c r="E142" s="325"/>
      <c r="F142" s="297"/>
      <c r="G142" s="297"/>
      <c r="H142" s="298"/>
      <c r="I142" s="298"/>
      <c r="J142" s="297"/>
      <c r="K142" s="344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6">
        <f t="shared" si="88"/>
        <v>0</v>
      </c>
      <c r="AF142" s="377"/>
      <c r="AG142" s="390"/>
      <c r="AH142" s="391">
        <f t="shared" si="89"/>
        <v>0</v>
      </c>
      <c r="AI142" s="412"/>
      <c r="AJ142" s="413">
        <f t="shared" ref="AJ142:AJ144" si="90">AH142+AI142</f>
        <v>0</v>
      </c>
    </row>
    <row r="143" spans="1:39" s="283" customFormat="1" ht="20.25">
      <c r="A143" s="445"/>
      <c r="B143" s="323"/>
      <c r="C143" s="323"/>
      <c r="D143" s="324"/>
      <c r="E143" s="325"/>
      <c r="F143" s="297"/>
      <c r="G143" s="297"/>
      <c r="H143" s="298"/>
      <c r="I143" s="298"/>
      <c r="J143" s="297"/>
      <c r="K143" s="344"/>
      <c r="L143" s="355"/>
      <c r="M143" s="343"/>
      <c r="N143" s="298"/>
      <c r="O143" s="298"/>
      <c r="P143" s="298"/>
      <c r="Q143" s="298"/>
      <c r="R143" s="298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6">
        <f t="shared" si="88"/>
        <v>0</v>
      </c>
      <c r="AF143" s="377"/>
      <c r="AG143" s="390"/>
      <c r="AH143" s="391">
        <f t="shared" si="89"/>
        <v>0</v>
      </c>
      <c r="AI143" s="412"/>
      <c r="AJ143" s="413">
        <f t="shared" si="90"/>
        <v>0</v>
      </c>
    </row>
    <row r="144" spans="1:39" s="283" customFormat="1" ht="21" thickBot="1">
      <c r="A144" s="322"/>
      <c r="B144" s="323"/>
      <c r="C144" s="323"/>
      <c r="D144" s="324"/>
      <c r="E144" s="325"/>
      <c r="F144" s="297"/>
      <c r="G144" s="297"/>
      <c r="H144" s="298"/>
      <c r="I144" s="298"/>
      <c r="J144" s="297"/>
      <c r="K144" s="344"/>
      <c r="L144" s="355"/>
      <c r="M144" s="343"/>
      <c r="N144" s="298"/>
      <c r="O144" s="298"/>
      <c r="P144" s="298"/>
      <c r="Q144" s="298"/>
      <c r="R144" s="298"/>
      <c r="S144" s="298"/>
      <c r="T144" s="367"/>
      <c r="U144" s="355"/>
      <c r="V144" s="325"/>
      <c r="W144" s="297"/>
      <c r="X144" s="297"/>
      <c r="Y144" s="298"/>
      <c r="Z144" s="298"/>
      <c r="AA144" s="298"/>
      <c r="AB144" s="297"/>
      <c r="AC144" s="375"/>
      <c r="AD144" s="355"/>
      <c r="AE144" s="377">
        <f t="shared" si="88"/>
        <v>0</v>
      </c>
      <c r="AF144" s="377"/>
      <c r="AG144" s="390"/>
      <c r="AH144" s="507">
        <f t="shared" si="89"/>
        <v>0</v>
      </c>
      <c r="AI144" s="412"/>
      <c r="AJ144" s="508">
        <f t="shared" si="90"/>
        <v>0</v>
      </c>
    </row>
    <row r="145" spans="1:39" s="283" customFormat="1" ht="21" thickBot="1">
      <c r="A145" s="436"/>
      <c r="B145" s="437"/>
      <c r="C145" s="437"/>
      <c r="D145" s="438"/>
      <c r="E145" s="439">
        <f t="shared" ref="E145:K145" si="91">SUM(E142:E144)</f>
        <v>0</v>
      </c>
      <c r="F145" s="440">
        <f t="shared" si="91"/>
        <v>0</v>
      </c>
      <c r="G145" s="440">
        <f t="shared" si="91"/>
        <v>0</v>
      </c>
      <c r="H145" s="440">
        <f t="shared" si="91"/>
        <v>0</v>
      </c>
      <c r="I145" s="440">
        <f t="shared" si="91"/>
        <v>0</v>
      </c>
      <c r="J145" s="440">
        <f t="shared" si="91"/>
        <v>0</v>
      </c>
      <c r="K145" s="481">
        <f t="shared" si="91"/>
        <v>0</v>
      </c>
      <c r="L145" s="482"/>
      <c r="M145" s="439">
        <f t="shared" ref="M145:T145" si="92">SUM(M142:M144)</f>
        <v>0</v>
      </c>
      <c r="N145" s="440">
        <f t="shared" si="92"/>
        <v>0</v>
      </c>
      <c r="O145" s="440">
        <f t="shared" si="92"/>
        <v>0</v>
      </c>
      <c r="P145" s="440">
        <f t="shared" si="92"/>
        <v>0</v>
      </c>
      <c r="Q145" s="440">
        <f t="shared" si="92"/>
        <v>0</v>
      </c>
      <c r="R145" s="440">
        <f t="shared" si="92"/>
        <v>0</v>
      </c>
      <c r="S145" s="440">
        <f t="shared" si="92"/>
        <v>0</v>
      </c>
      <c r="T145" s="481">
        <f t="shared" si="92"/>
        <v>0</v>
      </c>
      <c r="U145" s="482"/>
      <c r="V145" s="439">
        <f t="shared" ref="V145:AC145" si="93">SUM(V142:V144)</f>
        <v>0</v>
      </c>
      <c r="W145" s="440">
        <f t="shared" si="93"/>
        <v>0</v>
      </c>
      <c r="X145" s="440">
        <f t="shared" si="93"/>
        <v>0</v>
      </c>
      <c r="Y145" s="440">
        <f t="shared" si="93"/>
        <v>0</v>
      </c>
      <c r="Z145" s="440">
        <f t="shared" si="93"/>
        <v>0</v>
      </c>
      <c r="AA145" s="440">
        <f t="shared" si="93"/>
        <v>0</v>
      </c>
      <c r="AB145" s="440">
        <f t="shared" si="93"/>
        <v>0</v>
      </c>
      <c r="AC145" s="481">
        <f t="shared" si="93"/>
        <v>0</v>
      </c>
      <c r="AD145" s="482"/>
      <c r="AE145" s="494">
        <f>SUM(AE141:AE144)</f>
        <v>0</v>
      </c>
      <c r="AF145" s="494">
        <f>SUM(AF141:AF144)</f>
        <v>0</v>
      </c>
      <c r="AG145" s="509"/>
      <c r="AH145" s="514">
        <f>SUM(AH141:AH144)</f>
        <v>0</v>
      </c>
      <c r="AI145" s="494">
        <f>SUM(AI141:AI144)</f>
        <v>0</v>
      </c>
      <c r="AJ145" s="515">
        <f>SUM(AJ141:AJ144)</f>
        <v>0</v>
      </c>
    </row>
    <row r="146" spans="1:39" s="283" customFormat="1" ht="19.5" thickBot="1">
      <c r="A146" s="425"/>
      <c r="B146" s="426"/>
      <c r="C146" s="426"/>
      <c r="D146" s="427"/>
      <c r="E146" s="428"/>
      <c r="F146" s="428"/>
      <c r="G146" s="428"/>
      <c r="H146" s="428"/>
      <c r="I146" s="428"/>
      <c r="J146" s="428"/>
      <c r="K146" s="428"/>
      <c r="L146" s="478"/>
      <c r="M146" s="479"/>
      <c r="N146" s="479"/>
      <c r="O146" s="479"/>
      <c r="P146" s="479"/>
      <c r="Q146" s="479"/>
      <c r="R146" s="479"/>
      <c r="S146" s="479"/>
      <c r="T146" s="479"/>
      <c r="U146" s="478"/>
      <c r="V146" s="479"/>
      <c r="W146" s="479"/>
      <c r="X146" s="479"/>
      <c r="Y146" s="479"/>
      <c r="Z146" s="479"/>
      <c r="AA146" s="479"/>
      <c r="AB146" s="479"/>
      <c r="AC146" s="479"/>
      <c r="AD146" s="478"/>
      <c r="AE146" s="479"/>
      <c r="AF146" s="479"/>
      <c r="AG146" s="479"/>
      <c r="AH146" s="479"/>
      <c r="AI146" s="479"/>
      <c r="AJ146" s="506"/>
    </row>
    <row r="147" spans="1:39" s="283" customFormat="1" ht="16.5" thickBot="1">
      <c r="A147" s="446" t="s">
        <v>140</v>
      </c>
      <c r="B147" s="287" t="s">
        <v>68</v>
      </c>
      <c r="C147" s="447" t="s">
        <v>69</v>
      </c>
      <c r="D147" s="448" t="s">
        <v>70</v>
      </c>
      <c r="E147" s="80" t="s">
        <v>87</v>
      </c>
      <c r="F147" s="49" t="s">
        <v>85</v>
      </c>
      <c r="G147" s="49" t="s">
        <v>86</v>
      </c>
      <c r="H147" s="49" t="s">
        <v>92</v>
      </c>
      <c r="I147" s="49" t="s">
        <v>213</v>
      </c>
      <c r="J147" s="49" t="s">
        <v>97</v>
      </c>
      <c r="K147" s="126" t="s">
        <v>407</v>
      </c>
      <c r="L147" s="79"/>
      <c r="M147" s="80" t="s">
        <v>214</v>
      </c>
      <c r="N147" s="49" t="s">
        <v>53</v>
      </c>
      <c r="O147" s="49" t="s">
        <v>94</v>
      </c>
      <c r="P147" s="49" t="s">
        <v>76</v>
      </c>
      <c r="Q147" s="49" t="s">
        <v>95</v>
      </c>
      <c r="R147" s="49" t="s">
        <v>73</v>
      </c>
      <c r="S147" s="860" t="s">
        <v>486</v>
      </c>
      <c r="T147" s="171"/>
      <c r="U147" s="79"/>
      <c r="V147" s="99" t="s">
        <v>526</v>
      </c>
      <c r="W147" s="716" t="s">
        <v>53</v>
      </c>
      <c r="X147" s="104" t="s">
        <v>215</v>
      </c>
      <c r="Y147" s="103" t="s">
        <v>94</v>
      </c>
      <c r="Z147" s="104"/>
      <c r="AA147" s="104" t="s">
        <v>96</v>
      </c>
      <c r="AB147" s="121" t="s">
        <v>86</v>
      </c>
      <c r="AC147" s="844"/>
      <c r="AD147" s="79"/>
      <c r="AE147" s="371" t="s">
        <v>172</v>
      </c>
      <c r="AF147" s="498" t="s">
        <v>80</v>
      </c>
      <c r="AG147" s="385"/>
      <c r="AH147" s="386" t="s">
        <v>106</v>
      </c>
      <c r="AI147" s="385" t="s">
        <v>173</v>
      </c>
      <c r="AJ147" s="371" t="s">
        <v>108</v>
      </c>
    </row>
    <row r="148" spans="1:39" s="283" customFormat="1" ht="20.25">
      <c r="A148" s="449" t="s">
        <v>180</v>
      </c>
      <c r="B148" s="450"/>
      <c r="C148" s="450"/>
      <c r="D148" s="451"/>
      <c r="E148" s="452"/>
      <c r="F148" s="453"/>
      <c r="G148" s="453"/>
      <c r="H148" s="454"/>
      <c r="I148" s="454"/>
      <c r="J148" s="453"/>
      <c r="K148" s="485"/>
      <c r="L148" s="355"/>
      <c r="M148" s="343"/>
      <c r="N148" s="298"/>
      <c r="O148" s="298"/>
      <c r="P148" s="298"/>
      <c r="Q148" s="298"/>
      <c r="R148" s="435"/>
      <c r="S148" s="298"/>
      <c r="T148" s="367"/>
      <c r="U148" s="355"/>
      <c r="V148" s="433"/>
      <c r="W148" s="434"/>
      <c r="X148" s="434"/>
      <c r="Y148" s="435"/>
      <c r="Z148" s="435"/>
      <c r="AA148" s="435"/>
      <c r="AB148" s="434"/>
      <c r="AC148" s="495"/>
      <c r="AD148" s="355"/>
      <c r="AE148" s="376">
        <f t="shared" ref="AE148:AE153" si="94">SUM(E148:AC148)</f>
        <v>0</v>
      </c>
      <c r="AF148" s="499"/>
      <c r="AG148" s="516"/>
      <c r="AH148" s="391">
        <f t="shared" ref="AH148:AH153" si="95">AE148+AF148</f>
        <v>0</v>
      </c>
      <c r="AI148" s="412"/>
      <c r="AJ148" s="413">
        <f>AH148+AI148</f>
        <v>0</v>
      </c>
    </row>
    <row r="149" spans="1:39" s="284" customFormat="1" ht="8.25" customHeight="1">
      <c r="A149" s="445"/>
      <c r="B149" s="455"/>
      <c r="C149" s="455"/>
      <c r="D149" s="456"/>
      <c r="E149" s="457"/>
      <c r="F149" s="458"/>
      <c r="G149" s="458"/>
      <c r="H149" s="459"/>
      <c r="I149" s="459"/>
      <c r="J149" s="458"/>
      <c r="K149" s="486"/>
      <c r="L149" s="355"/>
      <c r="M149" s="343"/>
      <c r="N149" s="298"/>
      <c r="O149" s="298"/>
      <c r="P149" s="298"/>
      <c r="Q149" s="298"/>
      <c r="R149" s="298"/>
      <c r="S149" s="298"/>
      <c r="T149" s="367"/>
      <c r="U149" s="355"/>
      <c r="V149" s="325"/>
      <c r="W149" s="297"/>
      <c r="X149" s="297"/>
      <c r="Y149" s="298"/>
      <c r="Z149" s="298"/>
      <c r="AA149" s="298"/>
      <c r="AB149" s="297"/>
      <c r="AC149" s="375"/>
      <c r="AD149" s="355"/>
      <c r="AE149" s="376">
        <f t="shared" si="94"/>
        <v>0</v>
      </c>
      <c r="AF149" s="500"/>
      <c r="AG149" s="516"/>
      <c r="AH149" s="391">
        <f t="shared" si="95"/>
        <v>0</v>
      </c>
      <c r="AI149" s="412"/>
      <c r="AJ149" s="413">
        <f t="shared" ref="AJ149:AJ150" si="96">AH149+AI149</f>
        <v>0</v>
      </c>
      <c r="AK149" s="403"/>
      <c r="AL149" s="403"/>
      <c r="AM149" s="403"/>
    </row>
    <row r="150" spans="1:39" ht="20.25">
      <c r="A150" s="442"/>
      <c r="B150" s="455"/>
      <c r="C150" s="455"/>
      <c r="D150" s="456"/>
      <c r="E150" s="457"/>
      <c r="F150" s="458"/>
      <c r="G150" s="458"/>
      <c r="H150" s="459"/>
      <c r="I150" s="459"/>
      <c r="J150" s="458"/>
      <c r="K150" s="486"/>
      <c r="L150" s="483"/>
      <c r="M150" s="484"/>
      <c r="N150" s="435"/>
      <c r="O150" s="435"/>
      <c r="P150" s="435"/>
      <c r="Q150" s="435"/>
      <c r="R150" s="435"/>
      <c r="S150" s="435"/>
      <c r="T150" s="492"/>
      <c r="U150" s="483"/>
      <c r="V150" s="433"/>
      <c r="W150" s="434"/>
      <c r="X150" s="434"/>
      <c r="Y150" s="435"/>
      <c r="Z150" s="435"/>
      <c r="AA150" s="435"/>
      <c r="AB150" s="434"/>
      <c r="AC150" s="495"/>
      <c r="AD150" s="483"/>
      <c r="AE150" s="496">
        <f t="shared" si="94"/>
        <v>0</v>
      </c>
      <c r="AF150" s="500"/>
      <c r="AG150" s="517"/>
      <c r="AH150" s="511">
        <f t="shared" si="95"/>
        <v>0</v>
      </c>
      <c r="AI150" s="512"/>
      <c r="AJ150" s="513">
        <f t="shared" si="96"/>
        <v>0</v>
      </c>
    </row>
    <row r="151" spans="1:39" ht="20.25">
      <c r="A151" s="445"/>
      <c r="B151" s="455"/>
      <c r="C151" s="455"/>
      <c r="D151" s="456"/>
      <c r="E151" s="457"/>
      <c r="F151" s="458"/>
      <c r="G151" s="458"/>
      <c r="H151" s="459"/>
      <c r="I151" s="459"/>
      <c r="J151" s="458"/>
      <c r="K151" s="486"/>
      <c r="L151" s="355"/>
      <c r="M151" s="343"/>
      <c r="N151" s="298"/>
      <c r="O151" s="298"/>
      <c r="P151" s="298"/>
      <c r="Q151" s="298"/>
      <c r="R151" s="298"/>
      <c r="S151" s="298"/>
      <c r="T151" s="367"/>
      <c r="U151" s="355"/>
      <c r="V151" s="325"/>
      <c r="W151" s="297"/>
      <c r="X151" s="297"/>
      <c r="Y151" s="298"/>
      <c r="Z151" s="298"/>
      <c r="AA151" s="298"/>
      <c r="AB151" s="297"/>
      <c r="AC151" s="375"/>
      <c r="AD151" s="355"/>
      <c r="AE151" s="376">
        <f t="shared" si="94"/>
        <v>0</v>
      </c>
      <c r="AF151" s="500"/>
      <c r="AG151" s="516"/>
      <c r="AH151" s="391">
        <f t="shared" si="95"/>
        <v>0</v>
      </c>
      <c r="AI151" s="412"/>
      <c r="AJ151" s="413">
        <f t="shared" ref="AJ151:AJ153" si="97">AH151+AI151</f>
        <v>0</v>
      </c>
    </row>
    <row r="152" spans="1:39" s="1" customFormat="1" ht="21" customHeight="1">
      <c r="A152" s="445"/>
      <c r="B152" s="455"/>
      <c r="C152" s="455"/>
      <c r="D152" s="456"/>
      <c r="E152" s="457"/>
      <c r="F152" s="458"/>
      <c r="G152" s="458"/>
      <c r="H152" s="459"/>
      <c r="I152" s="459"/>
      <c r="J152" s="458"/>
      <c r="K152" s="486"/>
      <c r="L152" s="355"/>
      <c r="M152" s="343"/>
      <c r="N152" s="298"/>
      <c r="O152" s="298"/>
      <c r="P152" s="298"/>
      <c r="Q152" s="298"/>
      <c r="R152" s="298"/>
      <c r="S152" s="298"/>
      <c r="T152" s="367"/>
      <c r="U152" s="355"/>
      <c r="V152" s="325"/>
      <c r="W152" s="297"/>
      <c r="X152" s="297"/>
      <c r="Y152" s="298"/>
      <c r="Z152" s="298"/>
      <c r="AA152" s="298"/>
      <c r="AB152" s="297"/>
      <c r="AC152" s="375"/>
      <c r="AD152" s="355"/>
      <c r="AE152" s="376">
        <f t="shared" si="94"/>
        <v>0</v>
      </c>
      <c r="AF152" s="500"/>
      <c r="AG152" s="516"/>
      <c r="AH152" s="391">
        <f t="shared" si="95"/>
        <v>0</v>
      </c>
      <c r="AI152" s="412"/>
      <c r="AJ152" s="413">
        <f t="shared" si="97"/>
        <v>0</v>
      </c>
    </row>
    <row r="153" spans="1:39" ht="21" thickBot="1">
      <c r="A153" s="460"/>
      <c r="B153" s="461"/>
      <c r="C153" s="461"/>
      <c r="D153" s="462"/>
      <c r="E153" s="463"/>
      <c r="F153" s="464"/>
      <c r="G153" s="464"/>
      <c r="H153" s="465"/>
      <c r="I153" s="465"/>
      <c r="J153" s="464"/>
      <c r="K153" s="487"/>
      <c r="L153" s="355"/>
      <c r="M153" s="343"/>
      <c r="N153" s="298"/>
      <c r="O153" s="298"/>
      <c r="P153" s="298"/>
      <c r="Q153" s="298"/>
      <c r="R153" s="298"/>
      <c r="S153" s="298"/>
      <c r="T153" s="367"/>
      <c r="U153" s="355"/>
      <c r="V153" s="325"/>
      <c r="W153" s="297"/>
      <c r="X153" s="297"/>
      <c r="Y153" s="298"/>
      <c r="Z153" s="298"/>
      <c r="AA153" s="298"/>
      <c r="AB153" s="297"/>
      <c r="AC153" s="375"/>
      <c r="AD153" s="355"/>
      <c r="AE153" s="377">
        <f t="shared" si="94"/>
        <v>0</v>
      </c>
      <c r="AF153" s="501"/>
      <c r="AG153" s="516"/>
      <c r="AH153" s="507">
        <f t="shared" si="95"/>
        <v>0</v>
      </c>
      <c r="AI153" s="412"/>
      <c r="AJ153" s="508">
        <f t="shared" si="97"/>
        <v>0</v>
      </c>
    </row>
    <row r="154" spans="1:39" s="276" customFormat="1" ht="21" thickBot="1">
      <c r="A154" s="466"/>
      <c r="B154" s="467"/>
      <c r="C154" s="467"/>
      <c r="D154" s="468"/>
      <c r="E154" s="469">
        <f t="shared" ref="E154:K154" si="98">SUM(E150:E153)</f>
        <v>0</v>
      </c>
      <c r="F154" s="470">
        <f t="shared" si="98"/>
        <v>0</v>
      </c>
      <c r="G154" s="470">
        <f t="shared" si="98"/>
        <v>0</v>
      </c>
      <c r="H154" s="470">
        <f t="shared" si="98"/>
        <v>0</v>
      </c>
      <c r="I154" s="470">
        <f t="shared" si="98"/>
        <v>0</v>
      </c>
      <c r="J154" s="470">
        <f t="shared" si="98"/>
        <v>0</v>
      </c>
      <c r="K154" s="488">
        <f t="shared" si="98"/>
        <v>0</v>
      </c>
      <c r="L154" s="482"/>
      <c r="M154" s="439">
        <f t="shared" ref="M154:T154" si="99">SUM(M150:M153)</f>
        <v>0</v>
      </c>
      <c r="N154" s="440">
        <f t="shared" si="99"/>
        <v>0</v>
      </c>
      <c r="O154" s="440">
        <f t="shared" si="99"/>
        <v>0</v>
      </c>
      <c r="P154" s="440">
        <f t="shared" si="99"/>
        <v>0</v>
      </c>
      <c r="Q154" s="440">
        <f t="shared" si="99"/>
        <v>0</v>
      </c>
      <c r="R154" s="440">
        <f t="shared" si="99"/>
        <v>0</v>
      </c>
      <c r="S154" s="440">
        <f t="shared" si="99"/>
        <v>0</v>
      </c>
      <c r="T154" s="481">
        <f t="shared" si="99"/>
        <v>0</v>
      </c>
      <c r="U154" s="482"/>
      <c r="V154" s="439">
        <f t="shared" ref="V154:AC154" si="100">SUM(V150:V153)</f>
        <v>0</v>
      </c>
      <c r="W154" s="440">
        <f t="shared" si="100"/>
        <v>0</v>
      </c>
      <c r="X154" s="440">
        <f t="shared" si="100"/>
        <v>0</v>
      </c>
      <c r="Y154" s="440">
        <f t="shared" si="100"/>
        <v>0</v>
      </c>
      <c r="Z154" s="440">
        <f t="shared" si="100"/>
        <v>0</v>
      </c>
      <c r="AA154" s="440">
        <f t="shared" si="100"/>
        <v>0</v>
      </c>
      <c r="AB154" s="440">
        <f t="shared" si="100"/>
        <v>0</v>
      </c>
      <c r="AC154" s="481">
        <f t="shared" si="100"/>
        <v>0</v>
      </c>
      <c r="AD154" s="482"/>
      <c r="AE154" s="494">
        <f>SUM(AE148:AE153)</f>
        <v>0</v>
      </c>
      <c r="AF154" s="502">
        <f>SUM(AF148:AF153)</f>
        <v>0</v>
      </c>
      <c r="AG154" s="509"/>
      <c r="AH154" s="514">
        <f>SUM(AH148:AH153)</f>
        <v>0</v>
      </c>
      <c r="AI154" s="494">
        <f>SUM(AI148:AI153)</f>
        <v>0</v>
      </c>
      <c r="AJ154" s="515">
        <f>SUM(AJ148:AJ153)</f>
        <v>0</v>
      </c>
    </row>
    <row r="155" spans="1:39" s="234" customFormat="1" ht="19.5" thickBot="1">
      <c r="A155" s="425"/>
      <c r="B155" s="426"/>
      <c r="C155" s="426"/>
      <c r="D155" s="427"/>
      <c r="E155" s="428"/>
      <c r="F155" s="428"/>
      <c r="G155" s="428"/>
      <c r="H155" s="428"/>
      <c r="I155" s="428"/>
      <c r="J155" s="428"/>
      <c r="K155" s="428"/>
      <c r="L155" s="478"/>
      <c r="M155" s="479"/>
      <c r="N155" s="479"/>
      <c r="O155" s="479"/>
      <c r="P155" s="479"/>
      <c r="Q155" s="479"/>
      <c r="R155" s="479"/>
      <c r="S155" s="479"/>
      <c r="T155" s="479"/>
      <c r="U155" s="478"/>
      <c r="V155" s="479"/>
      <c r="W155" s="479"/>
      <c r="X155" s="479"/>
      <c r="Y155" s="479"/>
      <c r="Z155" s="479"/>
      <c r="AA155" s="479"/>
      <c r="AB155" s="479"/>
      <c r="AC155" s="479"/>
      <c r="AD155" s="478"/>
      <c r="AE155" s="479"/>
      <c r="AF155" s="479"/>
      <c r="AG155" s="479"/>
      <c r="AH155" s="479"/>
      <c r="AI155" s="479"/>
      <c r="AJ155" s="506"/>
    </row>
    <row r="156" spans="1:39" s="234" customFormat="1" ht="18.75" thickBot="1">
      <c r="A156" s="441" t="s">
        <v>143</v>
      </c>
      <c r="B156" s="287" t="s">
        <v>68</v>
      </c>
      <c r="C156" s="287" t="s">
        <v>69</v>
      </c>
      <c r="D156" s="288" t="s">
        <v>70</v>
      </c>
      <c r="E156" s="80" t="s">
        <v>87</v>
      </c>
      <c r="F156" s="49" t="s">
        <v>85</v>
      </c>
      <c r="G156" s="49" t="s">
        <v>86</v>
      </c>
      <c r="H156" s="49" t="s">
        <v>92</v>
      </c>
      <c r="I156" s="49" t="s">
        <v>213</v>
      </c>
      <c r="J156" s="49" t="s">
        <v>97</v>
      </c>
      <c r="K156" s="126" t="s">
        <v>407</v>
      </c>
      <c r="L156" s="79"/>
      <c r="M156" s="80" t="s">
        <v>214</v>
      </c>
      <c r="N156" s="49" t="s">
        <v>53</v>
      </c>
      <c r="O156" s="49" t="s">
        <v>94</v>
      </c>
      <c r="P156" s="49" t="s">
        <v>76</v>
      </c>
      <c r="Q156" s="49" t="s">
        <v>95</v>
      </c>
      <c r="R156" s="49" t="s">
        <v>73</v>
      </c>
      <c r="S156" s="860" t="s">
        <v>486</v>
      </c>
      <c r="T156" s="171"/>
      <c r="U156" s="79"/>
      <c r="V156" s="99" t="s">
        <v>526</v>
      </c>
      <c r="W156" s="716" t="s">
        <v>53</v>
      </c>
      <c r="X156" s="104" t="s">
        <v>215</v>
      </c>
      <c r="Y156" s="103" t="s">
        <v>94</v>
      </c>
      <c r="Z156" s="104"/>
      <c r="AA156" s="104" t="s">
        <v>96</v>
      </c>
      <c r="AB156" s="121" t="s">
        <v>86</v>
      </c>
      <c r="AC156" s="1191"/>
      <c r="AD156" s="79"/>
      <c r="AE156" s="371" t="s">
        <v>172</v>
      </c>
      <c r="AF156" s="372" t="s">
        <v>80</v>
      </c>
      <c r="AG156" s="385"/>
      <c r="AH156" s="386" t="s">
        <v>106</v>
      </c>
      <c r="AI156" s="385" t="s">
        <v>173</v>
      </c>
      <c r="AJ156" s="371" t="s">
        <v>108</v>
      </c>
    </row>
    <row r="157" spans="1:39" s="234" customFormat="1" ht="20.25">
      <c r="A157" s="471" t="s">
        <v>181</v>
      </c>
      <c r="B157" s="472"/>
      <c r="C157" s="472"/>
      <c r="D157" s="473"/>
      <c r="E157" s="474"/>
      <c r="F157" s="475"/>
      <c r="G157" s="475"/>
      <c r="H157" s="476"/>
      <c r="I157" s="476"/>
      <c r="J157" s="475"/>
      <c r="K157" s="489"/>
      <c r="L157" s="490"/>
      <c r="M157" s="491"/>
      <c r="N157" s="476"/>
      <c r="O157" s="476"/>
      <c r="P157" s="476"/>
      <c r="Q157" s="476"/>
      <c r="R157" s="476"/>
      <c r="S157" s="476"/>
      <c r="T157" s="493"/>
      <c r="U157" s="490"/>
      <c r="V157" s="474"/>
      <c r="W157" s="475"/>
      <c r="X157" s="475"/>
      <c r="Y157" s="476"/>
      <c r="Z157" s="476"/>
      <c r="AA157" s="476"/>
      <c r="AB157" s="475"/>
      <c r="AC157" s="503"/>
      <c r="AD157" s="490"/>
      <c r="AE157" s="504">
        <f t="shared" ref="AE157:AE161" si="101">SUM(E157:AC157)</f>
        <v>0</v>
      </c>
      <c r="AF157" s="505"/>
      <c r="AG157" s="518"/>
      <c r="AH157" s="519">
        <f t="shared" ref="AH157:AH161" si="102">AE157+AF157</f>
        <v>0</v>
      </c>
      <c r="AI157" s="520"/>
      <c r="AJ157" s="521">
        <f>AH157+AI157</f>
        <v>0</v>
      </c>
    </row>
    <row r="158" spans="1:39" s="276" customFormat="1" ht="20.25">
      <c r="A158" s="445" t="s">
        <v>182</v>
      </c>
      <c r="B158" s="323"/>
      <c r="C158" s="323"/>
      <c r="D158" s="324"/>
      <c r="E158" s="325"/>
      <c r="F158" s="297"/>
      <c r="G158" s="297"/>
      <c r="H158" s="298"/>
      <c r="I158" s="298"/>
      <c r="J158" s="297"/>
      <c r="K158" s="344"/>
      <c r="L158" s="355"/>
      <c r="M158" s="343"/>
      <c r="N158" s="298"/>
      <c r="O158" s="298"/>
      <c r="P158" s="298"/>
      <c r="Q158" s="298"/>
      <c r="R158" s="298"/>
      <c r="S158" s="298"/>
      <c r="T158" s="367"/>
      <c r="U158" s="355"/>
      <c r="V158" s="325"/>
      <c r="W158" s="297"/>
      <c r="X158" s="297"/>
      <c r="Y158" s="298"/>
      <c r="Z158" s="298"/>
      <c r="AA158" s="298"/>
      <c r="AB158" s="297"/>
      <c r="AC158" s="375"/>
      <c r="AD158" s="355"/>
      <c r="AE158" s="376">
        <f t="shared" si="101"/>
        <v>0</v>
      </c>
      <c r="AF158" s="377"/>
      <c r="AG158" s="390"/>
      <c r="AH158" s="391">
        <f t="shared" si="102"/>
        <v>0</v>
      </c>
      <c r="AI158" s="412"/>
      <c r="AJ158" s="413">
        <f t="shared" ref="AJ158:AJ161" si="103">AH158+AI158</f>
        <v>0</v>
      </c>
    </row>
    <row r="159" spans="1:39" s="234" customFormat="1" ht="20.25">
      <c r="A159" s="445"/>
      <c r="B159" s="323"/>
      <c r="C159" s="323"/>
      <c r="D159" s="324"/>
      <c r="E159" s="325"/>
      <c r="F159" s="297"/>
      <c r="G159" s="297"/>
      <c r="H159" s="298"/>
      <c r="I159" s="298"/>
      <c r="J159" s="297"/>
      <c r="K159" s="344"/>
      <c r="L159" s="355"/>
      <c r="M159" s="343"/>
      <c r="N159" s="298"/>
      <c r="O159" s="298"/>
      <c r="P159" s="298"/>
      <c r="Q159" s="298"/>
      <c r="R159" s="298"/>
      <c r="S159" s="298"/>
      <c r="T159" s="367"/>
      <c r="U159" s="355"/>
      <c r="V159" s="325"/>
      <c r="W159" s="297"/>
      <c r="X159" s="297"/>
      <c r="Y159" s="298"/>
      <c r="Z159" s="298"/>
      <c r="AA159" s="298"/>
      <c r="AB159" s="297"/>
      <c r="AC159" s="375"/>
      <c r="AD159" s="355"/>
      <c r="AE159" s="376">
        <f t="shared" si="101"/>
        <v>0</v>
      </c>
      <c r="AF159" s="377"/>
      <c r="AG159" s="390"/>
      <c r="AH159" s="391">
        <f t="shared" si="102"/>
        <v>0</v>
      </c>
      <c r="AI159" s="412"/>
      <c r="AJ159" s="413">
        <f t="shared" si="103"/>
        <v>0</v>
      </c>
    </row>
    <row r="160" spans="1:39" s="276" customFormat="1" ht="20.25">
      <c r="A160" s="445"/>
      <c r="B160" s="323"/>
      <c r="C160" s="323"/>
      <c r="D160" s="324"/>
      <c r="E160" s="325"/>
      <c r="F160" s="297"/>
      <c r="G160" s="297"/>
      <c r="H160" s="298"/>
      <c r="I160" s="298"/>
      <c r="J160" s="297"/>
      <c r="K160" s="344"/>
      <c r="L160" s="355"/>
      <c r="M160" s="343"/>
      <c r="N160" s="298"/>
      <c r="O160" s="298"/>
      <c r="P160" s="298"/>
      <c r="Q160" s="298"/>
      <c r="R160" s="298"/>
      <c r="S160" s="298"/>
      <c r="T160" s="367"/>
      <c r="U160" s="355"/>
      <c r="V160" s="325"/>
      <c r="W160" s="297"/>
      <c r="X160" s="297"/>
      <c r="Y160" s="298"/>
      <c r="Z160" s="298"/>
      <c r="AA160" s="298"/>
      <c r="AB160" s="297"/>
      <c r="AC160" s="375"/>
      <c r="AD160" s="355"/>
      <c r="AE160" s="376">
        <f t="shared" si="101"/>
        <v>0</v>
      </c>
      <c r="AF160" s="377"/>
      <c r="AG160" s="390"/>
      <c r="AH160" s="391">
        <f t="shared" si="102"/>
        <v>0</v>
      </c>
      <c r="AI160" s="412"/>
      <c r="AJ160" s="413">
        <f t="shared" si="103"/>
        <v>0</v>
      </c>
    </row>
    <row r="161" spans="1:39" s="276" customFormat="1" ht="21" thickBot="1">
      <c r="A161" s="322"/>
      <c r="B161" s="323"/>
      <c r="C161" s="323"/>
      <c r="D161" s="324"/>
      <c r="E161" s="325"/>
      <c r="F161" s="297"/>
      <c r="G161" s="297"/>
      <c r="H161" s="298"/>
      <c r="I161" s="298"/>
      <c r="J161" s="297"/>
      <c r="K161" s="344"/>
      <c r="L161" s="355"/>
      <c r="M161" s="343"/>
      <c r="N161" s="298"/>
      <c r="O161" s="298"/>
      <c r="P161" s="298"/>
      <c r="Q161" s="298"/>
      <c r="R161" s="298"/>
      <c r="S161" s="298"/>
      <c r="T161" s="367"/>
      <c r="U161" s="355"/>
      <c r="V161" s="325"/>
      <c r="W161" s="297"/>
      <c r="X161" s="297"/>
      <c r="Y161" s="298"/>
      <c r="Z161" s="298"/>
      <c r="AA161" s="298"/>
      <c r="AB161" s="297"/>
      <c r="AC161" s="375"/>
      <c r="AD161" s="355"/>
      <c r="AE161" s="377">
        <f t="shared" si="101"/>
        <v>0</v>
      </c>
      <c r="AF161" s="377"/>
      <c r="AG161" s="390"/>
      <c r="AH161" s="507">
        <f t="shared" si="102"/>
        <v>0</v>
      </c>
      <c r="AI161" s="412"/>
      <c r="AJ161" s="508">
        <f t="shared" si="103"/>
        <v>0</v>
      </c>
    </row>
    <row r="162" spans="1:39" s="276" customFormat="1" ht="21" thickBot="1">
      <c r="A162" s="436"/>
      <c r="B162" s="437"/>
      <c r="C162" s="437"/>
      <c r="D162" s="438"/>
      <c r="E162" s="439">
        <f t="shared" ref="E162:K162" si="104">SUM(E157:E161)</f>
        <v>0</v>
      </c>
      <c r="F162" s="440">
        <f t="shared" si="104"/>
        <v>0</v>
      </c>
      <c r="G162" s="440">
        <f t="shared" si="104"/>
        <v>0</v>
      </c>
      <c r="H162" s="440">
        <f t="shared" si="104"/>
        <v>0</v>
      </c>
      <c r="I162" s="440">
        <f t="shared" si="104"/>
        <v>0</v>
      </c>
      <c r="J162" s="440">
        <f t="shared" si="104"/>
        <v>0</v>
      </c>
      <c r="K162" s="481">
        <f t="shared" si="104"/>
        <v>0</v>
      </c>
      <c r="L162" s="482"/>
      <c r="M162" s="439">
        <f t="shared" ref="M162:T162" si="105">SUM(M157:M161)</f>
        <v>0</v>
      </c>
      <c r="N162" s="440">
        <f t="shared" si="105"/>
        <v>0</v>
      </c>
      <c r="O162" s="440">
        <f t="shared" si="105"/>
        <v>0</v>
      </c>
      <c r="P162" s="440">
        <f t="shared" si="105"/>
        <v>0</v>
      </c>
      <c r="Q162" s="440">
        <f t="shared" si="105"/>
        <v>0</v>
      </c>
      <c r="R162" s="440">
        <f t="shared" si="105"/>
        <v>0</v>
      </c>
      <c r="S162" s="440">
        <f t="shared" si="105"/>
        <v>0</v>
      </c>
      <c r="T162" s="481">
        <f t="shared" si="105"/>
        <v>0</v>
      </c>
      <c r="U162" s="482"/>
      <c r="V162" s="439">
        <f t="shared" ref="V162:AC162" si="106">SUM(V157:V161)</f>
        <v>0</v>
      </c>
      <c r="W162" s="440">
        <f t="shared" si="106"/>
        <v>0</v>
      </c>
      <c r="X162" s="440">
        <f t="shared" si="106"/>
        <v>0</v>
      </c>
      <c r="Y162" s="440">
        <f t="shared" si="106"/>
        <v>0</v>
      </c>
      <c r="Z162" s="440">
        <f t="shared" si="106"/>
        <v>0</v>
      </c>
      <c r="AA162" s="440">
        <f t="shared" si="106"/>
        <v>0</v>
      </c>
      <c r="AB162" s="440">
        <f t="shared" si="106"/>
        <v>0</v>
      </c>
      <c r="AC162" s="481">
        <f t="shared" si="106"/>
        <v>0</v>
      </c>
      <c r="AD162" s="482"/>
      <c r="AE162" s="494">
        <f>SUM(AE157:AE161)</f>
        <v>0</v>
      </c>
      <c r="AF162" s="494">
        <f>SUM(AF157:AF161)</f>
        <v>0</v>
      </c>
      <c r="AG162" s="509"/>
      <c r="AH162" s="514">
        <f>SUM(AH157:AH161)</f>
        <v>0</v>
      </c>
      <c r="AI162" s="494">
        <f>SUM(AI157:AI161)</f>
        <v>0</v>
      </c>
      <c r="AJ162" s="509">
        <f>SUM(AJ157:AJ161)</f>
        <v>0</v>
      </c>
    </row>
    <row r="163" spans="1:39" s="234" customFormat="1" ht="19.5" thickBot="1">
      <c r="A163" s="522"/>
      <c r="B163" s="523"/>
      <c r="C163" s="523"/>
      <c r="D163" s="524"/>
      <c r="E163" s="525"/>
      <c r="F163" s="525"/>
      <c r="G163" s="525"/>
      <c r="H163" s="525"/>
      <c r="I163" s="525"/>
      <c r="J163" s="525"/>
      <c r="K163" s="525"/>
      <c r="L163" s="572"/>
      <c r="M163" s="573"/>
      <c r="N163" s="573"/>
      <c r="O163" s="573"/>
      <c r="P163" s="573"/>
      <c r="Q163" s="573"/>
      <c r="R163" s="573"/>
      <c r="S163" s="573"/>
      <c r="T163" s="573"/>
      <c r="U163" s="572"/>
      <c r="V163" s="573"/>
      <c r="W163" s="573"/>
      <c r="X163" s="573"/>
      <c r="Y163" s="573"/>
      <c r="Z163" s="573"/>
      <c r="AA163" s="573"/>
      <c r="AB163" s="573"/>
      <c r="AC163" s="573"/>
      <c r="AD163" s="572"/>
      <c r="AE163" s="573"/>
      <c r="AF163" s="573"/>
      <c r="AG163" s="599"/>
      <c r="AH163" s="573"/>
      <c r="AI163" s="573"/>
      <c r="AJ163" s="600"/>
    </row>
    <row r="164" spans="1:39" s="276" customFormat="1" ht="21" thickBot="1">
      <c r="A164" s="526" t="s">
        <v>145</v>
      </c>
      <c r="B164" s="527"/>
      <c r="C164" s="527"/>
      <c r="D164" s="528"/>
      <c r="E164" s="529">
        <f t="shared" ref="E164:K164" si="107">E4+E38+E53+E115+E68+E82+E138+E145+E154+E162+E101+E129</f>
        <v>2300</v>
      </c>
      <c r="F164" s="529">
        <f t="shared" si="107"/>
        <v>180</v>
      </c>
      <c r="G164" s="529">
        <f t="shared" si="107"/>
        <v>920</v>
      </c>
      <c r="H164" s="529">
        <f t="shared" si="107"/>
        <v>960</v>
      </c>
      <c r="I164" s="529">
        <f t="shared" si="107"/>
        <v>0</v>
      </c>
      <c r="J164" s="529">
        <f t="shared" si="107"/>
        <v>0</v>
      </c>
      <c r="K164" s="529">
        <f t="shared" si="107"/>
        <v>560</v>
      </c>
      <c r="L164" s="574">
        <f>L4+L38+L53+L138</f>
        <v>0</v>
      </c>
      <c r="M164" s="529">
        <f t="shared" ref="M164:S164" si="108">M4+M38+M53+M68+M82+M115+M138+M145+M154+M162+M101+M129</f>
        <v>500</v>
      </c>
      <c r="N164" s="529">
        <f t="shared" si="108"/>
        <v>3840</v>
      </c>
      <c r="O164" s="529">
        <f t="shared" si="108"/>
        <v>3660</v>
      </c>
      <c r="P164" s="529">
        <f t="shared" si="108"/>
        <v>0</v>
      </c>
      <c r="Q164" s="529">
        <f t="shared" si="108"/>
        <v>0</v>
      </c>
      <c r="R164" s="529">
        <f t="shared" si="108"/>
        <v>0</v>
      </c>
      <c r="S164" s="529">
        <f t="shared" si="108"/>
        <v>0</v>
      </c>
      <c r="T164" s="529">
        <f>T4+T38+T53+T68+T82+T115+T138+T145+T154+T162+T101</f>
        <v>0</v>
      </c>
      <c r="U164" s="529">
        <f>U4+U38+U53+U68+U82+U115+U138+U145+U154+U162</f>
        <v>0</v>
      </c>
      <c r="V164" s="529">
        <f t="shared" ref="V164:AC164" si="109">V4+V38+V53+V68+V82+V115+V138+V145+V154+V162+V101+V129</f>
        <v>0</v>
      </c>
      <c r="W164" s="529">
        <f t="shared" si="109"/>
        <v>0</v>
      </c>
      <c r="X164" s="529">
        <f t="shared" si="109"/>
        <v>0</v>
      </c>
      <c r="Y164" s="529">
        <f t="shared" si="109"/>
        <v>0</v>
      </c>
      <c r="Z164" s="529">
        <f t="shared" si="109"/>
        <v>0</v>
      </c>
      <c r="AA164" s="529">
        <f t="shared" si="109"/>
        <v>0</v>
      </c>
      <c r="AB164" s="529">
        <f t="shared" si="109"/>
        <v>0</v>
      </c>
      <c r="AC164" s="529">
        <f t="shared" si="109"/>
        <v>0</v>
      </c>
      <c r="AD164" s="529">
        <f>AD4+AD38+AD53+AD68+AD82+AD115+AD138+AD145+AD154+AD162</f>
        <v>0</v>
      </c>
      <c r="AE164" s="529">
        <f t="shared" ref="AE164:AJ164" si="110">AE4+AE38+AE53+AE68+AE82+AE115+AE138+AE145+AE154+AE162+AE101+AE129</f>
        <v>12920</v>
      </c>
      <c r="AF164" s="529">
        <f t="shared" si="110"/>
        <v>0</v>
      </c>
      <c r="AG164" s="529">
        <f t="shared" si="110"/>
        <v>0</v>
      </c>
      <c r="AH164" s="529">
        <f t="shared" si="110"/>
        <v>12920</v>
      </c>
      <c r="AI164" s="529">
        <f t="shared" si="110"/>
        <v>0</v>
      </c>
      <c r="AJ164" s="529">
        <f t="shared" si="110"/>
        <v>12920</v>
      </c>
    </row>
    <row r="165" spans="1:39" s="234" customFormat="1" ht="21" thickBot="1">
      <c r="A165" s="530" t="s">
        <v>152</v>
      </c>
      <c r="B165" s="531"/>
      <c r="C165" s="531"/>
      <c r="D165" s="532"/>
      <c r="E165" s="533">
        <f>E164/20</f>
        <v>115</v>
      </c>
      <c r="F165" s="533">
        <f t="shared" ref="F165:K165" si="111">F164/20</f>
        <v>9</v>
      </c>
      <c r="G165" s="533">
        <f t="shared" si="111"/>
        <v>46</v>
      </c>
      <c r="H165" s="533">
        <f t="shared" si="111"/>
        <v>48</v>
      </c>
      <c r="I165" s="533">
        <f t="shared" si="111"/>
        <v>0</v>
      </c>
      <c r="J165" s="533">
        <f t="shared" si="111"/>
        <v>0</v>
      </c>
      <c r="K165" s="533">
        <f t="shared" si="111"/>
        <v>28</v>
      </c>
      <c r="L165" s="575"/>
      <c r="M165" s="576">
        <f>M164/20</f>
        <v>25</v>
      </c>
      <c r="N165" s="576">
        <f t="shared" ref="N165:T165" si="112">N164/20</f>
        <v>192</v>
      </c>
      <c r="O165" s="576">
        <f t="shared" si="112"/>
        <v>183</v>
      </c>
      <c r="P165" s="576">
        <f t="shared" si="112"/>
        <v>0</v>
      </c>
      <c r="Q165" s="576">
        <f t="shared" si="112"/>
        <v>0</v>
      </c>
      <c r="R165" s="576">
        <f t="shared" si="112"/>
        <v>0</v>
      </c>
      <c r="S165" s="576">
        <f t="shared" si="112"/>
        <v>0</v>
      </c>
      <c r="T165" s="576">
        <f t="shared" si="112"/>
        <v>0</v>
      </c>
      <c r="U165" s="575"/>
      <c r="V165" s="576">
        <f>V164/20</f>
        <v>0</v>
      </c>
      <c r="W165" s="577">
        <f t="shared" ref="W165:AA165" si="113">W164/20</f>
        <v>0</v>
      </c>
      <c r="X165" s="577">
        <f t="shared" si="113"/>
        <v>0</v>
      </c>
      <c r="Y165" s="577">
        <f t="shared" si="113"/>
        <v>0</v>
      </c>
      <c r="Z165" s="577">
        <f t="shared" si="113"/>
        <v>0</v>
      </c>
      <c r="AA165" s="577">
        <f t="shared" si="113"/>
        <v>0</v>
      </c>
      <c r="AB165" s="577">
        <f t="shared" ref="AB165:AG165" si="114">AB164/20</f>
        <v>0</v>
      </c>
      <c r="AC165" s="529">
        <f>AC5+AC39+AC54+AC69+AC231+AC139+AC146+AC155+AC163</f>
        <v>0</v>
      </c>
      <c r="AD165" s="586">
        <f t="shared" si="114"/>
        <v>0</v>
      </c>
      <c r="AE165" s="586">
        <f t="shared" si="114"/>
        <v>646</v>
      </c>
      <c r="AF165" s="601">
        <f>AF164/20</f>
        <v>0</v>
      </c>
      <c r="AG165" s="586">
        <f t="shared" si="114"/>
        <v>0</v>
      </c>
      <c r="AH165" s="601">
        <f>AH164/12</f>
        <v>1076.6666666666667</v>
      </c>
      <c r="AI165" s="586">
        <f>AI164/12</f>
        <v>0</v>
      </c>
      <c r="AJ165" s="601">
        <f>AJ164/12</f>
        <v>1076.6666666666667</v>
      </c>
    </row>
    <row r="166" spans="1:39" s="276" customFormat="1" ht="24" thickBot="1">
      <c r="A166" s="3755">
        <v>3</v>
      </c>
      <c r="B166" s="3755"/>
      <c r="C166" s="3755"/>
      <c r="D166" s="3755"/>
      <c r="E166" s="3756"/>
      <c r="F166" s="3756"/>
      <c r="G166" s="3756"/>
      <c r="H166" s="3756"/>
      <c r="I166" s="3756"/>
      <c r="J166" s="3756"/>
      <c r="K166" s="3756"/>
      <c r="L166" s="3755"/>
      <c r="M166" s="3755"/>
      <c r="N166" s="3755"/>
      <c r="O166" s="3755"/>
      <c r="P166" s="3755"/>
      <c r="Q166" s="3755"/>
      <c r="R166" s="3755"/>
      <c r="S166" s="3755"/>
      <c r="T166" s="3755"/>
      <c r="U166" s="3755"/>
      <c r="V166" s="3755"/>
      <c r="W166" s="3755"/>
      <c r="X166" s="3755"/>
      <c r="Y166" s="3755"/>
      <c r="Z166" s="3755"/>
      <c r="AA166" s="3755"/>
      <c r="AB166" s="3755"/>
      <c r="AC166" s="3755"/>
      <c r="AD166" s="3755"/>
      <c r="AE166" s="3755"/>
      <c r="AF166" s="3755"/>
      <c r="AG166" s="3755"/>
      <c r="AH166" s="3755"/>
      <c r="AI166" s="3755"/>
      <c r="AJ166" s="3755"/>
    </row>
    <row r="167" spans="1:39" s="234" customFormat="1" ht="24" thickBot="1">
      <c r="A167" s="3888" t="s">
        <v>4</v>
      </c>
      <c r="B167" s="3889"/>
      <c r="C167" s="3889"/>
      <c r="D167" s="3890"/>
      <c r="E167" s="3891" t="s">
        <v>210</v>
      </c>
      <c r="F167" s="3892"/>
      <c r="G167" s="3892"/>
      <c r="H167" s="3892"/>
      <c r="I167" s="3892"/>
      <c r="J167" s="3892"/>
      <c r="K167" s="3904"/>
      <c r="L167" s="336"/>
      <c r="M167" s="3893" t="s">
        <v>211</v>
      </c>
      <c r="N167" s="3894"/>
      <c r="O167" s="3894"/>
      <c r="P167" s="3894"/>
      <c r="Q167" s="3894"/>
      <c r="R167" s="3894"/>
      <c r="S167" s="3894"/>
      <c r="T167" s="3895"/>
      <c r="U167" s="364"/>
      <c r="V167" s="3893"/>
      <c r="W167" s="3894"/>
      <c r="X167" s="3894"/>
      <c r="Y167" s="3894"/>
      <c r="Z167" s="3894"/>
      <c r="AA167" s="3894"/>
      <c r="AB167" s="3894"/>
      <c r="AC167" s="3895"/>
      <c r="AD167" s="364"/>
      <c r="AE167" s="3893"/>
      <c r="AF167" s="3894"/>
      <c r="AG167" s="3894"/>
      <c r="AH167" s="3894"/>
      <c r="AI167" s="3894"/>
      <c r="AJ167" s="3895"/>
    </row>
    <row r="168" spans="1:39" s="276" customFormat="1" ht="30.75" thickBot="1">
      <c r="A168" s="535" t="s">
        <v>148</v>
      </c>
      <c r="B168" s="287" t="s">
        <v>68</v>
      </c>
      <c r="C168" s="536" t="s">
        <v>69</v>
      </c>
      <c r="D168" s="536" t="s">
        <v>70</v>
      </c>
      <c r="E168" s="80" t="s">
        <v>87</v>
      </c>
      <c r="F168" s="49" t="s">
        <v>85</v>
      </c>
      <c r="G168" s="49" t="s">
        <v>86</v>
      </c>
      <c r="H168" s="49" t="s">
        <v>92</v>
      </c>
      <c r="I168" s="49" t="s">
        <v>213</v>
      </c>
      <c r="J168" s="49" t="s">
        <v>97</v>
      </c>
      <c r="K168" s="126" t="s">
        <v>407</v>
      </c>
      <c r="L168" s="578"/>
      <c r="M168" s="80" t="s">
        <v>214</v>
      </c>
      <c r="N168" s="49" t="s">
        <v>53</v>
      </c>
      <c r="O168" s="49" t="s">
        <v>94</v>
      </c>
      <c r="P168" s="49" t="s">
        <v>76</v>
      </c>
      <c r="Q168" s="49" t="s">
        <v>95</v>
      </c>
      <c r="R168" s="49" t="s">
        <v>73</v>
      </c>
      <c r="S168" s="860" t="s">
        <v>486</v>
      </c>
      <c r="T168" s="763" t="s">
        <v>523</v>
      </c>
      <c r="U168" s="578"/>
      <c r="V168" s="99" t="s">
        <v>526</v>
      </c>
      <c r="W168" s="716" t="s">
        <v>53</v>
      </c>
      <c r="X168" s="104" t="s">
        <v>519</v>
      </c>
      <c r="Y168" s="747" t="s">
        <v>94</v>
      </c>
      <c r="Z168" s="102"/>
      <c r="AA168" s="102" t="s">
        <v>508</v>
      </c>
      <c r="AB168" s="799" t="s">
        <v>86</v>
      </c>
      <c r="AC168" s="1192"/>
      <c r="AD168" s="589"/>
      <c r="AE168" s="590" t="s">
        <v>172</v>
      </c>
      <c r="AF168" s="591" t="s">
        <v>80</v>
      </c>
      <c r="AG168" s="602" t="s">
        <v>150</v>
      </c>
      <c r="AH168" s="603" t="s">
        <v>106</v>
      </c>
      <c r="AI168" s="602" t="s">
        <v>173</v>
      </c>
      <c r="AJ168" s="604" t="s">
        <v>108</v>
      </c>
    </row>
    <row r="169" spans="1:39" s="234" customFormat="1" ht="20.25">
      <c r="A169" s="537" t="s">
        <v>619</v>
      </c>
      <c r="B169" s="545"/>
      <c r="C169" s="539"/>
      <c r="D169" s="544">
        <v>46116</v>
      </c>
      <c r="E169" s="319">
        <f>2*20</f>
        <v>40</v>
      </c>
      <c r="F169" s="320"/>
      <c r="G169" s="320">
        <f>2*20</f>
        <v>40</v>
      </c>
      <c r="H169" s="321">
        <f>2*20</f>
        <v>40</v>
      </c>
      <c r="I169" s="321"/>
      <c r="J169" s="320"/>
      <c r="K169" s="351"/>
      <c r="L169" s="352"/>
      <c r="M169" s="353"/>
      <c r="N169" s="321">
        <f>3*20</f>
        <v>60</v>
      </c>
      <c r="O169" s="321">
        <f>3*20</f>
        <v>60</v>
      </c>
      <c r="P169" s="582"/>
      <c r="Q169" s="321"/>
      <c r="R169" s="321"/>
      <c r="S169" s="321"/>
      <c r="T169" s="354"/>
      <c r="U169" s="352"/>
      <c r="V169" s="353"/>
      <c r="W169" s="321"/>
      <c r="X169" s="321"/>
      <c r="Y169" s="321"/>
      <c r="Z169" s="321"/>
      <c r="AA169" s="321"/>
      <c r="AB169" s="321"/>
      <c r="AC169" s="380"/>
      <c r="AD169" s="352"/>
      <c r="AE169" s="408">
        <f>SUM(E169:AC169)</f>
        <v>240</v>
      </c>
      <c r="AF169" s="409"/>
      <c r="AG169" s="408"/>
      <c r="AH169" s="409">
        <f>AE169+AF169+AG169</f>
        <v>240</v>
      </c>
      <c r="AI169" s="410"/>
      <c r="AJ169" s="411">
        <f>AH169+AI169</f>
        <v>240</v>
      </c>
    </row>
    <row r="170" spans="1:39" s="276" customFormat="1" ht="20.25">
      <c r="A170" s="537" t="s">
        <v>625</v>
      </c>
      <c r="B170" s="563"/>
      <c r="C170" s="553"/>
      <c r="D170" s="544">
        <v>46121</v>
      </c>
      <c r="E170" s="332"/>
      <c r="F170" s="333"/>
      <c r="G170" s="333"/>
      <c r="H170" s="334"/>
      <c r="I170" s="334"/>
      <c r="J170" s="333"/>
      <c r="K170" s="798"/>
      <c r="L170" s="361"/>
      <c r="M170" s="362"/>
      <c r="N170" s="334">
        <f>6*20</f>
        <v>120</v>
      </c>
      <c r="O170" s="334">
        <f>6*20</f>
        <v>120</v>
      </c>
      <c r="P170" s="334"/>
      <c r="Q170" s="334"/>
      <c r="R170" s="334"/>
      <c r="S170" s="334"/>
      <c r="T170" s="360"/>
      <c r="U170" s="361"/>
      <c r="V170" s="362"/>
      <c r="W170" s="334"/>
      <c r="X170" s="334"/>
      <c r="Y170" s="334"/>
      <c r="Z170" s="334"/>
      <c r="AA170" s="334"/>
      <c r="AB170" s="334"/>
      <c r="AC170" s="383"/>
      <c r="AD170" s="361"/>
      <c r="AE170" s="419">
        <f t="shared" ref="AE170" si="115">SUM(E170:AC170)</f>
        <v>240</v>
      </c>
      <c r="AF170" s="420"/>
      <c r="AG170" s="419"/>
      <c r="AH170" s="420">
        <f>AE170+AF170+AG170</f>
        <v>240</v>
      </c>
      <c r="AI170" s="421"/>
      <c r="AJ170" s="422">
        <f>AH170+AI170</f>
        <v>240</v>
      </c>
    </row>
    <row r="171" spans="1:39" s="234" customFormat="1" ht="20.25">
      <c r="A171" s="547" t="s">
        <v>626</v>
      </c>
      <c r="B171" s="550"/>
      <c r="C171" s="539"/>
      <c r="D171" s="544">
        <v>46122</v>
      </c>
      <c r="E171" s="319"/>
      <c r="F171" s="320"/>
      <c r="G171" s="320"/>
      <c r="H171" s="321"/>
      <c r="I171" s="321"/>
      <c r="J171" s="320"/>
      <c r="K171" s="351"/>
      <c r="L171" s="352"/>
      <c r="M171" s="353"/>
      <c r="N171" s="321">
        <f>3*20</f>
        <v>60</v>
      </c>
      <c r="O171" s="321">
        <f>7*20</f>
        <v>140</v>
      </c>
      <c r="P171" s="321"/>
      <c r="Q171" s="334"/>
      <c r="R171" s="321"/>
      <c r="S171" s="321"/>
      <c r="T171" s="354"/>
      <c r="U171" s="352"/>
      <c r="V171" s="353"/>
      <c r="W171" s="321"/>
      <c r="X171" s="321"/>
      <c r="Y171" s="321"/>
      <c r="Z171" s="321"/>
      <c r="AA171" s="321"/>
      <c r="AB171" s="321"/>
      <c r="AC171" s="380"/>
      <c r="AD171" s="352"/>
      <c r="AE171" s="408">
        <f t="shared" ref="AE171:AE211" si="116">SUM(E171:AC171)</f>
        <v>200</v>
      </c>
      <c r="AF171" s="409"/>
      <c r="AG171" s="408"/>
      <c r="AH171" s="409">
        <f t="shared" ref="AH171:AH231" si="117">AE171+AF171+AG171</f>
        <v>200</v>
      </c>
      <c r="AI171" s="410"/>
      <c r="AJ171" s="411">
        <f t="shared" ref="AJ171:AJ176" si="118">AH171+AI171</f>
        <v>200</v>
      </c>
    </row>
    <row r="172" spans="1:39" s="234" customFormat="1" ht="20.25">
      <c r="A172" s="537" t="s">
        <v>627</v>
      </c>
      <c r="B172" s="550"/>
      <c r="C172" s="549"/>
      <c r="D172" s="544">
        <v>46122</v>
      </c>
      <c r="E172" s="541"/>
      <c r="F172" s="542"/>
      <c r="G172" s="542"/>
      <c r="H172" s="543"/>
      <c r="I172" s="543"/>
      <c r="J172" s="542"/>
      <c r="K172" s="579"/>
      <c r="L172" s="580"/>
      <c r="M172" s="581"/>
      <c r="N172" s="543">
        <f>10*20</f>
        <v>200</v>
      </c>
      <c r="O172" s="543">
        <f>8*20</f>
        <v>160</v>
      </c>
      <c r="P172" s="543"/>
      <c r="Q172" s="543"/>
      <c r="R172" s="543"/>
      <c r="S172" s="543"/>
      <c r="T172" s="587"/>
      <c r="U172" s="580"/>
      <c r="V172" s="581"/>
      <c r="W172" s="543"/>
      <c r="X172" s="543"/>
      <c r="Y172" s="543"/>
      <c r="Z172" s="543"/>
      <c r="AA172" s="543"/>
      <c r="AB172" s="543"/>
      <c r="AC172" s="592"/>
      <c r="AD172" s="580"/>
      <c r="AE172" s="593">
        <f t="shared" ref="AE172" si="119">SUM(E172:AC172)</f>
        <v>360</v>
      </c>
      <c r="AF172" s="594"/>
      <c r="AG172" s="593"/>
      <c r="AH172" s="594">
        <f t="shared" ref="AH172" si="120">AE172+AF172+AG172</f>
        <v>360</v>
      </c>
      <c r="AI172" s="605"/>
      <c r="AJ172" s="606">
        <f t="shared" si="118"/>
        <v>360</v>
      </c>
      <c r="AM172" s="234" t="s">
        <v>478</v>
      </c>
    </row>
    <row r="173" spans="1:39" s="276" customFormat="1" ht="20.25">
      <c r="A173" s="537" t="s">
        <v>628</v>
      </c>
      <c r="B173" s="796"/>
      <c r="C173" s="797"/>
      <c r="D173" s="544">
        <v>46122</v>
      </c>
      <c r="E173" s="319"/>
      <c r="F173" s="320"/>
      <c r="G173" s="320"/>
      <c r="H173" s="321"/>
      <c r="I173" s="321"/>
      <c r="J173" s="320"/>
      <c r="K173" s="351"/>
      <c r="L173" s="352"/>
      <c r="M173" s="353"/>
      <c r="N173" s="321">
        <f>1*20</f>
        <v>20</v>
      </c>
      <c r="O173" s="321">
        <f>1*20</f>
        <v>20</v>
      </c>
      <c r="P173" s="321"/>
      <c r="Q173" s="321"/>
      <c r="R173" s="321"/>
      <c r="S173" s="321"/>
      <c r="T173" s="354"/>
      <c r="U173" s="352"/>
      <c r="V173" s="353"/>
      <c r="W173" s="321"/>
      <c r="X173" s="321"/>
      <c r="Y173" s="321"/>
      <c r="Z173" s="321"/>
      <c r="AA173" s="321"/>
      <c r="AB173" s="321"/>
      <c r="AC173" s="380"/>
      <c r="AD173" s="352"/>
      <c r="AE173" s="408">
        <f t="shared" ref="AE173" si="121">SUM(E173:AC173)</f>
        <v>40</v>
      </c>
      <c r="AF173" s="409"/>
      <c r="AG173" s="408"/>
      <c r="AH173" s="409">
        <f t="shared" ref="AH173" si="122">AE173+AF173+AG173</f>
        <v>40</v>
      </c>
      <c r="AI173" s="410"/>
      <c r="AJ173" s="411">
        <f t="shared" ref="AJ173" si="123">AH173+AI173</f>
        <v>40</v>
      </c>
    </row>
    <row r="174" spans="1:39" s="234" customFormat="1" ht="20.25">
      <c r="A174" s="537" t="s">
        <v>629</v>
      </c>
      <c r="B174" s="550"/>
      <c r="C174" s="539"/>
      <c r="D174" s="544">
        <v>46122</v>
      </c>
      <c r="E174" s="542"/>
      <c r="F174" s="542"/>
      <c r="G174" s="542"/>
      <c r="H174" s="543"/>
      <c r="I174" s="543"/>
      <c r="J174" s="542"/>
      <c r="K174" s="579"/>
      <c r="L174" s="580"/>
      <c r="M174" s="581"/>
      <c r="N174" s="543">
        <f>3*20</f>
        <v>60</v>
      </c>
      <c r="O174" s="543">
        <f>2*20</f>
        <v>40</v>
      </c>
      <c r="P174" s="543"/>
      <c r="Q174" s="545"/>
      <c r="R174" s="549"/>
      <c r="S174" s="544"/>
      <c r="T174" s="587"/>
      <c r="U174" s="580"/>
      <c r="V174" s="581"/>
      <c r="W174" s="543"/>
      <c r="X174" s="543"/>
      <c r="Y174" s="543"/>
      <c r="Z174" s="543"/>
      <c r="AA174" s="543"/>
      <c r="AB174" s="543"/>
      <c r="AC174" s="592"/>
      <c r="AD174" s="580"/>
      <c r="AE174" s="593">
        <f t="shared" si="116"/>
        <v>100</v>
      </c>
      <c r="AF174" s="594"/>
      <c r="AG174" s="593"/>
      <c r="AH174" s="594">
        <f t="shared" si="117"/>
        <v>100</v>
      </c>
      <c r="AI174" s="605"/>
      <c r="AJ174" s="606">
        <f t="shared" si="118"/>
        <v>100</v>
      </c>
    </row>
    <row r="175" spans="1:39" s="276" customFormat="1" ht="20.25">
      <c r="A175" s="537" t="s">
        <v>635</v>
      </c>
      <c r="B175" s="548"/>
      <c r="C175" s="549"/>
      <c r="D175" s="544">
        <v>46125</v>
      </c>
      <c r="E175" s="541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>
        <f>1*20</f>
        <v>20</v>
      </c>
      <c r="P175" s="558"/>
      <c r="Q175" s="543"/>
      <c r="R175" s="543"/>
      <c r="S175" s="543"/>
      <c r="T175" s="587"/>
      <c r="U175" s="580"/>
      <c r="V175" s="581"/>
      <c r="W175" s="543"/>
      <c r="X175" s="543"/>
      <c r="Y175" s="543"/>
      <c r="Z175" s="543"/>
      <c r="AA175" s="543"/>
      <c r="AB175" s="543"/>
      <c r="AC175" s="592"/>
      <c r="AD175" s="580"/>
      <c r="AE175" s="593">
        <f t="shared" ref="AE175" si="124">SUM(E175:AC175)</f>
        <v>20</v>
      </c>
      <c r="AF175" s="594"/>
      <c r="AG175" s="593"/>
      <c r="AH175" s="594">
        <f t="shared" si="117"/>
        <v>20</v>
      </c>
      <c r="AI175" s="605"/>
      <c r="AJ175" s="606">
        <f t="shared" si="118"/>
        <v>20</v>
      </c>
    </row>
    <row r="176" spans="1:39" s="234" customFormat="1" ht="20.25">
      <c r="A176" s="551" t="s">
        <v>623</v>
      </c>
      <c r="B176" s="796"/>
      <c r="C176" s="797"/>
      <c r="D176" s="544">
        <v>46126</v>
      </c>
      <c r="E176" s="541">
        <f>1*20</f>
        <v>20</v>
      </c>
      <c r="F176" s="542"/>
      <c r="G176" s="542"/>
      <c r="H176" s="543"/>
      <c r="I176" s="543"/>
      <c r="J176" s="542"/>
      <c r="K176" s="579"/>
      <c r="L176" s="580"/>
      <c r="M176" s="581"/>
      <c r="N176" s="543">
        <f>1*20</f>
        <v>20</v>
      </c>
      <c r="O176" s="543"/>
      <c r="P176" s="543"/>
      <c r="Q176" s="543"/>
      <c r="R176" s="543"/>
      <c r="S176" s="543"/>
      <c r="T176" s="587"/>
      <c r="U176" s="580"/>
      <c r="V176" s="581"/>
      <c r="W176" s="543"/>
      <c r="X176" s="543"/>
      <c r="Y176" s="543"/>
      <c r="Z176" s="543"/>
      <c r="AA176" s="543"/>
      <c r="AB176" s="543"/>
      <c r="AC176" s="592"/>
      <c r="AD176" s="580"/>
      <c r="AE176" s="593">
        <f t="shared" si="116"/>
        <v>40</v>
      </c>
      <c r="AF176" s="594"/>
      <c r="AG176" s="593"/>
      <c r="AH176" s="594">
        <f t="shared" si="117"/>
        <v>40</v>
      </c>
      <c r="AI176" s="605"/>
      <c r="AJ176" s="606">
        <f t="shared" si="118"/>
        <v>40</v>
      </c>
    </row>
    <row r="177" spans="1:36" s="276" customFormat="1" ht="20.25">
      <c r="A177" s="561" t="s">
        <v>619</v>
      </c>
      <c r="B177" s="545"/>
      <c r="C177" s="539"/>
      <c r="D177" s="544">
        <v>46130</v>
      </c>
      <c r="E177" s="541"/>
      <c r="F177" s="542"/>
      <c r="G177" s="542"/>
      <c r="H177" s="543"/>
      <c r="I177" s="543"/>
      <c r="J177" s="542"/>
      <c r="K177" s="579"/>
      <c r="L177" s="580"/>
      <c r="M177" s="581"/>
      <c r="N177" s="543">
        <f>2*20</f>
        <v>40</v>
      </c>
      <c r="O177" s="543"/>
      <c r="P177" s="558"/>
      <c r="Q177" s="543"/>
      <c r="R177" s="543"/>
      <c r="S177" s="543"/>
      <c r="T177" s="587"/>
      <c r="U177" s="580"/>
      <c r="V177" s="581"/>
      <c r="W177" s="543"/>
      <c r="X177" s="543"/>
      <c r="Y177" s="543"/>
      <c r="Z177" s="543"/>
      <c r="AA177" s="543"/>
      <c r="AB177" s="543"/>
      <c r="AC177" s="592"/>
      <c r="AD177" s="580"/>
      <c r="AE177" s="593">
        <f t="shared" si="116"/>
        <v>40</v>
      </c>
      <c r="AF177" s="594"/>
      <c r="AG177" s="593"/>
      <c r="AH177" s="594">
        <f t="shared" si="117"/>
        <v>40</v>
      </c>
      <c r="AI177" s="605"/>
      <c r="AJ177" s="606">
        <f t="shared" ref="AJ177:AJ231" si="125">AH177+AI177</f>
        <v>40</v>
      </c>
    </row>
    <row r="178" spans="1:36" s="234" customFormat="1" ht="20.25">
      <c r="A178" s="547" t="s">
        <v>647</v>
      </c>
      <c r="B178" s="548"/>
      <c r="C178" s="549"/>
      <c r="D178" s="544">
        <v>46130</v>
      </c>
      <c r="E178" s="541">
        <f>1*20</f>
        <v>20</v>
      </c>
      <c r="F178" s="542">
        <f>1*20</f>
        <v>20</v>
      </c>
      <c r="G178" s="542">
        <f>1*20</f>
        <v>20</v>
      </c>
      <c r="H178" s="543">
        <f>1*20</f>
        <v>20</v>
      </c>
      <c r="I178" s="543"/>
      <c r="J178" s="542"/>
      <c r="K178" s="579">
        <f>1*20</f>
        <v>20</v>
      </c>
      <c r="L178" s="580"/>
      <c r="M178" s="581"/>
      <c r="N178" s="543"/>
      <c r="O178" s="543"/>
      <c r="P178" s="558"/>
      <c r="Q178" s="543"/>
      <c r="R178" s="543"/>
      <c r="S178" s="543"/>
      <c r="T178" s="587"/>
      <c r="U178" s="580"/>
      <c r="V178" s="581"/>
      <c r="W178" s="543"/>
      <c r="X178" s="543"/>
      <c r="Y178" s="543"/>
      <c r="Z178" s="543"/>
      <c r="AA178" s="543"/>
      <c r="AB178" s="543"/>
      <c r="AC178" s="592"/>
      <c r="AD178" s="580"/>
      <c r="AE178" s="593">
        <f t="shared" ref="AE178" si="126">SUM(E178:AC178)</f>
        <v>100</v>
      </c>
      <c r="AF178" s="594"/>
      <c r="AG178" s="593"/>
      <c r="AH178" s="594">
        <f t="shared" ref="AH178" si="127">AE178+AF178+AG178</f>
        <v>100</v>
      </c>
      <c r="AI178" s="605"/>
      <c r="AJ178" s="606">
        <f t="shared" ref="AJ178" si="128">AH178+AI178</f>
        <v>100</v>
      </c>
    </row>
    <row r="179" spans="1:36" s="276" customFormat="1" ht="20.25">
      <c r="A179" s="547" t="s">
        <v>653</v>
      </c>
      <c r="B179" s="548"/>
      <c r="C179" s="549"/>
      <c r="D179" s="544">
        <v>46130</v>
      </c>
      <c r="E179" s="319"/>
      <c r="F179" s="320"/>
      <c r="G179" s="320"/>
      <c r="H179" s="321"/>
      <c r="I179" s="321"/>
      <c r="J179" s="320"/>
      <c r="K179" s="351"/>
      <c r="L179" s="352"/>
      <c r="M179" s="353"/>
      <c r="N179" s="321">
        <f>4*20</f>
        <v>80</v>
      </c>
      <c r="O179" s="321">
        <f>3*20</f>
        <v>60</v>
      </c>
      <c r="P179" s="582"/>
      <c r="Q179" s="321"/>
      <c r="R179" s="321"/>
      <c r="S179" s="321"/>
      <c r="T179" s="354"/>
      <c r="U179" s="352"/>
      <c r="V179" s="353"/>
      <c r="W179" s="321"/>
      <c r="X179" s="321"/>
      <c r="Y179" s="321"/>
      <c r="Z179" s="321"/>
      <c r="AA179" s="321"/>
      <c r="AB179" s="321"/>
      <c r="AC179" s="380"/>
      <c r="AD179" s="352"/>
      <c r="AE179" s="408">
        <f t="shared" si="116"/>
        <v>140</v>
      </c>
      <c r="AF179" s="409"/>
      <c r="AG179" s="408"/>
      <c r="AH179" s="409">
        <f t="shared" si="117"/>
        <v>140</v>
      </c>
      <c r="AI179" s="410"/>
      <c r="AJ179" s="411">
        <f t="shared" si="125"/>
        <v>140</v>
      </c>
    </row>
    <row r="180" spans="1:36" s="234" customFormat="1" ht="20.25">
      <c r="A180" s="547" t="s">
        <v>655</v>
      </c>
      <c r="B180" s="552"/>
      <c r="C180" s="553"/>
      <c r="D180" s="544">
        <v>46131</v>
      </c>
      <c r="E180" s="556"/>
      <c r="F180" s="557"/>
      <c r="G180" s="557"/>
      <c r="H180" s="558"/>
      <c r="I180" s="558"/>
      <c r="J180" s="557"/>
      <c r="K180" s="583"/>
      <c r="L180" s="584"/>
      <c r="M180" s="585"/>
      <c r="N180" s="558">
        <f>3*20</f>
        <v>60</v>
      </c>
      <c r="O180" s="558">
        <f>2*20</f>
        <v>40</v>
      </c>
      <c r="P180" s="558"/>
      <c r="Q180" s="558"/>
      <c r="R180" s="558"/>
      <c r="S180" s="558"/>
      <c r="T180" s="588"/>
      <c r="U180" s="584"/>
      <c r="V180" s="585"/>
      <c r="W180" s="558"/>
      <c r="X180" s="558"/>
      <c r="Y180" s="558"/>
      <c r="Z180" s="558"/>
      <c r="AA180" s="558"/>
      <c r="AB180" s="558"/>
      <c r="AC180" s="595"/>
      <c r="AD180" s="584"/>
      <c r="AE180" s="596">
        <f t="shared" si="116"/>
        <v>100</v>
      </c>
      <c r="AF180" s="597"/>
      <c r="AG180" s="596"/>
      <c r="AH180" s="597">
        <f t="shared" si="117"/>
        <v>100</v>
      </c>
      <c r="AI180" s="607"/>
      <c r="AJ180" s="606">
        <f t="shared" si="125"/>
        <v>100</v>
      </c>
    </row>
    <row r="181" spans="1:36" s="276" customFormat="1" ht="20.25">
      <c r="A181" s="561" t="s">
        <v>656</v>
      </c>
      <c r="B181" s="550"/>
      <c r="C181" s="539"/>
      <c r="D181" s="555">
        <v>46131</v>
      </c>
      <c r="E181" s="319"/>
      <c r="F181" s="320"/>
      <c r="G181" s="320"/>
      <c r="H181" s="321"/>
      <c r="I181" s="321"/>
      <c r="J181" s="320"/>
      <c r="K181" s="351"/>
      <c r="L181" s="352"/>
      <c r="M181" s="353"/>
      <c r="N181" s="321">
        <f>3*20</f>
        <v>60</v>
      </c>
      <c r="O181" s="321">
        <f>2*20</f>
        <v>40</v>
      </c>
      <c r="P181" s="582"/>
      <c r="Q181" s="321"/>
      <c r="R181" s="321"/>
      <c r="S181" s="321"/>
      <c r="T181" s="354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408">
        <f t="shared" si="116"/>
        <v>100</v>
      </c>
      <c r="AF181" s="409"/>
      <c r="AG181" s="408"/>
      <c r="AH181" s="409">
        <f t="shared" si="117"/>
        <v>100</v>
      </c>
      <c r="AI181" s="410"/>
      <c r="AJ181" s="411">
        <f t="shared" si="125"/>
        <v>100</v>
      </c>
    </row>
    <row r="182" spans="1:36" s="234" customFormat="1" ht="20.25">
      <c r="A182" s="551" t="s">
        <v>623</v>
      </c>
      <c r="B182" s="552"/>
      <c r="C182" s="553"/>
      <c r="D182" s="544">
        <v>46133</v>
      </c>
      <c r="E182" s="541"/>
      <c r="F182" s="542"/>
      <c r="G182" s="542"/>
      <c r="H182" s="543"/>
      <c r="I182" s="543"/>
      <c r="J182" s="542"/>
      <c r="K182" s="579"/>
      <c r="L182" s="580"/>
      <c r="M182" s="581"/>
      <c r="N182" s="543">
        <f>3*20</f>
        <v>60</v>
      </c>
      <c r="O182" s="543"/>
      <c r="P182" s="558"/>
      <c r="Q182" s="543"/>
      <c r="R182" s="543"/>
      <c r="S182" s="543"/>
      <c r="T182" s="587"/>
      <c r="U182" s="580"/>
      <c r="V182" s="581"/>
      <c r="W182" s="543"/>
      <c r="X182" s="543"/>
      <c r="Y182" s="543"/>
      <c r="Z182" s="543"/>
      <c r="AA182" s="543"/>
      <c r="AB182" s="543"/>
      <c r="AC182" s="592"/>
      <c r="AD182" s="580"/>
      <c r="AE182" s="593">
        <f t="shared" si="116"/>
        <v>60</v>
      </c>
      <c r="AF182" s="594"/>
      <c r="AG182" s="593"/>
      <c r="AH182" s="594">
        <f t="shared" si="117"/>
        <v>60</v>
      </c>
      <c r="AI182" s="605"/>
      <c r="AJ182" s="606">
        <f t="shared" si="125"/>
        <v>60</v>
      </c>
    </row>
    <row r="183" spans="1:36" s="234" customFormat="1" ht="20.25">
      <c r="A183" s="561" t="s">
        <v>665</v>
      </c>
      <c r="B183" s="552"/>
      <c r="C183" s="553"/>
      <c r="D183" s="544">
        <v>46134</v>
      </c>
      <c r="E183" s="319"/>
      <c r="F183" s="320"/>
      <c r="G183" s="320"/>
      <c r="H183" s="321"/>
      <c r="I183" s="321"/>
      <c r="J183" s="320"/>
      <c r="K183" s="351"/>
      <c r="L183" s="352"/>
      <c r="M183" s="353"/>
      <c r="N183" s="321">
        <f>4*20</f>
        <v>80</v>
      </c>
      <c r="O183" s="321">
        <f>1*20</f>
        <v>20</v>
      </c>
      <c r="P183" s="582"/>
      <c r="Q183" s="321"/>
      <c r="R183" s="321"/>
      <c r="S183" s="321"/>
      <c r="T183" s="354"/>
      <c r="U183" s="352"/>
      <c r="V183" s="353"/>
      <c r="W183" s="321"/>
      <c r="X183" s="321"/>
      <c r="Y183" s="321"/>
      <c r="Z183" s="321"/>
      <c r="AA183" s="321"/>
      <c r="AB183" s="321"/>
      <c r="AC183" s="380"/>
      <c r="AD183" s="352"/>
      <c r="AE183" s="408">
        <f t="shared" si="116"/>
        <v>100</v>
      </c>
      <c r="AF183" s="409"/>
      <c r="AG183" s="408"/>
      <c r="AH183" s="409">
        <f t="shared" si="117"/>
        <v>100</v>
      </c>
      <c r="AI183" s="410"/>
      <c r="AJ183" s="411">
        <f t="shared" si="125"/>
        <v>100</v>
      </c>
    </row>
    <row r="184" spans="1:36" s="276" customFormat="1" ht="20.25">
      <c r="A184" s="551" t="s">
        <v>672</v>
      </c>
      <c r="B184" s="552"/>
      <c r="C184" s="553"/>
      <c r="D184" s="544">
        <v>46136</v>
      </c>
      <c r="E184" s="541"/>
      <c r="F184" s="542"/>
      <c r="G184" s="542"/>
      <c r="H184" s="543"/>
      <c r="I184" s="543"/>
      <c r="J184" s="542"/>
      <c r="K184" s="579"/>
      <c r="L184" s="580"/>
      <c r="M184" s="581">
        <f>2*20</f>
        <v>40</v>
      </c>
      <c r="N184" s="543">
        <f>2*20</f>
        <v>40</v>
      </c>
      <c r="O184" s="543"/>
      <c r="P184" s="558"/>
      <c r="Q184" s="543"/>
      <c r="R184" s="543"/>
      <c r="S184" s="543"/>
      <c r="T184" s="587"/>
      <c r="U184" s="580"/>
      <c r="V184" s="581"/>
      <c r="W184" s="543"/>
      <c r="X184" s="543"/>
      <c r="Y184" s="543"/>
      <c r="Z184" s="543"/>
      <c r="AA184" s="543"/>
      <c r="AB184" s="543"/>
      <c r="AC184" s="592"/>
      <c r="AD184" s="580"/>
      <c r="AE184" s="593">
        <f t="shared" si="116"/>
        <v>80</v>
      </c>
      <c r="AF184" s="594"/>
      <c r="AG184" s="593"/>
      <c r="AH184" s="594">
        <f t="shared" si="117"/>
        <v>80</v>
      </c>
      <c r="AI184" s="605"/>
      <c r="AJ184" s="606">
        <f t="shared" si="125"/>
        <v>80</v>
      </c>
    </row>
    <row r="185" spans="1:36" s="234" customFormat="1" ht="20.25">
      <c r="A185" s="537" t="s">
        <v>639</v>
      </c>
      <c r="B185" s="552"/>
      <c r="C185" s="553"/>
      <c r="D185" s="544">
        <v>46140</v>
      </c>
      <c r="E185" s="541"/>
      <c r="F185" s="542"/>
      <c r="G185" s="542"/>
      <c r="H185" s="543"/>
      <c r="I185" s="543"/>
      <c r="J185" s="542"/>
      <c r="K185" s="579"/>
      <c r="L185" s="580"/>
      <c r="M185" s="581"/>
      <c r="N185" s="543">
        <f>2*20</f>
        <v>40</v>
      </c>
      <c r="O185" s="543">
        <f>3*20</f>
        <v>60</v>
      </c>
      <c r="P185" s="558"/>
      <c r="Q185" s="543"/>
      <c r="R185" s="543"/>
      <c r="S185" s="543"/>
      <c r="T185" s="587"/>
      <c r="U185" s="580"/>
      <c r="V185" s="581"/>
      <c r="W185" s="543"/>
      <c r="X185" s="543"/>
      <c r="Y185" s="543"/>
      <c r="Z185" s="543"/>
      <c r="AA185" s="543"/>
      <c r="AB185" s="543"/>
      <c r="AC185" s="592"/>
      <c r="AD185" s="352"/>
      <c r="AE185" s="408">
        <f t="shared" si="116"/>
        <v>100</v>
      </c>
      <c r="AF185" s="409"/>
      <c r="AG185" s="408"/>
      <c r="AH185" s="409">
        <f t="shared" si="117"/>
        <v>100</v>
      </c>
      <c r="AI185" s="410"/>
      <c r="AJ185" s="411">
        <f t="shared" si="125"/>
        <v>100</v>
      </c>
    </row>
    <row r="186" spans="1:36" s="276" customFormat="1" ht="20.25">
      <c r="A186" s="537"/>
      <c r="B186" s="552"/>
      <c r="C186" s="553"/>
      <c r="D186" s="544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58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116"/>
        <v>0</v>
      </c>
      <c r="AF186" s="594"/>
      <c r="AG186" s="593"/>
      <c r="AH186" s="594">
        <f t="shared" si="117"/>
        <v>0</v>
      </c>
      <c r="AI186" s="605"/>
      <c r="AJ186" s="606">
        <f t="shared" si="125"/>
        <v>0</v>
      </c>
    </row>
    <row r="187" spans="1:36" s="234" customFormat="1" ht="20.25">
      <c r="A187" s="537"/>
      <c r="B187" s="552"/>
      <c r="C187" s="553"/>
      <c r="D187" s="555"/>
      <c r="E187" s="319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116"/>
        <v>0</v>
      </c>
      <c r="AF187" s="409"/>
      <c r="AG187" s="408"/>
      <c r="AH187" s="409">
        <f t="shared" si="117"/>
        <v>0</v>
      </c>
      <c r="AI187" s="410"/>
      <c r="AJ187" s="411">
        <f t="shared" si="125"/>
        <v>0</v>
      </c>
    </row>
    <row r="188" spans="1:36" s="276" customFormat="1" ht="20.25">
      <c r="A188" s="551"/>
      <c r="B188" s="538"/>
      <c r="C188" s="3079"/>
      <c r="D188" s="544"/>
      <c r="E188" s="794"/>
      <c r="F188" s="320"/>
      <c r="G188" s="320"/>
      <c r="H188" s="321"/>
      <c r="I188" s="321"/>
      <c r="J188" s="320"/>
      <c r="K188" s="351"/>
      <c r="L188" s="352"/>
      <c r="M188" s="353"/>
      <c r="N188" s="321"/>
      <c r="O188" s="321"/>
      <c r="P188" s="321"/>
      <c r="Q188" s="321"/>
      <c r="R188" s="321"/>
      <c r="S188" s="321"/>
      <c r="T188" s="354"/>
      <c r="U188" s="352"/>
      <c r="V188" s="353"/>
      <c r="W188" s="321"/>
      <c r="X188" s="321"/>
      <c r="Y188" s="321"/>
      <c r="Z188" s="321"/>
      <c r="AA188" s="321"/>
      <c r="AB188" s="321"/>
      <c r="AC188" s="380"/>
      <c r="AD188" s="352"/>
      <c r="AE188" s="408">
        <f t="shared" si="116"/>
        <v>0</v>
      </c>
      <c r="AF188" s="409"/>
      <c r="AG188" s="408"/>
      <c r="AH188" s="409">
        <f t="shared" si="117"/>
        <v>0</v>
      </c>
      <c r="AI188" s="410"/>
      <c r="AJ188" s="411">
        <f t="shared" si="125"/>
        <v>0</v>
      </c>
    </row>
    <row r="189" spans="1:36" s="234" customFormat="1" ht="20.25">
      <c r="A189" s="551"/>
      <c r="B189" s="550"/>
      <c r="C189" s="549"/>
      <c r="D189" s="544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ref="AE189" si="129">SUM(E189:AC189)</f>
        <v>0</v>
      </c>
      <c r="AF189" s="594"/>
      <c r="AG189" s="593"/>
      <c r="AH189" s="594">
        <f t="shared" si="117"/>
        <v>0</v>
      </c>
      <c r="AI189" s="605"/>
      <c r="AJ189" s="606">
        <f t="shared" si="125"/>
        <v>0</v>
      </c>
    </row>
    <row r="190" spans="1:36" s="276" customFormat="1" ht="20.25">
      <c r="A190" s="537"/>
      <c r="B190" s="552"/>
      <c r="C190" s="553"/>
      <c r="D190" s="544"/>
      <c r="E190" s="319"/>
      <c r="F190" s="320"/>
      <c r="G190" s="320"/>
      <c r="H190" s="321"/>
      <c r="I190" s="321"/>
      <c r="J190" s="320"/>
      <c r="K190" s="351"/>
      <c r="L190" s="352"/>
      <c r="M190" s="353"/>
      <c r="N190" s="321"/>
      <c r="O190" s="321"/>
      <c r="P190" s="321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408">
        <f t="shared" si="116"/>
        <v>0</v>
      </c>
      <c r="AF190" s="409"/>
      <c r="AG190" s="408"/>
      <c r="AH190" s="409">
        <f t="shared" si="117"/>
        <v>0</v>
      </c>
      <c r="AI190" s="410"/>
      <c r="AJ190" s="411">
        <f t="shared" si="125"/>
        <v>0</v>
      </c>
    </row>
    <row r="191" spans="1:36" s="234" customFormat="1" ht="20.25">
      <c r="A191" s="537"/>
      <c r="B191" s="550"/>
      <c r="C191" s="549"/>
      <c r="D191" s="544"/>
      <c r="E191" s="541"/>
      <c r="F191" s="542"/>
      <c r="G191" s="542"/>
      <c r="H191" s="543"/>
      <c r="I191" s="543"/>
      <c r="J191" s="542"/>
      <c r="K191" s="579"/>
      <c r="L191" s="580"/>
      <c r="M191" s="581"/>
      <c r="N191" s="543"/>
      <c r="O191" s="543"/>
      <c r="P191" s="543"/>
      <c r="Q191" s="543"/>
      <c r="R191" s="543"/>
      <c r="S191" s="543"/>
      <c r="T191" s="58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si="116"/>
        <v>0</v>
      </c>
      <c r="AF191" s="594"/>
      <c r="AG191" s="593"/>
      <c r="AH191" s="594">
        <f t="shared" si="117"/>
        <v>0</v>
      </c>
      <c r="AI191" s="605"/>
      <c r="AJ191" s="606">
        <f t="shared" si="125"/>
        <v>0</v>
      </c>
    </row>
    <row r="192" spans="1:36" s="234" customFormat="1" ht="20.25">
      <c r="A192" s="537"/>
      <c r="B192" s="550"/>
      <c r="C192" s="549"/>
      <c r="D192" s="544"/>
      <c r="E192" s="319"/>
      <c r="F192" s="320"/>
      <c r="G192" s="320"/>
      <c r="H192" s="321"/>
      <c r="I192" s="321"/>
      <c r="J192" s="320"/>
      <c r="K192" s="351"/>
      <c r="L192" s="352"/>
      <c r="M192" s="353"/>
      <c r="N192" s="321"/>
      <c r="O192" s="321"/>
      <c r="P192" s="321"/>
      <c r="Q192" s="321"/>
      <c r="R192" s="321"/>
      <c r="S192" s="321"/>
      <c r="T192" s="354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116"/>
        <v>0</v>
      </c>
      <c r="AF192" s="409"/>
      <c r="AG192" s="408"/>
      <c r="AH192" s="409">
        <f t="shared" si="117"/>
        <v>0</v>
      </c>
      <c r="AI192" s="410"/>
      <c r="AJ192" s="411">
        <f t="shared" si="125"/>
        <v>0</v>
      </c>
    </row>
    <row r="193" spans="1:36" s="276" customFormat="1" ht="20.25">
      <c r="A193" s="537"/>
      <c r="B193" s="550"/>
      <c r="C193" s="549"/>
      <c r="D193" s="544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58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si="116"/>
        <v>0</v>
      </c>
      <c r="AF193" s="594"/>
      <c r="AG193" s="593"/>
      <c r="AH193" s="594">
        <f t="shared" si="117"/>
        <v>0</v>
      </c>
      <c r="AI193" s="605"/>
      <c r="AJ193" s="606">
        <f t="shared" si="125"/>
        <v>0</v>
      </c>
    </row>
    <row r="194" spans="1:36" s="276" customFormat="1" ht="20.25">
      <c r="A194" s="551"/>
      <c r="B194" s="550"/>
      <c r="C194" s="549"/>
      <c r="D194" s="544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116"/>
        <v>0</v>
      </c>
      <c r="AF194" s="409"/>
      <c r="AG194" s="408"/>
      <c r="AH194" s="409">
        <f t="shared" si="117"/>
        <v>0</v>
      </c>
      <c r="AI194" s="410"/>
      <c r="AJ194" s="411">
        <f t="shared" si="125"/>
        <v>0</v>
      </c>
    </row>
    <row r="195" spans="1:36" s="234" customFormat="1" ht="20.25">
      <c r="A195" s="537"/>
      <c r="B195" s="550"/>
      <c r="C195" s="549"/>
      <c r="D195" s="544"/>
      <c r="E195" s="541"/>
      <c r="F195" s="542"/>
      <c r="G195" s="542"/>
      <c r="H195" s="543"/>
      <c r="I195" s="543"/>
      <c r="J195" s="542"/>
      <c r="K195" s="579"/>
      <c r="L195" s="580"/>
      <c r="M195" s="581"/>
      <c r="N195" s="543"/>
      <c r="O195" s="543"/>
      <c r="P195" s="543"/>
      <c r="Q195" s="543"/>
      <c r="R195" s="543"/>
      <c r="S195" s="543"/>
      <c r="T195" s="587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116"/>
        <v>0</v>
      </c>
      <c r="AF195" s="594"/>
      <c r="AG195" s="593"/>
      <c r="AH195" s="594">
        <f t="shared" si="117"/>
        <v>0</v>
      </c>
      <c r="AI195" s="605"/>
      <c r="AJ195" s="606">
        <f t="shared" si="125"/>
        <v>0</v>
      </c>
    </row>
    <row r="196" spans="1:36" s="276" customFormat="1" ht="20.25">
      <c r="A196" s="537"/>
      <c r="B196" s="552"/>
      <c r="C196" s="553"/>
      <c r="D196" s="544"/>
      <c r="E196" s="319"/>
      <c r="F196" s="320"/>
      <c r="G196" s="320"/>
      <c r="H196" s="321"/>
      <c r="I196" s="321"/>
      <c r="J196" s="320"/>
      <c r="K196" s="351"/>
      <c r="L196" s="352"/>
      <c r="M196" s="353"/>
      <c r="N196" s="321"/>
      <c r="O196" s="321"/>
      <c r="P196" s="321"/>
      <c r="Q196" s="321"/>
      <c r="R196" s="321"/>
      <c r="S196" s="321"/>
      <c r="T196" s="354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116"/>
        <v>0</v>
      </c>
      <c r="AF196" s="409"/>
      <c r="AG196" s="408"/>
      <c r="AH196" s="409">
        <f t="shared" si="117"/>
        <v>0</v>
      </c>
      <c r="AI196" s="410"/>
      <c r="AJ196" s="411">
        <f t="shared" si="125"/>
        <v>0</v>
      </c>
    </row>
    <row r="197" spans="1:36" s="276" customFormat="1" ht="20.25">
      <c r="A197" s="537"/>
      <c r="B197" s="552"/>
      <c r="C197" s="553"/>
      <c r="D197" s="544"/>
      <c r="E197" s="541"/>
      <c r="F197" s="542"/>
      <c r="G197" s="542"/>
      <c r="H197" s="543"/>
      <c r="I197" s="543"/>
      <c r="J197" s="542"/>
      <c r="K197" s="579"/>
      <c r="L197" s="580"/>
      <c r="M197" s="581"/>
      <c r="N197" s="543"/>
      <c r="O197" s="543"/>
      <c r="P197" s="543"/>
      <c r="Q197" s="543"/>
      <c r="R197" s="543"/>
      <c r="S197" s="543"/>
      <c r="T197" s="587"/>
      <c r="U197" s="580"/>
      <c r="V197" s="581"/>
      <c r="W197" s="543"/>
      <c r="X197" s="543"/>
      <c r="Y197" s="543"/>
      <c r="Z197" s="543"/>
      <c r="AA197" s="543"/>
      <c r="AB197" s="543"/>
      <c r="AC197" s="592"/>
      <c r="AD197" s="580"/>
      <c r="AE197" s="593">
        <f t="shared" si="116"/>
        <v>0</v>
      </c>
      <c r="AF197" s="594"/>
      <c r="AG197" s="593"/>
      <c r="AH197" s="594">
        <f t="shared" si="117"/>
        <v>0</v>
      </c>
      <c r="AI197" s="605"/>
      <c r="AJ197" s="606">
        <f t="shared" si="125"/>
        <v>0</v>
      </c>
    </row>
    <row r="198" spans="1:36" s="234" customFormat="1" ht="20.25">
      <c r="A198" s="561"/>
      <c r="B198" s="552"/>
      <c r="C198" s="553"/>
      <c r="D198" s="555"/>
      <c r="E198" s="319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116"/>
        <v>0</v>
      </c>
      <c r="AF198" s="409"/>
      <c r="AG198" s="408"/>
      <c r="AH198" s="409">
        <f t="shared" si="117"/>
        <v>0</v>
      </c>
      <c r="AI198" s="410"/>
      <c r="AJ198" s="411">
        <f t="shared" si="125"/>
        <v>0</v>
      </c>
    </row>
    <row r="199" spans="1:36" s="276" customFormat="1" ht="20.25">
      <c r="A199" s="537"/>
      <c r="B199" s="563"/>
      <c r="C199" s="553"/>
      <c r="D199" s="544"/>
      <c r="E199" s="319"/>
      <c r="F199" s="320"/>
      <c r="G199" s="320"/>
      <c r="H199" s="321"/>
      <c r="I199" s="321"/>
      <c r="J199" s="320"/>
      <c r="K199" s="351"/>
      <c r="L199" s="352"/>
      <c r="M199" s="353"/>
      <c r="N199" s="321"/>
      <c r="O199" s="321"/>
      <c r="P199" s="321"/>
      <c r="Q199" s="321"/>
      <c r="R199" s="321"/>
      <c r="S199" s="321"/>
      <c r="T199" s="354"/>
      <c r="U199" s="352"/>
      <c r="V199" s="353"/>
      <c r="W199" s="321"/>
      <c r="X199" s="321"/>
      <c r="Y199" s="321"/>
      <c r="Z199" s="543"/>
      <c r="AA199" s="321"/>
      <c r="AB199" s="321"/>
      <c r="AC199" s="380"/>
      <c r="AD199" s="352"/>
      <c r="AE199" s="408">
        <f t="shared" si="116"/>
        <v>0</v>
      </c>
      <c r="AF199" s="409"/>
      <c r="AG199" s="408"/>
      <c r="AH199" s="409">
        <f t="shared" si="117"/>
        <v>0</v>
      </c>
      <c r="AI199" s="410"/>
      <c r="AJ199" s="411">
        <f t="shared" si="125"/>
        <v>0</v>
      </c>
    </row>
    <row r="200" spans="1:36" s="276" customFormat="1" ht="20.25">
      <c r="A200" s="537"/>
      <c r="B200" s="552"/>
      <c r="C200" s="553"/>
      <c r="D200" s="544"/>
      <c r="E200" s="541"/>
      <c r="F200" s="542"/>
      <c r="G200" s="542"/>
      <c r="H200" s="543"/>
      <c r="I200" s="543"/>
      <c r="J200" s="542"/>
      <c r="K200" s="579"/>
      <c r="L200" s="580"/>
      <c r="M200" s="581"/>
      <c r="N200" s="543"/>
      <c r="O200" s="543"/>
      <c r="P200" s="543"/>
      <c r="Q200" s="543"/>
      <c r="R200" s="543"/>
      <c r="S200" s="543"/>
      <c r="T200" s="587"/>
      <c r="U200" s="580"/>
      <c r="V200" s="581"/>
      <c r="W200" s="543"/>
      <c r="X200" s="543"/>
      <c r="Y200" s="543"/>
      <c r="Z200" s="543"/>
      <c r="AA200" s="543"/>
      <c r="AB200" s="543"/>
      <c r="AC200" s="592"/>
      <c r="AD200" s="580"/>
      <c r="AE200" s="593">
        <f t="shared" si="116"/>
        <v>0</v>
      </c>
      <c r="AF200" s="594"/>
      <c r="AG200" s="593"/>
      <c r="AH200" s="594">
        <f t="shared" si="117"/>
        <v>0</v>
      </c>
      <c r="AI200" s="605"/>
      <c r="AJ200" s="606">
        <f t="shared" si="125"/>
        <v>0</v>
      </c>
    </row>
    <row r="201" spans="1:36" s="234" customFormat="1" ht="20.25">
      <c r="A201" s="537"/>
      <c r="B201" s="550"/>
      <c r="C201" s="549"/>
      <c r="D201" s="544"/>
      <c r="E201" s="319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116"/>
        <v>0</v>
      </c>
      <c r="AF201" s="409"/>
      <c r="AG201" s="408"/>
      <c r="AH201" s="409">
        <f t="shared" si="117"/>
        <v>0</v>
      </c>
      <c r="AI201" s="410"/>
      <c r="AJ201" s="411">
        <f t="shared" si="125"/>
        <v>0</v>
      </c>
    </row>
    <row r="202" spans="1:36" s="276" customFormat="1" ht="20.25">
      <c r="A202" s="551"/>
      <c r="B202" s="550"/>
      <c r="C202" s="549"/>
      <c r="D202" s="544"/>
      <c r="E202" s="541"/>
      <c r="F202" s="542"/>
      <c r="G202" s="542"/>
      <c r="H202" s="543"/>
      <c r="I202" s="543"/>
      <c r="J202" s="542"/>
      <c r="K202" s="579"/>
      <c r="L202" s="580"/>
      <c r="M202" s="581"/>
      <c r="N202" s="543"/>
      <c r="O202" s="543"/>
      <c r="P202" s="543"/>
      <c r="Q202" s="543"/>
      <c r="R202" s="543"/>
      <c r="S202" s="543"/>
      <c r="T202" s="587"/>
      <c r="U202" s="580"/>
      <c r="V202" s="581"/>
      <c r="W202" s="543"/>
      <c r="X202" s="543"/>
      <c r="Y202" s="543"/>
      <c r="Z202" s="543"/>
      <c r="AA202" s="543"/>
      <c r="AB202" s="543"/>
      <c r="AC202" s="592"/>
      <c r="AD202" s="580"/>
      <c r="AE202" s="593">
        <f t="shared" si="116"/>
        <v>0</v>
      </c>
      <c r="AF202" s="594"/>
      <c r="AG202" s="593"/>
      <c r="AH202" s="594">
        <f t="shared" si="117"/>
        <v>0</v>
      </c>
      <c r="AI202" s="605"/>
      <c r="AJ202" s="606">
        <f t="shared" si="125"/>
        <v>0</v>
      </c>
    </row>
    <row r="203" spans="1:36" s="234" customFormat="1" ht="20.25">
      <c r="A203" s="1111"/>
      <c r="B203" s="550"/>
      <c r="C203" s="549"/>
      <c r="D203" s="544"/>
      <c r="E203" s="319"/>
      <c r="F203" s="320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/>
      <c r="X203" s="321"/>
      <c r="Y203" s="321"/>
      <c r="Z203" s="321"/>
      <c r="AA203" s="321"/>
      <c r="AB203" s="321"/>
      <c r="AC203" s="380"/>
      <c r="AD203" s="352"/>
      <c r="AE203" s="408">
        <f t="shared" si="116"/>
        <v>0</v>
      </c>
      <c r="AF203" s="409"/>
      <c r="AG203" s="408"/>
      <c r="AH203" s="409">
        <f t="shared" si="117"/>
        <v>0</v>
      </c>
      <c r="AI203" s="410"/>
      <c r="AJ203" s="411">
        <f t="shared" si="125"/>
        <v>0</v>
      </c>
    </row>
    <row r="204" spans="1:36" s="276" customFormat="1" ht="20.25">
      <c r="A204" s="547"/>
      <c r="B204" s="550"/>
      <c r="C204" s="549"/>
      <c r="D204" s="544"/>
      <c r="E204" s="541"/>
      <c r="F204" s="542"/>
      <c r="G204" s="542"/>
      <c r="H204" s="543"/>
      <c r="I204" s="543"/>
      <c r="J204" s="542"/>
      <c r="K204" s="579"/>
      <c r="L204" s="580"/>
      <c r="M204" s="581"/>
      <c r="N204" s="543"/>
      <c r="O204" s="543"/>
      <c r="P204" s="543"/>
      <c r="Q204" s="543"/>
      <c r="R204" s="543"/>
      <c r="S204" s="543"/>
      <c r="T204" s="587"/>
      <c r="U204" s="580"/>
      <c r="V204" s="581"/>
      <c r="W204" s="543"/>
      <c r="X204" s="543"/>
      <c r="Y204" s="543"/>
      <c r="Z204" s="543"/>
      <c r="AA204" s="543"/>
      <c r="AB204" s="543"/>
      <c r="AC204" s="592"/>
      <c r="AD204" s="580"/>
      <c r="AE204" s="593">
        <f t="shared" si="116"/>
        <v>0</v>
      </c>
      <c r="AF204" s="594"/>
      <c r="AG204" s="593"/>
      <c r="AH204" s="594">
        <f t="shared" si="117"/>
        <v>0</v>
      </c>
      <c r="AI204" s="605"/>
      <c r="AJ204" s="606">
        <f t="shared" si="125"/>
        <v>0</v>
      </c>
    </row>
    <row r="205" spans="1:36" s="234" customFormat="1" ht="20.25">
      <c r="A205" s="537"/>
      <c r="B205" s="550"/>
      <c r="C205" s="549"/>
      <c r="D205" s="544"/>
      <c r="E205" s="319"/>
      <c r="F205" s="320"/>
      <c r="G205" s="320"/>
      <c r="H205" s="321"/>
      <c r="I205" s="321"/>
      <c r="J205" s="320"/>
      <c r="K205" s="351"/>
      <c r="L205" s="352"/>
      <c r="M205" s="353"/>
      <c r="N205" s="321"/>
      <c r="O205" s="321"/>
      <c r="P205" s="321"/>
      <c r="Q205" s="321"/>
      <c r="R205" s="321"/>
      <c r="S205" s="321"/>
      <c r="T205" s="354"/>
      <c r="U205" s="352"/>
      <c r="V205" s="353"/>
      <c r="W205" s="321"/>
      <c r="X205" s="321"/>
      <c r="Y205" s="321"/>
      <c r="Z205" s="321"/>
      <c r="AA205" s="321"/>
      <c r="AB205" s="321"/>
      <c r="AC205" s="380"/>
      <c r="AD205" s="352"/>
      <c r="AE205" s="408">
        <f t="shared" si="116"/>
        <v>0</v>
      </c>
      <c r="AF205" s="409"/>
      <c r="AG205" s="408"/>
      <c r="AH205" s="409">
        <f t="shared" si="117"/>
        <v>0</v>
      </c>
      <c r="AI205" s="410"/>
      <c r="AJ205" s="411">
        <f t="shared" si="125"/>
        <v>0</v>
      </c>
    </row>
    <row r="206" spans="1:36" s="234" customFormat="1" ht="20.25">
      <c r="A206" s="564"/>
      <c r="B206" s="565"/>
      <c r="C206" s="565"/>
      <c r="D206" s="566"/>
      <c r="E206" s="541"/>
      <c r="F206" s="542"/>
      <c r="G206" s="542"/>
      <c r="H206" s="543"/>
      <c r="I206" s="543"/>
      <c r="J206" s="542"/>
      <c r="K206" s="579"/>
      <c r="L206" s="580"/>
      <c r="M206" s="581"/>
      <c r="N206" s="543"/>
      <c r="O206" s="543"/>
      <c r="P206" s="543"/>
      <c r="Q206" s="543"/>
      <c r="R206" s="543"/>
      <c r="S206" s="543"/>
      <c r="T206" s="587"/>
      <c r="U206" s="580"/>
      <c r="V206" s="581"/>
      <c r="W206" s="543"/>
      <c r="X206" s="543"/>
      <c r="Y206" s="543"/>
      <c r="Z206" s="543"/>
      <c r="AA206" s="543"/>
      <c r="AB206" s="543"/>
      <c r="AC206" s="592"/>
      <c r="AD206" s="580"/>
      <c r="AE206" s="593">
        <f t="shared" si="116"/>
        <v>0</v>
      </c>
      <c r="AF206" s="594"/>
      <c r="AG206" s="593"/>
      <c r="AH206" s="594">
        <f t="shared" si="117"/>
        <v>0</v>
      </c>
      <c r="AI206" s="605"/>
      <c r="AJ206" s="606">
        <f t="shared" si="125"/>
        <v>0</v>
      </c>
    </row>
    <row r="207" spans="1:36" s="234" customFormat="1" ht="20.25">
      <c r="A207" s="316"/>
      <c r="B207" s="570"/>
      <c r="C207" s="570"/>
      <c r="D207" s="571"/>
      <c r="E207" s="319"/>
      <c r="F207" s="320"/>
      <c r="G207" s="320"/>
      <c r="H207" s="321"/>
      <c r="I207" s="321"/>
      <c r="J207" s="320"/>
      <c r="K207" s="351"/>
      <c r="L207" s="352"/>
      <c r="M207" s="353"/>
      <c r="N207" s="321"/>
      <c r="O207" s="321"/>
      <c r="P207" s="321"/>
      <c r="Q207" s="321"/>
      <c r="R207" s="321"/>
      <c r="S207" s="321"/>
      <c r="T207" s="354"/>
      <c r="U207" s="352"/>
      <c r="V207" s="353"/>
      <c r="W207" s="321"/>
      <c r="X207" s="321"/>
      <c r="Y207" s="321"/>
      <c r="Z207" s="321"/>
      <c r="AA207" s="321"/>
      <c r="AB207" s="321"/>
      <c r="AC207" s="380"/>
      <c r="AD207" s="352"/>
      <c r="AE207" s="408">
        <f t="shared" si="116"/>
        <v>0</v>
      </c>
      <c r="AF207" s="409"/>
      <c r="AG207" s="408"/>
      <c r="AH207" s="409">
        <f t="shared" si="117"/>
        <v>0</v>
      </c>
      <c r="AI207" s="410"/>
      <c r="AJ207" s="411">
        <f t="shared" si="125"/>
        <v>0</v>
      </c>
    </row>
    <row r="208" spans="1:36" s="234" customFormat="1" ht="20.25">
      <c r="A208" s="316"/>
      <c r="B208" s="570"/>
      <c r="C208" s="570"/>
      <c r="D208" s="571"/>
      <c r="E208" s="319"/>
      <c r="F208" s="320"/>
      <c r="G208" s="320"/>
      <c r="H208" s="321"/>
      <c r="I208" s="321"/>
      <c r="J208" s="320"/>
      <c r="K208" s="351"/>
      <c r="L208" s="352"/>
      <c r="M208" s="353"/>
      <c r="N208" s="321"/>
      <c r="O208" s="321"/>
      <c r="P208" s="321"/>
      <c r="Q208" s="321"/>
      <c r="R208" s="321"/>
      <c r="S208" s="321"/>
      <c r="T208" s="354"/>
      <c r="U208" s="352"/>
      <c r="V208" s="353"/>
      <c r="W208" s="321"/>
      <c r="X208" s="321"/>
      <c r="Y208" s="321"/>
      <c r="Z208" s="321"/>
      <c r="AA208" s="321"/>
      <c r="AB208" s="321"/>
      <c r="AC208" s="380"/>
      <c r="AD208" s="352"/>
      <c r="AE208" s="408">
        <f t="shared" si="116"/>
        <v>0</v>
      </c>
      <c r="AF208" s="409"/>
      <c r="AG208" s="408"/>
      <c r="AH208" s="409">
        <f t="shared" si="117"/>
        <v>0</v>
      </c>
      <c r="AI208" s="410"/>
      <c r="AJ208" s="411">
        <f t="shared" si="125"/>
        <v>0</v>
      </c>
    </row>
    <row r="209" spans="1:39" s="234" customFormat="1" ht="20.25">
      <c r="A209" s="564"/>
      <c r="B209" s="565"/>
      <c r="C209" s="565"/>
      <c r="D209" s="566"/>
      <c r="E209" s="541"/>
      <c r="F209" s="542"/>
      <c r="G209" s="542"/>
      <c r="H209" s="543"/>
      <c r="I209" s="543"/>
      <c r="J209" s="542"/>
      <c r="K209" s="579"/>
      <c r="L209" s="580"/>
      <c r="M209" s="581"/>
      <c r="N209" s="543"/>
      <c r="O209" s="543"/>
      <c r="P209" s="543"/>
      <c r="Q209" s="543"/>
      <c r="R209" s="543"/>
      <c r="S209" s="543"/>
      <c r="T209" s="587"/>
      <c r="U209" s="580"/>
      <c r="V209" s="581"/>
      <c r="W209" s="543"/>
      <c r="X209" s="543"/>
      <c r="Y209" s="543"/>
      <c r="Z209" s="543"/>
      <c r="AA209" s="543"/>
      <c r="AB209" s="543"/>
      <c r="AC209" s="592"/>
      <c r="AD209" s="580"/>
      <c r="AE209" s="593">
        <f t="shared" si="116"/>
        <v>0</v>
      </c>
      <c r="AF209" s="594"/>
      <c r="AG209" s="593"/>
      <c r="AH209" s="594">
        <f t="shared" si="117"/>
        <v>0</v>
      </c>
      <c r="AI209" s="605"/>
      <c r="AJ209" s="606">
        <f t="shared" si="125"/>
        <v>0</v>
      </c>
    </row>
    <row r="210" spans="1:39" s="234" customFormat="1" ht="20.25">
      <c r="A210" s="564"/>
      <c r="B210" s="565"/>
      <c r="C210" s="565"/>
      <c r="D210" s="566"/>
      <c r="E210" s="541"/>
      <c r="F210" s="542"/>
      <c r="G210" s="542"/>
      <c r="H210" s="543"/>
      <c r="I210" s="543"/>
      <c r="J210" s="542"/>
      <c r="K210" s="579"/>
      <c r="L210" s="580"/>
      <c r="M210" s="581"/>
      <c r="N210" s="543"/>
      <c r="O210" s="543"/>
      <c r="P210" s="543"/>
      <c r="Q210" s="543"/>
      <c r="R210" s="543"/>
      <c r="S210" s="543"/>
      <c r="T210" s="587"/>
      <c r="U210" s="580"/>
      <c r="V210" s="581"/>
      <c r="W210" s="543"/>
      <c r="X210" s="543"/>
      <c r="Y210" s="543"/>
      <c r="Z210" s="543"/>
      <c r="AA210" s="543"/>
      <c r="AB210" s="543"/>
      <c r="AC210" s="592"/>
      <c r="AD210" s="580"/>
      <c r="AE210" s="593">
        <f t="shared" si="116"/>
        <v>0</v>
      </c>
      <c r="AF210" s="594"/>
      <c r="AG210" s="593"/>
      <c r="AH210" s="594">
        <f t="shared" si="117"/>
        <v>0</v>
      </c>
      <c r="AI210" s="605"/>
      <c r="AJ210" s="606">
        <f t="shared" si="125"/>
        <v>0</v>
      </c>
    </row>
    <row r="211" spans="1:39" s="234" customFormat="1" ht="20.25">
      <c r="A211" s="316"/>
      <c r="B211" s="570"/>
      <c r="C211" s="570"/>
      <c r="D211" s="571"/>
      <c r="E211" s="319"/>
      <c r="F211" s="320"/>
      <c r="G211" s="320"/>
      <c r="H211" s="321"/>
      <c r="I211" s="321"/>
      <c r="J211" s="320"/>
      <c r="K211" s="351"/>
      <c r="L211" s="352"/>
      <c r="M211" s="353"/>
      <c r="N211" s="321"/>
      <c r="O211" s="321"/>
      <c r="P211" s="321"/>
      <c r="Q211" s="321"/>
      <c r="R211" s="321"/>
      <c r="S211" s="321"/>
      <c r="T211" s="354"/>
      <c r="U211" s="352"/>
      <c r="V211" s="353"/>
      <c r="W211" s="321"/>
      <c r="X211" s="321"/>
      <c r="Y211" s="321"/>
      <c r="Z211" s="321"/>
      <c r="AA211" s="321"/>
      <c r="AB211" s="321"/>
      <c r="AC211" s="380"/>
      <c r="AD211" s="352"/>
      <c r="AE211" s="593">
        <f t="shared" si="116"/>
        <v>0</v>
      </c>
      <c r="AF211" s="409"/>
      <c r="AG211" s="408"/>
      <c r="AH211" s="409">
        <f t="shared" si="117"/>
        <v>0</v>
      </c>
      <c r="AI211" s="410"/>
      <c r="AJ211" s="411">
        <f t="shared" si="125"/>
        <v>0</v>
      </c>
    </row>
    <row r="212" spans="1:39" s="234" customFormat="1" ht="20.25">
      <c r="A212" s="564"/>
      <c r="B212" s="565"/>
      <c r="C212" s="565"/>
      <c r="D212" s="566"/>
      <c r="E212" s="541"/>
      <c r="F212" s="542"/>
      <c r="G212" s="542"/>
      <c r="H212" s="543"/>
      <c r="I212" s="543"/>
      <c r="J212" s="542"/>
      <c r="K212" s="579"/>
      <c r="L212" s="580"/>
      <c r="M212" s="581"/>
      <c r="N212" s="543"/>
      <c r="O212" s="543"/>
      <c r="P212" s="543"/>
      <c r="Q212" s="543"/>
      <c r="R212" s="543"/>
      <c r="S212" s="543"/>
      <c r="T212" s="587"/>
      <c r="U212" s="580"/>
      <c r="V212" s="581"/>
      <c r="W212" s="543"/>
      <c r="X212" s="543"/>
      <c r="Y212" s="543"/>
      <c r="Z212" s="543"/>
      <c r="AA212" s="543"/>
      <c r="AB212" s="543"/>
      <c r="AC212" s="592"/>
      <c r="AD212" s="580"/>
      <c r="AE212" s="593">
        <f t="shared" ref="AE212:AE213" si="130">SUM(E212:AC212)</f>
        <v>0</v>
      </c>
      <c r="AF212" s="594"/>
      <c r="AG212" s="593"/>
      <c r="AH212" s="594">
        <f t="shared" ref="AH212" si="131">AE212+AF212+AG212</f>
        <v>0</v>
      </c>
      <c r="AI212" s="605"/>
      <c r="AJ212" s="606">
        <f t="shared" ref="AJ212" si="132">AH212+AI212</f>
        <v>0</v>
      </c>
    </row>
    <row r="213" spans="1:39" s="234" customFormat="1" ht="20.25">
      <c r="A213" s="564"/>
      <c r="B213" s="565"/>
      <c r="C213" s="565"/>
      <c r="D213" s="566"/>
      <c r="E213" s="541"/>
      <c r="F213" s="542"/>
      <c r="G213" s="542"/>
      <c r="H213" s="543"/>
      <c r="I213" s="543"/>
      <c r="J213" s="542"/>
      <c r="K213" s="579"/>
      <c r="L213" s="580"/>
      <c r="M213" s="581"/>
      <c r="N213" s="543"/>
      <c r="O213" s="543"/>
      <c r="P213" s="543"/>
      <c r="Q213" s="543"/>
      <c r="R213" s="543"/>
      <c r="S213" s="543"/>
      <c r="T213" s="587"/>
      <c r="U213" s="580"/>
      <c r="V213" s="581"/>
      <c r="W213" s="543"/>
      <c r="X213" s="543"/>
      <c r="Y213" s="543"/>
      <c r="Z213" s="543"/>
      <c r="AA213" s="543"/>
      <c r="AB213" s="543"/>
      <c r="AC213" s="592"/>
      <c r="AD213" s="580"/>
      <c r="AE213" s="593">
        <f t="shared" si="130"/>
        <v>0</v>
      </c>
      <c r="AF213" s="594"/>
      <c r="AG213" s="593"/>
      <c r="AH213" s="594">
        <f t="shared" si="117"/>
        <v>0</v>
      </c>
      <c r="AI213" s="605"/>
      <c r="AJ213" s="606">
        <f t="shared" si="125"/>
        <v>0</v>
      </c>
    </row>
    <row r="214" spans="1:39" s="234" customFormat="1" ht="20.25">
      <c r="A214" s="316"/>
      <c r="B214" s="570"/>
      <c r="C214" s="570"/>
      <c r="D214" s="571"/>
      <c r="E214" s="319"/>
      <c r="F214" s="320"/>
      <c r="G214" s="320"/>
      <c r="H214" s="321"/>
      <c r="I214" s="321"/>
      <c r="J214" s="320"/>
      <c r="K214" s="351"/>
      <c r="L214" s="352"/>
      <c r="M214" s="353"/>
      <c r="N214" s="321"/>
      <c r="O214" s="321"/>
      <c r="P214" s="321"/>
      <c r="Q214" s="321"/>
      <c r="R214" s="321"/>
      <c r="S214" s="321"/>
      <c r="T214" s="354"/>
      <c r="U214" s="352"/>
      <c r="V214" s="353"/>
      <c r="W214" s="321"/>
      <c r="X214" s="321"/>
      <c r="Y214" s="321"/>
      <c r="Z214" s="321"/>
      <c r="AA214" s="321"/>
      <c r="AB214" s="321"/>
      <c r="AC214" s="380"/>
      <c r="AD214" s="352"/>
      <c r="AE214" s="408">
        <f t="shared" ref="AE214:AE231" si="133">SUM(E214:AC214)</f>
        <v>0</v>
      </c>
      <c r="AF214" s="409"/>
      <c r="AG214" s="408"/>
      <c r="AH214" s="409">
        <f t="shared" si="117"/>
        <v>0</v>
      </c>
      <c r="AI214" s="410"/>
      <c r="AJ214" s="411">
        <f t="shared" si="125"/>
        <v>0</v>
      </c>
    </row>
    <row r="215" spans="1:39" s="234" customFormat="1" ht="20.25">
      <c r="A215" s="564"/>
      <c r="B215" s="565"/>
      <c r="C215" s="565"/>
      <c r="D215" s="566"/>
      <c r="E215" s="541"/>
      <c r="F215" s="542"/>
      <c r="G215" s="542"/>
      <c r="H215" s="543"/>
      <c r="I215" s="543"/>
      <c r="J215" s="542"/>
      <c r="K215" s="579"/>
      <c r="L215" s="580"/>
      <c r="M215" s="581"/>
      <c r="N215" s="543"/>
      <c r="O215" s="543"/>
      <c r="P215" s="543"/>
      <c r="Q215" s="543"/>
      <c r="R215" s="543"/>
      <c r="S215" s="543"/>
      <c r="T215" s="587"/>
      <c r="U215" s="580"/>
      <c r="V215" s="581"/>
      <c r="W215" s="543"/>
      <c r="X215" s="543"/>
      <c r="Y215" s="543"/>
      <c r="Z215" s="543"/>
      <c r="AA215" s="543"/>
      <c r="AB215" s="543"/>
      <c r="AC215" s="592"/>
      <c r="AD215" s="580"/>
      <c r="AE215" s="593">
        <f t="shared" si="133"/>
        <v>0</v>
      </c>
      <c r="AF215" s="594"/>
      <c r="AG215" s="593"/>
      <c r="AH215" s="594">
        <f t="shared" si="117"/>
        <v>0</v>
      </c>
      <c r="AI215" s="605"/>
      <c r="AJ215" s="606">
        <f t="shared" si="125"/>
        <v>0</v>
      </c>
    </row>
    <row r="216" spans="1:39" ht="20.25">
      <c r="A216" s="564"/>
      <c r="B216" s="565"/>
      <c r="C216" s="565"/>
      <c r="D216" s="566"/>
      <c r="E216" s="541"/>
      <c r="F216" s="542"/>
      <c r="G216" s="542"/>
      <c r="H216" s="543"/>
      <c r="I216" s="543"/>
      <c r="J216" s="542"/>
      <c r="K216" s="579"/>
      <c r="L216" s="580"/>
      <c r="M216" s="581"/>
      <c r="N216" s="543"/>
      <c r="O216" s="543"/>
      <c r="P216" s="543"/>
      <c r="Q216" s="543"/>
      <c r="R216" s="543"/>
      <c r="S216" s="543"/>
      <c r="T216" s="587"/>
      <c r="U216" s="580"/>
      <c r="V216" s="581"/>
      <c r="W216" s="543"/>
      <c r="X216" s="543"/>
      <c r="Y216" s="543"/>
      <c r="Z216" s="543"/>
      <c r="AA216" s="543"/>
      <c r="AB216" s="543"/>
      <c r="AC216" s="592"/>
      <c r="AD216" s="580"/>
      <c r="AE216" s="593">
        <f t="shared" si="133"/>
        <v>0</v>
      </c>
      <c r="AF216" s="594"/>
      <c r="AG216" s="593"/>
      <c r="AH216" s="594">
        <f t="shared" si="117"/>
        <v>0</v>
      </c>
      <c r="AI216" s="605"/>
      <c r="AJ216" s="606">
        <f t="shared" si="125"/>
        <v>0</v>
      </c>
    </row>
    <row r="217" spans="1:39" ht="20.25">
      <c r="A217" s="316"/>
      <c r="B217" s="570"/>
      <c r="C217" s="570"/>
      <c r="D217" s="571"/>
      <c r="E217" s="319"/>
      <c r="F217" s="320"/>
      <c r="G217" s="320"/>
      <c r="H217" s="321"/>
      <c r="I217" s="321"/>
      <c r="J217" s="320"/>
      <c r="K217" s="351"/>
      <c r="L217" s="352"/>
      <c r="M217" s="353"/>
      <c r="N217" s="321"/>
      <c r="O217" s="321"/>
      <c r="P217" s="321"/>
      <c r="Q217" s="321"/>
      <c r="R217" s="321"/>
      <c r="S217" s="321"/>
      <c r="T217" s="354"/>
      <c r="U217" s="352"/>
      <c r="V217" s="353"/>
      <c r="W217" s="321"/>
      <c r="X217" s="321"/>
      <c r="Y217" s="321"/>
      <c r="Z217" s="321"/>
      <c r="AA217" s="321"/>
      <c r="AB217" s="321"/>
      <c r="AC217" s="380"/>
      <c r="AD217" s="352"/>
      <c r="AE217" s="408">
        <f t="shared" si="133"/>
        <v>0</v>
      </c>
      <c r="AF217" s="409"/>
      <c r="AG217" s="408"/>
      <c r="AH217" s="409">
        <f t="shared" si="117"/>
        <v>0</v>
      </c>
      <c r="AI217" s="410"/>
      <c r="AJ217" s="411">
        <f t="shared" si="125"/>
        <v>0</v>
      </c>
    </row>
    <row r="218" spans="1:39" s="284" customFormat="1" ht="20.25">
      <c r="A218" s="564"/>
      <c r="B218" s="565"/>
      <c r="C218" s="565"/>
      <c r="D218" s="566"/>
      <c r="E218" s="541"/>
      <c r="F218" s="542"/>
      <c r="G218" s="542"/>
      <c r="H218" s="543"/>
      <c r="I218" s="543"/>
      <c r="J218" s="542"/>
      <c r="K218" s="579"/>
      <c r="L218" s="580"/>
      <c r="M218" s="581"/>
      <c r="N218" s="543"/>
      <c r="O218" s="543"/>
      <c r="P218" s="543"/>
      <c r="Q218" s="543"/>
      <c r="R218" s="543"/>
      <c r="S218" s="543"/>
      <c r="T218" s="587"/>
      <c r="U218" s="580"/>
      <c r="V218" s="581"/>
      <c r="W218" s="543"/>
      <c r="X218" s="543"/>
      <c r="Y218" s="543"/>
      <c r="Z218" s="543"/>
      <c r="AA218" s="543"/>
      <c r="AB218" s="543"/>
      <c r="AC218" s="592"/>
      <c r="AD218" s="580"/>
      <c r="AE218" s="593">
        <f t="shared" si="133"/>
        <v>0</v>
      </c>
      <c r="AF218" s="594"/>
      <c r="AG218" s="593"/>
      <c r="AH218" s="594">
        <f t="shared" si="117"/>
        <v>0</v>
      </c>
      <c r="AI218" s="605"/>
      <c r="AJ218" s="606">
        <f t="shared" si="125"/>
        <v>0</v>
      </c>
      <c r="AK218" s="403"/>
      <c r="AL218" s="403"/>
      <c r="AM218" s="403"/>
    </row>
    <row r="219" spans="1:39" s="282" customFormat="1" ht="20.25">
      <c r="A219" s="316"/>
      <c r="B219" s="570"/>
      <c r="C219" s="570"/>
      <c r="D219" s="571"/>
      <c r="E219" s="319"/>
      <c r="F219" s="320"/>
      <c r="G219" s="320"/>
      <c r="H219" s="321"/>
      <c r="I219" s="321"/>
      <c r="J219" s="320"/>
      <c r="K219" s="351"/>
      <c r="L219" s="352"/>
      <c r="M219" s="353"/>
      <c r="N219" s="321"/>
      <c r="O219" s="321"/>
      <c r="P219" s="321"/>
      <c r="Q219" s="321"/>
      <c r="R219" s="321"/>
      <c r="S219" s="321"/>
      <c r="T219" s="354"/>
      <c r="U219" s="352"/>
      <c r="V219" s="353"/>
      <c r="W219" s="321"/>
      <c r="X219" s="321"/>
      <c r="Y219" s="321"/>
      <c r="Z219" s="321"/>
      <c r="AA219" s="321"/>
      <c r="AB219" s="321"/>
      <c r="AC219" s="380"/>
      <c r="AD219" s="352"/>
      <c r="AE219" s="408">
        <f t="shared" si="133"/>
        <v>0</v>
      </c>
      <c r="AF219" s="409"/>
      <c r="AG219" s="408"/>
      <c r="AH219" s="409">
        <f t="shared" si="117"/>
        <v>0</v>
      </c>
      <c r="AI219" s="410"/>
      <c r="AJ219" s="411">
        <f t="shared" si="125"/>
        <v>0</v>
      </c>
    </row>
    <row r="220" spans="1:39" s="283" customFormat="1" ht="20.25">
      <c r="A220" s="564"/>
      <c r="B220" s="565"/>
      <c r="C220" s="565"/>
      <c r="D220" s="566"/>
      <c r="E220" s="541"/>
      <c r="F220" s="542"/>
      <c r="G220" s="542"/>
      <c r="H220" s="543"/>
      <c r="I220" s="543"/>
      <c r="J220" s="542"/>
      <c r="K220" s="579"/>
      <c r="L220" s="580"/>
      <c r="M220" s="581"/>
      <c r="N220" s="543"/>
      <c r="O220" s="543"/>
      <c r="P220" s="543"/>
      <c r="Q220" s="543"/>
      <c r="R220" s="543"/>
      <c r="S220" s="543"/>
      <c r="T220" s="587"/>
      <c r="U220" s="580"/>
      <c r="V220" s="581"/>
      <c r="W220" s="543"/>
      <c r="X220" s="543"/>
      <c r="Y220" s="543"/>
      <c r="Z220" s="543"/>
      <c r="AA220" s="543"/>
      <c r="AB220" s="543"/>
      <c r="AC220" s="592"/>
      <c r="AD220" s="580"/>
      <c r="AE220" s="593">
        <f t="shared" si="133"/>
        <v>0</v>
      </c>
      <c r="AF220" s="594"/>
      <c r="AG220" s="593"/>
      <c r="AH220" s="594">
        <f t="shared" si="117"/>
        <v>0</v>
      </c>
      <c r="AI220" s="605"/>
      <c r="AJ220" s="606">
        <f t="shared" si="125"/>
        <v>0</v>
      </c>
    </row>
    <row r="221" spans="1:39" s="283" customFormat="1" ht="20.25">
      <c r="A221" s="316"/>
      <c r="B221" s="570"/>
      <c r="C221" s="570"/>
      <c r="D221" s="571"/>
      <c r="E221" s="319"/>
      <c r="F221" s="320"/>
      <c r="G221" s="320"/>
      <c r="H221" s="321"/>
      <c r="I221" s="321"/>
      <c r="J221" s="320"/>
      <c r="K221" s="351"/>
      <c r="L221" s="352"/>
      <c r="M221" s="353"/>
      <c r="N221" s="321"/>
      <c r="O221" s="321"/>
      <c r="P221" s="321"/>
      <c r="Q221" s="321"/>
      <c r="R221" s="321"/>
      <c r="S221" s="321"/>
      <c r="T221" s="354"/>
      <c r="U221" s="352"/>
      <c r="V221" s="353"/>
      <c r="W221" s="321"/>
      <c r="X221" s="321"/>
      <c r="Y221" s="321"/>
      <c r="Z221" s="321"/>
      <c r="AA221" s="321"/>
      <c r="AB221" s="321"/>
      <c r="AC221" s="380"/>
      <c r="AD221" s="352"/>
      <c r="AE221" s="408">
        <f t="shared" si="133"/>
        <v>0</v>
      </c>
      <c r="AF221" s="409"/>
      <c r="AG221" s="408"/>
      <c r="AH221" s="409">
        <f t="shared" si="117"/>
        <v>0</v>
      </c>
      <c r="AI221" s="410"/>
      <c r="AJ221" s="411">
        <f t="shared" si="125"/>
        <v>0</v>
      </c>
    </row>
    <row r="222" spans="1:39" s="283" customFormat="1" ht="20.25">
      <c r="A222" s="316"/>
      <c r="B222" s="570"/>
      <c r="C222" s="570"/>
      <c r="D222" s="571"/>
      <c r="E222" s="319"/>
      <c r="F222" s="320"/>
      <c r="G222" s="320"/>
      <c r="H222" s="321"/>
      <c r="I222" s="321"/>
      <c r="J222" s="320"/>
      <c r="K222" s="351"/>
      <c r="L222" s="352"/>
      <c r="M222" s="353"/>
      <c r="N222" s="321"/>
      <c r="O222" s="321"/>
      <c r="P222" s="321"/>
      <c r="Q222" s="321"/>
      <c r="R222" s="321"/>
      <c r="S222" s="321"/>
      <c r="T222" s="354"/>
      <c r="U222" s="352"/>
      <c r="V222" s="353"/>
      <c r="W222" s="321"/>
      <c r="X222" s="321"/>
      <c r="Y222" s="321"/>
      <c r="Z222" s="321"/>
      <c r="AA222" s="321"/>
      <c r="AB222" s="321"/>
      <c r="AC222" s="380"/>
      <c r="AD222" s="352"/>
      <c r="AE222" s="408">
        <f t="shared" si="133"/>
        <v>0</v>
      </c>
      <c r="AF222" s="409"/>
      <c r="AG222" s="408"/>
      <c r="AH222" s="409">
        <f t="shared" si="117"/>
        <v>0</v>
      </c>
      <c r="AI222" s="410"/>
      <c r="AJ222" s="411">
        <f t="shared" si="125"/>
        <v>0</v>
      </c>
    </row>
    <row r="223" spans="1:39" s="284" customFormat="1" ht="8.25" customHeight="1">
      <c r="A223" s="316"/>
      <c r="B223" s="570"/>
      <c r="C223" s="570"/>
      <c r="D223" s="571"/>
      <c r="E223" s="319"/>
      <c r="F223" s="320"/>
      <c r="G223" s="320"/>
      <c r="H223" s="321"/>
      <c r="I223" s="321"/>
      <c r="J223" s="320"/>
      <c r="K223" s="351"/>
      <c r="L223" s="352"/>
      <c r="M223" s="353"/>
      <c r="N223" s="321"/>
      <c r="O223" s="321"/>
      <c r="P223" s="321"/>
      <c r="Q223" s="321"/>
      <c r="R223" s="321"/>
      <c r="S223" s="321"/>
      <c r="T223" s="354"/>
      <c r="U223" s="352"/>
      <c r="V223" s="353"/>
      <c r="W223" s="321"/>
      <c r="X223" s="321"/>
      <c r="Y223" s="321"/>
      <c r="Z223" s="321"/>
      <c r="AA223" s="321"/>
      <c r="AB223" s="321"/>
      <c r="AC223" s="380"/>
      <c r="AD223" s="352"/>
      <c r="AE223" s="408">
        <f t="shared" si="133"/>
        <v>0</v>
      </c>
      <c r="AF223" s="409"/>
      <c r="AG223" s="408"/>
      <c r="AH223" s="409">
        <f t="shared" si="117"/>
        <v>0</v>
      </c>
      <c r="AI223" s="410"/>
      <c r="AJ223" s="411">
        <f t="shared" si="125"/>
        <v>0</v>
      </c>
      <c r="AK223" s="403"/>
      <c r="AL223" s="403"/>
      <c r="AM223" s="403"/>
    </row>
    <row r="224" spans="1:39" s="1" customFormat="1" ht="20.25">
      <c r="A224" s="316"/>
      <c r="B224" s="570"/>
      <c r="C224" s="570"/>
      <c r="D224" s="571"/>
      <c r="E224" s="319"/>
      <c r="F224" s="320"/>
      <c r="G224" s="320"/>
      <c r="H224" s="321"/>
      <c r="I224" s="321"/>
      <c r="J224" s="320"/>
      <c r="K224" s="351"/>
      <c r="L224" s="352"/>
      <c r="M224" s="353"/>
      <c r="N224" s="321"/>
      <c r="O224" s="321"/>
      <c r="P224" s="321"/>
      <c r="Q224" s="321"/>
      <c r="R224" s="321"/>
      <c r="S224" s="321"/>
      <c r="T224" s="354"/>
      <c r="U224" s="352"/>
      <c r="V224" s="353"/>
      <c r="W224" s="321"/>
      <c r="X224" s="321"/>
      <c r="Y224" s="321"/>
      <c r="Z224" s="321"/>
      <c r="AA224" s="321"/>
      <c r="AB224" s="321"/>
      <c r="AC224" s="380"/>
      <c r="AD224" s="352"/>
      <c r="AE224" s="408">
        <f t="shared" si="133"/>
        <v>0</v>
      </c>
      <c r="AF224" s="409"/>
      <c r="AG224" s="408"/>
      <c r="AH224" s="409">
        <f t="shared" si="117"/>
        <v>0</v>
      </c>
      <c r="AI224" s="410"/>
      <c r="AJ224" s="411">
        <f t="shared" si="125"/>
        <v>0</v>
      </c>
    </row>
    <row r="225" spans="1:37" ht="20.25">
      <c r="A225" s="316"/>
      <c r="B225" s="570"/>
      <c r="C225" s="570"/>
      <c r="D225" s="571"/>
      <c r="E225" s="319"/>
      <c r="F225" s="320"/>
      <c r="G225" s="320"/>
      <c r="H225" s="321"/>
      <c r="I225" s="321"/>
      <c r="J225" s="320"/>
      <c r="K225" s="351"/>
      <c r="L225" s="352"/>
      <c r="M225" s="353"/>
      <c r="N225" s="321"/>
      <c r="O225" s="321"/>
      <c r="P225" s="321"/>
      <c r="Q225" s="321"/>
      <c r="R225" s="321"/>
      <c r="S225" s="321"/>
      <c r="T225" s="354"/>
      <c r="U225" s="352"/>
      <c r="V225" s="353"/>
      <c r="W225" s="321"/>
      <c r="X225" s="321"/>
      <c r="Y225" s="321"/>
      <c r="Z225" s="321"/>
      <c r="AA225" s="321"/>
      <c r="AB225" s="321"/>
      <c r="AC225" s="380"/>
      <c r="AD225" s="352"/>
      <c r="AE225" s="408">
        <f t="shared" si="133"/>
        <v>0</v>
      </c>
      <c r="AF225" s="409"/>
      <c r="AG225" s="408"/>
      <c r="AH225" s="409">
        <f t="shared" si="117"/>
        <v>0</v>
      </c>
      <c r="AI225" s="410"/>
      <c r="AJ225" s="411">
        <f t="shared" si="125"/>
        <v>0</v>
      </c>
    </row>
    <row r="226" spans="1:37" ht="20.25">
      <c r="A226" s="316"/>
      <c r="B226" s="570"/>
      <c r="C226" s="570"/>
      <c r="D226" s="571"/>
      <c r="E226" s="319"/>
      <c r="F226" s="320"/>
      <c r="G226" s="320"/>
      <c r="H226" s="321"/>
      <c r="I226" s="321"/>
      <c r="J226" s="320"/>
      <c r="K226" s="351"/>
      <c r="L226" s="352"/>
      <c r="M226" s="353"/>
      <c r="N226" s="321"/>
      <c r="O226" s="321"/>
      <c r="P226" s="321"/>
      <c r="Q226" s="321"/>
      <c r="R226" s="321"/>
      <c r="S226" s="321"/>
      <c r="T226" s="354"/>
      <c r="U226" s="352"/>
      <c r="V226" s="353"/>
      <c r="W226" s="321"/>
      <c r="X226" s="321"/>
      <c r="Y226" s="321"/>
      <c r="Z226" s="321"/>
      <c r="AA226" s="321"/>
      <c r="AB226" s="321"/>
      <c r="AC226" s="380"/>
      <c r="AD226" s="352"/>
      <c r="AE226" s="408">
        <f t="shared" si="133"/>
        <v>0</v>
      </c>
      <c r="AF226" s="409"/>
      <c r="AG226" s="408"/>
      <c r="AH226" s="409">
        <f t="shared" si="117"/>
        <v>0</v>
      </c>
      <c r="AI226" s="410"/>
      <c r="AJ226" s="411">
        <f t="shared" si="125"/>
        <v>0</v>
      </c>
    </row>
    <row r="227" spans="1:37" ht="20.25">
      <c r="A227" s="316"/>
      <c r="B227" s="570"/>
      <c r="C227" s="570"/>
      <c r="D227" s="571"/>
      <c r="E227" s="319"/>
      <c r="F227" s="320"/>
      <c r="G227" s="320"/>
      <c r="H227" s="321"/>
      <c r="I227" s="321"/>
      <c r="J227" s="320"/>
      <c r="K227" s="351"/>
      <c r="L227" s="352"/>
      <c r="M227" s="353"/>
      <c r="N227" s="321"/>
      <c r="O227" s="321"/>
      <c r="P227" s="321"/>
      <c r="Q227" s="321"/>
      <c r="R227" s="321"/>
      <c r="S227" s="321"/>
      <c r="T227" s="354"/>
      <c r="U227" s="352"/>
      <c r="V227" s="353"/>
      <c r="W227" s="321"/>
      <c r="X227" s="321"/>
      <c r="Y227" s="321"/>
      <c r="Z227" s="321"/>
      <c r="AA227" s="321"/>
      <c r="AB227" s="321"/>
      <c r="AC227" s="380"/>
      <c r="AD227" s="352"/>
      <c r="AE227" s="408">
        <f t="shared" si="133"/>
        <v>0</v>
      </c>
      <c r="AF227" s="409"/>
      <c r="AG227" s="408"/>
      <c r="AH227" s="409">
        <f t="shared" si="117"/>
        <v>0</v>
      </c>
      <c r="AI227" s="410"/>
      <c r="AJ227" s="411">
        <f t="shared" si="125"/>
        <v>0</v>
      </c>
    </row>
    <row r="228" spans="1:37" ht="20.25">
      <c r="A228" s="316"/>
      <c r="B228" s="570"/>
      <c r="C228" s="570"/>
      <c r="D228" s="571"/>
      <c r="E228" s="319"/>
      <c r="F228" s="320"/>
      <c r="G228" s="320"/>
      <c r="H228" s="321"/>
      <c r="I228" s="321"/>
      <c r="J228" s="320"/>
      <c r="K228" s="351"/>
      <c r="L228" s="352"/>
      <c r="M228" s="353"/>
      <c r="N228" s="321"/>
      <c r="O228" s="321"/>
      <c r="P228" s="321"/>
      <c r="Q228" s="321"/>
      <c r="R228" s="321"/>
      <c r="S228" s="321"/>
      <c r="T228" s="354"/>
      <c r="U228" s="352"/>
      <c r="V228" s="353"/>
      <c r="W228" s="321"/>
      <c r="X228" s="321"/>
      <c r="Y228" s="321"/>
      <c r="Z228" s="321"/>
      <c r="AA228" s="321"/>
      <c r="AB228" s="321"/>
      <c r="AC228" s="380"/>
      <c r="AD228" s="352"/>
      <c r="AE228" s="408">
        <f t="shared" si="133"/>
        <v>0</v>
      </c>
      <c r="AF228" s="409"/>
      <c r="AG228" s="408"/>
      <c r="AH228" s="409">
        <f t="shared" si="117"/>
        <v>0</v>
      </c>
      <c r="AI228" s="410"/>
      <c r="AJ228" s="411">
        <f t="shared" si="125"/>
        <v>0</v>
      </c>
      <c r="AK228" s="1"/>
    </row>
    <row r="229" spans="1:37" ht="20.25">
      <c r="A229" s="608"/>
      <c r="B229" s="609"/>
      <c r="C229" s="609"/>
      <c r="D229" s="610"/>
      <c r="E229" s="611"/>
      <c r="F229" s="612"/>
      <c r="G229" s="612"/>
      <c r="H229" s="613"/>
      <c r="I229" s="613"/>
      <c r="J229" s="612"/>
      <c r="K229" s="653"/>
      <c r="L229" s="654"/>
      <c r="M229" s="655"/>
      <c r="N229" s="613"/>
      <c r="O229" s="613"/>
      <c r="P229" s="613"/>
      <c r="Q229" s="613"/>
      <c r="R229" s="613"/>
      <c r="S229" s="613"/>
      <c r="T229" s="670"/>
      <c r="U229" s="654"/>
      <c r="V229" s="655"/>
      <c r="W229" s="613"/>
      <c r="X229" s="613"/>
      <c r="Y229" s="613"/>
      <c r="Z229" s="613"/>
      <c r="AA229" s="613"/>
      <c r="AB229" s="613"/>
      <c r="AC229" s="678"/>
      <c r="AD229" s="654"/>
      <c r="AE229" s="679">
        <f t="shared" si="133"/>
        <v>0</v>
      </c>
      <c r="AF229" s="680"/>
      <c r="AG229" s="679"/>
      <c r="AH229" s="680">
        <f t="shared" si="117"/>
        <v>0</v>
      </c>
      <c r="AI229" s="697"/>
      <c r="AJ229" s="698">
        <f t="shared" si="125"/>
        <v>0</v>
      </c>
    </row>
    <row r="230" spans="1:37" ht="20.25">
      <c r="A230" s="614"/>
      <c r="B230" s="615"/>
      <c r="C230" s="615"/>
      <c r="D230" s="616"/>
      <c r="E230" s="617"/>
      <c r="F230" s="618"/>
      <c r="G230" s="618"/>
      <c r="H230" s="619"/>
      <c r="I230" s="619"/>
      <c r="J230" s="618"/>
      <c r="K230" s="656"/>
      <c r="L230" s="657"/>
      <c r="M230" s="658"/>
      <c r="N230" s="619"/>
      <c r="O230" s="619"/>
      <c r="P230" s="619"/>
      <c r="Q230" s="619"/>
      <c r="R230" s="619"/>
      <c r="S230" s="619"/>
      <c r="T230" s="671"/>
      <c r="U230" s="657"/>
      <c r="V230" s="658"/>
      <c r="W230" s="619"/>
      <c r="X230" s="619"/>
      <c r="Y230" s="619"/>
      <c r="Z230" s="619"/>
      <c r="AA230" s="619"/>
      <c r="AB230" s="619"/>
      <c r="AC230" s="681"/>
      <c r="AD230" s="657"/>
      <c r="AE230" s="682">
        <f t="shared" si="133"/>
        <v>0</v>
      </c>
      <c r="AF230" s="683"/>
      <c r="AG230" s="682"/>
      <c r="AH230" s="683">
        <f t="shared" si="117"/>
        <v>0</v>
      </c>
      <c r="AI230" s="699"/>
      <c r="AJ230" s="700">
        <f t="shared" si="125"/>
        <v>0</v>
      </c>
    </row>
    <row r="231" spans="1:37" ht="21" thickBot="1">
      <c r="A231" s="620"/>
      <c r="B231" s="621"/>
      <c r="C231" s="621"/>
      <c r="D231" s="622"/>
      <c r="E231" s="623"/>
      <c r="F231" s="624"/>
      <c r="G231" s="624"/>
      <c r="H231" s="625"/>
      <c r="I231" s="625"/>
      <c r="J231" s="624"/>
      <c r="K231" s="659"/>
      <c r="L231" s="660"/>
      <c r="M231" s="661"/>
      <c r="N231" s="625"/>
      <c r="O231" s="625"/>
      <c r="P231" s="625"/>
      <c r="Q231" s="625"/>
      <c r="R231" s="625"/>
      <c r="S231" s="625"/>
      <c r="T231" s="672"/>
      <c r="U231" s="660"/>
      <c r="V231" s="661"/>
      <c r="W231" s="625"/>
      <c r="X231" s="625"/>
      <c r="Y231" s="625"/>
      <c r="Z231" s="625"/>
      <c r="AA231" s="625"/>
      <c r="AB231" s="625"/>
      <c r="AC231" s="684"/>
      <c r="AD231" s="660"/>
      <c r="AE231" s="685">
        <f t="shared" si="133"/>
        <v>0</v>
      </c>
      <c r="AF231" s="686"/>
      <c r="AG231" s="685"/>
      <c r="AH231" s="686">
        <f t="shared" si="117"/>
        <v>0</v>
      </c>
      <c r="AI231" s="701"/>
      <c r="AJ231" s="702">
        <f t="shared" si="125"/>
        <v>0</v>
      </c>
    </row>
    <row r="232" spans="1:37" ht="21" thickBot="1">
      <c r="A232" s="626" t="s">
        <v>151</v>
      </c>
      <c r="B232" s="627"/>
      <c r="C232" s="627"/>
      <c r="D232" s="628"/>
      <c r="E232" s="533">
        <f t="shared" ref="E232:K232" si="134">SUM(E169:E231)</f>
        <v>80</v>
      </c>
      <c r="F232" s="533">
        <f t="shared" si="134"/>
        <v>20</v>
      </c>
      <c r="G232" s="533">
        <f t="shared" si="134"/>
        <v>60</v>
      </c>
      <c r="H232" s="533">
        <f t="shared" si="134"/>
        <v>60</v>
      </c>
      <c r="I232" s="533">
        <f t="shared" si="134"/>
        <v>0</v>
      </c>
      <c r="J232" s="533">
        <f t="shared" si="134"/>
        <v>0</v>
      </c>
      <c r="K232" s="533">
        <f t="shared" si="134"/>
        <v>20</v>
      </c>
      <c r="L232" s="575"/>
      <c r="M232" s="533">
        <f t="shared" ref="M232:T232" si="135">SUM(M169:M231)</f>
        <v>40</v>
      </c>
      <c r="N232" s="533">
        <f t="shared" si="135"/>
        <v>1000</v>
      </c>
      <c r="O232" s="533">
        <f t="shared" si="135"/>
        <v>780</v>
      </c>
      <c r="P232" s="533">
        <f t="shared" si="135"/>
        <v>0</v>
      </c>
      <c r="Q232" s="533">
        <f t="shared" si="135"/>
        <v>0</v>
      </c>
      <c r="R232" s="533">
        <f t="shared" si="135"/>
        <v>0</v>
      </c>
      <c r="S232" s="533">
        <f t="shared" si="135"/>
        <v>0</v>
      </c>
      <c r="T232" s="533">
        <f t="shared" si="135"/>
        <v>0</v>
      </c>
      <c r="U232" s="575"/>
      <c r="V232" s="533">
        <f t="shared" ref="V232:AC232" si="136">SUM(V169:V231)</f>
        <v>0</v>
      </c>
      <c r="W232" s="533">
        <f t="shared" si="136"/>
        <v>0</v>
      </c>
      <c r="X232" s="533">
        <f t="shared" si="136"/>
        <v>0</v>
      </c>
      <c r="Y232" s="533">
        <f t="shared" si="136"/>
        <v>0</v>
      </c>
      <c r="Z232" s="533">
        <f t="shared" si="136"/>
        <v>0</v>
      </c>
      <c r="AA232" s="533">
        <f t="shared" si="136"/>
        <v>0</v>
      </c>
      <c r="AB232" s="533">
        <f t="shared" si="136"/>
        <v>0</v>
      </c>
      <c r="AC232" s="533">
        <f t="shared" si="136"/>
        <v>0</v>
      </c>
      <c r="AD232" s="575"/>
      <c r="AE232" s="687">
        <f t="shared" ref="AE232:AJ232" si="137">SUM(AE169:AE231)</f>
        <v>2060</v>
      </c>
      <c r="AF232" s="687">
        <f t="shared" si="137"/>
        <v>0</v>
      </c>
      <c r="AG232" s="687">
        <f t="shared" si="137"/>
        <v>0</v>
      </c>
      <c r="AH232" s="687">
        <f t="shared" si="137"/>
        <v>2060</v>
      </c>
      <c r="AI232" s="687">
        <f t="shared" si="137"/>
        <v>0</v>
      </c>
      <c r="AJ232" s="687">
        <f t="shared" si="137"/>
        <v>2060</v>
      </c>
    </row>
    <row r="233" spans="1:37" ht="21" thickBot="1">
      <c r="A233" s="530" t="s">
        <v>152</v>
      </c>
      <c r="B233" s="531"/>
      <c r="C233" s="531"/>
      <c r="D233" s="630"/>
      <c r="E233" s="533">
        <f>E232/20</f>
        <v>4</v>
      </c>
      <c r="F233" s="534">
        <f>F232/20</f>
        <v>1</v>
      </c>
      <c r="G233" s="534">
        <f>G232/20</f>
        <v>3</v>
      </c>
      <c r="H233" s="534">
        <f t="shared" ref="H233:K233" si="138">H232/20</f>
        <v>3</v>
      </c>
      <c r="I233" s="534">
        <f t="shared" si="138"/>
        <v>0</v>
      </c>
      <c r="J233" s="534">
        <f t="shared" si="138"/>
        <v>0</v>
      </c>
      <c r="K233" s="586">
        <f t="shared" si="138"/>
        <v>1</v>
      </c>
      <c r="L233" s="575"/>
      <c r="M233" s="576">
        <f>M232/20</f>
        <v>2</v>
      </c>
      <c r="N233" s="577">
        <f t="shared" ref="N233:T233" si="139">N232/20</f>
        <v>50</v>
      </c>
      <c r="O233" s="577">
        <f t="shared" si="139"/>
        <v>39</v>
      </c>
      <c r="P233" s="577">
        <f t="shared" si="139"/>
        <v>0</v>
      </c>
      <c r="Q233" s="577">
        <f t="shared" si="139"/>
        <v>0</v>
      </c>
      <c r="R233" s="577">
        <f t="shared" si="139"/>
        <v>0</v>
      </c>
      <c r="S233" s="577">
        <f t="shared" si="139"/>
        <v>0</v>
      </c>
      <c r="T233" s="586">
        <f t="shared" si="139"/>
        <v>0</v>
      </c>
      <c r="U233" s="575"/>
      <c r="V233" s="576">
        <f>V232/20</f>
        <v>0</v>
      </c>
      <c r="W233" s="577">
        <f t="shared" ref="W233:AA233" si="140">W232/20</f>
        <v>0</v>
      </c>
      <c r="X233" s="577">
        <f t="shared" si="140"/>
        <v>0</v>
      </c>
      <c r="Y233" s="577">
        <f t="shared" si="140"/>
        <v>0</v>
      </c>
      <c r="Z233" s="577">
        <f t="shared" si="140"/>
        <v>0</v>
      </c>
      <c r="AA233" s="577">
        <f t="shared" si="140"/>
        <v>0</v>
      </c>
      <c r="AB233" s="577">
        <f t="shared" ref="AB233:AC233" si="141">AB232/20</f>
        <v>0</v>
      </c>
      <c r="AC233" s="586">
        <f t="shared" si="141"/>
        <v>0</v>
      </c>
      <c r="AD233" s="575"/>
      <c r="AE233" s="668">
        <f>SUM(E233:AC233)</f>
        <v>103</v>
      </c>
      <c r="AF233" s="687">
        <f>AF232/20</f>
        <v>0</v>
      </c>
      <c r="AG233" s="687">
        <f>AG232/20</f>
        <v>0</v>
      </c>
      <c r="AH233" s="575">
        <f t="shared" ref="AH233:AJ233" si="142">AH232/20</f>
        <v>103</v>
      </c>
      <c r="AI233" s="687">
        <f t="shared" si="142"/>
        <v>0</v>
      </c>
      <c r="AJ233" s="662">
        <f t="shared" si="142"/>
        <v>103</v>
      </c>
    </row>
    <row r="234" spans="1:37" ht="19.5" thickBot="1">
      <c r="A234" s="306"/>
      <c r="B234" s="307"/>
      <c r="C234" s="307"/>
      <c r="D234" s="308"/>
      <c r="E234" s="309"/>
      <c r="F234" s="309"/>
      <c r="G234" s="309"/>
      <c r="H234" s="309"/>
      <c r="I234" s="309"/>
      <c r="J234" s="309"/>
      <c r="K234" s="309"/>
      <c r="L234" s="346"/>
      <c r="M234" s="347"/>
      <c r="N234" s="347"/>
      <c r="O234" s="347"/>
      <c r="P234" s="347"/>
      <c r="Q234" s="347"/>
      <c r="R234" s="347"/>
      <c r="S234" s="347"/>
      <c r="T234" s="347"/>
      <c r="U234" s="346"/>
      <c r="V234" s="347"/>
      <c r="W234" s="347"/>
      <c r="X234" s="347"/>
      <c r="Y234" s="347"/>
      <c r="Z234" s="347"/>
      <c r="AA234" s="347"/>
      <c r="AB234" s="347"/>
      <c r="AC234" s="347"/>
      <c r="AD234" s="346"/>
      <c r="AE234" s="347"/>
      <c r="AF234" s="347"/>
      <c r="AG234" s="347"/>
      <c r="AH234" s="347"/>
      <c r="AI234" s="347"/>
      <c r="AJ234" s="402"/>
    </row>
    <row r="235" spans="1:37" ht="16.5" thickBot="1">
      <c r="A235" s="3881" t="s">
        <v>183</v>
      </c>
      <c r="B235" s="3882"/>
      <c r="C235" s="3883"/>
      <c r="D235" s="288" t="s">
        <v>70</v>
      </c>
      <c r="E235" s="743" t="s">
        <v>87</v>
      </c>
      <c r="F235" s="744" t="s">
        <v>85</v>
      </c>
      <c r="G235" s="744" t="s">
        <v>86</v>
      </c>
      <c r="H235" s="744" t="s">
        <v>92</v>
      </c>
      <c r="I235" s="744" t="s">
        <v>213</v>
      </c>
      <c r="J235" s="744" t="s">
        <v>97</v>
      </c>
      <c r="K235" s="783" t="s">
        <v>407</v>
      </c>
      <c r="L235" s="79"/>
      <c r="M235" s="743" t="s">
        <v>214</v>
      </c>
      <c r="N235" s="744" t="s">
        <v>53</v>
      </c>
      <c r="O235" s="744" t="s">
        <v>94</v>
      </c>
      <c r="P235" s="783" t="s">
        <v>76</v>
      </c>
      <c r="Q235" s="49" t="s">
        <v>95</v>
      </c>
      <c r="R235" s="48"/>
      <c r="S235" s="51"/>
      <c r="T235" s="171"/>
      <c r="U235" s="79"/>
      <c r="V235" s="100" t="s">
        <v>101</v>
      </c>
      <c r="W235" s="101" t="s">
        <v>53</v>
      </c>
      <c r="X235" s="102" t="s">
        <v>215</v>
      </c>
      <c r="Y235" s="747" t="s">
        <v>94</v>
      </c>
      <c r="Z235" s="102"/>
      <c r="AA235" s="102" t="s">
        <v>96</v>
      </c>
      <c r="AB235" s="799" t="s">
        <v>86</v>
      </c>
      <c r="AC235" s="844"/>
      <c r="AD235" s="79"/>
      <c r="AE235" s="371" t="s">
        <v>172</v>
      </c>
      <c r="AF235" s="372" t="s">
        <v>80</v>
      </c>
      <c r="AG235" s="385"/>
      <c r="AH235" s="386" t="s">
        <v>106</v>
      </c>
      <c r="AI235" s="385" t="s">
        <v>173</v>
      </c>
      <c r="AJ235" s="371" t="s">
        <v>108</v>
      </c>
    </row>
    <row r="236" spans="1:37" ht="20.25">
      <c r="A236" s="631" t="s">
        <v>184</v>
      </c>
      <c r="B236" s="443"/>
      <c r="C236" s="443"/>
      <c r="D236" s="444"/>
      <c r="E236" s="433"/>
      <c r="F236" s="434"/>
      <c r="G236" s="434"/>
      <c r="H236" s="435"/>
      <c r="I236" s="435"/>
      <c r="J236" s="434"/>
      <c r="K236" s="480"/>
      <c r="L236" s="483"/>
      <c r="M236" s="484"/>
      <c r="N236" s="435"/>
      <c r="O236" s="435"/>
      <c r="P236" s="435"/>
      <c r="Q236" s="435"/>
      <c r="R236" s="435"/>
      <c r="S236" s="435"/>
      <c r="T236" s="492"/>
      <c r="U236" s="483"/>
      <c r="V236" s="433"/>
      <c r="W236" s="434"/>
      <c r="X236" s="434"/>
      <c r="Y236" s="435"/>
      <c r="Z236" s="435"/>
      <c r="AA236" s="435"/>
      <c r="AB236" s="434"/>
      <c r="AC236" s="495"/>
      <c r="AD236" s="483"/>
      <c r="AE236" s="496">
        <f t="shared" ref="AE236:AE237" si="143">SUM(E236:AC236)</f>
        <v>0</v>
      </c>
      <c r="AF236" s="497"/>
      <c r="AG236" s="510"/>
      <c r="AH236" s="511">
        <f t="shared" ref="AH236:AH237" si="144">AE236+AF236</f>
        <v>0</v>
      </c>
      <c r="AI236" s="512"/>
      <c r="AJ236" s="703">
        <f>AH236+AI236</f>
        <v>0</v>
      </c>
    </row>
    <row r="237" spans="1:37" ht="21" thickBot="1">
      <c r="A237" s="322"/>
      <c r="B237" s="323"/>
      <c r="C237" s="323"/>
      <c r="D237" s="324"/>
      <c r="E237" s="325"/>
      <c r="F237" s="297"/>
      <c r="G237" s="297"/>
      <c r="H237" s="298"/>
      <c r="I237" s="298"/>
      <c r="J237" s="297"/>
      <c r="K237" s="344"/>
      <c r="L237" s="355"/>
      <c r="M237" s="343"/>
      <c r="N237" s="298"/>
      <c r="O237" s="298"/>
      <c r="P237" s="298"/>
      <c r="Q237" s="298"/>
      <c r="R237" s="298"/>
      <c r="S237" s="298"/>
      <c r="T237" s="367"/>
      <c r="U237" s="355"/>
      <c r="V237" s="325"/>
      <c r="W237" s="297"/>
      <c r="X237" s="297"/>
      <c r="Y237" s="298"/>
      <c r="Z237" s="298"/>
      <c r="AA237" s="298"/>
      <c r="AB237" s="297"/>
      <c r="AC237" s="375"/>
      <c r="AD237" s="355"/>
      <c r="AE237" s="377">
        <f t="shared" si="143"/>
        <v>0</v>
      </c>
      <c r="AF237" s="377"/>
      <c r="AG237" s="390"/>
      <c r="AH237" s="507">
        <f t="shared" si="144"/>
        <v>0</v>
      </c>
      <c r="AI237" s="412"/>
      <c r="AJ237" s="508">
        <f t="shared" ref="AJ237" si="145">AH237+AI237</f>
        <v>0</v>
      </c>
    </row>
    <row r="238" spans="1:37" ht="21" thickBot="1">
      <c r="A238" s="436"/>
      <c r="B238" s="437"/>
      <c r="C238" s="437"/>
      <c r="D238" s="438"/>
      <c r="E238" s="439">
        <f t="shared" ref="E238:K238" si="146">SUM(E236:E237)</f>
        <v>0</v>
      </c>
      <c r="F238" s="440">
        <f t="shared" si="146"/>
        <v>0</v>
      </c>
      <c r="G238" s="440">
        <f t="shared" si="146"/>
        <v>0</v>
      </c>
      <c r="H238" s="440">
        <f t="shared" si="146"/>
        <v>0</v>
      </c>
      <c r="I238" s="440">
        <f t="shared" si="146"/>
        <v>0</v>
      </c>
      <c r="J238" s="440">
        <f t="shared" si="146"/>
        <v>0</v>
      </c>
      <c r="K238" s="481">
        <f t="shared" si="146"/>
        <v>0</v>
      </c>
      <c r="L238" s="482"/>
      <c r="M238" s="439">
        <f t="shared" ref="M238:T238" si="147">SUM(M236:M237)</f>
        <v>0</v>
      </c>
      <c r="N238" s="440">
        <f t="shared" si="147"/>
        <v>0</v>
      </c>
      <c r="O238" s="440">
        <f t="shared" si="147"/>
        <v>0</v>
      </c>
      <c r="P238" s="440">
        <f t="shared" si="147"/>
        <v>0</v>
      </c>
      <c r="Q238" s="440">
        <f t="shared" si="147"/>
        <v>0</v>
      </c>
      <c r="R238" s="440">
        <f t="shared" si="147"/>
        <v>0</v>
      </c>
      <c r="S238" s="440">
        <f t="shared" si="147"/>
        <v>0</v>
      </c>
      <c r="T238" s="481">
        <f t="shared" si="147"/>
        <v>0</v>
      </c>
      <c r="U238" s="482"/>
      <c r="V238" s="439">
        <f t="shared" ref="V238:AC238" si="148">SUM(V236:V237)</f>
        <v>0</v>
      </c>
      <c r="W238" s="440">
        <f t="shared" si="148"/>
        <v>0</v>
      </c>
      <c r="X238" s="440">
        <f t="shared" si="148"/>
        <v>0</v>
      </c>
      <c r="Y238" s="440">
        <f t="shared" si="148"/>
        <v>0</v>
      </c>
      <c r="Z238" s="440">
        <f t="shared" si="148"/>
        <v>0</v>
      </c>
      <c r="AA238" s="440">
        <f t="shared" si="148"/>
        <v>0</v>
      </c>
      <c r="AB238" s="440">
        <f t="shared" si="148"/>
        <v>0</v>
      </c>
      <c r="AC238" s="481">
        <f t="shared" si="148"/>
        <v>0</v>
      </c>
      <c r="AD238" s="482"/>
      <c r="AE238" s="494">
        <f>SUM(AE236:AE237)</f>
        <v>0</v>
      </c>
      <c r="AF238" s="494">
        <f>SUM(AF236:AF237)</f>
        <v>0</v>
      </c>
      <c r="AG238" s="509"/>
      <c r="AH238" s="514">
        <f>SUM(AH236:AH237)</f>
        <v>0</v>
      </c>
      <c r="AI238" s="494">
        <f>SUM(AI236:AI237)</f>
        <v>0</v>
      </c>
      <c r="AJ238" s="509">
        <f>SUM(AJ236:AJ237)</f>
        <v>0</v>
      </c>
    </row>
    <row r="239" spans="1:37" ht="18.75">
      <c r="A239" s="522"/>
      <c r="B239" s="523"/>
      <c r="C239" s="523"/>
      <c r="D239" s="524"/>
      <c r="E239" s="525"/>
      <c r="F239" s="525"/>
      <c r="G239" s="525"/>
      <c r="H239" s="525"/>
      <c r="I239" s="525"/>
      <c r="J239" s="525"/>
      <c r="K239" s="525"/>
      <c r="L239" s="572"/>
      <c r="M239" s="573"/>
      <c r="N239" s="573"/>
      <c r="O239" s="573"/>
      <c r="P239" s="573"/>
      <c r="Q239" s="573"/>
      <c r="R239" s="573"/>
      <c r="S239" s="573"/>
      <c r="T239" s="573"/>
      <c r="U239" s="572"/>
      <c r="V239" s="573"/>
      <c r="W239" s="573"/>
      <c r="X239" s="573"/>
      <c r="Y239" s="573"/>
      <c r="Z239" s="573"/>
      <c r="AA239" s="573"/>
      <c r="AB239" s="573"/>
      <c r="AC239" s="573"/>
      <c r="AD239" s="572"/>
      <c r="AE239" s="573"/>
      <c r="AF239" s="573"/>
      <c r="AG239" s="599"/>
      <c r="AH239" s="573"/>
      <c r="AI239" s="573"/>
      <c r="AJ239" s="600"/>
    </row>
    <row r="240" spans="1:37" ht="20.25">
      <c r="A240" s="122"/>
      <c r="B240" s="632"/>
      <c r="C240" s="632"/>
      <c r="D240" s="122"/>
      <c r="E240" s="3901"/>
      <c r="F240" s="3901"/>
      <c r="G240" s="3901"/>
      <c r="H240" s="3901"/>
      <c r="I240" s="3901"/>
      <c r="J240" s="3901"/>
      <c r="K240" s="3901"/>
      <c r="L240" s="633"/>
      <c r="M240" s="3902"/>
      <c r="N240" s="3902"/>
      <c r="O240" s="3902"/>
      <c r="P240" s="3902"/>
      <c r="Q240" s="3902"/>
      <c r="R240" s="3902"/>
      <c r="S240" s="3902"/>
      <c r="T240" s="3902"/>
      <c r="U240" s="663"/>
      <c r="V240" s="3903"/>
      <c r="W240" s="3903"/>
      <c r="X240" s="3903"/>
      <c r="Y240" s="3903"/>
      <c r="Z240" s="3903"/>
      <c r="AA240" s="3903"/>
      <c r="AB240" s="3903"/>
      <c r="AC240" s="3903"/>
      <c r="AD240" s="688"/>
      <c r="AE240" s="689"/>
      <c r="AF240" s="673"/>
      <c r="AG240" s="673"/>
      <c r="AH240" s="689"/>
      <c r="AI240" s="689"/>
      <c r="AJ240" s="704"/>
    </row>
    <row r="241" spans="1:36" ht="15.75" thickBot="1">
      <c r="A241" s="634"/>
      <c r="B241" s="635"/>
      <c r="C241" s="635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4"/>
      <c r="P241" s="634"/>
      <c r="Q241" s="634"/>
      <c r="R241" s="634"/>
      <c r="S241" s="634"/>
      <c r="T241" s="634"/>
      <c r="U241" s="634"/>
      <c r="V241" s="634"/>
      <c r="W241" s="634"/>
      <c r="X241" s="634"/>
      <c r="Y241" s="634"/>
      <c r="Z241" s="634"/>
      <c r="AA241" s="634"/>
      <c r="AB241" s="690"/>
      <c r="AC241" s="690"/>
      <c r="AD241" s="690"/>
      <c r="AE241" s="690"/>
      <c r="AF241" s="634"/>
      <c r="AG241" s="634"/>
      <c r="AH241" s="634"/>
      <c r="AI241" s="634"/>
      <c r="AJ241" s="634"/>
    </row>
    <row r="242" spans="1:36" ht="21" thickBot="1">
      <c r="A242" s="636" t="s">
        <v>185</v>
      </c>
      <c r="B242" s="637"/>
      <c r="C242" s="637"/>
      <c r="D242" s="638"/>
      <c r="E242" s="529">
        <f t="shared" ref="E242:K242" si="149">E164-E232+E238</f>
        <v>2220</v>
      </c>
      <c r="F242" s="639">
        <f t="shared" si="149"/>
        <v>160</v>
      </c>
      <c r="G242" s="639">
        <f t="shared" si="149"/>
        <v>860</v>
      </c>
      <c r="H242" s="639">
        <f t="shared" si="149"/>
        <v>900</v>
      </c>
      <c r="I242" s="639">
        <f t="shared" si="149"/>
        <v>0</v>
      </c>
      <c r="J242" s="639">
        <f t="shared" si="149"/>
        <v>0</v>
      </c>
      <c r="K242" s="664">
        <f t="shared" si="149"/>
        <v>540</v>
      </c>
      <c r="L242" s="574"/>
      <c r="M242" s="639">
        <f t="shared" ref="M242:T242" si="150">M164-M232+M238</f>
        <v>460</v>
      </c>
      <c r="N242" s="639">
        <f t="shared" si="150"/>
        <v>2840</v>
      </c>
      <c r="O242" s="639">
        <f t="shared" si="150"/>
        <v>2880</v>
      </c>
      <c r="P242" s="639">
        <f t="shared" si="150"/>
        <v>0</v>
      </c>
      <c r="Q242" s="639">
        <f t="shared" si="150"/>
        <v>0</v>
      </c>
      <c r="R242" s="639">
        <f t="shared" si="150"/>
        <v>0</v>
      </c>
      <c r="S242" s="639">
        <f t="shared" si="150"/>
        <v>0</v>
      </c>
      <c r="T242" s="639">
        <f t="shared" si="150"/>
        <v>0</v>
      </c>
      <c r="U242" s="574"/>
      <c r="V242" s="665">
        <f t="shared" ref="V242:AC242" si="151">V164-V232+V238</f>
        <v>0</v>
      </c>
      <c r="W242" s="665">
        <f t="shared" si="151"/>
        <v>0</v>
      </c>
      <c r="X242" s="665">
        <f t="shared" si="151"/>
        <v>0</v>
      </c>
      <c r="Y242" s="665">
        <f t="shared" si="151"/>
        <v>0</v>
      </c>
      <c r="Z242" s="665">
        <f t="shared" si="151"/>
        <v>0</v>
      </c>
      <c r="AA242" s="665">
        <f t="shared" si="151"/>
        <v>0</v>
      </c>
      <c r="AB242" s="665">
        <f t="shared" si="151"/>
        <v>0</v>
      </c>
      <c r="AC242" s="665">
        <f t="shared" si="151"/>
        <v>0</v>
      </c>
      <c r="AD242" s="691"/>
      <c r="AE242" s="529">
        <f>AE164-AE232+AE238</f>
        <v>10860</v>
      </c>
      <c r="AF242" s="3775">
        <f>AF164-AF232-AG232+AF238</f>
        <v>0</v>
      </c>
      <c r="AG242" s="3884"/>
      <c r="AH242" s="529">
        <f>AH164-AH232+AH238</f>
        <v>10860</v>
      </c>
      <c r="AI242" s="529">
        <f>AI164-AI232+AI238</f>
        <v>0</v>
      </c>
      <c r="AJ242" s="693">
        <f>AJ164-AJ232+AJ238</f>
        <v>10860</v>
      </c>
    </row>
    <row r="243" spans="1:36" ht="21" thickBot="1">
      <c r="A243" s="640" t="s">
        <v>152</v>
      </c>
      <c r="B243" s="641"/>
      <c r="C243" s="641"/>
      <c r="D243" s="642"/>
      <c r="E243" s="529">
        <f>E242/20</f>
        <v>111</v>
      </c>
      <c r="F243" s="529">
        <f t="shared" ref="F243:K243" si="152">F242/20</f>
        <v>8</v>
      </c>
      <c r="G243" s="529">
        <f t="shared" si="152"/>
        <v>43</v>
      </c>
      <c r="H243" s="529">
        <f t="shared" si="152"/>
        <v>45</v>
      </c>
      <c r="I243" s="529">
        <f t="shared" si="152"/>
        <v>0</v>
      </c>
      <c r="J243" s="529">
        <f t="shared" si="152"/>
        <v>0</v>
      </c>
      <c r="K243" s="529">
        <f t="shared" si="152"/>
        <v>27</v>
      </c>
      <c r="L243" s="529"/>
      <c r="M243" s="529">
        <f>M242/20</f>
        <v>23</v>
      </c>
      <c r="N243" s="529">
        <f>N242/20</f>
        <v>142</v>
      </c>
      <c r="O243" s="529">
        <f>O242/20</f>
        <v>144</v>
      </c>
      <c r="P243" s="529">
        <f>P242/20</f>
        <v>0</v>
      </c>
      <c r="Q243" s="529">
        <f>Q242/20</f>
        <v>0</v>
      </c>
      <c r="R243" s="529">
        <f t="shared" ref="R243:T243" si="153">R242/20</f>
        <v>0</v>
      </c>
      <c r="S243" s="529">
        <f t="shared" si="153"/>
        <v>0</v>
      </c>
      <c r="T243" s="529">
        <f t="shared" si="153"/>
        <v>0</v>
      </c>
      <c r="U243" s="529"/>
      <c r="V243" s="529">
        <f>V242/20</f>
        <v>0</v>
      </c>
      <c r="W243" s="529">
        <f>W242/20</f>
        <v>0</v>
      </c>
      <c r="X243" s="529">
        <f>X242/20</f>
        <v>0</v>
      </c>
      <c r="Y243" s="529">
        <f>Y242/20</f>
        <v>0</v>
      </c>
      <c r="Z243" s="529">
        <f>Z242/12</f>
        <v>0</v>
      </c>
      <c r="AA243" s="529">
        <f>AA242/20</f>
        <v>0</v>
      </c>
      <c r="AB243" s="529">
        <f>AB242/12</f>
        <v>0</v>
      </c>
      <c r="AC243" s="529">
        <f>AC242/12</f>
        <v>0</v>
      </c>
      <c r="AD243" s="692"/>
      <c r="AE243" s="693">
        <f>AE242/20</f>
        <v>543</v>
      </c>
      <c r="AF243" s="3775">
        <f>AF242/20</f>
        <v>0</v>
      </c>
      <c r="AG243" s="3884"/>
      <c r="AH243" s="693">
        <f>AH242/20</f>
        <v>543</v>
      </c>
      <c r="AI243" s="574">
        <f>AI242/20</f>
        <v>0</v>
      </c>
      <c r="AJ243" s="706">
        <f>AJ242/20</f>
        <v>543</v>
      </c>
    </row>
    <row r="244" spans="1:36" ht="21" thickBot="1">
      <c r="A244" s="643" t="s">
        <v>156</v>
      </c>
      <c r="B244" s="644"/>
      <c r="C244" s="644"/>
      <c r="D244" s="645"/>
      <c r="E244" s="3897">
        <f>SUM(E243:K243)</f>
        <v>234</v>
      </c>
      <c r="F244" s="3898"/>
      <c r="G244" s="3898"/>
      <c r="H244" s="3898"/>
      <c r="I244" s="3898"/>
      <c r="J244" s="3898"/>
      <c r="K244" s="3899"/>
      <c r="L244" s="667"/>
      <c r="M244" s="3778">
        <f>SUM(M243:T243)</f>
        <v>309</v>
      </c>
      <c r="N244" s="3779"/>
      <c r="O244" s="3779"/>
      <c r="P244" s="3779"/>
      <c r="Q244" s="3779"/>
      <c r="R244" s="3779"/>
      <c r="S244" s="3779"/>
      <c r="T244" s="3780"/>
      <c r="U244" s="675"/>
      <c r="V244" s="3778">
        <f>SUM(V243:AC243)</f>
        <v>0</v>
      </c>
      <c r="W244" s="3779"/>
      <c r="X244" s="3779"/>
      <c r="Y244" s="3779"/>
      <c r="Z244" s="3779"/>
      <c r="AA244" s="3779"/>
      <c r="AB244" s="3779"/>
      <c r="AC244" s="3780"/>
      <c r="AD244" s="694"/>
      <c r="AE244" s="694"/>
      <c r="AF244" s="694"/>
      <c r="AG244" s="694"/>
      <c r="AH244" s="694"/>
      <c r="AI244" s="694"/>
      <c r="AJ244" s="707"/>
    </row>
    <row r="245" spans="1:36" ht="21" thickBot="1">
      <c r="A245" s="646" t="s">
        <v>157</v>
      </c>
      <c r="B245" s="647"/>
      <c r="C245" s="647"/>
      <c r="D245" s="648"/>
      <c r="E245" s="3875">
        <f>SUM(E242:K242)</f>
        <v>4680</v>
      </c>
      <c r="F245" s="3876"/>
      <c r="G245" s="3876"/>
      <c r="H245" s="3876"/>
      <c r="I245" s="3876"/>
      <c r="J245" s="3876"/>
      <c r="K245" s="3900"/>
      <c r="L245" s="669"/>
      <c r="M245" s="3877">
        <f>SUM(M242:T242)</f>
        <v>6180</v>
      </c>
      <c r="N245" s="3878"/>
      <c r="O245" s="3878"/>
      <c r="P245" s="3878"/>
      <c r="Q245" s="3878"/>
      <c r="R245" s="3878"/>
      <c r="S245" s="3878"/>
      <c r="T245" s="3879"/>
      <c r="U245" s="676"/>
      <c r="V245" s="3781">
        <f>SUM(V242:AC242)</f>
        <v>0</v>
      </c>
      <c r="W245" s="3788"/>
      <c r="X245" s="3788"/>
      <c r="Y245" s="3788"/>
      <c r="Z245" s="3788"/>
      <c r="AA245" s="3788"/>
      <c r="AB245" s="3788"/>
      <c r="AC245" s="3880"/>
      <c r="AD245" s="688"/>
      <c r="AE245" s="689"/>
      <c r="AF245" s="673"/>
      <c r="AG245" s="673"/>
      <c r="AH245" s="689"/>
      <c r="AI245" s="689"/>
      <c r="AJ245" s="704"/>
    </row>
    <row r="246" spans="1:36">
      <c r="A246" s="634"/>
      <c r="B246" s="635"/>
      <c r="C246" s="635"/>
      <c r="D246" s="649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4"/>
      <c r="P246" s="634"/>
      <c r="Q246" s="634"/>
      <c r="R246" s="634"/>
      <c r="S246" s="634"/>
      <c r="T246" s="634"/>
      <c r="U246" s="634"/>
      <c r="V246" s="634"/>
      <c r="W246" s="634"/>
      <c r="X246" s="634"/>
      <c r="Y246" s="634"/>
      <c r="Z246" s="634"/>
      <c r="AA246" s="634"/>
      <c r="AB246" s="690"/>
      <c r="AC246" s="690"/>
      <c r="AD246" s="690"/>
      <c r="AE246" s="690"/>
      <c r="AF246" s="634"/>
      <c r="AG246" s="634"/>
      <c r="AH246" s="634"/>
      <c r="AI246" s="634"/>
      <c r="AJ246" s="634"/>
    </row>
    <row r="247" spans="1:36" ht="21" thickBot="1">
      <c r="A247" s="650"/>
      <c r="B247" s="651"/>
      <c r="C247" s="651"/>
      <c r="D247" s="650"/>
      <c r="E247" s="650"/>
      <c r="F247" s="650"/>
      <c r="G247" s="650"/>
      <c r="H247" s="650"/>
      <c r="I247" s="650"/>
      <c r="J247" s="650"/>
      <c r="K247" s="650"/>
      <c r="L247" s="650"/>
      <c r="M247" s="650"/>
      <c r="N247" s="650"/>
      <c r="O247" s="650"/>
      <c r="P247" s="650"/>
      <c r="Q247" s="650"/>
      <c r="R247" s="650"/>
      <c r="S247" s="650"/>
      <c r="T247" s="650"/>
      <c r="U247" s="650"/>
      <c r="V247" s="650"/>
      <c r="W247" s="650"/>
      <c r="X247" s="650"/>
      <c r="Y247" s="650"/>
      <c r="Z247" s="650"/>
      <c r="AA247" s="650"/>
      <c r="AB247" s="650"/>
      <c r="AC247" s="650"/>
      <c r="AD247" s="650"/>
      <c r="AE247" s="650"/>
      <c r="AF247" s="650"/>
      <c r="AG247" s="650"/>
      <c r="AH247" s="650"/>
      <c r="AI247" s="650"/>
      <c r="AJ247" s="650"/>
    </row>
    <row r="248" spans="1:36" ht="27.75" thickBot="1">
      <c r="A248" s="634"/>
      <c r="B248" s="635"/>
      <c r="C248" s="635"/>
      <c r="D248" s="634"/>
      <c r="E248" s="634"/>
      <c r="F248" s="634"/>
      <c r="G248" s="634"/>
      <c r="H248" s="634"/>
      <c r="I248" s="634"/>
      <c r="J248" s="634"/>
      <c r="K248" s="634"/>
      <c r="L248" s="634"/>
      <c r="M248" s="634"/>
      <c r="N248" s="634"/>
      <c r="O248" s="634"/>
      <c r="P248" s="634"/>
      <c r="Q248" s="634"/>
      <c r="R248" s="634"/>
      <c r="S248" s="634"/>
      <c r="T248" s="634"/>
      <c r="U248" s="634"/>
      <c r="V248" s="634"/>
      <c r="W248" s="677"/>
      <c r="X248" s="3857" t="s">
        <v>158</v>
      </c>
      <c r="Y248" s="3858"/>
      <c r="Z248" s="3858"/>
      <c r="AA248" s="3858"/>
      <c r="AB248" s="3859"/>
      <c r="AC248" s="3802">
        <f>'BIG CHAIR'!CI325</f>
        <v>0</v>
      </c>
      <c r="AD248" s="3803"/>
      <c r="AE248" s="3804"/>
      <c r="AF248" s="634"/>
      <c r="AG248" s="634"/>
      <c r="AH248" s="634"/>
      <c r="AI248" s="634"/>
      <c r="AJ248" s="634"/>
    </row>
    <row r="249" spans="1:36" ht="27.75" thickBot="1">
      <c r="A249" s="634"/>
      <c r="B249" s="635"/>
      <c r="C249" s="635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77"/>
      <c r="X249" s="3857" t="s">
        <v>159</v>
      </c>
      <c r="Y249" s="3858"/>
      <c r="Z249" s="3858"/>
      <c r="AA249" s="3858"/>
      <c r="AB249" s="3859"/>
      <c r="AC249" s="3872">
        <f>AE242</f>
        <v>10860</v>
      </c>
      <c r="AD249" s="3873"/>
      <c r="AE249" s="3874"/>
      <c r="AF249" s="634"/>
      <c r="AG249" s="634"/>
      <c r="AH249" s="634"/>
      <c r="AI249" s="634"/>
      <c r="AJ249" s="708"/>
    </row>
    <row r="250" spans="1:36" ht="27.75" thickBot="1">
      <c r="A250" s="634"/>
      <c r="B250" s="635"/>
      <c r="C250" s="635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4"/>
      <c r="P250" s="634"/>
      <c r="Q250" s="634"/>
      <c r="R250" s="634"/>
      <c r="S250" s="634"/>
      <c r="T250" s="634"/>
      <c r="U250" s="634"/>
      <c r="V250" s="634"/>
      <c r="W250" s="677"/>
      <c r="X250" s="3857" t="s">
        <v>160</v>
      </c>
      <c r="Y250" s="3858"/>
      <c r="Z250" s="3858"/>
      <c r="AA250" s="3858"/>
      <c r="AB250" s="3859"/>
      <c r="AC250" s="3802">
        <f>'BIG CHAIR'!CJ325</f>
        <v>0</v>
      </c>
      <c r="AD250" s="3803"/>
      <c r="AE250" s="3804"/>
      <c r="AF250" s="634"/>
      <c r="AG250" s="634"/>
      <c r="AH250" s="634"/>
      <c r="AI250" s="634"/>
      <c r="AJ250" s="634"/>
    </row>
    <row r="251" spans="1:36" ht="27.75" thickBot="1">
      <c r="A251" s="634"/>
      <c r="B251" s="635"/>
      <c r="C251" s="635"/>
      <c r="D251" s="634"/>
      <c r="E251" s="634"/>
      <c r="F251" s="634"/>
      <c r="G251" s="634"/>
      <c r="H251" s="634"/>
      <c r="I251" s="634"/>
      <c r="J251" s="634"/>
      <c r="K251" s="634"/>
      <c r="L251" s="634"/>
      <c r="M251" s="634"/>
      <c r="N251" s="634"/>
      <c r="O251" s="634"/>
      <c r="P251" s="634"/>
      <c r="Q251" s="634"/>
      <c r="R251" s="634"/>
      <c r="S251" s="634"/>
      <c r="T251" s="634"/>
      <c r="U251" s="634"/>
      <c r="V251" s="634"/>
      <c r="W251" s="677"/>
      <c r="X251" s="3857" t="s">
        <v>161</v>
      </c>
      <c r="Y251" s="3858"/>
      <c r="Z251" s="3858"/>
      <c r="AA251" s="3858"/>
      <c r="AB251" s="3858"/>
      <c r="AC251" s="3872">
        <f>AF242</f>
        <v>0</v>
      </c>
      <c r="AD251" s="3803"/>
      <c r="AE251" s="3804"/>
      <c r="AF251" s="634"/>
      <c r="AG251" s="634"/>
      <c r="AH251" s="634"/>
      <c r="AI251" s="634"/>
      <c r="AJ251" s="634"/>
    </row>
    <row r="252" spans="1:36" ht="27.75" thickBot="1">
      <c r="A252" s="634"/>
      <c r="B252" s="635"/>
      <c r="C252" s="635"/>
      <c r="D252" s="634"/>
      <c r="E252" s="634"/>
      <c r="F252" s="634"/>
      <c r="G252" s="634"/>
      <c r="H252" s="634"/>
      <c r="I252" s="634"/>
      <c r="J252" s="634"/>
      <c r="K252" s="634"/>
      <c r="L252" s="634"/>
      <c r="M252" s="634"/>
      <c r="N252" s="634"/>
      <c r="O252" s="634"/>
      <c r="P252" s="634"/>
      <c r="Q252" s="634"/>
      <c r="R252" s="634"/>
      <c r="S252" s="634"/>
      <c r="T252" s="634"/>
      <c r="U252" s="634"/>
      <c r="V252" s="634"/>
      <c r="W252" s="677"/>
      <c r="X252" s="3857" t="s">
        <v>162</v>
      </c>
      <c r="Y252" s="3858"/>
      <c r="Z252" s="3858"/>
      <c r="AA252" s="3858"/>
      <c r="AB252" s="3859"/>
      <c r="AC252" s="3802">
        <f>'Tea Table'!U285</f>
        <v>2676</v>
      </c>
      <c r="AD252" s="3803"/>
      <c r="AE252" s="3804"/>
      <c r="AF252" s="634"/>
      <c r="AG252" s="634"/>
      <c r="AH252" s="634"/>
      <c r="AI252" s="634"/>
      <c r="AJ252" s="634"/>
    </row>
    <row r="253" spans="1:36" ht="27.75" thickBot="1">
      <c r="A253" s="634"/>
      <c r="B253" s="635"/>
      <c r="C253" s="635"/>
      <c r="D253" s="634"/>
      <c r="E253" s="634"/>
      <c r="F253" s="634"/>
      <c r="G253" s="634"/>
      <c r="H253" s="63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4"/>
      <c r="S253" s="634"/>
      <c r="T253" s="634"/>
      <c r="U253" s="634"/>
      <c r="V253" s="634"/>
      <c r="W253" s="677"/>
      <c r="X253" s="3860" t="s">
        <v>163</v>
      </c>
      <c r="Y253" s="3861"/>
      <c r="Z253" s="3861"/>
      <c r="AA253" s="3861"/>
      <c r="AB253" s="3862"/>
      <c r="AC253" s="3863">
        <f>'Tea Table'!V285</f>
        <v>29</v>
      </c>
      <c r="AD253" s="3864"/>
      <c r="AE253" s="3865"/>
      <c r="AF253" s="634"/>
      <c r="AG253" s="634"/>
      <c r="AH253" s="634"/>
      <c r="AI253" s="634"/>
      <c r="AJ253" s="634"/>
    </row>
    <row r="254" spans="1:36" ht="28.5" thickTop="1" thickBot="1">
      <c r="A254" s="634"/>
      <c r="B254" s="635"/>
      <c r="C254" s="635"/>
      <c r="D254" s="634"/>
      <c r="E254" s="634"/>
      <c r="F254" s="634"/>
      <c r="G254" s="634"/>
      <c r="H254" s="634"/>
      <c r="I254" s="634"/>
      <c r="J254" s="634"/>
      <c r="K254" s="634"/>
      <c r="L254" s="634"/>
      <c r="M254" s="634"/>
      <c r="N254" s="634"/>
      <c r="O254" s="634"/>
      <c r="P254" s="634"/>
      <c r="Q254" s="634"/>
      <c r="R254" s="634"/>
      <c r="S254" s="634"/>
      <c r="T254" s="634"/>
      <c r="U254" s="634"/>
      <c r="V254" s="634"/>
      <c r="W254" s="677"/>
      <c r="X254" s="3866"/>
      <c r="Y254" s="3867"/>
      <c r="Z254" s="3867"/>
      <c r="AA254" s="3867"/>
      <c r="AB254" s="3868"/>
      <c r="AC254" s="3869"/>
      <c r="AD254" s="3870"/>
      <c r="AE254" s="3871"/>
      <c r="AF254" s="634"/>
      <c r="AG254" s="634"/>
      <c r="AH254" s="634"/>
      <c r="AI254" s="634"/>
      <c r="AJ254" s="634"/>
    </row>
    <row r="255" spans="1:36" ht="27.75" thickBot="1">
      <c r="A255" s="634"/>
      <c r="B255" s="635"/>
      <c r="C255" s="635"/>
      <c r="D255" s="634"/>
      <c r="E255" s="634"/>
      <c r="F255" s="634"/>
      <c r="G255" s="634"/>
      <c r="H255" s="634"/>
      <c r="I255" s="634"/>
      <c r="J255" s="634"/>
      <c r="K255" s="634"/>
      <c r="L255" s="634"/>
      <c r="M255" s="634"/>
      <c r="N255" s="634"/>
      <c r="O255" s="634"/>
      <c r="P255" s="634"/>
      <c r="Q255" s="634"/>
      <c r="R255" s="634"/>
      <c r="S255" s="634"/>
      <c r="T255" s="634"/>
      <c r="U255" s="634"/>
      <c r="V255" s="634"/>
      <c r="W255" s="677"/>
      <c r="X255" s="3857" t="s">
        <v>164</v>
      </c>
      <c r="Y255" s="3858"/>
      <c r="Z255" s="3858"/>
      <c r="AA255" s="3858"/>
      <c r="AB255" s="3859"/>
      <c r="AC255" s="3796">
        <f>SUM(AC248:AE254)</f>
        <v>13565</v>
      </c>
      <c r="AD255" s="3797"/>
      <c r="AE255" s="3798"/>
      <c r="AF255" s="634"/>
      <c r="AG255" s="634"/>
      <c r="AH255" s="634"/>
      <c r="AI255" s="634"/>
      <c r="AJ255" s="634"/>
    </row>
    <row r="256" spans="1:36" ht="27.75" thickBot="1">
      <c r="A256" s="634"/>
      <c r="B256" s="635"/>
      <c r="C256" s="635"/>
      <c r="D256" s="634"/>
      <c r="E256" s="634"/>
      <c r="F256" s="634"/>
      <c r="G256" s="634"/>
      <c r="H256" s="634"/>
      <c r="I256" s="634"/>
      <c r="J256" s="634"/>
      <c r="K256" s="634"/>
      <c r="L256" s="634"/>
      <c r="M256" s="634"/>
      <c r="N256" s="634"/>
      <c r="O256" s="634"/>
      <c r="P256" s="634"/>
      <c r="Q256" s="634"/>
      <c r="R256" s="634"/>
      <c r="S256" s="634"/>
      <c r="T256" s="634"/>
      <c r="U256" s="634"/>
      <c r="V256" s="634"/>
      <c r="W256" s="677"/>
      <c r="X256" s="3857" t="s">
        <v>165</v>
      </c>
      <c r="Y256" s="3858"/>
      <c r="Z256" s="3858"/>
      <c r="AA256" s="3858"/>
      <c r="AB256" s="3859"/>
      <c r="AC256" s="3796">
        <f>AE243+'BIG CHAIR'!CI326+'Tea Table'!U286</f>
        <v>766</v>
      </c>
      <c r="AD256" s="3797"/>
      <c r="AE256" s="3798"/>
      <c r="AF256" s="695"/>
      <c r="AG256" s="695"/>
      <c r="AH256" s="695"/>
      <c r="AI256" s="634"/>
      <c r="AJ256" s="634"/>
    </row>
    <row r="257" spans="1:31">
      <c r="A257" s="634"/>
      <c r="B257" s="635"/>
      <c r="C257" s="635"/>
      <c r="D257" s="634"/>
      <c r="AB257" s="696"/>
      <c r="AC257" s="696"/>
      <c r="AD257" s="696"/>
      <c r="AE257" s="696"/>
    </row>
    <row r="258" spans="1:31">
      <c r="B258" s="652"/>
      <c r="C258" s="652"/>
      <c r="AB258" s="696"/>
      <c r="AC258" s="696"/>
      <c r="AD258" s="696"/>
      <c r="AE258" s="696"/>
    </row>
    <row r="259" spans="1:31">
      <c r="B259" s="652"/>
      <c r="C259" s="652"/>
      <c r="AB259" s="696"/>
      <c r="AC259" s="696"/>
      <c r="AD259" s="696"/>
      <c r="AE259" s="696"/>
    </row>
    <row r="260" spans="1:31">
      <c r="B260" s="652"/>
      <c r="C260" s="652"/>
      <c r="AB260" s="696"/>
      <c r="AC260" s="696"/>
      <c r="AD260" s="696"/>
      <c r="AE260" s="696"/>
    </row>
    <row r="261" spans="1:31">
      <c r="B261" s="652"/>
      <c r="C261" s="652"/>
      <c r="AB261" s="696"/>
      <c r="AC261" s="696"/>
      <c r="AD261" s="696"/>
      <c r="AE261" s="696"/>
    </row>
    <row r="262" spans="1:31">
      <c r="B262" s="652"/>
      <c r="C262" s="652"/>
      <c r="AB262" s="696"/>
      <c r="AC262" s="696"/>
      <c r="AD262" s="696"/>
      <c r="AE262" s="696"/>
    </row>
    <row r="263" spans="1:31">
      <c r="B263" s="652"/>
      <c r="C263" s="652"/>
      <c r="AB263" s="696"/>
      <c r="AC263" s="696"/>
      <c r="AD263" s="696"/>
      <c r="AE263" s="696"/>
    </row>
    <row r="264" spans="1:31">
      <c r="B264" s="652"/>
      <c r="C264" s="652"/>
      <c r="AB264" s="696"/>
      <c r="AC264" s="696"/>
      <c r="AD264" s="696"/>
      <c r="AE264" s="696"/>
    </row>
    <row r="265" spans="1:31">
      <c r="B265" s="652"/>
      <c r="C265" s="652"/>
      <c r="AB265" s="696"/>
      <c r="AC265" s="696"/>
      <c r="AD265" s="696"/>
      <c r="AE265" s="696"/>
    </row>
    <row r="266" spans="1:31">
      <c r="B266" s="652"/>
      <c r="C266" s="652"/>
      <c r="AB266" s="696"/>
      <c r="AC266" s="696"/>
      <c r="AD266" s="696"/>
      <c r="AE266" s="696"/>
    </row>
    <row r="267" spans="1:31">
      <c r="B267" s="652"/>
      <c r="C267" s="652"/>
      <c r="AB267" s="696"/>
      <c r="AC267" s="696"/>
      <c r="AD267" s="696"/>
      <c r="AE267" s="696"/>
    </row>
    <row r="268" spans="1:31">
      <c r="B268" s="652"/>
      <c r="C268" s="652"/>
      <c r="AB268" s="696"/>
      <c r="AC268" s="696"/>
      <c r="AD268" s="696"/>
      <c r="AE268" s="696"/>
    </row>
    <row r="269" spans="1:31">
      <c r="B269" s="652"/>
      <c r="C269" s="652"/>
      <c r="AB269" s="696"/>
      <c r="AC269" s="696"/>
      <c r="AD269" s="696"/>
      <c r="AE269" s="696"/>
    </row>
    <row r="270" spans="1:31">
      <c r="B270" s="652"/>
      <c r="C270" s="652"/>
      <c r="AB270" s="696"/>
      <c r="AC270" s="696"/>
      <c r="AD270" s="696"/>
      <c r="AE270" s="696"/>
    </row>
    <row r="271" spans="1:31">
      <c r="B271" s="652"/>
      <c r="C271" s="652"/>
      <c r="AB271" s="696"/>
      <c r="AC271" s="696"/>
      <c r="AD271" s="696"/>
      <c r="AE271" s="696"/>
    </row>
    <row r="272" spans="1:31">
      <c r="B272" s="652"/>
      <c r="C272" s="652"/>
      <c r="AB272" s="696"/>
      <c r="AC272" s="696"/>
      <c r="AD272" s="696"/>
      <c r="AE272" s="696"/>
    </row>
    <row r="273" spans="2:31">
      <c r="B273" s="652"/>
      <c r="C273" s="652"/>
      <c r="AB273" s="696"/>
      <c r="AC273" s="696"/>
      <c r="AD273" s="696"/>
      <c r="AE273" s="696"/>
    </row>
    <row r="274" spans="2:31">
      <c r="B274" s="652"/>
      <c r="C274" s="652"/>
      <c r="AB274" s="696"/>
      <c r="AC274" s="696"/>
      <c r="AD274" s="696"/>
      <c r="AE274" s="696"/>
    </row>
  </sheetData>
  <mergeCells count="41">
    <mergeCell ref="A2:D2"/>
    <mergeCell ref="E2:K2"/>
    <mergeCell ref="M2:T2"/>
    <mergeCell ref="V2:AC2"/>
    <mergeCell ref="AE2:AJ2"/>
    <mergeCell ref="A166:AJ166"/>
    <mergeCell ref="A167:D167"/>
    <mergeCell ref="E167:K167"/>
    <mergeCell ref="M167:T167"/>
    <mergeCell ref="V167:AC167"/>
    <mergeCell ref="AE167:AJ167"/>
    <mergeCell ref="A235:C235"/>
    <mergeCell ref="E240:K240"/>
    <mergeCell ref="M240:T240"/>
    <mergeCell ref="V240:AC240"/>
    <mergeCell ref="AF242:AG242"/>
    <mergeCell ref="AF243:AG243"/>
    <mergeCell ref="E244:K244"/>
    <mergeCell ref="M244:T244"/>
    <mergeCell ref="V244:AC244"/>
    <mergeCell ref="E245:K245"/>
    <mergeCell ref="M245:T245"/>
    <mergeCell ref="V245:AC245"/>
    <mergeCell ref="X248:AB248"/>
    <mergeCell ref="AC248:AE248"/>
    <mergeCell ref="X249:AB249"/>
    <mergeCell ref="AC249:AE249"/>
    <mergeCell ref="X250:AB250"/>
    <mergeCell ref="AC250:AE250"/>
    <mergeCell ref="X251:AB251"/>
    <mergeCell ref="AC251:AE251"/>
    <mergeCell ref="X252:AB252"/>
    <mergeCell ref="AC252:AE252"/>
    <mergeCell ref="X253:AB253"/>
    <mergeCell ref="AC253:AE253"/>
    <mergeCell ref="X254:AB254"/>
    <mergeCell ref="AC254:AE254"/>
    <mergeCell ref="X255:AB255"/>
    <mergeCell ref="AC255:AE255"/>
    <mergeCell ref="X256:AB256"/>
    <mergeCell ref="AC256:AE256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318"/>
  <sheetViews>
    <sheetView zoomScaleNormal="100" workbookViewId="0">
      <pane ySplit="3" topLeftCell="A234" activePane="bottomLeft" state="frozen"/>
      <selection pane="bottomLeft" activeCell="A241" sqref="A241"/>
    </sheetView>
  </sheetViews>
  <sheetFormatPr defaultColWidth="9" defaultRowHeight="15"/>
  <cols>
    <col min="1" max="1" width="58.85546875" customWidth="1"/>
    <col min="2" max="2" width="18.140625" style="276" customWidth="1"/>
    <col min="3" max="3" width="14.140625" style="276" customWidth="1"/>
    <col min="4" max="4" width="20" customWidth="1"/>
    <col min="5" max="7" width="11.5703125" customWidth="1"/>
    <col min="8" max="8" width="14.28515625" customWidth="1"/>
    <col min="9" max="9" width="21.5703125" customWidth="1"/>
    <col min="10" max="10" width="11.5703125" customWidth="1"/>
    <col min="11" max="11" width="13.7109375" bestFit="1" customWidth="1"/>
    <col min="12" max="12" width="2.85546875" customWidth="1"/>
    <col min="13" max="14" width="13.7109375" customWidth="1"/>
    <col min="15" max="15" width="11.5703125" customWidth="1"/>
    <col min="16" max="16" width="16.42578125" bestFit="1" customWidth="1"/>
    <col min="17" max="19" width="11.5703125" customWidth="1"/>
    <col min="20" max="20" width="14.7109375" customWidth="1"/>
    <col min="21" max="21" width="1.5703125" customWidth="1"/>
    <col min="22" max="22" width="15.7109375" customWidth="1"/>
    <col min="23" max="23" width="11.5703125" customWidth="1"/>
    <col min="24" max="24" width="12.7109375" customWidth="1"/>
    <col min="25" max="25" width="12.5703125" customWidth="1"/>
    <col min="26" max="26" width="14.85546875" customWidth="1"/>
    <col min="27" max="27" width="11.5703125" customWidth="1"/>
    <col min="28" max="28" width="13.7109375" customWidth="1"/>
    <col min="29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166</v>
      </c>
      <c r="B1" s="285"/>
      <c r="C1" s="285"/>
      <c r="D1" s="285"/>
      <c r="E1" s="285"/>
      <c r="F1" s="285"/>
      <c r="G1" s="285"/>
      <c r="H1" s="285"/>
      <c r="I1" s="285">
        <v>1</v>
      </c>
      <c r="J1" s="335">
        <v>4</v>
      </c>
      <c r="K1" s="335">
        <v>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167</v>
      </c>
      <c r="F2" s="3892"/>
      <c r="G2" s="3892"/>
      <c r="H2" s="3892"/>
      <c r="I2" s="3892"/>
      <c r="J2" s="3892"/>
      <c r="K2" s="3892"/>
      <c r="L2" s="336"/>
      <c r="M2" s="3893" t="s">
        <v>168</v>
      </c>
      <c r="N2" s="3894"/>
      <c r="O2" s="3894"/>
      <c r="P2" s="3894"/>
      <c r="Q2" s="3894"/>
      <c r="R2" s="3894"/>
      <c r="S2" s="3894"/>
      <c r="T2" s="3895"/>
      <c r="U2" s="364"/>
      <c r="V2" s="3893" t="s">
        <v>169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2697" t="s">
        <v>94</v>
      </c>
      <c r="F3" s="2701" t="s">
        <v>92</v>
      </c>
      <c r="G3" s="2698" t="s">
        <v>53</v>
      </c>
      <c r="H3" s="2701" t="s">
        <v>547</v>
      </c>
      <c r="I3" s="2701" t="s">
        <v>489</v>
      </c>
      <c r="J3" s="2701" t="s">
        <v>230</v>
      </c>
      <c r="K3" s="2701" t="s">
        <v>304</v>
      </c>
      <c r="L3" s="2699"/>
      <c r="M3" s="2697" t="s">
        <v>94</v>
      </c>
      <c r="N3" s="2701" t="s">
        <v>521</v>
      </c>
      <c r="O3" s="30" t="s">
        <v>528</v>
      </c>
      <c r="P3" s="2698" t="s">
        <v>576</v>
      </c>
      <c r="Q3" s="2698" t="s">
        <v>75</v>
      </c>
      <c r="R3" s="2698"/>
      <c r="S3" s="2698" t="s">
        <v>53</v>
      </c>
      <c r="T3" s="2700" t="s">
        <v>136</v>
      </c>
      <c r="U3" s="2699"/>
      <c r="V3" s="2701" t="s">
        <v>94</v>
      </c>
      <c r="W3" s="2701" t="s">
        <v>549</v>
      </c>
      <c r="X3" s="2698" t="s">
        <v>371</v>
      </c>
      <c r="Y3" s="2698" t="s">
        <v>539</v>
      </c>
      <c r="Z3" s="2701" t="s">
        <v>53</v>
      </c>
      <c r="AA3" s="2701"/>
      <c r="AB3" s="2702" t="s">
        <v>170</v>
      </c>
      <c r="AC3" s="2700" t="s">
        <v>136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3467"/>
      <c r="G4" s="3467">
        <f>80*16</f>
        <v>1280</v>
      </c>
      <c r="H4" s="3467"/>
      <c r="I4" s="3468"/>
      <c r="J4" s="3468"/>
      <c r="K4" s="3467"/>
      <c r="L4" s="339"/>
      <c r="M4" s="340">
        <f>62*16</f>
        <v>992</v>
      </c>
      <c r="N4" s="293">
        <f>23*16+63*16</f>
        <v>1376</v>
      </c>
      <c r="O4" s="337"/>
      <c r="P4" s="337"/>
      <c r="Q4" s="337"/>
      <c r="R4" s="337"/>
      <c r="S4" s="365">
        <f>83*16</f>
        <v>1328</v>
      </c>
      <c r="T4" s="338">
        <f>49*16+77*16</f>
        <v>2016</v>
      </c>
      <c r="U4" s="339"/>
      <c r="V4" s="366">
        <f>48*16</f>
        <v>768</v>
      </c>
      <c r="W4" s="293">
        <f>105*16</f>
        <v>1680</v>
      </c>
      <c r="X4" s="293">
        <f>27*16</f>
        <v>432</v>
      </c>
      <c r="Y4" s="337">
        <f>8*16</f>
        <v>128</v>
      </c>
      <c r="Z4" s="337">
        <f>52*16</f>
        <v>832</v>
      </c>
      <c r="AA4" s="337"/>
      <c r="AB4" s="293"/>
      <c r="AC4" s="338">
        <f>25*16</f>
        <v>400</v>
      </c>
      <c r="AD4" s="339"/>
      <c r="AE4" s="373">
        <f t="shared" ref="AE4:AE38" si="0">SUM(E4:AC4)</f>
        <v>11232</v>
      </c>
      <c r="AF4" s="293"/>
      <c r="AG4" s="373"/>
      <c r="AH4" s="387">
        <f>AF4+AE4</f>
        <v>11232</v>
      </c>
      <c r="AI4" s="388"/>
      <c r="AJ4" s="389">
        <f>AH4+AI4</f>
        <v>11232</v>
      </c>
    </row>
    <row r="5" spans="1:39" s="283" customFormat="1" ht="21" thickBot="1">
      <c r="A5" s="294" t="s">
        <v>110</v>
      </c>
      <c r="B5" s="299"/>
      <c r="C5" s="299"/>
      <c r="D5" s="709"/>
      <c r="E5" s="296"/>
      <c r="F5" s="297"/>
      <c r="G5" s="297"/>
      <c r="H5" s="297"/>
      <c r="I5" s="298"/>
      <c r="J5" s="298"/>
      <c r="K5" s="297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si="0"/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/>
      <c r="E6" s="296"/>
      <c r="F6" s="297"/>
      <c r="G6" s="297"/>
      <c r="H6" s="297"/>
      <c r="I6" s="298"/>
      <c r="J6" s="298"/>
      <c r="K6" s="297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>AE6+AF6</f>
        <v>0</v>
      </c>
      <c r="AI6" s="392"/>
      <c r="AJ6" s="393">
        <f>AH6+AI6</f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/>
      <c r="E7" s="296"/>
      <c r="F7" s="297"/>
      <c r="G7" s="297"/>
      <c r="H7" s="297"/>
      <c r="I7" s="298"/>
      <c r="J7" s="298"/>
      <c r="K7" s="297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ref="AH7:AH38" si="1">AE7+AF7</f>
        <v>0</v>
      </c>
      <c r="AI7" s="392"/>
      <c r="AJ7" s="393">
        <f t="shared" ref="AJ7:AJ38" si="2">AH7+AI7</f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7"/>
      <c r="I8" s="298"/>
      <c r="J8" s="298"/>
      <c r="K8" s="297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1164"/>
      <c r="H9" s="297"/>
      <c r="I9" s="298"/>
      <c r="J9" s="298"/>
      <c r="K9" s="297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7"/>
      <c r="I10" s="298"/>
      <c r="J10" s="298"/>
      <c r="K10" s="297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1167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1169">
        <f t="shared" si="2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3">
        <f t="shared" si="2"/>
        <v>0</v>
      </c>
      <c r="AK37" s="394"/>
      <c r="AL37" s="54"/>
      <c r="AM37" s="394"/>
    </row>
    <row r="38" spans="1:39" s="283" customFormat="1" ht="20.25">
      <c r="A38" s="294" t="s">
        <v>110</v>
      </c>
      <c r="B38" s="299"/>
      <c r="C38" s="299"/>
      <c r="D38" s="301"/>
      <c r="E38" s="296"/>
      <c r="F38" s="297"/>
      <c r="G38" s="297"/>
      <c r="H38" s="297"/>
      <c r="I38" s="298"/>
      <c r="J38" s="298"/>
      <c r="K38" s="297"/>
      <c r="L38" s="342"/>
      <c r="M38" s="343"/>
      <c r="N38" s="298"/>
      <c r="O38" s="298"/>
      <c r="P38" s="298"/>
      <c r="Q38" s="298"/>
      <c r="R38" s="298"/>
      <c r="S38" s="298"/>
      <c r="T38" s="367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0"/>
        <v>0</v>
      </c>
      <c r="AF38" s="377"/>
      <c r="AG38" s="390"/>
      <c r="AH38" s="391">
        <f t="shared" si="1"/>
        <v>0</v>
      </c>
      <c r="AI38" s="392"/>
      <c r="AJ38" s="395">
        <f t="shared" si="2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8.75">
      <c r="A39" s="302" t="s">
        <v>175</v>
      </c>
      <c r="B39" s="303"/>
      <c r="C39" s="303"/>
      <c r="D39" s="304"/>
      <c r="E39" s="305">
        <f>SUM(E5:E38)</f>
        <v>0</v>
      </c>
      <c r="F39" s="305">
        <f t="shared" ref="F39:K39" si="3">SUM(F5:F38)</f>
        <v>0</v>
      </c>
      <c r="G39" s="305">
        <f t="shared" si="3"/>
        <v>0</v>
      </c>
      <c r="H39" s="305">
        <f t="shared" si="3"/>
        <v>0</v>
      </c>
      <c r="I39" s="305">
        <f t="shared" si="3"/>
        <v>0</v>
      </c>
      <c r="J39" s="305">
        <f t="shared" si="3"/>
        <v>0</v>
      </c>
      <c r="K39" s="305">
        <f t="shared" si="3"/>
        <v>0</v>
      </c>
      <c r="L39" s="305">
        <f t="shared" ref="L39:AJ39" si="4">SUM(L5:L38)</f>
        <v>0</v>
      </c>
      <c r="M39" s="305">
        <f t="shared" si="4"/>
        <v>0</v>
      </c>
      <c r="N39" s="305">
        <f t="shared" ref="N39:T39" si="5">SUM(N5:N38)</f>
        <v>0</v>
      </c>
      <c r="O39" s="305">
        <f t="shared" si="5"/>
        <v>0</v>
      </c>
      <c r="P39" s="305">
        <f t="shared" si="5"/>
        <v>0</v>
      </c>
      <c r="Q39" s="305">
        <f t="shared" si="5"/>
        <v>0</v>
      </c>
      <c r="R39" s="305">
        <f t="shared" si="5"/>
        <v>0</v>
      </c>
      <c r="S39" s="305">
        <f t="shared" si="5"/>
        <v>0</v>
      </c>
      <c r="T39" s="305">
        <f t="shared" si="5"/>
        <v>0</v>
      </c>
      <c r="U39" s="305">
        <f t="shared" si="4"/>
        <v>0</v>
      </c>
      <c r="V39" s="305">
        <f t="shared" si="4"/>
        <v>0</v>
      </c>
      <c r="W39" s="305">
        <f t="shared" si="4"/>
        <v>0</v>
      </c>
      <c r="X39" s="305">
        <f t="shared" si="4"/>
        <v>0</v>
      </c>
      <c r="Y39" s="305">
        <f t="shared" si="4"/>
        <v>0</v>
      </c>
      <c r="Z39" s="305">
        <f t="shared" si="4"/>
        <v>0</v>
      </c>
      <c r="AA39" s="305">
        <f t="shared" si="4"/>
        <v>0</v>
      </c>
      <c r="AB39" s="305">
        <f t="shared" si="4"/>
        <v>0</v>
      </c>
      <c r="AC39" s="305">
        <f t="shared" si="4"/>
        <v>0</v>
      </c>
      <c r="AD39" s="305">
        <f t="shared" si="4"/>
        <v>0</v>
      </c>
      <c r="AE39" s="305">
        <f t="shared" si="4"/>
        <v>0</v>
      </c>
      <c r="AF39" s="305">
        <f t="shared" si="4"/>
        <v>0</v>
      </c>
      <c r="AG39" s="305">
        <f t="shared" si="4"/>
        <v>0</v>
      </c>
      <c r="AH39" s="305">
        <f t="shared" si="4"/>
        <v>0</v>
      </c>
      <c r="AI39" s="305">
        <f t="shared" si="4"/>
        <v>0</v>
      </c>
      <c r="AJ39" s="305">
        <f t="shared" si="4"/>
        <v>0</v>
      </c>
      <c r="AK39" s="399">
        <f>'BIG CHAIR'!CL36</f>
        <v>0</v>
      </c>
      <c r="AL39" s="400">
        <f>'Tea Table'!X29</f>
        <v>0</v>
      </c>
      <c r="AM39" s="401">
        <f>AH39+AK39+AL39</f>
        <v>0</v>
      </c>
    </row>
    <row r="40" spans="1:39" s="284" customFormat="1" ht="19.5" thickBot="1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4" thickBot="1">
      <c r="A41" s="286" t="s">
        <v>117</v>
      </c>
      <c r="B41" s="287" t="s">
        <v>68</v>
      </c>
      <c r="C41" s="287" t="s">
        <v>69</v>
      </c>
      <c r="D41" s="288" t="s">
        <v>70</v>
      </c>
      <c r="E41" s="2697" t="s">
        <v>94</v>
      </c>
      <c r="F41" s="2698"/>
      <c r="G41" s="2698" t="s">
        <v>53</v>
      </c>
      <c r="H41" s="2698"/>
      <c r="I41" s="2698" t="s">
        <v>75</v>
      </c>
      <c r="J41" s="2698"/>
      <c r="K41" s="2698"/>
      <c r="L41" s="2699"/>
      <c r="M41" s="2697" t="s">
        <v>94</v>
      </c>
      <c r="N41" s="2701" t="s">
        <v>170</v>
      </c>
      <c r="O41" s="30" t="s">
        <v>528</v>
      </c>
      <c r="P41" s="2698" t="s">
        <v>576</v>
      </c>
      <c r="Q41" s="2698" t="s">
        <v>75</v>
      </c>
      <c r="R41" s="2698"/>
      <c r="S41" s="2698" t="s">
        <v>53</v>
      </c>
      <c r="T41" s="2700" t="s">
        <v>136</v>
      </c>
      <c r="U41" s="2699"/>
      <c r="V41" s="2701" t="s">
        <v>94</v>
      </c>
      <c r="W41" s="2701"/>
      <c r="X41" s="2698" t="s">
        <v>371</v>
      </c>
      <c r="Y41" s="2698"/>
      <c r="Z41" s="2701" t="s">
        <v>53</v>
      </c>
      <c r="AA41" s="2701"/>
      <c r="AB41" s="2702" t="s">
        <v>170</v>
      </c>
      <c r="AC41" s="2700" t="s">
        <v>136</v>
      </c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1" thickBot="1">
      <c r="A42" s="310" t="s">
        <v>176</v>
      </c>
      <c r="B42" s="311"/>
      <c r="C42" s="311"/>
      <c r="D42" s="312"/>
      <c r="E42" s="313"/>
      <c r="F42" s="314"/>
      <c r="G42" s="314"/>
      <c r="H42" s="314"/>
      <c r="I42" s="315"/>
      <c r="J42" s="315"/>
      <c r="K42" s="314"/>
      <c r="L42" s="349"/>
      <c r="M42" s="350"/>
      <c r="N42" s="315"/>
      <c r="O42" s="315"/>
      <c r="P42" s="315"/>
      <c r="Q42" s="315"/>
      <c r="R42" s="315"/>
      <c r="S42" s="315"/>
      <c r="T42" s="477"/>
      <c r="U42" s="349"/>
      <c r="V42" s="350"/>
      <c r="W42" s="315"/>
      <c r="X42" s="315"/>
      <c r="Y42" s="315"/>
      <c r="Z42" s="315"/>
      <c r="AA42" s="315"/>
      <c r="AB42" s="315"/>
      <c r="AC42" s="378"/>
      <c r="AD42" s="349"/>
      <c r="AE42" s="379">
        <f t="shared" ref="AE42:AE75" si="6">SUM(E42:AC42)</f>
        <v>0</v>
      </c>
      <c r="AF42" s="379"/>
      <c r="AG42" s="404"/>
      <c r="AH42" s="405">
        <f>AE42+AF42</f>
        <v>0</v>
      </c>
      <c r="AI42" s="406"/>
      <c r="AJ42" s="407">
        <f>AH42+AI42</f>
        <v>0</v>
      </c>
    </row>
    <row r="43" spans="1:39" s="234" customFormat="1" ht="20.25" hidden="1">
      <c r="A43" s="316" t="s">
        <v>120</v>
      </c>
      <c r="B43" s="311"/>
      <c r="C43" s="317"/>
      <c r="D43" s="318"/>
      <c r="E43" s="319"/>
      <c r="F43" s="320"/>
      <c r="G43" s="320"/>
      <c r="H43" s="320"/>
      <c r="I43" s="321"/>
      <c r="J43" s="321"/>
      <c r="K43" s="320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53"/>
      <c r="W43" s="321"/>
      <c r="X43" s="321"/>
      <c r="Y43" s="321"/>
      <c r="Z43" s="321"/>
      <c r="AA43" s="321"/>
      <c r="AB43" s="321"/>
      <c r="AC43" s="380"/>
      <c r="AD43" s="352"/>
      <c r="AE43" s="381">
        <f t="shared" si="6"/>
        <v>0</v>
      </c>
      <c r="AF43" s="381"/>
      <c r="AG43" s="408"/>
      <c r="AH43" s="409">
        <f t="shared" ref="AH43:AH75" si="7">AE43+AF43</f>
        <v>0</v>
      </c>
      <c r="AI43" s="410"/>
      <c r="AJ43" s="411">
        <f>AH43+AI43</f>
        <v>0</v>
      </c>
    </row>
    <row r="44" spans="1:39" s="234" customFormat="1" ht="20.25" hidden="1">
      <c r="A44" s="316" t="s">
        <v>120</v>
      </c>
      <c r="B44" s="311"/>
      <c r="C44" s="295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6"/>
        <v>0</v>
      </c>
      <c r="AF44" s="381"/>
      <c r="AG44" s="408"/>
      <c r="AH44" s="409">
        <f t="shared" si="7"/>
        <v>0</v>
      </c>
      <c r="AI44" s="410"/>
      <c r="AJ44" s="411">
        <f>AH44+AI44</f>
        <v>0</v>
      </c>
    </row>
    <row r="45" spans="1:39" s="234" customFormat="1" ht="20.25" hidden="1">
      <c r="A45" s="316" t="s">
        <v>120</v>
      </c>
      <c r="B45" s="311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6"/>
        <v>0</v>
      </c>
      <c r="AF45" s="381"/>
      <c r="AG45" s="408"/>
      <c r="AH45" s="409">
        <f t="shared" si="7"/>
        <v>0</v>
      </c>
      <c r="AI45" s="410"/>
      <c r="AJ45" s="411">
        <f>AH45+AI45</f>
        <v>0</v>
      </c>
    </row>
    <row r="46" spans="1:39" s="234" customFormat="1" ht="20.25" hidden="1">
      <c r="A46" s="316" t="s">
        <v>120</v>
      </c>
      <c r="B46" s="311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6"/>
        <v>0</v>
      </c>
      <c r="AF46" s="381"/>
      <c r="AG46" s="408"/>
      <c r="AH46" s="409">
        <f t="shared" si="7"/>
        <v>0</v>
      </c>
      <c r="AI46" s="410"/>
      <c r="AJ46" s="411">
        <f t="shared" ref="AJ46:AJ75" si="8">AH46+AI46</f>
        <v>0</v>
      </c>
    </row>
    <row r="47" spans="1:39" s="234" customFormat="1" ht="20.25" hidden="1">
      <c r="A47" s="316" t="s">
        <v>120</v>
      </c>
      <c r="B47" s="311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6"/>
        <v>0</v>
      </c>
      <c r="AF47" s="381"/>
      <c r="AG47" s="408"/>
      <c r="AH47" s="409">
        <f t="shared" si="7"/>
        <v>0</v>
      </c>
      <c r="AI47" s="410"/>
      <c r="AJ47" s="411">
        <f t="shared" si="8"/>
        <v>0</v>
      </c>
    </row>
    <row r="48" spans="1:39" s="234" customFormat="1" ht="20.25" hidden="1">
      <c r="A48" s="316" t="s">
        <v>120</v>
      </c>
      <c r="B48" s="311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6"/>
        <v>0</v>
      </c>
      <c r="AF48" s="381"/>
      <c r="AG48" s="408"/>
      <c r="AH48" s="409">
        <f t="shared" si="7"/>
        <v>0</v>
      </c>
      <c r="AI48" s="410"/>
      <c r="AJ48" s="411">
        <f t="shared" si="8"/>
        <v>0</v>
      </c>
    </row>
    <row r="49" spans="1:39" s="234" customFormat="1" ht="20.25" hidden="1">
      <c r="A49" s="316" t="s">
        <v>120</v>
      </c>
      <c r="B49" s="311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6"/>
        <v>0</v>
      </c>
      <c r="AF49" s="381"/>
      <c r="AG49" s="408"/>
      <c r="AH49" s="409">
        <f t="shared" si="7"/>
        <v>0</v>
      </c>
      <c r="AI49" s="410"/>
      <c r="AJ49" s="411">
        <f t="shared" si="8"/>
        <v>0</v>
      </c>
    </row>
    <row r="50" spans="1:39" s="234" customFormat="1" ht="20.25" hidden="1">
      <c r="A50" s="316" t="s">
        <v>120</v>
      </c>
      <c r="B50" s="311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6"/>
        <v>0</v>
      </c>
      <c r="AF50" s="381"/>
      <c r="AG50" s="408"/>
      <c r="AH50" s="409">
        <f t="shared" si="7"/>
        <v>0</v>
      </c>
      <c r="AI50" s="410"/>
      <c r="AJ50" s="411">
        <f t="shared" si="8"/>
        <v>0</v>
      </c>
    </row>
    <row r="51" spans="1:39" s="234" customFormat="1" ht="20.25" hidden="1">
      <c r="A51" s="316" t="s">
        <v>120</v>
      </c>
      <c r="B51" s="311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6"/>
        <v>0</v>
      </c>
      <c r="AF51" s="381"/>
      <c r="AG51" s="408"/>
      <c r="AH51" s="409">
        <f t="shared" si="7"/>
        <v>0</v>
      </c>
      <c r="AI51" s="410"/>
      <c r="AJ51" s="411">
        <f t="shared" si="8"/>
        <v>0</v>
      </c>
    </row>
    <row r="52" spans="1:39" s="234" customFormat="1" ht="20.25">
      <c r="A52" s="316" t="s">
        <v>120</v>
      </c>
      <c r="B52" s="311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6"/>
        <v>0</v>
      </c>
      <c r="AF52" s="381"/>
      <c r="AG52" s="408"/>
      <c r="AH52" s="409">
        <f t="shared" si="7"/>
        <v>0</v>
      </c>
      <c r="AI52" s="410"/>
      <c r="AJ52" s="411">
        <f t="shared" si="8"/>
        <v>0</v>
      </c>
    </row>
    <row r="53" spans="1:39" s="234" customFormat="1" ht="20.25">
      <c r="A53" s="316" t="s">
        <v>120</v>
      </c>
      <c r="B53" s="295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1168"/>
      <c r="AC53" s="380"/>
      <c r="AD53" s="352"/>
      <c r="AE53" s="381">
        <f t="shared" si="6"/>
        <v>0</v>
      </c>
      <c r="AF53" s="381"/>
      <c r="AG53" s="408"/>
      <c r="AH53" s="409">
        <f t="shared" si="7"/>
        <v>0</v>
      </c>
      <c r="AI53" s="410"/>
      <c r="AJ53" s="411">
        <f t="shared" si="8"/>
        <v>0</v>
      </c>
    </row>
    <row r="54" spans="1:39" s="234" customFormat="1" ht="20.25">
      <c r="A54" s="316" t="s">
        <v>120</v>
      </c>
      <c r="B54" s="295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829"/>
      <c r="W54" s="320"/>
      <c r="X54" s="741"/>
      <c r="Y54" s="321"/>
      <c r="Z54" s="321"/>
      <c r="AA54" s="321"/>
      <c r="AB54" s="320"/>
      <c r="AC54" s="380"/>
      <c r="AD54" s="352"/>
      <c r="AE54" s="381">
        <f t="shared" si="6"/>
        <v>0</v>
      </c>
      <c r="AF54" s="381"/>
      <c r="AG54" s="408"/>
      <c r="AH54" s="409">
        <f t="shared" si="7"/>
        <v>0</v>
      </c>
      <c r="AI54" s="410"/>
      <c r="AJ54" s="411">
        <f t="shared" si="8"/>
        <v>0</v>
      </c>
    </row>
    <row r="55" spans="1:39" s="234" customFormat="1" ht="20.25">
      <c r="A55" s="316" t="s">
        <v>120</v>
      </c>
      <c r="B55" s="295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6"/>
        <v>0</v>
      </c>
      <c r="AF55" s="381"/>
      <c r="AG55" s="408"/>
      <c r="AH55" s="409">
        <f t="shared" si="7"/>
        <v>0</v>
      </c>
      <c r="AI55" s="410"/>
      <c r="AJ55" s="411">
        <f t="shared" si="8"/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6"/>
        <v>0</v>
      </c>
      <c r="AF56" s="381"/>
      <c r="AG56" s="408"/>
      <c r="AH56" s="409">
        <f t="shared" si="7"/>
        <v>0</v>
      </c>
      <c r="AI56" s="410"/>
      <c r="AJ56" s="411">
        <f t="shared" si="8"/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6"/>
        <v>0</v>
      </c>
      <c r="AF57" s="381"/>
      <c r="AG57" s="408"/>
      <c r="AH57" s="409">
        <f t="shared" si="7"/>
        <v>0</v>
      </c>
      <c r="AI57" s="410"/>
      <c r="AJ57" s="411">
        <f t="shared" si="8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6"/>
        <v>0</v>
      </c>
      <c r="AF58" s="381"/>
      <c r="AG58" s="408"/>
      <c r="AH58" s="409">
        <f t="shared" si="7"/>
        <v>0</v>
      </c>
      <c r="AI58" s="410"/>
      <c r="AJ58" s="411">
        <f t="shared" si="8"/>
        <v>0</v>
      </c>
    </row>
    <row r="59" spans="1:39" s="283" customFormat="1" ht="20.25">
      <c r="A59" s="316" t="s">
        <v>120</v>
      </c>
      <c r="B59" s="323"/>
      <c r="C59" s="323"/>
      <c r="D59" s="318"/>
      <c r="E59" s="325"/>
      <c r="F59" s="297"/>
      <c r="G59" s="297"/>
      <c r="H59" s="297"/>
      <c r="I59" s="298"/>
      <c r="J59" s="298"/>
      <c r="K59" s="297"/>
      <c r="L59" s="355"/>
      <c r="M59" s="343"/>
      <c r="N59" s="298"/>
      <c r="O59" s="298"/>
      <c r="P59" s="298"/>
      <c r="Q59" s="298"/>
      <c r="R59" s="298"/>
      <c r="S59" s="298"/>
      <c r="T59" s="367"/>
      <c r="U59" s="355"/>
      <c r="V59" s="325"/>
      <c r="W59" s="297"/>
      <c r="X59" s="297"/>
      <c r="Y59" s="298"/>
      <c r="Z59" s="298"/>
      <c r="AA59" s="298"/>
      <c r="AB59" s="297"/>
      <c r="AC59" s="375"/>
      <c r="AD59" s="355"/>
      <c r="AE59" s="376">
        <f t="shared" ref="AE59:AE74" si="9">SUM(E59:AC59)</f>
        <v>0</v>
      </c>
      <c r="AF59" s="377"/>
      <c r="AG59" s="390"/>
      <c r="AH59" s="391">
        <f t="shared" si="7"/>
        <v>0</v>
      </c>
      <c r="AI59" s="412"/>
      <c r="AJ59" s="413">
        <f t="shared" si="8"/>
        <v>0</v>
      </c>
      <c r="AK59" s="414" t="s">
        <v>8</v>
      </c>
      <c r="AL59" s="397" t="s">
        <v>23</v>
      </c>
      <c r="AM59" s="415" t="s">
        <v>174</v>
      </c>
    </row>
    <row r="60" spans="1:39" s="283" customFormat="1" ht="20.25">
      <c r="A60" s="316" t="s">
        <v>120</v>
      </c>
      <c r="B60" s="323"/>
      <c r="C60" s="323"/>
      <c r="D60" s="324"/>
      <c r="E60" s="325"/>
      <c r="F60" s="297"/>
      <c r="G60" s="297"/>
      <c r="H60" s="297"/>
      <c r="I60" s="298"/>
      <c r="J60" s="298"/>
      <c r="K60" s="297"/>
      <c r="L60" s="355"/>
      <c r="M60" s="343"/>
      <c r="N60" s="298"/>
      <c r="O60" s="298"/>
      <c r="P60" s="298"/>
      <c r="Q60" s="298"/>
      <c r="R60" s="298"/>
      <c r="S60" s="298"/>
      <c r="T60" s="367"/>
      <c r="U60" s="355"/>
      <c r="V60" s="325"/>
      <c r="W60" s="297"/>
      <c r="X60" s="297"/>
      <c r="Y60" s="298"/>
      <c r="Z60" s="298"/>
      <c r="AA60" s="298"/>
      <c r="AB60" s="297"/>
      <c r="AC60" s="375"/>
      <c r="AD60" s="355"/>
      <c r="AE60" s="376">
        <f t="shared" si="9"/>
        <v>0</v>
      </c>
      <c r="AF60" s="377"/>
      <c r="AG60" s="390"/>
      <c r="AH60" s="391">
        <f t="shared" si="7"/>
        <v>0</v>
      </c>
      <c r="AI60" s="412"/>
      <c r="AJ60" s="413">
        <f t="shared" si="8"/>
        <v>0</v>
      </c>
      <c r="AK60" s="414" t="s">
        <v>8</v>
      </c>
      <c r="AL60" s="397" t="s">
        <v>23</v>
      </c>
      <c r="AM60" s="415" t="s">
        <v>174</v>
      </c>
    </row>
    <row r="61" spans="1:39" s="283" customFormat="1" ht="20.25">
      <c r="A61" s="316" t="s">
        <v>120</v>
      </c>
      <c r="B61" s="323"/>
      <c r="C61" s="323"/>
      <c r="D61" s="324"/>
      <c r="E61" s="325"/>
      <c r="F61" s="297"/>
      <c r="G61" s="297"/>
      <c r="H61" s="297"/>
      <c r="I61" s="298"/>
      <c r="J61" s="298"/>
      <c r="K61" s="297"/>
      <c r="L61" s="355"/>
      <c r="M61" s="343"/>
      <c r="N61" s="298"/>
      <c r="O61" s="298"/>
      <c r="P61" s="298"/>
      <c r="Q61" s="298"/>
      <c r="R61" s="298"/>
      <c r="S61" s="298"/>
      <c r="T61" s="367"/>
      <c r="U61" s="355"/>
      <c r="V61" s="325"/>
      <c r="W61" s="297"/>
      <c r="X61" s="297"/>
      <c r="Y61" s="298"/>
      <c r="Z61" s="298"/>
      <c r="AA61" s="298"/>
      <c r="AB61" s="297"/>
      <c r="AC61" s="375"/>
      <c r="AD61" s="355"/>
      <c r="AE61" s="376">
        <f t="shared" si="9"/>
        <v>0</v>
      </c>
      <c r="AF61" s="377"/>
      <c r="AG61" s="390"/>
      <c r="AH61" s="391">
        <f t="shared" si="7"/>
        <v>0</v>
      </c>
      <c r="AI61" s="412"/>
      <c r="AJ61" s="413">
        <f t="shared" si="8"/>
        <v>0</v>
      </c>
      <c r="AK61" s="414" t="s">
        <v>8</v>
      </c>
      <c r="AL61" s="397" t="s">
        <v>23</v>
      </c>
      <c r="AM61" s="415" t="s">
        <v>174</v>
      </c>
    </row>
    <row r="62" spans="1:39" s="283" customFormat="1" ht="20.25">
      <c r="A62" s="316" t="s">
        <v>120</v>
      </c>
      <c r="B62" s="323"/>
      <c r="C62" s="323"/>
      <c r="D62" s="324"/>
      <c r="E62" s="325"/>
      <c r="F62" s="297"/>
      <c r="G62" s="297"/>
      <c r="H62" s="297"/>
      <c r="I62" s="298"/>
      <c r="J62" s="298"/>
      <c r="K62" s="297"/>
      <c r="L62" s="355"/>
      <c r="M62" s="343"/>
      <c r="N62" s="298"/>
      <c r="O62" s="298"/>
      <c r="P62" s="298"/>
      <c r="Q62" s="298"/>
      <c r="R62" s="298"/>
      <c r="S62" s="298"/>
      <c r="T62" s="367"/>
      <c r="U62" s="355"/>
      <c r="V62" s="325"/>
      <c r="W62" s="297"/>
      <c r="X62" s="297"/>
      <c r="Y62" s="298"/>
      <c r="Z62" s="298"/>
      <c r="AA62" s="298"/>
      <c r="AB62" s="297"/>
      <c r="AC62" s="375"/>
      <c r="AD62" s="355"/>
      <c r="AE62" s="376">
        <f t="shared" si="9"/>
        <v>0</v>
      </c>
      <c r="AF62" s="377"/>
      <c r="AG62" s="390"/>
      <c r="AH62" s="391">
        <f t="shared" si="7"/>
        <v>0</v>
      </c>
      <c r="AI62" s="412"/>
      <c r="AJ62" s="413">
        <f t="shared" si="8"/>
        <v>0</v>
      </c>
      <c r="AK62" s="414" t="s">
        <v>8</v>
      </c>
      <c r="AL62" s="397" t="s">
        <v>23</v>
      </c>
      <c r="AM62" s="415" t="s">
        <v>174</v>
      </c>
    </row>
    <row r="63" spans="1:39" s="283" customFormat="1" ht="25.5" customHeight="1">
      <c r="A63" s="316" t="s">
        <v>120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1165"/>
      <c r="W63" s="297"/>
      <c r="X63" s="297"/>
      <c r="Y63" s="298"/>
      <c r="Z63" s="298"/>
      <c r="AA63" s="325"/>
      <c r="AB63" s="297"/>
      <c r="AC63" s="375"/>
      <c r="AD63" s="355"/>
      <c r="AE63" s="376">
        <f t="shared" si="9"/>
        <v>0</v>
      </c>
      <c r="AF63" s="377"/>
      <c r="AG63" s="390"/>
      <c r="AH63" s="391">
        <f t="shared" si="7"/>
        <v>0</v>
      </c>
      <c r="AI63" s="412"/>
      <c r="AJ63" s="413">
        <f t="shared" si="8"/>
        <v>0</v>
      </c>
      <c r="AK63" s="414" t="s">
        <v>8</v>
      </c>
      <c r="AL63" s="397" t="s">
        <v>23</v>
      </c>
      <c r="AM63" s="415" t="s">
        <v>174</v>
      </c>
    </row>
    <row r="64" spans="1:39" s="283" customFormat="1" ht="23.25">
      <c r="A64" s="316" t="s">
        <v>120</v>
      </c>
      <c r="B64" s="323"/>
      <c r="C64" s="323"/>
      <c r="D64" s="324"/>
      <c r="E64" s="325"/>
      <c r="F64" s="297"/>
      <c r="G64" s="297"/>
      <c r="H64" s="297"/>
      <c r="I64" s="298"/>
      <c r="J64" s="298"/>
      <c r="K64" s="297"/>
      <c r="L64" s="355"/>
      <c r="M64" s="343"/>
      <c r="N64" s="298"/>
      <c r="O64" s="298"/>
      <c r="P64" s="298"/>
      <c r="Q64" s="298"/>
      <c r="R64" s="298"/>
      <c r="S64" s="298"/>
      <c r="T64" s="367"/>
      <c r="U64" s="355"/>
      <c r="V64" s="1166"/>
      <c r="W64" s="297"/>
      <c r="X64" s="297"/>
      <c r="Y64" s="298"/>
      <c r="Z64" s="298"/>
      <c r="AA64" s="325"/>
      <c r="AB64" s="297"/>
      <c r="AC64" s="375"/>
      <c r="AD64" s="355"/>
      <c r="AE64" s="376">
        <f t="shared" si="9"/>
        <v>0</v>
      </c>
      <c r="AF64" s="377"/>
      <c r="AG64" s="390"/>
      <c r="AH64" s="391">
        <f t="shared" si="7"/>
        <v>0</v>
      </c>
      <c r="AI64" s="412"/>
      <c r="AJ64" s="413">
        <f t="shared" si="8"/>
        <v>0</v>
      </c>
      <c r="AK64" s="414" t="s">
        <v>8</v>
      </c>
      <c r="AL64" s="397" t="s">
        <v>23</v>
      </c>
      <c r="AM64" s="415" t="s">
        <v>174</v>
      </c>
    </row>
    <row r="65" spans="1:39" s="283" customFormat="1" ht="21">
      <c r="A65" s="316" t="s">
        <v>120</v>
      </c>
      <c r="B65" s="323"/>
      <c r="C65" s="323"/>
      <c r="D65" s="324"/>
      <c r="E65" s="325"/>
      <c r="F65" s="297"/>
      <c r="G65" s="297"/>
      <c r="H65" s="297"/>
      <c r="I65" s="298"/>
      <c r="J65" s="298"/>
      <c r="K65" s="297"/>
      <c r="L65" s="355"/>
      <c r="M65" s="343"/>
      <c r="N65" s="298"/>
      <c r="O65" s="298"/>
      <c r="P65" s="298"/>
      <c r="Q65" s="298"/>
      <c r="R65" s="298"/>
      <c r="S65" s="298"/>
      <c r="T65" s="367"/>
      <c r="U65" s="355"/>
      <c r="V65" s="1171"/>
      <c r="W65" s="297"/>
      <c r="X65" s="297"/>
      <c r="Y65" s="298"/>
      <c r="Z65" s="298"/>
      <c r="AA65" s="325"/>
      <c r="AB65" s="297"/>
      <c r="AC65" s="375"/>
      <c r="AD65" s="355"/>
      <c r="AE65" s="376">
        <f t="shared" si="9"/>
        <v>0</v>
      </c>
      <c r="AF65" s="377"/>
      <c r="AG65" s="390"/>
      <c r="AH65" s="391">
        <f t="shared" si="7"/>
        <v>0</v>
      </c>
      <c r="AI65" s="412"/>
      <c r="AJ65" s="413">
        <f t="shared" si="8"/>
        <v>0</v>
      </c>
      <c r="AK65" s="414" t="s">
        <v>8</v>
      </c>
      <c r="AL65" s="397" t="s">
        <v>23</v>
      </c>
      <c r="AM65" s="415" t="s">
        <v>174</v>
      </c>
    </row>
    <row r="66" spans="1:39" s="283" customFormat="1" ht="21">
      <c r="A66" s="316" t="s">
        <v>120</v>
      </c>
      <c r="B66" s="323"/>
      <c r="C66" s="323"/>
      <c r="D66" s="324"/>
      <c r="E66" s="325"/>
      <c r="F66" s="297"/>
      <c r="G66" s="297"/>
      <c r="H66" s="297"/>
      <c r="I66" s="298"/>
      <c r="J66" s="298"/>
      <c r="K66" s="297"/>
      <c r="L66" s="355"/>
      <c r="M66" s="343"/>
      <c r="N66" s="298"/>
      <c r="O66" s="298"/>
      <c r="P66" s="298"/>
      <c r="Q66" s="298"/>
      <c r="R66" s="298"/>
      <c r="S66" s="298"/>
      <c r="T66" s="367"/>
      <c r="U66" s="355"/>
      <c r="V66" s="1171"/>
      <c r="W66" s="297"/>
      <c r="X66" s="297"/>
      <c r="Y66" s="298"/>
      <c r="Z66" s="298"/>
      <c r="AA66" s="325"/>
      <c r="AB66" s="297"/>
      <c r="AC66" s="375"/>
      <c r="AD66" s="355"/>
      <c r="AE66" s="376">
        <f t="shared" si="9"/>
        <v>0</v>
      </c>
      <c r="AF66" s="377"/>
      <c r="AG66" s="390"/>
      <c r="AH66" s="391">
        <f t="shared" si="7"/>
        <v>0</v>
      </c>
      <c r="AI66" s="412"/>
      <c r="AJ66" s="413">
        <f t="shared" si="8"/>
        <v>0</v>
      </c>
      <c r="AK66" s="414" t="s">
        <v>8</v>
      </c>
      <c r="AL66" s="397" t="s">
        <v>23</v>
      </c>
      <c r="AM66" s="415" t="s">
        <v>174</v>
      </c>
    </row>
    <row r="67" spans="1:39" s="283" customFormat="1" ht="20.25">
      <c r="A67" s="316" t="s">
        <v>120</v>
      </c>
      <c r="B67" s="323"/>
      <c r="C67" s="323"/>
      <c r="D67" s="324"/>
      <c r="E67" s="325"/>
      <c r="F67" s="297"/>
      <c r="G67" s="297"/>
      <c r="H67" s="297"/>
      <c r="I67" s="298"/>
      <c r="J67" s="298"/>
      <c r="K67" s="297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1172"/>
      <c r="W67" s="297"/>
      <c r="X67" s="297"/>
      <c r="Y67" s="298"/>
      <c r="Z67" s="298"/>
      <c r="AA67" s="325"/>
      <c r="AB67" s="297"/>
      <c r="AC67" s="375"/>
      <c r="AD67" s="355"/>
      <c r="AE67" s="376">
        <f t="shared" si="9"/>
        <v>0</v>
      </c>
      <c r="AF67" s="377"/>
      <c r="AG67" s="390"/>
      <c r="AH67" s="391">
        <f t="shared" si="7"/>
        <v>0</v>
      </c>
      <c r="AI67" s="412"/>
      <c r="AJ67" s="413">
        <f t="shared" si="8"/>
        <v>0</v>
      </c>
      <c r="AK67" s="414" t="s">
        <v>8</v>
      </c>
      <c r="AL67" s="397" t="s">
        <v>23</v>
      </c>
      <c r="AM67" s="415" t="s">
        <v>174</v>
      </c>
    </row>
    <row r="68" spans="1:39" s="283" customFormat="1" ht="20.25">
      <c r="A68" s="316" t="s">
        <v>120</v>
      </c>
      <c r="B68" s="323"/>
      <c r="C68" s="323"/>
      <c r="D68" s="324"/>
      <c r="E68" s="325"/>
      <c r="F68" s="297"/>
      <c r="G68" s="297"/>
      <c r="H68" s="297"/>
      <c r="I68" s="298"/>
      <c r="J68" s="298"/>
      <c r="K68" s="297"/>
      <c r="L68" s="355"/>
      <c r="M68" s="343"/>
      <c r="N68" s="298"/>
      <c r="O68" s="298"/>
      <c r="P68" s="298"/>
      <c r="Q68" s="298"/>
      <c r="R68" s="298"/>
      <c r="S68" s="298"/>
      <c r="T68" s="367"/>
      <c r="U68" s="355"/>
      <c r="V68" s="1172"/>
      <c r="W68" s="297"/>
      <c r="X68" s="297"/>
      <c r="Y68" s="298"/>
      <c r="Z68" s="298"/>
      <c r="AA68" s="325"/>
      <c r="AB68" s="297"/>
      <c r="AC68" s="375"/>
      <c r="AD68" s="355"/>
      <c r="AE68" s="376">
        <f t="shared" si="9"/>
        <v>0</v>
      </c>
      <c r="AF68" s="377"/>
      <c r="AG68" s="390"/>
      <c r="AH68" s="391">
        <f t="shared" si="7"/>
        <v>0</v>
      </c>
      <c r="AI68" s="412"/>
      <c r="AJ68" s="413">
        <f t="shared" si="8"/>
        <v>0</v>
      </c>
      <c r="AK68" s="414" t="s">
        <v>8</v>
      </c>
      <c r="AL68" s="397" t="s">
        <v>23</v>
      </c>
      <c r="AM68" s="415" t="s">
        <v>174</v>
      </c>
    </row>
    <row r="69" spans="1:39" s="283" customFormat="1" ht="20.25">
      <c r="A69" s="316" t="s">
        <v>120</v>
      </c>
      <c r="B69" s="323"/>
      <c r="C69" s="323"/>
      <c r="D69" s="324"/>
      <c r="E69" s="325"/>
      <c r="F69" s="297"/>
      <c r="G69" s="297"/>
      <c r="H69" s="297"/>
      <c r="I69" s="298"/>
      <c r="J69" s="298"/>
      <c r="K69" s="297"/>
      <c r="L69" s="355"/>
      <c r="M69" s="343"/>
      <c r="N69" s="298"/>
      <c r="O69" s="298"/>
      <c r="P69" s="298"/>
      <c r="Q69" s="298"/>
      <c r="R69" s="298"/>
      <c r="S69" s="298"/>
      <c r="T69" s="367"/>
      <c r="U69" s="355"/>
      <c r="V69" s="1172"/>
      <c r="W69" s="297"/>
      <c r="X69" s="297"/>
      <c r="Y69" s="298"/>
      <c r="Z69" s="298"/>
      <c r="AA69" s="325"/>
      <c r="AB69" s="297"/>
      <c r="AC69" s="375"/>
      <c r="AD69" s="355"/>
      <c r="AE69" s="376">
        <f t="shared" si="9"/>
        <v>0</v>
      </c>
      <c r="AF69" s="377"/>
      <c r="AG69" s="390"/>
      <c r="AH69" s="391">
        <f t="shared" si="7"/>
        <v>0</v>
      </c>
      <c r="AI69" s="412"/>
      <c r="AJ69" s="413">
        <f t="shared" si="8"/>
        <v>0</v>
      </c>
      <c r="AK69" s="414" t="s">
        <v>8</v>
      </c>
      <c r="AL69" s="397" t="s">
        <v>23</v>
      </c>
      <c r="AM69" s="415" t="s">
        <v>174</v>
      </c>
    </row>
    <row r="70" spans="1:39" s="283" customFormat="1" ht="20.25">
      <c r="A70" s="316" t="s">
        <v>120</v>
      </c>
      <c r="B70" s="323"/>
      <c r="C70" s="323"/>
      <c r="D70" s="324"/>
      <c r="E70" s="325"/>
      <c r="F70" s="297"/>
      <c r="G70" s="297"/>
      <c r="H70" s="297"/>
      <c r="I70" s="298"/>
      <c r="J70" s="298"/>
      <c r="K70" s="297"/>
      <c r="L70" s="355"/>
      <c r="M70" s="343"/>
      <c r="N70" s="298"/>
      <c r="O70" s="298"/>
      <c r="P70" s="298"/>
      <c r="Q70" s="298"/>
      <c r="R70" s="298"/>
      <c r="S70" s="298"/>
      <c r="T70" s="367"/>
      <c r="U70" s="355"/>
      <c r="V70" s="1172"/>
      <c r="W70" s="297"/>
      <c r="X70" s="297"/>
      <c r="Y70" s="298"/>
      <c r="Z70" s="298"/>
      <c r="AA70" s="325"/>
      <c r="AB70" s="297"/>
      <c r="AC70" s="375"/>
      <c r="AD70" s="355"/>
      <c r="AE70" s="376">
        <f t="shared" si="9"/>
        <v>0</v>
      </c>
      <c r="AF70" s="377"/>
      <c r="AG70" s="390"/>
      <c r="AH70" s="391">
        <f t="shared" si="7"/>
        <v>0</v>
      </c>
      <c r="AI70" s="412"/>
      <c r="AJ70" s="413">
        <f t="shared" si="8"/>
        <v>0</v>
      </c>
      <c r="AK70" s="414" t="s">
        <v>8</v>
      </c>
      <c r="AL70" s="397" t="s">
        <v>23</v>
      </c>
      <c r="AM70" s="415" t="s">
        <v>174</v>
      </c>
    </row>
    <row r="71" spans="1:39" s="283" customFormat="1" ht="20.25">
      <c r="A71" s="316" t="s">
        <v>120</v>
      </c>
      <c r="B71" s="323"/>
      <c r="C71" s="323"/>
      <c r="D71" s="324"/>
      <c r="E71" s="325"/>
      <c r="F71" s="297"/>
      <c r="G71" s="297"/>
      <c r="H71" s="297"/>
      <c r="I71" s="298"/>
      <c r="J71" s="298"/>
      <c r="K71" s="297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1172"/>
      <c r="W71" s="297"/>
      <c r="X71" s="297"/>
      <c r="Y71" s="298"/>
      <c r="Z71" s="298"/>
      <c r="AA71" s="325"/>
      <c r="AB71" s="297"/>
      <c r="AC71" s="375"/>
      <c r="AD71" s="355"/>
      <c r="AE71" s="376">
        <f t="shared" si="9"/>
        <v>0</v>
      </c>
      <c r="AF71" s="377"/>
      <c r="AG71" s="390"/>
      <c r="AH71" s="391">
        <f t="shared" si="7"/>
        <v>0</v>
      </c>
      <c r="AI71" s="412"/>
      <c r="AJ71" s="413">
        <f t="shared" si="8"/>
        <v>0</v>
      </c>
      <c r="AK71" s="414" t="s">
        <v>8</v>
      </c>
      <c r="AL71" s="397" t="s">
        <v>23</v>
      </c>
      <c r="AM71" s="415" t="s">
        <v>174</v>
      </c>
    </row>
    <row r="72" spans="1:39" s="283" customFormat="1" ht="20.25">
      <c r="A72" s="316" t="s">
        <v>120</v>
      </c>
      <c r="B72" s="323"/>
      <c r="C72" s="323"/>
      <c r="D72" s="324"/>
      <c r="E72" s="325"/>
      <c r="F72" s="297"/>
      <c r="G72" s="297"/>
      <c r="H72" s="297"/>
      <c r="I72" s="298"/>
      <c r="J72" s="298"/>
      <c r="K72" s="297"/>
      <c r="L72" s="355"/>
      <c r="M72" s="343"/>
      <c r="N72" s="298"/>
      <c r="O72" s="298"/>
      <c r="P72" s="298"/>
      <c r="Q72" s="298"/>
      <c r="R72" s="298"/>
      <c r="S72" s="298"/>
      <c r="T72" s="367"/>
      <c r="U72" s="355"/>
      <c r="V72" s="1172"/>
      <c r="W72" s="297"/>
      <c r="X72" s="297"/>
      <c r="Y72" s="298"/>
      <c r="Z72" s="298"/>
      <c r="AA72" s="325"/>
      <c r="AB72" s="297"/>
      <c r="AC72" s="375"/>
      <c r="AD72" s="355"/>
      <c r="AE72" s="376">
        <f t="shared" si="9"/>
        <v>0</v>
      </c>
      <c r="AF72" s="377"/>
      <c r="AG72" s="390"/>
      <c r="AH72" s="391">
        <f t="shared" si="7"/>
        <v>0</v>
      </c>
      <c r="AI72" s="412"/>
      <c r="AJ72" s="413">
        <f t="shared" si="8"/>
        <v>0</v>
      </c>
      <c r="AK72" s="414" t="s">
        <v>8</v>
      </c>
      <c r="AL72" s="397" t="s">
        <v>23</v>
      </c>
      <c r="AM72" s="415" t="s">
        <v>174</v>
      </c>
    </row>
    <row r="73" spans="1:39" s="283" customFormat="1" ht="20.25">
      <c r="A73" s="316" t="s">
        <v>120</v>
      </c>
      <c r="B73" s="323"/>
      <c r="C73" s="323"/>
      <c r="D73" s="324"/>
      <c r="E73" s="325"/>
      <c r="F73" s="297"/>
      <c r="G73" s="297"/>
      <c r="H73" s="297"/>
      <c r="I73" s="298"/>
      <c r="J73" s="298"/>
      <c r="K73" s="297"/>
      <c r="L73" s="355"/>
      <c r="M73" s="343"/>
      <c r="N73" s="298"/>
      <c r="O73" s="298"/>
      <c r="P73" s="298"/>
      <c r="Q73" s="298"/>
      <c r="R73" s="298"/>
      <c r="S73" s="298"/>
      <c r="T73" s="367"/>
      <c r="U73" s="355"/>
      <c r="V73" s="1172"/>
      <c r="W73" s="297"/>
      <c r="X73" s="297"/>
      <c r="Y73" s="298"/>
      <c r="Z73" s="298"/>
      <c r="AA73" s="325"/>
      <c r="AB73" s="297"/>
      <c r="AC73" s="375"/>
      <c r="AD73" s="355"/>
      <c r="AE73" s="376">
        <f t="shared" si="9"/>
        <v>0</v>
      </c>
      <c r="AF73" s="377"/>
      <c r="AG73" s="390"/>
      <c r="AH73" s="391">
        <f t="shared" si="7"/>
        <v>0</v>
      </c>
      <c r="AI73" s="412"/>
      <c r="AJ73" s="413">
        <f t="shared" si="8"/>
        <v>0</v>
      </c>
      <c r="AK73" s="414" t="s">
        <v>8</v>
      </c>
      <c r="AL73" s="397" t="s">
        <v>23</v>
      </c>
      <c r="AM73" s="415" t="s">
        <v>174</v>
      </c>
    </row>
    <row r="74" spans="1:39" s="283" customFormat="1" ht="20.25">
      <c r="A74" s="316" t="s">
        <v>120</v>
      </c>
      <c r="B74" s="323"/>
      <c r="C74" s="323"/>
      <c r="D74" s="324"/>
      <c r="E74" s="325"/>
      <c r="F74" s="297"/>
      <c r="G74" s="297"/>
      <c r="H74" s="297"/>
      <c r="I74" s="298"/>
      <c r="J74" s="298"/>
      <c r="K74" s="297"/>
      <c r="L74" s="355"/>
      <c r="M74" s="343"/>
      <c r="N74" s="298"/>
      <c r="O74" s="298"/>
      <c r="P74" s="298"/>
      <c r="Q74" s="298"/>
      <c r="R74" s="298"/>
      <c r="S74" s="298"/>
      <c r="T74" s="367"/>
      <c r="U74" s="355"/>
      <c r="V74" s="1172"/>
      <c r="W74" s="297"/>
      <c r="X74" s="297"/>
      <c r="Y74" s="298"/>
      <c r="Z74" s="298"/>
      <c r="AA74" s="325"/>
      <c r="AB74" s="297"/>
      <c r="AC74" s="375"/>
      <c r="AD74" s="355"/>
      <c r="AE74" s="376">
        <f t="shared" si="9"/>
        <v>0</v>
      </c>
      <c r="AF74" s="377"/>
      <c r="AG74" s="390"/>
      <c r="AH74" s="391">
        <f t="shared" si="7"/>
        <v>0</v>
      </c>
      <c r="AI74" s="412"/>
      <c r="AJ74" s="413">
        <f t="shared" si="8"/>
        <v>0</v>
      </c>
      <c r="AK74" s="414" t="s">
        <v>8</v>
      </c>
      <c r="AL74" s="397" t="s">
        <v>23</v>
      </c>
      <c r="AM74" s="415" t="s">
        <v>174</v>
      </c>
    </row>
    <row r="75" spans="1:39" s="283" customFormat="1" ht="20.25">
      <c r="A75" s="316" t="s">
        <v>120</v>
      </c>
      <c r="B75" s="323"/>
      <c r="C75" s="323"/>
      <c r="D75" s="324"/>
      <c r="E75" s="325"/>
      <c r="F75" s="297"/>
      <c r="G75" s="297"/>
      <c r="H75" s="297"/>
      <c r="I75" s="298"/>
      <c r="J75" s="298"/>
      <c r="K75" s="297"/>
      <c r="L75" s="355"/>
      <c r="M75" s="343"/>
      <c r="N75" s="298"/>
      <c r="O75" s="298"/>
      <c r="P75" s="298"/>
      <c r="Q75" s="298"/>
      <c r="R75" s="298"/>
      <c r="S75" s="298"/>
      <c r="T75" s="367"/>
      <c r="U75" s="355"/>
      <c r="V75" s="1172"/>
      <c r="W75" s="297"/>
      <c r="X75" s="297"/>
      <c r="Y75" s="298"/>
      <c r="Z75" s="298"/>
      <c r="AA75" s="325"/>
      <c r="AB75" s="297"/>
      <c r="AC75" s="375"/>
      <c r="AD75" s="355"/>
      <c r="AE75" s="376">
        <f t="shared" si="6"/>
        <v>0</v>
      </c>
      <c r="AF75" s="377"/>
      <c r="AG75" s="390"/>
      <c r="AH75" s="391">
        <f t="shared" si="7"/>
        <v>0</v>
      </c>
      <c r="AI75" s="412"/>
      <c r="AJ75" s="413">
        <f t="shared" si="8"/>
        <v>0</v>
      </c>
      <c r="AK75" s="414" t="s">
        <v>8</v>
      </c>
      <c r="AL75" s="397" t="s">
        <v>23</v>
      </c>
      <c r="AM75" s="415" t="s">
        <v>174</v>
      </c>
    </row>
    <row r="76" spans="1:39" s="284" customFormat="1" ht="18.75">
      <c r="A76" s="326" t="s">
        <v>177</v>
      </c>
      <c r="B76" s="327"/>
      <c r="C76" s="327"/>
      <c r="D76" s="328"/>
      <c r="E76" s="329">
        <f>SUM(E42:E75)</f>
        <v>0</v>
      </c>
      <c r="F76" s="329">
        <f t="shared" ref="F76:K76" si="10">SUM(F42:F75)</f>
        <v>0</v>
      </c>
      <c r="G76" s="329">
        <f t="shared" si="10"/>
        <v>0</v>
      </c>
      <c r="H76" s="329">
        <f t="shared" si="10"/>
        <v>0</v>
      </c>
      <c r="I76" s="329">
        <f t="shared" si="10"/>
        <v>0</v>
      </c>
      <c r="J76" s="329">
        <f t="shared" si="10"/>
        <v>0</v>
      </c>
      <c r="K76" s="329">
        <f t="shared" si="10"/>
        <v>0</v>
      </c>
      <c r="L76" s="357"/>
      <c r="M76" s="358">
        <f>SUM(M42:M75)</f>
        <v>0</v>
      </c>
      <c r="N76" s="358">
        <f t="shared" ref="N76:T76" si="11">SUM(N42:N75)</f>
        <v>0</v>
      </c>
      <c r="O76" s="358">
        <f t="shared" si="11"/>
        <v>0</v>
      </c>
      <c r="P76" s="358">
        <f t="shared" si="11"/>
        <v>0</v>
      </c>
      <c r="Q76" s="358">
        <f t="shared" si="11"/>
        <v>0</v>
      </c>
      <c r="R76" s="358">
        <f t="shared" si="11"/>
        <v>0</v>
      </c>
      <c r="S76" s="358">
        <f t="shared" si="11"/>
        <v>0</v>
      </c>
      <c r="T76" s="358">
        <f t="shared" si="11"/>
        <v>0</v>
      </c>
      <c r="U76" s="357"/>
      <c r="V76" s="416">
        <f>SUM(V42:V75)</f>
        <v>0</v>
      </c>
      <c r="W76" s="416">
        <f t="shared" ref="W76:AC76" si="12">SUM(W42:W75)</f>
        <v>0</v>
      </c>
      <c r="X76" s="416">
        <f t="shared" si="12"/>
        <v>0</v>
      </c>
      <c r="Y76" s="416">
        <f t="shared" si="12"/>
        <v>0</v>
      </c>
      <c r="Z76" s="416">
        <f t="shared" si="12"/>
        <v>0</v>
      </c>
      <c r="AA76" s="416">
        <f t="shared" si="12"/>
        <v>0</v>
      </c>
      <c r="AB76" s="416">
        <f t="shared" si="12"/>
        <v>0</v>
      </c>
      <c r="AC76" s="416">
        <f t="shared" si="12"/>
        <v>0</v>
      </c>
      <c r="AD76" s="357"/>
      <c r="AE76" s="382">
        <f>SUM(AE42:AE75)</f>
        <v>0</v>
      </c>
      <c r="AF76" s="382">
        <f t="shared" ref="AF76:AJ76" si="13">SUM(AF42:AF75)</f>
        <v>0</v>
      </c>
      <c r="AG76" s="382">
        <f t="shared" si="13"/>
        <v>0</v>
      </c>
      <c r="AH76" s="382">
        <f t="shared" si="13"/>
        <v>0</v>
      </c>
      <c r="AI76" s="382">
        <f t="shared" si="13"/>
        <v>0</v>
      </c>
      <c r="AJ76" s="382">
        <f t="shared" si="13"/>
        <v>0</v>
      </c>
      <c r="AK76" s="399">
        <f>'BIG CHAIR'!CL77</f>
        <v>14560</v>
      </c>
      <c r="AL76" s="400">
        <f>'Tea Table'!X85</f>
        <v>0</v>
      </c>
      <c r="AM76" s="401">
        <f>AH76+AK76+AL76</f>
        <v>14560</v>
      </c>
    </row>
    <row r="77" spans="1:39" s="284" customFormat="1" ht="19.5" thickBot="1">
      <c r="A77" s="306"/>
      <c r="B77" s="307"/>
      <c r="C77" s="307"/>
      <c r="D77" s="308"/>
      <c r="E77" s="309"/>
      <c r="F77" s="309"/>
      <c r="G77" s="309"/>
      <c r="H77" s="309"/>
      <c r="I77" s="309"/>
      <c r="J77" s="309"/>
      <c r="K77" s="309"/>
      <c r="L77" s="346"/>
      <c r="M77" s="347"/>
      <c r="N77" s="347"/>
      <c r="O77" s="347"/>
      <c r="P77" s="347"/>
      <c r="Q77" s="347"/>
      <c r="R77" s="347"/>
      <c r="S77" s="347"/>
      <c r="T77" s="347"/>
      <c r="U77" s="346"/>
      <c r="V77" s="347"/>
      <c r="W77" s="347"/>
      <c r="X77" s="347"/>
      <c r="Y77" s="347"/>
      <c r="Z77" s="347"/>
      <c r="AA77" s="347"/>
      <c r="AB77" s="347"/>
      <c r="AC77" s="347"/>
      <c r="AD77" s="346"/>
      <c r="AE77" s="347"/>
      <c r="AF77" s="347"/>
      <c r="AG77" s="347"/>
      <c r="AH77" s="347"/>
      <c r="AI77" s="347"/>
      <c r="AJ77" s="402"/>
      <c r="AK77" s="403"/>
      <c r="AL77" s="403"/>
      <c r="AM77" s="403"/>
    </row>
    <row r="78" spans="1:39" s="282" customFormat="1" ht="24" thickBot="1">
      <c r="A78" s="286" t="s">
        <v>122</v>
      </c>
      <c r="B78" s="287" t="s">
        <v>68</v>
      </c>
      <c r="C78" s="287" t="s">
        <v>69</v>
      </c>
      <c r="D78" s="288" t="s">
        <v>70</v>
      </c>
      <c r="E78" s="2703" t="s">
        <v>94</v>
      </c>
      <c r="F78" s="2701" t="s">
        <v>92</v>
      </c>
      <c r="G78" s="2701" t="s">
        <v>53</v>
      </c>
      <c r="H78" s="2701" t="s">
        <v>85</v>
      </c>
      <c r="I78" s="2701" t="s">
        <v>489</v>
      </c>
      <c r="J78" s="2701" t="s">
        <v>230</v>
      </c>
      <c r="K78" s="2701" t="s">
        <v>304</v>
      </c>
      <c r="L78" s="2699"/>
      <c r="M78" s="2703" t="s">
        <v>94</v>
      </c>
      <c r="N78" s="2701" t="s">
        <v>170</v>
      </c>
      <c r="O78" s="30" t="s">
        <v>528</v>
      </c>
      <c r="P78" s="2698" t="s">
        <v>576</v>
      </c>
      <c r="Q78" s="2701" t="s">
        <v>75</v>
      </c>
      <c r="R78" s="2701"/>
      <c r="S78" s="2701" t="s">
        <v>53</v>
      </c>
      <c r="T78" s="2700" t="s">
        <v>136</v>
      </c>
      <c r="U78" s="2699"/>
      <c r="V78" s="2701" t="s">
        <v>94</v>
      </c>
      <c r="W78" s="2701" t="s">
        <v>501</v>
      </c>
      <c r="X78" s="2701" t="s">
        <v>371</v>
      </c>
      <c r="Y78" s="2701"/>
      <c r="Z78" s="2701" t="s">
        <v>53</v>
      </c>
      <c r="AA78" s="2701"/>
      <c r="AB78" s="2704" t="s">
        <v>170</v>
      </c>
      <c r="AC78" s="2700" t="s">
        <v>136</v>
      </c>
      <c r="AD78" s="370"/>
      <c r="AE78" s="371" t="s">
        <v>172</v>
      </c>
      <c r="AF78" s="372" t="s">
        <v>80</v>
      </c>
      <c r="AG78" s="385"/>
      <c r="AH78" s="386" t="s">
        <v>106</v>
      </c>
      <c r="AI78" s="385" t="s">
        <v>173</v>
      </c>
      <c r="AJ78" s="371" t="s">
        <v>108</v>
      </c>
    </row>
    <row r="79" spans="1:39" s="234" customFormat="1" ht="21" thickBot="1">
      <c r="A79" s="316" t="s">
        <v>125</v>
      </c>
      <c r="B79" s="311"/>
      <c r="C79" s="311"/>
      <c r="D79" s="312"/>
      <c r="E79" s="313"/>
      <c r="F79" s="314"/>
      <c r="G79" s="314"/>
      <c r="H79" s="314"/>
      <c r="I79" s="315"/>
      <c r="J79" s="315"/>
      <c r="K79" s="314"/>
      <c r="L79" s="349"/>
      <c r="M79" s="350"/>
      <c r="N79" s="315"/>
      <c r="O79" s="315"/>
      <c r="P79" s="315"/>
      <c r="Q79" s="315"/>
      <c r="R79" s="315"/>
      <c r="S79" s="315"/>
      <c r="T79" s="477"/>
      <c r="U79" s="349"/>
      <c r="V79" s="350"/>
      <c r="W79" s="315"/>
      <c r="X79" s="315"/>
      <c r="Y79" s="315"/>
      <c r="Z79" s="315"/>
      <c r="AA79" s="315"/>
      <c r="AB79" s="315"/>
      <c r="AC79" s="378"/>
      <c r="AD79" s="349"/>
      <c r="AE79" s="379">
        <f t="shared" ref="AE79:AE93" si="14">SUM(E79:AC79)</f>
        <v>0</v>
      </c>
      <c r="AF79" s="379"/>
      <c r="AG79" s="404"/>
      <c r="AH79" s="405">
        <f>AE79+AF79</f>
        <v>0</v>
      </c>
      <c r="AI79" s="406"/>
      <c r="AJ79" s="407">
        <f>AH79+AI79</f>
        <v>0</v>
      </c>
    </row>
    <row r="80" spans="1:39" s="234" customFormat="1" ht="20.25">
      <c r="A80" s="316" t="s">
        <v>125</v>
      </c>
      <c r="B80" s="311"/>
      <c r="C80" s="317"/>
      <c r="D80" s="318"/>
      <c r="E80" s="319"/>
      <c r="F80" s="320"/>
      <c r="G80" s="320"/>
      <c r="H80" s="320"/>
      <c r="I80" s="321"/>
      <c r="J80" s="321"/>
      <c r="K80" s="320"/>
      <c r="L80" s="352"/>
      <c r="M80" s="353"/>
      <c r="N80" s="320"/>
      <c r="O80" s="320"/>
      <c r="P80" s="321"/>
      <c r="Q80" s="321"/>
      <c r="R80" s="321"/>
      <c r="S80" s="320"/>
      <c r="T80" s="351"/>
      <c r="U80" s="352"/>
      <c r="V80" s="319"/>
      <c r="W80" s="321"/>
      <c r="X80" s="321"/>
      <c r="Y80" s="321"/>
      <c r="Z80" s="321"/>
      <c r="AA80" s="321"/>
      <c r="AB80" s="321"/>
      <c r="AC80" s="380"/>
      <c r="AD80" s="352"/>
      <c r="AE80" s="381">
        <f t="shared" si="14"/>
        <v>0</v>
      </c>
      <c r="AF80" s="381"/>
      <c r="AG80" s="408"/>
      <c r="AH80" s="409">
        <f t="shared" ref="AH80:AH93" si="15">AE80+AF80</f>
        <v>0</v>
      </c>
      <c r="AI80" s="410"/>
      <c r="AJ80" s="411">
        <f>AH80+AI80</f>
        <v>0</v>
      </c>
    </row>
    <row r="81" spans="1:39" s="234" customFormat="1" ht="20.25">
      <c r="A81" s="316" t="s">
        <v>125</v>
      </c>
      <c r="B81" s="295"/>
      <c r="C81" s="295"/>
      <c r="D81" s="318"/>
      <c r="E81" s="319"/>
      <c r="F81" s="320"/>
      <c r="G81" s="320"/>
      <c r="H81" s="320"/>
      <c r="I81" s="321"/>
      <c r="J81" s="321"/>
      <c r="K81" s="320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14"/>
        <v>0</v>
      </c>
      <c r="AF81" s="381"/>
      <c r="AG81" s="408"/>
      <c r="AH81" s="409">
        <f t="shared" si="15"/>
        <v>0</v>
      </c>
      <c r="AI81" s="410"/>
      <c r="AJ81" s="411">
        <f>AH81+AI81</f>
        <v>0</v>
      </c>
    </row>
    <row r="82" spans="1:39" s="234" customFormat="1" ht="20.25">
      <c r="A82" s="316" t="s">
        <v>125</v>
      </c>
      <c r="B82" s="295"/>
      <c r="C82" s="295"/>
      <c r="D82" s="318"/>
      <c r="E82" s="319"/>
      <c r="F82" s="320"/>
      <c r="G82" s="320"/>
      <c r="H82" s="320"/>
      <c r="I82" s="321"/>
      <c r="J82" s="321"/>
      <c r="K82" s="320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14"/>
        <v>0</v>
      </c>
      <c r="AF82" s="381"/>
      <c r="AG82" s="408"/>
      <c r="AH82" s="409">
        <f t="shared" si="15"/>
        <v>0</v>
      </c>
      <c r="AI82" s="410"/>
      <c r="AJ82" s="411">
        <f>AH82+AI82</f>
        <v>0</v>
      </c>
    </row>
    <row r="83" spans="1:39" s="234" customFormat="1" ht="21" thickBot="1">
      <c r="A83" s="316" t="s">
        <v>125</v>
      </c>
      <c r="B83" s="295"/>
      <c r="C83" s="295"/>
      <c r="D83" s="318"/>
      <c r="E83" s="319"/>
      <c r="F83" s="320"/>
      <c r="G83" s="320"/>
      <c r="H83" s="320"/>
      <c r="I83" s="321"/>
      <c r="J83" s="321"/>
      <c r="K83" s="320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14"/>
        <v>0</v>
      </c>
      <c r="AF83" s="381"/>
      <c r="AG83" s="408"/>
      <c r="AH83" s="409">
        <f t="shared" si="15"/>
        <v>0</v>
      </c>
      <c r="AI83" s="410"/>
      <c r="AJ83" s="411">
        <f t="shared" ref="AJ83:AJ93" si="16">AH83+AI83</f>
        <v>0</v>
      </c>
    </row>
    <row r="84" spans="1:39" s="234" customFormat="1" ht="21" thickBot="1">
      <c r="A84" s="316" t="s">
        <v>125</v>
      </c>
      <c r="B84" s="311"/>
      <c r="C84" s="295"/>
      <c r="D84" s="318"/>
      <c r="E84" s="319"/>
      <c r="F84" s="320"/>
      <c r="G84" s="320"/>
      <c r="H84" s="320"/>
      <c r="I84" s="321"/>
      <c r="J84" s="321"/>
      <c r="K84" s="320"/>
      <c r="L84" s="352"/>
      <c r="M84" s="353"/>
      <c r="N84" s="321"/>
      <c r="O84" s="321"/>
      <c r="P84" s="321"/>
      <c r="Q84" s="321"/>
      <c r="R84" s="321"/>
      <c r="S84" s="321"/>
      <c r="T84" s="351"/>
      <c r="U84" s="352"/>
      <c r="V84" s="319"/>
      <c r="W84" s="320"/>
      <c r="X84" s="320"/>
      <c r="Y84" s="321"/>
      <c r="Z84" s="321"/>
      <c r="AA84" s="321"/>
      <c r="AB84" s="320"/>
      <c r="AC84" s="380"/>
      <c r="AD84" s="352"/>
      <c r="AE84" s="381">
        <f t="shared" si="14"/>
        <v>0</v>
      </c>
      <c r="AF84" s="381"/>
      <c r="AG84" s="408"/>
      <c r="AH84" s="409">
        <f t="shared" si="15"/>
        <v>0</v>
      </c>
      <c r="AI84" s="410"/>
      <c r="AJ84" s="411">
        <f t="shared" si="16"/>
        <v>0</v>
      </c>
    </row>
    <row r="85" spans="1:39" s="234" customFormat="1" ht="21" thickBot="1">
      <c r="A85" s="316" t="s">
        <v>125</v>
      </c>
      <c r="B85" s="311"/>
      <c r="C85" s="295"/>
      <c r="D85" s="318"/>
      <c r="E85" s="319"/>
      <c r="F85" s="320"/>
      <c r="G85" s="320"/>
      <c r="H85" s="320"/>
      <c r="I85" s="321"/>
      <c r="J85" s="321"/>
      <c r="K85" s="320"/>
      <c r="L85" s="352"/>
      <c r="M85" s="353"/>
      <c r="N85" s="321"/>
      <c r="O85" s="321"/>
      <c r="P85" s="321"/>
      <c r="Q85" s="321"/>
      <c r="R85" s="321"/>
      <c r="S85" s="321"/>
      <c r="T85" s="351"/>
      <c r="U85" s="352"/>
      <c r="V85" s="319"/>
      <c r="W85" s="320"/>
      <c r="X85" s="320"/>
      <c r="Y85" s="321"/>
      <c r="Z85" s="321"/>
      <c r="AA85" s="321"/>
      <c r="AB85" s="320"/>
      <c r="AC85" s="380"/>
      <c r="AD85" s="352"/>
      <c r="AE85" s="381">
        <f t="shared" si="14"/>
        <v>0</v>
      </c>
      <c r="AF85" s="381"/>
      <c r="AG85" s="408"/>
      <c r="AH85" s="409">
        <f t="shared" si="15"/>
        <v>0</v>
      </c>
      <c r="AI85" s="410"/>
      <c r="AJ85" s="411">
        <f t="shared" si="16"/>
        <v>0</v>
      </c>
    </row>
    <row r="86" spans="1:39" s="234" customFormat="1" ht="21" thickBot="1">
      <c r="A86" s="316" t="s">
        <v>125</v>
      </c>
      <c r="B86" s="311"/>
      <c r="C86" s="295"/>
      <c r="D86" s="318"/>
      <c r="E86" s="319"/>
      <c r="F86" s="320"/>
      <c r="G86" s="320"/>
      <c r="H86" s="320"/>
      <c r="I86" s="321"/>
      <c r="J86" s="321"/>
      <c r="K86" s="320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14"/>
        <v>0</v>
      </c>
      <c r="AF86" s="381"/>
      <c r="AG86" s="408"/>
      <c r="AH86" s="409">
        <f t="shared" si="15"/>
        <v>0</v>
      </c>
      <c r="AI86" s="410"/>
      <c r="AJ86" s="411">
        <f t="shared" si="16"/>
        <v>0</v>
      </c>
    </row>
    <row r="87" spans="1:39" s="234" customFormat="1" ht="21" thickBot="1">
      <c r="A87" s="316" t="s">
        <v>125</v>
      </c>
      <c r="B87" s="311"/>
      <c r="C87" s="295"/>
      <c r="D87" s="318"/>
      <c r="E87" s="319"/>
      <c r="F87" s="320"/>
      <c r="G87" s="320"/>
      <c r="H87" s="320"/>
      <c r="I87" s="321"/>
      <c r="J87" s="321"/>
      <c r="K87" s="320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14"/>
        <v>0</v>
      </c>
      <c r="AF87" s="381"/>
      <c r="AG87" s="408"/>
      <c r="AH87" s="409">
        <f t="shared" si="15"/>
        <v>0</v>
      </c>
      <c r="AI87" s="410"/>
      <c r="AJ87" s="411">
        <f t="shared" si="16"/>
        <v>0</v>
      </c>
    </row>
    <row r="88" spans="1:39" s="234" customFormat="1" ht="21" thickBot="1">
      <c r="A88" s="316" t="s">
        <v>125</v>
      </c>
      <c r="B88" s="311"/>
      <c r="C88" s="295"/>
      <c r="D88" s="318"/>
      <c r="E88" s="319"/>
      <c r="F88" s="320"/>
      <c r="G88" s="320"/>
      <c r="H88" s="320"/>
      <c r="I88" s="321"/>
      <c r="J88" s="321"/>
      <c r="K88" s="320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si="14"/>
        <v>0</v>
      </c>
      <c r="AF88" s="381"/>
      <c r="AG88" s="408"/>
      <c r="AH88" s="409">
        <f t="shared" si="15"/>
        <v>0</v>
      </c>
      <c r="AI88" s="410"/>
      <c r="AJ88" s="411">
        <f t="shared" si="16"/>
        <v>0</v>
      </c>
    </row>
    <row r="89" spans="1:39" s="234" customFormat="1" ht="20.25">
      <c r="A89" s="316" t="s">
        <v>125</v>
      </c>
      <c r="B89" s="311"/>
      <c r="C89" s="295"/>
      <c r="D89" s="318"/>
      <c r="E89" s="319"/>
      <c r="F89" s="320"/>
      <c r="G89" s="320"/>
      <c r="H89" s="320"/>
      <c r="I89" s="321"/>
      <c r="J89" s="321"/>
      <c r="K89" s="320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14"/>
        <v>0</v>
      </c>
      <c r="AF89" s="381"/>
      <c r="AG89" s="408"/>
      <c r="AH89" s="409">
        <f t="shared" si="15"/>
        <v>0</v>
      </c>
      <c r="AI89" s="410"/>
      <c r="AJ89" s="411">
        <f t="shared" si="16"/>
        <v>0</v>
      </c>
    </row>
    <row r="90" spans="1:39" s="234" customFormat="1" ht="20.25">
      <c r="A90" s="316" t="s">
        <v>125</v>
      </c>
      <c r="B90" s="295"/>
      <c r="C90" s="295"/>
      <c r="D90" s="318"/>
      <c r="E90" s="319"/>
      <c r="F90" s="320"/>
      <c r="G90" s="320"/>
      <c r="H90" s="320"/>
      <c r="I90" s="321"/>
      <c r="J90" s="321"/>
      <c r="K90" s="320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1168"/>
      <c r="AC90" s="380"/>
      <c r="AD90" s="352"/>
      <c r="AE90" s="381">
        <f t="shared" ref="AE90:AE92" si="17">SUM(E90:AC90)</f>
        <v>0</v>
      </c>
      <c r="AF90" s="381"/>
      <c r="AG90" s="408"/>
      <c r="AH90" s="409">
        <f t="shared" si="15"/>
        <v>0</v>
      </c>
      <c r="AI90" s="410"/>
      <c r="AJ90" s="411">
        <f t="shared" si="16"/>
        <v>0</v>
      </c>
    </row>
    <row r="91" spans="1:39" s="234" customFormat="1" ht="20.25">
      <c r="A91" s="316" t="s">
        <v>125</v>
      </c>
      <c r="B91" s="295"/>
      <c r="C91" s="295"/>
      <c r="D91" s="318"/>
      <c r="E91" s="319"/>
      <c r="F91" s="320"/>
      <c r="G91" s="320"/>
      <c r="H91" s="320"/>
      <c r="I91" s="321"/>
      <c r="J91" s="321"/>
      <c r="K91" s="320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829"/>
      <c r="W91" s="320"/>
      <c r="X91" s="741"/>
      <c r="Y91" s="321"/>
      <c r="Z91" s="321"/>
      <c r="AA91" s="321"/>
      <c r="AB91" s="320"/>
      <c r="AC91" s="380"/>
      <c r="AD91" s="352"/>
      <c r="AE91" s="381">
        <f t="shared" si="17"/>
        <v>0</v>
      </c>
      <c r="AF91" s="381"/>
      <c r="AG91" s="408"/>
      <c r="AH91" s="409">
        <f t="shared" si="15"/>
        <v>0</v>
      </c>
      <c r="AI91" s="410"/>
      <c r="AJ91" s="411">
        <f t="shared" si="16"/>
        <v>0</v>
      </c>
    </row>
    <row r="92" spans="1:39" s="234" customFormat="1" ht="21" thickBot="1">
      <c r="A92" s="316" t="s">
        <v>125</v>
      </c>
      <c r="B92" s="295"/>
      <c r="C92" s="295"/>
      <c r="D92" s="318"/>
      <c r="E92" s="319"/>
      <c r="F92" s="320"/>
      <c r="G92" s="320"/>
      <c r="H92" s="320"/>
      <c r="I92" s="321"/>
      <c r="J92" s="321"/>
      <c r="K92" s="320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17"/>
        <v>0</v>
      </c>
      <c r="AF92" s="381"/>
      <c r="AG92" s="408"/>
      <c r="AH92" s="409">
        <f t="shared" si="15"/>
        <v>0</v>
      </c>
      <c r="AI92" s="410"/>
      <c r="AJ92" s="411">
        <f t="shared" si="16"/>
        <v>0</v>
      </c>
    </row>
    <row r="93" spans="1:39" s="283" customFormat="1" ht="21" thickBot="1">
      <c r="A93" s="316" t="s">
        <v>125</v>
      </c>
      <c r="B93" s="323"/>
      <c r="C93" s="323"/>
      <c r="D93" s="324"/>
      <c r="E93" s="325"/>
      <c r="F93" s="297"/>
      <c r="G93" s="297"/>
      <c r="H93" s="297"/>
      <c r="I93" s="298"/>
      <c r="J93" s="298"/>
      <c r="K93" s="297"/>
      <c r="L93" s="355"/>
      <c r="M93" s="343"/>
      <c r="N93" s="298"/>
      <c r="O93" s="298"/>
      <c r="P93" s="298"/>
      <c r="Q93" s="298"/>
      <c r="R93" s="298"/>
      <c r="S93" s="298"/>
      <c r="T93" s="367"/>
      <c r="U93" s="355"/>
      <c r="V93" s="325"/>
      <c r="W93" s="297"/>
      <c r="X93" s="297"/>
      <c r="Y93" s="298"/>
      <c r="Z93" s="298"/>
      <c r="AA93" s="298"/>
      <c r="AB93" s="297"/>
      <c r="AC93" s="375"/>
      <c r="AD93" s="355"/>
      <c r="AE93" s="376">
        <f t="shared" si="14"/>
        <v>0</v>
      </c>
      <c r="AF93" s="377"/>
      <c r="AG93" s="390"/>
      <c r="AH93" s="391">
        <f t="shared" si="15"/>
        <v>0</v>
      </c>
      <c r="AI93" s="412"/>
      <c r="AJ93" s="413">
        <f t="shared" si="16"/>
        <v>0</v>
      </c>
      <c r="AK93" s="414" t="s">
        <v>8</v>
      </c>
      <c r="AL93" s="397" t="s">
        <v>23</v>
      </c>
      <c r="AM93" s="415" t="s">
        <v>174</v>
      </c>
    </row>
    <row r="94" spans="1:39" s="284" customFormat="1" ht="19.5" thickBot="1">
      <c r="A94" s="326" t="s">
        <v>126</v>
      </c>
      <c r="B94" s="327"/>
      <c r="C94" s="327"/>
      <c r="D94" s="328"/>
      <c r="E94" s="329">
        <f>SUM(E79:E93)</f>
        <v>0</v>
      </c>
      <c r="F94" s="330">
        <f t="shared" ref="F94:K94" si="18">SUM(F79:F93)</f>
        <v>0</v>
      </c>
      <c r="G94" s="330">
        <f t="shared" si="18"/>
        <v>0</v>
      </c>
      <c r="H94" s="330">
        <f t="shared" si="18"/>
        <v>0</v>
      </c>
      <c r="I94" s="330">
        <f t="shared" si="18"/>
        <v>0</v>
      </c>
      <c r="J94" s="330">
        <f t="shared" si="18"/>
        <v>0</v>
      </c>
      <c r="K94" s="330">
        <f t="shared" si="18"/>
        <v>0</v>
      </c>
      <c r="L94" s="357"/>
      <c r="M94" s="358">
        <f>SUM(M79:M93)</f>
        <v>0</v>
      </c>
      <c r="N94" s="359">
        <f>SUM(N79:N93)</f>
        <v>0</v>
      </c>
      <c r="O94" s="359">
        <f>SUM(O79:O93)</f>
        <v>0</v>
      </c>
      <c r="P94" s="359">
        <f>SUM(P79:P93)</f>
        <v>0</v>
      </c>
      <c r="Q94" s="359">
        <f t="shared" ref="Q94:T94" si="19">SUM(Q79:Q93)</f>
        <v>0</v>
      </c>
      <c r="R94" s="359">
        <f t="shared" si="19"/>
        <v>0</v>
      </c>
      <c r="S94" s="359">
        <f t="shared" si="19"/>
        <v>0</v>
      </c>
      <c r="T94" s="369">
        <f t="shared" si="19"/>
        <v>0</v>
      </c>
      <c r="U94" s="357"/>
      <c r="V94" s="358">
        <f>SUM(V79:V93)</f>
        <v>0</v>
      </c>
      <c r="W94" s="359">
        <f t="shared" ref="W94:AC94" si="20">SUM(W79:W93)</f>
        <v>0</v>
      </c>
      <c r="X94" s="359">
        <f t="shared" si="20"/>
        <v>0</v>
      </c>
      <c r="Y94" s="359">
        <f t="shared" si="20"/>
        <v>0</v>
      </c>
      <c r="Z94" s="359">
        <f t="shared" si="20"/>
        <v>0</v>
      </c>
      <c r="AA94" s="359">
        <f t="shared" si="20"/>
        <v>0</v>
      </c>
      <c r="AB94" s="359">
        <f t="shared" si="20"/>
        <v>0</v>
      </c>
      <c r="AC94" s="369">
        <f t="shared" si="20"/>
        <v>0</v>
      </c>
      <c r="AD94" s="357"/>
      <c r="AE94" s="382">
        <f t="shared" ref="AE94:AJ94" si="21">SUM(AE79:AE93)</f>
        <v>0</v>
      </c>
      <c r="AF94" s="382">
        <f t="shared" si="21"/>
        <v>0</v>
      </c>
      <c r="AG94" s="416">
        <f t="shared" si="21"/>
        <v>0</v>
      </c>
      <c r="AH94" s="417">
        <f t="shared" si="21"/>
        <v>0</v>
      </c>
      <c r="AI94" s="382">
        <f t="shared" si="21"/>
        <v>0</v>
      </c>
      <c r="AJ94" s="418">
        <f t="shared" si="21"/>
        <v>0</v>
      </c>
      <c r="AK94" s="399">
        <f>'BIG CHAIR'!CL91</f>
        <v>0</v>
      </c>
      <c r="AL94" s="400">
        <f>'Tea Table'!X181</f>
        <v>0</v>
      </c>
      <c r="AM94" s="401">
        <f>AH94+AK94+AL94</f>
        <v>0</v>
      </c>
    </row>
    <row r="95" spans="1:39" ht="24" thickBot="1">
      <c r="A95" s="721" t="s">
        <v>127</v>
      </c>
      <c r="B95" s="722" t="s">
        <v>68</v>
      </c>
      <c r="C95" s="287" t="s">
        <v>69</v>
      </c>
      <c r="D95" s="288" t="s">
        <v>70</v>
      </c>
      <c r="E95" s="2703" t="s">
        <v>94</v>
      </c>
      <c r="F95" s="2701"/>
      <c r="G95" s="2701" t="s">
        <v>53</v>
      </c>
      <c r="H95" s="2701"/>
      <c r="I95" s="2701" t="s">
        <v>75</v>
      </c>
      <c r="J95" s="2701"/>
      <c r="K95" s="2701"/>
      <c r="L95" s="2699"/>
      <c r="M95" s="2703" t="s">
        <v>94</v>
      </c>
      <c r="N95" s="2701" t="s">
        <v>170</v>
      </c>
      <c r="O95" s="30" t="s">
        <v>528</v>
      </c>
      <c r="P95" s="2698" t="s">
        <v>576</v>
      </c>
      <c r="Q95" s="2701" t="s">
        <v>75</v>
      </c>
      <c r="R95" s="2701"/>
      <c r="S95" s="2701" t="s">
        <v>53</v>
      </c>
      <c r="T95" s="2700" t="s">
        <v>136</v>
      </c>
      <c r="U95" s="2699"/>
      <c r="V95" s="2701" t="s">
        <v>94</v>
      </c>
      <c r="W95" s="2701"/>
      <c r="X95" s="2701" t="s">
        <v>371</v>
      </c>
      <c r="Y95" s="2701"/>
      <c r="Z95" s="2701" t="s">
        <v>53</v>
      </c>
      <c r="AA95" s="2701"/>
      <c r="AB95" s="2704" t="s">
        <v>170</v>
      </c>
      <c r="AC95" s="2700" t="s">
        <v>136</v>
      </c>
      <c r="AD95" s="370"/>
      <c r="AE95" s="371" t="s">
        <v>172</v>
      </c>
      <c r="AF95" s="372" t="s">
        <v>80</v>
      </c>
      <c r="AG95" s="385"/>
      <c r="AH95" s="386" t="s">
        <v>106</v>
      </c>
      <c r="AI95" s="385" t="s">
        <v>173</v>
      </c>
      <c r="AJ95" s="371" t="s">
        <v>108</v>
      </c>
      <c r="AK95" s="282"/>
      <c r="AL95" s="282"/>
      <c r="AM95" s="282"/>
    </row>
    <row r="96" spans="1:39" ht="20.25">
      <c r="A96" s="792" t="s">
        <v>128</v>
      </c>
      <c r="B96" s="311"/>
      <c r="C96" s="311"/>
      <c r="D96" s="312">
        <v>46116</v>
      </c>
      <c r="E96" s="313"/>
      <c r="F96" s="314"/>
      <c r="G96" s="314"/>
      <c r="H96" s="314"/>
      <c r="I96" s="315"/>
      <c r="J96" s="315"/>
      <c r="K96" s="314"/>
      <c r="L96" s="349"/>
      <c r="M96" s="350"/>
      <c r="N96" s="315"/>
      <c r="O96" s="315"/>
      <c r="P96" s="315"/>
      <c r="Q96" s="315"/>
      <c r="R96" s="315"/>
      <c r="S96" s="315"/>
      <c r="T96" s="348"/>
      <c r="U96" s="349"/>
      <c r="V96" s="350"/>
      <c r="W96" s="315"/>
      <c r="X96" s="315"/>
      <c r="Y96" s="315"/>
      <c r="Z96" s="315"/>
      <c r="AA96" s="315"/>
      <c r="AB96" s="315"/>
      <c r="AC96" s="378">
        <f>20*16+25*16</f>
        <v>720</v>
      </c>
      <c r="AD96" s="349"/>
      <c r="AE96" s="379">
        <f t="shared" ref="AE96:AE118" si="22">SUM(E96:AC96)</f>
        <v>720</v>
      </c>
      <c r="AF96" s="379">
        <v>5</v>
      </c>
      <c r="AG96" s="404"/>
      <c r="AH96" s="405">
        <f>AE96+AF96</f>
        <v>725</v>
      </c>
      <c r="AI96" s="406">
        <f>5+3</f>
        <v>8</v>
      </c>
      <c r="AJ96" s="407">
        <f>AH96+AI96</f>
        <v>733</v>
      </c>
      <c r="AK96" s="234"/>
      <c r="AL96" s="234"/>
      <c r="AM96" s="234"/>
    </row>
    <row r="97" spans="1:39" ht="20.25">
      <c r="A97" s="424" t="s">
        <v>128</v>
      </c>
      <c r="B97" s="317"/>
      <c r="C97" s="317"/>
      <c r="D97" s="318">
        <v>46117</v>
      </c>
      <c r="E97" s="319"/>
      <c r="F97" s="320"/>
      <c r="G97" s="320"/>
      <c r="H97" s="320"/>
      <c r="I97" s="321"/>
      <c r="J97" s="321"/>
      <c r="K97" s="320"/>
      <c r="L97" s="352"/>
      <c r="M97" s="353"/>
      <c r="N97" s="320"/>
      <c r="O97" s="320"/>
      <c r="P97" s="321"/>
      <c r="Q97" s="321"/>
      <c r="R97" s="321"/>
      <c r="S97" s="320"/>
      <c r="T97" s="351">
        <f>21*16+31*16</f>
        <v>832</v>
      </c>
      <c r="U97" s="352"/>
      <c r="V97" s="353"/>
      <c r="W97" s="321"/>
      <c r="X97" s="321"/>
      <c r="Y97" s="321"/>
      <c r="Z97" s="321"/>
      <c r="AA97" s="321"/>
      <c r="AB97" s="321"/>
      <c r="AC97" s="380">
        <f>8*16</f>
        <v>128</v>
      </c>
      <c r="AD97" s="352"/>
      <c r="AE97" s="381">
        <f t="shared" si="22"/>
        <v>960</v>
      </c>
      <c r="AF97" s="381">
        <f>1+5</f>
        <v>6</v>
      </c>
      <c r="AG97" s="408"/>
      <c r="AH97" s="409">
        <f t="shared" ref="AH97:AH118" si="23">AE97+AF97</f>
        <v>966</v>
      </c>
      <c r="AI97" s="410">
        <f>7+6</f>
        <v>13</v>
      </c>
      <c r="AJ97" s="411">
        <f>AH97+AI97</f>
        <v>979</v>
      </c>
      <c r="AK97" s="234"/>
      <c r="AL97" s="234"/>
      <c r="AM97" s="234"/>
    </row>
    <row r="98" spans="1:39" ht="20.25">
      <c r="A98" s="424" t="s">
        <v>128</v>
      </c>
      <c r="B98" s="710"/>
      <c r="C98" s="295"/>
      <c r="D98" s="318">
        <v>46118</v>
      </c>
      <c r="E98" s="319"/>
      <c r="F98" s="320"/>
      <c r="G98" s="320"/>
      <c r="H98" s="320"/>
      <c r="I98" s="321"/>
      <c r="J98" s="321"/>
      <c r="K98" s="320"/>
      <c r="L98" s="352"/>
      <c r="M98" s="353"/>
      <c r="N98" s="321">
        <f>23*16+34*16</f>
        <v>912</v>
      </c>
      <c r="O98" s="321"/>
      <c r="P98" s="321"/>
      <c r="Q98" s="321"/>
      <c r="R98" s="321"/>
      <c r="S98" s="321"/>
      <c r="T98" s="351">
        <f>5*16</f>
        <v>80</v>
      </c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22"/>
        <v>992</v>
      </c>
      <c r="AF98" s="381">
        <v>2</v>
      </c>
      <c r="AG98" s="408"/>
      <c r="AH98" s="409">
        <f t="shared" si="23"/>
        <v>994</v>
      </c>
      <c r="AI98" s="410">
        <f>3+4</f>
        <v>7</v>
      </c>
      <c r="AJ98" s="411">
        <f>AH98+AI98</f>
        <v>1001</v>
      </c>
      <c r="AK98" s="234"/>
      <c r="AL98" s="234"/>
      <c r="AM98" s="234"/>
    </row>
    <row r="99" spans="1:39" ht="20.25">
      <c r="A99" s="424" t="s">
        <v>128</v>
      </c>
      <c r="B99" s="710"/>
      <c r="C99" s="295"/>
      <c r="D99" s="318">
        <v>46119</v>
      </c>
      <c r="E99" s="319"/>
      <c r="F99" s="320"/>
      <c r="G99" s="320"/>
      <c r="H99" s="320"/>
      <c r="I99" s="321"/>
      <c r="J99" s="321"/>
      <c r="K99" s="320"/>
      <c r="L99" s="352"/>
      <c r="M99" s="353"/>
      <c r="N99" s="321">
        <f>9*16</f>
        <v>144</v>
      </c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22"/>
        <v>144</v>
      </c>
      <c r="AF99" s="381"/>
      <c r="AG99" s="408"/>
      <c r="AH99" s="409">
        <f t="shared" si="23"/>
        <v>144</v>
      </c>
      <c r="AI99" s="410"/>
      <c r="AJ99" s="411">
        <f>AH99+AI99</f>
        <v>144</v>
      </c>
      <c r="AK99" s="234"/>
      <c r="AL99" s="234"/>
      <c r="AM99" s="234"/>
    </row>
    <row r="100" spans="1:39" ht="20.25">
      <c r="A100" s="424" t="s">
        <v>128</v>
      </c>
      <c r="B100" s="710"/>
      <c r="C100" s="295"/>
      <c r="D100" s="318">
        <v>46126</v>
      </c>
      <c r="E100" s="319"/>
      <c r="F100" s="320"/>
      <c r="G100" s="320"/>
      <c r="H100" s="320"/>
      <c r="I100" s="321"/>
      <c r="J100" s="321"/>
      <c r="K100" s="320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>
        <f>23*16</f>
        <v>368</v>
      </c>
      <c r="X100" s="320"/>
      <c r="Y100" s="321"/>
      <c r="Z100" s="321"/>
      <c r="AA100" s="321"/>
      <c r="AB100" s="320"/>
      <c r="AC100" s="380"/>
      <c r="AD100" s="352"/>
      <c r="AE100" s="381">
        <f t="shared" si="22"/>
        <v>368</v>
      </c>
      <c r="AF100" s="381"/>
      <c r="AG100" s="408"/>
      <c r="AH100" s="409">
        <f t="shared" si="23"/>
        <v>368</v>
      </c>
      <c r="AI100" s="410">
        <v>6</v>
      </c>
      <c r="AJ100" s="411">
        <f t="shared" ref="AJ100:AJ118" si="24">AH100+AI100</f>
        <v>374</v>
      </c>
      <c r="AK100" s="234"/>
      <c r="AL100" s="234"/>
      <c r="AM100" s="234"/>
    </row>
    <row r="101" spans="1:39" ht="20.25">
      <c r="A101" s="424" t="s">
        <v>128</v>
      </c>
      <c r="B101" s="295"/>
      <c r="C101" s="295"/>
      <c r="D101" s="318">
        <v>46127</v>
      </c>
      <c r="E101" s="319"/>
      <c r="F101" s="320"/>
      <c r="G101" s="320"/>
      <c r="H101" s="320"/>
      <c r="I101" s="321"/>
      <c r="J101" s="321"/>
      <c r="K101" s="320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>
        <f>24*16</f>
        <v>384</v>
      </c>
      <c r="X101" s="320"/>
      <c r="Y101" s="321"/>
      <c r="Z101" s="321"/>
      <c r="AA101" s="321"/>
      <c r="AB101" s="320"/>
      <c r="AC101" s="380"/>
      <c r="AD101" s="352"/>
      <c r="AE101" s="381">
        <f t="shared" si="22"/>
        <v>384</v>
      </c>
      <c r="AF101" s="381"/>
      <c r="AG101" s="408"/>
      <c r="AH101" s="409">
        <f t="shared" si="23"/>
        <v>384</v>
      </c>
      <c r="AI101" s="410">
        <v>2</v>
      </c>
      <c r="AJ101" s="411">
        <f t="shared" si="24"/>
        <v>386</v>
      </c>
      <c r="AK101" s="234"/>
      <c r="AL101" s="234"/>
      <c r="AM101" s="234"/>
    </row>
    <row r="102" spans="1:39" ht="20.25">
      <c r="A102" s="424" t="s">
        <v>128</v>
      </c>
      <c r="B102" s="295"/>
      <c r="C102" s="295"/>
      <c r="D102" s="318">
        <v>46128</v>
      </c>
      <c r="E102" s="319"/>
      <c r="F102" s="320"/>
      <c r="G102" s="320"/>
      <c r="H102" s="320"/>
      <c r="I102" s="321"/>
      <c r="J102" s="321"/>
      <c r="K102" s="320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>
        <f>3*16</f>
        <v>48</v>
      </c>
      <c r="W102" s="320">
        <f>8*16</f>
        <v>128</v>
      </c>
      <c r="X102" s="320"/>
      <c r="Y102" s="321"/>
      <c r="Z102" s="321">
        <f>21*16+16*16</f>
        <v>592</v>
      </c>
      <c r="AA102" s="321"/>
      <c r="AB102" s="320"/>
      <c r="AC102" s="380"/>
      <c r="AD102" s="352"/>
      <c r="AE102" s="381">
        <f t="shared" si="22"/>
        <v>768</v>
      </c>
      <c r="AF102" s="381">
        <v>7</v>
      </c>
      <c r="AG102" s="408"/>
      <c r="AH102" s="409">
        <f t="shared" si="23"/>
        <v>775</v>
      </c>
      <c r="AI102" s="410">
        <f>4+4</f>
        <v>8</v>
      </c>
      <c r="AJ102" s="411">
        <f t="shared" si="24"/>
        <v>783</v>
      </c>
      <c r="AK102" s="234"/>
      <c r="AL102" s="234"/>
      <c r="AM102" s="234"/>
    </row>
    <row r="103" spans="1:39" ht="20.25">
      <c r="A103" s="424" t="s">
        <v>128</v>
      </c>
      <c r="B103" s="295"/>
      <c r="C103" s="295"/>
      <c r="D103" s="318">
        <v>46129</v>
      </c>
      <c r="E103" s="319"/>
      <c r="F103" s="320"/>
      <c r="G103" s="320"/>
      <c r="H103" s="320"/>
      <c r="I103" s="321"/>
      <c r="J103" s="321"/>
      <c r="K103" s="320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>
        <f>31*16+7*16</f>
        <v>608</v>
      </c>
      <c r="W103" s="320"/>
      <c r="X103" s="320"/>
      <c r="Y103" s="321"/>
      <c r="Z103" s="321">
        <f>23*16</f>
        <v>368</v>
      </c>
      <c r="AA103" s="321"/>
      <c r="AB103" s="320"/>
      <c r="AC103" s="380"/>
      <c r="AD103" s="352"/>
      <c r="AE103" s="381">
        <f t="shared" si="22"/>
        <v>976</v>
      </c>
      <c r="AF103" s="381">
        <f>3+5</f>
        <v>8</v>
      </c>
      <c r="AG103" s="408"/>
      <c r="AH103" s="409">
        <f t="shared" si="23"/>
        <v>984</v>
      </c>
      <c r="AI103" s="410">
        <f>5+1+3</f>
        <v>9</v>
      </c>
      <c r="AJ103" s="411">
        <f t="shared" si="24"/>
        <v>993</v>
      </c>
      <c r="AK103" s="234"/>
      <c r="AL103" s="234"/>
      <c r="AM103" s="234"/>
    </row>
    <row r="104" spans="1:39" ht="20.25">
      <c r="A104" s="424" t="s">
        <v>128</v>
      </c>
      <c r="B104" s="295"/>
      <c r="C104" s="295"/>
      <c r="D104" s="318">
        <v>46130</v>
      </c>
      <c r="E104" s="319"/>
      <c r="F104" s="320"/>
      <c r="G104" s="320"/>
      <c r="H104" s="320"/>
      <c r="I104" s="321"/>
      <c r="J104" s="321"/>
      <c r="K104" s="320"/>
      <c r="L104" s="352"/>
      <c r="M104" s="353"/>
      <c r="N104" s="321"/>
      <c r="O104" s="321"/>
      <c r="P104" s="321"/>
      <c r="Q104" s="321"/>
      <c r="R104" s="321"/>
      <c r="S104" s="321">
        <f>4*16</f>
        <v>64</v>
      </c>
      <c r="T104" s="351"/>
      <c r="U104" s="352"/>
      <c r="V104" s="319"/>
      <c r="W104" s="320"/>
      <c r="X104" s="320"/>
      <c r="Y104" s="321"/>
      <c r="Z104" s="321">
        <f>32*16</f>
        <v>512</v>
      </c>
      <c r="AA104" s="321"/>
      <c r="AB104" s="320"/>
      <c r="AC104" s="380"/>
      <c r="AD104" s="352"/>
      <c r="AE104" s="381">
        <f t="shared" si="22"/>
        <v>576</v>
      </c>
      <c r="AF104" s="381"/>
      <c r="AG104" s="408"/>
      <c r="AH104" s="409">
        <f t="shared" si="23"/>
        <v>576</v>
      </c>
      <c r="AI104" s="410">
        <f>4+1</f>
        <v>5</v>
      </c>
      <c r="AJ104" s="411">
        <f t="shared" si="24"/>
        <v>581</v>
      </c>
      <c r="AK104" s="234"/>
      <c r="AL104" s="234"/>
      <c r="AM104" s="234"/>
    </row>
    <row r="105" spans="1:39" ht="20.25">
      <c r="A105" s="424" t="s">
        <v>128</v>
      </c>
      <c r="B105" s="295"/>
      <c r="C105" s="295"/>
      <c r="D105" s="318">
        <v>46131</v>
      </c>
      <c r="E105" s="319"/>
      <c r="F105" s="320"/>
      <c r="G105" s="320"/>
      <c r="H105" s="320"/>
      <c r="I105" s="321"/>
      <c r="J105" s="321"/>
      <c r="K105" s="320"/>
      <c r="L105" s="352"/>
      <c r="M105" s="353"/>
      <c r="N105" s="321"/>
      <c r="O105" s="321"/>
      <c r="P105" s="321"/>
      <c r="Q105" s="321"/>
      <c r="R105" s="321"/>
      <c r="S105" s="321">
        <f>31*16</f>
        <v>496</v>
      </c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22"/>
        <v>496</v>
      </c>
      <c r="AF105" s="381"/>
      <c r="AG105" s="408"/>
      <c r="AH105" s="409">
        <f t="shared" si="23"/>
        <v>496</v>
      </c>
      <c r="AI105" s="410">
        <v>4</v>
      </c>
      <c r="AJ105" s="411">
        <f t="shared" si="24"/>
        <v>500</v>
      </c>
      <c r="AK105" s="234"/>
      <c r="AL105" s="234"/>
      <c r="AM105" s="234"/>
    </row>
    <row r="106" spans="1:39" ht="20.25">
      <c r="A106" s="424" t="s">
        <v>128</v>
      </c>
      <c r="B106" s="295"/>
      <c r="C106" s="295"/>
      <c r="D106" s="318">
        <v>46132</v>
      </c>
      <c r="E106" s="319"/>
      <c r="F106" s="320"/>
      <c r="G106" s="320"/>
      <c r="H106" s="320"/>
      <c r="I106" s="321"/>
      <c r="J106" s="321"/>
      <c r="K106" s="320"/>
      <c r="L106" s="352"/>
      <c r="M106" s="353"/>
      <c r="N106" s="321">
        <f>17*16</f>
        <v>272</v>
      </c>
      <c r="O106" s="321"/>
      <c r="P106" s="321"/>
      <c r="Q106" s="321"/>
      <c r="R106" s="321"/>
      <c r="S106" s="321">
        <f>12*16</f>
        <v>192</v>
      </c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22"/>
        <v>464</v>
      </c>
      <c r="AF106" s="381"/>
      <c r="AG106" s="408"/>
      <c r="AH106" s="409">
        <f t="shared" si="23"/>
        <v>464</v>
      </c>
      <c r="AI106" s="410">
        <f>5+9</f>
        <v>14</v>
      </c>
      <c r="AJ106" s="411">
        <f t="shared" si="24"/>
        <v>478</v>
      </c>
      <c r="AK106" s="234"/>
      <c r="AL106" s="234"/>
      <c r="AM106" s="234"/>
    </row>
    <row r="107" spans="1:39" ht="20.25">
      <c r="A107" s="424" t="s">
        <v>128</v>
      </c>
      <c r="B107" s="295"/>
      <c r="C107" s="295"/>
      <c r="D107" s="318">
        <v>46133</v>
      </c>
      <c r="E107" s="319"/>
      <c r="F107" s="320"/>
      <c r="G107" s="320"/>
      <c r="H107" s="320"/>
      <c r="I107" s="321"/>
      <c r="J107" s="321"/>
      <c r="K107" s="320"/>
      <c r="L107" s="352"/>
      <c r="M107" s="353"/>
      <c r="N107" s="321">
        <f>34*16+12*16</f>
        <v>736</v>
      </c>
      <c r="O107" s="321"/>
      <c r="P107" s="321"/>
      <c r="Q107" s="321"/>
      <c r="R107" s="321"/>
      <c r="S107" s="321"/>
      <c r="T107" s="351">
        <f>14*16</f>
        <v>224</v>
      </c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ref="AE107:AE117" si="25">SUM(E107:AC107)</f>
        <v>960</v>
      </c>
      <c r="AF107" s="381">
        <v>7</v>
      </c>
      <c r="AG107" s="408"/>
      <c r="AH107" s="409">
        <f t="shared" ref="AH107:AH117" si="26">AE107+AF107</f>
        <v>967</v>
      </c>
      <c r="AI107" s="410">
        <f>9+4</f>
        <v>13</v>
      </c>
      <c r="AJ107" s="411">
        <f t="shared" ref="AJ107:AJ117" si="27">AH107+AI107</f>
        <v>980</v>
      </c>
      <c r="AK107" s="234"/>
      <c r="AL107" s="234"/>
      <c r="AM107" s="234"/>
    </row>
    <row r="108" spans="1:39" ht="21" thickBot="1">
      <c r="A108" s="424" t="s">
        <v>128</v>
      </c>
      <c r="B108" s="295"/>
      <c r="C108" s="295"/>
      <c r="D108" s="318">
        <v>46134</v>
      </c>
      <c r="E108" s="319"/>
      <c r="F108" s="320"/>
      <c r="G108" s="320"/>
      <c r="H108" s="320"/>
      <c r="I108" s="321"/>
      <c r="J108" s="321"/>
      <c r="K108" s="320"/>
      <c r="L108" s="352"/>
      <c r="M108" s="353"/>
      <c r="N108" s="321"/>
      <c r="O108" s="321"/>
      <c r="P108" s="321"/>
      <c r="Q108" s="321"/>
      <c r="R108" s="321"/>
      <c r="S108" s="321"/>
      <c r="T108" s="351">
        <f>36*16</f>
        <v>576</v>
      </c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25"/>
        <v>576</v>
      </c>
      <c r="AF108" s="381"/>
      <c r="AG108" s="408"/>
      <c r="AH108" s="409">
        <f t="shared" si="26"/>
        <v>576</v>
      </c>
      <c r="AI108" s="410">
        <v>1</v>
      </c>
      <c r="AJ108" s="411">
        <f t="shared" si="27"/>
        <v>577</v>
      </c>
      <c r="AK108" s="234"/>
      <c r="AL108" s="234"/>
      <c r="AM108" s="234"/>
    </row>
    <row r="109" spans="1:39" ht="21" thickBot="1">
      <c r="A109" s="424" t="s">
        <v>128</v>
      </c>
      <c r="B109" s="295"/>
      <c r="C109" s="295"/>
      <c r="D109" s="318">
        <v>46135</v>
      </c>
      <c r="E109" s="319"/>
      <c r="F109" s="320"/>
      <c r="G109" s="320"/>
      <c r="H109" s="320"/>
      <c r="I109" s="321"/>
      <c r="J109" s="321"/>
      <c r="K109" s="320"/>
      <c r="L109" s="352"/>
      <c r="M109" s="353"/>
      <c r="N109" s="321"/>
      <c r="O109" s="321"/>
      <c r="P109" s="321"/>
      <c r="Q109" s="321"/>
      <c r="R109" s="321"/>
      <c r="S109" s="321"/>
      <c r="T109" s="351">
        <f>12*16</f>
        <v>192</v>
      </c>
      <c r="U109" s="352"/>
      <c r="V109" s="319"/>
      <c r="W109" s="320"/>
      <c r="X109" s="320"/>
      <c r="Y109" s="321"/>
      <c r="Z109" s="321"/>
      <c r="AA109" s="321"/>
      <c r="AB109" s="320"/>
      <c r="AC109" s="380">
        <f>4*16</f>
        <v>64</v>
      </c>
      <c r="AD109" s="352"/>
      <c r="AE109" s="381">
        <f t="shared" ref="AE109:AE110" si="28">SUM(E109:AC109)</f>
        <v>256</v>
      </c>
      <c r="AF109" s="381"/>
      <c r="AG109" s="408"/>
      <c r="AH109" s="409">
        <f t="shared" ref="AH109:AH110" si="29">AE109+AF109</f>
        <v>256</v>
      </c>
      <c r="AI109" s="410">
        <f>2+1</f>
        <v>3</v>
      </c>
      <c r="AJ109" s="411">
        <f t="shared" ref="AJ109:AJ110" si="30">AH109+AI109</f>
        <v>259</v>
      </c>
      <c r="AK109" s="414" t="s">
        <v>8</v>
      </c>
      <c r="AL109" s="397" t="s">
        <v>23</v>
      </c>
      <c r="AM109" s="415" t="s">
        <v>174</v>
      </c>
    </row>
    <row r="110" spans="1:39" ht="21" thickBot="1">
      <c r="A110" s="424" t="s">
        <v>128</v>
      </c>
      <c r="B110" s="295"/>
      <c r="C110" s="295"/>
      <c r="D110" s="318">
        <v>46136</v>
      </c>
      <c r="E110" s="319"/>
      <c r="F110" s="320"/>
      <c r="G110" s="320"/>
      <c r="H110" s="320"/>
      <c r="I110" s="321"/>
      <c r="J110" s="321"/>
      <c r="K110" s="320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>
        <f>34*16</f>
        <v>544</v>
      </c>
      <c r="AD110" s="352"/>
      <c r="AE110" s="381">
        <f t="shared" si="28"/>
        <v>544</v>
      </c>
      <c r="AF110" s="381">
        <v>2</v>
      </c>
      <c r="AG110" s="408"/>
      <c r="AH110" s="409">
        <f t="shared" si="29"/>
        <v>546</v>
      </c>
      <c r="AI110" s="410">
        <v>2</v>
      </c>
      <c r="AJ110" s="411">
        <f t="shared" si="30"/>
        <v>548</v>
      </c>
      <c r="AK110" s="399">
        <f>'BIG CHAIR'!CL105</f>
        <v>0</v>
      </c>
      <c r="AL110" s="400">
        <f>'Tea Table'!X195</f>
        <v>0</v>
      </c>
      <c r="AM110" s="401">
        <f>AH119+AK110+AL110</f>
        <v>11371</v>
      </c>
    </row>
    <row r="111" spans="1:39" ht="20.25">
      <c r="A111" s="424" t="s">
        <v>128</v>
      </c>
      <c r="B111" s="295"/>
      <c r="C111" s="295"/>
      <c r="D111" s="318">
        <v>46137</v>
      </c>
      <c r="E111" s="319"/>
      <c r="F111" s="320"/>
      <c r="G111" s="320"/>
      <c r="H111" s="320"/>
      <c r="I111" s="321"/>
      <c r="J111" s="321"/>
      <c r="K111" s="320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>
        <f>29*16</f>
        <v>464</v>
      </c>
      <c r="AD111" s="352"/>
      <c r="AE111" s="381">
        <f t="shared" ref="AE111" si="31">SUM(E111:AC111)</f>
        <v>464</v>
      </c>
      <c r="AF111" s="381"/>
      <c r="AG111" s="408"/>
      <c r="AH111" s="409">
        <f t="shared" ref="AH111" si="32">AE111+AF111</f>
        <v>464</v>
      </c>
      <c r="AI111" s="410">
        <v>6</v>
      </c>
      <c r="AJ111" s="411">
        <f t="shared" ref="AJ111" si="33">AH111+AI111</f>
        <v>470</v>
      </c>
      <c r="AK111" s="282"/>
      <c r="AL111" s="282"/>
      <c r="AM111" s="282"/>
    </row>
    <row r="112" spans="1:39" ht="20.25">
      <c r="A112" s="424" t="s">
        <v>128</v>
      </c>
      <c r="B112" s="295"/>
      <c r="C112" s="295"/>
      <c r="D112" s="318">
        <v>46138</v>
      </c>
      <c r="E112" s="319"/>
      <c r="F112" s="320"/>
      <c r="G112" s="320"/>
      <c r="H112" s="320"/>
      <c r="I112" s="321"/>
      <c r="J112" s="321"/>
      <c r="K112" s="320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>
        <f>30*16</f>
        <v>480</v>
      </c>
      <c r="AD112" s="352"/>
      <c r="AE112" s="381">
        <f t="shared" ref="AE112" si="34">SUM(E112:AC112)</f>
        <v>480</v>
      </c>
      <c r="AF112" s="381"/>
      <c r="AG112" s="408"/>
      <c r="AH112" s="409">
        <f t="shared" ref="AH112:AH115" si="35">AE112+AF112</f>
        <v>480</v>
      </c>
      <c r="AI112" s="410">
        <v>3</v>
      </c>
      <c r="AJ112" s="411">
        <f t="shared" ref="AJ112:AJ115" si="36">AH112+AI112</f>
        <v>483</v>
      </c>
      <c r="AK112" s="234"/>
      <c r="AL112" s="234"/>
      <c r="AM112" s="234"/>
    </row>
    <row r="113" spans="1:39" ht="20.25">
      <c r="A113" s="424" t="s">
        <v>128</v>
      </c>
      <c r="B113" s="295"/>
      <c r="C113" s="295"/>
      <c r="D113" s="318">
        <v>46139</v>
      </c>
      <c r="E113" s="319"/>
      <c r="F113" s="320"/>
      <c r="G113" s="320"/>
      <c r="H113" s="320"/>
      <c r="I113" s="321"/>
      <c r="J113" s="321"/>
      <c r="K113" s="320"/>
      <c r="L113" s="352"/>
      <c r="M113" s="353"/>
      <c r="N113" s="321"/>
      <c r="O113" s="321"/>
      <c r="P113" s="321"/>
      <c r="Q113" s="321"/>
      <c r="R113" s="321"/>
      <c r="S113" s="321"/>
      <c r="T113" s="351"/>
      <c r="U113" s="352"/>
      <c r="V113" s="319"/>
      <c r="W113" s="320"/>
      <c r="X113" s="320"/>
      <c r="Y113" s="321"/>
      <c r="Z113" s="321">
        <f>25*16</f>
        <v>400</v>
      </c>
      <c r="AA113" s="321"/>
      <c r="AB113" s="320"/>
      <c r="AC113" s="380">
        <f>2*16</f>
        <v>32</v>
      </c>
      <c r="AD113" s="352"/>
      <c r="AE113" s="381">
        <f t="shared" ref="AE113" si="37">SUM(E113:AC113)</f>
        <v>432</v>
      </c>
      <c r="AF113" s="381">
        <v>3</v>
      </c>
      <c r="AG113" s="408"/>
      <c r="AH113" s="409">
        <f t="shared" si="35"/>
        <v>435</v>
      </c>
      <c r="AI113" s="410">
        <f>1+5</f>
        <v>6</v>
      </c>
      <c r="AJ113" s="411">
        <f t="shared" si="36"/>
        <v>441</v>
      </c>
      <c r="AK113" s="234"/>
      <c r="AL113" s="234"/>
      <c r="AM113" s="234"/>
    </row>
    <row r="114" spans="1:39" ht="20.25">
      <c r="A114" s="424" t="s">
        <v>128</v>
      </c>
      <c r="B114" s="295"/>
      <c r="C114" s="295"/>
      <c r="D114" s="318">
        <v>46140</v>
      </c>
      <c r="E114" s="319"/>
      <c r="F114" s="320"/>
      <c r="G114" s="320"/>
      <c r="H114" s="320"/>
      <c r="I114" s="321"/>
      <c r="J114" s="321"/>
      <c r="K114" s="320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>
        <f>18*16</f>
        <v>288</v>
      </c>
      <c r="X114" s="320"/>
      <c r="Y114" s="321"/>
      <c r="Z114" s="321">
        <f>4*16</f>
        <v>64</v>
      </c>
      <c r="AA114" s="321"/>
      <c r="AB114" s="320"/>
      <c r="AC114" s="380"/>
      <c r="AD114" s="352"/>
      <c r="AE114" s="381">
        <f t="shared" ref="AE114" si="38">SUM(E114:AC114)</f>
        <v>352</v>
      </c>
      <c r="AF114" s="381">
        <v>3</v>
      </c>
      <c r="AG114" s="408"/>
      <c r="AH114" s="409">
        <f t="shared" ref="AH114" si="39">AE114+AF114</f>
        <v>355</v>
      </c>
      <c r="AI114" s="410">
        <f>1+2</f>
        <v>3</v>
      </c>
      <c r="AJ114" s="411">
        <f t="shared" ref="AJ114" si="40">AH114+AI114</f>
        <v>358</v>
      </c>
      <c r="AK114" s="234"/>
      <c r="AL114" s="234"/>
      <c r="AM114" s="234"/>
    </row>
    <row r="115" spans="1:39" ht="20.25">
      <c r="A115" s="424" t="s">
        <v>128</v>
      </c>
      <c r="B115" s="295"/>
      <c r="C115" s="295"/>
      <c r="D115" s="318">
        <v>46141</v>
      </c>
      <c r="E115" s="319"/>
      <c r="F115" s="320"/>
      <c r="G115" s="320"/>
      <c r="H115" s="320"/>
      <c r="I115" s="321"/>
      <c r="J115" s="321"/>
      <c r="K115" s="320"/>
      <c r="L115" s="352"/>
      <c r="M115" s="353"/>
      <c r="N115" s="321"/>
      <c r="O115" s="321"/>
      <c r="P115" s="321"/>
      <c r="Q115" s="321"/>
      <c r="R115" s="321"/>
      <c r="S115" s="321"/>
      <c r="T115" s="351"/>
      <c r="U115" s="352"/>
      <c r="V115" s="319"/>
      <c r="W115" s="320">
        <f>26*16</f>
        <v>416</v>
      </c>
      <c r="X115" s="320"/>
      <c r="Y115" s="321"/>
      <c r="Z115" s="321"/>
      <c r="AA115" s="321"/>
      <c r="AB115" s="320"/>
      <c r="AC115" s="380"/>
      <c r="AD115" s="352"/>
      <c r="AE115" s="381">
        <f t="shared" ref="AE115" si="41">SUM(E115:AC115)</f>
        <v>416</v>
      </c>
      <c r="AF115" s="381"/>
      <c r="AG115" s="408"/>
      <c r="AH115" s="409">
        <f t="shared" si="35"/>
        <v>416</v>
      </c>
      <c r="AI115" s="410">
        <v>2</v>
      </c>
      <c r="AJ115" s="411">
        <f t="shared" si="36"/>
        <v>418</v>
      </c>
      <c r="AK115" s="234"/>
      <c r="AL115" s="234"/>
      <c r="AM115" s="234"/>
    </row>
    <row r="116" spans="1:39" ht="20.25">
      <c r="A116" s="424" t="s">
        <v>128</v>
      </c>
      <c r="B116" s="295"/>
      <c r="C116" s="295"/>
      <c r="D116" s="318"/>
      <c r="E116" s="319"/>
      <c r="F116" s="320"/>
      <c r="G116" s="320"/>
      <c r="H116" s="320"/>
      <c r="I116" s="321"/>
      <c r="J116" s="321"/>
      <c r="K116" s="320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ref="AE116" si="42">SUM(E116:AC116)</f>
        <v>0</v>
      </c>
      <c r="AF116" s="381"/>
      <c r="AG116" s="408"/>
      <c r="AH116" s="409">
        <f t="shared" ref="AH116" si="43">AE116+AF116</f>
        <v>0</v>
      </c>
      <c r="AI116" s="410"/>
      <c r="AJ116" s="411">
        <f t="shared" ref="AJ116" si="44">AH116+AI116</f>
        <v>0</v>
      </c>
      <c r="AK116" s="234"/>
      <c r="AL116" s="234"/>
      <c r="AM116" s="234"/>
    </row>
    <row r="117" spans="1:39" ht="20.25">
      <c r="A117" s="424" t="s">
        <v>128</v>
      </c>
      <c r="B117" s="295"/>
      <c r="C117" s="295"/>
      <c r="D117" s="318"/>
      <c r="E117" s="319"/>
      <c r="F117" s="320"/>
      <c r="G117" s="320"/>
      <c r="H117" s="320"/>
      <c r="I117" s="321"/>
      <c r="J117" s="321"/>
      <c r="K117" s="320"/>
      <c r="L117" s="352"/>
      <c r="M117" s="353"/>
      <c r="N117" s="321"/>
      <c r="O117" s="321"/>
      <c r="P117" s="321"/>
      <c r="Q117" s="321"/>
      <c r="R117" s="321"/>
      <c r="S117" s="321"/>
      <c r="T117" s="351"/>
      <c r="U117" s="352"/>
      <c r="V117" s="319"/>
      <c r="W117" s="320"/>
      <c r="X117" s="320"/>
      <c r="Y117" s="321"/>
      <c r="Z117" s="321"/>
      <c r="AA117" s="321"/>
      <c r="AB117" s="320"/>
      <c r="AC117" s="380"/>
      <c r="AD117" s="352"/>
      <c r="AE117" s="381">
        <f t="shared" si="25"/>
        <v>0</v>
      </c>
      <c r="AF117" s="381"/>
      <c r="AG117" s="408"/>
      <c r="AH117" s="409">
        <f t="shared" si="26"/>
        <v>0</v>
      </c>
      <c r="AI117" s="410"/>
      <c r="AJ117" s="411">
        <f t="shared" si="27"/>
        <v>0</v>
      </c>
      <c r="AK117" s="234"/>
      <c r="AL117" s="234"/>
      <c r="AM117" s="234"/>
    </row>
    <row r="118" spans="1:39" ht="21" thickBot="1">
      <c r="A118" s="1170"/>
      <c r="B118" s="323"/>
      <c r="C118" s="323"/>
      <c r="D118" s="324"/>
      <c r="E118" s="325"/>
      <c r="F118" s="297"/>
      <c r="G118" s="297"/>
      <c r="H118" s="297"/>
      <c r="I118" s="298"/>
      <c r="J118" s="298"/>
      <c r="K118" s="297"/>
      <c r="L118" s="355"/>
      <c r="M118" s="343"/>
      <c r="N118" s="298"/>
      <c r="O118" s="298"/>
      <c r="P118" s="298"/>
      <c r="Q118" s="298"/>
      <c r="R118" s="298"/>
      <c r="S118" s="298"/>
      <c r="T118" s="367"/>
      <c r="U118" s="355"/>
      <c r="V118" s="325"/>
      <c r="W118" s="297"/>
      <c r="X118" s="297"/>
      <c r="Y118" s="298"/>
      <c r="Z118" s="298"/>
      <c r="AA118" s="298"/>
      <c r="AB118" s="297"/>
      <c r="AC118" s="375"/>
      <c r="AD118" s="355"/>
      <c r="AE118" s="376">
        <f t="shared" si="22"/>
        <v>0</v>
      </c>
      <c r="AF118" s="377"/>
      <c r="AG118" s="390"/>
      <c r="AH118" s="391">
        <f t="shared" si="23"/>
        <v>0</v>
      </c>
      <c r="AI118" s="412"/>
      <c r="AJ118" s="413">
        <f t="shared" si="24"/>
        <v>0</v>
      </c>
      <c r="AK118" s="234"/>
      <c r="AL118" s="234"/>
      <c r="AM118" s="234"/>
    </row>
    <row r="119" spans="1:39" ht="19.5" thickBot="1">
      <c r="A119" s="828" t="s">
        <v>129</v>
      </c>
      <c r="B119" s="327"/>
      <c r="C119" s="327"/>
      <c r="D119" s="328"/>
      <c r="E119" s="329">
        <f t="shared" ref="E119:K119" si="45">SUM(E96:E118)</f>
        <v>0</v>
      </c>
      <c r="F119" s="329">
        <f t="shared" si="45"/>
        <v>0</v>
      </c>
      <c r="G119" s="329">
        <f t="shared" si="45"/>
        <v>0</v>
      </c>
      <c r="H119" s="329">
        <f t="shared" si="45"/>
        <v>0</v>
      </c>
      <c r="I119" s="329">
        <f t="shared" si="45"/>
        <v>0</v>
      </c>
      <c r="J119" s="329">
        <f t="shared" si="45"/>
        <v>0</v>
      </c>
      <c r="K119" s="329">
        <f t="shared" si="45"/>
        <v>0</v>
      </c>
      <c r="L119" s="357"/>
      <c r="M119" s="358">
        <f t="shared" ref="M119:T119" si="46">SUM(M96:M118)</f>
        <v>0</v>
      </c>
      <c r="N119" s="358">
        <f t="shared" si="46"/>
        <v>2064</v>
      </c>
      <c r="O119" s="358">
        <f t="shared" si="46"/>
        <v>0</v>
      </c>
      <c r="P119" s="358">
        <f t="shared" si="46"/>
        <v>0</v>
      </c>
      <c r="Q119" s="358">
        <f t="shared" si="46"/>
        <v>0</v>
      </c>
      <c r="R119" s="358">
        <f t="shared" si="46"/>
        <v>0</v>
      </c>
      <c r="S119" s="358">
        <f t="shared" si="46"/>
        <v>752</v>
      </c>
      <c r="T119" s="358">
        <f t="shared" si="46"/>
        <v>1904</v>
      </c>
      <c r="U119" s="357"/>
      <c r="V119" s="358">
        <f t="shared" ref="V119:AC119" si="47">SUM(V96:V118)</f>
        <v>656</v>
      </c>
      <c r="W119" s="358">
        <f t="shared" si="47"/>
        <v>1584</v>
      </c>
      <c r="X119" s="358">
        <f t="shared" si="47"/>
        <v>0</v>
      </c>
      <c r="Y119" s="358">
        <f t="shared" si="47"/>
        <v>0</v>
      </c>
      <c r="Z119" s="358">
        <f t="shared" si="47"/>
        <v>1936</v>
      </c>
      <c r="AA119" s="358">
        <f t="shared" si="47"/>
        <v>0</v>
      </c>
      <c r="AB119" s="358">
        <f t="shared" si="47"/>
        <v>0</v>
      </c>
      <c r="AC119" s="358">
        <f t="shared" si="47"/>
        <v>2432</v>
      </c>
      <c r="AD119" s="357"/>
      <c r="AE119" s="382">
        <f t="shared" ref="AE119:AJ119" si="48">SUM(AE96:AE118)</f>
        <v>11328</v>
      </c>
      <c r="AF119" s="382">
        <f t="shared" si="48"/>
        <v>43</v>
      </c>
      <c r="AG119" s="416">
        <f t="shared" si="48"/>
        <v>0</v>
      </c>
      <c r="AH119" s="417">
        <f t="shared" si="48"/>
        <v>11371</v>
      </c>
      <c r="AI119" s="382">
        <f t="shared" si="48"/>
        <v>115</v>
      </c>
      <c r="AJ119" s="418">
        <f t="shared" si="48"/>
        <v>11486</v>
      </c>
      <c r="AK119" s="234"/>
      <c r="AL119" s="234"/>
      <c r="AM119" s="234"/>
    </row>
    <row r="120" spans="1:39" ht="24" thickBot="1">
      <c r="A120" s="721" t="s">
        <v>130</v>
      </c>
      <c r="B120" s="722" t="s">
        <v>68</v>
      </c>
      <c r="C120" s="287" t="s">
        <v>69</v>
      </c>
      <c r="D120" s="288" t="s">
        <v>70</v>
      </c>
      <c r="E120" s="2703" t="s">
        <v>94</v>
      </c>
      <c r="F120" s="2701"/>
      <c r="G120" s="2701" t="s">
        <v>53</v>
      </c>
      <c r="H120" s="2701"/>
      <c r="I120" s="2701" t="s">
        <v>75</v>
      </c>
      <c r="J120" s="2701"/>
      <c r="K120" s="2701"/>
      <c r="L120" s="2699"/>
      <c r="M120" s="2703" t="s">
        <v>94</v>
      </c>
      <c r="N120" s="2701" t="s">
        <v>548</v>
      </c>
      <c r="O120" s="2701" t="s">
        <v>149</v>
      </c>
      <c r="P120" s="2698" t="s">
        <v>576</v>
      </c>
      <c r="Q120" s="2701" t="s">
        <v>75</v>
      </c>
      <c r="R120" s="2701"/>
      <c r="S120" s="2701" t="s">
        <v>53</v>
      </c>
      <c r="T120" s="2700" t="s">
        <v>136</v>
      </c>
      <c r="U120" s="2699"/>
      <c r="V120" s="2701" t="s">
        <v>94</v>
      </c>
      <c r="W120" s="2701" t="s">
        <v>549</v>
      </c>
      <c r="X120" s="2701" t="s">
        <v>371</v>
      </c>
      <c r="Y120" s="2701"/>
      <c r="Z120" s="2701" t="s">
        <v>53</v>
      </c>
      <c r="AA120" s="2701"/>
      <c r="AB120" s="2704" t="s">
        <v>170</v>
      </c>
      <c r="AC120" s="2700" t="s">
        <v>136</v>
      </c>
      <c r="AD120" s="370"/>
      <c r="AE120" s="371" t="s">
        <v>172</v>
      </c>
      <c r="AF120" s="372" t="s">
        <v>80</v>
      </c>
      <c r="AG120" s="385"/>
      <c r="AH120" s="386" t="s">
        <v>106</v>
      </c>
      <c r="AI120" s="385" t="s">
        <v>173</v>
      </c>
      <c r="AJ120" s="371" t="s">
        <v>108</v>
      </c>
      <c r="AK120" s="234"/>
      <c r="AL120" s="234"/>
      <c r="AM120" s="234"/>
    </row>
    <row r="121" spans="1:39" ht="20.25">
      <c r="A121" s="792" t="s">
        <v>131</v>
      </c>
      <c r="B121" s="311"/>
      <c r="C121" s="311"/>
      <c r="D121" s="312"/>
      <c r="E121" s="313"/>
      <c r="F121" s="314"/>
      <c r="G121" s="314"/>
      <c r="H121" s="314"/>
      <c r="I121" s="315"/>
      <c r="J121" s="315"/>
      <c r="K121" s="314"/>
      <c r="L121" s="349"/>
      <c r="M121" s="350"/>
      <c r="N121" s="315"/>
      <c r="O121" s="315"/>
      <c r="P121" s="315"/>
      <c r="Q121" s="315"/>
      <c r="R121" s="315"/>
      <c r="S121" s="315"/>
      <c r="T121" s="348"/>
      <c r="U121" s="349"/>
      <c r="V121" s="350"/>
      <c r="W121" s="315"/>
      <c r="X121" s="315"/>
      <c r="Y121" s="315"/>
      <c r="Z121" s="315"/>
      <c r="AA121" s="315"/>
      <c r="AB121" s="315"/>
      <c r="AC121" s="378"/>
      <c r="AD121" s="349"/>
      <c r="AE121" s="379">
        <f t="shared" ref="AE121:AE131" si="49">SUM(E121:AC121)</f>
        <v>0</v>
      </c>
      <c r="AF121" s="379"/>
      <c r="AG121" s="404"/>
      <c r="AH121" s="405">
        <f>AE121+AF121</f>
        <v>0</v>
      </c>
      <c r="AI121" s="406"/>
      <c r="AJ121" s="407">
        <f>AH121+AI121</f>
        <v>0</v>
      </c>
      <c r="AK121" s="234"/>
      <c r="AL121" s="234"/>
      <c r="AM121" s="234"/>
    </row>
    <row r="122" spans="1:39" ht="20.25">
      <c r="A122" s="792" t="s">
        <v>131</v>
      </c>
      <c r="B122" s="317"/>
      <c r="C122" s="317"/>
      <c r="D122" s="318"/>
      <c r="E122" s="319"/>
      <c r="F122" s="320"/>
      <c r="G122" s="320"/>
      <c r="H122" s="320"/>
      <c r="I122" s="321"/>
      <c r="J122" s="321"/>
      <c r="K122" s="320"/>
      <c r="L122" s="352"/>
      <c r="M122" s="353"/>
      <c r="N122" s="320"/>
      <c r="O122" s="320"/>
      <c r="P122" s="321"/>
      <c r="Q122" s="321"/>
      <c r="R122" s="321"/>
      <c r="S122" s="320"/>
      <c r="T122" s="351"/>
      <c r="U122" s="352"/>
      <c r="V122" s="353"/>
      <c r="W122" s="321"/>
      <c r="X122" s="321"/>
      <c r="Y122" s="321"/>
      <c r="Z122" s="321"/>
      <c r="AA122" s="321"/>
      <c r="AB122" s="321"/>
      <c r="AC122" s="380"/>
      <c r="AD122" s="352"/>
      <c r="AE122" s="381">
        <f t="shared" si="49"/>
        <v>0</v>
      </c>
      <c r="AF122" s="381"/>
      <c r="AG122" s="408"/>
      <c r="AH122" s="409">
        <f t="shared" ref="AH122:AH141" si="50">AE122+AF122</f>
        <v>0</v>
      </c>
      <c r="AI122" s="410"/>
      <c r="AJ122" s="411">
        <f>AH122+AI122</f>
        <v>0</v>
      </c>
      <c r="AK122" s="234"/>
      <c r="AL122" s="234"/>
      <c r="AM122" s="234"/>
    </row>
    <row r="123" spans="1:39" ht="20.25">
      <c r="A123" s="792" t="s">
        <v>131</v>
      </c>
      <c r="B123" s="710"/>
      <c r="C123" s="295"/>
      <c r="D123" s="318"/>
      <c r="E123" s="319"/>
      <c r="F123" s="320"/>
      <c r="G123" s="320"/>
      <c r="H123" s="320"/>
      <c r="I123" s="321"/>
      <c r="J123" s="321"/>
      <c r="K123" s="320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49"/>
        <v>0</v>
      </c>
      <c r="AF123" s="381"/>
      <c r="AG123" s="408"/>
      <c r="AH123" s="409">
        <f t="shared" si="50"/>
        <v>0</v>
      </c>
      <c r="AI123" s="410"/>
      <c r="AJ123" s="411">
        <f>AH123+AI123</f>
        <v>0</v>
      </c>
      <c r="AK123" s="234"/>
      <c r="AL123" s="234"/>
      <c r="AM123" s="234"/>
    </row>
    <row r="124" spans="1:39" ht="21" thickBot="1">
      <c r="A124" s="792" t="s">
        <v>131</v>
      </c>
      <c r="B124" s="710"/>
      <c r="C124" s="295"/>
      <c r="D124" s="318"/>
      <c r="E124" s="319"/>
      <c r="F124" s="320"/>
      <c r="G124" s="320"/>
      <c r="H124" s="320"/>
      <c r="I124" s="321"/>
      <c r="J124" s="321"/>
      <c r="K124" s="320"/>
      <c r="L124" s="352"/>
      <c r="M124" s="353"/>
      <c r="N124" s="321"/>
      <c r="O124" s="321"/>
      <c r="P124" s="321"/>
      <c r="Q124" s="321"/>
      <c r="R124" s="321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49"/>
        <v>0</v>
      </c>
      <c r="AF124" s="381"/>
      <c r="AG124" s="408"/>
      <c r="AH124" s="409">
        <f t="shared" si="50"/>
        <v>0</v>
      </c>
      <c r="AI124" s="410"/>
      <c r="AJ124" s="411">
        <f>AH124+AI124</f>
        <v>0</v>
      </c>
      <c r="AK124" s="234"/>
      <c r="AL124" s="234"/>
      <c r="AM124" s="234"/>
    </row>
    <row r="125" spans="1:39" ht="21" thickBot="1">
      <c r="A125" s="792" t="s">
        <v>131</v>
      </c>
      <c r="B125" s="710"/>
      <c r="C125" s="295"/>
      <c r="D125" s="318"/>
      <c r="E125" s="319"/>
      <c r="F125" s="320"/>
      <c r="G125" s="320"/>
      <c r="H125" s="320"/>
      <c r="I125" s="321"/>
      <c r="J125" s="321"/>
      <c r="K125" s="320"/>
      <c r="L125" s="352"/>
      <c r="M125" s="353"/>
      <c r="N125" s="321"/>
      <c r="O125" s="321"/>
      <c r="P125" s="321"/>
      <c r="Q125" s="321"/>
      <c r="R125" s="321"/>
      <c r="S125" s="321"/>
      <c r="T125" s="351"/>
      <c r="U125" s="352"/>
      <c r="V125" s="319"/>
      <c r="W125" s="320"/>
      <c r="X125" s="320"/>
      <c r="Y125" s="321"/>
      <c r="Z125" s="321"/>
      <c r="AA125" s="321"/>
      <c r="AB125" s="320"/>
      <c r="AC125" s="380"/>
      <c r="AD125" s="352"/>
      <c r="AE125" s="381">
        <f t="shared" si="49"/>
        <v>0</v>
      </c>
      <c r="AF125" s="381"/>
      <c r="AG125" s="408"/>
      <c r="AH125" s="409">
        <f t="shared" si="50"/>
        <v>0</v>
      </c>
      <c r="AI125" s="410"/>
      <c r="AJ125" s="411">
        <f t="shared" ref="AJ125:AJ141" si="51">AH125+AI125</f>
        <v>0</v>
      </c>
      <c r="AK125" s="414" t="s">
        <v>8</v>
      </c>
      <c r="AL125" s="397" t="s">
        <v>23</v>
      </c>
      <c r="AM125" s="415" t="s">
        <v>174</v>
      </c>
    </row>
    <row r="126" spans="1:39" ht="21" thickBot="1">
      <c r="A126" s="792" t="s">
        <v>131</v>
      </c>
      <c r="B126" s="295"/>
      <c r="C126" s="295"/>
      <c r="D126" s="318"/>
      <c r="E126" s="319"/>
      <c r="F126" s="320"/>
      <c r="G126" s="320"/>
      <c r="H126" s="320"/>
      <c r="I126" s="321"/>
      <c r="J126" s="321"/>
      <c r="K126" s="320"/>
      <c r="L126" s="352"/>
      <c r="M126" s="353"/>
      <c r="N126" s="321"/>
      <c r="O126" s="321"/>
      <c r="P126" s="321"/>
      <c r="Q126" s="321"/>
      <c r="R126" s="321"/>
      <c r="S126" s="321"/>
      <c r="T126" s="351"/>
      <c r="U126" s="352"/>
      <c r="V126" s="319"/>
      <c r="W126" s="320"/>
      <c r="X126" s="320"/>
      <c r="Y126" s="321"/>
      <c r="Z126" s="321"/>
      <c r="AA126" s="321"/>
      <c r="AB126" s="320"/>
      <c r="AC126" s="380"/>
      <c r="AD126" s="352"/>
      <c r="AE126" s="381">
        <f t="shared" si="49"/>
        <v>0</v>
      </c>
      <c r="AF126" s="381"/>
      <c r="AG126" s="408"/>
      <c r="AH126" s="409">
        <f t="shared" si="50"/>
        <v>0</v>
      </c>
      <c r="AI126" s="410"/>
      <c r="AJ126" s="411">
        <f t="shared" si="51"/>
        <v>0</v>
      </c>
      <c r="AK126" s="399">
        <f>'BIG CHAIR'!CL121</f>
        <v>0</v>
      </c>
      <c r="AL126" s="400">
        <f>'Tea Table'!X211</f>
        <v>96</v>
      </c>
      <c r="AM126" s="401">
        <f>AH142+AK126+AL126</f>
        <v>96</v>
      </c>
    </row>
    <row r="127" spans="1:39" ht="20.25">
      <c r="A127" s="792" t="s">
        <v>131</v>
      </c>
      <c r="B127" s="295"/>
      <c r="C127" s="295"/>
      <c r="D127" s="318"/>
      <c r="E127" s="319"/>
      <c r="F127" s="320"/>
      <c r="G127" s="320"/>
      <c r="H127" s="320"/>
      <c r="I127" s="321"/>
      <c r="J127" s="321"/>
      <c r="K127" s="320"/>
      <c r="L127" s="352"/>
      <c r="M127" s="353"/>
      <c r="N127" s="321"/>
      <c r="O127" s="321"/>
      <c r="P127" s="321"/>
      <c r="Q127" s="321"/>
      <c r="R127" s="321"/>
      <c r="S127" s="321"/>
      <c r="T127" s="351"/>
      <c r="U127" s="352"/>
      <c r="V127" s="319"/>
      <c r="W127" s="320"/>
      <c r="X127" s="320"/>
      <c r="Y127" s="321"/>
      <c r="Z127" s="321"/>
      <c r="AA127" s="321"/>
      <c r="AB127" s="320"/>
      <c r="AC127" s="380"/>
      <c r="AD127" s="352"/>
      <c r="AE127" s="381">
        <f t="shared" si="49"/>
        <v>0</v>
      </c>
      <c r="AF127" s="381"/>
      <c r="AG127" s="408"/>
      <c r="AH127" s="409">
        <f t="shared" si="50"/>
        <v>0</v>
      </c>
      <c r="AI127" s="410"/>
      <c r="AJ127" s="411">
        <f t="shared" si="51"/>
        <v>0</v>
      </c>
      <c r="AK127" s="282"/>
      <c r="AL127" s="282"/>
      <c r="AM127" s="282"/>
    </row>
    <row r="128" spans="1:39" ht="20.25">
      <c r="A128" s="792" t="s">
        <v>131</v>
      </c>
      <c r="B128" s="295"/>
      <c r="C128" s="295"/>
      <c r="D128" s="318"/>
      <c r="E128" s="319"/>
      <c r="F128" s="320"/>
      <c r="G128" s="320"/>
      <c r="H128" s="320"/>
      <c r="I128" s="321"/>
      <c r="J128" s="321"/>
      <c r="K128" s="320"/>
      <c r="L128" s="352"/>
      <c r="M128" s="353"/>
      <c r="N128" s="321"/>
      <c r="O128" s="321"/>
      <c r="P128" s="321"/>
      <c r="Q128" s="321"/>
      <c r="R128" s="321"/>
      <c r="S128" s="321"/>
      <c r="T128" s="351"/>
      <c r="U128" s="352"/>
      <c r="V128" s="319"/>
      <c r="W128" s="320"/>
      <c r="X128" s="320"/>
      <c r="Y128" s="321"/>
      <c r="Z128" s="321"/>
      <c r="AA128" s="321"/>
      <c r="AB128" s="320"/>
      <c r="AC128" s="380"/>
      <c r="AD128" s="352"/>
      <c r="AE128" s="381">
        <f t="shared" si="49"/>
        <v>0</v>
      </c>
      <c r="AF128" s="381"/>
      <c r="AG128" s="408"/>
      <c r="AH128" s="409">
        <f t="shared" si="50"/>
        <v>0</v>
      </c>
      <c r="AI128" s="410"/>
      <c r="AJ128" s="411">
        <f t="shared" si="51"/>
        <v>0</v>
      </c>
      <c r="AK128" s="234"/>
      <c r="AL128" s="234"/>
      <c r="AM128" s="234"/>
    </row>
    <row r="129" spans="1:39" ht="20.25">
      <c r="A129" s="792" t="s">
        <v>131</v>
      </c>
      <c r="B129" s="295"/>
      <c r="C129" s="295"/>
      <c r="D129" s="318"/>
      <c r="E129" s="319"/>
      <c r="F129" s="320"/>
      <c r="G129" s="320"/>
      <c r="H129" s="320"/>
      <c r="I129" s="321"/>
      <c r="J129" s="321"/>
      <c r="K129" s="320"/>
      <c r="L129" s="352"/>
      <c r="M129" s="353"/>
      <c r="N129" s="321"/>
      <c r="O129" s="321"/>
      <c r="P129" s="321"/>
      <c r="Q129" s="321"/>
      <c r="R129" s="321"/>
      <c r="S129" s="321"/>
      <c r="T129" s="351"/>
      <c r="U129" s="352"/>
      <c r="V129" s="319"/>
      <c r="W129" s="320"/>
      <c r="X129" s="320"/>
      <c r="Y129" s="321"/>
      <c r="Z129" s="321"/>
      <c r="AA129" s="321"/>
      <c r="AB129" s="320"/>
      <c r="AC129" s="380"/>
      <c r="AD129" s="352"/>
      <c r="AE129" s="381">
        <f t="shared" si="49"/>
        <v>0</v>
      </c>
      <c r="AF129" s="381"/>
      <c r="AG129" s="408"/>
      <c r="AH129" s="409">
        <f t="shared" si="50"/>
        <v>0</v>
      </c>
      <c r="AI129" s="410"/>
      <c r="AJ129" s="411">
        <f t="shared" si="51"/>
        <v>0</v>
      </c>
      <c r="AK129" s="234"/>
      <c r="AL129" s="234"/>
      <c r="AM129" s="234"/>
    </row>
    <row r="130" spans="1:39" ht="20.25">
      <c r="A130" s="792" t="s">
        <v>131</v>
      </c>
      <c r="B130" s="295"/>
      <c r="C130" s="295"/>
      <c r="D130" s="318"/>
      <c r="E130" s="319"/>
      <c r="F130" s="320"/>
      <c r="G130" s="320"/>
      <c r="H130" s="320"/>
      <c r="I130" s="321"/>
      <c r="J130" s="321"/>
      <c r="K130" s="320"/>
      <c r="L130" s="352"/>
      <c r="M130" s="353"/>
      <c r="N130" s="321"/>
      <c r="O130" s="321"/>
      <c r="P130" s="321"/>
      <c r="Q130" s="321"/>
      <c r="R130" s="321"/>
      <c r="S130" s="321"/>
      <c r="T130" s="351"/>
      <c r="U130" s="352"/>
      <c r="V130" s="319"/>
      <c r="W130" s="320"/>
      <c r="X130" s="320"/>
      <c r="Y130" s="321"/>
      <c r="Z130" s="321"/>
      <c r="AA130" s="321"/>
      <c r="AB130" s="320"/>
      <c r="AC130" s="380"/>
      <c r="AD130" s="352"/>
      <c r="AE130" s="381">
        <f t="shared" si="49"/>
        <v>0</v>
      </c>
      <c r="AF130" s="381"/>
      <c r="AG130" s="408"/>
      <c r="AH130" s="409">
        <f t="shared" si="50"/>
        <v>0</v>
      </c>
      <c r="AI130" s="410"/>
      <c r="AJ130" s="411">
        <f t="shared" si="51"/>
        <v>0</v>
      </c>
      <c r="AK130" s="234"/>
      <c r="AL130" s="234"/>
      <c r="AM130" s="234"/>
    </row>
    <row r="131" spans="1:39" ht="20.25">
      <c r="A131" s="792" t="s">
        <v>131</v>
      </c>
      <c r="B131" s="295"/>
      <c r="C131" s="295"/>
      <c r="D131" s="318"/>
      <c r="E131" s="319"/>
      <c r="F131" s="320"/>
      <c r="G131" s="320"/>
      <c r="H131" s="320"/>
      <c r="I131" s="321"/>
      <c r="J131" s="321"/>
      <c r="K131" s="320"/>
      <c r="L131" s="352"/>
      <c r="M131" s="353"/>
      <c r="N131" s="321"/>
      <c r="O131" s="321"/>
      <c r="P131" s="321"/>
      <c r="Q131" s="321"/>
      <c r="R131" s="321"/>
      <c r="S131" s="321"/>
      <c r="T131" s="351"/>
      <c r="U131" s="352"/>
      <c r="V131" s="319"/>
      <c r="W131" s="320"/>
      <c r="X131" s="320"/>
      <c r="Y131" s="321"/>
      <c r="Z131" s="321"/>
      <c r="AA131" s="321"/>
      <c r="AB131" s="320"/>
      <c r="AC131" s="380"/>
      <c r="AD131" s="352"/>
      <c r="AE131" s="381">
        <f t="shared" si="49"/>
        <v>0</v>
      </c>
      <c r="AF131" s="381"/>
      <c r="AG131" s="408"/>
      <c r="AH131" s="409">
        <f t="shared" si="50"/>
        <v>0</v>
      </c>
      <c r="AI131" s="410"/>
      <c r="AJ131" s="411">
        <f t="shared" si="51"/>
        <v>0</v>
      </c>
      <c r="AK131" s="234"/>
      <c r="AL131" s="234"/>
      <c r="AM131" s="234"/>
    </row>
    <row r="132" spans="1:39" ht="20.25">
      <c r="A132" s="792" t="s">
        <v>131</v>
      </c>
      <c r="B132" s="295"/>
      <c r="C132" s="295"/>
      <c r="D132" s="318"/>
      <c r="E132" s="319"/>
      <c r="F132" s="320"/>
      <c r="G132" s="320"/>
      <c r="H132" s="320"/>
      <c r="I132" s="321"/>
      <c r="J132" s="321"/>
      <c r="K132" s="320"/>
      <c r="L132" s="352"/>
      <c r="M132" s="353"/>
      <c r="N132" s="321"/>
      <c r="O132" s="321"/>
      <c r="P132" s="321"/>
      <c r="Q132" s="321"/>
      <c r="R132" s="321"/>
      <c r="S132" s="321"/>
      <c r="T132" s="351"/>
      <c r="U132" s="352"/>
      <c r="V132" s="319"/>
      <c r="W132" s="320"/>
      <c r="X132" s="320"/>
      <c r="Y132" s="321"/>
      <c r="Z132" s="321"/>
      <c r="AA132" s="321"/>
      <c r="AB132" s="320"/>
      <c r="AC132" s="380"/>
      <c r="AD132" s="352"/>
      <c r="AE132" s="381">
        <f t="shared" ref="AE132:AE133" si="52">SUM(E132:AC132)</f>
        <v>0</v>
      </c>
      <c r="AF132" s="381"/>
      <c r="AG132" s="408"/>
      <c r="AH132" s="409">
        <f t="shared" ref="AH132:AH133" si="53">AE132+AF132</f>
        <v>0</v>
      </c>
      <c r="AI132" s="410"/>
      <c r="AJ132" s="411">
        <f t="shared" ref="AJ132:AJ133" si="54">AH132+AI132</f>
        <v>0</v>
      </c>
      <c r="AK132" s="234"/>
      <c r="AL132" s="234"/>
      <c r="AM132" s="234"/>
    </row>
    <row r="133" spans="1:39" ht="20.25">
      <c r="A133" s="792" t="s">
        <v>131</v>
      </c>
      <c r="B133" s="295"/>
      <c r="C133" s="295"/>
      <c r="D133" s="318"/>
      <c r="E133" s="319"/>
      <c r="F133" s="320"/>
      <c r="G133" s="320"/>
      <c r="H133" s="320"/>
      <c r="I133" s="321"/>
      <c r="J133" s="321"/>
      <c r="K133" s="320"/>
      <c r="L133" s="352"/>
      <c r="M133" s="353"/>
      <c r="N133" s="321"/>
      <c r="O133" s="321"/>
      <c r="P133" s="321"/>
      <c r="Q133" s="321"/>
      <c r="R133" s="321"/>
      <c r="S133" s="321"/>
      <c r="T133" s="351"/>
      <c r="U133" s="352"/>
      <c r="V133" s="319"/>
      <c r="W133" s="320"/>
      <c r="X133" s="320"/>
      <c r="Y133" s="321"/>
      <c r="Z133" s="321"/>
      <c r="AA133" s="321"/>
      <c r="AB133" s="320"/>
      <c r="AC133" s="380"/>
      <c r="AD133" s="352"/>
      <c r="AE133" s="381">
        <f t="shared" si="52"/>
        <v>0</v>
      </c>
      <c r="AF133" s="381"/>
      <c r="AG133" s="408"/>
      <c r="AH133" s="409">
        <f t="shared" si="53"/>
        <v>0</v>
      </c>
      <c r="AI133" s="410"/>
      <c r="AJ133" s="411">
        <f t="shared" si="54"/>
        <v>0</v>
      </c>
      <c r="AK133" s="234"/>
      <c r="AL133" s="234"/>
      <c r="AM133" s="234"/>
    </row>
    <row r="134" spans="1:39" ht="20.25">
      <c r="A134" s="792" t="s">
        <v>131</v>
      </c>
      <c r="B134" s="295"/>
      <c r="C134" s="295"/>
      <c r="D134" s="318"/>
      <c r="E134" s="319"/>
      <c r="F134" s="320"/>
      <c r="G134" s="320"/>
      <c r="H134" s="320"/>
      <c r="I134" s="321"/>
      <c r="J134" s="321"/>
      <c r="K134" s="320"/>
      <c r="L134" s="352"/>
      <c r="M134" s="353"/>
      <c r="N134" s="321"/>
      <c r="O134" s="321"/>
      <c r="P134" s="321"/>
      <c r="Q134" s="321"/>
      <c r="R134" s="321"/>
      <c r="S134" s="321"/>
      <c r="T134" s="351"/>
      <c r="U134" s="352"/>
      <c r="V134" s="319"/>
      <c r="W134" s="320"/>
      <c r="X134" s="320"/>
      <c r="Y134" s="321"/>
      <c r="Z134" s="321"/>
      <c r="AA134" s="321"/>
      <c r="AB134" s="320"/>
      <c r="AC134" s="380"/>
      <c r="AD134" s="352"/>
      <c r="AE134" s="381">
        <f t="shared" ref="AE134" si="55">SUM(E134:AC134)</f>
        <v>0</v>
      </c>
      <c r="AF134" s="381"/>
      <c r="AG134" s="408"/>
      <c r="AH134" s="409">
        <f t="shared" ref="AH134" si="56">AE134+AF134</f>
        <v>0</v>
      </c>
      <c r="AI134" s="410"/>
      <c r="AJ134" s="411">
        <f t="shared" ref="AJ134" si="57">AH134+AI134</f>
        <v>0</v>
      </c>
      <c r="AK134" s="234"/>
      <c r="AL134" s="234"/>
      <c r="AM134" s="234"/>
    </row>
    <row r="135" spans="1:39" ht="20.25">
      <c r="A135" s="792" t="s">
        <v>131</v>
      </c>
      <c r="B135" s="295"/>
      <c r="C135" s="295"/>
      <c r="D135" s="318"/>
      <c r="E135" s="319"/>
      <c r="F135" s="320"/>
      <c r="G135" s="320"/>
      <c r="H135" s="320"/>
      <c r="I135" s="321"/>
      <c r="J135" s="321"/>
      <c r="K135" s="320"/>
      <c r="L135" s="352"/>
      <c r="M135" s="353"/>
      <c r="N135" s="321"/>
      <c r="O135" s="321"/>
      <c r="P135" s="321"/>
      <c r="Q135" s="321"/>
      <c r="R135" s="321"/>
      <c r="S135" s="321"/>
      <c r="T135" s="351"/>
      <c r="U135" s="352"/>
      <c r="V135" s="319"/>
      <c r="W135" s="320"/>
      <c r="X135" s="320"/>
      <c r="Y135" s="321"/>
      <c r="Z135" s="321"/>
      <c r="AA135" s="321"/>
      <c r="AB135" s="320"/>
      <c r="AC135" s="380"/>
      <c r="AD135" s="352"/>
      <c r="AE135" s="381">
        <f t="shared" ref="AE135:AE140" si="58">SUM(E135:AC135)</f>
        <v>0</v>
      </c>
      <c r="AF135" s="381"/>
      <c r="AG135" s="408"/>
      <c r="AH135" s="409">
        <f t="shared" si="50"/>
        <v>0</v>
      </c>
      <c r="AI135" s="410"/>
      <c r="AJ135" s="411">
        <f t="shared" si="51"/>
        <v>0</v>
      </c>
      <c r="AK135" s="234"/>
      <c r="AL135" s="234"/>
      <c r="AM135" s="234"/>
    </row>
    <row r="136" spans="1:39" ht="20.25">
      <c r="A136" s="792" t="s">
        <v>131</v>
      </c>
      <c r="B136" s="295"/>
      <c r="C136" s="295"/>
      <c r="D136" s="318"/>
      <c r="E136" s="319"/>
      <c r="F136" s="320"/>
      <c r="G136" s="320"/>
      <c r="H136" s="320"/>
      <c r="I136" s="321"/>
      <c r="J136" s="321"/>
      <c r="K136" s="320"/>
      <c r="L136" s="352"/>
      <c r="M136" s="353"/>
      <c r="N136" s="321"/>
      <c r="O136" s="321"/>
      <c r="P136" s="321"/>
      <c r="Q136" s="321"/>
      <c r="R136" s="321"/>
      <c r="S136" s="321"/>
      <c r="T136" s="351"/>
      <c r="U136" s="352"/>
      <c r="V136" s="319"/>
      <c r="W136" s="320"/>
      <c r="X136" s="320"/>
      <c r="Y136" s="321"/>
      <c r="Z136" s="321"/>
      <c r="AA136" s="321"/>
      <c r="AB136" s="320"/>
      <c r="AC136" s="380"/>
      <c r="AD136" s="352"/>
      <c r="AE136" s="381">
        <f t="shared" si="58"/>
        <v>0</v>
      </c>
      <c r="AF136" s="381"/>
      <c r="AG136" s="408"/>
      <c r="AH136" s="409">
        <f t="shared" si="50"/>
        <v>0</v>
      </c>
      <c r="AI136" s="410"/>
      <c r="AJ136" s="411">
        <f t="shared" si="51"/>
        <v>0</v>
      </c>
      <c r="AK136" s="234"/>
      <c r="AL136" s="234"/>
      <c r="AM136" s="234"/>
    </row>
    <row r="137" spans="1:39" ht="20.25">
      <c r="A137" s="792" t="s">
        <v>131</v>
      </c>
      <c r="B137" s="295"/>
      <c r="C137" s="295"/>
      <c r="D137" s="318"/>
      <c r="E137" s="319"/>
      <c r="F137" s="320"/>
      <c r="G137" s="320"/>
      <c r="H137" s="320"/>
      <c r="I137" s="321"/>
      <c r="J137" s="321"/>
      <c r="K137" s="320"/>
      <c r="L137" s="352"/>
      <c r="M137" s="353"/>
      <c r="N137" s="321"/>
      <c r="O137" s="321"/>
      <c r="P137" s="321"/>
      <c r="Q137" s="321"/>
      <c r="R137" s="321"/>
      <c r="S137" s="321"/>
      <c r="T137" s="351"/>
      <c r="U137" s="352"/>
      <c r="V137" s="319"/>
      <c r="W137" s="320"/>
      <c r="X137" s="320"/>
      <c r="Y137" s="321"/>
      <c r="Z137" s="321"/>
      <c r="AA137" s="321"/>
      <c r="AB137" s="320"/>
      <c r="AC137" s="380"/>
      <c r="AD137" s="352"/>
      <c r="AE137" s="381">
        <f t="shared" ref="AE137" si="59">SUM(E137:AC137)</f>
        <v>0</v>
      </c>
      <c r="AF137" s="381"/>
      <c r="AG137" s="408"/>
      <c r="AH137" s="409">
        <f t="shared" ref="AH137" si="60">AE137+AF137</f>
        <v>0</v>
      </c>
      <c r="AI137" s="410"/>
      <c r="AJ137" s="411">
        <f t="shared" ref="AJ137" si="61">AH137+AI137</f>
        <v>0</v>
      </c>
      <c r="AK137" s="234"/>
      <c r="AL137" s="234"/>
      <c r="AM137" s="234"/>
    </row>
    <row r="138" spans="1:39" ht="20.25">
      <c r="A138" s="792" t="s">
        <v>131</v>
      </c>
      <c r="B138" s="295"/>
      <c r="C138" s="295"/>
      <c r="D138" s="318"/>
      <c r="E138" s="319"/>
      <c r="F138" s="320"/>
      <c r="G138" s="320"/>
      <c r="H138" s="320"/>
      <c r="I138" s="321"/>
      <c r="J138" s="321"/>
      <c r="K138" s="320"/>
      <c r="L138" s="352"/>
      <c r="M138" s="353"/>
      <c r="N138" s="321"/>
      <c r="O138" s="321"/>
      <c r="P138" s="321"/>
      <c r="Q138" s="321"/>
      <c r="R138" s="321"/>
      <c r="S138" s="321"/>
      <c r="T138" s="351"/>
      <c r="U138" s="352"/>
      <c r="V138" s="319"/>
      <c r="W138" s="320"/>
      <c r="X138" s="320"/>
      <c r="Y138" s="321"/>
      <c r="Z138" s="321"/>
      <c r="AA138" s="321"/>
      <c r="AB138" s="320"/>
      <c r="AC138" s="380"/>
      <c r="AD138" s="352"/>
      <c r="AE138" s="381">
        <f t="shared" si="58"/>
        <v>0</v>
      </c>
      <c r="AF138" s="381"/>
      <c r="AG138" s="408"/>
      <c r="AH138" s="409">
        <f t="shared" si="50"/>
        <v>0</v>
      </c>
      <c r="AI138" s="410"/>
      <c r="AJ138" s="411">
        <f t="shared" si="51"/>
        <v>0</v>
      </c>
      <c r="AK138" s="234"/>
      <c r="AL138" s="234"/>
      <c r="AM138" s="234"/>
    </row>
    <row r="139" spans="1:39" ht="20.25">
      <c r="A139" s="792" t="s">
        <v>131</v>
      </c>
      <c r="B139" s="295"/>
      <c r="C139" s="295"/>
      <c r="D139" s="318"/>
      <c r="E139" s="319"/>
      <c r="F139" s="320"/>
      <c r="G139" s="320"/>
      <c r="H139" s="320"/>
      <c r="I139" s="321"/>
      <c r="J139" s="321"/>
      <c r="K139" s="320"/>
      <c r="L139" s="352"/>
      <c r="M139" s="353"/>
      <c r="N139" s="321"/>
      <c r="O139" s="321"/>
      <c r="P139" s="321"/>
      <c r="Q139" s="321"/>
      <c r="R139" s="321"/>
      <c r="S139" s="321"/>
      <c r="T139" s="351"/>
      <c r="U139" s="352"/>
      <c r="V139" s="319"/>
      <c r="W139" s="320"/>
      <c r="X139" s="320"/>
      <c r="Y139" s="321"/>
      <c r="Z139" s="321"/>
      <c r="AA139" s="321"/>
      <c r="AB139" s="320"/>
      <c r="AC139" s="380"/>
      <c r="AD139" s="352"/>
      <c r="AE139" s="381">
        <f t="shared" ref="AE139" si="62">SUM(E139:AC139)</f>
        <v>0</v>
      </c>
      <c r="AF139" s="381"/>
      <c r="AG139" s="408"/>
      <c r="AH139" s="409">
        <f t="shared" ref="AH139" si="63">AE139+AF139</f>
        <v>0</v>
      </c>
      <c r="AI139" s="410"/>
      <c r="AJ139" s="411">
        <f t="shared" ref="AJ139" si="64">AH139+AI139</f>
        <v>0</v>
      </c>
      <c r="AK139" s="234"/>
      <c r="AL139" s="234"/>
      <c r="AM139" s="234"/>
    </row>
    <row r="140" spans="1:39" ht="20.25">
      <c r="A140" s="792" t="s">
        <v>131</v>
      </c>
      <c r="B140" s="295"/>
      <c r="C140" s="295"/>
      <c r="D140" s="318"/>
      <c r="E140" s="319"/>
      <c r="F140" s="320"/>
      <c r="G140" s="320"/>
      <c r="H140" s="320"/>
      <c r="I140" s="321"/>
      <c r="J140" s="321"/>
      <c r="K140" s="320"/>
      <c r="L140" s="352"/>
      <c r="M140" s="353"/>
      <c r="N140" s="321"/>
      <c r="O140" s="321"/>
      <c r="P140" s="321"/>
      <c r="Q140" s="321"/>
      <c r="R140" s="321"/>
      <c r="S140" s="321"/>
      <c r="T140" s="351"/>
      <c r="U140" s="352"/>
      <c r="V140" s="319"/>
      <c r="W140" s="320"/>
      <c r="X140" s="320"/>
      <c r="Y140" s="321"/>
      <c r="Z140" s="321"/>
      <c r="AA140" s="321"/>
      <c r="AB140" s="320"/>
      <c r="AC140" s="380"/>
      <c r="AD140" s="352"/>
      <c r="AE140" s="381">
        <f t="shared" si="58"/>
        <v>0</v>
      </c>
      <c r="AF140" s="381"/>
      <c r="AG140" s="408"/>
      <c r="AH140" s="409">
        <f t="shared" si="50"/>
        <v>0</v>
      </c>
      <c r="AI140" s="410"/>
      <c r="AJ140" s="411">
        <f t="shared" si="51"/>
        <v>0</v>
      </c>
      <c r="AK140" s="234"/>
      <c r="AL140" s="234"/>
      <c r="AM140" s="234"/>
    </row>
    <row r="141" spans="1:39" ht="21" thickBot="1">
      <c r="A141" s="792" t="s">
        <v>131</v>
      </c>
      <c r="B141" s="323"/>
      <c r="C141" s="323"/>
      <c r="D141" s="324"/>
      <c r="E141" s="325"/>
      <c r="F141" s="297"/>
      <c r="G141" s="297"/>
      <c r="H141" s="297"/>
      <c r="I141" s="298"/>
      <c r="J141" s="298"/>
      <c r="K141" s="297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ref="AE141" si="65">SUM(E141:AC141)</f>
        <v>0</v>
      </c>
      <c r="AF141" s="377"/>
      <c r="AG141" s="390"/>
      <c r="AH141" s="391">
        <f t="shared" si="50"/>
        <v>0</v>
      </c>
      <c r="AI141" s="412"/>
      <c r="AJ141" s="413">
        <f t="shared" si="51"/>
        <v>0</v>
      </c>
      <c r="AK141" s="234"/>
      <c r="AL141" s="234"/>
      <c r="AM141" s="234"/>
    </row>
    <row r="142" spans="1:39" ht="19.5" thickBot="1">
      <c r="A142" s="828" t="s">
        <v>132</v>
      </c>
      <c r="B142" s="327"/>
      <c r="C142" s="327"/>
      <c r="D142" s="328"/>
      <c r="E142" s="329">
        <f t="shared" ref="E142:K142" si="66">SUM(E121:E141)</f>
        <v>0</v>
      </c>
      <c r="F142" s="329">
        <f t="shared" si="66"/>
        <v>0</v>
      </c>
      <c r="G142" s="329">
        <f t="shared" si="66"/>
        <v>0</v>
      </c>
      <c r="H142" s="329">
        <f t="shared" si="66"/>
        <v>0</v>
      </c>
      <c r="I142" s="329">
        <f t="shared" si="66"/>
        <v>0</v>
      </c>
      <c r="J142" s="329">
        <f t="shared" si="66"/>
        <v>0</v>
      </c>
      <c r="K142" s="329">
        <f t="shared" si="66"/>
        <v>0</v>
      </c>
      <c r="L142" s="357"/>
      <c r="M142" s="358">
        <f t="shared" ref="M142:T142" si="67">SUM(M121:M141)</f>
        <v>0</v>
      </c>
      <c r="N142" s="358">
        <f t="shared" si="67"/>
        <v>0</v>
      </c>
      <c r="O142" s="358">
        <f t="shared" si="67"/>
        <v>0</v>
      </c>
      <c r="P142" s="358">
        <f t="shared" si="67"/>
        <v>0</v>
      </c>
      <c r="Q142" s="358">
        <f t="shared" si="67"/>
        <v>0</v>
      </c>
      <c r="R142" s="358">
        <f t="shared" si="67"/>
        <v>0</v>
      </c>
      <c r="S142" s="358">
        <f t="shared" si="67"/>
        <v>0</v>
      </c>
      <c r="T142" s="358">
        <f t="shared" si="67"/>
        <v>0</v>
      </c>
      <c r="U142" s="357"/>
      <c r="V142" s="358">
        <f t="shared" ref="V142:AC142" si="68">SUM(V121:V141)</f>
        <v>0</v>
      </c>
      <c r="W142" s="358">
        <f t="shared" si="68"/>
        <v>0</v>
      </c>
      <c r="X142" s="358">
        <f t="shared" si="68"/>
        <v>0</v>
      </c>
      <c r="Y142" s="358">
        <f t="shared" si="68"/>
        <v>0</v>
      </c>
      <c r="Z142" s="358">
        <f t="shared" si="68"/>
        <v>0</v>
      </c>
      <c r="AA142" s="358">
        <f t="shared" si="68"/>
        <v>0</v>
      </c>
      <c r="AB142" s="358">
        <f t="shared" si="68"/>
        <v>0</v>
      </c>
      <c r="AC142" s="358">
        <f t="shared" si="68"/>
        <v>0</v>
      </c>
      <c r="AD142" s="357"/>
      <c r="AE142" s="382">
        <f t="shared" ref="AE142:AJ142" si="69">SUM(AE121:AE141)</f>
        <v>0</v>
      </c>
      <c r="AF142" s="382">
        <f t="shared" si="69"/>
        <v>0</v>
      </c>
      <c r="AG142" s="416">
        <f t="shared" si="69"/>
        <v>0</v>
      </c>
      <c r="AH142" s="417">
        <f t="shared" si="69"/>
        <v>0</v>
      </c>
      <c r="AI142" s="382">
        <f t="shared" si="69"/>
        <v>0</v>
      </c>
      <c r="AJ142" s="418">
        <f t="shared" si="69"/>
        <v>0</v>
      </c>
      <c r="AK142" s="414" t="s">
        <v>8</v>
      </c>
      <c r="AL142" s="397" t="s">
        <v>23</v>
      </c>
      <c r="AM142" s="415" t="s">
        <v>174</v>
      </c>
    </row>
    <row r="143" spans="1:39" ht="24" thickBot="1">
      <c r="A143" s="721" t="s">
        <v>393</v>
      </c>
      <c r="B143" s="722" t="s">
        <v>68</v>
      </c>
      <c r="C143" s="287" t="s">
        <v>69</v>
      </c>
      <c r="D143" s="288" t="s">
        <v>70</v>
      </c>
      <c r="E143" s="2703" t="s">
        <v>94</v>
      </c>
      <c r="F143" s="2701"/>
      <c r="G143" s="2701" t="s">
        <v>53</v>
      </c>
      <c r="H143" s="2701"/>
      <c r="I143" s="2701" t="s">
        <v>75</v>
      </c>
      <c r="J143" s="2701"/>
      <c r="K143" s="2701"/>
      <c r="L143" s="2699"/>
      <c r="M143" s="2703" t="s">
        <v>94</v>
      </c>
      <c r="N143" s="2701" t="s">
        <v>170</v>
      </c>
      <c r="O143" s="30" t="s">
        <v>528</v>
      </c>
      <c r="P143" s="2698" t="s">
        <v>576</v>
      </c>
      <c r="Q143" s="2701" t="s">
        <v>75</v>
      </c>
      <c r="R143" s="2701"/>
      <c r="S143" s="2701" t="s">
        <v>53</v>
      </c>
      <c r="T143" s="2700" t="s">
        <v>136</v>
      </c>
      <c r="U143" s="2699"/>
      <c r="V143" s="2701" t="s">
        <v>94</v>
      </c>
      <c r="W143" s="2701"/>
      <c r="X143" s="2701" t="s">
        <v>371</v>
      </c>
      <c r="Y143" s="2701"/>
      <c r="Z143" s="2701" t="s">
        <v>53</v>
      </c>
      <c r="AA143" s="2701"/>
      <c r="AB143" s="2704" t="s">
        <v>170</v>
      </c>
      <c r="AC143" s="2700" t="s">
        <v>136</v>
      </c>
      <c r="AD143" s="370"/>
      <c r="AE143" s="371" t="s">
        <v>172</v>
      </c>
      <c r="AF143" s="372" t="s">
        <v>80</v>
      </c>
      <c r="AG143" s="385"/>
      <c r="AH143" s="386" t="s">
        <v>106</v>
      </c>
      <c r="AI143" s="385" t="s">
        <v>173</v>
      </c>
      <c r="AJ143" s="371" t="s">
        <v>108</v>
      </c>
      <c r="AK143" s="399">
        <f>'BIG CHAIR'!CL119</f>
        <v>0</v>
      </c>
      <c r="AL143" s="400">
        <f>'Tea Table'!X207</f>
        <v>120</v>
      </c>
      <c r="AM143" s="401">
        <f>AH168+AK143+AL143</f>
        <v>120</v>
      </c>
    </row>
    <row r="144" spans="1:39" s="284" customFormat="1" ht="16.5" customHeight="1">
      <c r="A144" s="424" t="s">
        <v>392</v>
      </c>
      <c r="B144" s="311"/>
      <c r="C144" s="311"/>
      <c r="D144" s="312"/>
      <c r="E144" s="313"/>
      <c r="F144" s="314"/>
      <c r="G144" s="314"/>
      <c r="H144" s="314"/>
      <c r="I144" s="315"/>
      <c r="J144" s="315"/>
      <c r="K144" s="314"/>
      <c r="L144" s="349"/>
      <c r="M144" s="350"/>
      <c r="N144" s="315"/>
      <c r="O144" s="315"/>
      <c r="P144" s="315"/>
      <c r="Q144" s="315"/>
      <c r="R144" s="315"/>
      <c r="S144" s="315"/>
      <c r="T144" s="348"/>
      <c r="U144" s="349"/>
      <c r="V144" s="350"/>
      <c r="W144" s="315"/>
      <c r="X144" s="315"/>
      <c r="Y144" s="315"/>
      <c r="Z144" s="315"/>
      <c r="AA144" s="315"/>
      <c r="AB144" s="315"/>
      <c r="AC144" s="378"/>
      <c r="AD144" s="349"/>
      <c r="AE144" s="379">
        <f t="shared" ref="AE144:AE167" si="70">SUM(E144:AC144)</f>
        <v>0</v>
      </c>
      <c r="AF144" s="379"/>
      <c r="AG144" s="404"/>
      <c r="AH144" s="405">
        <f>AE144+AF144</f>
        <v>0</v>
      </c>
      <c r="AI144" s="406"/>
      <c r="AJ144" s="407">
        <f>AH144+AI144</f>
        <v>0</v>
      </c>
      <c r="AK144" s="403"/>
      <c r="AL144" s="403"/>
      <c r="AM144" s="403"/>
    </row>
    <row r="145" spans="1:39" s="282" customFormat="1" ht="20.25">
      <c r="A145" s="424" t="s">
        <v>392</v>
      </c>
      <c r="B145" s="317"/>
      <c r="C145" s="317"/>
      <c r="D145" s="318"/>
      <c r="E145" s="319"/>
      <c r="F145" s="320"/>
      <c r="G145" s="320"/>
      <c r="H145" s="320"/>
      <c r="I145" s="321"/>
      <c r="J145" s="321"/>
      <c r="K145" s="320"/>
      <c r="L145" s="352"/>
      <c r="M145" s="353"/>
      <c r="N145" s="320"/>
      <c r="O145" s="320"/>
      <c r="P145" s="321"/>
      <c r="Q145" s="321"/>
      <c r="R145" s="321"/>
      <c r="S145" s="320"/>
      <c r="T145" s="351"/>
      <c r="U145" s="352"/>
      <c r="V145" s="353"/>
      <c r="W145" s="321"/>
      <c r="X145" s="321"/>
      <c r="Y145" s="321"/>
      <c r="Z145" s="321"/>
      <c r="AA145" s="321"/>
      <c r="AB145" s="321"/>
      <c r="AC145" s="380"/>
      <c r="AD145" s="352"/>
      <c r="AE145" s="381">
        <f t="shared" si="70"/>
        <v>0</v>
      </c>
      <c r="AF145" s="381"/>
      <c r="AG145" s="408"/>
      <c r="AH145" s="409">
        <f t="shared" ref="AH145:AH167" si="71">AE145+AF145</f>
        <v>0</v>
      </c>
      <c r="AI145" s="410"/>
      <c r="AJ145" s="411">
        <f>AH145+AI145</f>
        <v>0</v>
      </c>
    </row>
    <row r="146" spans="1:39" s="283" customFormat="1" ht="20.25">
      <c r="A146" s="424" t="s">
        <v>392</v>
      </c>
      <c r="B146" s="710"/>
      <c r="C146" s="295"/>
      <c r="D146" s="318"/>
      <c r="E146" s="319"/>
      <c r="F146" s="320"/>
      <c r="G146" s="320"/>
      <c r="H146" s="320"/>
      <c r="I146" s="321"/>
      <c r="J146" s="321"/>
      <c r="K146" s="320"/>
      <c r="L146" s="352"/>
      <c r="M146" s="353"/>
      <c r="N146" s="321"/>
      <c r="O146" s="321"/>
      <c r="P146" s="321"/>
      <c r="Q146" s="321"/>
      <c r="R146" s="321"/>
      <c r="S146" s="321"/>
      <c r="T146" s="351"/>
      <c r="U146" s="352"/>
      <c r="V146" s="319"/>
      <c r="W146" s="320"/>
      <c r="X146" s="320"/>
      <c r="Y146" s="321"/>
      <c r="Z146" s="321"/>
      <c r="AA146" s="321"/>
      <c r="AB146" s="320"/>
      <c r="AC146" s="380"/>
      <c r="AD146" s="352"/>
      <c r="AE146" s="381">
        <f t="shared" si="70"/>
        <v>0</v>
      </c>
      <c r="AF146" s="381"/>
      <c r="AG146" s="408"/>
      <c r="AH146" s="409">
        <f t="shared" si="71"/>
        <v>0</v>
      </c>
      <c r="AI146" s="410"/>
      <c r="AJ146" s="411">
        <f>AH146+AI146</f>
        <v>0</v>
      </c>
    </row>
    <row r="147" spans="1:39" s="283" customFormat="1" ht="20.25">
      <c r="A147" s="424" t="s">
        <v>392</v>
      </c>
      <c r="B147" s="710"/>
      <c r="C147" s="295"/>
      <c r="D147" s="318"/>
      <c r="E147" s="319"/>
      <c r="F147" s="320"/>
      <c r="G147" s="320"/>
      <c r="H147" s="320"/>
      <c r="I147" s="321"/>
      <c r="J147" s="321"/>
      <c r="K147" s="320"/>
      <c r="L147" s="352"/>
      <c r="M147" s="353"/>
      <c r="N147" s="321"/>
      <c r="O147" s="321"/>
      <c r="P147" s="321"/>
      <c r="Q147" s="321"/>
      <c r="R147" s="321"/>
      <c r="S147" s="321"/>
      <c r="T147" s="351"/>
      <c r="U147" s="352"/>
      <c r="V147" s="319"/>
      <c r="W147" s="320"/>
      <c r="X147" s="320"/>
      <c r="Y147" s="321"/>
      <c r="Z147" s="321"/>
      <c r="AA147" s="321"/>
      <c r="AB147" s="320"/>
      <c r="AC147" s="380"/>
      <c r="AD147" s="352"/>
      <c r="AE147" s="381">
        <f t="shared" si="70"/>
        <v>0</v>
      </c>
      <c r="AF147" s="381"/>
      <c r="AG147" s="408"/>
      <c r="AH147" s="409">
        <f t="shared" si="71"/>
        <v>0</v>
      </c>
      <c r="AI147" s="410"/>
      <c r="AJ147" s="411">
        <f>AH147+AI147</f>
        <v>0</v>
      </c>
    </row>
    <row r="148" spans="1:39" s="283" customFormat="1" ht="20.25">
      <c r="A148" s="424" t="s">
        <v>392</v>
      </c>
      <c r="B148" s="710"/>
      <c r="C148" s="295"/>
      <c r="D148" s="318"/>
      <c r="E148" s="319"/>
      <c r="F148" s="320"/>
      <c r="G148" s="320"/>
      <c r="H148" s="320"/>
      <c r="I148" s="321"/>
      <c r="J148" s="321"/>
      <c r="K148" s="320"/>
      <c r="L148" s="352"/>
      <c r="M148" s="353"/>
      <c r="N148" s="321"/>
      <c r="O148" s="321"/>
      <c r="P148" s="321"/>
      <c r="Q148" s="321"/>
      <c r="R148" s="321"/>
      <c r="S148" s="321"/>
      <c r="T148" s="351"/>
      <c r="U148" s="352"/>
      <c r="V148" s="319"/>
      <c r="W148" s="320"/>
      <c r="X148" s="320"/>
      <c r="Y148" s="321"/>
      <c r="Z148" s="321"/>
      <c r="AA148" s="321"/>
      <c r="AB148" s="320"/>
      <c r="AC148" s="380"/>
      <c r="AD148" s="352"/>
      <c r="AE148" s="381">
        <f t="shared" si="70"/>
        <v>0</v>
      </c>
      <c r="AF148" s="381"/>
      <c r="AG148" s="408"/>
      <c r="AH148" s="409">
        <f t="shared" si="71"/>
        <v>0</v>
      </c>
      <c r="AI148" s="410"/>
      <c r="AJ148" s="411">
        <f t="shared" ref="AJ148:AJ167" si="72">AH148+AI148</f>
        <v>0</v>
      </c>
    </row>
    <row r="149" spans="1:39" s="283" customFormat="1" ht="20.25">
      <c r="A149" s="424" t="s">
        <v>392</v>
      </c>
      <c r="B149" s="295"/>
      <c r="C149" s="295"/>
      <c r="D149" s="318"/>
      <c r="E149" s="319"/>
      <c r="F149" s="320"/>
      <c r="G149" s="320"/>
      <c r="H149" s="320"/>
      <c r="I149" s="321"/>
      <c r="J149" s="321"/>
      <c r="K149" s="320"/>
      <c r="L149" s="352"/>
      <c r="M149" s="353"/>
      <c r="N149" s="321"/>
      <c r="O149" s="321"/>
      <c r="P149" s="321"/>
      <c r="Q149" s="321"/>
      <c r="R149" s="321"/>
      <c r="S149" s="321"/>
      <c r="T149" s="351"/>
      <c r="U149" s="352"/>
      <c r="V149" s="319"/>
      <c r="W149" s="320"/>
      <c r="X149" s="320"/>
      <c r="Y149" s="321"/>
      <c r="Z149" s="321"/>
      <c r="AA149" s="321"/>
      <c r="AB149" s="320"/>
      <c r="AC149" s="380"/>
      <c r="AD149" s="352"/>
      <c r="AE149" s="381">
        <f t="shared" si="70"/>
        <v>0</v>
      </c>
      <c r="AF149" s="381"/>
      <c r="AG149" s="408"/>
      <c r="AH149" s="409">
        <f t="shared" si="71"/>
        <v>0</v>
      </c>
      <c r="AI149" s="410"/>
      <c r="AJ149" s="411">
        <f t="shared" si="72"/>
        <v>0</v>
      </c>
    </row>
    <row r="150" spans="1:39" s="283" customFormat="1" ht="20.25">
      <c r="A150" s="424" t="s">
        <v>392</v>
      </c>
      <c r="B150" s="295"/>
      <c r="C150" s="295"/>
      <c r="D150" s="318"/>
      <c r="E150" s="319"/>
      <c r="F150" s="320"/>
      <c r="G150" s="320"/>
      <c r="H150" s="320"/>
      <c r="I150" s="321"/>
      <c r="J150" s="321"/>
      <c r="K150" s="320"/>
      <c r="L150" s="352"/>
      <c r="M150" s="353"/>
      <c r="N150" s="321"/>
      <c r="O150" s="321"/>
      <c r="P150" s="321"/>
      <c r="Q150" s="321"/>
      <c r="R150" s="321"/>
      <c r="S150" s="321"/>
      <c r="T150" s="351"/>
      <c r="U150" s="352"/>
      <c r="V150" s="319"/>
      <c r="W150" s="320"/>
      <c r="X150" s="320"/>
      <c r="Y150" s="321"/>
      <c r="Z150" s="321"/>
      <c r="AA150" s="321"/>
      <c r="AB150" s="320"/>
      <c r="AC150" s="380"/>
      <c r="AD150" s="352"/>
      <c r="AE150" s="381">
        <f t="shared" si="70"/>
        <v>0</v>
      </c>
      <c r="AF150" s="381"/>
      <c r="AG150" s="408"/>
      <c r="AH150" s="409">
        <f t="shared" si="71"/>
        <v>0</v>
      </c>
      <c r="AI150" s="410"/>
      <c r="AJ150" s="411">
        <f t="shared" si="72"/>
        <v>0</v>
      </c>
    </row>
    <row r="151" spans="1:39" s="283" customFormat="1" ht="20.25">
      <c r="A151" s="424" t="s">
        <v>392</v>
      </c>
      <c r="B151" s="295"/>
      <c r="C151" s="295"/>
      <c r="D151" s="318"/>
      <c r="E151" s="319"/>
      <c r="F151" s="320"/>
      <c r="G151" s="320"/>
      <c r="H151" s="320"/>
      <c r="I151" s="321"/>
      <c r="J151" s="321"/>
      <c r="K151" s="320"/>
      <c r="L151" s="352"/>
      <c r="M151" s="353"/>
      <c r="N151" s="321"/>
      <c r="O151" s="321"/>
      <c r="P151" s="321"/>
      <c r="Q151" s="321"/>
      <c r="R151" s="321"/>
      <c r="S151" s="321"/>
      <c r="T151" s="351"/>
      <c r="U151" s="352"/>
      <c r="V151" s="319"/>
      <c r="W151" s="320"/>
      <c r="X151" s="320"/>
      <c r="Y151" s="321"/>
      <c r="Z151" s="321"/>
      <c r="AA151" s="321"/>
      <c r="AB151" s="320"/>
      <c r="AC151" s="380"/>
      <c r="AD151" s="352"/>
      <c r="AE151" s="381">
        <f t="shared" si="70"/>
        <v>0</v>
      </c>
      <c r="AF151" s="381"/>
      <c r="AG151" s="408"/>
      <c r="AH151" s="409">
        <f t="shared" si="71"/>
        <v>0</v>
      </c>
      <c r="AI151" s="410"/>
      <c r="AJ151" s="411">
        <f t="shared" si="72"/>
        <v>0</v>
      </c>
    </row>
    <row r="152" spans="1:39" s="284" customFormat="1" ht="24" customHeight="1">
      <c r="A152" s="424" t="s">
        <v>392</v>
      </c>
      <c r="B152" s="295"/>
      <c r="C152" s="295"/>
      <c r="D152" s="318"/>
      <c r="E152" s="319"/>
      <c r="F152" s="320"/>
      <c r="G152" s="320"/>
      <c r="H152" s="320"/>
      <c r="I152" s="321"/>
      <c r="J152" s="321"/>
      <c r="K152" s="320"/>
      <c r="L152" s="352"/>
      <c r="M152" s="353"/>
      <c r="N152" s="321"/>
      <c r="O152" s="321"/>
      <c r="P152" s="321"/>
      <c r="Q152" s="321"/>
      <c r="R152" s="321"/>
      <c r="S152" s="321"/>
      <c r="T152" s="351"/>
      <c r="U152" s="352"/>
      <c r="V152" s="319"/>
      <c r="W152" s="320"/>
      <c r="X152" s="320"/>
      <c r="Y152" s="321"/>
      <c r="Z152" s="321"/>
      <c r="AA152" s="321"/>
      <c r="AB152" s="320"/>
      <c r="AC152" s="380"/>
      <c r="AD152" s="352"/>
      <c r="AE152" s="381">
        <f t="shared" si="70"/>
        <v>0</v>
      </c>
      <c r="AF152" s="381"/>
      <c r="AG152" s="408"/>
      <c r="AH152" s="409">
        <f t="shared" si="71"/>
        <v>0</v>
      </c>
      <c r="AI152" s="410"/>
      <c r="AJ152" s="411">
        <f t="shared" si="72"/>
        <v>0</v>
      </c>
      <c r="AK152" s="403"/>
      <c r="AL152" s="403"/>
      <c r="AM152" s="403"/>
    </row>
    <row r="153" spans="1:39" s="282" customFormat="1" ht="20.25">
      <c r="A153" s="424" t="s">
        <v>392</v>
      </c>
      <c r="B153" s="295"/>
      <c r="C153" s="295"/>
      <c r="D153" s="318"/>
      <c r="E153" s="319"/>
      <c r="F153" s="320"/>
      <c r="G153" s="320"/>
      <c r="H153" s="320"/>
      <c r="I153" s="321"/>
      <c r="J153" s="321"/>
      <c r="K153" s="320"/>
      <c r="L153" s="352"/>
      <c r="M153" s="353"/>
      <c r="N153" s="321"/>
      <c r="O153" s="321"/>
      <c r="P153" s="321"/>
      <c r="Q153" s="321"/>
      <c r="R153" s="321"/>
      <c r="S153" s="321"/>
      <c r="T153" s="351"/>
      <c r="U153" s="352"/>
      <c r="V153" s="319"/>
      <c r="W153" s="320"/>
      <c r="X153" s="320"/>
      <c r="Y153" s="321"/>
      <c r="Z153" s="321"/>
      <c r="AA153" s="321"/>
      <c r="AB153" s="320"/>
      <c r="AC153" s="380"/>
      <c r="AD153" s="352"/>
      <c r="AE153" s="381">
        <f t="shared" si="70"/>
        <v>0</v>
      </c>
      <c r="AF153" s="381"/>
      <c r="AG153" s="408"/>
      <c r="AH153" s="409">
        <f t="shared" si="71"/>
        <v>0</v>
      </c>
      <c r="AI153" s="410"/>
      <c r="AJ153" s="411">
        <f t="shared" si="72"/>
        <v>0</v>
      </c>
    </row>
    <row r="154" spans="1:39" s="283" customFormat="1" ht="20.25">
      <c r="A154" s="424" t="s">
        <v>392</v>
      </c>
      <c r="B154" s="295"/>
      <c r="C154" s="295"/>
      <c r="D154" s="318"/>
      <c r="E154" s="319"/>
      <c r="F154" s="320"/>
      <c r="G154" s="320"/>
      <c r="H154" s="320"/>
      <c r="I154" s="321"/>
      <c r="J154" s="321"/>
      <c r="K154" s="320"/>
      <c r="L154" s="352"/>
      <c r="M154" s="353"/>
      <c r="N154" s="321"/>
      <c r="O154" s="321"/>
      <c r="P154" s="321"/>
      <c r="Q154" s="321"/>
      <c r="R154" s="321"/>
      <c r="S154" s="321"/>
      <c r="T154" s="351"/>
      <c r="U154" s="352"/>
      <c r="V154" s="319"/>
      <c r="W154" s="320"/>
      <c r="X154" s="320"/>
      <c r="Y154" s="321"/>
      <c r="Z154" s="321"/>
      <c r="AA154" s="321"/>
      <c r="AB154" s="320"/>
      <c r="AC154" s="380"/>
      <c r="AD154" s="352"/>
      <c r="AE154" s="381">
        <f t="shared" si="70"/>
        <v>0</v>
      </c>
      <c r="AF154" s="381"/>
      <c r="AG154" s="408"/>
      <c r="AH154" s="409">
        <f t="shared" si="71"/>
        <v>0</v>
      </c>
      <c r="AI154" s="410"/>
      <c r="AJ154" s="411">
        <f t="shared" si="72"/>
        <v>0</v>
      </c>
    </row>
    <row r="155" spans="1:39" s="283" customFormat="1" ht="20.25">
      <c r="A155" s="424" t="s">
        <v>392</v>
      </c>
      <c r="B155" s="295"/>
      <c r="C155" s="295"/>
      <c r="D155" s="318"/>
      <c r="E155" s="319"/>
      <c r="F155" s="320"/>
      <c r="G155" s="320"/>
      <c r="H155" s="320"/>
      <c r="I155" s="321"/>
      <c r="J155" s="321"/>
      <c r="K155" s="320"/>
      <c r="L155" s="352"/>
      <c r="M155" s="353"/>
      <c r="N155" s="321"/>
      <c r="O155" s="321"/>
      <c r="P155" s="321"/>
      <c r="Q155" s="321"/>
      <c r="R155" s="321"/>
      <c r="S155" s="321"/>
      <c r="T155" s="351"/>
      <c r="U155" s="352"/>
      <c r="V155" s="319"/>
      <c r="W155" s="320"/>
      <c r="X155" s="320"/>
      <c r="Y155" s="321"/>
      <c r="Z155" s="321"/>
      <c r="AA155" s="321"/>
      <c r="AB155" s="320"/>
      <c r="AC155" s="380"/>
      <c r="AD155" s="352"/>
      <c r="AE155" s="381">
        <f t="shared" ref="AE155:AE166" si="73">SUM(E155:AC155)</f>
        <v>0</v>
      </c>
      <c r="AF155" s="381"/>
      <c r="AG155" s="408"/>
      <c r="AH155" s="409">
        <f t="shared" ref="AH155:AH166" si="74">AE155+AF155</f>
        <v>0</v>
      </c>
      <c r="AI155" s="410"/>
      <c r="AJ155" s="411">
        <f t="shared" ref="AJ155:AJ166" si="75">AH155+AI155</f>
        <v>0</v>
      </c>
    </row>
    <row r="156" spans="1:39" s="283" customFormat="1" ht="20.25">
      <c r="A156" s="424" t="s">
        <v>392</v>
      </c>
      <c r="B156" s="295"/>
      <c r="C156" s="295"/>
      <c r="D156" s="318"/>
      <c r="E156" s="319"/>
      <c r="F156" s="320"/>
      <c r="G156" s="320"/>
      <c r="H156" s="320"/>
      <c r="I156" s="321"/>
      <c r="J156" s="321"/>
      <c r="K156" s="320"/>
      <c r="L156" s="352"/>
      <c r="M156" s="353"/>
      <c r="N156" s="321"/>
      <c r="O156" s="321"/>
      <c r="P156" s="321"/>
      <c r="Q156" s="321"/>
      <c r="R156" s="321"/>
      <c r="S156" s="321"/>
      <c r="T156" s="351"/>
      <c r="U156" s="352"/>
      <c r="V156" s="319"/>
      <c r="W156" s="320"/>
      <c r="X156" s="320"/>
      <c r="Y156" s="321"/>
      <c r="Z156" s="321"/>
      <c r="AA156" s="321"/>
      <c r="AB156" s="320"/>
      <c r="AC156" s="380"/>
      <c r="AD156" s="352"/>
      <c r="AE156" s="381">
        <f t="shared" si="73"/>
        <v>0</v>
      </c>
      <c r="AF156" s="381"/>
      <c r="AG156" s="408"/>
      <c r="AH156" s="409">
        <f t="shared" si="74"/>
        <v>0</v>
      </c>
      <c r="AI156" s="410"/>
      <c r="AJ156" s="411">
        <f t="shared" si="75"/>
        <v>0</v>
      </c>
    </row>
    <row r="157" spans="1:39" s="283" customFormat="1" ht="20.25">
      <c r="A157" s="792" t="s">
        <v>392</v>
      </c>
      <c r="B157" s="295"/>
      <c r="C157" s="295"/>
      <c r="D157" s="318"/>
      <c r="E157" s="319"/>
      <c r="F157" s="320"/>
      <c r="G157" s="320"/>
      <c r="H157" s="320"/>
      <c r="I157" s="321"/>
      <c r="J157" s="321"/>
      <c r="K157" s="320"/>
      <c r="L157" s="352"/>
      <c r="M157" s="353"/>
      <c r="N157" s="321"/>
      <c r="O157" s="321"/>
      <c r="P157" s="321"/>
      <c r="Q157" s="321"/>
      <c r="R157" s="321"/>
      <c r="S157" s="321"/>
      <c r="T157" s="351"/>
      <c r="U157" s="352"/>
      <c r="V157" s="319"/>
      <c r="W157" s="320"/>
      <c r="X157" s="320"/>
      <c r="Y157" s="321"/>
      <c r="Z157" s="321"/>
      <c r="AA157" s="321"/>
      <c r="AB157" s="320"/>
      <c r="AC157" s="380"/>
      <c r="AD157" s="352"/>
      <c r="AE157" s="381">
        <f t="shared" ref="AE157:AE161" si="76">SUM(E157:AC157)</f>
        <v>0</v>
      </c>
      <c r="AF157" s="381"/>
      <c r="AG157" s="408"/>
      <c r="AH157" s="409">
        <f t="shared" si="74"/>
        <v>0</v>
      </c>
      <c r="AI157" s="410"/>
      <c r="AJ157" s="411">
        <f t="shared" si="75"/>
        <v>0</v>
      </c>
    </row>
    <row r="158" spans="1:39" s="283" customFormat="1" ht="20.25">
      <c r="A158" s="792" t="s">
        <v>392</v>
      </c>
      <c r="B158" s="295"/>
      <c r="C158" s="295"/>
      <c r="D158" s="318"/>
      <c r="E158" s="319"/>
      <c r="F158" s="320"/>
      <c r="G158" s="320"/>
      <c r="H158" s="320"/>
      <c r="I158" s="321"/>
      <c r="J158" s="321"/>
      <c r="K158" s="320"/>
      <c r="L158" s="352"/>
      <c r="M158" s="353"/>
      <c r="N158" s="321"/>
      <c r="O158" s="321"/>
      <c r="P158" s="321"/>
      <c r="Q158" s="321"/>
      <c r="R158" s="321"/>
      <c r="S158" s="321"/>
      <c r="T158" s="351"/>
      <c r="U158" s="352"/>
      <c r="V158" s="319"/>
      <c r="W158" s="320"/>
      <c r="X158" s="320"/>
      <c r="Y158" s="321"/>
      <c r="Z158" s="321"/>
      <c r="AA158" s="321"/>
      <c r="AB158" s="320"/>
      <c r="AC158" s="380"/>
      <c r="AD158" s="352"/>
      <c r="AE158" s="381">
        <f t="shared" ref="AE158:AE160" si="77">SUM(E158:AC158)</f>
        <v>0</v>
      </c>
      <c r="AF158" s="381"/>
      <c r="AG158" s="408"/>
      <c r="AH158" s="409">
        <f t="shared" si="74"/>
        <v>0</v>
      </c>
      <c r="AI158" s="410"/>
      <c r="AJ158" s="411">
        <f t="shared" si="75"/>
        <v>0</v>
      </c>
    </row>
    <row r="159" spans="1:39" s="284" customFormat="1" ht="8.25" customHeight="1">
      <c r="A159" s="792" t="s">
        <v>392</v>
      </c>
      <c r="B159" s="295"/>
      <c r="C159" s="295"/>
      <c r="D159" s="318"/>
      <c r="E159" s="319"/>
      <c r="F159" s="320"/>
      <c r="G159" s="320"/>
      <c r="H159" s="320"/>
      <c r="I159" s="321"/>
      <c r="J159" s="321"/>
      <c r="K159" s="320"/>
      <c r="L159" s="352"/>
      <c r="M159" s="353"/>
      <c r="N159" s="321"/>
      <c r="O159" s="321"/>
      <c r="P159" s="321"/>
      <c r="Q159" s="321"/>
      <c r="R159" s="321"/>
      <c r="S159" s="321"/>
      <c r="T159" s="351"/>
      <c r="U159" s="352"/>
      <c r="V159" s="319"/>
      <c r="W159" s="320"/>
      <c r="X159" s="320"/>
      <c r="Y159" s="321"/>
      <c r="Z159" s="321"/>
      <c r="AA159" s="321"/>
      <c r="AB159" s="320"/>
      <c r="AC159" s="380"/>
      <c r="AD159" s="352"/>
      <c r="AE159" s="381">
        <f t="shared" si="77"/>
        <v>0</v>
      </c>
      <c r="AF159" s="381"/>
      <c r="AG159" s="408"/>
      <c r="AH159" s="409">
        <f t="shared" si="74"/>
        <v>0</v>
      </c>
      <c r="AI159" s="410"/>
      <c r="AJ159" s="411">
        <f t="shared" si="75"/>
        <v>0</v>
      </c>
      <c r="AK159" s="403"/>
      <c r="AL159" s="403"/>
      <c r="AM159" s="403"/>
    </row>
    <row r="160" spans="1:39" s="282" customFormat="1" ht="20.25">
      <c r="A160" s="792" t="s">
        <v>392</v>
      </c>
      <c r="B160" s="295"/>
      <c r="C160" s="295"/>
      <c r="D160" s="318"/>
      <c r="E160" s="319"/>
      <c r="F160" s="320"/>
      <c r="G160" s="320"/>
      <c r="H160" s="320"/>
      <c r="I160" s="321"/>
      <c r="J160" s="321"/>
      <c r="K160" s="320"/>
      <c r="L160" s="352"/>
      <c r="M160" s="353"/>
      <c r="N160" s="321"/>
      <c r="O160" s="321"/>
      <c r="P160" s="321"/>
      <c r="Q160" s="321"/>
      <c r="R160" s="321"/>
      <c r="S160" s="321"/>
      <c r="T160" s="351"/>
      <c r="U160" s="352"/>
      <c r="V160" s="319"/>
      <c r="W160" s="320"/>
      <c r="X160" s="320"/>
      <c r="Y160" s="321"/>
      <c r="Z160" s="321"/>
      <c r="AA160" s="321"/>
      <c r="AB160" s="320"/>
      <c r="AC160" s="380"/>
      <c r="AD160" s="352"/>
      <c r="AE160" s="381">
        <f t="shared" si="77"/>
        <v>0</v>
      </c>
      <c r="AF160" s="381"/>
      <c r="AG160" s="408"/>
      <c r="AH160" s="409">
        <f t="shared" si="74"/>
        <v>0</v>
      </c>
      <c r="AI160" s="410"/>
      <c r="AJ160" s="411">
        <f t="shared" si="75"/>
        <v>0</v>
      </c>
    </row>
    <row r="161" spans="1:39" s="283" customFormat="1" ht="20.25">
      <c r="A161" s="792" t="s">
        <v>392</v>
      </c>
      <c r="B161" s="295"/>
      <c r="C161" s="295"/>
      <c r="D161" s="318"/>
      <c r="E161" s="319"/>
      <c r="F161" s="320"/>
      <c r="G161" s="320"/>
      <c r="H161" s="320"/>
      <c r="I161" s="321"/>
      <c r="J161" s="321"/>
      <c r="K161" s="320"/>
      <c r="L161" s="352"/>
      <c r="M161" s="353"/>
      <c r="N161" s="321"/>
      <c r="O161" s="321"/>
      <c r="P161" s="321"/>
      <c r="Q161" s="321"/>
      <c r="R161" s="321"/>
      <c r="S161" s="321"/>
      <c r="T161" s="351"/>
      <c r="U161" s="352"/>
      <c r="V161" s="319"/>
      <c r="W161" s="320"/>
      <c r="X161" s="320"/>
      <c r="Y161" s="321"/>
      <c r="Z161" s="321"/>
      <c r="AA161" s="321"/>
      <c r="AB161" s="320"/>
      <c r="AC161" s="380"/>
      <c r="AD161" s="352"/>
      <c r="AE161" s="381">
        <f t="shared" si="76"/>
        <v>0</v>
      </c>
      <c r="AF161" s="381"/>
      <c r="AG161" s="408"/>
      <c r="AH161" s="409">
        <f t="shared" ref="AH161:AH162" si="78">AE161+AF161</f>
        <v>0</v>
      </c>
      <c r="AI161" s="410"/>
      <c r="AJ161" s="411">
        <f t="shared" ref="AJ161:AJ162" si="79">AH161+AI161</f>
        <v>0</v>
      </c>
    </row>
    <row r="162" spans="1:39" s="283" customFormat="1" ht="20.25">
      <c r="A162" s="792" t="s">
        <v>392</v>
      </c>
      <c r="B162" s="295"/>
      <c r="C162" s="295"/>
      <c r="D162" s="318"/>
      <c r="E162" s="319"/>
      <c r="F162" s="320"/>
      <c r="G162" s="320"/>
      <c r="H162" s="320"/>
      <c r="I162" s="321"/>
      <c r="J162" s="321"/>
      <c r="K162" s="320"/>
      <c r="L162" s="352"/>
      <c r="M162" s="353"/>
      <c r="N162" s="321"/>
      <c r="O162" s="321"/>
      <c r="P162" s="321"/>
      <c r="Q162" s="321"/>
      <c r="R162" s="321"/>
      <c r="S162" s="321"/>
      <c r="T162" s="351"/>
      <c r="U162" s="352"/>
      <c r="V162" s="319"/>
      <c r="W162" s="320"/>
      <c r="X162" s="320"/>
      <c r="Y162" s="321"/>
      <c r="Z162" s="321"/>
      <c r="AA162" s="321"/>
      <c r="AB162" s="320"/>
      <c r="AC162" s="380"/>
      <c r="AD162" s="352"/>
      <c r="AE162" s="381">
        <f t="shared" ref="AE162:AE163" si="80">SUM(E162:AC162)</f>
        <v>0</v>
      </c>
      <c r="AF162" s="381"/>
      <c r="AG162" s="408"/>
      <c r="AH162" s="409">
        <f t="shared" si="78"/>
        <v>0</v>
      </c>
      <c r="AI162" s="410"/>
      <c r="AJ162" s="411">
        <f t="shared" si="79"/>
        <v>0</v>
      </c>
    </row>
    <row r="163" spans="1:39" s="283" customFormat="1" ht="20.25">
      <c r="A163" s="792" t="s">
        <v>392</v>
      </c>
      <c r="B163" s="295"/>
      <c r="C163" s="295"/>
      <c r="D163" s="318"/>
      <c r="E163" s="319"/>
      <c r="F163" s="320"/>
      <c r="G163" s="320"/>
      <c r="H163" s="320"/>
      <c r="I163" s="321"/>
      <c r="J163" s="321"/>
      <c r="K163" s="320"/>
      <c r="L163" s="352"/>
      <c r="M163" s="353"/>
      <c r="N163" s="321"/>
      <c r="O163" s="321"/>
      <c r="P163" s="321"/>
      <c r="Q163" s="321"/>
      <c r="R163" s="321"/>
      <c r="S163" s="321"/>
      <c r="T163" s="351"/>
      <c r="U163" s="352"/>
      <c r="V163" s="319"/>
      <c r="W163" s="320"/>
      <c r="X163" s="320"/>
      <c r="Y163" s="321"/>
      <c r="Z163" s="321"/>
      <c r="AA163" s="321"/>
      <c r="AB163" s="320"/>
      <c r="AC163" s="380"/>
      <c r="AD163" s="352"/>
      <c r="AE163" s="381">
        <f t="shared" si="80"/>
        <v>0</v>
      </c>
      <c r="AF163" s="381"/>
      <c r="AG163" s="408"/>
      <c r="AH163" s="409">
        <f t="shared" ref="AH163" si="81">AE163+AF163</f>
        <v>0</v>
      </c>
      <c r="AI163" s="410"/>
      <c r="AJ163" s="411">
        <f t="shared" ref="AJ163" si="82">AH163+AI163</f>
        <v>0</v>
      </c>
    </row>
    <row r="164" spans="1:39" s="283" customFormat="1" ht="20.25">
      <c r="A164" s="792" t="s">
        <v>392</v>
      </c>
      <c r="B164" s="295"/>
      <c r="C164" s="295"/>
      <c r="D164" s="318"/>
      <c r="E164" s="319"/>
      <c r="F164" s="320"/>
      <c r="G164" s="320"/>
      <c r="H164" s="320"/>
      <c r="I164" s="321"/>
      <c r="J164" s="321"/>
      <c r="K164" s="320"/>
      <c r="L164" s="352"/>
      <c r="M164" s="353"/>
      <c r="N164" s="321"/>
      <c r="O164" s="321"/>
      <c r="P164" s="321"/>
      <c r="Q164" s="321"/>
      <c r="R164" s="321"/>
      <c r="S164" s="321"/>
      <c r="T164" s="351"/>
      <c r="U164" s="352"/>
      <c r="V164" s="319"/>
      <c r="W164" s="320"/>
      <c r="X164" s="320"/>
      <c r="Y164" s="321"/>
      <c r="Z164" s="321"/>
      <c r="AA164" s="321"/>
      <c r="AB164" s="320"/>
      <c r="AC164" s="380"/>
      <c r="AD164" s="352"/>
      <c r="AE164" s="381">
        <f t="shared" ref="AE164" si="83">SUM(E164:AC164)</f>
        <v>0</v>
      </c>
      <c r="AF164" s="381"/>
      <c r="AG164" s="408"/>
      <c r="AH164" s="409">
        <f t="shared" ref="AH164" si="84">AE164+AF164</f>
        <v>0</v>
      </c>
      <c r="AI164" s="410"/>
      <c r="AJ164" s="411">
        <f t="shared" ref="AJ164" si="85">AH164+AI164</f>
        <v>0</v>
      </c>
    </row>
    <row r="165" spans="1:39" s="283" customFormat="1" ht="20.25">
      <c r="A165" s="792" t="s">
        <v>392</v>
      </c>
      <c r="B165" s="295"/>
      <c r="C165" s="295"/>
      <c r="D165" s="318"/>
      <c r="E165" s="319"/>
      <c r="F165" s="320"/>
      <c r="G165" s="320"/>
      <c r="H165" s="320"/>
      <c r="I165" s="321"/>
      <c r="J165" s="321"/>
      <c r="K165" s="320"/>
      <c r="L165" s="352"/>
      <c r="M165" s="353"/>
      <c r="N165" s="321"/>
      <c r="O165" s="321"/>
      <c r="P165" s="321"/>
      <c r="Q165" s="321"/>
      <c r="R165" s="321"/>
      <c r="S165" s="321"/>
      <c r="T165" s="351"/>
      <c r="U165" s="352"/>
      <c r="V165" s="319"/>
      <c r="W165" s="320"/>
      <c r="X165" s="320"/>
      <c r="Y165" s="321"/>
      <c r="Z165" s="321"/>
      <c r="AA165" s="321"/>
      <c r="AB165" s="320"/>
      <c r="AC165" s="380"/>
      <c r="AD165" s="352"/>
      <c r="AE165" s="381">
        <f t="shared" ref="AE165" si="86">SUM(E165:AC165)</f>
        <v>0</v>
      </c>
      <c r="AF165" s="381"/>
      <c r="AG165" s="408"/>
      <c r="AH165" s="409">
        <f t="shared" si="74"/>
        <v>0</v>
      </c>
      <c r="AI165" s="410"/>
      <c r="AJ165" s="411">
        <f t="shared" si="75"/>
        <v>0</v>
      </c>
    </row>
    <row r="166" spans="1:39" s="283" customFormat="1" ht="20.25">
      <c r="A166" s="424" t="s">
        <v>392</v>
      </c>
      <c r="B166" s="295"/>
      <c r="C166" s="295"/>
      <c r="D166" s="318"/>
      <c r="E166" s="319"/>
      <c r="F166" s="320"/>
      <c r="G166" s="320"/>
      <c r="H166" s="320"/>
      <c r="I166" s="321"/>
      <c r="J166" s="321"/>
      <c r="K166" s="320"/>
      <c r="L166" s="352"/>
      <c r="M166" s="353"/>
      <c r="N166" s="321"/>
      <c r="O166" s="321"/>
      <c r="P166" s="321"/>
      <c r="Q166" s="321"/>
      <c r="R166" s="321"/>
      <c r="S166" s="321"/>
      <c r="T166" s="351"/>
      <c r="U166" s="352"/>
      <c r="V166" s="319"/>
      <c r="W166" s="320"/>
      <c r="X166" s="320"/>
      <c r="Y166" s="321"/>
      <c r="Z166" s="321"/>
      <c r="AA166" s="321"/>
      <c r="AB166" s="320"/>
      <c r="AC166" s="380"/>
      <c r="AD166" s="352"/>
      <c r="AE166" s="381">
        <f t="shared" si="73"/>
        <v>0</v>
      </c>
      <c r="AF166" s="381"/>
      <c r="AG166" s="408"/>
      <c r="AH166" s="409">
        <f t="shared" si="74"/>
        <v>0</v>
      </c>
      <c r="AI166" s="410"/>
      <c r="AJ166" s="411">
        <f t="shared" si="75"/>
        <v>0</v>
      </c>
    </row>
    <row r="167" spans="1:39" s="283" customFormat="1" ht="21" thickBot="1">
      <c r="A167" s="424" t="s">
        <v>392</v>
      </c>
      <c r="B167" s="323"/>
      <c r="C167" s="323"/>
      <c r="D167" s="324"/>
      <c r="E167" s="325"/>
      <c r="F167" s="297"/>
      <c r="G167" s="297"/>
      <c r="H167" s="297"/>
      <c r="I167" s="298"/>
      <c r="J167" s="298"/>
      <c r="K167" s="297"/>
      <c r="L167" s="355"/>
      <c r="M167" s="343"/>
      <c r="N167" s="298"/>
      <c r="O167" s="298"/>
      <c r="P167" s="298"/>
      <c r="Q167" s="298"/>
      <c r="R167" s="298"/>
      <c r="S167" s="298"/>
      <c r="T167" s="367"/>
      <c r="U167" s="355"/>
      <c r="V167" s="325"/>
      <c r="W167" s="297"/>
      <c r="X167" s="297"/>
      <c r="Y167" s="298"/>
      <c r="Z167" s="298"/>
      <c r="AA167" s="298"/>
      <c r="AB167" s="297"/>
      <c r="AC167" s="375"/>
      <c r="AD167" s="355"/>
      <c r="AE167" s="376">
        <f t="shared" si="70"/>
        <v>0</v>
      </c>
      <c r="AF167" s="377"/>
      <c r="AG167" s="390"/>
      <c r="AH167" s="391">
        <f t="shared" si="71"/>
        <v>0</v>
      </c>
      <c r="AI167" s="412"/>
      <c r="AJ167" s="413">
        <f t="shared" si="72"/>
        <v>0</v>
      </c>
    </row>
    <row r="168" spans="1:39" s="284" customFormat="1" ht="8.25" customHeight="1" thickBot="1">
      <c r="A168" s="424" t="s">
        <v>392</v>
      </c>
      <c r="B168" s="327"/>
      <c r="C168" s="327"/>
      <c r="D168" s="328"/>
      <c r="E168" s="329">
        <f t="shared" ref="E168:K168" si="87">SUM(E144:E167)</f>
        <v>0</v>
      </c>
      <c r="F168" s="329">
        <f t="shared" si="87"/>
        <v>0</v>
      </c>
      <c r="G168" s="329">
        <f t="shared" si="87"/>
        <v>0</v>
      </c>
      <c r="H168" s="329">
        <f t="shared" si="87"/>
        <v>0</v>
      </c>
      <c r="I168" s="329">
        <f t="shared" si="87"/>
        <v>0</v>
      </c>
      <c r="J168" s="329">
        <f t="shared" si="87"/>
        <v>0</v>
      </c>
      <c r="K168" s="329">
        <f t="shared" si="87"/>
        <v>0</v>
      </c>
      <c r="L168" s="357"/>
      <c r="M168" s="358">
        <f t="shared" ref="M168:T168" si="88">SUM(M144:M167)</f>
        <v>0</v>
      </c>
      <c r="N168" s="358">
        <f t="shared" si="88"/>
        <v>0</v>
      </c>
      <c r="O168" s="358">
        <f t="shared" si="88"/>
        <v>0</v>
      </c>
      <c r="P168" s="358">
        <f t="shared" si="88"/>
        <v>0</v>
      </c>
      <c r="Q168" s="358">
        <f t="shared" si="88"/>
        <v>0</v>
      </c>
      <c r="R168" s="358">
        <f t="shared" si="88"/>
        <v>0</v>
      </c>
      <c r="S168" s="358">
        <f t="shared" si="88"/>
        <v>0</v>
      </c>
      <c r="T168" s="358">
        <f t="shared" si="88"/>
        <v>0</v>
      </c>
      <c r="U168" s="357"/>
      <c r="V168" s="358">
        <f t="shared" ref="V168:AC168" si="89">SUM(V144:V167)</f>
        <v>0</v>
      </c>
      <c r="W168" s="358">
        <f t="shared" si="89"/>
        <v>0</v>
      </c>
      <c r="X168" s="358">
        <f t="shared" si="89"/>
        <v>0</v>
      </c>
      <c r="Y168" s="358">
        <f t="shared" si="89"/>
        <v>0</v>
      </c>
      <c r="Z168" s="358">
        <f t="shared" si="89"/>
        <v>0</v>
      </c>
      <c r="AA168" s="358">
        <f t="shared" si="89"/>
        <v>0</v>
      </c>
      <c r="AB168" s="358">
        <f t="shared" si="89"/>
        <v>0</v>
      </c>
      <c r="AC168" s="358">
        <f t="shared" si="89"/>
        <v>0</v>
      </c>
      <c r="AD168" s="357"/>
      <c r="AE168" s="382">
        <f t="shared" ref="AE168:AJ168" si="90">SUM(AE144:AE167)</f>
        <v>0</v>
      </c>
      <c r="AF168" s="382">
        <f t="shared" si="90"/>
        <v>0</v>
      </c>
      <c r="AG168" s="416">
        <f t="shared" si="90"/>
        <v>0</v>
      </c>
      <c r="AH168" s="417">
        <f t="shared" si="90"/>
        <v>0</v>
      </c>
      <c r="AI168" s="382">
        <f t="shared" si="90"/>
        <v>0</v>
      </c>
      <c r="AJ168" s="418">
        <f t="shared" si="90"/>
        <v>0</v>
      </c>
      <c r="AK168" s="403"/>
      <c r="AL168" s="403"/>
      <c r="AM168" s="403"/>
    </row>
    <row r="169" spans="1:39" s="282" customFormat="1" ht="19.5" thickBot="1">
      <c r="A169" s="425"/>
      <c r="B169" s="426"/>
      <c r="C169" s="426"/>
      <c r="D169" s="427"/>
      <c r="E169" s="428"/>
      <c r="F169" s="428"/>
      <c r="G169" s="428"/>
      <c r="H169" s="428"/>
      <c r="I169" s="428"/>
      <c r="J169" s="428"/>
      <c r="K169" s="428"/>
      <c r="L169" s="478"/>
      <c r="M169" s="479"/>
      <c r="N169" s="479"/>
      <c r="O169" s="479"/>
      <c r="P169" s="479"/>
      <c r="Q169" s="479"/>
      <c r="R169" s="479"/>
      <c r="S169" s="479"/>
      <c r="T169" s="479"/>
      <c r="U169" s="478"/>
      <c r="V169" s="479"/>
      <c r="W169" s="479"/>
      <c r="X169" s="479"/>
      <c r="Y169" s="479"/>
      <c r="Z169" s="479"/>
      <c r="AA169" s="479"/>
      <c r="AB169" s="479"/>
      <c r="AC169" s="479"/>
      <c r="AD169" s="478"/>
      <c r="AE169" s="479"/>
      <c r="AF169" s="479"/>
      <c r="AG169" s="479"/>
      <c r="AH169" s="479"/>
      <c r="AI169" s="479"/>
      <c r="AJ169" s="506"/>
    </row>
    <row r="170" spans="1:39" s="283" customFormat="1" ht="18.75" thickBot="1">
      <c r="A170" s="429" t="s">
        <v>179</v>
      </c>
      <c r="B170" s="287" t="s">
        <v>68</v>
      </c>
      <c r="C170" s="287" t="s">
        <v>69</v>
      </c>
      <c r="D170" s="288" t="s">
        <v>70</v>
      </c>
      <c r="E170" s="2697" t="s">
        <v>94</v>
      </c>
      <c r="F170" s="2698"/>
      <c r="G170" s="2698" t="s">
        <v>53</v>
      </c>
      <c r="H170" s="2698"/>
      <c r="I170" s="2698" t="s">
        <v>75</v>
      </c>
      <c r="J170" s="2698"/>
      <c r="K170" s="2698"/>
      <c r="L170" s="2699"/>
      <c r="M170" s="2697" t="s">
        <v>94</v>
      </c>
      <c r="N170" s="2701" t="s">
        <v>170</v>
      </c>
      <c r="O170" s="2698" t="s">
        <v>95</v>
      </c>
      <c r="P170" s="2698" t="s">
        <v>576</v>
      </c>
      <c r="Q170" s="2698" t="s">
        <v>75</v>
      </c>
      <c r="R170" s="2698"/>
      <c r="S170" s="2698" t="s">
        <v>53</v>
      </c>
      <c r="T170" s="2700" t="s">
        <v>136</v>
      </c>
      <c r="U170" s="2699"/>
      <c r="V170" s="2701" t="s">
        <v>94</v>
      </c>
      <c r="W170" s="2701"/>
      <c r="X170" s="2698" t="s">
        <v>371</v>
      </c>
      <c r="Y170" s="2698"/>
      <c r="Z170" s="2701" t="s">
        <v>53</v>
      </c>
      <c r="AA170" s="2701"/>
      <c r="AB170" s="2702" t="s">
        <v>170</v>
      </c>
      <c r="AC170" s="2700" t="s">
        <v>136</v>
      </c>
      <c r="AD170" s="79"/>
      <c r="AE170" s="371" t="s">
        <v>172</v>
      </c>
      <c r="AF170" s="372" t="s">
        <v>80</v>
      </c>
      <c r="AG170" s="385"/>
      <c r="AH170" s="386" t="s">
        <v>106</v>
      </c>
      <c r="AI170" s="385" t="s">
        <v>173</v>
      </c>
      <c r="AJ170" s="371" t="s">
        <v>108</v>
      </c>
    </row>
    <row r="171" spans="1:39" s="283" customFormat="1" ht="20.25">
      <c r="A171" s="430"/>
      <c r="B171" s="431"/>
      <c r="C171" s="431"/>
      <c r="D171" s="432"/>
      <c r="E171" s="325"/>
      <c r="F171" s="297"/>
      <c r="G171" s="297"/>
      <c r="H171" s="297"/>
      <c r="I171" s="298"/>
      <c r="J171" s="298"/>
      <c r="K171" s="297"/>
      <c r="L171" s="355"/>
      <c r="M171" s="343"/>
      <c r="N171" s="298"/>
      <c r="O171" s="298"/>
      <c r="P171" s="298"/>
      <c r="Q171" s="298"/>
      <c r="R171" s="435"/>
      <c r="S171" s="298"/>
      <c r="T171" s="367"/>
      <c r="U171" s="355"/>
      <c r="V171" s="325"/>
      <c r="W171" s="297"/>
      <c r="X171" s="297"/>
      <c r="Y171" s="298"/>
      <c r="Z171" s="298"/>
      <c r="AA171" s="298"/>
      <c r="AB171" s="297"/>
      <c r="AC171" s="375"/>
      <c r="AD171" s="355"/>
      <c r="AE171" s="377">
        <f>SUM(E171:AC171)</f>
        <v>0</v>
      </c>
      <c r="AF171" s="377"/>
      <c r="AG171" s="390"/>
      <c r="AH171" s="507">
        <f t="shared" ref="AH171:AH175" si="91">AE171+AF171</f>
        <v>0</v>
      </c>
      <c r="AI171" s="412"/>
      <c r="AJ171" s="508">
        <f>AH171+AI171</f>
        <v>0</v>
      </c>
    </row>
    <row r="172" spans="1:39" s="283" customFormat="1" ht="20.25">
      <c r="A172" s="430"/>
      <c r="B172" s="431"/>
      <c r="C172" s="431"/>
      <c r="D172" s="432"/>
      <c r="E172" s="325"/>
      <c r="F172" s="297"/>
      <c r="G172" s="297"/>
      <c r="H172" s="297"/>
      <c r="I172" s="298"/>
      <c r="J172" s="298"/>
      <c r="K172" s="297"/>
      <c r="L172" s="355"/>
      <c r="M172" s="343"/>
      <c r="N172" s="298"/>
      <c r="O172" s="298"/>
      <c r="P172" s="298"/>
      <c r="Q172" s="298"/>
      <c r="R172" s="298"/>
      <c r="S172" s="298"/>
      <c r="T172" s="367"/>
      <c r="U172" s="355"/>
      <c r="V172" s="325"/>
      <c r="W172" s="297"/>
      <c r="X172" s="297"/>
      <c r="Y172" s="298"/>
      <c r="Z172" s="298"/>
      <c r="AA172" s="298"/>
      <c r="AB172" s="297"/>
      <c r="AC172" s="375"/>
      <c r="AD172" s="355"/>
      <c r="AE172" s="377">
        <f>SUM(E172:AC172)</f>
        <v>0</v>
      </c>
      <c r="AF172" s="377"/>
      <c r="AG172" s="390"/>
      <c r="AH172" s="507">
        <f t="shared" si="91"/>
        <v>0</v>
      </c>
      <c r="AI172" s="412"/>
      <c r="AJ172" s="508">
        <f>AH172+AI172</f>
        <v>0</v>
      </c>
    </row>
    <row r="173" spans="1:39" s="283" customFormat="1" ht="20.25">
      <c r="A173" s="322"/>
      <c r="B173" s="323"/>
      <c r="C173" s="323"/>
      <c r="D173" s="324"/>
      <c r="E173" s="325"/>
      <c r="F173" s="297"/>
      <c r="G173" s="297"/>
      <c r="H173" s="297"/>
      <c r="I173" s="298"/>
      <c r="J173" s="298"/>
      <c r="K173" s="297"/>
      <c r="L173" s="355"/>
      <c r="M173" s="343"/>
      <c r="N173" s="298"/>
      <c r="O173" s="298"/>
      <c r="P173" s="298"/>
      <c r="Q173" s="298"/>
      <c r="R173" s="298"/>
      <c r="S173" s="298"/>
      <c r="T173" s="367"/>
      <c r="U173" s="355"/>
      <c r="V173" s="325"/>
      <c r="W173" s="297"/>
      <c r="X173" s="297"/>
      <c r="Y173" s="298"/>
      <c r="Z173" s="298"/>
      <c r="AA173" s="298"/>
      <c r="AB173" s="297"/>
      <c r="AC173" s="375"/>
      <c r="AD173" s="355"/>
      <c r="AE173" s="377">
        <f>SUM(E173:AC173)</f>
        <v>0</v>
      </c>
      <c r="AF173" s="377"/>
      <c r="AG173" s="390"/>
      <c r="AH173" s="507">
        <f t="shared" si="91"/>
        <v>0</v>
      </c>
      <c r="AI173" s="412"/>
      <c r="AJ173" s="508">
        <f>AH173+AI173</f>
        <v>0</v>
      </c>
    </row>
    <row r="174" spans="1:39" s="283" customFormat="1" ht="20.25">
      <c r="A174" s="322"/>
      <c r="B174" s="323"/>
      <c r="C174" s="323"/>
      <c r="D174" s="324"/>
      <c r="E174" s="325"/>
      <c r="F174" s="297"/>
      <c r="G174" s="297"/>
      <c r="H174" s="297"/>
      <c r="I174" s="298"/>
      <c r="J174" s="298"/>
      <c r="K174" s="297"/>
      <c r="L174" s="355"/>
      <c r="M174" s="343"/>
      <c r="N174" s="298"/>
      <c r="O174" s="298"/>
      <c r="P174" s="298"/>
      <c r="Q174" s="298"/>
      <c r="R174" s="298"/>
      <c r="S174" s="298"/>
      <c r="T174" s="367"/>
      <c r="U174" s="355"/>
      <c r="V174" s="325"/>
      <c r="W174" s="297"/>
      <c r="X174" s="297"/>
      <c r="Y174" s="298"/>
      <c r="Z174" s="298"/>
      <c r="AA174" s="298"/>
      <c r="AB174" s="297"/>
      <c r="AC174" s="375"/>
      <c r="AD174" s="355"/>
      <c r="AE174" s="377">
        <f>SUM(E174:AC174)</f>
        <v>0</v>
      </c>
      <c r="AF174" s="377"/>
      <c r="AG174" s="390"/>
      <c r="AH174" s="507">
        <f t="shared" si="91"/>
        <v>0</v>
      </c>
      <c r="AI174" s="412"/>
      <c r="AJ174" s="508">
        <f>AH174+AI174</f>
        <v>0</v>
      </c>
    </row>
    <row r="175" spans="1:39" s="283" customFormat="1" ht="21" thickBot="1">
      <c r="A175" s="322"/>
      <c r="B175" s="323"/>
      <c r="C175" s="323"/>
      <c r="D175" s="324"/>
      <c r="E175" s="325"/>
      <c r="F175" s="297"/>
      <c r="G175" s="297"/>
      <c r="H175" s="297"/>
      <c r="I175" s="298"/>
      <c r="J175" s="298"/>
      <c r="K175" s="297"/>
      <c r="L175" s="355"/>
      <c r="M175" s="343"/>
      <c r="N175" s="298"/>
      <c r="O175" s="298"/>
      <c r="P175" s="298"/>
      <c r="Q175" s="298"/>
      <c r="R175" s="298"/>
      <c r="S175" s="298"/>
      <c r="T175" s="367"/>
      <c r="U175" s="355"/>
      <c r="V175" s="325"/>
      <c r="W175" s="297"/>
      <c r="X175" s="297"/>
      <c r="Y175" s="298"/>
      <c r="Z175" s="298"/>
      <c r="AA175" s="298"/>
      <c r="AB175" s="297"/>
      <c r="AC175" s="375"/>
      <c r="AD175" s="355"/>
      <c r="AE175" s="377">
        <f>SUM(E175:AC175)</f>
        <v>0</v>
      </c>
      <c r="AF175" s="377"/>
      <c r="AG175" s="390"/>
      <c r="AH175" s="507">
        <f t="shared" si="91"/>
        <v>0</v>
      </c>
      <c r="AI175" s="412"/>
      <c r="AJ175" s="508">
        <f t="shared" ref="AJ175" si="92">AH175+AI175</f>
        <v>0</v>
      </c>
    </row>
    <row r="176" spans="1:39" s="284" customFormat="1" ht="8.25" customHeight="1" thickBot="1">
      <c r="A176" s="436"/>
      <c r="B176" s="437"/>
      <c r="C176" s="437"/>
      <c r="D176" s="438"/>
      <c r="E176" s="439">
        <f>SUM(E171:E175)</f>
        <v>0</v>
      </c>
      <c r="F176" s="440">
        <f t="shared" ref="F176:K176" si="93">SUM(F171:F175)</f>
        <v>0</v>
      </c>
      <c r="G176" s="440">
        <f t="shared" si="93"/>
        <v>0</v>
      </c>
      <c r="H176" s="440">
        <f t="shared" si="93"/>
        <v>0</v>
      </c>
      <c r="I176" s="440">
        <f t="shared" si="93"/>
        <v>0</v>
      </c>
      <c r="J176" s="440">
        <f t="shared" si="93"/>
        <v>0</v>
      </c>
      <c r="K176" s="440">
        <f t="shared" si="93"/>
        <v>0</v>
      </c>
      <c r="L176" s="482"/>
      <c r="M176" s="439">
        <f t="shared" ref="M176:T176" si="94">SUM(M171:M175)</f>
        <v>0</v>
      </c>
      <c r="N176" s="440">
        <f t="shared" si="94"/>
        <v>0</v>
      </c>
      <c r="O176" s="440">
        <f t="shared" si="94"/>
        <v>0</v>
      </c>
      <c r="P176" s="440">
        <f t="shared" si="94"/>
        <v>0</v>
      </c>
      <c r="Q176" s="440">
        <f t="shared" si="94"/>
        <v>0</v>
      </c>
      <c r="R176" s="440">
        <f t="shared" si="94"/>
        <v>0</v>
      </c>
      <c r="S176" s="440">
        <f t="shared" si="94"/>
        <v>0</v>
      </c>
      <c r="T176" s="481">
        <f t="shared" si="94"/>
        <v>0</v>
      </c>
      <c r="U176" s="482"/>
      <c r="V176" s="439">
        <f t="shared" ref="V176:AC176" si="95">SUM(V171:V175)</f>
        <v>0</v>
      </c>
      <c r="W176" s="440">
        <f t="shared" si="95"/>
        <v>0</v>
      </c>
      <c r="X176" s="440">
        <f t="shared" si="95"/>
        <v>0</v>
      </c>
      <c r="Y176" s="440">
        <f t="shared" si="95"/>
        <v>0</v>
      </c>
      <c r="Z176" s="440">
        <f t="shared" si="95"/>
        <v>0</v>
      </c>
      <c r="AA176" s="440">
        <f t="shared" si="95"/>
        <v>0</v>
      </c>
      <c r="AB176" s="440">
        <f t="shared" si="95"/>
        <v>0</v>
      </c>
      <c r="AC176" s="481">
        <f t="shared" si="95"/>
        <v>0</v>
      </c>
      <c r="AD176" s="482"/>
      <c r="AE176" s="494">
        <f t="shared" ref="AE176:AJ176" si="96">SUM(AE171:AE175)</f>
        <v>0</v>
      </c>
      <c r="AF176" s="494">
        <f t="shared" si="96"/>
        <v>0</v>
      </c>
      <c r="AG176" s="494">
        <f t="shared" si="96"/>
        <v>0</v>
      </c>
      <c r="AH176" s="509">
        <f t="shared" si="96"/>
        <v>0</v>
      </c>
      <c r="AI176" s="494">
        <f t="shared" si="96"/>
        <v>0</v>
      </c>
      <c r="AJ176" s="515">
        <f t="shared" si="96"/>
        <v>0</v>
      </c>
      <c r="AK176" s="403"/>
      <c r="AL176" s="403"/>
      <c r="AM176" s="403"/>
    </row>
    <row r="177" spans="1:36" ht="19.5" thickBot="1">
      <c r="A177" s="425"/>
      <c r="B177" s="426"/>
      <c r="C177" s="426"/>
      <c r="D177" s="427"/>
      <c r="E177" s="428"/>
      <c r="F177" s="428"/>
      <c r="G177" s="428"/>
      <c r="H177" s="428"/>
      <c r="I177" s="428"/>
      <c r="J177" s="428"/>
      <c r="K177" s="428"/>
      <c r="L177" s="478"/>
      <c r="M177" s="479"/>
      <c r="N177" s="479"/>
      <c r="O177" s="479"/>
      <c r="P177" s="479"/>
      <c r="Q177" s="479"/>
      <c r="R177" s="479"/>
      <c r="S177" s="479"/>
      <c r="T177" s="479"/>
      <c r="U177" s="478"/>
      <c r="V177" s="479"/>
      <c r="W177" s="479"/>
      <c r="X177" s="479"/>
      <c r="Y177" s="479"/>
      <c r="Z177" s="479"/>
      <c r="AA177" s="479"/>
      <c r="AB177" s="479"/>
      <c r="AC177" s="479"/>
      <c r="AD177" s="478"/>
      <c r="AE177" s="479"/>
      <c r="AF177" s="479"/>
      <c r="AG177" s="479"/>
      <c r="AH177" s="479"/>
      <c r="AI177" s="479"/>
      <c r="AJ177" s="506"/>
    </row>
    <row r="178" spans="1:36" ht="18.75" thickBot="1">
      <c r="A178" s="441" t="s">
        <v>135</v>
      </c>
      <c r="B178" s="287" t="s">
        <v>68</v>
      </c>
      <c r="C178" s="287" t="s">
        <v>69</v>
      </c>
      <c r="D178" s="288" t="s">
        <v>70</v>
      </c>
      <c r="E178" s="2703" t="s">
        <v>94</v>
      </c>
      <c r="F178" s="2701"/>
      <c r="G178" s="2701" t="s">
        <v>53</v>
      </c>
      <c r="H178" s="2701"/>
      <c r="I178" s="2701" t="s">
        <v>75</v>
      </c>
      <c r="J178" s="2701"/>
      <c r="K178" s="2701"/>
      <c r="L178" s="2699"/>
      <c r="M178" s="2703" t="s">
        <v>94</v>
      </c>
      <c r="N178" s="2701" t="s">
        <v>170</v>
      </c>
      <c r="O178" s="2701" t="s">
        <v>95</v>
      </c>
      <c r="P178" s="2701"/>
      <c r="Q178" s="2701" t="s">
        <v>75</v>
      </c>
      <c r="R178" s="2701"/>
      <c r="S178" s="2701" t="s">
        <v>53</v>
      </c>
      <c r="T178" s="2700" t="s">
        <v>136</v>
      </c>
      <c r="U178" s="2699"/>
      <c r="V178" s="2701" t="s">
        <v>94</v>
      </c>
      <c r="W178" s="2701"/>
      <c r="X178" s="2701" t="s">
        <v>371</v>
      </c>
      <c r="Y178" s="2701"/>
      <c r="Z178" s="2701" t="s">
        <v>53</v>
      </c>
      <c r="AA178" s="2701"/>
      <c r="AB178" s="2704" t="s">
        <v>170</v>
      </c>
      <c r="AC178" s="2700" t="s">
        <v>136</v>
      </c>
      <c r="AD178" s="79"/>
      <c r="AE178" s="371" t="s">
        <v>172</v>
      </c>
      <c r="AF178" s="372" t="s">
        <v>80</v>
      </c>
      <c r="AG178" s="385"/>
      <c r="AH178" s="386" t="s">
        <v>106</v>
      </c>
      <c r="AI178" s="385" t="s">
        <v>173</v>
      </c>
      <c r="AJ178" s="371" t="s">
        <v>108</v>
      </c>
    </row>
    <row r="179" spans="1:36" s="1" customFormat="1" ht="21" customHeight="1">
      <c r="A179" s="442"/>
      <c r="B179" s="443"/>
      <c r="C179" s="443"/>
      <c r="D179" s="444"/>
      <c r="E179" s="433"/>
      <c r="F179" s="434"/>
      <c r="G179" s="434"/>
      <c r="H179" s="434"/>
      <c r="I179" s="435"/>
      <c r="J179" s="435"/>
      <c r="K179" s="434"/>
      <c r="L179" s="483"/>
      <c r="M179" s="484"/>
      <c r="N179" s="435"/>
      <c r="O179" s="435"/>
      <c r="P179" s="435"/>
      <c r="Q179" s="435"/>
      <c r="R179" s="435"/>
      <c r="S179" s="435"/>
      <c r="T179" s="492"/>
      <c r="U179" s="483"/>
      <c r="V179" s="433"/>
      <c r="W179" s="434"/>
      <c r="X179" s="434"/>
      <c r="Y179" s="435"/>
      <c r="Z179" s="435"/>
      <c r="AA179" s="435"/>
      <c r="AB179" s="434"/>
      <c r="AC179" s="495"/>
      <c r="AD179" s="483"/>
      <c r="AE179" s="496">
        <f>SUM(E179:AC179)</f>
        <v>0</v>
      </c>
      <c r="AF179" s="497"/>
      <c r="AG179" s="510"/>
      <c r="AH179" s="511">
        <f t="shared" ref="AH179:AH182" si="97">AE179+AF179</f>
        <v>0</v>
      </c>
      <c r="AI179" s="512"/>
      <c r="AJ179" s="513">
        <f>AH179+AI179</f>
        <v>0</v>
      </c>
    </row>
    <row r="180" spans="1:36" ht="20.25">
      <c r="A180" s="445"/>
      <c r="B180" s="323"/>
      <c r="C180" s="323"/>
      <c r="D180" s="324"/>
      <c r="E180" s="325"/>
      <c r="F180" s="297"/>
      <c r="G180" s="297"/>
      <c r="H180" s="297"/>
      <c r="I180" s="298"/>
      <c r="J180" s="298"/>
      <c r="K180" s="297"/>
      <c r="L180" s="355"/>
      <c r="M180" s="343"/>
      <c r="N180" s="298"/>
      <c r="O180" s="298"/>
      <c r="P180" s="298"/>
      <c r="Q180" s="298"/>
      <c r="R180" s="298"/>
      <c r="S180" s="298"/>
      <c r="T180" s="367"/>
      <c r="U180" s="355"/>
      <c r="V180" s="325"/>
      <c r="W180" s="297"/>
      <c r="X180" s="297"/>
      <c r="Y180" s="298"/>
      <c r="Z180" s="298"/>
      <c r="AA180" s="298"/>
      <c r="AB180" s="297"/>
      <c r="AC180" s="375"/>
      <c r="AD180" s="355"/>
      <c r="AE180" s="376">
        <f>SUM(E180:AC180)</f>
        <v>0</v>
      </c>
      <c r="AF180" s="377"/>
      <c r="AG180" s="390"/>
      <c r="AH180" s="391">
        <f t="shared" si="97"/>
        <v>0</v>
      </c>
      <c r="AI180" s="412"/>
      <c r="AJ180" s="413">
        <f t="shared" ref="AJ180:AJ182" si="98">AH180+AI180</f>
        <v>0</v>
      </c>
    </row>
    <row r="181" spans="1:36" s="276" customFormat="1" ht="20.25">
      <c r="A181" s="445"/>
      <c r="B181" s="323"/>
      <c r="C181" s="323"/>
      <c r="D181" s="324"/>
      <c r="E181" s="325"/>
      <c r="F181" s="297"/>
      <c r="G181" s="297"/>
      <c r="H181" s="297"/>
      <c r="I181" s="298"/>
      <c r="J181" s="298"/>
      <c r="K181" s="297"/>
      <c r="L181" s="355"/>
      <c r="M181" s="343"/>
      <c r="N181" s="298"/>
      <c r="O181" s="298"/>
      <c r="P181" s="298"/>
      <c r="Q181" s="298"/>
      <c r="R181" s="298"/>
      <c r="S181" s="298"/>
      <c r="T181" s="367"/>
      <c r="U181" s="355"/>
      <c r="V181" s="325"/>
      <c r="W181" s="297"/>
      <c r="X181" s="297"/>
      <c r="Y181" s="298"/>
      <c r="Z181" s="298"/>
      <c r="AA181" s="298"/>
      <c r="AB181" s="297"/>
      <c r="AC181" s="375"/>
      <c r="AD181" s="355"/>
      <c r="AE181" s="376">
        <f>SUM(E181:AC181)</f>
        <v>0</v>
      </c>
      <c r="AF181" s="377"/>
      <c r="AG181" s="390"/>
      <c r="AH181" s="391">
        <f t="shared" si="97"/>
        <v>0</v>
      </c>
      <c r="AI181" s="412"/>
      <c r="AJ181" s="413">
        <f t="shared" si="98"/>
        <v>0</v>
      </c>
    </row>
    <row r="182" spans="1:36" s="234" customFormat="1" ht="21" thickBot="1">
      <c r="A182" s="322"/>
      <c r="B182" s="323"/>
      <c r="C182" s="323"/>
      <c r="D182" s="324"/>
      <c r="E182" s="325"/>
      <c r="F182" s="297"/>
      <c r="G182" s="297"/>
      <c r="H182" s="297"/>
      <c r="I182" s="298"/>
      <c r="J182" s="298"/>
      <c r="K182" s="297"/>
      <c r="L182" s="355"/>
      <c r="M182" s="343"/>
      <c r="N182" s="298"/>
      <c r="O182" s="298"/>
      <c r="P182" s="298"/>
      <c r="Q182" s="298"/>
      <c r="R182" s="298"/>
      <c r="S182" s="298"/>
      <c r="T182" s="367"/>
      <c r="U182" s="355"/>
      <c r="V182" s="325"/>
      <c r="W182" s="297"/>
      <c r="X182" s="297"/>
      <c r="Y182" s="298"/>
      <c r="Z182" s="298"/>
      <c r="AA182" s="298"/>
      <c r="AB182" s="297"/>
      <c r="AC182" s="375"/>
      <c r="AD182" s="355"/>
      <c r="AE182" s="377">
        <f>SUM(E182:AC182)</f>
        <v>0</v>
      </c>
      <c r="AF182" s="377"/>
      <c r="AG182" s="390"/>
      <c r="AH182" s="507">
        <f t="shared" si="97"/>
        <v>0</v>
      </c>
      <c r="AI182" s="412"/>
      <c r="AJ182" s="508">
        <f t="shared" si="98"/>
        <v>0</v>
      </c>
    </row>
    <row r="183" spans="1:36" s="276" customFormat="1" ht="21" thickBot="1">
      <c r="A183" s="436"/>
      <c r="B183" s="437"/>
      <c r="C183" s="437"/>
      <c r="D183" s="438"/>
      <c r="E183" s="439">
        <f>SUM(E179:E182)</f>
        <v>0</v>
      </c>
      <c r="F183" s="439">
        <f t="shared" ref="F183:T183" si="99">SUM(F179:F182)</f>
        <v>0</v>
      </c>
      <c r="G183" s="439">
        <f t="shared" si="99"/>
        <v>0</v>
      </c>
      <c r="H183" s="439">
        <f t="shared" si="99"/>
        <v>0</v>
      </c>
      <c r="I183" s="439">
        <f t="shared" si="99"/>
        <v>0</v>
      </c>
      <c r="J183" s="439">
        <f t="shared" si="99"/>
        <v>0</v>
      </c>
      <c r="K183" s="439">
        <f t="shared" si="99"/>
        <v>0</v>
      </c>
      <c r="L183" s="439">
        <f t="shared" si="99"/>
        <v>0</v>
      </c>
      <c r="M183" s="439">
        <f t="shared" si="99"/>
        <v>0</v>
      </c>
      <c r="N183" s="439">
        <f t="shared" si="99"/>
        <v>0</v>
      </c>
      <c r="O183" s="439">
        <f t="shared" si="99"/>
        <v>0</v>
      </c>
      <c r="P183" s="439">
        <f t="shared" si="99"/>
        <v>0</v>
      </c>
      <c r="Q183" s="439">
        <f t="shared" si="99"/>
        <v>0</v>
      </c>
      <c r="R183" s="439">
        <f t="shared" si="99"/>
        <v>0</v>
      </c>
      <c r="S183" s="439">
        <f t="shared" si="99"/>
        <v>0</v>
      </c>
      <c r="T183" s="439">
        <f t="shared" si="99"/>
        <v>0</v>
      </c>
      <c r="U183" s="482"/>
      <c r="V183" s="439">
        <f>SUM(V179:V182)</f>
        <v>0</v>
      </c>
      <c r="W183" s="439">
        <f t="shared" ref="W183:AC183" si="100">SUM(W179:W182)</f>
        <v>0</v>
      </c>
      <c r="X183" s="439">
        <f t="shared" si="100"/>
        <v>0</v>
      </c>
      <c r="Y183" s="439">
        <f t="shared" si="100"/>
        <v>0</v>
      </c>
      <c r="Z183" s="439">
        <f t="shared" si="100"/>
        <v>0</v>
      </c>
      <c r="AA183" s="439">
        <f t="shared" si="100"/>
        <v>0</v>
      </c>
      <c r="AB183" s="439">
        <f t="shared" si="100"/>
        <v>0</v>
      </c>
      <c r="AC183" s="439">
        <f t="shared" si="100"/>
        <v>0</v>
      </c>
      <c r="AD183" s="482"/>
      <c r="AE183" s="494">
        <f>SUM(AE179:AE182)</f>
        <v>0</v>
      </c>
      <c r="AF183" s="494">
        <f>SUM(AF179:AF182)</f>
        <v>0</v>
      </c>
      <c r="AG183" s="509"/>
      <c r="AH183" s="514">
        <f>SUM(AH179:AH182)</f>
        <v>0</v>
      </c>
      <c r="AI183" s="494">
        <f>SUM(AI179:AI182)</f>
        <v>0</v>
      </c>
      <c r="AJ183" s="515">
        <f>SUM(AJ179:AJ182)</f>
        <v>0</v>
      </c>
    </row>
    <row r="184" spans="1:36" s="276" customFormat="1" ht="19.5" thickBot="1">
      <c r="A184" s="425"/>
      <c r="B184" s="426"/>
      <c r="C184" s="426"/>
      <c r="D184" s="427"/>
      <c r="E184" s="428"/>
      <c r="F184" s="428"/>
      <c r="G184" s="428"/>
      <c r="H184" s="428"/>
      <c r="I184" s="428"/>
      <c r="J184" s="428"/>
      <c r="K184" s="428"/>
      <c r="L184" s="478"/>
      <c r="M184" s="479"/>
      <c r="N184" s="479"/>
      <c r="O184" s="479"/>
      <c r="P184" s="479"/>
      <c r="Q184" s="479"/>
      <c r="R184" s="479"/>
      <c r="S184" s="479"/>
      <c r="T184" s="479"/>
      <c r="U184" s="478"/>
      <c r="V184" s="479"/>
      <c r="W184" s="479"/>
      <c r="X184" s="479"/>
      <c r="Y184" s="479"/>
      <c r="Z184" s="479"/>
      <c r="AA184" s="479"/>
      <c r="AB184" s="479"/>
      <c r="AC184" s="479"/>
      <c r="AD184" s="478"/>
      <c r="AE184" s="479"/>
      <c r="AF184" s="479"/>
      <c r="AG184" s="479"/>
      <c r="AH184" s="479"/>
      <c r="AI184" s="479"/>
      <c r="AJ184" s="506"/>
    </row>
    <row r="185" spans="1:36" s="234" customFormat="1" ht="18.75" thickBot="1">
      <c r="A185" s="446" t="s">
        <v>140</v>
      </c>
      <c r="B185" s="287" t="s">
        <v>68</v>
      </c>
      <c r="C185" s="447" t="s">
        <v>69</v>
      </c>
      <c r="D185" s="448" t="s">
        <v>70</v>
      </c>
      <c r="E185" s="2703" t="s">
        <v>94</v>
      </c>
      <c r="F185" s="2701"/>
      <c r="G185" s="2701" t="s">
        <v>53</v>
      </c>
      <c r="H185" s="2701"/>
      <c r="I185" s="2701" t="s">
        <v>75</v>
      </c>
      <c r="J185" s="2701"/>
      <c r="K185" s="2701"/>
      <c r="L185" s="2699"/>
      <c r="M185" s="2703" t="s">
        <v>94</v>
      </c>
      <c r="N185" s="2701" t="s">
        <v>170</v>
      </c>
      <c r="O185" s="2701" t="s">
        <v>95</v>
      </c>
      <c r="P185" s="2701"/>
      <c r="Q185" s="2701" t="s">
        <v>75</v>
      </c>
      <c r="R185" s="2701"/>
      <c r="S185" s="2701" t="s">
        <v>53</v>
      </c>
      <c r="T185" s="2700" t="s">
        <v>136</v>
      </c>
      <c r="U185" s="2699"/>
      <c r="V185" s="2701" t="s">
        <v>94</v>
      </c>
      <c r="W185" s="2701"/>
      <c r="X185" s="2701" t="s">
        <v>371</v>
      </c>
      <c r="Y185" s="2701"/>
      <c r="Z185" s="2701" t="s">
        <v>53</v>
      </c>
      <c r="AA185" s="2701"/>
      <c r="AB185" s="2704" t="s">
        <v>170</v>
      </c>
      <c r="AC185" s="2700" t="s">
        <v>136</v>
      </c>
      <c r="AD185" s="79"/>
      <c r="AE185" s="371" t="s">
        <v>172</v>
      </c>
      <c r="AF185" s="498" t="s">
        <v>80</v>
      </c>
      <c r="AG185" s="385"/>
      <c r="AH185" s="386" t="s">
        <v>106</v>
      </c>
      <c r="AI185" s="385" t="s">
        <v>173</v>
      </c>
      <c r="AJ185" s="371" t="s">
        <v>108</v>
      </c>
    </row>
    <row r="186" spans="1:36" s="276" customFormat="1" ht="20.25">
      <c r="A186" s="449" t="s">
        <v>180</v>
      </c>
      <c r="B186" s="450"/>
      <c r="C186" s="450"/>
      <c r="D186" s="451"/>
      <c r="E186" s="1067"/>
      <c r="F186" s="1068"/>
      <c r="G186" s="1068"/>
      <c r="H186" s="1068"/>
      <c r="I186" s="1069"/>
      <c r="J186" s="1069"/>
      <c r="K186" s="1068"/>
      <c r="L186" s="483"/>
      <c r="M186" s="484"/>
      <c r="N186" s="435"/>
      <c r="O186" s="435"/>
      <c r="P186" s="435"/>
      <c r="Q186" s="435"/>
      <c r="R186" s="435"/>
      <c r="S186" s="435"/>
      <c r="T186" s="492"/>
      <c r="U186" s="483"/>
      <c r="V186" s="433"/>
      <c r="W186" s="434"/>
      <c r="X186" s="434"/>
      <c r="Y186" s="435"/>
      <c r="Z186" s="435"/>
      <c r="AA186" s="435"/>
      <c r="AB186" s="434"/>
      <c r="AC186" s="495"/>
      <c r="AD186" s="355"/>
      <c r="AE186" s="376">
        <f t="shared" ref="AE186:AE191" si="101">SUM(E186:AC186)</f>
        <v>0</v>
      </c>
      <c r="AF186" s="499"/>
      <c r="AG186" s="516"/>
      <c r="AH186" s="391">
        <f t="shared" ref="AH186:AH191" si="102">AE186+AF186</f>
        <v>0</v>
      </c>
      <c r="AI186" s="412"/>
      <c r="AJ186" s="413">
        <f>AH186+AI186</f>
        <v>0</v>
      </c>
    </row>
    <row r="187" spans="1:36" s="276" customFormat="1" ht="20.25">
      <c r="A187" s="445"/>
      <c r="B187" s="455"/>
      <c r="C187" s="455"/>
      <c r="D187" s="456"/>
      <c r="E187" s="457"/>
      <c r="F187" s="458"/>
      <c r="G187" s="458"/>
      <c r="H187" s="458"/>
      <c r="I187" s="459"/>
      <c r="J187" s="459"/>
      <c r="K187" s="458"/>
      <c r="L187" s="355"/>
      <c r="M187" s="343"/>
      <c r="N187" s="298"/>
      <c r="O187" s="298"/>
      <c r="P187" s="298"/>
      <c r="Q187" s="298"/>
      <c r="R187" s="298"/>
      <c r="S187" s="298"/>
      <c r="T187" s="367"/>
      <c r="U187" s="355"/>
      <c r="V187" s="325"/>
      <c r="W187" s="297"/>
      <c r="X187" s="297"/>
      <c r="Y187" s="298"/>
      <c r="Z187" s="298"/>
      <c r="AA187" s="298"/>
      <c r="AB187" s="297"/>
      <c r="AC187" s="375"/>
      <c r="AD187" s="355"/>
      <c r="AE187" s="376">
        <f t="shared" si="101"/>
        <v>0</v>
      </c>
      <c r="AF187" s="500"/>
      <c r="AG187" s="500"/>
      <c r="AH187" s="391">
        <f t="shared" si="102"/>
        <v>0</v>
      </c>
      <c r="AI187" s="776"/>
      <c r="AJ187" s="413">
        <f t="shared" ref="AJ187:AJ191" si="103">AH187+AI187</f>
        <v>0</v>
      </c>
    </row>
    <row r="188" spans="1:36" s="234" customFormat="1" ht="20.25">
      <c r="A188" s="442"/>
      <c r="B188" s="455"/>
      <c r="C188" s="455"/>
      <c r="D188" s="456"/>
      <c r="E188" s="457"/>
      <c r="F188" s="458"/>
      <c r="G188" s="458"/>
      <c r="H188" s="458"/>
      <c r="I188" s="459"/>
      <c r="J188" s="459"/>
      <c r="K188" s="458"/>
      <c r="L188" s="483"/>
      <c r="M188" s="484"/>
      <c r="N188" s="435"/>
      <c r="O188" s="435"/>
      <c r="P188" s="435"/>
      <c r="Q188" s="435"/>
      <c r="R188" s="435"/>
      <c r="S188" s="435"/>
      <c r="T188" s="492"/>
      <c r="U188" s="483"/>
      <c r="V188" s="433"/>
      <c r="W188" s="434"/>
      <c r="X188" s="434"/>
      <c r="Y188" s="435"/>
      <c r="Z188" s="435"/>
      <c r="AA188" s="435"/>
      <c r="AB188" s="434"/>
      <c r="AC188" s="495"/>
      <c r="AD188" s="483"/>
      <c r="AE188" s="496">
        <f t="shared" si="101"/>
        <v>0</v>
      </c>
      <c r="AF188" s="500"/>
      <c r="AG188" s="517"/>
      <c r="AH188" s="511">
        <f t="shared" si="102"/>
        <v>0</v>
      </c>
      <c r="AI188" s="512"/>
      <c r="AJ188" s="513">
        <f t="shared" si="103"/>
        <v>0</v>
      </c>
    </row>
    <row r="189" spans="1:36" s="276" customFormat="1" ht="20.25">
      <c r="A189" s="445"/>
      <c r="B189" s="455"/>
      <c r="C189" s="455"/>
      <c r="D189" s="456"/>
      <c r="E189" s="457"/>
      <c r="F189" s="458"/>
      <c r="G189" s="458"/>
      <c r="H189" s="458"/>
      <c r="I189" s="459"/>
      <c r="J189" s="459"/>
      <c r="K189" s="458"/>
      <c r="L189" s="355"/>
      <c r="M189" s="343"/>
      <c r="N189" s="298"/>
      <c r="O189" s="298"/>
      <c r="P189" s="298"/>
      <c r="Q189" s="298"/>
      <c r="R189" s="298"/>
      <c r="S189" s="298"/>
      <c r="T189" s="367"/>
      <c r="U189" s="355"/>
      <c r="V189" s="325"/>
      <c r="W189" s="297"/>
      <c r="X189" s="297"/>
      <c r="Y189" s="298"/>
      <c r="Z189" s="298"/>
      <c r="AA189" s="298"/>
      <c r="AB189" s="297"/>
      <c r="AC189" s="375"/>
      <c r="AD189" s="355"/>
      <c r="AE189" s="376">
        <f t="shared" si="101"/>
        <v>0</v>
      </c>
      <c r="AF189" s="500"/>
      <c r="AG189" s="516"/>
      <c r="AH189" s="391">
        <f t="shared" si="102"/>
        <v>0</v>
      </c>
      <c r="AI189" s="412"/>
      <c r="AJ189" s="413">
        <f t="shared" si="103"/>
        <v>0</v>
      </c>
    </row>
    <row r="190" spans="1:36" s="276" customFormat="1" ht="20.25">
      <c r="A190" s="445"/>
      <c r="B190" s="455"/>
      <c r="C190" s="455"/>
      <c r="D190" s="456"/>
      <c r="E190" s="457"/>
      <c r="F190" s="458"/>
      <c r="G190" s="458"/>
      <c r="H190" s="458"/>
      <c r="I190" s="459"/>
      <c r="J190" s="459"/>
      <c r="K190" s="458"/>
      <c r="L190" s="355"/>
      <c r="M190" s="343"/>
      <c r="N190" s="298"/>
      <c r="O190" s="298"/>
      <c r="P190" s="298"/>
      <c r="Q190" s="298"/>
      <c r="R190" s="298"/>
      <c r="S190" s="298"/>
      <c r="T190" s="367"/>
      <c r="U190" s="355"/>
      <c r="V190" s="325"/>
      <c r="W190" s="297"/>
      <c r="X190" s="297"/>
      <c r="Y190" s="298"/>
      <c r="Z190" s="298"/>
      <c r="AA190" s="298"/>
      <c r="AB190" s="297"/>
      <c r="AC190" s="375"/>
      <c r="AD190" s="355"/>
      <c r="AE190" s="376">
        <f t="shared" si="101"/>
        <v>0</v>
      </c>
      <c r="AF190" s="500"/>
      <c r="AG190" s="516"/>
      <c r="AH190" s="391">
        <f t="shared" si="102"/>
        <v>0</v>
      </c>
      <c r="AI190" s="412"/>
      <c r="AJ190" s="413">
        <f t="shared" si="103"/>
        <v>0</v>
      </c>
    </row>
    <row r="191" spans="1:36" s="234" customFormat="1" ht="21" thickBot="1">
      <c r="A191" s="460"/>
      <c r="B191" s="461"/>
      <c r="C191" s="461"/>
      <c r="D191" s="462"/>
      <c r="E191" s="463"/>
      <c r="F191" s="464"/>
      <c r="G191" s="464"/>
      <c r="H191" s="464"/>
      <c r="I191" s="465"/>
      <c r="J191" s="465"/>
      <c r="K191" s="464"/>
      <c r="L191" s="355"/>
      <c r="M191" s="343"/>
      <c r="N191" s="298"/>
      <c r="O191" s="298"/>
      <c r="P191" s="298"/>
      <c r="Q191" s="298"/>
      <c r="R191" s="298"/>
      <c r="S191" s="298"/>
      <c r="T191" s="367"/>
      <c r="U191" s="355"/>
      <c r="V191" s="325"/>
      <c r="W191" s="297"/>
      <c r="X191" s="297"/>
      <c r="Y191" s="298"/>
      <c r="Z191" s="298"/>
      <c r="AA191" s="298"/>
      <c r="AB191" s="297"/>
      <c r="AC191" s="375"/>
      <c r="AD191" s="355"/>
      <c r="AE191" s="377">
        <f t="shared" si="101"/>
        <v>0</v>
      </c>
      <c r="AF191" s="501"/>
      <c r="AG191" s="516"/>
      <c r="AH191" s="507">
        <f t="shared" si="102"/>
        <v>0</v>
      </c>
      <c r="AI191" s="412"/>
      <c r="AJ191" s="508">
        <f t="shared" si="103"/>
        <v>0</v>
      </c>
    </row>
    <row r="192" spans="1:36" s="234" customFormat="1" ht="21" thickBot="1">
      <c r="A192" s="466"/>
      <c r="B192" s="467"/>
      <c r="C192" s="467"/>
      <c r="D192" s="468"/>
      <c r="E192" s="469">
        <f>SUM(E186:E191)</f>
        <v>0</v>
      </c>
      <c r="F192" s="469">
        <f t="shared" ref="F192:K192" si="104">SUM(F186:F191)</f>
        <v>0</v>
      </c>
      <c r="G192" s="469">
        <f t="shared" si="104"/>
        <v>0</v>
      </c>
      <c r="H192" s="469">
        <f t="shared" si="104"/>
        <v>0</v>
      </c>
      <c r="I192" s="469">
        <f t="shared" si="104"/>
        <v>0</v>
      </c>
      <c r="J192" s="469">
        <f t="shared" si="104"/>
        <v>0</v>
      </c>
      <c r="K192" s="469">
        <f t="shared" si="104"/>
        <v>0</v>
      </c>
      <c r="L192" s="482"/>
      <c r="M192" s="439">
        <f>SUM(M186:M191)</f>
        <v>0</v>
      </c>
      <c r="N192" s="439">
        <f t="shared" ref="N192:T192" si="105">SUM(N186:N191)</f>
        <v>0</v>
      </c>
      <c r="O192" s="439">
        <f t="shared" si="105"/>
        <v>0</v>
      </c>
      <c r="P192" s="439">
        <f t="shared" si="105"/>
        <v>0</v>
      </c>
      <c r="Q192" s="439">
        <f t="shared" si="105"/>
        <v>0</v>
      </c>
      <c r="R192" s="439">
        <f t="shared" si="105"/>
        <v>0</v>
      </c>
      <c r="S192" s="439">
        <f t="shared" si="105"/>
        <v>0</v>
      </c>
      <c r="T192" s="439">
        <f t="shared" si="105"/>
        <v>0</v>
      </c>
      <c r="U192" s="482"/>
      <c r="V192" s="439">
        <f>SUM(V186:V191)</f>
        <v>0</v>
      </c>
      <c r="W192" s="439">
        <f t="shared" ref="W192:AC192" si="106">SUM(W186:W191)</f>
        <v>0</v>
      </c>
      <c r="X192" s="439">
        <f t="shared" si="106"/>
        <v>0</v>
      </c>
      <c r="Y192" s="439">
        <f t="shared" si="106"/>
        <v>0</v>
      </c>
      <c r="Z192" s="439">
        <f t="shared" si="106"/>
        <v>0</v>
      </c>
      <c r="AA192" s="439">
        <f t="shared" si="106"/>
        <v>0</v>
      </c>
      <c r="AB192" s="439">
        <f t="shared" si="106"/>
        <v>0</v>
      </c>
      <c r="AC192" s="439">
        <f t="shared" si="106"/>
        <v>0</v>
      </c>
      <c r="AD192" s="482"/>
      <c r="AE192" s="494">
        <f>SUM(AE186:AE191)</f>
        <v>0</v>
      </c>
      <c r="AF192" s="502">
        <f>SUM(AF186:AF191)</f>
        <v>0</v>
      </c>
      <c r="AG192" s="509"/>
      <c r="AH192" s="514">
        <f>SUM(AH186:AH191)</f>
        <v>0</v>
      </c>
      <c r="AI192" s="494">
        <f>SUM(AI186:AI191)</f>
        <v>0</v>
      </c>
      <c r="AJ192" s="515">
        <f>SUM(AJ186:AJ191)</f>
        <v>0</v>
      </c>
    </row>
    <row r="193" spans="1:36" s="276" customFormat="1" ht="19.5" thickBot="1">
      <c r="A193" s="425"/>
      <c r="B193" s="426"/>
      <c r="C193" s="426"/>
      <c r="D193" s="427"/>
      <c r="E193" s="428"/>
      <c r="F193" s="428"/>
      <c r="G193" s="428"/>
      <c r="H193" s="428"/>
      <c r="I193" s="428"/>
      <c r="J193" s="428"/>
      <c r="K193" s="428"/>
      <c r="L193" s="478"/>
      <c r="M193" s="479"/>
      <c r="N193" s="479"/>
      <c r="O193" s="479"/>
      <c r="P193" s="479"/>
      <c r="Q193" s="479"/>
      <c r="R193" s="479"/>
      <c r="S193" s="479"/>
      <c r="T193" s="479"/>
      <c r="U193" s="478"/>
      <c r="V193" s="479"/>
      <c r="W193" s="479"/>
      <c r="X193" s="479"/>
      <c r="Y193" s="479"/>
      <c r="Z193" s="479"/>
      <c r="AA193" s="479"/>
      <c r="AB193" s="479"/>
      <c r="AC193" s="479"/>
      <c r="AD193" s="478"/>
      <c r="AE193" s="479"/>
      <c r="AF193" s="479"/>
      <c r="AG193" s="479"/>
      <c r="AH193" s="479"/>
      <c r="AI193" s="479"/>
      <c r="AJ193" s="506"/>
    </row>
    <row r="194" spans="1:36" s="234" customFormat="1" ht="18.75" thickBot="1">
      <c r="A194" s="441" t="s">
        <v>143</v>
      </c>
      <c r="B194" s="287" t="s">
        <v>68</v>
      </c>
      <c r="C194" s="287" t="s">
        <v>69</v>
      </c>
      <c r="D194" s="288" t="s">
        <v>70</v>
      </c>
      <c r="E194" s="2703" t="s">
        <v>94</v>
      </c>
      <c r="F194" s="2701"/>
      <c r="G194" s="2701" t="s">
        <v>53</v>
      </c>
      <c r="H194" s="2701"/>
      <c r="I194" s="2701" t="s">
        <v>75</v>
      </c>
      <c r="J194" s="2701"/>
      <c r="K194" s="2701"/>
      <c r="L194" s="2699"/>
      <c r="M194" s="2703" t="s">
        <v>94</v>
      </c>
      <c r="N194" s="2701" t="s">
        <v>170</v>
      </c>
      <c r="O194" s="2701" t="s">
        <v>95</v>
      </c>
      <c r="P194" s="2698" t="s">
        <v>576</v>
      </c>
      <c r="Q194" s="2701" t="s">
        <v>75</v>
      </c>
      <c r="R194" s="2701"/>
      <c r="S194" s="2701" t="s">
        <v>53</v>
      </c>
      <c r="T194" s="2700" t="s">
        <v>136</v>
      </c>
      <c r="U194" s="2699"/>
      <c r="V194" s="2701" t="s">
        <v>94</v>
      </c>
      <c r="W194" s="2701"/>
      <c r="X194" s="2701" t="s">
        <v>371</v>
      </c>
      <c r="Y194" s="2701"/>
      <c r="Z194" s="2701" t="s">
        <v>53</v>
      </c>
      <c r="AA194" s="2701"/>
      <c r="AB194" s="2704" t="s">
        <v>170</v>
      </c>
      <c r="AC194" s="2700" t="s">
        <v>136</v>
      </c>
      <c r="AD194" s="79"/>
      <c r="AE194" s="371" t="s">
        <v>172</v>
      </c>
      <c r="AF194" s="372" t="s">
        <v>80</v>
      </c>
      <c r="AG194" s="385"/>
      <c r="AH194" s="386" t="s">
        <v>106</v>
      </c>
      <c r="AI194" s="385" t="s">
        <v>173</v>
      </c>
      <c r="AJ194" s="371" t="s">
        <v>108</v>
      </c>
    </row>
    <row r="195" spans="1:36" s="276" customFormat="1" ht="20.25">
      <c r="A195" s="471" t="s">
        <v>181</v>
      </c>
      <c r="B195" s="472"/>
      <c r="C195" s="472"/>
      <c r="D195" s="473"/>
      <c r="E195" s="474"/>
      <c r="F195" s="475"/>
      <c r="G195" s="475"/>
      <c r="H195" s="475"/>
      <c r="I195" s="476"/>
      <c r="J195" s="476"/>
      <c r="K195" s="475"/>
      <c r="L195" s="490"/>
      <c r="M195" s="491"/>
      <c r="N195" s="476"/>
      <c r="O195" s="476"/>
      <c r="P195" s="476"/>
      <c r="Q195" s="476"/>
      <c r="R195" s="476"/>
      <c r="S195" s="476"/>
      <c r="T195" s="493"/>
      <c r="U195" s="490"/>
      <c r="V195" s="474"/>
      <c r="W195" s="475"/>
      <c r="X195" s="475"/>
      <c r="Y195" s="476"/>
      <c r="Z195" s="476"/>
      <c r="AA195" s="476"/>
      <c r="AB195" s="475"/>
      <c r="AC195" s="503"/>
      <c r="AD195" s="490"/>
      <c r="AE195" s="504">
        <f>SUM(E195:AC195)</f>
        <v>0</v>
      </c>
      <c r="AF195" s="505"/>
      <c r="AG195" s="518"/>
      <c r="AH195" s="519">
        <f t="shared" ref="AH195:AH199" si="107">AE195+AF195</f>
        <v>0</v>
      </c>
      <c r="AI195" s="520"/>
      <c r="AJ195" s="521">
        <f>AH195+AI195</f>
        <v>0</v>
      </c>
    </row>
    <row r="196" spans="1:36" s="234" customFormat="1" ht="20.25">
      <c r="A196" s="445" t="s">
        <v>182</v>
      </c>
      <c r="B196" s="323"/>
      <c r="C196" s="323"/>
      <c r="D196" s="324"/>
      <c r="E196" s="325"/>
      <c r="F196" s="297"/>
      <c r="G196" s="297"/>
      <c r="H196" s="297"/>
      <c r="I196" s="298"/>
      <c r="J196" s="298"/>
      <c r="K196" s="297"/>
      <c r="L196" s="355"/>
      <c r="M196" s="343"/>
      <c r="N196" s="298"/>
      <c r="O196" s="298"/>
      <c r="P196" s="298"/>
      <c r="Q196" s="298"/>
      <c r="R196" s="298"/>
      <c r="S196" s="298"/>
      <c r="T196" s="367"/>
      <c r="U196" s="355"/>
      <c r="V196" s="325"/>
      <c r="W196" s="297"/>
      <c r="X196" s="297"/>
      <c r="Y196" s="298"/>
      <c r="Z196" s="298"/>
      <c r="AA196" s="298"/>
      <c r="AB196" s="297"/>
      <c r="AC196" s="375"/>
      <c r="AD196" s="355"/>
      <c r="AE196" s="376">
        <f>SUM(E196:AC196)</f>
        <v>0</v>
      </c>
      <c r="AF196" s="377"/>
      <c r="AG196" s="390"/>
      <c r="AH196" s="391">
        <f t="shared" si="107"/>
        <v>0</v>
      </c>
      <c r="AI196" s="412"/>
      <c r="AJ196" s="413">
        <f t="shared" ref="AJ196:AJ199" si="108">AH196+AI196</f>
        <v>0</v>
      </c>
    </row>
    <row r="197" spans="1:36" s="276" customFormat="1" ht="20.25">
      <c r="A197" s="445"/>
      <c r="B197" s="323"/>
      <c r="C197" s="323"/>
      <c r="D197" s="324"/>
      <c r="E197" s="325"/>
      <c r="F197" s="297"/>
      <c r="G197" s="297"/>
      <c r="H197" s="297"/>
      <c r="I197" s="298"/>
      <c r="J197" s="298"/>
      <c r="K197" s="297"/>
      <c r="L197" s="355"/>
      <c r="M197" s="343"/>
      <c r="N197" s="298"/>
      <c r="O197" s="298"/>
      <c r="P197" s="298"/>
      <c r="Q197" s="298"/>
      <c r="R197" s="298"/>
      <c r="S197" s="298"/>
      <c r="T197" s="367"/>
      <c r="U197" s="355"/>
      <c r="V197" s="325"/>
      <c r="W197" s="297"/>
      <c r="X197" s="297"/>
      <c r="Y197" s="298"/>
      <c r="Z197" s="298"/>
      <c r="AA197" s="298"/>
      <c r="AB197" s="297"/>
      <c r="AC197" s="375"/>
      <c r="AD197" s="355"/>
      <c r="AE197" s="376">
        <f>SUM(E197:AC197)</f>
        <v>0</v>
      </c>
      <c r="AF197" s="377"/>
      <c r="AG197" s="390"/>
      <c r="AH197" s="391">
        <f t="shared" si="107"/>
        <v>0</v>
      </c>
      <c r="AI197" s="412"/>
      <c r="AJ197" s="413">
        <f t="shared" si="108"/>
        <v>0</v>
      </c>
    </row>
    <row r="198" spans="1:36" s="234" customFormat="1" ht="20.25">
      <c r="A198" s="445"/>
      <c r="B198" s="323"/>
      <c r="C198" s="323"/>
      <c r="D198" s="324"/>
      <c r="E198" s="325"/>
      <c r="F198" s="297"/>
      <c r="G198" s="297"/>
      <c r="H198" s="297"/>
      <c r="I198" s="298"/>
      <c r="J198" s="298"/>
      <c r="K198" s="297"/>
      <c r="L198" s="355"/>
      <c r="M198" s="343"/>
      <c r="N198" s="298"/>
      <c r="O198" s="298"/>
      <c r="P198" s="298"/>
      <c r="Q198" s="298"/>
      <c r="R198" s="298"/>
      <c r="S198" s="298"/>
      <c r="T198" s="367"/>
      <c r="U198" s="355"/>
      <c r="V198" s="325"/>
      <c r="W198" s="297"/>
      <c r="X198" s="297"/>
      <c r="Y198" s="298"/>
      <c r="Z198" s="298"/>
      <c r="AA198" s="298"/>
      <c r="AB198" s="297"/>
      <c r="AC198" s="375"/>
      <c r="AD198" s="355"/>
      <c r="AE198" s="376">
        <f>SUM(E198:AC198)</f>
        <v>0</v>
      </c>
      <c r="AF198" s="377"/>
      <c r="AG198" s="390"/>
      <c r="AH198" s="391">
        <f t="shared" si="107"/>
        <v>0</v>
      </c>
      <c r="AI198" s="412"/>
      <c r="AJ198" s="413">
        <f t="shared" si="108"/>
        <v>0</v>
      </c>
    </row>
    <row r="199" spans="1:36" s="276" customFormat="1" ht="21" thickBot="1">
      <c r="A199" s="322"/>
      <c r="B199" s="323"/>
      <c r="C199" s="323"/>
      <c r="D199" s="324"/>
      <c r="E199" s="325"/>
      <c r="F199" s="297"/>
      <c r="G199" s="297"/>
      <c r="H199" s="297"/>
      <c r="I199" s="298"/>
      <c r="J199" s="298"/>
      <c r="K199" s="297"/>
      <c r="L199" s="355"/>
      <c r="M199" s="343"/>
      <c r="N199" s="298"/>
      <c r="O199" s="298"/>
      <c r="P199" s="298"/>
      <c r="Q199" s="298"/>
      <c r="R199" s="298"/>
      <c r="S199" s="298"/>
      <c r="T199" s="367"/>
      <c r="U199" s="355"/>
      <c r="V199" s="325"/>
      <c r="W199" s="297"/>
      <c r="X199" s="297"/>
      <c r="Y199" s="298"/>
      <c r="Z199" s="298"/>
      <c r="AA199" s="298"/>
      <c r="AB199" s="297"/>
      <c r="AC199" s="375"/>
      <c r="AD199" s="355"/>
      <c r="AE199" s="377">
        <f>SUM(E199:AC199)</f>
        <v>0</v>
      </c>
      <c r="AF199" s="377"/>
      <c r="AG199" s="390"/>
      <c r="AH199" s="507">
        <f t="shared" si="107"/>
        <v>0</v>
      </c>
      <c r="AI199" s="412"/>
      <c r="AJ199" s="508">
        <f t="shared" si="108"/>
        <v>0</v>
      </c>
    </row>
    <row r="200" spans="1:36" s="234" customFormat="1" ht="21" thickBot="1">
      <c r="A200" s="436"/>
      <c r="B200" s="437"/>
      <c r="C200" s="437"/>
      <c r="D200" s="438"/>
      <c r="E200" s="439">
        <f>SUM(E195:E199)</f>
        <v>0</v>
      </c>
      <c r="F200" s="440">
        <f t="shared" ref="F200:K200" si="109">SUM(F195:F199)</f>
        <v>0</v>
      </c>
      <c r="G200" s="440">
        <f t="shared" si="109"/>
        <v>0</v>
      </c>
      <c r="H200" s="440">
        <f t="shared" si="109"/>
        <v>0</v>
      </c>
      <c r="I200" s="440">
        <f t="shared" si="109"/>
        <v>0</v>
      </c>
      <c r="J200" s="440">
        <f t="shared" si="109"/>
        <v>0</v>
      </c>
      <c r="K200" s="440">
        <f t="shared" si="109"/>
        <v>0</v>
      </c>
      <c r="L200" s="482"/>
      <c r="M200" s="439">
        <f t="shared" ref="M200:T200" si="110">SUM(M195:M199)</f>
        <v>0</v>
      </c>
      <c r="N200" s="440">
        <f t="shared" si="110"/>
        <v>0</v>
      </c>
      <c r="O200" s="440">
        <f t="shared" si="110"/>
        <v>0</v>
      </c>
      <c r="P200" s="440">
        <f t="shared" si="110"/>
        <v>0</v>
      </c>
      <c r="Q200" s="440">
        <f t="shared" si="110"/>
        <v>0</v>
      </c>
      <c r="R200" s="440">
        <f t="shared" si="110"/>
        <v>0</v>
      </c>
      <c r="S200" s="440">
        <f t="shared" si="110"/>
        <v>0</v>
      </c>
      <c r="T200" s="481">
        <f t="shared" si="110"/>
        <v>0</v>
      </c>
      <c r="U200" s="482"/>
      <c r="V200" s="439">
        <f t="shared" ref="V200:AC200" si="111">SUM(V195:V199)</f>
        <v>0</v>
      </c>
      <c r="W200" s="440">
        <f t="shared" si="111"/>
        <v>0</v>
      </c>
      <c r="X200" s="440">
        <f t="shared" si="111"/>
        <v>0</v>
      </c>
      <c r="Y200" s="440">
        <f t="shared" si="111"/>
        <v>0</v>
      </c>
      <c r="Z200" s="440">
        <f t="shared" si="111"/>
        <v>0</v>
      </c>
      <c r="AA200" s="440">
        <f t="shared" si="111"/>
        <v>0</v>
      </c>
      <c r="AB200" s="440">
        <f t="shared" si="111"/>
        <v>0</v>
      </c>
      <c r="AC200" s="481">
        <f t="shared" si="111"/>
        <v>0</v>
      </c>
      <c r="AD200" s="482"/>
      <c r="AE200" s="494">
        <f>SUM(AE195:AE199)</f>
        <v>0</v>
      </c>
      <c r="AF200" s="494">
        <f>SUM(AF195:AF199)</f>
        <v>0</v>
      </c>
      <c r="AG200" s="509"/>
      <c r="AH200" s="514">
        <f>SUM(AH195:AH199)</f>
        <v>0</v>
      </c>
      <c r="AI200" s="494">
        <f>SUM(AI195:AI199)</f>
        <v>0</v>
      </c>
      <c r="AJ200" s="515">
        <f>SUM(AJ195:AJ199)</f>
        <v>0</v>
      </c>
    </row>
    <row r="201" spans="1:36" s="276" customFormat="1" ht="19.5" thickBot="1">
      <c r="A201" s="522"/>
      <c r="B201" s="523"/>
      <c r="C201" s="523"/>
      <c r="D201" s="524"/>
      <c r="E201" s="525"/>
      <c r="F201" s="525"/>
      <c r="G201" s="525"/>
      <c r="H201" s="525"/>
      <c r="I201" s="525"/>
      <c r="J201" s="525"/>
      <c r="K201" s="525"/>
      <c r="L201" s="572"/>
      <c r="M201" s="573"/>
      <c r="N201" s="573"/>
      <c r="O201" s="573"/>
      <c r="P201" s="573"/>
      <c r="Q201" s="573"/>
      <c r="R201" s="573"/>
      <c r="S201" s="573"/>
      <c r="T201" s="573"/>
      <c r="U201" s="572"/>
      <c r="V201" s="573"/>
      <c r="W201" s="573"/>
      <c r="X201" s="573"/>
      <c r="Y201" s="573"/>
      <c r="Z201" s="573"/>
      <c r="AA201" s="573"/>
      <c r="AB201" s="573"/>
      <c r="AC201" s="573"/>
      <c r="AD201" s="572"/>
      <c r="AE201" s="573"/>
      <c r="AF201" s="573"/>
      <c r="AG201" s="599"/>
      <c r="AH201" s="573"/>
      <c r="AI201" s="573"/>
      <c r="AJ201" s="600"/>
    </row>
    <row r="202" spans="1:36" s="234" customFormat="1" ht="21" thickBot="1">
      <c r="A202" s="526" t="s">
        <v>145</v>
      </c>
      <c r="B202" s="527"/>
      <c r="C202" s="527"/>
      <c r="D202" s="528"/>
      <c r="E202" s="529">
        <f t="shared" ref="E202:K202" si="112">E4+E39+E76+E94+E119+E168+E176+E183+E192+E200+E142</f>
        <v>0</v>
      </c>
      <c r="F202" s="529">
        <f t="shared" si="112"/>
        <v>0</v>
      </c>
      <c r="G202" s="529">
        <f t="shared" si="112"/>
        <v>1280</v>
      </c>
      <c r="H202" s="529">
        <f t="shared" si="112"/>
        <v>0</v>
      </c>
      <c r="I202" s="529">
        <f t="shared" si="112"/>
        <v>0</v>
      </c>
      <c r="J202" s="529">
        <f t="shared" si="112"/>
        <v>0</v>
      </c>
      <c r="K202" s="529">
        <f t="shared" si="112"/>
        <v>0</v>
      </c>
      <c r="L202" s="529"/>
      <c r="M202" s="529">
        <f t="shared" ref="M202:T202" si="113">M4+M39+M76+M94+M119+M176+M168+M183+M192+M200+M142</f>
        <v>992</v>
      </c>
      <c r="N202" s="529">
        <f t="shared" si="113"/>
        <v>3440</v>
      </c>
      <c r="O202" s="529">
        <f t="shared" si="113"/>
        <v>0</v>
      </c>
      <c r="P202" s="529">
        <f t="shared" si="113"/>
        <v>0</v>
      </c>
      <c r="Q202" s="529">
        <f t="shared" si="113"/>
        <v>0</v>
      </c>
      <c r="R202" s="529">
        <f t="shared" si="113"/>
        <v>0</v>
      </c>
      <c r="S202" s="529">
        <f t="shared" si="113"/>
        <v>2080</v>
      </c>
      <c r="T202" s="529">
        <f t="shared" si="113"/>
        <v>3920</v>
      </c>
      <c r="U202" s="529"/>
      <c r="V202" s="529">
        <f t="shared" ref="V202:AC202" si="114">V4+V39+V76+V94+V119+V176+V168+V183+V192+V200+V142</f>
        <v>1424</v>
      </c>
      <c r="W202" s="529">
        <f t="shared" si="114"/>
        <v>3264</v>
      </c>
      <c r="X202" s="529">
        <f t="shared" si="114"/>
        <v>432</v>
      </c>
      <c r="Y202" s="529">
        <f t="shared" si="114"/>
        <v>128</v>
      </c>
      <c r="Z202" s="529">
        <f t="shared" si="114"/>
        <v>2768</v>
      </c>
      <c r="AA202" s="529">
        <f t="shared" si="114"/>
        <v>0</v>
      </c>
      <c r="AB202" s="529">
        <f t="shared" si="114"/>
        <v>0</v>
      </c>
      <c r="AC202" s="529">
        <f t="shared" si="114"/>
        <v>2832</v>
      </c>
      <c r="AD202" s="529"/>
      <c r="AE202" s="529">
        <f t="shared" ref="AE202:AJ202" si="115">AE4+AE39+AE76+AE94+AE119+AE176+AE168+AE183+AE192+AE200+AE142</f>
        <v>22560</v>
      </c>
      <c r="AF202" s="529">
        <f t="shared" si="115"/>
        <v>43</v>
      </c>
      <c r="AG202" s="529">
        <f t="shared" si="115"/>
        <v>0</v>
      </c>
      <c r="AH202" s="529">
        <f t="shared" si="115"/>
        <v>22603</v>
      </c>
      <c r="AI202" s="529">
        <f t="shared" si="115"/>
        <v>115</v>
      </c>
      <c r="AJ202" s="529">
        <f t="shared" si="115"/>
        <v>22718</v>
      </c>
    </row>
    <row r="203" spans="1:36" s="276" customFormat="1" ht="21" thickBot="1">
      <c r="A203" s="530" t="s">
        <v>152</v>
      </c>
      <c r="B203" s="531"/>
      <c r="C203" s="531"/>
      <c r="D203" s="532"/>
      <c r="E203" s="533">
        <f>E202/16</f>
        <v>0</v>
      </c>
      <c r="F203" s="533">
        <f t="shared" ref="F203:T203" si="116">F202/16</f>
        <v>0</v>
      </c>
      <c r="G203" s="533">
        <f t="shared" si="116"/>
        <v>80</v>
      </c>
      <c r="H203" s="533">
        <f t="shared" si="116"/>
        <v>0</v>
      </c>
      <c r="I203" s="533">
        <f t="shared" si="116"/>
        <v>0</v>
      </c>
      <c r="J203" s="533">
        <f t="shared" si="116"/>
        <v>0</v>
      </c>
      <c r="K203" s="533">
        <f t="shared" si="116"/>
        <v>0</v>
      </c>
      <c r="L203" s="533"/>
      <c r="M203" s="533">
        <f t="shared" si="116"/>
        <v>62</v>
      </c>
      <c r="N203" s="533">
        <f t="shared" si="116"/>
        <v>215</v>
      </c>
      <c r="O203" s="533">
        <f t="shared" si="116"/>
        <v>0</v>
      </c>
      <c r="P203" s="533">
        <f t="shared" si="116"/>
        <v>0</v>
      </c>
      <c r="Q203" s="533">
        <f t="shared" si="116"/>
        <v>0</v>
      </c>
      <c r="R203" s="533">
        <f t="shared" si="116"/>
        <v>0</v>
      </c>
      <c r="S203" s="533">
        <f t="shared" si="116"/>
        <v>130</v>
      </c>
      <c r="T203" s="533">
        <f t="shared" si="116"/>
        <v>245</v>
      </c>
      <c r="U203" s="533"/>
      <c r="V203" s="533">
        <f t="shared" ref="V203:AC203" si="117">V202/16</f>
        <v>89</v>
      </c>
      <c r="W203" s="533">
        <f t="shared" si="117"/>
        <v>204</v>
      </c>
      <c r="X203" s="533">
        <f t="shared" si="117"/>
        <v>27</v>
      </c>
      <c r="Y203" s="533">
        <f t="shared" si="117"/>
        <v>8</v>
      </c>
      <c r="Z203" s="533">
        <f t="shared" si="117"/>
        <v>173</v>
      </c>
      <c r="AA203" s="533">
        <f t="shared" si="117"/>
        <v>0</v>
      </c>
      <c r="AB203" s="533">
        <f t="shared" si="117"/>
        <v>0</v>
      </c>
      <c r="AC203" s="533">
        <f t="shared" si="117"/>
        <v>177</v>
      </c>
      <c r="AD203" s="533"/>
      <c r="AE203" s="533">
        <f t="shared" ref="AE203:AJ203" si="118">AE202/16</f>
        <v>1410</v>
      </c>
      <c r="AF203" s="533">
        <f t="shared" si="118"/>
        <v>2.6875</v>
      </c>
      <c r="AG203" s="533">
        <f t="shared" si="118"/>
        <v>0</v>
      </c>
      <c r="AH203" s="533">
        <f t="shared" si="118"/>
        <v>1412.6875</v>
      </c>
      <c r="AI203" s="533">
        <f t="shared" si="118"/>
        <v>7.1875</v>
      </c>
      <c r="AJ203" s="533">
        <f t="shared" si="118"/>
        <v>1419.875</v>
      </c>
    </row>
    <row r="204" spans="1:36" s="234" customFormat="1" ht="24" thickBot="1">
      <c r="A204" s="3755" t="s">
        <v>147</v>
      </c>
      <c r="B204" s="3755"/>
      <c r="C204" s="3755"/>
      <c r="D204" s="3755"/>
      <c r="E204" s="3756"/>
      <c r="F204" s="3756"/>
      <c r="G204" s="3756"/>
      <c r="H204" s="3756"/>
      <c r="I204" s="3756"/>
      <c r="J204" s="3756"/>
      <c r="K204" s="3756"/>
      <c r="L204" s="3755"/>
      <c r="M204" s="3755"/>
      <c r="N204" s="3755"/>
      <c r="O204" s="3755"/>
      <c r="P204" s="3755"/>
      <c r="Q204" s="3755"/>
      <c r="R204" s="3755"/>
      <c r="S204" s="3755"/>
      <c r="T204" s="3755"/>
      <c r="U204" s="3755"/>
      <c r="V204" s="3755"/>
      <c r="W204" s="3755"/>
      <c r="X204" s="3755"/>
      <c r="Y204" s="3755"/>
      <c r="Z204" s="3755"/>
      <c r="AA204" s="3755"/>
      <c r="AB204" s="3755"/>
      <c r="AC204" s="3755"/>
      <c r="AD204" s="3755"/>
      <c r="AE204" s="3755"/>
      <c r="AF204" s="3755"/>
      <c r="AG204" s="3755"/>
      <c r="AH204" s="3755"/>
      <c r="AI204" s="3755"/>
      <c r="AJ204" s="3755"/>
    </row>
    <row r="205" spans="1:36" s="276" customFormat="1" ht="24" thickBot="1">
      <c r="A205" s="3888" t="s">
        <v>4</v>
      </c>
      <c r="B205" s="3889"/>
      <c r="C205" s="3889"/>
      <c r="D205" s="3890"/>
      <c r="E205" s="3891" t="s">
        <v>167</v>
      </c>
      <c r="F205" s="3892"/>
      <c r="G205" s="3892"/>
      <c r="H205" s="3892"/>
      <c r="I205" s="3892"/>
      <c r="J205" s="3892"/>
      <c r="K205" s="3892"/>
      <c r="L205" s="336"/>
      <c r="M205" s="3893" t="s">
        <v>168</v>
      </c>
      <c r="N205" s="3894"/>
      <c r="O205" s="3892"/>
      <c r="P205" s="3894"/>
      <c r="Q205" s="3894"/>
      <c r="R205" s="3894"/>
      <c r="S205" s="3894"/>
      <c r="T205" s="3895"/>
      <c r="U205" s="364"/>
      <c r="V205" s="3893" t="str">
        <f>V2</f>
        <v>4003 (Goli)</v>
      </c>
      <c r="W205" s="3894"/>
      <c r="X205" s="3894"/>
      <c r="Y205" s="3894"/>
      <c r="Z205" s="3894"/>
      <c r="AA205" s="3894"/>
      <c r="AB205" s="3894"/>
      <c r="AC205" s="3895"/>
      <c r="AD205" s="364"/>
      <c r="AE205" s="3893"/>
      <c r="AF205" s="3894"/>
      <c r="AG205" s="3894"/>
      <c r="AH205" s="3894"/>
      <c r="AI205" s="3894"/>
      <c r="AJ205" s="3895"/>
    </row>
    <row r="206" spans="1:36" s="234" customFormat="1" ht="30.75" thickBot="1">
      <c r="A206" s="535" t="s">
        <v>148</v>
      </c>
      <c r="B206" s="287" t="s">
        <v>68</v>
      </c>
      <c r="C206" s="536" t="s">
        <v>69</v>
      </c>
      <c r="D206" s="536" t="s">
        <v>70</v>
      </c>
      <c r="E206" s="2703" t="s">
        <v>94</v>
      </c>
      <c r="F206" s="2701" t="s">
        <v>92</v>
      </c>
      <c r="G206" s="2701" t="s">
        <v>53</v>
      </c>
      <c r="H206" s="2701" t="s">
        <v>547</v>
      </c>
      <c r="I206" s="2701" t="s">
        <v>489</v>
      </c>
      <c r="J206" s="2701" t="s">
        <v>230</v>
      </c>
      <c r="K206" s="2701" t="s">
        <v>304</v>
      </c>
      <c r="L206" s="2699"/>
      <c r="M206" s="2703" t="s">
        <v>94</v>
      </c>
      <c r="N206" s="2701" t="s">
        <v>560</v>
      </c>
      <c r="O206" s="30" t="s">
        <v>528</v>
      </c>
      <c r="P206" s="2698" t="s">
        <v>576</v>
      </c>
      <c r="Q206" s="2701" t="s">
        <v>75</v>
      </c>
      <c r="R206" s="2701"/>
      <c r="S206" s="2701" t="s">
        <v>53</v>
      </c>
      <c r="T206" s="2700" t="s">
        <v>136</v>
      </c>
      <c r="U206" s="2699"/>
      <c r="V206" s="2701" t="s">
        <v>94</v>
      </c>
      <c r="W206" s="2701" t="s">
        <v>549</v>
      </c>
      <c r="X206" s="2701" t="s">
        <v>371</v>
      </c>
      <c r="Y206" s="2701"/>
      <c r="Z206" s="2701" t="s">
        <v>53</v>
      </c>
      <c r="AA206" s="2701"/>
      <c r="AB206" s="2704" t="s">
        <v>170</v>
      </c>
      <c r="AC206" s="2700" t="s">
        <v>136</v>
      </c>
      <c r="AD206" s="589"/>
      <c r="AE206" s="590" t="s">
        <v>172</v>
      </c>
      <c r="AF206" s="591" t="s">
        <v>80</v>
      </c>
      <c r="AG206" s="602" t="s">
        <v>150</v>
      </c>
      <c r="AH206" s="603" t="s">
        <v>106</v>
      </c>
      <c r="AI206" s="602" t="s">
        <v>173</v>
      </c>
      <c r="AJ206" s="604" t="s">
        <v>108</v>
      </c>
    </row>
    <row r="207" spans="1:36" s="276" customFormat="1" ht="20.25">
      <c r="A207" s="547" t="s">
        <v>618</v>
      </c>
      <c r="B207" s="545"/>
      <c r="C207" s="539"/>
      <c r="D207" s="544">
        <v>46116</v>
      </c>
      <c r="E207" s="332"/>
      <c r="F207" s="333"/>
      <c r="G207" s="333"/>
      <c r="H207" s="333"/>
      <c r="I207" s="334"/>
      <c r="J207" s="334"/>
      <c r="K207" s="383"/>
      <c r="L207" s="361"/>
      <c r="M207" s="362"/>
      <c r="N207" s="334">
        <f>7*16</f>
        <v>112</v>
      </c>
      <c r="O207" s="334"/>
      <c r="P207" s="334"/>
      <c r="Q207" s="334"/>
      <c r="R207" s="334"/>
      <c r="S207" s="334"/>
      <c r="T207" s="360">
        <f>3*16</f>
        <v>48</v>
      </c>
      <c r="U207" s="361"/>
      <c r="V207" s="362">
        <f>5*16</f>
        <v>80</v>
      </c>
      <c r="W207" s="334">
        <f>10*16</f>
        <v>160</v>
      </c>
      <c r="X207" s="334"/>
      <c r="Y207" s="334"/>
      <c r="Z207" s="334"/>
      <c r="AA207" s="334"/>
      <c r="AB207" s="334"/>
      <c r="AC207" s="383">
        <f>7*16</f>
        <v>112</v>
      </c>
      <c r="AD207" s="361"/>
      <c r="AE207" s="419">
        <f>SUM(E207:AC207)</f>
        <v>512</v>
      </c>
      <c r="AF207" s="420"/>
      <c r="AG207" s="384"/>
      <c r="AH207" s="404">
        <f>AE207+AF207+AG207</f>
        <v>512</v>
      </c>
      <c r="AI207" s="2691"/>
      <c r="AJ207" s="422">
        <f>AH207+AI207</f>
        <v>512</v>
      </c>
    </row>
    <row r="208" spans="1:36" s="234" customFormat="1" ht="20.25">
      <c r="A208" s="537" t="s">
        <v>619</v>
      </c>
      <c r="B208" s="545"/>
      <c r="C208" s="539"/>
      <c r="D208" s="544">
        <v>46116</v>
      </c>
      <c r="E208" s="541"/>
      <c r="F208" s="542"/>
      <c r="G208" s="542"/>
      <c r="H208" s="542"/>
      <c r="I208" s="543"/>
      <c r="J208" s="543"/>
      <c r="K208" s="592"/>
      <c r="L208" s="580"/>
      <c r="M208" s="581"/>
      <c r="N208" s="543"/>
      <c r="O208" s="543"/>
      <c r="P208" s="543"/>
      <c r="Q208" s="543"/>
      <c r="R208" s="543"/>
      <c r="S208" s="543"/>
      <c r="T208" s="587"/>
      <c r="U208" s="580"/>
      <c r="V208" s="581">
        <f>4*16</f>
        <v>64</v>
      </c>
      <c r="W208" s="543"/>
      <c r="X208" s="543"/>
      <c r="Y208" s="543"/>
      <c r="Z208" s="543">
        <f>8*16</f>
        <v>128</v>
      </c>
      <c r="AA208" s="543"/>
      <c r="AB208" s="543"/>
      <c r="AC208" s="592">
        <f>8*16</f>
        <v>128</v>
      </c>
      <c r="AD208" s="580"/>
      <c r="AE208" s="593">
        <f t="shared" ref="AE208" si="119">SUM(E208:AC208)</f>
        <v>320</v>
      </c>
      <c r="AF208" s="594"/>
      <c r="AG208" s="1200"/>
      <c r="AH208" s="593">
        <f t="shared" ref="AH208:AH271" si="120">AE208+AF208+AG208</f>
        <v>320</v>
      </c>
      <c r="AI208" s="2692"/>
      <c r="AJ208" s="606">
        <f t="shared" ref="AJ208:AJ271" si="121">AH208+AI208</f>
        <v>320</v>
      </c>
    </row>
    <row r="209" spans="1:36" s="276" customFormat="1" ht="20.25">
      <c r="A209" s="537" t="s">
        <v>622</v>
      </c>
      <c r="B209" s="538"/>
      <c r="C209" s="539"/>
      <c r="D209" s="544">
        <v>46119</v>
      </c>
      <c r="E209" s="541"/>
      <c r="F209" s="542"/>
      <c r="G209" s="542"/>
      <c r="H209" s="542"/>
      <c r="I209" s="543"/>
      <c r="J209" s="543"/>
      <c r="K209" s="592"/>
      <c r="L209" s="580"/>
      <c r="M209" s="581"/>
      <c r="N209" s="543"/>
      <c r="O209" s="543"/>
      <c r="P209" s="543"/>
      <c r="Q209" s="543"/>
      <c r="R209" s="543"/>
      <c r="S209" s="543"/>
      <c r="T209" s="587"/>
      <c r="U209" s="580"/>
      <c r="V209" s="581"/>
      <c r="W209" s="543">
        <f>10*16</f>
        <v>160</v>
      </c>
      <c r="X209" s="543"/>
      <c r="Y209" s="543"/>
      <c r="Z209" s="543"/>
      <c r="AA209" s="543"/>
      <c r="AB209" s="543"/>
      <c r="AC209" s="592">
        <f>10*16</f>
        <v>160</v>
      </c>
      <c r="AD209" s="580"/>
      <c r="AE209" s="593">
        <f t="shared" ref="AE209:AE272" si="122">SUM(E209:AC209)</f>
        <v>320</v>
      </c>
      <c r="AF209" s="594"/>
      <c r="AG209" s="1200"/>
      <c r="AH209" s="593">
        <f t="shared" si="120"/>
        <v>320</v>
      </c>
      <c r="AI209" s="2692"/>
      <c r="AJ209" s="606">
        <f t="shared" si="121"/>
        <v>320</v>
      </c>
    </row>
    <row r="210" spans="1:36" s="234" customFormat="1" ht="20.25">
      <c r="A210" s="537" t="s">
        <v>623</v>
      </c>
      <c r="B210" s="548"/>
      <c r="C210" s="549"/>
      <c r="D210" s="544">
        <v>46119</v>
      </c>
      <c r="E210" s="319"/>
      <c r="F210" s="320"/>
      <c r="G210" s="320">
        <f>3*16</f>
        <v>48</v>
      </c>
      <c r="H210" s="320"/>
      <c r="I210" s="321"/>
      <c r="J210" s="321"/>
      <c r="K210" s="380"/>
      <c r="L210" s="352"/>
      <c r="M210" s="353">
        <f>3*16</f>
        <v>48</v>
      </c>
      <c r="N210" s="321">
        <f>3*16+3*16</f>
        <v>96</v>
      </c>
      <c r="O210" s="321"/>
      <c r="P210" s="321"/>
      <c r="Q210" s="321"/>
      <c r="R210" s="321"/>
      <c r="S210" s="321">
        <f>4*16</f>
        <v>64</v>
      </c>
      <c r="T210" s="354">
        <f>3*16+4*16</f>
        <v>112</v>
      </c>
      <c r="U210" s="352"/>
      <c r="V210" s="353">
        <f>3*16</f>
        <v>48</v>
      </c>
      <c r="W210" s="321"/>
      <c r="X210" s="582"/>
      <c r="Y210" s="321"/>
      <c r="Z210" s="321"/>
      <c r="AA210" s="321"/>
      <c r="AB210" s="321"/>
      <c r="AC210" s="380"/>
      <c r="AD210" s="352"/>
      <c r="AE210" s="408">
        <f t="shared" si="122"/>
        <v>416</v>
      </c>
      <c r="AF210" s="409"/>
      <c r="AG210" s="381"/>
      <c r="AH210" s="408">
        <f t="shared" si="120"/>
        <v>416</v>
      </c>
      <c r="AI210" s="2693"/>
      <c r="AJ210" s="411">
        <f t="shared" si="121"/>
        <v>416</v>
      </c>
    </row>
    <row r="211" spans="1:36" s="276" customFormat="1" ht="20.25">
      <c r="A211" s="537" t="s">
        <v>624</v>
      </c>
      <c r="B211" s="545"/>
      <c r="C211" s="539"/>
      <c r="D211" s="544">
        <v>46120</v>
      </c>
      <c r="E211" s="541"/>
      <c r="F211" s="542"/>
      <c r="G211" s="542"/>
      <c r="H211" s="542"/>
      <c r="I211" s="543"/>
      <c r="J211" s="543"/>
      <c r="K211" s="592"/>
      <c r="L211" s="580"/>
      <c r="M211" s="581"/>
      <c r="N211" s="543">
        <f>6*16</f>
        <v>96</v>
      </c>
      <c r="O211" s="543"/>
      <c r="P211" s="543"/>
      <c r="Q211" s="543"/>
      <c r="R211" s="543"/>
      <c r="S211" s="543"/>
      <c r="T211" s="587">
        <f>7*16</f>
        <v>112</v>
      </c>
      <c r="U211" s="580"/>
      <c r="V211" s="581"/>
      <c r="W211" s="543">
        <f>6*16</f>
        <v>96</v>
      </c>
      <c r="X211" s="543"/>
      <c r="Y211" s="543"/>
      <c r="Z211" s="543"/>
      <c r="AA211" s="543"/>
      <c r="AB211" s="543"/>
      <c r="AC211" s="592">
        <f>6*16</f>
        <v>96</v>
      </c>
      <c r="AD211" s="580"/>
      <c r="AE211" s="593">
        <f t="shared" si="122"/>
        <v>400</v>
      </c>
      <c r="AF211" s="594"/>
      <c r="AG211" s="1200"/>
      <c r="AH211" s="593">
        <f t="shared" si="120"/>
        <v>400</v>
      </c>
      <c r="AI211" s="2692"/>
      <c r="AJ211" s="606">
        <f t="shared" si="121"/>
        <v>400</v>
      </c>
    </row>
    <row r="212" spans="1:36" s="234" customFormat="1" ht="20.25">
      <c r="A212" s="537" t="s">
        <v>628</v>
      </c>
      <c r="B212" s="545"/>
      <c r="C212" s="539"/>
      <c r="D212" s="544">
        <v>46122</v>
      </c>
      <c r="E212" s="541"/>
      <c r="F212" s="542"/>
      <c r="G212" s="542"/>
      <c r="H212" s="542"/>
      <c r="I212" s="543"/>
      <c r="J212" s="543"/>
      <c r="K212" s="592"/>
      <c r="L212" s="580"/>
      <c r="M212" s="581">
        <f>2*16</f>
        <v>32</v>
      </c>
      <c r="N212" s="543"/>
      <c r="O212" s="543"/>
      <c r="P212" s="543"/>
      <c r="Q212" s="543"/>
      <c r="R212" s="543"/>
      <c r="S212" s="543">
        <f>5*16</f>
        <v>80</v>
      </c>
      <c r="T212" s="587"/>
      <c r="U212" s="580"/>
      <c r="V212" s="581">
        <f>3*16</f>
        <v>48</v>
      </c>
      <c r="W212" s="543"/>
      <c r="X212" s="543"/>
      <c r="Y212" s="543"/>
      <c r="Z212" s="543">
        <f>5*16</f>
        <v>80</v>
      </c>
      <c r="AA212" s="543"/>
      <c r="AB212" s="543"/>
      <c r="AC212" s="592"/>
      <c r="AD212" s="580"/>
      <c r="AE212" s="593">
        <f t="shared" si="122"/>
        <v>240</v>
      </c>
      <c r="AF212" s="594"/>
      <c r="AG212" s="1200"/>
      <c r="AH212" s="593">
        <f t="shared" si="120"/>
        <v>240</v>
      </c>
      <c r="AI212" s="2692"/>
      <c r="AJ212" s="606">
        <f t="shared" si="121"/>
        <v>240</v>
      </c>
    </row>
    <row r="213" spans="1:36" s="276" customFormat="1" ht="20.25">
      <c r="A213" s="537" t="s">
        <v>629</v>
      </c>
      <c r="B213" s="796"/>
      <c r="C213" s="797"/>
      <c r="D213" s="544">
        <v>46122</v>
      </c>
      <c r="E213" s="319"/>
      <c r="F213" s="320"/>
      <c r="G213" s="320"/>
      <c r="H213" s="320"/>
      <c r="I213" s="321"/>
      <c r="J213" s="321"/>
      <c r="K213" s="380"/>
      <c r="L213" s="352"/>
      <c r="M213" s="353"/>
      <c r="N213" s="321"/>
      <c r="O213" s="321"/>
      <c r="P213" s="582"/>
      <c r="Q213" s="321"/>
      <c r="R213" s="321"/>
      <c r="S213" s="321"/>
      <c r="T213" s="354"/>
      <c r="U213" s="352"/>
      <c r="V213" s="353"/>
      <c r="W213" s="321"/>
      <c r="X213" s="321"/>
      <c r="Y213" s="321"/>
      <c r="Z213" s="321">
        <f>6*16</f>
        <v>96</v>
      </c>
      <c r="AA213" s="321"/>
      <c r="AB213" s="321"/>
      <c r="AC213" s="380"/>
      <c r="AD213" s="352"/>
      <c r="AE213" s="408">
        <f t="shared" si="122"/>
        <v>96</v>
      </c>
      <c r="AF213" s="409"/>
      <c r="AG213" s="381"/>
      <c r="AH213" s="408">
        <f t="shared" si="120"/>
        <v>96</v>
      </c>
      <c r="AI213" s="2693"/>
      <c r="AJ213" s="411">
        <f t="shared" si="121"/>
        <v>96</v>
      </c>
    </row>
    <row r="214" spans="1:36" s="234" customFormat="1" ht="20.25">
      <c r="A214" s="537" t="s">
        <v>631</v>
      </c>
      <c r="B214" s="552"/>
      <c r="C214" s="553"/>
      <c r="D214" s="544">
        <v>46122</v>
      </c>
      <c r="E214" s="541"/>
      <c r="F214" s="542"/>
      <c r="G214" s="542"/>
      <c r="H214" s="542"/>
      <c r="I214" s="543"/>
      <c r="J214" s="543"/>
      <c r="K214" s="592"/>
      <c r="L214" s="580"/>
      <c r="M214" s="581"/>
      <c r="N214" s="543">
        <f>3*16+4*16</f>
        <v>112</v>
      </c>
      <c r="O214" s="543"/>
      <c r="P214" s="558"/>
      <c r="Q214" s="543"/>
      <c r="R214" s="543"/>
      <c r="S214" s="543"/>
      <c r="T214" s="587">
        <f>2*16</f>
        <v>32</v>
      </c>
      <c r="U214" s="580"/>
      <c r="V214" s="581"/>
      <c r="W214" s="543">
        <f>8*16</f>
        <v>128</v>
      </c>
      <c r="X214" s="543"/>
      <c r="Y214" s="543"/>
      <c r="Z214" s="543"/>
      <c r="AA214" s="543"/>
      <c r="AB214" s="543"/>
      <c r="AC214" s="592"/>
      <c r="AD214" s="580"/>
      <c r="AE214" s="593">
        <f t="shared" si="122"/>
        <v>272</v>
      </c>
      <c r="AF214" s="594"/>
      <c r="AG214" s="1200"/>
      <c r="AH214" s="593">
        <f t="shared" si="120"/>
        <v>272</v>
      </c>
      <c r="AI214" s="2692"/>
      <c r="AJ214" s="606">
        <f t="shared" si="121"/>
        <v>272</v>
      </c>
    </row>
    <row r="215" spans="1:36" s="276" customFormat="1" ht="20.25">
      <c r="A215" s="537" t="s">
        <v>634</v>
      </c>
      <c r="B215" s="552"/>
      <c r="C215" s="553"/>
      <c r="D215" s="544">
        <v>46124</v>
      </c>
      <c r="E215" s="541"/>
      <c r="F215" s="542"/>
      <c r="G215" s="542"/>
      <c r="H215" s="542"/>
      <c r="I215" s="543"/>
      <c r="J215" s="543"/>
      <c r="K215" s="592"/>
      <c r="L215" s="580"/>
      <c r="M215" s="581">
        <f>2*16</f>
        <v>32</v>
      </c>
      <c r="N215" s="543">
        <f>3*16</f>
        <v>48</v>
      </c>
      <c r="O215" s="543"/>
      <c r="P215" s="558"/>
      <c r="Q215" s="543"/>
      <c r="R215" s="543"/>
      <c r="S215" s="543">
        <f>2*16</f>
        <v>32</v>
      </c>
      <c r="T215" s="587"/>
      <c r="U215" s="580"/>
      <c r="V215" s="581">
        <f>2*16</f>
        <v>32</v>
      </c>
      <c r="W215" s="543">
        <f>10*16</f>
        <v>160</v>
      </c>
      <c r="X215" s="543"/>
      <c r="Y215" s="543"/>
      <c r="Z215" s="543"/>
      <c r="AA215" s="543"/>
      <c r="AB215" s="543"/>
      <c r="AC215" s="592"/>
      <c r="AD215" s="580"/>
      <c r="AE215" s="593">
        <f t="shared" si="122"/>
        <v>304</v>
      </c>
      <c r="AF215" s="594"/>
      <c r="AG215" s="1200"/>
      <c r="AH215" s="593">
        <f t="shared" si="120"/>
        <v>304</v>
      </c>
      <c r="AI215" s="2692"/>
      <c r="AJ215" s="606">
        <f t="shared" si="121"/>
        <v>304</v>
      </c>
    </row>
    <row r="216" spans="1:36" s="234" customFormat="1" ht="20.25">
      <c r="A216" s="537" t="s">
        <v>635</v>
      </c>
      <c r="B216" s="550"/>
      <c r="C216" s="539"/>
      <c r="D216" s="555">
        <v>46125</v>
      </c>
      <c r="E216" s="319"/>
      <c r="F216" s="320"/>
      <c r="G216" s="320"/>
      <c r="H216" s="320"/>
      <c r="I216" s="321"/>
      <c r="J216" s="321"/>
      <c r="K216" s="380"/>
      <c r="L216" s="352"/>
      <c r="M216" s="353">
        <f>1*16</f>
        <v>16</v>
      </c>
      <c r="N216" s="321">
        <f>1*16</f>
        <v>16</v>
      </c>
      <c r="O216" s="321"/>
      <c r="P216" s="582"/>
      <c r="Q216" s="321"/>
      <c r="R216" s="321"/>
      <c r="S216" s="321">
        <f>1*16</f>
        <v>16</v>
      </c>
      <c r="T216" s="354"/>
      <c r="U216" s="352"/>
      <c r="V216" s="353">
        <f>3*16</f>
        <v>48</v>
      </c>
      <c r="W216" s="321">
        <f>2*16</f>
        <v>32</v>
      </c>
      <c r="X216" s="321"/>
      <c r="Y216" s="321"/>
      <c r="Z216" s="321">
        <f>2*16</f>
        <v>32</v>
      </c>
      <c r="AA216" s="321"/>
      <c r="AB216" s="321"/>
      <c r="AC216" s="380"/>
      <c r="AD216" s="352"/>
      <c r="AE216" s="408">
        <f t="shared" si="122"/>
        <v>160</v>
      </c>
      <c r="AF216" s="409"/>
      <c r="AG216" s="381"/>
      <c r="AH216" s="408">
        <f t="shared" si="120"/>
        <v>160</v>
      </c>
      <c r="AI216" s="2693"/>
      <c r="AJ216" s="411">
        <f t="shared" si="121"/>
        <v>160</v>
      </c>
    </row>
    <row r="217" spans="1:36" s="276" customFormat="1" ht="20.25">
      <c r="A217" s="561" t="s">
        <v>623</v>
      </c>
      <c r="B217" s="552"/>
      <c r="C217" s="553"/>
      <c r="D217" s="544">
        <v>46126</v>
      </c>
      <c r="E217" s="319"/>
      <c r="F217" s="320"/>
      <c r="G217" s="320"/>
      <c r="H217" s="320"/>
      <c r="I217" s="321"/>
      <c r="J217" s="321"/>
      <c r="K217" s="380"/>
      <c r="L217" s="352"/>
      <c r="M217" s="353"/>
      <c r="N217" s="321"/>
      <c r="O217" s="321"/>
      <c r="P217" s="582"/>
      <c r="Q217" s="321"/>
      <c r="R217" s="321"/>
      <c r="S217" s="321"/>
      <c r="T217" s="354">
        <f>1*16</f>
        <v>16</v>
      </c>
      <c r="U217" s="352"/>
      <c r="V217" s="353"/>
      <c r="W217" s="321"/>
      <c r="X217" s="321"/>
      <c r="Y217" s="321"/>
      <c r="Z217" s="321">
        <f>1*16</f>
        <v>16</v>
      </c>
      <c r="AA217" s="321"/>
      <c r="AB217" s="321"/>
      <c r="AC217" s="380"/>
      <c r="AD217" s="352"/>
      <c r="AE217" s="408">
        <f t="shared" si="122"/>
        <v>32</v>
      </c>
      <c r="AF217" s="409"/>
      <c r="AG217" s="381"/>
      <c r="AH217" s="408">
        <f t="shared" si="120"/>
        <v>32</v>
      </c>
      <c r="AI217" s="2693"/>
      <c r="AJ217" s="411">
        <f t="shared" si="121"/>
        <v>32</v>
      </c>
    </row>
    <row r="218" spans="1:36" s="234" customFormat="1" ht="20.25">
      <c r="A218" s="551" t="s">
        <v>623</v>
      </c>
      <c r="B218" s="552"/>
      <c r="C218" s="553"/>
      <c r="D218" s="544">
        <v>46126</v>
      </c>
      <c r="E218" s="541"/>
      <c r="F218" s="542"/>
      <c r="G218" s="542"/>
      <c r="H218" s="542"/>
      <c r="I218" s="543"/>
      <c r="J218" s="543"/>
      <c r="K218" s="592"/>
      <c r="L218" s="580"/>
      <c r="M218" s="581"/>
      <c r="N218" s="543">
        <f>1*16</f>
        <v>16</v>
      </c>
      <c r="O218" s="543"/>
      <c r="P218" s="558"/>
      <c r="Q218" s="543"/>
      <c r="R218" s="543"/>
      <c r="S218" s="543"/>
      <c r="T218" s="587"/>
      <c r="U218" s="580"/>
      <c r="V218" s="581"/>
      <c r="W218" s="543"/>
      <c r="X218" s="543"/>
      <c r="Y218" s="543"/>
      <c r="Z218" s="543"/>
      <c r="AA218" s="543"/>
      <c r="AB218" s="543"/>
      <c r="AC218" s="592"/>
      <c r="AD218" s="580"/>
      <c r="AE218" s="593">
        <f t="shared" si="122"/>
        <v>16</v>
      </c>
      <c r="AF218" s="594"/>
      <c r="AG218" s="1200"/>
      <c r="AH218" s="593">
        <f t="shared" si="120"/>
        <v>16</v>
      </c>
      <c r="AI218" s="2692"/>
      <c r="AJ218" s="606">
        <f t="shared" si="121"/>
        <v>16</v>
      </c>
    </row>
    <row r="219" spans="1:36" s="276" customFormat="1" ht="20.25">
      <c r="A219" s="561" t="s">
        <v>639</v>
      </c>
      <c r="B219" s="552"/>
      <c r="C219" s="553"/>
      <c r="D219" s="544">
        <v>46126</v>
      </c>
      <c r="E219" s="319"/>
      <c r="F219" s="320"/>
      <c r="G219" s="320"/>
      <c r="H219" s="320"/>
      <c r="I219" s="321"/>
      <c r="J219" s="321"/>
      <c r="K219" s="380"/>
      <c r="L219" s="352"/>
      <c r="M219" s="353"/>
      <c r="N219" s="321"/>
      <c r="O219" s="321"/>
      <c r="P219" s="582"/>
      <c r="Q219" s="321"/>
      <c r="R219" s="321"/>
      <c r="S219" s="321"/>
      <c r="T219" s="354"/>
      <c r="U219" s="352"/>
      <c r="V219" s="353"/>
      <c r="W219" s="321">
        <f>10*16</f>
        <v>160</v>
      </c>
      <c r="X219" s="581"/>
      <c r="Y219" s="321"/>
      <c r="Z219" s="321"/>
      <c r="AA219" s="321"/>
      <c r="AB219" s="321"/>
      <c r="AC219" s="380"/>
      <c r="AD219" s="352"/>
      <c r="AE219" s="408">
        <f t="shared" si="122"/>
        <v>160</v>
      </c>
      <c r="AF219" s="409"/>
      <c r="AG219" s="381"/>
      <c r="AH219" s="408">
        <f t="shared" si="120"/>
        <v>160</v>
      </c>
      <c r="AI219" s="2693"/>
      <c r="AJ219" s="411">
        <f t="shared" si="121"/>
        <v>160</v>
      </c>
    </row>
    <row r="220" spans="1:36" s="234" customFormat="1" ht="20.25">
      <c r="A220" s="561" t="s">
        <v>624</v>
      </c>
      <c r="B220" s="552"/>
      <c r="C220" s="553"/>
      <c r="D220" s="544">
        <v>46129</v>
      </c>
      <c r="E220" s="541"/>
      <c r="F220" s="542"/>
      <c r="G220" s="542"/>
      <c r="H220" s="542"/>
      <c r="I220" s="543"/>
      <c r="J220" s="543"/>
      <c r="K220" s="592"/>
      <c r="L220" s="580"/>
      <c r="M220" s="581"/>
      <c r="N220" s="543">
        <f>6*16</f>
        <v>96</v>
      </c>
      <c r="O220" s="543"/>
      <c r="P220" s="558"/>
      <c r="Q220" s="543"/>
      <c r="R220" s="543"/>
      <c r="S220" s="543"/>
      <c r="T220" s="587">
        <f>6*16</f>
        <v>96</v>
      </c>
      <c r="U220" s="580"/>
      <c r="V220" s="353"/>
      <c r="W220" s="543">
        <f>6*16</f>
        <v>96</v>
      </c>
      <c r="X220" s="543"/>
      <c r="Y220" s="543"/>
      <c r="Z220" s="543"/>
      <c r="AA220" s="543"/>
      <c r="AB220" s="543"/>
      <c r="AC220" s="592">
        <f>6*16</f>
        <v>96</v>
      </c>
      <c r="AD220" s="580"/>
      <c r="AE220" s="593">
        <f t="shared" si="122"/>
        <v>384</v>
      </c>
      <c r="AF220" s="594"/>
      <c r="AG220" s="1200"/>
      <c r="AH220" s="593">
        <f t="shared" si="120"/>
        <v>384</v>
      </c>
      <c r="AI220" s="2692"/>
      <c r="AJ220" s="606">
        <f t="shared" si="121"/>
        <v>384</v>
      </c>
    </row>
    <row r="221" spans="1:36" s="276" customFormat="1" ht="20.25">
      <c r="A221" s="561" t="s">
        <v>619</v>
      </c>
      <c r="B221" s="552"/>
      <c r="C221" s="553"/>
      <c r="D221" s="544">
        <v>46130</v>
      </c>
      <c r="E221" s="319"/>
      <c r="F221" s="320"/>
      <c r="G221" s="320"/>
      <c r="H221" s="320"/>
      <c r="I221" s="321"/>
      <c r="J221" s="321"/>
      <c r="K221" s="380"/>
      <c r="L221" s="352"/>
      <c r="M221" s="353"/>
      <c r="N221" s="321"/>
      <c r="O221" s="321"/>
      <c r="P221" s="321"/>
      <c r="Q221" s="321"/>
      <c r="R221" s="321"/>
      <c r="S221" s="321"/>
      <c r="T221" s="354"/>
      <c r="U221" s="580"/>
      <c r="V221" s="831">
        <f>6*16</f>
        <v>96</v>
      </c>
      <c r="W221" s="321"/>
      <c r="X221" s="321"/>
      <c r="Y221" s="321"/>
      <c r="Z221" s="321">
        <f>3*16</f>
        <v>48</v>
      </c>
      <c r="AA221" s="321"/>
      <c r="AB221" s="321"/>
      <c r="AC221" s="380">
        <f>6*16</f>
        <v>96</v>
      </c>
      <c r="AD221" s="580"/>
      <c r="AE221" s="593">
        <f t="shared" ref="AE221" si="123">SUM(E221:AC221)</f>
        <v>240</v>
      </c>
      <c r="AF221" s="594"/>
      <c r="AG221" s="1200"/>
      <c r="AH221" s="593">
        <f t="shared" ref="AH221" si="124">AE221+AF221+AG221</f>
        <v>240</v>
      </c>
      <c r="AI221" s="2692"/>
      <c r="AJ221" s="606">
        <f t="shared" ref="AJ221" si="125">AH221+AI221</f>
        <v>240</v>
      </c>
    </row>
    <row r="222" spans="1:36" s="276" customFormat="1" ht="20.25">
      <c r="A222" s="547" t="s">
        <v>647</v>
      </c>
      <c r="B222" s="552"/>
      <c r="C222" s="553"/>
      <c r="D222" s="544">
        <v>46130</v>
      </c>
      <c r="E222" s="319"/>
      <c r="F222" s="320"/>
      <c r="G222" s="320"/>
      <c r="H222" s="320"/>
      <c r="I222" s="321"/>
      <c r="J222" s="321"/>
      <c r="K222" s="380"/>
      <c r="L222" s="352"/>
      <c r="M222" s="353"/>
      <c r="N222" s="321"/>
      <c r="O222" s="321"/>
      <c r="P222" s="582"/>
      <c r="Q222" s="321"/>
      <c r="R222" s="321"/>
      <c r="S222" s="321"/>
      <c r="T222" s="354"/>
      <c r="U222" s="352"/>
      <c r="V222" s="353"/>
      <c r="W222" s="321">
        <f>5*16</f>
        <v>80</v>
      </c>
      <c r="X222" s="321"/>
      <c r="Y222" s="321"/>
      <c r="Z222" s="321"/>
      <c r="AA222" s="321"/>
      <c r="AB222" s="321"/>
      <c r="AC222" s="380">
        <f>3*16</f>
        <v>48</v>
      </c>
      <c r="AD222" s="352"/>
      <c r="AE222" s="408">
        <f t="shared" si="122"/>
        <v>128</v>
      </c>
      <c r="AF222" s="409"/>
      <c r="AG222" s="381"/>
      <c r="AH222" s="408">
        <f t="shared" si="120"/>
        <v>128</v>
      </c>
      <c r="AI222" s="2693"/>
      <c r="AJ222" s="411">
        <f t="shared" si="121"/>
        <v>128</v>
      </c>
    </row>
    <row r="223" spans="1:36" s="234" customFormat="1" ht="20.25">
      <c r="A223" s="547" t="s">
        <v>653</v>
      </c>
      <c r="B223" s="552"/>
      <c r="C223" s="553"/>
      <c r="D223" s="544">
        <v>46130</v>
      </c>
      <c r="E223" s="541"/>
      <c r="F223" s="542"/>
      <c r="G223" s="542">
        <f>2*16</f>
        <v>32</v>
      </c>
      <c r="H223" s="542"/>
      <c r="I223" s="543"/>
      <c r="J223" s="543"/>
      <c r="K223" s="592"/>
      <c r="L223" s="580"/>
      <c r="M223" s="581"/>
      <c r="N223" s="543">
        <f>2*16</f>
        <v>32</v>
      </c>
      <c r="O223" s="543"/>
      <c r="P223" s="558"/>
      <c r="Q223" s="543"/>
      <c r="R223" s="543"/>
      <c r="S223" s="543"/>
      <c r="T223" s="587">
        <f>2*16</f>
        <v>32</v>
      </c>
      <c r="U223" s="580"/>
      <c r="V223" s="581"/>
      <c r="W223" s="543">
        <f>3*16</f>
        <v>48</v>
      </c>
      <c r="X223" s="543"/>
      <c r="Y223" s="543"/>
      <c r="Z223" s="543">
        <f>2*16</f>
        <v>32</v>
      </c>
      <c r="AA223" s="543"/>
      <c r="AB223" s="543"/>
      <c r="AC223" s="592">
        <f>3*16</f>
        <v>48</v>
      </c>
      <c r="AD223" s="580"/>
      <c r="AE223" s="593">
        <f t="shared" si="122"/>
        <v>224</v>
      </c>
      <c r="AF223" s="594"/>
      <c r="AG223" s="1200"/>
      <c r="AH223" s="593">
        <f t="shared" si="120"/>
        <v>224</v>
      </c>
      <c r="AI223" s="2692"/>
      <c r="AJ223" s="606">
        <f t="shared" si="121"/>
        <v>224</v>
      </c>
    </row>
    <row r="224" spans="1:36" s="276" customFormat="1" ht="18" customHeight="1">
      <c r="A224" s="547" t="s">
        <v>655</v>
      </c>
      <c r="B224" s="552"/>
      <c r="C224" s="553"/>
      <c r="D224" s="559">
        <v>46131</v>
      </c>
      <c r="E224" s="319"/>
      <c r="F224" s="320"/>
      <c r="G224" s="320"/>
      <c r="H224" s="320"/>
      <c r="I224" s="321"/>
      <c r="J224" s="321"/>
      <c r="K224" s="380"/>
      <c r="L224" s="352"/>
      <c r="M224" s="353"/>
      <c r="N224" s="321"/>
      <c r="O224" s="321"/>
      <c r="P224" s="321"/>
      <c r="Q224" s="321"/>
      <c r="R224" s="321"/>
      <c r="S224" s="321"/>
      <c r="T224" s="354"/>
      <c r="U224" s="352"/>
      <c r="V224" s="353">
        <f>1*16</f>
        <v>16</v>
      </c>
      <c r="W224" s="321">
        <f>2*16</f>
        <v>32</v>
      </c>
      <c r="X224" s="321"/>
      <c r="Y224" s="321"/>
      <c r="Z224" s="321">
        <f>2*16</f>
        <v>32</v>
      </c>
      <c r="AA224" s="321"/>
      <c r="AB224" s="321"/>
      <c r="AC224" s="380">
        <f>1*16</f>
        <v>16</v>
      </c>
      <c r="AD224" s="352"/>
      <c r="AE224" s="408">
        <f t="shared" si="122"/>
        <v>96</v>
      </c>
      <c r="AF224" s="409"/>
      <c r="AG224" s="381"/>
      <c r="AH224" s="408">
        <f t="shared" si="120"/>
        <v>96</v>
      </c>
      <c r="AI224" s="2693"/>
      <c r="AJ224" s="411">
        <f t="shared" si="121"/>
        <v>96</v>
      </c>
    </row>
    <row r="225" spans="1:36" s="276" customFormat="1" ht="20.25">
      <c r="A225" s="547" t="s">
        <v>634</v>
      </c>
      <c r="B225" s="552"/>
      <c r="C225" s="553"/>
      <c r="D225" s="544">
        <v>46131</v>
      </c>
      <c r="E225" s="319"/>
      <c r="F225" s="320"/>
      <c r="G225" s="320"/>
      <c r="H225" s="320"/>
      <c r="I225" s="321"/>
      <c r="J225" s="321"/>
      <c r="K225" s="380"/>
      <c r="L225" s="352"/>
      <c r="M225" s="353"/>
      <c r="N225" s="321"/>
      <c r="O225" s="321"/>
      <c r="P225" s="321"/>
      <c r="Q225" s="321"/>
      <c r="R225" s="321"/>
      <c r="S225" s="321"/>
      <c r="T225" s="354"/>
      <c r="U225" s="580"/>
      <c r="V225" s="831">
        <f>4*16</f>
        <v>64</v>
      </c>
      <c r="W225" s="321">
        <f>8*16</f>
        <v>128</v>
      </c>
      <c r="X225" s="321"/>
      <c r="Y225" s="321"/>
      <c r="Z225" s="321"/>
      <c r="AA225" s="321"/>
      <c r="AB225" s="321"/>
      <c r="AC225" s="380"/>
      <c r="AD225" s="580"/>
      <c r="AE225" s="593">
        <f t="shared" si="122"/>
        <v>192</v>
      </c>
      <c r="AF225" s="594"/>
      <c r="AG225" s="1200"/>
      <c r="AH225" s="593">
        <f t="shared" si="120"/>
        <v>192</v>
      </c>
      <c r="AI225" s="2692"/>
      <c r="AJ225" s="606">
        <f t="shared" si="121"/>
        <v>192</v>
      </c>
    </row>
    <row r="226" spans="1:36" s="276" customFormat="1" ht="20.25">
      <c r="A226" s="561" t="s">
        <v>656</v>
      </c>
      <c r="B226" s="552"/>
      <c r="C226" s="553"/>
      <c r="D226" s="544">
        <v>46131</v>
      </c>
      <c r="E226" s="319"/>
      <c r="F226" s="320"/>
      <c r="G226" s="320"/>
      <c r="H226" s="320"/>
      <c r="I226" s="321"/>
      <c r="J226" s="321"/>
      <c r="K226" s="380"/>
      <c r="L226" s="352"/>
      <c r="M226" s="353"/>
      <c r="N226" s="321">
        <f>2*16</f>
        <v>32</v>
      </c>
      <c r="O226" s="321"/>
      <c r="P226" s="321"/>
      <c r="Q226" s="321"/>
      <c r="R226" s="321"/>
      <c r="S226" s="321">
        <f>2*16</f>
        <v>32</v>
      </c>
      <c r="T226" s="354">
        <f>1*16</f>
        <v>16</v>
      </c>
      <c r="U226" s="352"/>
      <c r="V226" s="353">
        <f>2*16</f>
        <v>32</v>
      </c>
      <c r="W226" s="321">
        <f>2*16</f>
        <v>32</v>
      </c>
      <c r="X226" s="582"/>
      <c r="Y226" s="321"/>
      <c r="Z226" s="321">
        <f>2*16</f>
        <v>32</v>
      </c>
      <c r="AA226" s="321"/>
      <c r="AB226" s="321"/>
      <c r="AC226" s="380"/>
      <c r="AD226" s="352"/>
      <c r="AE226" s="408">
        <f t="shared" si="122"/>
        <v>176</v>
      </c>
      <c r="AF226" s="409"/>
      <c r="AG226" s="381"/>
      <c r="AH226" s="408">
        <f t="shared" si="120"/>
        <v>176</v>
      </c>
      <c r="AI226" s="2693"/>
      <c r="AJ226" s="411">
        <f t="shared" si="121"/>
        <v>176</v>
      </c>
    </row>
    <row r="227" spans="1:36" s="276" customFormat="1" ht="20.25">
      <c r="A227" s="547" t="s">
        <v>658</v>
      </c>
      <c r="B227" s="552"/>
      <c r="C227" s="553"/>
      <c r="D227" s="544">
        <v>46132</v>
      </c>
      <c r="E227" s="319"/>
      <c r="F227" s="320"/>
      <c r="G227" s="320"/>
      <c r="H227" s="320"/>
      <c r="I227" s="321"/>
      <c r="J227" s="321"/>
      <c r="K227" s="380"/>
      <c r="L227" s="352"/>
      <c r="M227" s="353"/>
      <c r="N227" s="321"/>
      <c r="O227" s="321"/>
      <c r="P227" s="321"/>
      <c r="Q227" s="321"/>
      <c r="R227" s="321"/>
      <c r="S227" s="321"/>
      <c r="T227" s="354"/>
      <c r="U227" s="580"/>
      <c r="V227" s="581">
        <f>1*16</f>
        <v>16</v>
      </c>
      <c r="W227" s="543">
        <f>1*16</f>
        <v>16</v>
      </c>
      <c r="X227" s="543"/>
      <c r="Y227" s="543"/>
      <c r="Z227" s="543"/>
      <c r="AA227" s="543"/>
      <c r="AB227" s="543"/>
      <c r="AC227" s="592">
        <f>2*16</f>
        <v>32</v>
      </c>
      <c r="AD227" s="580"/>
      <c r="AE227" s="593">
        <f t="shared" si="122"/>
        <v>64</v>
      </c>
      <c r="AF227" s="594"/>
      <c r="AG227" s="1200"/>
      <c r="AH227" s="593">
        <f t="shared" si="120"/>
        <v>64</v>
      </c>
      <c r="AI227" s="2692"/>
      <c r="AJ227" s="606">
        <f t="shared" si="121"/>
        <v>64</v>
      </c>
    </row>
    <row r="228" spans="1:36" s="234" customFormat="1" ht="20.25">
      <c r="A228" s="547" t="s">
        <v>659</v>
      </c>
      <c r="B228" s="552"/>
      <c r="C228" s="553"/>
      <c r="D228" s="555">
        <v>46132</v>
      </c>
      <c r="E228" s="541"/>
      <c r="F228" s="542"/>
      <c r="G228" s="542"/>
      <c r="H228" s="542"/>
      <c r="I228" s="543"/>
      <c r="J228" s="543"/>
      <c r="K228" s="592"/>
      <c r="L228" s="580"/>
      <c r="M228" s="581"/>
      <c r="N228" s="543">
        <f>2*16+2*16</f>
        <v>64</v>
      </c>
      <c r="O228" s="543"/>
      <c r="P228" s="543"/>
      <c r="Q228" s="543"/>
      <c r="R228" s="543"/>
      <c r="S228" s="543"/>
      <c r="T228" s="587">
        <f>2*16+2*16</f>
        <v>64</v>
      </c>
      <c r="U228" s="352"/>
      <c r="V228" s="353">
        <f>2*16</f>
        <v>32</v>
      </c>
      <c r="W228" s="321">
        <f>2*16</f>
        <v>32</v>
      </c>
      <c r="X228" s="321"/>
      <c r="Y228" s="321"/>
      <c r="Z228" s="321"/>
      <c r="AA228" s="321"/>
      <c r="AB228" s="321"/>
      <c r="AC228" s="380"/>
      <c r="AD228" s="352"/>
      <c r="AE228" s="408">
        <f t="shared" si="122"/>
        <v>192</v>
      </c>
      <c r="AF228" s="409"/>
      <c r="AG228" s="381"/>
      <c r="AH228" s="408">
        <f t="shared" si="120"/>
        <v>192</v>
      </c>
      <c r="AI228" s="2693"/>
      <c r="AJ228" s="411">
        <f t="shared" si="121"/>
        <v>192</v>
      </c>
    </row>
    <row r="229" spans="1:36" s="276" customFormat="1" ht="20.25">
      <c r="A229" s="547" t="s">
        <v>661</v>
      </c>
      <c r="B229" s="563"/>
      <c r="C229" s="553"/>
      <c r="D229" s="544">
        <v>46133</v>
      </c>
      <c r="E229" s="319"/>
      <c r="F229" s="320"/>
      <c r="G229" s="320"/>
      <c r="H229" s="320"/>
      <c r="I229" s="321"/>
      <c r="J229" s="321"/>
      <c r="K229" s="380"/>
      <c r="L229" s="352"/>
      <c r="M229" s="353"/>
      <c r="N229" s="321"/>
      <c r="O229" s="321"/>
      <c r="P229" s="321"/>
      <c r="Q229" s="321"/>
      <c r="R229" s="321"/>
      <c r="S229" s="321"/>
      <c r="T229" s="354"/>
      <c r="U229" s="580"/>
      <c r="V229" s="581"/>
      <c r="W229" s="543"/>
      <c r="X229" s="543"/>
      <c r="Y229" s="543"/>
      <c r="Z229" s="543"/>
      <c r="AA229" s="543"/>
      <c r="AB229" s="543"/>
      <c r="AC229" s="592">
        <f>2*16</f>
        <v>32</v>
      </c>
      <c r="AD229" s="580"/>
      <c r="AE229" s="593">
        <f t="shared" si="122"/>
        <v>32</v>
      </c>
      <c r="AF229" s="594"/>
      <c r="AG229" s="1200"/>
      <c r="AH229" s="593">
        <f t="shared" si="120"/>
        <v>32</v>
      </c>
      <c r="AI229" s="2692"/>
      <c r="AJ229" s="606">
        <f t="shared" si="121"/>
        <v>32</v>
      </c>
    </row>
    <row r="230" spans="1:36" s="234" customFormat="1" ht="20.25">
      <c r="A230" s="547" t="s">
        <v>623</v>
      </c>
      <c r="B230" s="552"/>
      <c r="C230"/>
      <c r="D230" s="544">
        <v>46133</v>
      </c>
      <c r="E230" s="541"/>
      <c r="F230" s="542"/>
      <c r="G230" s="542"/>
      <c r="H230" s="542"/>
      <c r="I230" s="543"/>
      <c r="J230" s="543"/>
      <c r="K230" s="592"/>
      <c r="L230" s="580"/>
      <c r="M230" s="581"/>
      <c r="N230" s="543"/>
      <c r="O230" s="543"/>
      <c r="P230" s="543"/>
      <c r="Q230" s="543"/>
      <c r="R230" s="543"/>
      <c r="S230" s="543">
        <f>4*16</f>
        <v>64</v>
      </c>
      <c r="T230" s="587">
        <f>4*16</f>
        <v>64</v>
      </c>
      <c r="U230" s="352"/>
      <c r="V230" s="353"/>
      <c r="W230" s="321"/>
      <c r="X230" s="321"/>
      <c r="Y230" s="321"/>
      <c r="Z230" s="321">
        <f>3*16</f>
        <v>48</v>
      </c>
      <c r="AA230" s="321"/>
      <c r="AB230" s="321"/>
      <c r="AC230" s="380">
        <f>3*16</f>
        <v>48</v>
      </c>
      <c r="AD230" s="352"/>
      <c r="AE230" s="408">
        <f t="shared" si="122"/>
        <v>224</v>
      </c>
      <c r="AF230" s="409"/>
      <c r="AG230" s="381"/>
      <c r="AH230" s="408">
        <f t="shared" si="120"/>
        <v>224</v>
      </c>
      <c r="AI230" s="2693"/>
      <c r="AJ230" s="411">
        <f t="shared" si="121"/>
        <v>224</v>
      </c>
    </row>
    <row r="231" spans="1:36" s="276" customFormat="1" ht="20.25">
      <c r="A231" s="551" t="s">
        <v>634</v>
      </c>
      <c r="B231" s="552"/>
      <c r="C231" s="553"/>
      <c r="D231" s="544">
        <v>46133</v>
      </c>
      <c r="E231" s="319"/>
      <c r="F231" s="320"/>
      <c r="G231" s="320"/>
      <c r="H231" s="320"/>
      <c r="I231" s="321"/>
      <c r="J231" s="321"/>
      <c r="K231" s="380"/>
      <c r="L231" s="352"/>
      <c r="M231" s="353"/>
      <c r="N231" s="321">
        <f>4*16</f>
        <v>64</v>
      </c>
      <c r="O231" s="321"/>
      <c r="P231" s="321"/>
      <c r="Q231" s="321"/>
      <c r="R231" s="321"/>
      <c r="S231" s="321"/>
      <c r="T231" s="354"/>
      <c r="U231" s="580"/>
      <c r="V231" s="581">
        <f>4*16</f>
        <v>64</v>
      </c>
      <c r="W231" s="543">
        <f>8*16</f>
        <v>128</v>
      </c>
      <c r="X231" s="543"/>
      <c r="Y231" s="543"/>
      <c r="Z231" s="543"/>
      <c r="AA231" s="543"/>
      <c r="AB231" s="543"/>
      <c r="AC231" s="592"/>
      <c r="AD231" s="1176"/>
      <c r="AE231" s="593">
        <f t="shared" si="122"/>
        <v>256</v>
      </c>
      <c r="AF231" s="594"/>
      <c r="AG231" s="551"/>
      <c r="AH231" s="408">
        <f t="shared" si="120"/>
        <v>256</v>
      </c>
      <c r="AI231" s="553"/>
      <c r="AJ231" s="411">
        <f t="shared" si="121"/>
        <v>256</v>
      </c>
    </row>
    <row r="232" spans="1:36" s="234" customFormat="1" ht="20.25">
      <c r="A232" s="537" t="s">
        <v>623</v>
      </c>
      <c r="B232" s="550"/>
      <c r="C232" s="549"/>
      <c r="D232" s="544">
        <v>46134</v>
      </c>
      <c r="E232" s="541"/>
      <c r="F232" s="542"/>
      <c r="G232" s="542"/>
      <c r="H232" s="542"/>
      <c r="I232" s="543"/>
      <c r="J232" s="543"/>
      <c r="K232" s="592"/>
      <c r="L232" s="580"/>
      <c r="M232" s="581"/>
      <c r="N232" s="543">
        <f>2*16</f>
        <v>32</v>
      </c>
      <c r="O232" s="543"/>
      <c r="P232" s="543"/>
      <c r="Q232" s="543"/>
      <c r="R232" s="319"/>
      <c r="S232" s="320"/>
      <c r="T232" s="320"/>
      <c r="U232" s="320"/>
      <c r="V232" s="321"/>
      <c r="W232" s="321"/>
      <c r="X232" s="320"/>
      <c r="Y232" s="2558"/>
      <c r="Z232" s="1177"/>
      <c r="AA232" s="321"/>
      <c r="AB232" s="321"/>
      <c r="AC232" s="1178"/>
      <c r="AD232" s="419"/>
      <c r="AE232" s="1177">
        <f t="shared" si="122"/>
        <v>32</v>
      </c>
      <c r="AF232" s="321"/>
      <c r="AG232" s="2688"/>
      <c r="AH232" s="408">
        <f t="shared" si="120"/>
        <v>32</v>
      </c>
      <c r="AI232" s="2693"/>
      <c r="AJ232" s="411">
        <f t="shared" si="121"/>
        <v>32</v>
      </c>
    </row>
    <row r="233" spans="1:36" s="234" customFormat="1" ht="20.25">
      <c r="A233" s="537" t="s">
        <v>664</v>
      </c>
      <c r="B233" s="1112"/>
      <c r="C233" s="1113"/>
      <c r="D233" s="1114">
        <v>46134</v>
      </c>
      <c r="E233" s="617"/>
      <c r="F233" s="320"/>
      <c r="G233" s="320"/>
      <c r="H233" s="320"/>
      <c r="I233" s="321"/>
      <c r="J233" s="321"/>
      <c r="K233" s="380"/>
      <c r="L233" s="352"/>
      <c r="M233" s="353"/>
      <c r="N233" s="321"/>
      <c r="O233" s="321"/>
      <c r="P233" s="321"/>
      <c r="Q233" s="321"/>
      <c r="R233" s="321"/>
      <c r="S233" s="321"/>
      <c r="T233" s="354"/>
      <c r="U233" s="580"/>
      <c r="V233" s="581"/>
      <c r="W233" s="543"/>
      <c r="X233" s="543"/>
      <c r="Y233" s="543"/>
      <c r="Z233" s="543">
        <f>7*16</f>
        <v>112</v>
      </c>
      <c r="AA233" s="543"/>
      <c r="AB233" s="543"/>
      <c r="AC233" s="592"/>
      <c r="AD233" s="1179"/>
      <c r="AE233" s="593">
        <f t="shared" si="122"/>
        <v>112</v>
      </c>
      <c r="AF233" s="594"/>
      <c r="AG233" s="1200"/>
      <c r="AH233" s="593">
        <f t="shared" si="120"/>
        <v>112</v>
      </c>
      <c r="AI233" s="2692"/>
      <c r="AJ233" s="606">
        <f t="shared" si="121"/>
        <v>112</v>
      </c>
    </row>
    <row r="234" spans="1:36" s="234" customFormat="1" ht="20.25">
      <c r="A234" s="561" t="s">
        <v>665</v>
      </c>
      <c r="B234" s="550"/>
      <c r="C234" s="549"/>
      <c r="D234" s="544">
        <v>46134</v>
      </c>
      <c r="E234" s="541"/>
      <c r="F234" s="542"/>
      <c r="G234" s="542"/>
      <c r="H234" s="542"/>
      <c r="I234" s="543"/>
      <c r="J234" s="543"/>
      <c r="K234" s="592"/>
      <c r="L234" s="580"/>
      <c r="M234" s="581"/>
      <c r="N234" s="543"/>
      <c r="O234" s="543"/>
      <c r="P234" s="543"/>
      <c r="Q234" s="543"/>
      <c r="R234" s="543"/>
      <c r="S234" s="543"/>
      <c r="T234" s="587"/>
      <c r="U234" s="352"/>
      <c r="V234" s="353"/>
      <c r="W234" s="321"/>
      <c r="X234" s="321"/>
      <c r="Y234" s="321"/>
      <c r="Z234" s="321"/>
      <c r="AA234" s="321"/>
      <c r="AB234" s="321"/>
      <c r="AC234" s="380">
        <f>5*16</f>
        <v>80</v>
      </c>
      <c r="AD234" s="352"/>
      <c r="AE234" s="408">
        <f t="shared" si="122"/>
        <v>80</v>
      </c>
      <c r="AF234" s="409"/>
      <c r="AG234" s="381"/>
      <c r="AH234" s="408">
        <f t="shared" si="120"/>
        <v>80</v>
      </c>
      <c r="AI234" s="2693"/>
      <c r="AJ234" s="411">
        <f t="shared" si="121"/>
        <v>80</v>
      </c>
    </row>
    <row r="235" spans="1:36" s="234" customFormat="1" ht="20.25">
      <c r="A235" s="551" t="s">
        <v>657</v>
      </c>
      <c r="B235" s="550"/>
      <c r="C235" s="549"/>
      <c r="D235" s="544">
        <v>46134</v>
      </c>
      <c r="E235" s="319"/>
      <c r="F235" s="320"/>
      <c r="G235" s="320"/>
      <c r="H235" s="320"/>
      <c r="I235" s="321"/>
      <c r="J235" s="321"/>
      <c r="K235" s="380"/>
      <c r="L235" s="352"/>
      <c r="M235" s="353">
        <f>3*16</f>
        <v>48</v>
      </c>
      <c r="N235" s="321">
        <f>3*16</f>
        <v>48</v>
      </c>
      <c r="O235" s="321"/>
      <c r="P235" s="321"/>
      <c r="Q235" s="321"/>
      <c r="R235" s="321"/>
      <c r="S235" s="321"/>
      <c r="T235" s="354">
        <f>3*16</f>
        <v>48</v>
      </c>
      <c r="U235" s="580"/>
      <c r="V235" s="581">
        <f>2*16</f>
        <v>32</v>
      </c>
      <c r="W235" s="543">
        <f>3*16</f>
        <v>48</v>
      </c>
      <c r="X235" s="543"/>
      <c r="Y235" s="543"/>
      <c r="Z235" s="543"/>
      <c r="AA235" s="543"/>
      <c r="AB235" s="543"/>
      <c r="AC235" s="592">
        <f>2*16</f>
        <v>32</v>
      </c>
      <c r="AD235" s="580"/>
      <c r="AE235" s="593">
        <f t="shared" si="122"/>
        <v>256</v>
      </c>
      <c r="AF235" s="594"/>
      <c r="AG235" s="1200"/>
      <c r="AH235" s="593">
        <f t="shared" si="120"/>
        <v>256</v>
      </c>
      <c r="AI235" s="2692"/>
      <c r="AJ235" s="606">
        <f t="shared" si="121"/>
        <v>256</v>
      </c>
    </row>
    <row r="236" spans="1:36" s="234" customFormat="1" ht="20.25">
      <c r="A236" s="547" t="s">
        <v>621</v>
      </c>
      <c r="B236" s="550"/>
      <c r="C236" s="549"/>
      <c r="D236" s="544">
        <v>46134</v>
      </c>
      <c r="E236" s="541"/>
      <c r="F236" s="542"/>
      <c r="G236" s="542">
        <f>1*16</f>
        <v>16</v>
      </c>
      <c r="H236" s="542"/>
      <c r="I236" s="543"/>
      <c r="J236" s="543"/>
      <c r="K236" s="592"/>
      <c r="L236" s="580"/>
      <c r="M236" s="581"/>
      <c r="N236" s="543"/>
      <c r="O236" s="543"/>
      <c r="P236" s="543"/>
      <c r="Q236" s="543"/>
      <c r="R236" s="543"/>
      <c r="S236" s="543"/>
      <c r="T236" s="587"/>
      <c r="U236" s="352"/>
      <c r="V236" s="831"/>
      <c r="W236" s="321"/>
      <c r="X236" s="321"/>
      <c r="Y236" s="321"/>
      <c r="Z236" s="321">
        <f>2*16</f>
        <v>32</v>
      </c>
      <c r="AA236" s="321"/>
      <c r="AB236" s="321"/>
      <c r="AC236" s="380">
        <f>4*16</f>
        <v>64</v>
      </c>
      <c r="AD236" s="352"/>
      <c r="AE236" s="408">
        <f t="shared" si="122"/>
        <v>112</v>
      </c>
      <c r="AF236" s="409"/>
      <c r="AG236" s="381"/>
      <c r="AH236" s="408">
        <f t="shared" si="120"/>
        <v>112</v>
      </c>
      <c r="AI236" s="2693"/>
      <c r="AJ236" s="411">
        <f t="shared" si="121"/>
        <v>112</v>
      </c>
    </row>
    <row r="237" spans="1:36" s="234" customFormat="1" ht="20.25">
      <c r="A237" s="537" t="s">
        <v>668</v>
      </c>
      <c r="B237" s="550"/>
      <c r="C237" s="549"/>
      <c r="D237" s="544">
        <v>46135</v>
      </c>
      <c r="E237" s="319"/>
      <c r="F237" s="320"/>
      <c r="G237" s="320"/>
      <c r="H237" s="320"/>
      <c r="I237" s="321"/>
      <c r="J237" s="321"/>
      <c r="K237" s="380"/>
      <c r="L237" s="352"/>
      <c r="M237" s="353"/>
      <c r="N237" s="321">
        <f>5*16</f>
        <v>80</v>
      </c>
      <c r="O237" s="321"/>
      <c r="P237" s="321"/>
      <c r="Q237" s="321"/>
      <c r="R237" s="321"/>
      <c r="S237" s="321"/>
      <c r="T237" s="354">
        <f>5*16</f>
        <v>80</v>
      </c>
      <c r="U237" s="580"/>
      <c r="V237" s="585"/>
      <c r="W237" s="543">
        <f>3*16</f>
        <v>48</v>
      </c>
      <c r="X237" s="543"/>
      <c r="Y237" s="543"/>
      <c r="Z237" s="543"/>
      <c r="AA237" s="543"/>
      <c r="AB237" s="543"/>
      <c r="AC237" s="592">
        <f>2*16</f>
        <v>32</v>
      </c>
      <c r="AD237" s="580"/>
      <c r="AE237" s="593">
        <f t="shared" si="122"/>
        <v>240</v>
      </c>
      <c r="AF237" s="594"/>
      <c r="AG237" s="1200"/>
      <c r="AH237" s="593">
        <f t="shared" si="120"/>
        <v>240</v>
      </c>
      <c r="AI237" s="2692"/>
      <c r="AJ237" s="606">
        <f t="shared" si="121"/>
        <v>240</v>
      </c>
    </row>
    <row r="238" spans="1:36" s="234" customFormat="1" ht="20.25">
      <c r="A238" s="547" t="s">
        <v>619</v>
      </c>
      <c r="B238" s="550"/>
      <c r="C238" s="549"/>
      <c r="D238" s="544">
        <v>46135</v>
      </c>
      <c r="E238" s="541"/>
      <c r="F238" s="542"/>
      <c r="G238" s="542"/>
      <c r="H238" s="542"/>
      <c r="I238" s="543"/>
      <c r="J238" s="543"/>
      <c r="K238" s="592"/>
      <c r="L238" s="580"/>
      <c r="M238" s="581"/>
      <c r="N238" s="543"/>
      <c r="O238" s="543"/>
      <c r="P238" s="543"/>
      <c r="Q238" s="543"/>
      <c r="R238" s="543"/>
      <c r="S238" s="543"/>
      <c r="T238" s="587"/>
      <c r="U238" s="352"/>
      <c r="V238" s="353"/>
      <c r="W238" s="321"/>
      <c r="X238" s="321"/>
      <c r="Y238" s="321"/>
      <c r="Z238" s="321">
        <f>3*16</f>
        <v>48</v>
      </c>
      <c r="AA238" s="321"/>
      <c r="AB238" s="321"/>
      <c r="AC238" s="380">
        <f>3*16</f>
        <v>48</v>
      </c>
      <c r="AD238" s="352"/>
      <c r="AE238" s="408">
        <f t="shared" si="122"/>
        <v>96</v>
      </c>
      <c r="AF238" s="409"/>
      <c r="AG238" s="381"/>
      <c r="AH238" s="408">
        <f t="shared" si="120"/>
        <v>96</v>
      </c>
      <c r="AI238" s="2693"/>
      <c r="AJ238" s="411">
        <f t="shared" si="121"/>
        <v>96</v>
      </c>
    </row>
    <row r="239" spans="1:36" s="234" customFormat="1" ht="20.25">
      <c r="A239" s="551" t="s">
        <v>627</v>
      </c>
      <c r="B239" s="550"/>
      <c r="C239" s="549"/>
      <c r="D239" s="544">
        <v>46136</v>
      </c>
      <c r="E239" s="319"/>
      <c r="F239" s="320"/>
      <c r="G239" s="320"/>
      <c r="H239" s="320"/>
      <c r="I239" s="321"/>
      <c r="J239" s="321"/>
      <c r="K239" s="380"/>
      <c r="L239" s="352"/>
      <c r="M239" s="353"/>
      <c r="N239" s="321">
        <f>10*16</f>
        <v>160</v>
      </c>
      <c r="O239" s="321"/>
      <c r="P239" s="321"/>
      <c r="Q239" s="321"/>
      <c r="R239" s="321"/>
      <c r="S239" s="321"/>
      <c r="T239" s="354"/>
      <c r="U239" s="580"/>
      <c r="V239" s="581"/>
      <c r="W239" s="543"/>
      <c r="X239" s="543"/>
      <c r="Y239" s="543"/>
      <c r="Z239" s="543"/>
      <c r="AA239" s="543"/>
      <c r="AB239" s="543"/>
      <c r="AC239" s="592"/>
      <c r="AD239" s="580"/>
      <c r="AE239" s="593">
        <f t="shared" si="122"/>
        <v>160</v>
      </c>
      <c r="AF239" s="594"/>
      <c r="AG239" s="1200"/>
      <c r="AH239" s="593">
        <f t="shared" si="120"/>
        <v>160</v>
      </c>
      <c r="AI239" s="2692"/>
      <c r="AJ239" s="606">
        <f t="shared" si="121"/>
        <v>160</v>
      </c>
    </row>
    <row r="240" spans="1:36" s="234" customFormat="1" ht="20.25">
      <c r="A240" s="551" t="s">
        <v>672</v>
      </c>
      <c r="B240" s="552"/>
      <c r="C240" s="553"/>
      <c r="D240" s="544">
        <v>46136</v>
      </c>
      <c r="E240" s="541"/>
      <c r="F240" s="542"/>
      <c r="G240" s="542"/>
      <c r="H240" s="542"/>
      <c r="I240" s="543"/>
      <c r="J240" s="543"/>
      <c r="K240" s="592"/>
      <c r="L240" s="580"/>
      <c r="M240" s="581"/>
      <c r="N240" s="543">
        <f>10*16</f>
        <v>160</v>
      </c>
      <c r="O240" s="543"/>
      <c r="P240" s="543"/>
      <c r="Q240" s="543"/>
      <c r="R240" s="543"/>
      <c r="S240" s="543"/>
      <c r="T240" s="587">
        <f>1*16</f>
        <v>16</v>
      </c>
      <c r="U240" s="352"/>
      <c r="V240" s="353"/>
      <c r="W240" s="321">
        <f>6*16</f>
        <v>96</v>
      </c>
      <c r="X240" s="321"/>
      <c r="Y240" s="321"/>
      <c r="Z240" s="321"/>
      <c r="AA240" s="321"/>
      <c r="AB240" s="321"/>
      <c r="AC240" s="380">
        <f>1*16</f>
        <v>16</v>
      </c>
      <c r="AD240" s="352"/>
      <c r="AE240" s="408">
        <f t="shared" si="122"/>
        <v>288</v>
      </c>
      <c r="AF240" s="409"/>
      <c r="AG240" s="381"/>
      <c r="AH240" s="408">
        <f t="shared" si="120"/>
        <v>288</v>
      </c>
      <c r="AI240" s="2693"/>
      <c r="AJ240" s="411">
        <f t="shared" si="121"/>
        <v>288</v>
      </c>
    </row>
    <row r="241" spans="1:39" s="234" customFormat="1" ht="20.25">
      <c r="A241" s="551" t="s">
        <v>673</v>
      </c>
      <c r="B241" s="550"/>
      <c r="C241" s="549"/>
      <c r="D241" s="544">
        <v>46137</v>
      </c>
      <c r="E241" s="319"/>
      <c r="F241" s="320"/>
      <c r="G241" s="320"/>
      <c r="H241" s="320"/>
      <c r="I241" s="321"/>
      <c r="J241" s="321"/>
      <c r="K241" s="380"/>
      <c r="L241" s="352"/>
      <c r="M241" s="353"/>
      <c r="N241" s="321"/>
      <c r="O241" s="321"/>
      <c r="P241" s="321"/>
      <c r="Q241" s="321"/>
      <c r="R241" s="321"/>
      <c r="S241" s="321"/>
      <c r="T241" s="354"/>
      <c r="U241" s="580"/>
      <c r="V241" s="581"/>
      <c r="W241" s="543"/>
      <c r="X241" s="543"/>
      <c r="Y241" s="543"/>
      <c r="Z241" s="543">
        <f>10*16</f>
        <v>160</v>
      </c>
      <c r="AA241" s="543"/>
      <c r="AB241" s="543"/>
      <c r="AC241" s="592"/>
      <c r="AD241" s="580"/>
      <c r="AE241" s="593">
        <f t="shared" si="122"/>
        <v>160</v>
      </c>
      <c r="AF241" s="594"/>
      <c r="AG241" s="1200"/>
      <c r="AH241" s="593">
        <f t="shared" si="120"/>
        <v>160</v>
      </c>
      <c r="AI241" s="2692"/>
      <c r="AJ241" s="606">
        <f t="shared" si="121"/>
        <v>160</v>
      </c>
    </row>
    <row r="242" spans="1:39" s="234" customFormat="1" ht="20.25">
      <c r="A242" s="551" t="s">
        <v>634</v>
      </c>
      <c r="B242" s="550"/>
      <c r="C242" s="549"/>
      <c r="D242" s="544">
        <v>46138</v>
      </c>
      <c r="E242" s="541"/>
      <c r="F242" s="542"/>
      <c r="G242" s="542"/>
      <c r="H242" s="542"/>
      <c r="I242" s="543"/>
      <c r="J242" s="543"/>
      <c r="K242" s="592"/>
      <c r="L242" s="580"/>
      <c r="M242" s="581"/>
      <c r="N242" s="543">
        <f>2*16</f>
        <v>32</v>
      </c>
      <c r="O242" s="543"/>
      <c r="P242" s="543"/>
      <c r="Q242" s="543"/>
      <c r="R242" s="543"/>
      <c r="S242" s="543">
        <f>2*16</f>
        <v>32</v>
      </c>
      <c r="T242" s="587">
        <f>2*16</f>
        <v>32</v>
      </c>
      <c r="U242" s="352"/>
      <c r="V242" s="353"/>
      <c r="W242" s="321"/>
      <c r="X242" s="321"/>
      <c r="Y242" s="321"/>
      <c r="Z242" s="321"/>
      <c r="AA242" s="321"/>
      <c r="AB242" s="321"/>
      <c r="AC242" s="380"/>
      <c r="AD242" s="352"/>
      <c r="AE242" s="408">
        <f t="shared" si="122"/>
        <v>96</v>
      </c>
      <c r="AF242" s="409"/>
      <c r="AG242" s="381"/>
      <c r="AH242" s="408">
        <f t="shared" si="120"/>
        <v>96</v>
      </c>
      <c r="AI242" s="2693"/>
      <c r="AJ242" s="411">
        <f t="shared" si="121"/>
        <v>96</v>
      </c>
    </row>
    <row r="243" spans="1:39" s="234" customFormat="1" ht="20.25">
      <c r="A243" s="537" t="s">
        <v>629</v>
      </c>
      <c r="B243" s="552"/>
      <c r="C243" s="553"/>
      <c r="D243" s="544">
        <v>46138</v>
      </c>
      <c r="E243" s="319"/>
      <c r="F243" s="320"/>
      <c r="G243" s="320"/>
      <c r="H243" s="320"/>
      <c r="I243" s="321"/>
      <c r="J243" s="321"/>
      <c r="K243" s="380"/>
      <c r="L243" s="352"/>
      <c r="M243" s="353"/>
      <c r="N243" s="321"/>
      <c r="O243" s="321"/>
      <c r="P243" s="321"/>
      <c r="Q243" s="321"/>
      <c r="R243" s="321"/>
      <c r="S243" s="321"/>
      <c r="T243" s="354"/>
      <c r="U243" s="580"/>
      <c r="V243" s="581"/>
      <c r="W243" s="543"/>
      <c r="X243" s="543"/>
      <c r="Y243" s="543"/>
      <c r="Z243" s="543">
        <f>14*16</f>
        <v>224</v>
      </c>
      <c r="AA243" s="543"/>
      <c r="AB243" s="543"/>
      <c r="AC243" s="592"/>
      <c r="AD243" s="580"/>
      <c r="AE243" s="593">
        <f t="shared" si="122"/>
        <v>224</v>
      </c>
      <c r="AF243" s="594"/>
      <c r="AG243" s="1200"/>
      <c r="AH243" s="593">
        <f t="shared" si="120"/>
        <v>224</v>
      </c>
      <c r="AI243" s="2692"/>
      <c r="AJ243" s="606">
        <f t="shared" si="121"/>
        <v>224</v>
      </c>
    </row>
    <row r="244" spans="1:39" s="234" customFormat="1" ht="20.25">
      <c r="A244" s="547" t="s">
        <v>677</v>
      </c>
      <c r="B244" s="550"/>
      <c r="C244" s="549"/>
      <c r="D244" s="544">
        <v>46138</v>
      </c>
      <c r="E244" s="541"/>
      <c r="F244" s="542"/>
      <c r="G244" s="542"/>
      <c r="H244" s="542"/>
      <c r="I244" s="543"/>
      <c r="J244" s="543"/>
      <c r="K244" s="592"/>
      <c r="L244" s="580"/>
      <c r="M244" s="581">
        <f>2*16</f>
        <v>32</v>
      </c>
      <c r="N244" s="543">
        <f>3*16+4*16</f>
        <v>112</v>
      </c>
      <c r="O244" s="543"/>
      <c r="P244" s="543"/>
      <c r="Q244" s="543"/>
      <c r="R244" s="543"/>
      <c r="S244" s="543"/>
      <c r="T244" s="587">
        <f>2*16</f>
        <v>32</v>
      </c>
      <c r="U244" s="352"/>
      <c r="V244" s="353">
        <f>5*16</f>
        <v>80</v>
      </c>
      <c r="W244" s="321">
        <f>5*16</f>
        <v>80</v>
      </c>
      <c r="X244" s="321"/>
      <c r="Y244" s="321"/>
      <c r="Z244" s="321"/>
      <c r="AA244" s="321"/>
      <c r="AB244" s="321"/>
      <c r="AC244" s="380"/>
      <c r="AD244" s="352"/>
      <c r="AE244" s="408">
        <f t="shared" si="122"/>
        <v>336</v>
      </c>
      <c r="AF244" s="409"/>
      <c r="AG244" s="381"/>
      <c r="AH244" s="408">
        <f t="shared" si="120"/>
        <v>336</v>
      </c>
      <c r="AI244" s="2693"/>
      <c r="AJ244" s="411">
        <f t="shared" si="121"/>
        <v>336</v>
      </c>
    </row>
    <row r="245" spans="1:39" s="234" customFormat="1" ht="20.25">
      <c r="A245" s="551" t="s">
        <v>634</v>
      </c>
      <c r="B245" s="550"/>
      <c r="C245" s="549"/>
      <c r="D245" s="544">
        <v>46138</v>
      </c>
      <c r="E245" s="319"/>
      <c r="F245" s="320"/>
      <c r="G245" s="320"/>
      <c r="H245" s="320"/>
      <c r="I245" s="321"/>
      <c r="J245" s="321"/>
      <c r="K245" s="380"/>
      <c r="L245" s="352"/>
      <c r="M245" s="353"/>
      <c r="N245" s="321">
        <f>5*16</f>
        <v>80</v>
      </c>
      <c r="O245" s="321"/>
      <c r="P245" s="321"/>
      <c r="Q245" s="321"/>
      <c r="R245" s="321"/>
      <c r="S245" s="321"/>
      <c r="T245" s="354"/>
      <c r="U245" s="580"/>
      <c r="V245" s="581">
        <f>3*16</f>
        <v>48</v>
      </c>
      <c r="W245" s="543">
        <f>7*16</f>
        <v>112</v>
      </c>
      <c r="X245" s="543"/>
      <c r="Y245" s="543"/>
      <c r="Z245" s="543"/>
      <c r="AA245" s="543"/>
      <c r="AB245" s="543"/>
      <c r="AC245" s="592">
        <f>2*16</f>
        <v>32</v>
      </c>
      <c r="AD245" s="580"/>
      <c r="AE245" s="593">
        <f t="shared" si="122"/>
        <v>272</v>
      </c>
      <c r="AF245" s="594"/>
      <c r="AG245" s="1200"/>
      <c r="AH245" s="593">
        <f t="shared" si="120"/>
        <v>272</v>
      </c>
      <c r="AI245" s="2692"/>
      <c r="AJ245" s="606">
        <f t="shared" si="121"/>
        <v>272</v>
      </c>
    </row>
    <row r="246" spans="1:39" s="234" customFormat="1" ht="20.25">
      <c r="A246" s="537" t="s">
        <v>679</v>
      </c>
      <c r="B246" s="550"/>
      <c r="C246" s="549"/>
      <c r="D246" s="544">
        <v>46139</v>
      </c>
      <c r="E246" s="541"/>
      <c r="F246" s="542"/>
      <c r="G246" s="542"/>
      <c r="H246" s="542"/>
      <c r="I246" s="543"/>
      <c r="J246" s="543"/>
      <c r="K246" s="592"/>
      <c r="L246" s="580"/>
      <c r="M246" s="581"/>
      <c r="N246" s="543">
        <f>11*16</f>
        <v>176</v>
      </c>
      <c r="O246" s="543"/>
      <c r="P246" s="543"/>
      <c r="Q246" s="543"/>
      <c r="R246" s="543"/>
      <c r="S246" s="543"/>
      <c r="T246" s="587">
        <f>5*16</f>
        <v>80</v>
      </c>
      <c r="U246" s="352"/>
      <c r="V246" s="353"/>
      <c r="W246" s="321">
        <f>4*16</f>
        <v>64</v>
      </c>
      <c r="X246" s="321"/>
      <c r="Y246" s="321"/>
      <c r="Z246" s="321"/>
      <c r="AA246" s="321"/>
      <c r="AB246" s="321"/>
      <c r="AC246" s="380">
        <f>5*16</f>
        <v>80</v>
      </c>
      <c r="AD246" s="352"/>
      <c r="AE246" s="408">
        <f t="shared" ref="AE246" si="126">SUM(E246:AC246)</f>
        <v>400</v>
      </c>
      <c r="AF246" s="409"/>
      <c r="AG246" s="381"/>
      <c r="AH246" s="408">
        <f t="shared" ref="AH246" si="127">AE246+AF246+AG246</f>
        <v>400</v>
      </c>
      <c r="AI246" s="2693"/>
      <c r="AJ246" s="411">
        <f t="shared" ref="AJ246" si="128">AH246+AI246</f>
        <v>400</v>
      </c>
    </row>
    <row r="247" spans="1:39" s="234" customFormat="1" ht="20.25">
      <c r="A247" s="547" t="s">
        <v>682</v>
      </c>
      <c r="B247" s="550"/>
      <c r="C247" s="549"/>
      <c r="D247" s="544">
        <v>46140</v>
      </c>
      <c r="E247" s="541"/>
      <c r="F247" s="542"/>
      <c r="G247" s="542"/>
      <c r="H247" s="542"/>
      <c r="I247" s="543"/>
      <c r="J247" s="543"/>
      <c r="K247" s="592"/>
      <c r="L247" s="580"/>
      <c r="M247" s="581"/>
      <c r="N247" s="543"/>
      <c r="O247" s="543"/>
      <c r="P247" s="543"/>
      <c r="Q247" s="543"/>
      <c r="R247" s="543"/>
      <c r="S247" s="543"/>
      <c r="T247" s="587"/>
      <c r="U247" s="352"/>
      <c r="V247" s="353"/>
      <c r="W247" s="321">
        <f>7*16</f>
        <v>112</v>
      </c>
      <c r="X247" s="321"/>
      <c r="Y247" s="321"/>
      <c r="Z247" s="321"/>
      <c r="AA247" s="321"/>
      <c r="AB247" s="321"/>
      <c r="AC247" s="380">
        <f>7*16</f>
        <v>112</v>
      </c>
      <c r="AD247" s="352"/>
      <c r="AE247" s="408">
        <f t="shared" si="122"/>
        <v>224</v>
      </c>
      <c r="AF247" s="409"/>
      <c r="AG247" s="381"/>
      <c r="AH247" s="408">
        <f t="shared" si="120"/>
        <v>224</v>
      </c>
      <c r="AI247" s="2693"/>
      <c r="AJ247" s="411">
        <f t="shared" si="121"/>
        <v>224</v>
      </c>
    </row>
    <row r="248" spans="1:39" s="234" customFormat="1" ht="20.25">
      <c r="A248" s="547" t="s">
        <v>683</v>
      </c>
      <c r="B248" s="550"/>
      <c r="C248" s="549"/>
      <c r="D248" s="544">
        <v>46140</v>
      </c>
      <c r="E248" s="319"/>
      <c r="F248" s="320"/>
      <c r="G248" s="320"/>
      <c r="H248" s="320"/>
      <c r="I248" s="321"/>
      <c r="J248" s="321"/>
      <c r="K248" s="380"/>
      <c r="L248" s="352"/>
      <c r="M248" s="353"/>
      <c r="N248" s="321"/>
      <c r="O248" s="321"/>
      <c r="P248" s="321"/>
      <c r="Q248" s="321"/>
      <c r="R248" s="321"/>
      <c r="S248" s="321"/>
      <c r="T248" s="354"/>
      <c r="U248" s="580"/>
      <c r="V248" s="581"/>
      <c r="W248" s="543">
        <f>4*16</f>
        <v>64</v>
      </c>
      <c r="X248" s="543"/>
      <c r="Y248" s="543"/>
      <c r="Z248" s="543"/>
      <c r="AA248" s="543"/>
      <c r="AB248" s="543"/>
      <c r="AC248" s="592">
        <f>2*16</f>
        <v>32</v>
      </c>
      <c r="AD248" s="580"/>
      <c r="AE248" s="593">
        <f t="shared" si="122"/>
        <v>96</v>
      </c>
      <c r="AF248" s="594"/>
      <c r="AG248" s="1200"/>
      <c r="AH248" s="593">
        <f t="shared" si="120"/>
        <v>96</v>
      </c>
      <c r="AI248" s="2692"/>
      <c r="AJ248" s="606">
        <f t="shared" si="121"/>
        <v>96</v>
      </c>
    </row>
    <row r="249" spans="1:39" ht="20.25">
      <c r="A249" s="537" t="s">
        <v>684</v>
      </c>
      <c r="B249" s="550"/>
      <c r="C249" s="549"/>
      <c r="D249" s="544">
        <v>46140</v>
      </c>
      <c r="E249" s="541"/>
      <c r="F249" s="542"/>
      <c r="G249" s="542"/>
      <c r="H249" s="542"/>
      <c r="I249" s="543"/>
      <c r="J249" s="543"/>
      <c r="K249" s="592"/>
      <c r="L249" s="580"/>
      <c r="M249" s="581"/>
      <c r="N249" s="543">
        <f>2*16</f>
        <v>32</v>
      </c>
      <c r="O249" s="543"/>
      <c r="P249" s="543"/>
      <c r="Q249" s="543"/>
      <c r="R249" s="543"/>
      <c r="S249" s="543"/>
      <c r="T249" s="587">
        <f>3*16</f>
        <v>48</v>
      </c>
      <c r="U249" s="580"/>
      <c r="V249" s="581"/>
      <c r="W249" s="543">
        <f>2*16</f>
        <v>32</v>
      </c>
      <c r="X249" s="543"/>
      <c r="Y249" s="543"/>
      <c r="Z249" s="543"/>
      <c r="AA249" s="543"/>
      <c r="AB249" s="543"/>
      <c r="AC249" s="592">
        <f>3*16</f>
        <v>48</v>
      </c>
      <c r="AD249" s="580"/>
      <c r="AE249" s="593">
        <f t="shared" si="122"/>
        <v>160</v>
      </c>
      <c r="AF249" s="594"/>
      <c r="AG249" s="1200"/>
      <c r="AH249" s="593">
        <f t="shared" si="120"/>
        <v>160</v>
      </c>
      <c r="AI249" s="2692"/>
      <c r="AJ249" s="606">
        <f t="shared" si="121"/>
        <v>160</v>
      </c>
    </row>
    <row r="250" spans="1:39" ht="20.25">
      <c r="A250" s="537" t="s">
        <v>639</v>
      </c>
      <c r="B250" s="1112"/>
      <c r="C250" s="1113"/>
      <c r="D250" s="1114">
        <v>46140</v>
      </c>
      <c r="E250" s="541"/>
      <c r="F250" s="542"/>
      <c r="G250" s="542"/>
      <c r="H250" s="542"/>
      <c r="I250" s="543"/>
      <c r="J250" s="543"/>
      <c r="K250" s="592"/>
      <c r="L250" s="580"/>
      <c r="M250" s="581"/>
      <c r="N250" s="543">
        <f>8*16+8*16</f>
        <v>256</v>
      </c>
      <c r="O250" s="543"/>
      <c r="P250" s="543"/>
      <c r="Q250" s="543"/>
      <c r="R250" s="543"/>
      <c r="S250" s="543"/>
      <c r="T250" s="587">
        <f>2*16+2*16</f>
        <v>64</v>
      </c>
      <c r="U250" s="352"/>
      <c r="V250" s="353"/>
      <c r="W250" s="321">
        <f>8*16</f>
        <v>128</v>
      </c>
      <c r="X250" s="321"/>
      <c r="Y250" s="321"/>
      <c r="Z250" s="321"/>
      <c r="AA250" s="321"/>
      <c r="AB250" s="321"/>
      <c r="AC250" s="380">
        <f>2*16</f>
        <v>32</v>
      </c>
      <c r="AD250" s="352"/>
      <c r="AE250" s="593">
        <f t="shared" si="122"/>
        <v>480</v>
      </c>
      <c r="AF250" s="409"/>
      <c r="AG250" s="381"/>
      <c r="AH250" s="408">
        <f t="shared" si="120"/>
        <v>480</v>
      </c>
      <c r="AI250" s="2693"/>
      <c r="AJ250" s="411">
        <f t="shared" si="121"/>
        <v>480</v>
      </c>
    </row>
    <row r="251" spans="1:39" s="284" customFormat="1" ht="20.25">
      <c r="A251" s="547" t="s">
        <v>685</v>
      </c>
      <c r="B251" s="550"/>
      <c r="C251" s="549"/>
      <c r="D251" s="544">
        <v>46141</v>
      </c>
      <c r="E251" s="319"/>
      <c r="F251" s="320"/>
      <c r="G251" s="320">
        <f>7*16</f>
        <v>112</v>
      </c>
      <c r="H251" s="320"/>
      <c r="I251" s="321"/>
      <c r="J251" s="321"/>
      <c r="K251" s="380"/>
      <c r="L251" s="352"/>
      <c r="M251" s="353"/>
      <c r="N251" s="321"/>
      <c r="O251" s="321"/>
      <c r="P251" s="321"/>
      <c r="Q251" s="321"/>
      <c r="R251" s="321"/>
      <c r="S251" s="321"/>
      <c r="T251" s="354">
        <f>8*16</f>
        <v>128</v>
      </c>
      <c r="U251" s="580"/>
      <c r="V251" s="581"/>
      <c r="W251" s="543"/>
      <c r="X251" s="543"/>
      <c r="Y251" s="543"/>
      <c r="Z251" s="543">
        <f>9*16</f>
        <v>144</v>
      </c>
      <c r="AA251" s="543"/>
      <c r="AB251" s="543"/>
      <c r="AC251" s="592">
        <f>10*16</f>
        <v>160</v>
      </c>
      <c r="AD251" s="580"/>
      <c r="AE251" s="593">
        <f t="shared" si="122"/>
        <v>544</v>
      </c>
      <c r="AF251" s="594"/>
      <c r="AG251" s="1200"/>
      <c r="AH251" s="593">
        <f t="shared" si="120"/>
        <v>544</v>
      </c>
      <c r="AI251" s="2692"/>
      <c r="AJ251" s="606">
        <f t="shared" si="121"/>
        <v>544</v>
      </c>
      <c r="AK251" s="403"/>
      <c r="AL251" s="403"/>
      <c r="AM251" s="403"/>
    </row>
    <row r="252" spans="1:39" s="282" customFormat="1" ht="20.25">
      <c r="A252" s="537" t="s">
        <v>635</v>
      </c>
      <c r="B252" s="550"/>
      <c r="C252" s="549"/>
      <c r="D252" s="544">
        <v>46141</v>
      </c>
      <c r="E252" s="541"/>
      <c r="F252" s="542"/>
      <c r="G252" s="542"/>
      <c r="H252" s="542"/>
      <c r="I252" s="543"/>
      <c r="J252" s="543"/>
      <c r="K252" s="592"/>
      <c r="L252" s="580"/>
      <c r="M252" s="581">
        <f>2*16</f>
        <v>32</v>
      </c>
      <c r="N252" s="543">
        <f>2*16</f>
        <v>32</v>
      </c>
      <c r="O252" s="543"/>
      <c r="P252" s="543"/>
      <c r="Q252" s="543"/>
      <c r="R252" s="543"/>
      <c r="S252" s="543">
        <f>2*16</f>
        <v>32</v>
      </c>
      <c r="T252" s="587"/>
      <c r="U252" s="580"/>
      <c r="V252" s="581"/>
      <c r="W252" s="543"/>
      <c r="X252" s="543"/>
      <c r="Y252" s="543"/>
      <c r="Z252" s="543"/>
      <c r="AA252" s="543"/>
      <c r="AB252" s="543"/>
      <c r="AC252" s="592"/>
      <c r="AD252" s="580"/>
      <c r="AE252" s="593">
        <f t="shared" si="122"/>
        <v>96</v>
      </c>
      <c r="AF252" s="594"/>
      <c r="AG252" s="1200"/>
      <c r="AH252" s="593">
        <f t="shared" si="120"/>
        <v>96</v>
      </c>
      <c r="AI252" s="2692"/>
      <c r="AJ252" s="606">
        <f t="shared" si="121"/>
        <v>96</v>
      </c>
    </row>
    <row r="253" spans="1:39" s="283" customFormat="1" ht="20.25">
      <c r="A253" s="547" t="s">
        <v>686</v>
      </c>
      <c r="B253" s="550"/>
      <c r="C253" s="549"/>
      <c r="D253" s="544">
        <v>46141</v>
      </c>
      <c r="E253" s="319"/>
      <c r="F253" s="320"/>
      <c r="G253" s="320"/>
      <c r="H253" s="320"/>
      <c r="I253" s="321"/>
      <c r="J253" s="321"/>
      <c r="K253" s="380"/>
      <c r="L253" s="352"/>
      <c r="M253" s="353"/>
      <c r="N253" s="321"/>
      <c r="O253" s="321"/>
      <c r="P253" s="321"/>
      <c r="Q253" s="321"/>
      <c r="R253" s="321"/>
      <c r="S253" s="321"/>
      <c r="T253" s="354"/>
      <c r="U253" s="580"/>
      <c r="V253" s="581">
        <f>3*16</f>
        <v>48</v>
      </c>
      <c r="W253" s="543"/>
      <c r="X253" s="543"/>
      <c r="Y253" s="543"/>
      <c r="Z253" s="543">
        <f>3*16</f>
        <v>48</v>
      </c>
      <c r="AA253" s="543"/>
      <c r="AB253" s="543"/>
      <c r="AC253" s="592">
        <f>3*16</f>
        <v>48</v>
      </c>
      <c r="AD253" s="580"/>
      <c r="AE253" s="593">
        <f t="shared" si="122"/>
        <v>144</v>
      </c>
      <c r="AF253" s="594"/>
      <c r="AG253" s="1200"/>
      <c r="AH253" s="593">
        <f t="shared" si="120"/>
        <v>144</v>
      </c>
      <c r="AI253" s="2692"/>
      <c r="AJ253" s="606">
        <f t="shared" si="121"/>
        <v>144</v>
      </c>
    </row>
    <row r="254" spans="1:39" s="283" customFormat="1" ht="20.25">
      <c r="A254" s="537" t="s">
        <v>687</v>
      </c>
      <c r="B254" s="550"/>
      <c r="C254" s="549"/>
      <c r="D254" s="544">
        <v>46141</v>
      </c>
      <c r="E254" s="541"/>
      <c r="F254" s="542"/>
      <c r="G254" s="542"/>
      <c r="H254" s="542"/>
      <c r="I254" s="543"/>
      <c r="J254" s="543"/>
      <c r="K254" s="592"/>
      <c r="L254" s="580"/>
      <c r="M254" s="581">
        <f>1*16</f>
        <v>16</v>
      </c>
      <c r="N254" s="543"/>
      <c r="O254" s="543"/>
      <c r="P254" s="543"/>
      <c r="Q254" s="543"/>
      <c r="R254" s="543"/>
      <c r="S254" s="543">
        <f>1*16</f>
        <v>16</v>
      </c>
      <c r="T254" s="587">
        <f>1*16</f>
        <v>16</v>
      </c>
      <c r="U254" s="580"/>
      <c r="V254" s="581"/>
      <c r="W254" s="543"/>
      <c r="X254" s="543"/>
      <c r="Y254" s="543"/>
      <c r="Z254" s="543"/>
      <c r="AA254" s="543"/>
      <c r="AB254" s="543"/>
      <c r="AC254" s="592">
        <f>8*16</f>
        <v>128</v>
      </c>
      <c r="AD254" s="580"/>
      <c r="AE254" s="593">
        <f t="shared" si="122"/>
        <v>176</v>
      </c>
      <c r="AF254" s="594"/>
      <c r="AG254" s="1200"/>
      <c r="AH254" s="593">
        <f t="shared" si="120"/>
        <v>176</v>
      </c>
      <c r="AI254" s="2692"/>
      <c r="AJ254" s="606">
        <f t="shared" si="121"/>
        <v>176</v>
      </c>
    </row>
    <row r="255" spans="1:39" s="283" customFormat="1" ht="19.5" customHeight="1">
      <c r="A255" s="551" t="s">
        <v>670</v>
      </c>
      <c r="B255" s="550"/>
      <c r="C255" s="549"/>
      <c r="D255" s="544">
        <v>46142</v>
      </c>
      <c r="E255" s="541"/>
      <c r="F255" s="542"/>
      <c r="G255" s="542"/>
      <c r="H255" s="542"/>
      <c r="I255" s="543"/>
      <c r="J255" s="543"/>
      <c r="K255" s="592"/>
      <c r="L255" s="580"/>
      <c r="M255" s="581"/>
      <c r="N255" s="543"/>
      <c r="O255" s="543"/>
      <c r="P255" s="543"/>
      <c r="Q255" s="543"/>
      <c r="R255" s="543"/>
      <c r="S255" s="543"/>
      <c r="T255" s="587"/>
      <c r="U255" s="352"/>
      <c r="V255" s="353"/>
      <c r="W255" s="321">
        <f>42*16</f>
        <v>672</v>
      </c>
      <c r="X255" s="321">
        <f>27*16</f>
        <v>432</v>
      </c>
      <c r="Y255" s="321"/>
      <c r="Z255" s="321"/>
      <c r="AA255" s="321"/>
      <c r="AB255" s="321"/>
      <c r="AC255" s="380">
        <f>18*16</f>
        <v>288</v>
      </c>
      <c r="AD255" s="352"/>
      <c r="AE255" s="408">
        <f t="shared" si="122"/>
        <v>1392</v>
      </c>
      <c r="AF255" s="409"/>
      <c r="AG255" s="381"/>
      <c r="AH255" s="408">
        <f t="shared" si="120"/>
        <v>1392</v>
      </c>
      <c r="AI255" s="2693"/>
      <c r="AJ255" s="411">
        <f t="shared" si="121"/>
        <v>1392</v>
      </c>
    </row>
    <row r="256" spans="1:39" s="284" customFormat="1" ht="24.75" customHeight="1">
      <c r="A256" s="537" t="s">
        <v>659</v>
      </c>
      <c r="B256" s="550"/>
      <c r="C256" s="549"/>
      <c r="D256" s="544">
        <v>46142</v>
      </c>
      <c r="E256" s="319"/>
      <c r="F256" s="320"/>
      <c r="G256" s="320"/>
      <c r="H256" s="320"/>
      <c r="I256" s="321"/>
      <c r="J256" s="321"/>
      <c r="K256" s="380"/>
      <c r="L256" s="352"/>
      <c r="M256" s="353"/>
      <c r="N256" s="321"/>
      <c r="O256" s="321"/>
      <c r="P256" s="321"/>
      <c r="Q256" s="321"/>
      <c r="R256" s="321"/>
      <c r="S256" s="321"/>
      <c r="T256" s="354"/>
      <c r="U256" s="580"/>
      <c r="V256" s="581">
        <f>3*16</f>
        <v>48</v>
      </c>
      <c r="W256" s="543">
        <f>6*16</f>
        <v>96</v>
      </c>
      <c r="X256" s="543"/>
      <c r="Y256" s="543"/>
      <c r="Z256" s="543">
        <f>3*16</f>
        <v>48</v>
      </c>
      <c r="AA256" s="543"/>
      <c r="AB256" s="543"/>
      <c r="AC256" s="592">
        <f>6*16</f>
        <v>96</v>
      </c>
      <c r="AD256" s="580"/>
      <c r="AE256" s="593">
        <f t="shared" si="122"/>
        <v>288</v>
      </c>
      <c r="AF256" s="594"/>
      <c r="AG256" s="1200"/>
      <c r="AH256" s="593">
        <f t="shared" si="120"/>
        <v>288</v>
      </c>
      <c r="AI256" s="2692"/>
      <c r="AJ256" s="606">
        <f t="shared" si="121"/>
        <v>288</v>
      </c>
      <c r="AK256" s="403"/>
      <c r="AL256" s="403"/>
      <c r="AM256" s="403"/>
    </row>
    <row r="257" spans="1:37" s="1" customFormat="1" ht="20.25">
      <c r="A257" s="537" t="s">
        <v>665</v>
      </c>
      <c r="B257" s="550"/>
      <c r="C257" s="549"/>
      <c r="D257" s="544">
        <v>46142</v>
      </c>
      <c r="E257" s="541"/>
      <c r="F257" s="542"/>
      <c r="G257" s="542"/>
      <c r="H257" s="542"/>
      <c r="I257" s="543"/>
      <c r="J257" s="543"/>
      <c r="K257" s="592"/>
      <c r="L257" s="580"/>
      <c r="M257" s="581"/>
      <c r="N257" s="543"/>
      <c r="O257" s="543"/>
      <c r="P257" s="543"/>
      <c r="Q257" s="543"/>
      <c r="R257" s="543"/>
      <c r="S257" s="543"/>
      <c r="T257" s="587"/>
      <c r="U257" s="352"/>
      <c r="V257" s="353">
        <f>3*16</f>
        <v>48</v>
      </c>
      <c r="W257" s="321"/>
      <c r="X257" s="321"/>
      <c r="Y257" s="321"/>
      <c r="Z257" s="321">
        <f>4*16</f>
        <v>64</v>
      </c>
      <c r="AA257" s="321"/>
      <c r="AB257" s="321"/>
      <c r="AC257" s="380">
        <f>5*16</f>
        <v>80</v>
      </c>
      <c r="AD257" s="352"/>
      <c r="AE257" s="408">
        <f t="shared" si="122"/>
        <v>192</v>
      </c>
      <c r="AF257" s="409"/>
      <c r="AG257" s="381"/>
      <c r="AH257" s="408">
        <f t="shared" si="120"/>
        <v>192</v>
      </c>
      <c r="AI257" s="2693"/>
      <c r="AJ257" s="411">
        <f t="shared" si="121"/>
        <v>192</v>
      </c>
    </row>
    <row r="258" spans="1:37" ht="20.25">
      <c r="A258" s="551" t="s">
        <v>619</v>
      </c>
      <c r="B258" s="550"/>
      <c r="C258" s="549"/>
      <c r="D258" s="544">
        <v>46142</v>
      </c>
      <c r="E258" s="319"/>
      <c r="F258" s="320"/>
      <c r="G258" s="320"/>
      <c r="H258" s="320"/>
      <c r="I258" s="321"/>
      <c r="J258" s="321"/>
      <c r="K258" s="380"/>
      <c r="L258" s="352"/>
      <c r="M258" s="353"/>
      <c r="N258" s="321"/>
      <c r="O258" s="321"/>
      <c r="P258" s="321"/>
      <c r="Q258" s="321"/>
      <c r="R258" s="321"/>
      <c r="S258" s="321"/>
      <c r="T258" s="354"/>
      <c r="U258" s="580"/>
      <c r="V258" s="581">
        <f>7*16</f>
        <v>112</v>
      </c>
      <c r="W258" s="543"/>
      <c r="X258" s="543"/>
      <c r="Y258" s="543"/>
      <c r="Z258" s="543">
        <f>7*16</f>
        <v>112</v>
      </c>
      <c r="AA258" s="543"/>
      <c r="AB258" s="543"/>
      <c r="AC258" s="592">
        <f>7*16</f>
        <v>112</v>
      </c>
      <c r="AD258" s="580"/>
      <c r="AE258" s="593">
        <f t="shared" si="122"/>
        <v>336</v>
      </c>
      <c r="AF258" s="594"/>
      <c r="AG258" s="1200"/>
      <c r="AH258" s="593">
        <f t="shared" si="120"/>
        <v>336</v>
      </c>
      <c r="AI258" s="2692"/>
      <c r="AJ258" s="606">
        <f t="shared" si="121"/>
        <v>336</v>
      </c>
    </row>
    <row r="259" spans="1:37" ht="20.25">
      <c r="A259" s="551"/>
      <c r="B259" s="550"/>
      <c r="C259" s="549"/>
      <c r="D259" s="544"/>
      <c r="E259" s="541"/>
      <c r="F259" s="542"/>
      <c r="G259" s="542"/>
      <c r="H259" s="542"/>
      <c r="I259" s="543"/>
      <c r="J259" s="543"/>
      <c r="K259" s="592"/>
      <c r="L259" s="580"/>
      <c r="M259" s="581"/>
      <c r="N259" s="543"/>
      <c r="O259" s="543"/>
      <c r="P259" s="543"/>
      <c r="Q259" s="543"/>
      <c r="R259" s="543"/>
      <c r="S259" s="543"/>
      <c r="T259" s="587"/>
      <c r="U259" s="352"/>
      <c r="V259" s="353"/>
      <c r="W259" s="321"/>
      <c r="X259" s="321"/>
      <c r="Y259" s="321"/>
      <c r="Z259" s="321"/>
      <c r="AA259" s="321"/>
      <c r="AB259" s="321"/>
      <c r="AC259" s="380"/>
      <c r="AD259" s="352"/>
      <c r="AE259" s="408">
        <f t="shared" si="122"/>
        <v>0</v>
      </c>
      <c r="AF259" s="409"/>
      <c r="AG259" s="381"/>
      <c r="AH259" s="408">
        <f t="shared" si="120"/>
        <v>0</v>
      </c>
      <c r="AI259" s="2693"/>
      <c r="AJ259" s="411">
        <f t="shared" si="121"/>
        <v>0</v>
      </c>
    </row>
    <row r="260" spans="1:37" ht="20.25">
      <c r="A260" s="537"/>
      <c r="B260" s="550"/>
      <c r="C260" s="549"/>
      <c r="D260" s="544"/>
      <c r="E260" s="319"/>
      <c r="F260" s="320"/>
      <c r="G260" s="320"/>
      <c r="H260" s="320"/>
      <c r="I260" s="321"/>
      <c r="J260" s="321"/>
      <c r="K260" s="380"/>
      <c r="L260" s="352"/>
      <c r="M260" s="353"/>
      <c r="N260" s="321"/>
      <c r="O260" s="321"/>
      <c r="P260" s="321"/>
      <c r="Q260" s="321"/>
      <c r="R260" s="321"/>
      <c r="S260" s="321"/>
      <c r="T260" s="354"/>
      <c r="U260" s="352"/>
      <c r="V260" s="353"/>
      <c r="W260" s="321"/>
      <c r="X260" s="321"/>
      <c r="Y260" s="321"/>
      <c r="Z260" s="321"/>
      <c r="AA260" s="321"/>
      <c r="AB260" s="321"/>
      <c r="AC260" s="380"/>
      <c r="AD260" s="352"/>
      <c r="AE260" s="408">
        <f t="shared" si="122"/>
        <v>0</v>
      </c>
      <c r="AF260" s="409"/>
      <c r="AG260" s="381"/>
      <c r="AH260" s="408">
        <f t="shared" si="120"/>
        <v>0</v>
      </c>
      <c r="AI260" s="2693"/>
      <c r="AJ260" s="411">
        <f t="shared" si="121"/>
        <v>0</v>
      </c>
    </row>
    <row r="261" spans="1:37" ht="20.25">
      <c r="A261" s="537"/>
      <c r="B261" s="550"/>
      <c r="C261" s="549"/>
      <c r="D261" s="544"/>
      <c r="E261" s="319"/>
      <c r="F261" s="320"/>
      <c r="G261" s="320"/>
      <c r="H261" s="320"/>
      <c r="I261" s="321"/>
      <c r="J261" s="321"/>
      <c r="K261" s="380"/>
      <c r="L261" s="352"/>
      <c r="M261" s="353"/>
      <c r="N261" s="321"/>
      <c r="O261" s="321"/>
      <c r="P261" s="321"/>
      <c r="Q261" s="321"/>
      <c r="R261" s="321"/>
      <c r="S261" s="321"/>
      <c r="T261" s="354"/>
      <c r="U261" s="352"/>
      <c r="V261" s="353"/>
      <c r="W261" s="321"/>
      <c r="X261" s="321"/>
      <c r="Y261" s="321"/>
      <c r="Z261" s="321"/>
      <c r="AA261" s="321"/>
      <c r="AB261" s="321"/>
      <c r="AC261" s="380"/>
      <c r="AD261" s="352"/>
      <c r="AE261" s="408">
        <f t="shared" si="122"/>
        <v>0</v>
      </c>
      <c r="AF261" s="409"/>
      <c r="AG261" s="381"/>
      <c r="AH261" s="408">
        <f t="shared" si="120"/>
        <v>0</v>
      </c>
      <c r="AI261" s="2693"/>
      <c r="AJ261" s="411">
        <f t="shared" si="121"/>
        <v>0</v>
      </c>
      <c r="AK261" s="1"/>
    </row>
    <row r="262" spans="1:37" ht="20.25">
      <c r="A262" s="537"/>
      <c r="B262" s="550"/>
      <c r="C262" s="549"/>
      <c r="D262" s="544"/>
      <c r="E262" s="319"/>
      <c r="F262" s="320"/>
      <c r="G262" s="320"/>
      <c r="H262" s="320"/>
      <c r="I262" s="321"/>
      <c r="J262" s="321"/>
      <c r="K262" s="380"/>
      <c r="L262" s="352"/>
      <c r="M262" s="353"/>
      <c r="N262" s="321"/>
      <c r="O262" s="321"/>
      <c r="P262" s="321"/>
      <c r="Q262" s="321"/>
      <c r="R262" s="321"/>
      <c r="S262" s="321"/>
      <c r="T262" s="354"/>
      <c r="U262" s="352"/>
      <c r="V262" s="353"/>
      <c r="W262" s="321"/>
      <c r="X262" s="321"/>
      <c r="Y262" s="321"/>
      <c r="Z262" s="321"/>
      <c r="AA262" s="321"/>
      <c r="AB262" s="321"/>
      <c r="AC262" s="380"/>
      <c r="AD262" s="352"/>
      <c r="AE262" s="408">
        <f t="shared" si="122"/>
        <v>0</v>
      </c>
      <c r="AF262" s="409"/>
      <c r="AG262" s="381"/>
      <c r="AH262" s="408">
        <f t="shared" si="120"/>
        <v>0</v>
      </c>
      <c r="AI262" s="2693"/>
      <c r="AJ262" s="411">
        <f t="shared" si="121"/>
        <v>0</v>
      </c>
    </row>
    <row r="263" spans="1:37" ht="20.25">
      <c r="A263" s="537"/>
      <c r="B263" s="550"/>
      <c r="C263" s="549"/>
      <c r="D263" s="544"/>
      <c r="E263" s="319"/>
      <c r="F263" s="320"/>
      <c r="G263" s="320"/>
      <c r="H263" s="320"/>
      <c r="I263" s="321"/>
      <c r="J263" s="321"/>
      <c r="K263" s="380"/>
      <c r="L263" s="352"/>
      <c r="M263" s="353"/>
      <c r="N263" s="321"/>
      <c r="O263" s="321"/>
      <c r="P263" s="321"/>
      <c r="Q263" s="321"/>
      <c r="R263" s="321"/>
      <c r="S263" s="321"/>
      <c r="T263" s="354"/>
      <c r="U263" s="352"/>
      <c r="V263" s="353"/>
      <c r="W263" s="321"/>
      <c r="X263" s="321"/>
      <c r="Y263" s="321"/>
      <c r="Z263" s="321"/>
      <c r="AA263" s="321"/>
      <c r="AB263" s="321"/>
      <c r="AC263" s="380"/>
      <c r="AD263" s="352"/>
      <c r="AE263" s="408">
        <f t="shared" si="122"/>
        <v>0</v>
      </c>
      <c r="AF263" s="409"/>
      <c r="AG263" s="381"/>
      <c r="AH263" s="408">
        <f t="shared" si="120"/>
        <v>0</v>
      </c>
      <c r="AI263" s="2693"/>
      <c r="AJ263" s="411">
        <f t="shared" si="121"/>
        <v>0</v>
      </c>
    </row>
    <row r="264" spans="1:37" ht="20.25">
      <c r="A264" s="1180"/>
      <c r="B264" s="727"/>
      <c r="C264" s="728"/>
      <c r="D264" s="2680"/>
      <c r="E264" s="319"/>
      <c r="F264" s="320"/>
      <c r="G264" s="320"/>
      <c r="H264" s="320"/>
      <c r="I264" s="321"/>
      <c r="J264" s="321"/>
      <c r="K264" s="380"/>
      <c r="L264" s="352"/>
      <c r="M264" s="353"/>
      <c r="N264" s="321"/>
      <c r="O264" s="321"/>
      <c r="P264" s="321"/>
      <c r="Q264" s="321"/>
      <c r="R264" s="321"/>
      <c r="S264" s="321"/>
      <c r="T264" s="354"/>
      <c r="U264" s="352"/>
      <c r="V264" s="353"/>
      <c r="W264" s="321"/>
      <c r="X264" s="321"/>
      <c r="Y264" s="321"/>
      <c r="Z264" s="321"/>
      <c r="AA264" s="321"/>
      <c r="AB264" s="321"/>
      <c r="AC264" s="380"/>
      <c r="AD264" s="352"/>
      <c r="AE264" s="408">
        <f t="shared" si="122"/>
        <v>0</v>
      </c>
      <c r="AF264" s="409"/>
      <c r="AG264" s="381"/>
      <c r="AH264" s="408">
        <f t="shared" si="120"/>
        <v>0</v>
      </c>
      <c r="AI264" s="2693"/>
      <c r="AJ264" s="411">
        <f t="shared" si="121"/>
        <v>0</v>
      </c>
    </row>
    <row r="265" spans="1:37" ht="20.25">
      <c r="A265" s="1180"/>
      <c r="B265" s="727"/>
      <c r="C265" s="728"/>
      <c r="D265" s="2680"/>
      <c r="E265" s="319"/>
      <c r="F265" s="320"/>
      <c r="G265" s="320"/>
      <c r="H265" s="320"/>
      <c r="I265" s="321"/>
      <c r="J265" s="321"/>
      <c r="K265" s="380"/>
      <c r="L265" s="352"/>
      <c r="M265" s="353"/>
      <c r="N265" s="321"/>
      <c r="O265" s="321"/>
      <c r="P265" s="321"/>
      <c r="Q265" s="321"/>
      <c r="R265" s="321"/>
      <c r="S265" s="321"/>
      <c r="T265" s="354"/>
      <c r="U265" s="352"/>
      <c r="V265" s="353"/>
      <c r="W265" s="321"/>
      <c r="X265" s="321"/>
      <c r="Y265" s="321"/>
      <c r="Z265" s="321"/>
      <c r="AA265" s="321"/>
      <c r="AB265" s="321"/>
      <c r="AC265" s="380"/>
      <c r="AD265" s="352"/>
      <c r="AE265" s="408">
        <f t="shared" si="122"/>
        <v>0</v>
      </c>
      <c r="AF265" s="409"/>
      <c r="AG265" s="381"/>
      <c r="AH265" s="408">
        <f t="shared" si="120"/>
        <v>0</v>
      </c>
      <c r="AI265" s="2693"/>
      <c r="AJ265" s="411">
        <f t="shared" si="121"/>
        <v>0</v>
      </c>
    </row>
    <row r="266" spans="1:37" ht="20.25">
      <c r="A266" s="551"/>
      <c r="B266" s="567"/>
      <c r="C266" s="553"/>
      <c r="D266" s="2679"/>
      <c r="E266" s="319"/>
      <c r="F266" s="320"/>
      <c r="G266" s="320"/>
      <c r="H266" s="320"/>
      <c r="I266" s="321"/>
      <c r="J266" s="321"/>
      <c r="K266" s="380"/>
      <c r="L266" s="352"/>
      <c r="M266" s="353"/>
      <c r="N266" s="321"/>
      <c r="O266" s="321"/>
      <c r="P266" s="321"/>
      <c r="Q266" s="321"/>
      <c r="R266" s="321"/>
      <c r="S266" s="321"/>
      <c r="T266" s="354"/>
      <c r="U266" s="654"/>
      <c r="V266" s="655"/>
      <c r="W266" s="613"/>
      <c r="X266" s="613"/>
      <c r="Y266" s="613"/>
      <c r="Z266" s="613"/>
      <c r="AA266" s="613"/>
      <c r="AB266" s="613"/>
      <c r="AC266" s="678"/>
      <c r="AD266" s="654"/>
      <c r="AE266" s="679">
        <f t="shared" si="122"/>
        <v>0</v>
      </c>
      <c r="AF266" s="680"/>
      <c r="AG266" s="2689"/>
      <c r="AH266" s="679">
        <f t="shared" si="120"/>
        <v>0</v>
      </c>
      <c r="AI266" s="2694"/>
      <c r="AJ266" s="698">
        <f t="shared" si="121"/>
        <v>0</v>
      </c>
    </row>
    <row r="267" spans="1:37" ht="20.25">
      <c r="A267" s="551"/>
      <c r="B267" s="800"/>
      <c r="C267" s="1182"/>
      <c r="D267" s="2681"/>
      <c r="E267" s="611"/>
      <c r="F267" s="612"/>
      <c r="G267" s="612"/>
      <c r="H267" s="612"/>
      <c r="I267" s="613"/>
      <c r="J267" s="613"/>
      <c r="K267" s="678"/>
      <c r="L267" s="654"/>
      <c r="M267" s="655"/>
      <c r="N267" s="613"/>
      <c r="O267" s="613"/>
      <c r="P267" s="613"/>
      <c r="Q267" s="613"/>
      <c r="R267" s="613"/>
      <c r="S267" s="613"/>
      <c r="T267" s="670"/>
      <c r="U267" s="657"/>
      <c r="V267" s="658"/>
      <c r="W267" s="619"/>
      <c r="X267" s="619"/>
      <c r="Y267" s="619"/>
      <c r="Z267" s="619"/>
      <c r="AA267" s="619"/>
      <c r="AB267" s="619"/>
      <c r="AC267" s="681"/>
      <c r="AD267" s="657"/>
      <c r="AE267" s="682">
        <f t="shared" si="122"/>
        <v>0</v>
      </c>
      <c r="AF267" s="683"/>
      <c r="AG267" s="1205"/>
      <c r="AH267" s="682">
        <f t="shared" si="120"/>
        <v>0</v>
      </c>
      <c r="AI267" s="2695"/>
      <c r="AJ267" s="700">
        <f t="shared" si="121"/>
        <v>0</v>
      </c>
    </row>
    <row r="268" spans="1:37" ht="20.25">
      <c r="A268" s="1180"/>
      <c r="B268" s="727"/>
      <c r="C268" s="728"/>
      <c r="D268" s="2680"/>
      <c r="E268" s="617"/>
      <c r="F268" s="618"/>
      <c r="G268" s="618"/>
      <c r="H268" s="618"/>
      <c r="I268" s="619"/>
      <c r="J268" s="619"/>
      <c r="K268" s="681"/>
      <c r="L268" s="657"/>
      <c r="M268" s="658"/>
      <c r="N268" s="619"/>
      <c r="O268" s="619"/>
      <c r="P268" s="619"/>
      <c r="Q268" s="619"/>
      <c r="R268" s="619"/>
      <c r="S268" s="619"/>
      <c r="T268" s="671"/>
      <c r="U268" s="657"/>
      <c r="V268" s="658"/>
      <c r="W268" s="619"/>
      <c r="X268" s="619"/>
      <c r="Y268" s="619"/>
      <c r="Z268" s="619"/>
      <c r="AA268" s="619"/>
      <c r="AB268" s="619"/>
      <c r="AC268" s="681"/>
      <c r="AD268" s="843"/>
      <c r="AE268" s="408">
        <f t="shared" si="122"/>
        <v>0</v>
      </c>
      <c r="AF268" s="409"/>
      <c r="AG268" s="381"/>
      <c r="AH268" s="408">
        <f t="shared" si="120"/>
        <v>0</v>
      </c>
      <c r="AI268" s="2693"/>
      <c r="AJ268" s="411">
        <f t="shared" si="121"/>
        <v>0</v>
      </c>
    </row>
    <row r="269" spans="1:37" ht="20.25">
      <c r="A269" s="1180"/>
      <c r="B269" s="727"/>
      <c r="C269" s="728"/>
      <c r="D269" s="2680"/>
      <c r="E269" s="617"/>
      <c r="F269" s="618"/>
      <c r="G269" s="618"/>
      <c r="H269" s="618"/>
      <c r="I269" s="619"/>
      <c r="J269" s="619"/>
      <c r="K269" s="681"/>
      <c r="L269" s="657"/>
      <c r="M269" s="658"/>
      <c r="N269" s="619"/>
      <c r="O269" s="619"/>
      <c r="P269" s="619"/>
      <c r="Q269" s="619"/>
      <c r="R269" s="619"/>
      <c r="S269" s="619"/>
      <c r="T269" s="671"/>
      <c r="U269" s="657"/>
      <c r="V269" s="658"/>
      <c r="W269" s="619"/>
      <c r="X269" s="619"/>
      <c r="Y269" s="619"/>
      <c r="Z269" s="619"/>
      <c r="AA269" s="619"/>
      <c r="AB269" s="619"/>
      <c r="AC269" s="681"/>
      <c r="AD269" s="843"/>
      <c r="AE269" s="408">
        <f t="shared" si="122"/>
        <v>0</v>
      </c>
      <c r="AF269" s="409"/>
      <c r="AG269" s="381"/>
      <c r="AH269" s="408">
        <f t="shared" si="120"/>
        <v>0</v>
      </c>
      <c r="AI269" s="2693"/>
      <c r="AJ269" s="411">
        <f t="shared" si="121"/>
        <v>0</v>
      </c>
    </row>
    <row r="270" spans="1:37" ht="20.25">
      <c r="A270" s="1180"/>
      <c r="B270" s="727"/>
      <c r="C270" s="728"/>
      <c r="D270" s="2680"/>
      <c r="E270" s="617"/>
      <c r="F270" s="618"/>
      <c r="G270" s="618"/>
      <c r="H270" s="618"/>
      <c r="I270" s="619"/>
      <c r="J270" s="619"/>
      <c r="K270" s="681"/>
      <c r="L270" s="657"/>
      <c r="M270" s="658"/>
      <c r="N270" s="619"/>
      <c r="O270" s="619"/>
      <c r="P270" s="619"/>
      <c r="Q270" s="619"/>
      <c r="R270" s="619"/>
      <c r="S270" s="619"/>
      <c r="T270" s="671"/>
      <c r="U270" s="657"/>
      <c r="V270" s="658"/>
      <c r="W270" s="619"/>
      <c r="X270" s="619"/>
      <c r="Y270" s="619"/>
      <c r="Z270" s="619"/>
      <c r="AA270" s="619"/>
      <c r="AB270" s="619"/>
      <c r="AC270" s="681"/>
      <c r="AD270" s="843"/>
      <c r="AE270" s="408">
        <f t="shared" si="122"/>
        <v>0</v>
      </c>
      <c r="AF270" s="409"/>
      <c r="AG270" s="381"/>
      <c r="AH270" s="408">
        <f t="shared" si="120"/>
        <v>0</v>
      </c>
      <c r="AI270" s="2693"/>
      <c r="AJ270" s="411">
        <f t="shared" si="121"/>
        <v>0</v>
      </c>
    </row>
    <row r="271" spans="1:37" ht="20.25">
      <c r="A271" s="1180"/>
      <c r="B271" s="727"/>
      <c r="C271" s="728"/>
      <c r="D271" s="2680"/>
      <c r="E271" s="617"/>
      <c r="F271" s="618"/>
      <c r="G271" s="618"/>
      <c r="H271" s="618"/>
      <c r="I271" s="619"/>
      <c r="J271" s="619"/>
      <c r="K271" s="681"/>
      <c r="L271" s="657"/>
      <c r="M271" s="658"/>
      <c r="N271" s="619"/>
      <c r="O271" s="619"/>
      <c r="P271" s="619"/>
      <c r="Q271" s="619"/>
      <c r="R271" s="619"/>
      <c r="S271" s="619"/>
      <c r="T271" s="671"/>
      <c r="U271" s="657"/>
      <c r="V271" s="658"/>
      <c r="W271" s="619"/>
      <c r="X271" s="619"/>
      <c r="Y271" s="619"/>
      <c r="Z271" s="619"/>
      <c r="AA271" s="619"/>
      <c r="AB271" s="619"/>
      <c r="AC271" s="681"/>
      <c r="AD271" s="773"/>
      <c r="AE271" s="408">
        <f t="shared" si="122"/>
        <v>0</v>
      </c>
      <c r="AF271" s="409"/>
      <c r="AG271" s="381"/>
      <c r="AH271" s="408">
        <f t="shared" si="120"/>
        <v>0</v>
      </c>
      <c r="AI271" s="2693"/>
      <c r="AJ271" s="411">
        <f t="shared" si="121"/>
        <v>0</v>
      </c>
    </row>
    <row r="272" spans="1:37" ht="20.25">
      <c r="A272" s="1180"/>
      <c r="B272" s="727"/>
      <c r="C272" s="728"/>
      <c r="D272" s="2680"/>
      <c r="E272" s="617"/>
      <c r="F272" s="618"/>
      <c r="G272" s="618"/>
      <c r="H272" s="618"/>
      <c r="I272" s="619"/>
      <c r="J272" s="619"/>
      <c r="K272" s="681"/>
      <c r="L272" s="657"/>
      <c r="M272" s="658"/>
      <c r="N272" s="619"/>
      <c r="O272" s="619"/>
      <c r="P272" s="619"/>
      <c r="Q272" s="619"/>
      <c r="R272" s="619"/>
      <c r="S272" s="619"/>
      <c r="T272" s="671"/>
      <c r="U272" s="657"/>
      <c r="V272" s="658"/>
      <c r="W272" s="619"/>
      <c r="X272" s="619"/>
      <c r="Y272" s="619"/>
      <c r="Z272" s="619"/>
      <c r="AA272" s="619"/>
      <c r="AB272" s="619"/>
      <c r="AC272" s="681"/>
      <c r="AD272" s="1189"/>
      <c r="AE272" s="408">
        <f t="shared" si="122"/>
        <v>0</v>
      </c>
      <c r="AF272" s="409"/>
      <c r="AG272" s="381"/>
      <c r="AH272" s="408">
        <f t="shared" ref="AH272:AH275" si="129">AE272+AF272+AG272</f>
        <v>0</v>
      </c>
      <c r="AI272" s="2693"/>
      <c r="AJ272" s="411">
        <f t="shared" ref="AJ272:AJ275" si="130">AH272+AI272</f>
        <v>0</v>
      </c>
    </row>
    <row r="273" spans="1:36" ht="20.25">
      <c r="A273" s="1180"/>
      <c r="B273" s="727"/>
      <c r="C273" s="728"/>
      <c r="D273" s="2680"/>
      <c r="E273" s="617"/>
      <c r="F273" s="618"/>
      <c r="G273" s="618"/>
      <c r="H273" s="618"/>
      <c r="I273" s="619"/>
      <c r="J273" s="619"/>
      <c r="K273" s="681"/>
      <c r="L273" s="657"/>
      <c r="M273" s="658"/>
      <c r="N273" s="619"/>
      <c r="O273" s="619"/>
      <c r="P273" s="619"/>
      <c r="Q273" s="619"/>
      <c r="R273" s="619"/>
      <c r="S273" s="619"/>
      <c r="T273" s="671"/>
      <c r="U273" s="657"/>
      <c r="V273" s="658"/>
      <c r="W273" s="619"/>
      <c r="X273" s="619"/>
      <c r="Y273" s="619"/>
      <c r="Z273" s="619"/>
      <c r="AA273" s="619"/>
      <c r="AB273" s="619"/>
      <c r="AC273" s="681"/>
      <c r="AD273" s="1189"/>
      <c r="AE273" s="408">
        <f t="shared" ref="AE273:AE275" si="131">SUM(E273:AC273)</f>
        <v>0</v>
      </c>
      <c r="AF273" s="409"/>
      <c r="AG273" s="381"/>
      <c r="AH273" s="408">
        <f t="shared" si="129"/>
        <v>0</v>
      </c>
      <c r="AI273" s="2693"/>
      <c r="AJ273" s="411">
        <f t="shared" si="130"/>
        <v>0</v>
      </c>
    </row>
    <row r="274" spans="1:36" ht="20.25">
      <c r="A274" s="1180"/>
      <c r="B274" s="727"/>
      <c r="C274" s="728"/>
      <c r="D274" s="2680"/>
      <c r="E274" s="617"/>
      <c r="F274" s="618"/>
      <c r="G274" s="618"/>
      <c r="H274" s="618"/>
      <c r="I274" s="619"/>
      <c r="J274" s="619"/>
      <c r="K274" s="681"/>
      <c r="L274" s="657"/>
      <c r="M274" s="658"/>
      <c r="N274" s="619"/>
      <c r="O274" s="619"/>
      <c r="P274" s="619"/>
      <c r="Q274" s="619"/>
      <c r="R274" s="619"/>
      <c r="S274" s="619"/>
      <c r="T274" s="671"/>
      <c r="U274" s="657"/>
      <c r="V274" s="658"/>
      <c r="W274" s="619"/>
      <c r="X274" s="619"/>
      <c r="Y274" s="619"/>
      <c r="Z274" s="619"/>
      <c r="AA274" s="619"/>
      <c r="AB274" s="619"/>
      <c r="AC274" s="681"/>
      <c r="AD274" s="1189"/>
      <c r="AE274" s="408">
        <f t="shared" si="131"/>
        <v>0</v>
      </c>
      <c r="AF274" s="409"/>
      <c r="AG274" s="381"/>
      <c r="AH274" s="408">
        <f t="shared" si="129"/>
        <v>0</v>
      </c>
      <c r="AI274" s="2693"/>
      <c r="AJ274" s="411">
        <f t="shared" si="130"/>
        <v>0</v>
      </c>
    </row>
    <row r="275" spans="1:36" ht="21" thickBot="1">
      <c r="A275" s="1185"/>
      <c r="B275" s="1186"/>
      <c r="C275" s="1187"/>
      <c r="D275" s="2682"/>
      <c r="E275" s="623"/>
      <c r="F275" s="624"/>
      <c r="G275" s="624"/>
      <c r="H275" s="624"/>
      <c r="I275" s="625"/>
      <c r="J275" s="625"/>
      <c r="K275" s="684"/>
      <c r="L275" s="657"/>
      <c r="M275" s="658"/>
      <c r="N275" s="619"/>
      <c r="O275" s="619"/>
      <c r="P275" s="619"/>
      <c r="Q275" s="619"/>
      <c r="R275" s="619"/>
      <c r="S275" s="619"/>
      <c r="T275" s="671"/>
      <c r="U275" s="657"/>
      <c r="V275" s="658"/>
      <c r="W275" s="619"/>
      <c r="X275" s="619"/>
      <c r="Y275" s="619"/>
      <c r="Z275" s="619"/>
      <c r="AA275" s="619"/>
      <c r="AB275" s="619"/>
      <c r="AC275" s="681"/>
      <c r="AD275" s="774"/>
      <c r="AE275" s="785">
        <f t="shared" si="131"/>
        <v>0</v>
      </c>
      <c r="AF275" s="786"/>
      <c r="AG275" s="2690"/>
      <c r="AH275" s="785">
        <f t="shared" si="129"/>
        <v>0</v>
      </c>
      <c r="AI275" s="2696"/>
      <c r="AJ275" s="791">
        <f t="shared" si="130"/>
        <v>0</v>
      </c>
    </row>
    <row r="276" spans="1:36" ht="21" thickBot="1">
      <c r="A276" s="626" t="s">
        <v>151</v>
      </c>
      <c r="B276" s="627"/>
      <c r="C276" s="627"/>
      <c r="D276" s="628"/>
      <c r="E276" s="529">
        <f t="shared" ref="E276:K276" si="132">SUM(E207:E275)</f>
        <v>0</v>
      </c>
      <c r="F276" s="691">
        <f t="shared" si="132"/>
        <v>0</v>
      </c>
      <c r="G276" s="691">
        <f t="shared" si="132"/>
        <v>208</v>
      </c>
      <c r="H276" s="691">
        <f t="shared" si="132"/>
        <v>0</v>
      </c>
      <c r="I276" s="691">
        <f t="shared" si="132"/>
        <v>0</v>
      </c>
      <c r="J276" s="691">
        <f t="shared" si="132"/>
        <v>0</v>
      </c>
      <c r="K276" s="691">
        <f t="shared" si="132"/>
        <v>0</v>
      </c>
      <c r="L276" s="574"/>
      <c r="M276" s="529">
        <f t="shared" ref="M276:T276" si="133">SUM(M207:M275)</f>
        <v>256</v>
      </c>
      <c r="N276" s="691">
        <f t="shared" si="133"/>
        <v>1984</v>
      </c>
      <c r="O276" s="691">
        <f t="shared" si="133"/>
        <v>0</v>
      </c>
      <c r="P276" s="691">
        <f t="shared" si="133"/>
        <v>0</v>
      </c>
      <c r="Q276" s="691">
        <f t="shared" si="133"/>
        <v>0</v>
      </c>
      <c r="R276" s="691">
        <f t="shared" si="133"/>
        <v>0</v>
      </c>
      <c r="S276" s="691">
        <f t="shared" si="133"/>
        <v>368</v>
      </c>
      <c r="T276" s="705">
        <f t="shared" si="133"/>
        <v>1136</v>
      </c>
      <c r="U276" s="574"/>
      <c r="V276" s="529">
        <f t="shared" ref="V276:AC276" si="134">SUM(V207:V275)</f>
        <v>1056</v>
      </c>
      <c r="W276" s="691">
        <f t="shared" si="134"/>
        <v>3040</v>
      </c>
      <c r="X276" s="691">
        <f t="shared" si="134"/>
        <v>432</v>
      </c>
      <c r="Y276" s="691">
        <f t="shared" si="134"/>
        <v>0</v>
      </c>
      <c r="Z276" s="691">
        <f t="shared" si="134"/>
        <v>1536</v>
      </c>
      <c r="AA276" s="691">
        <f t="shared" si="134"/>
        <v>0</v>
      </c>
      <c r="AB276" s="691">
        <f t="shared" si="134"/>
        <v>0</v>
      </c>
      <c r="AC276" s="705">
        <f t="shared" si="134"/>
        <v>2432</v>
      </c>
      <c r="AD276" s="575"/>
      <c r="AE276" s="687">
        <f t="shared" ref="AE276:AJ276" si="135">SUM(AE207:AE275)</f>
        <v>12448</v>
      </c>
      <c r="AF276" s="575">
        <f t="shared" si="135"/>
        <v>0</v>
      </c>
      <c r="AG276" s="687">
        <f t="shared" si="135"/>
        <v>0</v>
      </c>
      <c r="AH276" s="662">
        <f t="shared" si="135"/>
        <v>12448</v>
      </c>
      <c r="AI276" s="575">
        <f t="shared" si="135"/>
        <v>0</v>
      </c>
      <c r="AJ276" s="687">
        <f t="shared" si="135"/>
        <v>12448</v>
      </c>
    </row>
    <row r="277" spans="1:36" ht="21" thickBot="1">
      <c r="A277" s="530" t="s">
        <v>152</v>
      </c>
      <c r="B277" s="531"/>
      <c r="C277" s="531"/>
      <c r="D277" s="630"/>
      <c r="E277" s="533">
        <f t="shared" ref="E277:T277" si="136">E276/16</f>
        <v>0</v>
      </c>
      <c r="F277" s="533">
        <f t="shared" si="136"/>
        <v>0</v>
      </c>
      <c r="G277" s="533">
        <f t="shared" si="136"/>
        <v>13</v>
      </c>
      <c r="H277" s="533">
        <f t="shared" si="136"/>
        <v>0</v>
      </c>
      <c r="I277" s="533">
        <f t="shared" si="136"/>
        <v>0</v>
      </c>
      <c r="J277" s="533">
        <f t="shared" si="136"/>
        <v>0</v>
      </c>
      <c r="K277" s="533">
        <f t="shared" si="136"/>
        <v>0</v>
      </c>
      <c r="L277" s="533"/>
      <c r="M277" s="533">
        <f t="shared" si="136"/>
        <v>16</v>
      </c>
      <c r="N277" s="533">
        <f t="shared" si="136"/>
        <v>124</v>
      </c>
      <c r="O277" s="533">
        <f t="shared" si="136"/>
        <v>0</v>
      </c>
      <c r="P277" s="533">
        <f t="shared" si="136"/>
        <v>0</v>
      </c>
      <c r="Q277" s="533">
        <f t="shared" si="136"/>
        <v>0</v>
      </c>
      <c r="R277" s="533">
        <f t="shared" si="136"/>
        <v>0</v>
      </c>
      <c r="S277" s="533">
        <f t="shared" si="136"/>
        <v>23</v>
      </c>
      <c r="T277" s="533">
        <f t="shared" si="136"/>
        <v>71</v>
      </c>
      <c r="U277" s="533"/>
      <c r="V277" s="533">
        <f t="shared" ref="V277:AJ277" si="137">V276/16</f>
        <v>66</v>
      </c>
      <c r="W277" s="533">
        <f t="shared" si="137"/>
        <v>190</v>
      </c>
      <c r="X277" s="533">
        <f t="shared" si="137"/>
        <v>27</v>
      </c>
      <c r="Y277" s="533">
        <f t="shared" si="137"/>
        <v>0</v>
      </c>
      <c r="Z277" s="533">
        <f t="shared" si="137"/>
        <v>96</v>
      </c>
      <c r="AA277" s="533">
        <f t="shared" si="137"/>
        <v>0</v>
      </c>
      <c r="AB277" s="533">
        <f t="shared" si="137"/>
        <v>0</v>
      </c>
      <c r="AC277" s="687">
        <f t="shared" si="137"/>
        <v>152</v>
      </c>
      <c r="AD277" s="533"/>
      <c r="AE277" s="533">
        <f t="shared" si="137"/>
        <v>778</v>
      </c>
      <c r="AF277" s="533">
        <f t="shared" si="137"/>
        <v>0</v>
      </c>
      <c r="AG277" s="533">
        <f t="shared" si="137"/>
        <v>0</v>
      </c>
      <c r="AH277" s="533">
        <f t="shared" si="137"/>
        <v>778</v>
      </c>
      <c r="AI277" s="533">
        <f t="shared" si="137"/>
        <v>0</v>
      </c>
      <c r="AJ277" s="533">
        <f t="shared" si="137"/>
        <v>778</v>
      </c>
    </row>
    <row r="278" spans="1:36" ht="19.5" thickBot="1">
      <c r="A278" s="306"/>
      <c r="B278" s="307"/>
      <c r="C278" s="307"/>
      <c r="D278" s="308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346"/>
      <c r="V278" s="347"/>
      <c r="W278" s="347"/>
      <c r="X278" s="347"/>
      <c r="Y278" s="347"/>
      <c r="Z278" s="347"/>
      <c r="AA278" s="347"/>
      <c r="AB278" s="347"/>
      <c r="AC278" s="347"/>
      <c r="AD278" s="346"/>
      <c r="AE278" s="347"/>
      <c r="AF278" s="347"/>
      <c r="AG278" s="347"/>
      <c r="AH278" s="347"/>
      <c r="AI278" s="347"/>
      <c r="AJ278" s="402"/>
    </row>
    <row r="279" spans="1:36" ht="18.75" thickBot="1">
      <c r="A279" s="3881" t="s">
        <v>183</v>
      </c>
      <c r="B279" s="3882"/>
      <c r="C279" s="3883"/>
      <c r="D279" s="288" t="s">
        <v>70</v>
      </c>
      <c r="E279" s="2703" t="s">
        <v>94</v>
      </c>
      <c r="F279" s="2701"/>
      <c r="G279" s="2701" t="s">
        <v>53</v>
      </c>
      <c r="H279" s="2701"/>
      <c r="I279" s="2701" t="s">
        <v>75</v>
      </c>
      <c r="J279" s="2701"/>
      <c r="K279" s="2701"/>
      <c r="L279" s="2699"/>
      <c r="M279" s="2703" t="s">
        <v>94</v>
      </c>
      <c r="N279" s="2701"/>
      <c r="O279" s="2701" t="s">
        <v>95</v>
      </c>
      <c r="P279" s="2701"/>
      <c r="Q279" s="2701" t="s">
        <v>75</v>
      </c>
      <c r="R279" s="2701"/>
      <c r="S279" s="2701" t="s">
        <v>53</v>
      </c>
      <c r="T279" s="2700" t="s">
        <v>136</v>
      </c>
      <c r="U279" s="2699"/>
      <c r="V279" s="2701" t="s">
        <v>94</v>
      </c>
      <c r="W279" s="2701"/>
      <c r="X279" s="2701" t="s">
        <v>371</v>
      </c>
      <c r="Y279" s="2701"/>
      <c r="Z279" s="2701" t="s">
        <v>53</v>
      </c>
      <c r="AA279" s="2701"/>
      <c r="AB279" s="2704" t="s">
        <v>170</v>
      </c>
      <c r="AC279" s="2700" t="s">
        <v>136</v>
      </c>
      <c r="AD279" s="79"/>
      <c r="AE279" s="371" t="s">
        <v>172</v>
      </c>
      <c r="AF279" s="372" t="s">
        <v>80</v>
      </c>
      <c r="AG279" s="385"/>
      <c r="AH279" s="386" t="s">
        <v>106</v>
      </c>
      <c r="AI279" s="385" t="s">
        <v>173</v>
      </c>
      <c r="AJ279" s="371" t="s">
        <v>108</v>
      </c>
    </row>
    <row r="280" spans="1:36" ht="20.25">
      <c r="A280" s="631" t="s">
        <v>184</v>
      </c>
      <c r="B280" s="443"/>
      <c r="C280" s="443"/>
      <c r="D280" s="444"/>
      <c r="E280" s="433"/>
      <c r="F280" s="434"/>
      <c r="G280" s="434"/>
      <c r="H280" s="434"/>
      <c r="I280" s="435"/>
      <c r="J280" s="435"/>
      <c r="K280" s="434"/>
      <c r="L280" s="483"/>
      <c r="M280" s="484"/>
      <c r="N280" s="435"/>
      <c r="O280" s="435"/>
      <c r="P280" s="435"/>
      <c r="Q280" s="435"/>
      <c r="R280" s="435"/>
      <c r="S280" s="435"/>
      <c r="T280" s="492"/>
      <c r="U280" s="483"/>
      <c r="V280" s="433"/>
      <c r="W280" s="434"/>
      <c r="X280" s="434"/>
      <c r="Y280" s="435"/>
      <c r="Z280" s="435"/>
      <c r="AA280" s="435"/>
      <c r="AB280" s="434"/>
      <c r="AC280" s="495"/>
      <c r="AD280" s="483"/>
      <c r="AE280" s="496">
        <f>SUM(E280:AC280)</f>
        <v>0</v>
      </c>
      <c r="AF280" s="497"/>
      <c r="AG280" s="510"/>
      <c r="AH280" s="511">
        <f t="shared" ref="AH280:AH281" si="138">AE280+AF280</f>
        <v>0</v>
      </c>
      <c r="AI280" s="512"/>
      <c r="AJ280" s="703">
        <f>AH280+AI280</f>
        <v>0</v>
      </c>
    </row>
    <row r="281" spans="1:36" ht="21" thickBot="1">
      <c r="A281" s="322"/>
      <c r="B281" s="323"/>
      <c r="C281" s="323"/>
      <c r="D281" s="324"/>
      <c r="E281" s="325"/>
      <c r="F281" s="297"/>
      <c r="G281" s="297"/>
      <c r="H281" s="297"/>
      <c r="I281" s="298"/>
      <c r="J281" s="298"/>
      <c r="K281" s="297"/>
      <c r="L281" s="355"/>
      <c r="M281" s="343"/>
      <c r="N281" s="298"/>
      <c r="O281" s="298"/>
      <c r="P281" s="298"/>
      <c r="Q281" s="298"/>
      <c r="R281" s="298"/>
      <c r="S281" s="298"/>
      <c r="T281" s="367"/>
      <c r="U281" s="355"/>
      <c r="V281" s="325"/>
      <c r="W281" s="297"/>
      <c r="X281" s="297"/>
      <c r="Y281" s="298"/>
      <c r="Z281" s="298"/>
      <c r="AA281" s="298"/>
      <c r="AB281" s="297"/>
      <c r="AC281" s="375"/>
      <c r="AD281" s="355"/>
      <c r="AE281" s="377">
        <f>SUM(E281:AC281)</f>
        <v>0</v>
      </c>
      <c r="AF281" s="377"/>
      <c r="AG281" s="390"/>
      <c r="AH281" s="507">
        <f t="shared" si="138"/>
        <v>0</v>
      </c>
      <c r="AI281" s="412"/>
      <c r="AJ281" s="508">
        <f t="shared" ref="AJ281" si="139">AH281+AI281</f>
        <v>0</v>
      </c>
    </row>
    <row r="282" spans="1:36" ht="21" thickBot="1">
      <c r="A282" s="436"/>
      <c r="B282" s="437"/>
      <c r="C282" s="437"/>
      <c r="D282" s="438"/>
      <c r="E282" s="439">
        <f>SUM(E280:E281)</f>
        <v>0</v>
      </c>
      <c r="F282" s="440">
        <f>SUM(F280:F281)</f>
        <v>0</v>
      </c>
      <c r="G282" s="440">
        <f t="shared" ref="G282:K282" si="140">SUM(G280:G281)</f>
        <v>0</v>
      </c>
      <c r="H282" s="440">
        <f t="shared" si="140"/>
        <v>0</v>
      </c>
      <c r="I282" s="440">
        <f t="shared" si="140"/>
        <v>0</v>
      </c>
      <c r="J282" s="440">
        <f t="shared" si="140"/>
        <v>0</v>
      </c>
      <c r="K282" s="440">
        <f t="shared" si="140"/>
        <v>0</v>
      </c>
      <c r="L282" s="482"/>
      <c r="M282" s="439">
        <f t="shared" ref="M282:T282" si="141">SUM(M280:M281)</f>
        <v>0</v>
      </c>
      <c r="N282" s="440">
        <f t="shared" si="141"/>
        <v>0</v>
      </c>
      <c r="O282" s="440">
        <f t="shared" si="141"/>
        <v>0</v>
      </c>
      <c r="P282" s="440">
        <f t="shared" si="141"/>
        <v>0</v>
      </c>
      <c r="Q282" s="440">
        <f t="shared" si="141"/>
        <v>0</v>
      </c>
      <c r="R282" s="440">
        <f t="shared" si="141"/>
        <v>0</v>
      </c>
      <c r="S282" s="440">
        <f t="shared" si="141"/>
        <v>0</v>
      </c>
      <c r="T282" s="481">
        <f t="shared" si="141"/>
        <v>0</v>
      </c>
      <c r="U282" s="482"/>
      <c r="V282" s="439">
        <f t="shared" ref="V282:AC282" si="142">SUM(V280:V281)</f>
        <v>0</v>
      </c>
      <c r="W282" s="440">
        <f t="shared" si="142"/>
        <v>0</v>
      </c>
      <c r="X282" s="440">
        <f t="shared" si="142"/>
        <v>0</v>
      </c>
      <c r="Y282" s="440">
        <f t="shared" si="142"/>
        <v>0</v>
      </c>
      <c r="Z282" s="440">
        <f t="shared" si="142"/>
        <v>0</v>
      </c>
      <c r="AA282" s="440">
        <f t="shared" si="142"/>
        <v>0</v>
      </c>
      <c r="AB282" s="440">
        <f t="shared" si="142"/>
        <v>0</v>
      </c>
      <c r="AC282" s="481">
        <f t="shared" si="142"/>
        <v>0</v>
      </c>
      <c r="AD282" s="482"/>
      <c r="AE282" s="494">
        <f>SUM(AE280:AE281)</f>
        <v>0</v>
      </c>
      <c r="AF282" s="494">
        <f>SUM(AF280:AF281)</f>
        <v>0</v>
      </c>
      <c r="AG282" s="509"/>
      <c r="AH282" s="514">
        <f>SUM(AH280:AH281)</f>
        <v>0</v>
      </c>
      <c r="AI282" s="494">
        <f>SUM(AI280:AI281)</f>
        <v>0</v>
      </c>
      <c r="AJ282" s="515">
        <f>SUM(AJ280:AJ281)</f>
        <v>0</v>
      </c>
    </row>
    <row r="283" spans="1:36" ht="19.5" thickBot="1">
      <c r="A283" s="1118"/>
      <c r="B283" s="1119"/>
      <c r="C283" s="1119"/>
      <c r="D283" s="1120"/>
      <c r="E283" s="1121"/>
      <c r="F283" s="1121"/>
      <c r="G283" s="1121"/>
      <c r="H283" s="1121"/>
      <c r="I283" s="1121"/>
      <c r="J283" s="1121"/>
      <c r="K283" s="1121"/>
      <c r="L283" s="1133"/>
      <c r="M283" s="1134"/>
      <c r="N283" s="1134"/>
      <c r="O283" s="1134"/>
      <c r="P283" s="1134"/>
      <c r="Q283" s="1134"/>
      <c r="R283" s="1134"/>
      <c r="S283" s="1134"/>
      <c r="T283" s="1134"/>
      <c r="U283" s="1133"/>
      <c r="V283" s="1134"/>
      <c r="W283" s="1134"/>
      <c r="X283" s="1134"/>
      <c r="Y283" s="1134"/>
      <c r="Z283" s="1134"/>
      <c r="AA283" s="1134"/>
      <c r="AB283" s="1134"/>
      <c r="AC283" s="1134"/>
      <c r="AD283" s="1133"/>
      <c r="AE283" s="1134"/>
      <c r="AF283" s="1134"/>
      <c r="AG283" s="1162"/>
      <c r="AH283" s="1134"/>
      <c r="AI283" s="1134"/>
      <c r="AJ283" s="1163"/>
    </row>
    <row r="284" spans="1:36" ht="20.25">
      <c r="A284" s="122"/>
      <c r="B284" s="632"/>
      <c r="C284" s="632"/>
      <c r="D284" s="12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663"/>
      <c r="V284" s="3903"/>
      <c r="W284" s="3903"/>
      <c r="X284" s="3903"/>
      <c r="Y284" s="3903"/>
      <c r="Z284" s="3903"/>
      <c r="AA284" s="3903"/>
      <c r="AB284" s="3903"/>
      <c r="AC284" s="3903"/>
      <c r="AD284" s="688"/>
      <c r="AE284" s="689"/>
      <c r="AF284" s="673"/>
      <c r="AG284" s="673"/>
      <c r="AH284" s="689"/>
      <c r="AI284" s="689"/>
      <c r="AJ284" s="704"/>
    </row>
    <row r="285" spans="1:36" ht="21" thickBot="1">
      <c r="A285" s="634"/>
      <c r="B285" s="635"/>
      <c r="C285" s="635"/>
      <c r="D285" s="634"/>
      <c r="E285" s="3901"/>
      <c r="F285" s="3901"/>
      <c r="G285" s="3901"/>
      <c r="H285" s="3901"/>
      <c r="I285" s="3901"/>
      <c r="J285" s="3901"/>
      <c r="K285" s="3901"/>
      <c r="L285" s="633"/>
      <c r="M285" s="3902"/>
      <c r="N285" s="3902"/>
      <c r="O285" s="3902"/>
      <c r="P285" s="3902"/>
      <c r="Q285" s="3902"/>
      <c r="R285" s="3902"/>
      <c r="S285" s="3902"/>
      <c r="T285" s="3902"/>
      <c r="U285" s="634"/>
      <c r="V285" s="634"/>
      <c r="W285" s="634"/>
      <c r="X285" s="634"/>
      <c r="Y285" s="634"/>
      <c r="Z285" s="634"/>
      <c r="AA285" s="634"/>
      <c r="AB285" s="690"/>
      <c r="AC285" s="690"/>
      <c r="AD285" s="690"/>
      <c r="AE285" s="690"/>
      <c r="AF285" s="634"/>
      <c r="AG285" s="634"/>
      <c r="AH285" s="634"/>
      <c r="AI285" s="634"/>
      <c r="AJ285" s="634"/>
    </row>
    <row r="286" spans="1:36" ht="21" thickBot="1">
      <c r="A286" s="636" t="s">
        <v>185</v>
      </c>
      <c r="B286" s="637"/>
      <c r="C286" s="637"/>
      <c r="D286" s="638"/>
      <c r="E286" s="529">
        <f t="shared" ref="E286:K286" si="143">E202-E276+E282</f>
        <v>0</v>
      </c>
      <c r="F286" s="639">
        <f t="shared" si="143"/>
        <v>0</v>
      </c>
      <c r="G286" s="639">
        <f t="shared" si="143"/>
        <v>1072</v>
      </c>
      <c r="H286" s="639">
        <f t="shared" si="143"/>
        <v>0</v>
      </c>
      <c r="I286" s="639">
        <f t="shared" si="143"/>
        <v>0</v>
      </c>
      <c r="J286" s="639">
        <f t="shared" si="143"/>
        <v>0</v>
      </c>
      <c r="K286" s="639">
        <f t="shared" si="143"/>
        <v>0</v>
      </c>
      <c r="L286" s="574"/>
      <c r="M286" s="665">
        <f t="shared" ref="M286:T286" si="144">M202-M276+M282</f>
        <v>736</v>
      </c>
      <c r="N286" s="666">
        <f t="shared" si="144"/>
        <v>1456</v>
      </c>
      <c r="O286" s="666">
        <f t="shared" si="144"/>
        <v>0</v>
      </c>
      <c r="P286" s="666">
        <f t="shared" si="144"/>
        <v>0</v>
      </c>
      <c r="Q286" s="666">
        <f t="shared" si="144"/>
        <v>0</v>
      </c>
      <c r="R286" s="666">
        <f t="shared" si="144"/>
        <v>0</v>
      </c>
      <c r="S286" s="666">
        <f t="shared" si="144"/>
        <v>1712</v>
      </c>
      <c r="T286" s="674">
        <f t="shared" si="144"/>
        <v>2784</v>
      </c>
      <c r="U286" s="574"/>
      <c r="V286" s="665">
        <f t="shared" ref="V286:AC286" si="145">V202-V276+V282</f>
        <v>368</v>
      </c>
      <c r="W286" s="666">
        <f t="shared" si="145"/>
        <v>224</v>
      </c>
      <c r="X286" s="666">
        <f t="shared" si="145"/>
        <v>0</v>
      </c>
      <c r="Y286" s="666">
        <f t="shared" si="145"/>
        <v>128</v>
      </c>
      <c r="Z286" s="666">
        <f t="shared" si="145"/>
        <v>1232</v>
      </c>
      <c r="AA286" s="666">
        <f t="shared" si="145"/>
        <v>0</v>
      </c>
      <c r="AB286" s="666">
        <f t="shared" si="145"/>
        <v>0</v>
      </c>
      <c r="AC286" s="674">
        <f t="shared" si="145"/>
        <v>400</v>
      </c>
      <c r="AD286" s="691"/>
      <c r="AE286" s="529">
        <f>AE202-AE276+AE282</f>
        <v>10112</v>
      </c>
      <c r="AF286" s="3775">
        <f>AF202-AF276-AG276+AF282</f>
        <v>43</v>
      </c>
      <c r="AG286" s="3884"/>
      <c r="AH286" s="529">
        <f>AH202-AH276+AH282</f>
        <v>10155</v>
      </c>
      <c r="AI286" s="529">
        <f>AI202-AI276+AI282</f>
        <v>115</v>
      </c>
      <c r="AJ286" s="693">
        <f>AJ202-AJ276+AJ282</f>
        <v>10270</v>
      </c>
    </row>
    <row r="287" spans="1:36" ht="21" thickBot="1">
      <c r="A287" s="640" t="s">
        <v>186</v>
      </c>
      <c r="B287" s="641"/>
      <c r="C287" s="641"/>
      <c r="D287" s="642"/>
      <c r="E287" s="529">
        <f t="shared" ref="E287:T287" si="146">E286/16</f>
        <v>0</v>
      </c>
      <c r="F287" s="529">
        <f t="shared" si="146"/>
        <v>0</v>
      </c>
      <c r="G287" s="529">
        <f t="shared" si="146"/>
        <v>67</v>
      </c>
      <c r="H287" s="529">
        <f t="shared" si="146"/>
        <v>0</v>
      </c>
      <c r="I287" s="529">
        <f t="shared" si="146"/>
        <v>0</v>
      </c>
      <c r="J287" s="529">
        <f t="shared" si="146"/>
        <v>0</v>
      </c>
      <c r="K287" s="529">
        <f t="shared" si="146"/>
        <v>0</v>
      </c>
      <c r="L287" s="529"/>
      <c r="M287" s="529">
        <f t="shared" si="146"/>
        <v>46</v>
      </c>
      <c r="N287" s="529">
        <f t="shared" si="146"/>
        <v>91</v>
      </c>
      <c r="O287" s="529">
        <f t="shared" si="146"/>
        <v>0</v>
      </c>
      <c r="P287" s="529">
        <f t="shared" si="146"/>
        <v>0</v>
      </c>
      <c r="Q287" s="529">
        <f t="shared" si="146"/>
        <v>0</v>
      </c>
      <c r="R287" s="529">
        <f t="shared" si="146"/>
        <v>0</v>
      </c>
      <c r="S287" s="529">
        <f t="shared" si="146"/>
        <v>107</v>
      </c>
      <c r="T287" s="529">
        <f t="shared" si="146"/>
        <v>174</v>
      </c>
      <c r="U287" s="529"/>
      <c r="V287" s="529">
        <f t="shared" ref="V287:AC287" si="147">V286/16</f>
        <v>23</v>
      </c>
      <c r="W287" s="529">
        <f t="shared" si="147"/>
        <v>14</v>
      </c>
      <c r="X287" s="529">
        <f t="shared" si="147"/>
        <v>0</v>
      </c>
      <c r="Y287" s="529">
        <f t="shared" si="147"/>
        <v>8</v>
      </c>
      <c r="Z287" s="529">
        <f t="shared" si="147"/>
        <v>77</v>
      </c>
      <c r="AA287" s="529">
        <f t="shared" si="147"/>
        <v>0</v>
      </c>
      <c r="AB287" s="529">
        <f t="shared" si="147"/>
        <v>0</v>
      </c>
      <c r="AC287" s="529">
        <f t="shared" si="147"/>
        <v>25</v>
      </c>
      <c r="AD287" s="692"/>
      <c r="AE287" s="693">
        <f>AE286/16</f>
        <v>632</v>
      </c>
      <c r="AF287" s="3775">
        <f>AF286/16</f>
        <v>2.6875</v>
      </c>
      <c r="AG287" s="3884"/>
      <c r="AH287" s="693">
        <f>AH286/16</f>
        <v>634.6875</v>
      </c>
      <c r="AI287" s="693">
        <f t="shared" ref="AI287:AJ287" si="148">AI286/16</f>
        <v>7.1875</v>
      </c>
      <c r="AJ287" s="693">
        <f t="shared" si="148"/>
        <v>641.875</v>
      </c>
    </row>
    <row r="288" spans="1:36" ht="21" thickBot="1">
      <c r="A288" s="643" t="s">
        <v>156</v>
      </c>
      <c r="B288" s="644"/>
      <c r="C288" s="644"/>
      <c r="D288" s="645"/>
      <c r="E288" s="3885">
        <f>SUM(E287:K287)</f>
        <v>67</v>
      </c>
      <c r="F288" s="3886"/>
      <c r="G288" s="3886"/>
      <c r="H288" s="3886"/>
      <c r="I288" s="3886"/>
      <c r="J288" s="3886"/>
      <c r="K288" s="3886"/>
      <c r="L288" s="667"/>
      <c r="M288" s="3775">
        <f>SUM(M287:T287)</f>
        <v>418</v>
      </c>
      <c r="N288" s="3887"/>
      <c r="O288" s="3887"/>
      <c r="P288" s="3887"/>
      <c r="Q288" s="3887"/>
      <c r="R288" s="3887"/>
      <c r="S288" s="3887"/>
      <c r="T288" s="3884"/>
      <c r="U288" s="675"/>
      <c r="V288" s="3778">
        <f>SUM(V287:AC287)</f>
        <v>147</v>
      </c>
      <c r="W288" s="3779"/>
      <c r="X288" s="3779"/>
      <c r="Y288" s="3779"/>
      <c r="Z288" s="3779"/>
      <c r="AA288" s="3779"/>
      <c r="AB288" s="3779"/>
      <c r="AC288" s="3780"/>
      <c r="AD288" s="694"/>
      <c r="AE288" s="694"/>
      <c r="AF288" s="694"/>
      <c r="AG288" s="694"/>
      <c r="AH288" s="694"/>
      <c r="AI288" s="694"/>
      <c r="AJ288" s="707"/>
    </row>
    <row r="289" spans="1:36" ht="21" thickBot="1">
      <c r="A289" s="646" t="s">
        <v>157</v>
      </c>
      <c r="B289" s="647"/>
      <c r="C289" s="647"/>
      <c r="D289" s="648"/>
      <c r="E289" s="3875">
        <f>SUM(E286:K286)</f>
        <v>1072</v>
      </c>
      <c r="F289" s="3876"/>
      <c r="G289" s="3876"/>
      <c r="H289" s="3876"/>
      <c r="I289" s="3876"/>
      <c r="J289" s="3876"/>
      <c r="K289" s="3876"/>
      <c r="L289" s="669"/>
      <c r="M289" s="3877">
        <f>SUM(M286:T286)</f>
        <v>6688</v>
      </c>
      <c r="N289" s="3878"/>
      <c r="O289" s="3878"/>
      <c r="P289" s="3878"/>
      <c r="Q289" s="3878"/>
      <c r="R289" s="3878"/>
      <c r="S289" s="3878"/>
      <c r="T289" s="3879"/>
      <c r="U289" s="676"/>
      <c r="V289" s="3781">
        <f>SUM(V286:AC286)</f>
        <v>2352</v>
      </c>
      <c r="W289" s="3788"/>
      <c r="X289" s="3788"/>
      <c r="Y289" s="3788"/>
      <c r="Z289" s="3788"/>
      <c r="AA289" s="3788"/>
      <c r="AB289" s="3788"/>
      <c r="AC289" s="3880"/>
      <c r="AD289" s="688"/>
      <c r="AE289" s="689"/>
      <c r="AF289" s="673"/>
      <c r="AG289" s="673"/>
      <c r="AH289" s="689"/>
      <c r="AI289" s="689"/>
      <c r="AJ289" s="704"/>
    </row>
    <row r="290" spans="1:36">
      <c r="A290" s="634"/>
      <c r="B290" s="635"/>
      <c r="C290" s="635"/>
      <c r="D290" s="649"/>
      <c r="U290" s="634"/>
      <c r="V290" s="634"/>
      <c r="W290" s="634"/>
      <c r="X290" s="634"/>
      <c r="Y290" s="634"/>
      <c r="Z290" s="634"/>
      <c r="AA290" s="634"/>
      <c r="AB290" s="690"/>
      <c r="AC290" s="690"/>
      <c r="AD290" s="690"/>
      <c r="AE290" s="690"/>
      <c r="AF290" s="634"/>
      <c r="AG290" s="634"/>
      <c r="AH290" s="634"/>
      <c r="AI290" s="634"/>
      <c r="AJ290" s="634"/>
    </row>
    <row r="291" spans="1:36" ht="21" thickBot="1">
      <c r="A291" s="650"/>
      <c r="B291" s="651"/>
      <c r="C291" s="651"/>
      <c r="D291" s="650"/>
      <c r="E291" s="634"/>
      <c r="F291" s="634"/>
      <c r="G291" s="634"/>
      <c r="H291" s="63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4"/>
      <c r="S291" s="634"/>
      <c r="T291" s="634"/>
      <c r="U291" s="650"/>
      <c r="V291" s="650"/>
      <c r="W291" s="650"/>
      <c r="X291" s="650"/>
      <c r="Y291" s="650"/>
      <c r="Z291" s="650"/>
      <c r="AA291" s="650"/>
      <c r="AB291" s="650"/>
      <c r="AC291" s="650"/>
      <c r="AD291" s="650"/>
      <c r="AE291" s="650"/>
      <c r="AF291" s="650"/>
      <c r="AG291" s="650"/>
      <c r="AH291" s="650"/>
      <c r="AI291" s="650"/>
      <c r="AJ291" s="650"/>
    </row>
    <row r="292" spans="1:36" ht="27.75" thickBot="1">
      <c r="A292" s="634"/>
      <c r="B292" s="635"/>
      <c r="C292" s="635"/>
      <c r="D292" s="634"/>
      <c r="E292" s="650"/>
      <c r="F292" s="650"/>
      <c r="G292" s="650"/>
      <c r="H292" s="650"/>
      <c r="I292" s="650"/>
      <c r="J292" s="650"/>
      <c r="K292" s="650"/>
      <c r="L292" s="650"/>
      <c r="M292" s="650"/>
      <c r="N292" s="650"/>
      <c r="O292" s="650"/>
      <c r="P292" s="650"/>
      <c r="Q292" s="650"/>
      <c r="R292" s="650"/>
      <c r="S292" s="650"/>
      <c r="T292" s="650"/>
      <c r="U292" s="634"/>
      <c r="V292" s="634"/>
      <c r="W292" s="677"/>
      <c r="X292" s="3857" t="s">
        <v>158</v>
      </c>
      <c r="Y292" s="3858"/>
      <c r="Z292" s="3858"/>
      <c r="AA292" s="3858"/>
      <c r="AB292" s="3859"/>
      <c r="AC292" s="3802">
        <f>'BIG CHAIR'!CI325</f>
        <v>0</v>
      </c>
      <c r="AD292" s="3803"/>
      <c r="AE292" s="3804"/>
      <c r="AF292" s="634"/>
      <c r="AG292" s="634"/>
      <c r="AH292" s="634"/>
      <c r="AI292" s="634"/>
      <c r="AJ292" s="634"/>
    </row>
    <row r="293" spans="1:36" ht="27.75" thickBot="1">
      <c r="A293" s="634"/>
      <c r="B293" s="635"/>
      <c r="C293" s="635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4"/>
      <c r="P293" s="634"/>
      <c r="Q293" s="634"/>
      <c r="R293" s="634"/>
      <c r="S293" s="634"/>
      <c r="T293" s="634"/>
      <c r="U293" s="634"/>
      <c r="V293" s="634"/>
      <c r="W293" s="677"/>
      <c r="X293" s="3857" t="s">
        <v>159</v>
      </c>
      <c r="Y293" s="3858"/>
      <c r="Z293" s="3858"/>
      <c r="AA293" s="3858"/>
      <c r="AB293" s="3859"/>
      <c r="AC293" s="3872">
        <f>AE286</f>
        <v>10112</v>
      </c>
      <c r="AD293" s="3873"/>
      <c r="AE293" s="3874"/>
      <c r="AF293" s="634"/>
      <c r="AG293" s="634"/>
      <c r="AH293" s="634"/>
      <c r="AI293" s="634"/>
      <c r="AJ293" s="708"/>
    </row>
    <row r="294" spans="1:36" ht="27.75" thickBot="1">
      <c r="A294" s="634"/>
      <c r="B294" s="635"/>
      <c r="C294" s="635"/>
      <c r="D294" s="634"/>
      <c r="E294" s="634"/>
      <c r="F294" s="634"/>
      <c r="G294" s="634"/>
      <c r="H294" s="634"/>
      <c r="I294" s="634"/>
      <c r="J294" s="634"/>
      <c r="K294" s="634"/>
      <c r="L294" s="634"/>
      <c r="M294" s="634"/>
      <c r="N294" s="634"/>
      <c r="O294" s="634"/>
      <c r="P294" s="634"/>
      <c r="Q294" s="634"/>
      <c r="R294" s="634"/>
      <c r="S294" s="634"/>
      <c r="T294" s="634"/>
      <c r="U294" s="634"/>
      <c r="V294" s="634"/>
      <c r="W294" s="677"/>
      <c r="X294" s="3857" t="s">
        <v>160</v>
      </c>
      <c r="Y294" s="3858"/>
      <c r="Z294" s="3858"/>
      <c r="AA294" s="3858"/>
      <c r="AB294" s="3859"/>
      <c r="AC294" s="3802">
        <f>'BIG CHAIR'!CJ325</f>
        <v>0</v>
      </c>
      <c r="AD294" s="3803"/>
      <c r="AE294" s="3804"/>
      <c r="AF294" s="634"/>
      <c r="AG294" s="634"/>
      <c r="AH294" s="634"/>
      <c r="AI294" s="634"/>
      <c r="AJ294" s="634"/>
    </row>
    <row r="295" spans="1:36" ht="27.75" thickBot="1">
      <c r="A295" s="634"/>
      <c r="B295" s="635"/>
      <c r="C295" s="635"/>
      <c r="D295" s="634"/>
      <c r="E295" s="634"/>
      <c r="F295" s="634"/>
      <c r="G295" s="634"/>
      <c r="H295" s="634"/>
      <c r="I295" s="634"/>
      <c r="J295" s="634"/>
      <c r="K295" s="634"/>
      <c r="L295" s="634"/>
      <c r="M295" s="634"/>
      <c r="N295" s="634"/>
      <c r="O295" s="634"/>
      <c r="P295" s="634"/>
      <c r="Q295" s="634"/>
      <c r="R295" s="634"/>
      <c r="S295" s="634"/>
      <c r="T295" s="634"/>
      <c r="U295" s="634"/>
      <c r="V295" s="634"/>
      <c r="W295" s="677"/>
      <c r="X295" s="3857" t="s">
        <v>161</v>
      </c>
      <c r="Y295" s="3858"/>
      <c r="Z295" s="3858"/>
      <c r="AA295" s="3858"/>
      <c r="AB295" s="3858"/>
      <c r="AC295" s="3872">
        <f>AF286</f>
        <v>43</v>
      </c>
      <c r="AD295" s="3803"/>
      <c r="AE295" s="3804"/>
      <c r="AF295" s="634"/>
      <c r="AG295" s="634"/>
      <c r="AH295" s="634"/>
      <c r="AI295" s="634"/>
      <c r="AJ295" s="634"/>
    </row>
    <row r="296" spans="1:36" ht="27.75" thickBot="1">
      <c r="A296" s="634"/>
      <c r="B296" s="635"/>
      <c r="C296" s="635"/>
      <c r="D296" s="634"/>
      <c r="E296" s="634"/>
      <c r="F296" s="634"/>
      <c r="G296" s="634"/>
      <c r="H296" s="634"/>
      <c r="I296" s="634"/>
      <c r="J296" s="634"/>
      <c r="K296" s="634"/>
      <c r="L296" s="634"/>
      <c r="M296" s="634"/>
      <c r="N296" s="634"/>
      <c r="O296" s="634"/>
      <c r="P296" s="634"/>
      <c r="Q296" s="634"/>
      <c r="R296" s="634"/>
      <c r="S296" s="634"/>
      <c r="T296" s="634"/>
      <c r="U296" s="634"/>
      <c r="V296" s="634"/>
      <c r="W296" s="677"/>
      <c r="X296" s="3857" t="s">
        <v>162</v>
      </c>
      <c r="Y296" s="3858"/>
      <c r="Z296" s="3858"/>
      <c r="AA296" s="3858"/>
      <c r="AB296" s="3859"/>
      <c r="AC296" s="3802">
        <f>'Tea Table'!U285</f>
        <v>2676</v>
      </c>
      <c r="AD296" s="3803"/>
      <c r="AE296" s="3804"/>
      <c r="AF296" s="634"/>
      <c r="AG296" s="634"/>
      <c r="AH296" s="634"/>
      <c r="AI296" s="634"/>
      <c r="AJ296" s="634"/>
    </row>
    <row r="297" spans="1:36" ht="27.75" thickBot="1">
      <c r="A297" s="634"/>
      <c r="B297" s="635"/>
      <c r="C297" s="635"/>
      <c r="D297" s="634"/>
      <c r="E297" s="634"/>
      <c r="F297" s="634"/>
      <c r="G297" s="634"/>
      <c r="H297" s="634"/>
      <c r="I297" s="634"/>
      <c r="J297" s="634"/>
      <c r="K297" s="634"/>
      <c r="L297" s="634"/>
      <c r="M297" s="634"/>
      <c r="N297" s="634"/>
      <c r="O297" s="634"/>
      <c r="P297" s="634"/>
      <c r="Q297" s="634"/>
      <c r="R297" s="634"/>
      <c r="S297" s="634"/>
      <c r="T297" s="634"/>
      <c r="U297" s="634"/>
      <c r="V297" s="634"/>
      <c r="W297" s="677"/>
      <c r="X297" s="3860" t="s">
        <v>163</v>
      </c>
      <c r="Y297" s="3861"/>
      <c r="Z297" s="3861"/>
      <c r="AA297" s="3861"/>
      <c r="AB297" s="3862"/>
      <c r="AC297" s="3863">
        <f>'Tea Table'!V285</f>
        <v>29</v>
      </c>
      <c r="AD297" s="3864"/>
      <c r="AE297" s="3865"/>
      <c r="AF297" s="634"/>
      <c r="AG297" s="634"/>
      <c r="AH297" s="634"/>
      <c r="AI297" s="634"/>
      <c r="AJ297" s="634"/>
    </row>
    <row r="298" spans="1:36" ht="28.5" thickTop="1" thickBot="1">
      <c r="A298" s="634"/>
      <c r="B298" s="635"/>
      <c r="C298" s="635"/>
      <c r="D298" s="634"/>
      <c r="E298" s="634"/>
      <c r="F298" s="634"/>
      <c r="G298" s="634"/>
      <c r="H298" s="634"/>
      <c r="I298" s="634"/>
      <c r="J298" s="634"/>
      <c r="K298" s="634"/>
      <c r="L298" s="634"/>
      <c r="M298" s="634"/>
      <c r="N298" s="634"/>
      <c r="O298" s="634"/>
      <c r="P298" s="634"/>
      <c r="Q298" s="634"/>
      <c r="R298" s="634"/>
      <c r="S298" s="634"/>
      <c r="T298" s="634"/>
      <c r="U298" s="634"/>
      <c r="V298" s="634"/>
      <c r="W298" s="677"/>
      <c r="X298" s="3866"/>
      <c r="Y298" s="3867"/>
      <c r="Z298" s="3867"/>
      <c r="AA298" s="3867"/>
      <c r="AB298" s="3868"/>
      <c r="AC298" s="3869"/>
      <c r="AD298" s="3870"/>
      <c r="AE298" s="3871"/>
      <c r="AF298" s="634"/>
      <c r="AG298" s="634"/>
      <c r="AH298" s="634"/>
      <c r="AI298" s="634"/>
      <c r="AJ298" s="634"/>
    </row>
    <row r="299" spans="1:36" ht="27.75" thickBot="1">
      <c r="A299" s="634"/>
      <c r="B299" s="635"/>
      <c r="C299" s="635"/>
      <c r="D299" s="634"/>
      <c r="E299" s="634"/>
      <c r="F299" s="634"/>
      <c r="G299" s="634"/>
      <c r="H299" s="634"/>
      <c r="I299" s="634"/>
      <c r="J299" s="634"/>
      <c r="K299" s="634"/>
      <c r="L299" s="634"/>
      <c r="M299" s="634"/>
      <c r="N299" s="634"/>
      <c r="O299" s="634"/>
      <c r="P299" s="634"/>
      <c r="Q299" s="634"/>
      <c r="R299" s="634"/>
      <c r="S299" s="634"/>
      <c r="T299" s="634"/>
      <c r="U299" s="634"/>
      <c r="V299" s="634"/>
      <c r="W299" s="677"/>
      <c r="X299" s="3857" t="s">
        <v>164</v>
      </c>
      <c r="Y299" s="3858"/>
      <c r="Z299" s="3858"/>
      <c r="AA299" s="3858"/>
      <c r="AB299" s="3859"/>
      <c r="AC299" s="3796">
        <f>SUM(AC292:AE298)</f>
        <v>12860</v>
      </c>
      <c r="AD299" s="3797"/>
      <c r="AE299" s="3798"/>
      <c r="AF299" s="634"/>
      <c r="AG299" s="634"/>
      <c r="AH299" s="634"/>
      <c r="AI299" s="634"/>
      <c r="AJ299" s="634"/>
    </row>
    <row r="300" spans="1:36" ht="27.75" thickBot="1">
      <c r="A300" s="634"/>
      <c r="B300" s="635"/>
      <c r="C300" s="635"/>
      <c r="D300" s="634"/>
      <c r="E300" s="634"/>
      <c r="F300" s="634"/>
      <c r="G300" s="634"/>
      <c r="H300" s="634"/>
      <c r="I300" s="634"/>
      <c r="J300" s="634"/>
      <c r="K300" s="634"/>
      <c r="L300" s="634"/>
      <c r="M300" s="634"/>
      <c r="N300" s="634"/>
      <c r="O300" s="634"/>
      <c r="P300" s="634"/>
      <c r="Q300" s="634"/>
      <c r="R300" s="634"/>
      <c r="S300" s="634"/>
      <c r="T300" s="634"/>
      <c r="U300" s="634"/>
      <c r="V300" s="634"/>
      <c r="W300" s="677"/>
      <c r="X300" s="3857" t="s">
        <v>165</v>
      </c>
      <c r="Y300" s="3858"/>
      <c r="Z300" s="3858"/>
      <c r="AA300" s="3858"/>
      <c r="AB300" s="3859"/>
      <c r="AC300" s="3796">
        <f>AE287+'BIG CHAIR'!CI326+'Tea Table'!U286</f>
        <v>855</v>
      </c>
      <c r="AD300" s="3797"/>
      <c r="AE300" s="3798"/>
      <c r="AF300" s="695"/>
      <c r="AG300" s="695"/>
      <c r="AH300" s="695"/>
      <c r="AI300" s="634"/>
      <c r="AJ300" s="634"/>
    </row>
    <row r="301" spans="1:36">
      <c r="B301" s="652"/>
      <c r="C301" s="652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4"/>
      <c r="P301" s="634"/>
      <c r="Q301" s="634"/>
      <c r="R301" s="634"/>
      <c r="S301" s="634"/>
      <c r="T301" s="634"/>
      <c r="AB301" s="696"/>
      <c r="AC301" s="696"/>
      <c r="AD301" s="696"/>
      <c r="AE301" s="696"/>
    </row>
    <row r="302" spans="1:36">
      <c r="B302" s="652"/>
      <c r="C302" s="652"/>
      <c r="AB302" s="696"/>
      <c r="AC302" s="696"/>
      <c r="AD302" s="696"/>
      <c r="AE302" s="696"/>
    </row>
    <row r="303" spans="1:36">
      <c r="B303" s="652"/>
      <c r="C303" s="652"/>
      <c r="AB303" s="696"/>
      <c r="AC303" s="696"/>
      <c r="AD303" s="696"/>
      <c r="AE303" s="696"/>
    </row>
    <row r="304" spans="1:36">
      <c r="B304" s="652"/>
      <c r="C304" s="652"/>
      <c r="AB304" s="696"/>
      <c r="AC304" s="696"/>
      <c r="AD304" s="696"/>
      <c r="AE304" s="696"/>
    </row>
    <row r="305" spans="2:31">
      <c r="B305" s="652"/>
      <c r="C305" s="652"/>
      <c r="AB305" s="696"/>
      <c r="AC305" s="696"/>
      <c r="AD305" s="696"/>
      <c r="AE305" s="696"/>
    </row>
    <row r="306" spans="2:31">
      <c r="B306" s="652"/>
      <c r="C306" s="652"/>
      <c r="AB306" s="696"/>
      <c r="AC306" s="696"/>
      <c r="AD306" s="696"/>
      <c r="AE306" s="696"/>
    </row>
    <row r="307" spans="2:31">
      <c r="B307" s="652"/>
      <c r="C307" s="652"/>
      <c r="AB307" s="696"/>
      <c r="AC307" s="696"/>
      <c r="AD307" s="696"/>
      <c r="AE307" s="696"/>
    </row>
    <row r="308" spans="2:31">
      <c r="B308" s="652"/>
      <c r="C308" s="652"/>
      <c r="AB308" s="696"/>
      <c r="AC308" s="696"/>
      <c r="AD308" s="696"/>
      <c r="AE308" s="696"/>
    </row>
    <row r="309" spans="2:31">
      <c r="B309" s="652"/>
      <c r="C309" s="652"/>
      <c r="AB309" s="696"/>
      <c r="AC309" s="696"/>
      <c r="AD309" s="696"/>
      <c r="AE309" s="696"/>
    </row>
    <row r="310" spans="2:31">
      <c r="B310" s="652"/>
      <c r="C310" s="652"/>
      <c r="AB310" s="696"/>
      <c r="AC310" s="696"/>
      <c r="AD310" s="696"/>
      <c r="AE310" s="696"/>
    </row>
    <row r="311" spans="2:31">
      <c r="B311" s="652"/>
      <c r="C311" s="652"/>
      <c r="AB311" s="696"/>
      <c r="AC311" s="696"/>
      <c r="AD311" s="696"/>
      <c r="AE311" s="696"/>
    </row>
    <row r="312" spans="2:31">
      <c r="B312" s="652"/>
      <c r="C312" s="652"/>
      <c r="AB312" s="696"/>
      <c r="AC312" s="696"/>
      <c r="AD312" s="696"/>
      <c r="AE312" s="696"/>
    </row>
    <row r="313" spans="2:31">
      <c r="B313" s="652"/>
      <c r="C313" s="652"/>
      <c r="AB313" s="696"/>
      <c r="AC313" s="696"/>
      <c r="AD313" s="696"/>
      <c r="AE313" s="696"/>
    </row>
    <row r="314" spans="2:31">
      <c r="B314" s="652"/>
      <c r="C314" s="652"/>
      <c r="AB314" s="696"/>
      <c r="AC314" s="696"/>
      <c r="AD314" s="696"/>
      <c r="AE314" s="696"/>
    </row>
    <row r="315" spans="2:31">
      <c r="B315" s="652"/>
      <c r="C315" s="652"/>
      <c r="AB315" s="696"/>
      <c r="AC315" s="696"/>
      <c r="AD315" s="696"/>
      <c r="AE315" s="696"/>
    </row>
    <row r="316" spans="2:31">
      <c r="B316" s="652"/>
      <c r="C316" s="652"/>
      <c r="AB316" s="696"/>
      <c r="AC316" s="696"/>
      <c r="AD316" s="696"/>
      <c r="AE316" s="696"/>
    </row>
    <row r="317" spans="2:31">
      <c r="B317" s="652"/>
      <c r="C317" s="652"/>
      <c r="AB317" s="696"/>
      <c r="AC317" s="696"/>
      <c r="AD317" s="696"/>
      <c r="AE317" s="696"/>
    </row>
    <row r="318" spans="2:31">
      <c r="B318" s="652"/>
      <c r="C318" s="652"/>
      <c r="AB318" s="696"/>
      <c r="AC318" s="696"/>
      <c r="AD318" s="696"/>
      <c r="AE318" s="696"/>
    </row>
  </sheetData>
  <mergeCells count="41">
    <mergeCell ref="A2:D2"/>
    <mergeCell ref="E2:K2"/>
    <mergeCell ref="M2:T2"/>
    <mergeCell ref="V2:AC2"/>
    <mergeCell ref="AE2:AJ2"/>
    <mergeCell ref="A204:AJ204"/>
    <mergeCell ref="A205:D205"/>
    <mergeCell ref="E205:K205"/>
    <mergeCell ref="M205:T205"/>
    <mergeCell ref="V205:AC205"/>
    <mergeCell ref="AE205:AJ205"/>
    <mergeCell ref="A279:C279"/>
    <mergeCell ref="V284:AC284"/>
    <mergeCell ref="E285:K285"/>
    <mergeCell ref="M285:T285"/>
    <mergeCell ref="AF286:AG286"/>
    <mergeCell ref="AF287:AG287"/>
    <mergeCell ref="E288:K288"/>
    <mergeCell ref="M288:T288"/>
    <mergeCell ref="V288:AC288"/>
    <mergeCell ref="E289:K289"/>
    <mergeCell ref="M289:T289"/>
    <mergeCell ref="V289:AC289"/>
    <mergeCell ref="X292:AB292"/>
    <mergeCell ref="AC292:AE292"/>
    <mergeCell ref="X293:AB293"/>
    <mergeCell ref="AC293:AE293"/>
    <mergeCell ref="X294:AB294"/>
    <mergeCell ref="AC294:AE294"/>
    <mergeCell ref="X295:AB295"/>
    <mergeCell ref="AC295:AE295"/>
    <mergeCell ref="X296:AB296"/>
    <mergeCell ref="AC296:AE296"/>
    <mergeCell ref="X297:AB297"/>
    <mergeCell ref="AC297:AE297"/>
    <mergeCell ref="X298:AB298"/>
    <mergeCell ref="AC298:AE298"/>
    <mergeCell ref="X299:AB299"/>
    <mergeCell ref="AC299:AE299"/>
    <mergeCell ref="X300:AB300"/>
    <mergeCell ref="AC300:AE300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368"/>
  <sheetViews>
    <sheetView topLeftCell="H1" zoomScale="96" zoomScaleNormal="96" workbookViewId="0">
      <pane ySplit="3" topLeftCell="A275" activePane="bottomLeft" state="frozen"/>
      <selection pane="bottomLeft" activeCell="V287" sqref="V287"/>
    </sheetView>
  </sheetViews>
  <sheetFormatPr defaultColWidth="9" defaultRowHeight="15"/>
  <cols>
    <col min="1" max="1" width="53.7109375" customWidth="1"/>
    <col min="2" max="2" width="16" style="276" customWidth="1"/>
    <col min="3" max="3" width="14.140625" style="276" customWidth="1"/>
    <col min="4" max="4" width="21" customWidth="1"/>
    <col min="5" max="7" width="11.5703125" customWidth="1"/>
    <col min="8" max="9" width="11.5703125" bestFit="1" customWidth="1"/>
    <col min="10" max="10" width="15" customWidth="1"/>
    <col min="11" max="11" width="22" customWidth="1"/>
    <col min="12" max="12" width="19.85546875" customWidth="1"/>
    <col min="13" max="13" width="1.42578125" customWidth="1"/>
    <col min="14" max="14" width="15.42578125" bestFit="1" customWidth="1"/>
    <col min="15" max="15" width="13.7109375" customWidth="1"/>
    <col min="16" max="16" width="13.28515625" customWidth="1"/>
    <col min="17" max="17" width="11.5703125" customWidth="1"/>
    <col min="18" max="18" width="13.7109375" bestFit="1" customWidth="1"/>
    <col min="19" max="20" width="11.5703125" customWidth="1"/>
    <col min="21" max="21" width="15" customWidth="1"/>
    <col min="22" max="22" width="1.5703125" customWidth="1"/>
    <col min="23" max="25" width="11.5703125" customWidth="1"/>
    <col min="26" max="26" width="14.5703125" customWidth="1"/>
    <col min="27" max="27" width="11.5703125" customWidth="1"/>
    <col min="28" max="28" width="13.7109375" customWidth="1"/>
    <col min="29" max="29" width="12.7109375" customWidth="1"/>
    <col min="30" max="30" width="11.5703125" customWidth="1"/>
    <col min="31" max="31" width="2" customWidth="1"/>
    <col min="32" max="32" width="13.7109375" customWidth="1"/>
    <col min="33" max="33" width="11.5703125" customWidth="1"/>
    <col min="34" max="34" width="8.5703125" customWidth="1"/>
    <col min="35" max="35" width="13.7109375" customWidth="1"/>
    <col min="36" max="36" width="11.5703125" customWidth="1"/>
    <col min="37" max="37" width="13.7109375" customWidth="1"/>
    <col min="38" max="256" width="10" customWidth="1"/>
  </cols>
  <sheetData>
    <row r="1" spans="1:40" ht="27" thickBot="1">
      <c r="A1" s="285" t="s">
        <v>353</v>
      </c>
      <c r="B1" s="285"/>
      <c r="C1" s="285"/>
      <c r="D1" s="285"/>
      <c r="E1" s="285"/>
      <c r="F1" s="285"/>
      <c r="G1" s="285"/>
      <c r="H1" s="285"/>
      <c r="I1" s="335">
        <f>'BIG CHAIR'!H1</f>
        <v>1</v>
      </c>
      <c r="J1" s="335">
        <v>4</v>
      </c>
      <c r="K1" s="335">
        <v>2026</v>
      </c>
      <c r="L1" s="1079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</row>
    <row r="2" spans="1:40" ht="24" thickBot="1">
      <c r="A2" s="3888" t="s">
        <v>4</v>
      </c>
      <c r="B2" s="3889"/>
      <c r="C2" s="3889"/>
      <c r="D2" s="3896"/>
      <c r="E2" s="3891" t="s">
        <v>354</v>
      </c>
      <c r="F2" s="3892"/>
      <c r="G2" s="3892"/>
      <c r="H2" s="3892"/>
      <c r="I2" s="3892"/>
      <c r="J2" s="3892"/>
      <c r="K2" s="3892"/>
      <c r="L2" s="3904"/>
      <c r="M2" s="336"/>
      <c r="N2" s="3893" t="s">
        <v>356</v>
      </c>
      <c r="O2" s="3894"/>
      <c r="P2" s="3894"/>
      <c r="Q2" s="3894"/>
      <c r="R2" s="3894"/>
      <c r="S2" s="3894"/>
      <c r="T2" s="3894"/>
      <c r="U2" s="3895"/>
      <c r="V2" s="364"/>
      <c r="W2" s="3893" t="s">
        <v>355</v>
      </c>
      <c r="X2" s="3894"/>
      <c r="Y2" s="3894"/>
      <c r="Z2" s="3894"/>
      <c r="AA2" s="3894"/>
      <c r="AB2" s="3894"/>
      <c r="AC2" s="3894"/>
      <c r="AD2" s="3895"/>
      <c r="AE2" s="364"/>
      <c r="AF2" s="3893"/>
      <c r="AG2" s="3894"/>
      <c r="AH2" s="3894"/>
      <c r="AI2" s="3894"/>
      <c r="AJ2" s="3894"/>
      <c r="AK2" s="3895"/>
    </row>
    <row r="3" spans="1:40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743" t="s">
        <v>88</v>
      </c>
      <c r="F3" s="744" t="s">
        <v>407</v>
      </c>
      <c r="G3" s="744" t="s">
        <v>53</v>
      </c>
      <c r="H3" s="744" t="s">
        <v>94</v>
      </c>
      <c r="I3" s="744" t="s">
        <v>222</v>
      </c>
      <c r="J3" s="744" t="s">
        <v>149</v>
      </c>
      <c r="K3" s="744" t="s">
        <v>206</v>
      </c>
      <c r="L3" s="783" t="s">
        <v>124</v>
      </c>
      <c r="M3" s="1089"/>
      <c r="N3" s="80" t="s">
        <v>96</v>
      </c>
      <c r="O3" s="49" t="s">
        <v>407</v>
      </c>
      <c r="P3" s="49" t="s">
        <v>53</v>
      </c>
      <c r="Q3" s="49" t="s">
        <v>86</v>
      </c>
      <c r="R3" s="49" t="s">
        <v>94</v>
      </c>
      <c r="S3" s="49" t="s">
        <v>549</v>
      </c>
      <c r="T3" s="126" t="s">
        <v>92</v>
      </c>
      <c r="U3" s="171" t="s">
        <v>432</v>
      </c>
      <c r="V3" s="79"/>
      <c r="W3" s="80" t="s">
        <v>88</v>
      </c>
      <c r="X3" s="49" t="s">
        <v>213</v>
      </c>
      <c r="Y3" s="49" t="s">
        <v>206</v>
      </c>
      <c r="Z3" s="49" t="s">
        <v>466</v>
      </c>
      <c r="AA3" s="49" t="s">
        <v>222</v>
      </c>
      <c r="AB3" s="49" t="s">
        <v>85</v>
      </c>
      <c r="AC3" s="126" t="s">
        <v>76</v>
      </c>
      <c r="AD3" s="171" t="s">
        <v>532</v>
      </c>
      <c r="AE3" s="370"/>
      <c r="AF3" s="371" t="s">
        <v>172</v>
      </c>
      <c r="AG3" s="372" t="s">
        <v>80</v>
      </c>
      <c r="AH3" s="385"/>
      <c r="AI3" s="386" t="s">
        <v>106</v>
      </c>
      <c r="AJ3" s="385" t="s">
        <v>173</v>
      </c>
      <c r="AK3" s="371" t="s">
        <v>108</v>
      </c>
    </row>
    <row r="4" spans="1:40" s="276" customFormat="1" ht="21" thickBot="1">
      <c r="A4" s="289" t="str">
        <f>'Tea Table'!A4</f>
        <v xml:space="preserve">Opening Stock as on </v>
      </c>
      <c r="B4" s="1064" t="s">
        <v>471</v>
      </c>
      <c r="C4" s="290"/>
      <c r="D4" s="1065"/>
      <c r="E4" s="340"/>
      <c r="F4" s="293"/>
      <c r="G4" s="293"/>
      <c r="H4" s="293"/>
      <c r="I4" s="337"/>
      <c r="J4" s="337">
        <f>7*20</f>
        <v>140</v>
      </c>
      <c r="K4" s="338"/>
      <c r="L4" s="338"/>
      <c r="M4" s="339"/>
      <c r="N4" s="340">
        <f>7*20</f>
        <v>140</v>
      </c>
      <c r="O4" s="293"/>
      <c r="P4" s="337">
        <f>10*20</f>
        <v>200</v>
      </c>
      <c r="Q4" s="337">
        <f>17*20</f>
        <v>340</v>
      </c>
      <c r="R4" s="337">
        <f>30*20</f>
        <v>600</v>
      </c>
      <c r="S4" s="337"/>
      <c r="T4" s="365"/>
      <c r="U4" s="338">
        <f>38*20</f>
        <v>760</v>
      </c>
      <c r="V4" s="339"/>
      <c r="W4" s="366">
        <f>111*20</f>
        <v>2220</v>
      </c>
      <c r="X4" s="293">
        <f>60*20</f>
        <v>1200</v>
      </c>
      <c r="Y4" s="293">
        <f>85*20</f>
        <v>1700</v>
      </c>
      <c r="Z4" s="337"/>
      <c r="AA4" s="337">
        <f>81*20</f>
        <v>1620</v>
      </c>
      <c r="AB4" s="337">
        <f>1*20</f>
        <v>20</v>
      </c>
      <c r="AC4" s="293"/>
      <c r="AD4" s="338"/>
      <c r="AE4" s="339"/>
      <c r="AF4" s="373">
        <f>SUM(E4:AD4)</f>
        <v>8940</v>
      </c>
      <c r="AG4" s="374"/>
      <c r="AH4" s="373"/>
      <c r="AI4" s="387">
        <f>AF4+AG4</f>
        <v>8940</v>
      </c>
      <c r="AJ4" s="388"/>
      <c r="AK4" s="389">
        <f>AI4+AJ4</f>
        <v>8940</v>
      </c>
    </row>
    <row r="5" spans="1:40" s="283" customFormat="1" ht="21" thickBot="1">
      <c r="A5" s="294" t="s">
        <v>110</v>
      </c>
      <c r="B5" s="299"/>
      <c r="C5" s="299"/>
      <c r="D5" s="1066">
        <v>46137</v>
      </c>
      <c r="E5" s="1067"/>
      <c r="F5" s="1068"/>
      <c r="G5" s="1068"/>
      <c r="H5" s="1069"/>
      <c r="I5" s="1069"/>
      <c r="J5" s="1068"/>
      <c r="K5" s="1080">
        <f>18*20</f>
        <v>360</v>
      </c>
      <c r="L5" s="1081"/>
      <c r="M5" s="1082"/>
      <c r="N5" s="343"/>
      <c r="O5" s="298"/>
      <c r="P5" s="298"/>
      <c r="Q5" s="298"/>
      <c r="R5" s="298"/>
      <c r="S5" s="298"/>
      <c r="T5" s="298"/>
      <c r="U5" s="367"/>
      <c r="V5" s="355"/>
      <c r="W5" s="325"/>
      <c r="X5" s="297"/>
      <c r="Y5" s="297"/>
      <c r="Z5" s="298"/>
      <c r="AA5" s="298"/>
      <c r="AB5" s="298"/>
      <c r="AC5" s="297"/>
      <c r="AD5" s="375"/>
      <c r="AE5" s="355"/>
      <c r="AF5" s="376">
        <f>SUM(E5:AD5)</f>
        <v>360</v>
      </c>
      <c r="AG5" s="377"/>
      <c r="AH5" s="390"/>
      <c r="AI5" s="391">
        <f>AF5+AG5</f>
        <v>360</v>
      </c>
      <c r="AJ5" s="392">
        <v>2</v>
      </c>
      <c r="AK5" s="393">
        <f>AI5+AJ5</f>
        <v>362</v>
      </c>
      <c r="AL5" s="394"/>
      <c r="AM5" s="54"/>
      <c r="AN5" s="394"/>
    </row>
    <row r="6" spans="1:40" s="283" customFormat="1" ht="21" thickBot="1">
      <c r="A6" s="294" t="s">
        <v>110</v>
      </c>
      <c r="B6" s="299"/>
      <c r="C6" s="299"/>
      <c r="D6" s="1066">
        <v>46138</v>
      </c>
      <c r="E6" s="457"/>
      <c r="F6" s="458"/>
      <c r="G6" s="458"/>
      <c r="H6" s="459"/>
      <c r="I6" s="459"/>
      <c r="J6" s="458"/>
      <c r="K6" s="1083"/>
      <c r="L6" s="761"/>
      <c r="M6" s="1082"/>
      <c r="N6" s="343"/>
      <c r="O6" s="298"/>
      <c r="P6" s="298"/>
      <c r="Q6" s="298"/>
      <c r="R6" s="298"/>
      <c r="S6" s="298"/>
      <c r="T6" s="298"/>
      <c r="U6" s="367"/>
      <c r="V6" s="355"/>
      <c r="W6" s="325"/>
      <c r="X6" s="297"/>
      <c r="Y6" s="297">
        <f>25*20</f>
        <v>500</v>
      </c>
      <c r="Z6" s="298"/>
      <c r="AA6" s="298"/>
      <c r="AB6" s="298"/>
      <c r="AC6" s="297"/>
      <c r="AD6" s="375"/>
      <c r="AE6" s="355"/>
      <c r="AF6" s="376">
        <f t="shared" ref="AF6:AF31" si="0">SUM(E6:AD6)</f>
        <v>500</v>
      </c>
      <c r="AG6" s="377"/>
      <c r="AH6" s="390"/>
      <c r="AI6" s="391">
        <f t="shared" ref="AI6:AI31" si="1">AF6+AG6</f>
        <v>500</v>
      </c>
      <c r="AJ6" s="392">
        <v>6</v>
      </c>
      <c r="AK6" s="393">
        <f t="shared" ref="AK6:AK31" si="2">AI6+AJ6</f>
        <v>506</v>
      </c>
      <c r="AL6" s="394"/>
      <c r="AM6" s="54"/>
      <c r="AN6" s="394"/>
    </row>
    <row r="7" spans="1:40" s="283" customFormat="1" ht="21" thickBot="1">
      <c r="A7" s="294" t="s">
        <v>110</v>
      </c>
      <c r="B7" s="299"/>
      <c r="C7" s="299"/>
      <c r="D7" s="1066">
        <v>46139</v>
      </c>
      <c r="E7" s="457"/>
      <c r="F7" s="458"/>
      <c r="G7" s="458"/>
      <c r="H7" s="459"/>
      <c r="I7" s="459"/>
      <c r="J7" s="458"/>
      <c r="K7" s="1083"/>
      <c r="L7" s="761"/>
      <c r="M7" s="1082"/>
      <c r="N7" s="343"/>
      <c r="O7" s="298"/>
      <c r="P7" s="298"/>
      <c r="Q7" s="298"/>
      <c r="R7" s="298"/>
      <c r="S7" s="298"/>
      <c r="T7" s="298"/>
      <c r="U7" s="367"/>
      <c r="V7" s="355"/>
      <c r="W7" s="325"/>
      <c r="X7" s="297"/>
      <c r="Y7" s="297">
        <f>8*20</f>
        <v>160</v>
      </c>
      <c r="Z7" s="298"/>
      <c r="AA7" s="298">
        <f>21*20</f>
        <v>420</v>
      </c>
      <c r="AB7" s="298"/>
      <c r="AC7" s="297"/>
      <c r="AD7" s="375"/>
      <c r="AE7" s="355"/>
      <c r="AF7" s="376">
        <f t="shared" si="0"/>
        <v>580</v>
      </c>
      <c r="AG7" s="377">
        <v>9</v>
      </c>
      <c r="AH7" s="390"/>
      <c r="AI7" s="391">
        <f t="shared" si="1"/>
        <v>589</v>
      </c>
      <c r="AJ7" s="392">
        <v>2</v>
      </c>
      <c r="AK7" s="393">
        <f t="shared" si="2"/>
        <v>591</v>
      </c>
      <c r="AL7" s="394"/>
      <c r="AM7" s="54"/>
      <c r="AN7" s="394"/>
    </row>
    <row r="8" spans="1:40" s="283" customFormat="1" ht="21" thickBot="1">
      <c r="A8" s="294" t="s">
        <v>110</v>
      </c>
      <c r="B8" s="299"/>
      <c r="C8" s="299"/>
      <c r="D8" s="1066">
        <v>46140</v>
      </c>
      <c r="E8" s="457"/>
      <c r="F8" s="458"/>
      <c r="G8" s="458"/>
      <c r="H8" s="459"/>
      <c r="I8" s="459"/>
      <c r="J8" s="458"/>
      <c r="K8" s="1083"/>
      <c r="L8" s="761"/>
      <c r="M8" s="1082"/>
      <c r="N8" s="343"/>
      <c r="O8" s="298"/>
      <c r="P8" s="298"/>
      <c r="Q8" s="298"/>
      <c r="R8" s="298"/>
      <c r="S8" s="298"/>
      <c r="T8" s="298"/>
      <c r="U8" s="367"/>
      <c r="V8" s="355"/>
      <c r="W8" s="325"/>
      <c r="X8" s="297"/>
      <c r="Y8" s="297"/>
      <c r="Z8" s="298"/>
      <c r="AA8" s="298">
        <f>21*20</f>
        <v>420</v>
      </c>
      <c r="AB8" s="298"/>
      <c r="AC8" s="297"/>
      <c r="AD8" s="375"/>
      <c r="AE8" s="355"/>
      <c r="AF8" s="376">
        <f t="shared" si="0"/>
        <v>420</v>
      </c>
      <c r="AG8" s="377"/>
      <c r="AH8" s="390"/>
      <c r="AI8" s="391">
        <f t="shared" si="1"/>
        <v>420</v>
      </c>
      <c r="AJ8" s="392">
        <v>4</v>
      </c>
      <c r="AK8" s="393">
        <f t="shared" si="2"/>
        <v>424</v>
      </c>
      <c r="AL8" s="394"/>
      <c r="AM8" s="54"/>
      <c r="AN8" s="394"/>
    </row>
    <row r="9" spans="1:40" s="283" customFormat="1" ht="21" thickBot="1">
      <c r="A9" s="294" t="s">
        <v>110</v>
      </c>
      <c r="B9" s="299"/>
      <c r="C9" s="299"/>
      <c r="D9" s="1066">
        <v>46141</v>
      </c>
      <c r="E9" s="457"/>
      <c r="F9" s="458"/>
      <c r="G9" s="458"/>
      <c r="H9" s="459"/>
      <c r="I9" s="459"/>
      <c r="J9" s="458"/>
      <c r="K9" s="1083"/>
      <c r="L9" s="761"/>
      <c r="M9" s="1082"/>
      <c r="N9" s="343"/>
      <c r="O9" s="298"/>
      <c r="P9" s="298"/>
      <c r="Q9" s="298"/>
      <c r="R9" s="298"/>
      <c r="S9" s="298"/>
      <c r="T9" s="298"/>
      <c r="U9" s="367"/>
      <c r="V9" s="355"/>
      <c r="W9" s="325"/>
      <c r="X9" s="297"/>
      <c r="Y9" s="297"/>
      <c r="Z9" s="298"/>
      <c r="AA9" s="298">
        <f>23*20</f>
        <v>460</v>
      </c>
      <c r="AB9" s="298"/>
      <c r="AC9" s="297"/>
      <c r="AD9" s="375"/>
      <c r="AE9" s="355"/>
      <c r="AF9" s="376">
        <f t="shared" si="0"/>
        <v>460</v>
      </c>
      <c r="AG9" s="377"/>
      <c r="AH9" s="390"/>
      <c r="AI9" s="391">
        <f t="shared" si="1"/>
        <v>460</v>
      </c>
      <c r="AJ9" s="392">
        <v>2</v>
      </c>
      <c r="AK9" s="393">
        <f t="shared" si="2"/>
        <v>462</v>
      </c>
      <c r="AL9" s="394"/>
      <c r="AM9" s="54"/>
      <c r="AN9" s="394"/>
    </row>
    <row r="10" spans="1:40" s="283" customFormat="1" ht="21" thickBot="1">
      <c r="A10" s="294" t="s">
        <v>110</v>
      </c>
      <c r="B10" s="299"/>
      <c r="C10" s="299"/>
      <c r="D10" s="1066"/>
      <c r="E10" s="457"/>
      <c r="F10" s="458"/>
      <c r="G10" s="458"/>
      <c r="H10" s="459"/>
      <c r="I10" s="459"/>
      <c r="J10" s="458"/>
      <c r="K10" s="1083"/>
      <c r="L10" s="761"/>
      <c r="M10" s="1082"/>
      <c r="N10" s="343"/>
      <c r="O10" s="298"/>
      <c r="P10" s="298"/>
      <c r="Q10" s="298"/>
      <c r="R10" s="298"/>
      <c r="S10" s="298"/>
      <c r="T10" s="298"/>
      <c r="U10" s="367"/>
      <c r="V10" s="355"/>
      <c r="W10" s="325"/>
      <c r="X10" s="297"/>
      <c r="Y10" s="297"/>
      <c r="Z10" s="298"/>
      <c r="AA10" s="298"/>
      <c r="AB10" s="298"/>
      <c r="AC10" s="297"/>
      <c r="AD10" s="375"/>
      <c r="AE10" s="355"/>
      <c r="AF10" s="376">
        <f t="shared" si="0"/>
        <v>0</v>
      </c>
      <c r="AG10" s="377"/>
      <c r="AH10" s="390"/>
      <c r="AI10" s="391">
        <f t="shared" si="1"/>
        <v>0</v>
      </c>
      <c r="AJ10" s="392"/>
      <c r="AK10" s="393">
        <f t="shared" si="2"/>
        <v>0</v>
      </c>
      <c r="AL10" s="394"/>
      <c r="AM10" s="54"/>
      <c r="AN10" s="394"/>
    </row>
    <row r="11" spans="1:40" s="283" customFormat="1" ht="21" thickBot="1">
      <c r="A11" s="294" t="s">
        <v>110</v>
      </c>
      <c r="B11" s="299"/>
      <c r="C11" s="299"/>
      <c r="D11" s="1066"/>
      <c r="E11" s="457"/>
      <c r="F11" s="458"/>
      <c r="G11" s="458"/>
      <c r="H11" s="459"/>
      <c r="I11" s="459"/>
      <c r="J11" s="458"/>
      <c r="K11" s="1083"/>
      <c r="L11" s="761"/>
      <c r="M11" s="1082"/>
      <c r="N11" s="343"/>
      <c r="O11" s="298"/>
      <c r="P11" s="298"/>
      <c r="Q11" s="298"/>
      <c r="R11" s="298"/>
      <c r="S11" s="298"/>
      <c r="T11" s="298"/>
      <c r="U11" s="367"/>
      <c r="V11" s="355"/>
      <c r="W11" s="325"/>
      <c r="X11" s="297"/>
      <c r="Y11" s="297"/>
      <c r="Z11" s="298"/>
      <c r="AA11" s="298"/>
      <c r="AB11" s="298"/>
      <c r="AC11" s="297"/>
      <c r="AD11" s="375"/>
      <c r="AE11" s="355"/>
      <c r="AF11" s="376">
        <f t="shared" si="0"/>
        <v>0</v>
      </c>
      <c r="AG11" s="377"/>
      <c r="AH11" s="390"/>
      <c r="AI11" s="391">
        <f t="shared" si="1"/>
        <v>0</v>
      </c>
      <c r="AJ11" s="392"/>
      <c r="AK11" s="393">
        <f t="shared" si="2"/>
        <v>0</v>
      </c>
      <c r="AL11" s="394"/>
      <c r="AM11" s="54"/>
      <c r="AN11" s="394"/>
    </row>
    <row r="12" spans="1:40" s="283" customFormat="1" ht="21" thickBot="1">
      <c r="A12" s="294" t="s">
        <v>110</v>
      </c>
      <c r="B12" s="299"/>
      <c r="C12" s="299"/>
      <c r="D12" s="1066"/>
      <c r="E12" s="457"/>
      <c r="F12" s="458"/>
      <c r="G12" s="458"/>
      <c r="H12" s="459"/>
      <c r="I12" s="459"/>
      <c r="J12" s="458"/>
      <c r="K12" s="1083"/>
      <c r="L12" s="761"/>
      <c r="M12" s="1082"/>
      <c r="N12" s="343"/>
      <c r="O12" s="298"/>
      <c r="P12" s="298"/>
      <c r="Q12" s="298"/>
      <c r="R12" s="298"/>
      <c r="S12" s="298"/>
      <c r="T12" s="298"/>
      <c r="U12" s="367"/>
      <c r="V12" s="355"/>
      <c r="W12" s="325"/>
      <c r="X12" s="297"/>
      <c r="Y12" s="297"/>
      <c r="Z12" s="298"/>
      <c r="AA12" s="298"/>
      <c r="AB12" s="298"/>
      <c r="AC12" s="297"/>
      <c r="AD12" s="375"/>
      <c r="AE12" s="355"/>
      <c r="AF12" s="376">
        <f t="shared" si="0"/>
        <v>0</v>
      </c>
      <c r="AG12" s="377"/>
      <c r="AH12" s="390"/>
      <c r="AI12" s="391">
        <f t="shared" si="1"/>
        <v>0</v>
      </c>
      <c r="AJ12" s="392"/>
      <c r="AK12" s="393">
        <f t="shared" si="2"/>
        <v>0</v>
      </c>
      <c r="AL12" s="394"/>
      <c r="AM12" s="54"/>
      <c r="AN12" s="394"/>
    </row>
    <row r="13" spans="1:40" s="283" customFormat="1" ht="21" thickBot="1">
      <c r="A13" s="294" t="s">
        <v>110</v>
      </c>
      <c r="B13" s="299"/>
      <c r="C13" s="299"/>
      <c r="D13" s="1066"/>
      <c r="E13" s="457"/>
      <c r="F13" s="458"/>
      <c r="G13" s="458"/>
      <c r="H13" s="459"/>
      <c r="I13" s="459"/>
      <c r="J13" s="458"/>
      <c r="K13" s="1083"/>
      <c r="L13" s="761"/>
      <c r="M13" s="1082"/>
      <c r="N13" s="343"/>
      <c r="O13" s="298"/>
      <c r="P13" s="298"/>
      <c r="Q13" s="298"/>
      <c r="R13" s="298"/>
      <c r="S13" s="298"/>
      <c r="T13" s="298"/>
      <c r="U13" s="367"/>
      <c r="V13" s="355"/>
      <c r="W13" s="325"/>
      <c r="X13" s="297"/>
      <c r="Y13" s="297"/>
      <c r="Z13" s="298"/>
      <c r="AA13" s="298"/>
      <c r="AB13" s="298"/>
      <c r="AC13" s="297"/>
      <c r="AD13" s="375"/>
      <c r="AE13" s="355"/>
      <c r="AF13" s="376">
        <f t="shared" si="0"/>
        <v>0</v>
      </c>
      <c r="AG13" s="377"/>
      <c r="AH13" s="390"/>
      <c r="AI13" s="391">
        <f t="shared" si="1"/>
        <v>0</v>
      </c>
      <c r="AJ13" s="392"/>
      <c r="AK13" s="393">
        <f t="shared" si="2"/>
        <v>0</v>
      </c>
      <c r="AL13" s="394"/>
      <c r="AM13" s="54"/>
      <c r="AN13" s="394"/>
    </row>
    <row r="14" spans="1:40" s="283" customFormat="1" ht="21" thickBot="1">
      <c r="A14" s="294" t="s">
        <v>110</v>
      </c>
      <c r="B14" s="299"/>
      <c r="C14" s="299"/>
      <c r="D14" s="1066"/>
      <c r="E14" s="457"/>
      <c r="F14" s="458"/>
      <c r="G14" s="458"/>
      <c r="H14" s="459"/>
      <c r="I14" s="459"/>
      <c r="J14" s="458"/>
      <c r="K14" s="1083"/>
      <c r="L14" s="761"/>
      <c r="M14" s="1082"/>
      <c r="N14" s="343"/>
      <c r="O14" s="298"/>
      <c r="P14" s="298"/>
      <c r="Q14" s="298"/>
      <c r="R14" s="298"/>
      <c r="S14" s="298"/>
      <c r="T14" s="298"/>
      <c r="U14" s="367"/>
      <c r="V14" s="355"/>
      <c r="W14" s="325"/>
      <c r="X14" s="297"/>
      <c r="Y14" s="297"/>
      <c r="Z14" s="298"/>
      <c r="AA14" s="298"/>
      <c r="AB14" s="298"/>
      <c r="AC14" s="297"/>
      <c r="AD14" s="375"/>
      <c r="AE14" s="355"/>
      <c r="AF14" s="376">
        <f t="shared" si="0"/>
        <v>0</v>
      </c>
      <c r="AG14" s="377"/>
      <c r="AH14" s="390"/>
      <c r="AI14" s="391">
        <f t="shared" si="1"/>
        <v>0</v>
      </c>
      <c r="AJ14" s="392"/>
      <c r="AK14" s="393">
        <f t="shared" si="2"/>
        <v>0</v>
      </c>
      <c r="AL14" s="394"/>
      <c r="AM14" s="54"/>
      <c r="AN14" s="394"/>
    </row>
    <row r="15" spans="1:40" s="283" customFormat="1" ht="21" thickBot="1">
      <c r="A15" s="294" t="s">
        <v>110</v>
      </c>
      <c r="B15" s="299"/>
      <c r="C15" s="299"/>
      <c r="D15" s="1066"/>
      <c r="E15" s="457"/>
      <c r="F15" s="458"/>
      <c r="G15" s="458"/>
      <c r="H15" s="459"/>
      <c r="I15" s="459"/>
      <c r="J15" s="458"/>
      <c r="K15" s="1083"/>
      <c r="L15" s="761"/>
      <c r="M15" s="1082"/>
      <c r="N15" s="343"/>
      <c r="O15" s="298"/>
      <c r="P15" s="298"/>
      <c r="Q15" s="298"/>
      <c r="R15" s="298"/>
      <c r="S15" s="298"/>
      <c r="T15" s="298"/>
      <c r="U15" s="367"/>
      <c r="V15" s="355"/>
      <c r="W15" s="325"/>
      <c r="X15" s="297"/>
      <c r="Y15" s="297"/>
      <c r="Z15" s="298"/>
      <c r="AA15" s="298"/>
      <c r="AB15" s="298"/>
      <c r="AC15" s="297"/>
      <c r="AD15" s="375"/>
      <c r="AE15" s="355"/>
      <c r="AF15" s="376">
        <f t="shared" si="0"/>
        <v>0</v>
      </c>
      <c r="AG15" s="377"/>
      <c r="AH15" s="390"/>
      <c r="AI15" s="391">
        <f t="shared" si="1"/>
        <v>0</v>
      </c>
      <c r="AJ15" s="392"/>
      <c r="AK15" s="393">
        <f t="shared" si="2"/>
        <v>0</v>
      </c>
      <c r="AL15" s="394"/>
      <c r="AM15" s="54"/>
      <c r="AN15" s="394"/>
    </row>
    <row r="16" spans="1:40" s="283" customFormat="1" ht="21" thickBot="1">
      <c r="A16" s="294" t="s">
        <v>110</v>
      </c>
      <c r="B16" s="299"/>
      <c r="C16" s="299"/>
      <c r="D16" s="1070"/>
      <c r="E16" s="457"/>
      <c r="F16" s="458"/>
      <c r="G16" s="458"/>
      <c r="H16" s="459"/>
      <c r="I16" s="459"/>
      <c r="J16" s="458"/>
      <c r="K16" s="1084"/>
      <c r="L16" s="761"/>
      <c r="M16" s="1082"/>
      <c r="N16" s="343"/>
      <c r="O16" s="298"/>
      <c r="P16" s="298"/>
      <c r="Q16" s="298"/>
      <c r="R16" s="298"/>
      <c r="S16" s="298"/>
      <c r="T16" s="298"/>
      <c r="U16" s="367"/>
      <c r="V16" s="355"/>
      <c r="W16" s="325"/>
      <c r="X16" s="297"/>
      <c r="Y16" s="297"/>
      <c r="Z16" s="298"/>
      <c r="AA16" s="298"/>
      <c r="AB16" s="298"/>
      <c r="AC16" s="297"/>
      <c r="AD16" s="375"/>
      <c r="AE16" s="355"/>
      <c r="AF16" s="376">
        <f t="shared" si="0"/>
        <v>0</v>
      </c>
      <c r="AG16" s="377"/>
      <c r="AH16" s="390"/>
      <c r="AI16" s="391">
        <f t="shared" si="1"/>
        <v>0</v>
      </c>
      <c r="AJ16" s="392"/>
      <c r="AK16" s="393">
        <f t="shared" si="2"/>
        <v>0</v>
      </c>
      <c r="AL16" s="394"/>
      <c r="AM16" s="54"/>
      <c r="AN16" s="394"/>
    </row>
    <row r="17" spans="1:40" s="283" customFormat="1" ht="21" thickBot="1">
      <c r="A17" s="294" t="s">
        <v>110</v>
      </c>
      <c r="B17" s="299"/>
      <c r="C17" s="299"/>
      <c r="D17" s="1070"/>
      <c r="E17" s="457"/>
      <c r="F17" s="458"/>
      <c r="G17" s="458"/>
      <c r="H17" s="459"/>
      <c r="I17" s="459"/>
      <c r="J17" s="458"/>
      <c r="K17" s="1084"/>
      <c r="L17" s="761"/>
      <c r="M17" s="1082"/>
      <c r="N17" s="343"/>
      <c r="O17" s="298"/>
      <c r="P17" s="298"/>
      <c r="Q17" s="298"/>
      <c r="R17" s="298"/>
      <c r="S17" s="298"/>
      <c r="T17" s="298"/>
      <c r="U17" s="367"/>
      <c r="V17" s="355"/>
      <c r="W17" s="325"/>
      <c r="X17" s="297"/>
      <c r="Y17" s="297"/>
      <c r="Z17" s="298"/>
      <c r="AA17" s="298"/>
      <c r="AB17" s="298"/>
      <c r="AC17" s="297"/>
      <c r="AD17" s="375"/>
      <c r="AE17" s="355"/>
      <c r="AF17" s="376">
        <f t="shared" si="0"/>
        <v>0</v>
      </c>
      <c r="AG17" s="377"/>
      <c r="AH17" s="390"/>
      <c r="AI17" s="391">
        <f t="shared" si="1"/>
        <v>0</v>
      </c>
      <c r="AJ17" s="392"/>
      <c r="AK17" s="393">
        <f t="shared" si="2"/>
        <v>0</v>
      </c>
      <c r="AL17" s="394"/>
      <c r="AM17" s="54"/>
      <c r="AN17" s="394"/>
    </row>
    <row r="18" spans="1:40" s="283" customFormat="1" ht="21" thickBot="1">
      <c r="A18" s="294" t="s">
        <v>110</v>
      </c>
      <c r="B18" s="299"/>
      <c r="C18" s="299"/>
      <c r="D18" s="1070"/>
      <c r="E18" s="457"/>
      <c r="F18" s="458"/>
      <c r="G18" s="458"/>
      <c r="H18" s="459"/>
      <c r="I18" s="459"/>
      <c r="J18" s="458"/>
      <c r="K18" s="1085"/>
      <c r="L18" s="761"/>
      <c r="M18" s="1082"/>
      <c r="N18" s="343"/>
      <c r="O18" s="298"/>
      <c r="P18" s="298"/>
      <c r="Q18" s="298"/>
      <c r="R18" s="298"/>
      <c r="S18" s="298"/>
      <c r="T18" s="298"/>
      <c r="U18" s="367"/>
      <c r="V18" s="355"/>
      <c r="W18" s="325"/>
      <c r="X18" s="297"/>
      <c r="Y18" s="297"/>
      <c r="Z18" s="298"/>
      <c r="AA18" s="298"/>
      <c r="AB18" s="298"/>
      <c r="AC18" s="297"/>
      <c r="AD18" s="375"/>
      <c r="AE18" s="355"/>
      <c r="AF18" s="376">
        <f t="shared" si="0"/>
        <v>0</v>
      </c>
      <c r="AG18" s="377"/>
      <c r="AH18" s="390"/>
      <c r="AI18" s="391">
        <f t="shared" si="1"/>
        <v>0</v>
      </c>
      <c r="AJ18" s="392"/>
      <c r="AK18" s="393">
        <f t="shared" si="2"/>
        <v>0</v>
      </c>
      <c r="AL18" s="394"/>
      <c r="AM18" s="54"/>
      <c r="AN18" s="394"/>
    </row>
    <row r="19" spans="1:40" s="283" customFormat="1" ht="21" thickBot="1">
      <c r="A19" s="294" t="s">
        <v>110</v>
      </c>
      <c r="B19" s="299"/>
      <c r="C19" s="299"/>
      <c r="D19" s="1070"/>
      <c r="E19" s="457"/>
      <c r="F19" s="458"/>
      <c r="G19" s="458"/>
      <c r="H19" s="459"/>
      <c r="I19" s="459"/>
      <c r="J19" s="458"/>
      <c r="K19" s="1085"/>
      <c r="L19" s="761"/>
      <c r="M19" s="1082"/>
      <c r="N19" s="343"/>
      <c r="O19" s="298"/>
      <c r="P19" s="298"/>
      <c r="Q19" s="298"/>
      <c r="R19" s="298"/>
      <c r="S19" s="298"/>
      <c r="T19" s="298"/>
      <c r="U19" s="367"/>
      <c r="V19" s="355"/>
      <c r="W19" s="325"/>
      <c r="X19" s="297"/>
      <c r="Y19" s="297"/>
      <c r="Z19" s="298"/>
      <c r="AA19" s="298"/>
      <c r="AB19" s="298"/>
      <c r="AC19" s="297"/>
      <c r="AD19" s="375"/>
      <c r="AE19" s="355"/>
      <c r="AF19" s="376">
        <f t="shared" si="0"/>
        <v>0</v>
      </c>
      <c r="AG19" s="377"/>
      <c r="AH19" s="390"/>
      <c r="AI19" s="391">
        <f t="shared" si="1"/>
        <v>0</v>
      </c>
      <c r="AJ19" s="392"/>
      <c r="AK19" s="393">
        <f t="shared" si="2"/>
        <v>0</v>
      </c>
      <c r="AL19" s="394"/>
      <c r="AM19" s="54"/>
      <c r="AN19" s="394"/>
    </row>
    <row r="20" spans="1:40" s="283" customFormat="1" ht="21" thickBot="1">
      <c r="A20" s="294" t="s">
        <v>110</v>
      </c>
      <c r="B20" s="299"/>
      <c r="C20" s="299"/>
      <c r="D20" s="1070"/>
      <c r="E20" s="457"/>
      <c r="F20" s="458"/>
      <c r="G20" s="458"/>
      <c r="H20" s="459"/>
      <c r="I20" s="459"/>
      <c r="J20" s="458"/>
      <c r="K20" s="1085"/>
      <c r="L20" s="761"/>
      <c r="M20" s="1082"/>
      <c r="N20" s="343"/>
      <c r="O20" s="298"/>
      <c r="P20" s="298"/>
      <c r="Q20" s="298"/>
      <c r="R20" s="298"/>
      <c r="S20" s="298"/>
      <c r="T20" s="298"/>
      <c r="U20" s="367"/>
      <c r="V20" s="355"/>
      <c r="W20" s="325"/>
      <c r="X20" s="297"/>
      <c r="Y20" s="297"/>
      <c r="Z20" s="298"/>
      <c r="AA20" s="298"/>
      <c r="AB20" s="298"/>
      <c r="AC20" s="297"/>
      <c r="AD20" s="375"/>
      <c r="AE20" s="355"/>
      <c r="AF20" s="376">
        <f t="shared" si="0"/>
        <v>0</v>
      </c>
      <c r="AG20" s="377"/>
      <c r="AH20" s="390"/>
      <c r="AI20" s="391">
        <f t="shared" si="1"/>
        <v>0</v>
      </c>
      <c r="AJ20" s="392"/>
      <c r="AK20" s="393">
        <f t="shared" si="2"/>
        <v>0</v>
      </c>
      <c r="AL20" s="394"/>
      <c r="AM20" s="54"/>
      <c r="AN20" s="394"/>
    </row>
    <row r="21" spans="1:40" s="283" customFormat="1" ht="21" thickBot="1">
      <c r="A21" s="294" t="s">
        <v>110</v>
      </c>
      <c r="B21" s="299"/>
      <c r="C21" s="299"/>
      <c r="D21" s="1070"/>
      <c r="E21" s="457"/>
      <c r="F21" s="458"/>
      <c r="G21" s="458"/>
      <c r="H21" s="459"/>
      <c r="I21" s="459"/>
      <c r="J21" s="458"/>
      <c r="K21" s="1085"/>
      <c r="L21" s="761"/>
      <c r="M21" s="1082"/>
      <c r="N21" s="343"/>
      <c r="O21" s="298"/>
      <c r="P21" s="298"/>
      <c r="Q21" s="298"/>
      <c r="R21" s="298"/>
      <c r="S21" s="298"/>
      <c r="T21" s="298"/>
      <c r="U21" s="367"/>
      <c r="V21" s="355"/>
      <c r="W21" s="325"/>
      <c r="X21" s="297"/>
      <c r="Y21" s="297"/>
      <c r="Z21" s="298"/>
      <c r="AA21" s="298"/>
      <c r="AB21" s="298"/>
      <c r="AC21" s="297"/>
      <c r="AD21" s="375"/>
      <c r="AE21" s="355"/>
      <c r="AF21" s="376">
        <f t="shared" si="0"/>
        <v>0</v>
      </c>
      <c r="AG21" s="377"/>
      <c r="AH21" s="390"/>
      <c r="AI21" s="391">
        <f t="shared" si="1"/>
        <v>0</v>
      </c>
      <c r="AJ21" s="392"/>
      <c r="AK21" s="393">
        <f t="shared" si="2"/>
        <v>0</v>
      </c>
      <c r="AL21" s="394"/>
      <c r="AM21" s="54"/>
      <c r="AN21" s="394"/>
    </row>
    <row r="22" spans="1:40" s="283" customFormat="1" ht="21" thickBot="1">
      <c r="A22" s="294" t="s">
        <v>110</v>
      </c>
      <c r="B22" s="299"/>
      <c r="C22" s="299"/>
      <c r="D22" s="1070"/>
      <c r="E22" s="457"/>
      <c r="F22" s="458"/>
      <c r="G22" s="458"/>
      <c r="H22" s="459"/>
      <c r="I22" s="459"/>
      <c r="J22" s="458"/>
      <c r="K22" s="1085"/>
      <c r="L22" s="761"/>
      <c r="M22" s="1082"/>
      <c r="N22" s="343"/>
      <c r="O22" s="298"/>
      <c r="P22" s="298"/>
      <c r="Q22" s="298"/>
      <c r="R22" s="298"/>
      <c r="S22" s="298"/>
      <c r="T22" s="298"/>
      <c r="U22" s="367"/>
      <c r="V22" s="355"/>
      <c r="W22" s="325"/>
      <c r="X22" s="297"/>
      <c r="Y22" s="297"/>
      <c r="Z22" s="298"/>
      <c r="AA22" s="298"/>
      <c r="AB22" s="298"/>
      <c r="AC22" s="297"/>
      <c r="AD22" s="375"/>
      <c r="AE22" s="355"/>
      <c r="AF22" s="376">
        <f t="shared" si="0"/>
        <v>0</v>
      </c>
      <c r="AG22" s="377"/>
      <c r="AH22" s="390"/>
      <c r="AI22" s="391">
        <f t="shared" si="1"/>
        <v>0</v>
      </c>
      <c r="AJ22" s="392"/>
      <c r="AK22" s="393">
        <f t="shared" si="2"/>
        <v>0</v>
      </c>
      <c r="AL22" s="394"/>
      <c r="AM22" s="54"/>
      <c r="AN22" s="394"/>
    </row>
    <row r="23" spans="1:40" s="283" customFormat="1" ht="21" thickBot="1">
      <c r="A23" s="294" t="s">
        <v>110</v>
      </c>
      <c r="B23" s="299"/>
      <c r="C23" s="299"/>
      <c r="D23" s="1070"/>
      <c r="E23" s="457"/>
      <c r="F23" s="458"/>
      <c r="G23" s="458"/>
      <c r="H23" s="459"/>
      <c r="I23" s="459"/>
      <c r="J23" s="458"/>
      <c r="K23" s="1085"/>
      <c r="L23" s="761"/>
      <c r="M23" s="1082"/>
      <c r="N23" s="343"/>
      <c r="O23" s="298"/>
      <c r="P23" s="298"/>
      <c r="Q23" s="298"/>
      <c r="R23" s="298"/>
      <c r="S23" s="298"/>
      <c r="T23" s="298"/>
      <c r="U23" s="367"/>
      <c r="V23" s="355"/>
      <c r="W23" s="325"/>
      <c r="X23" s="297"/>
      <c r="Y23" s="297"/>
      <c r="Z23" s="298"/>
      <c r="AA23" s="298"/>
      <c r="AB23" s="298"/>
      <c r="AC23" s="297"/>
      <c r="AD23" s="375"/>
      <c r="AE23" s="355"/>
      <c r="AF23" s="376">
        <f t="shared" si="0"/>
        <v>0</v>
      </c>
      <c r="AG23" s="377"/>
      <c r="AH23" s="390"/>
      <c r="AI23" s="391">
        <f t="shared" si="1"/>
        <v>0</v>
      </c>
      <c r="AJ23" s="392"/>
      <c r="AK23" s="393">
        <f t="shared" si="2"/>
        <v>0</v>
      </c>
      <c r="AL23" s="394"/>
      <c r="AM23" s="54"/>
      <c r="AN23" s="394"/>
    </row>
    <row r="24" spans="1:40" s="283" customFormat="1" ht="21" thickBot="1">
      <c r="A24" s="294" t="s">
        <v>110</v>
      </c>
      <c r="B24" s="299"/>
      <c r="C24" s="299"/>
      <c r="D24" s="1070"/>
      <c r="E24" s="457"/>
      <c r="F24" s="458"/>
      <c r="G24" s="458"/>
      <c r="H24" s="459"/>
      <c r="I24" s="459"/>
      <c r="J24" s="458"/>
      <c r="K24" s="1085"/>
      <c r="L24" s="761"/>
      <c r="M24" s="1082"/>
      <c r="N24" s="343"/>
      <c r="O24" s="298"/>
      <c r="P24" s="298"/>
      <c r="Q24" s="298"/>
      <c r="R24" s="298"/>
      <c r="S24" s="298"/>
      <c r="T24" s="298"/>
      <c r="U24" s="367"/>
      <c r="V24" s="355"/>
      <c r="W24" s="325"/>
      <c r="X24" s="297"/>
      <c r="Y24" s="297"/>
      <c r="Z24" s="298"/>
      <c r="AA24" s="298"/>
      <c r="AB24" s="298"/>
      <c r="AC24" s="297"/>
      <c r="AD24" s="375"/>
      <c r="AE24" s="355"/>
      <c r="AF24" s="376">
        <f t="shared" ref="AF24:AF29" si="3">SUM(E24:AD24)</f>
        <v>0</v>
      </c>
      <c r="AG24" s="377"/>
      <c r="AH24" s="390"/>
      <c r="AI24" s="391">
        <f t="shared" ref="AI24:AI29" si="4">AF24+AG24</f>
        <v>0</v>
      </c>
      <c r="AJ24" s="392"/>
      <c r="AK24" s="393">
        <f t="shared" ref="AK24:AK29" si="5">AI24+AJ24</f>
        <v>0</v>
      </c>
      <c r="AL24" s="394"/>
      <c r="AM24" s="54"/>
      <c r="AN24" s="394"/>
    </row>
    <row r="25" spans="1:40" s="283" customFormat="1" ht="21" thickBot="1">
      <c r="A25" s="294" t="s">
        <v>110</v>
      </c>
      <c r="B25" s="299"/>
      <c r="C25" s="299"/>
      <c r="D25" s="1070"/>
      <c r="E25" s="457"/>
      <c r="F25" s="458"/>
      <c r="G25" s="458"/>
      <c r="H25" s="459"/>
      <c r="I25" s="459"/>
      <c r="J25" s="458"/>
      <c r="K25" s="1085"/>
      <c r="L25" s="761"/>
      <c r="M25" s="1082"/>
      <c r="N25" s="343"/>
      <c r="O25" s="298"/>
      <c r="P25" s="298"/>
      <c r="Q25" s="298"/>
      <c r="R25" s="298"/>
      <c r="S25" s="298"/>
      <c r="T25" s="298"/>
      <c r="U25" s="367"/>
      <c r="V25" s="355"/>
      <c r="W25" s="325"/>
      <c r="X25" s="297"/>
      <c r="Y25" s="297"/>
      <c r="Z25" s="298"/>
      <c r="AA25" s="298"/>
      <c r="AB25" s="298"/>
      <c r="AC25" s="297"/>
      <c r="AD25" s="375"/>
      <c r="AE25" s="355"/>
      <c r="AF25" s="376">
        <f t="shared" si="3"/>
        <v>0</v>
      </c>
      <c r="AG25" s="377"/>
      <c r="AH25" s="390"/>
      <c r="AI25" s="391">
        <f t="shared" si="4"/>
        <v>0</v>
      </c>
      <c r="AJ25" s="392"/>
      <c r="AK25" s="393">
        <f t="shared" si="5"/>
        <v>0</v>
      </c>
      <c r="AL25" s="394"/>
      <c r="AM25" s="54"/>
      <c r="AN25" s="394"/>
    </row>
    <row r="26" spans="1:40" s="283" customFormat="1" ht="21" thickBot="1">
      <c r="A26" s="294" t="s">
        <v>110</v>
      </c>
      <c r="B26" s="299"/>
      <c r="C26" s="299"/>
      <c r="D26" s="1070"/>
      <c r="E26" s="457"/>
      <c r="F26" s="458"/>
      <c r="G26" s="458"/>
      <c r="H26" s="459"/>
      <c r="I26" s="459"/>
      <c r="J26" s="458"/>
      <c r="K26" s="1085"/>
      <c r="L26" s="761"/>
      <c r="M26" s="1082"/>
      <c r="N26" s="343"/>
      <c r="O26" s="298"/>
      <c r="P26" s="298"/>
      <c r="Q26" s="298"/>
      <c r="R26" s="298"/>
      <c r="S26" s="298"/>
      <c r="T26" s="298"/>
      <c r="U26" s="367"/>
      <c r="V26" s="355"/>
      <c r="W26" s="325"/>
      <c r="X26" s="297"/>
      <c r="Y26" s="297"/>
      <c r="Z26" s="298"/>
      <c r="AA26" s="298"/>
      <c r="AB26" s="298"/>
      <c r="AC26" s="297"/>
      <c r="AD26" s="375"/>
      <c r="AE26" s="355"/>
      <c r="AF26" s="376">
        <f t="shared" ref="AF26:AF27" si="6">SUM(E26:AD26)</f>
        <v>0</v>
      </c>
      <c r="AG26" s="377"/>
      <c r="AH26" s="390"/>
      <c r="AI26" s="391">
        <f t="shared" ref="AI26:AI27" si="7">AF26+AG26</f>
        <v>0</v>
      </c>
      <c r="AJ26" s="392"/>
      <c r="AK26" s="393">
        <f t="shared" ref="AK26:AK27" si="8">AI26+AJ26</f>
        <v>0</v>
      </c>
      <c r="AL26" s="394"/>
      <c r="AM26" s="54"/>
      <c r="AN26" s="394"/>
    </row>
    <row r="27" spans="1:40" s="283" customFormat="1" ht="21" thickBot="1">
      <c r="A27" s="294" t="s">
        <v>110</v>
      </c>
      <c r="B27" s="299"/>
      <c r="C27" s="299"/>
      <c r="D27" s="1070"/>
      <c r="E27" s="457"/>
      <c r="F27" s="458"/>
      <c r="G27" s="458"/>
      <c r="H27" s="459"/>
      <c r="I27" s="459"/>
      <c r="J27" s="458"/>
      <c r="K27" s="1085"/>
      <c r="L27" s="761"/>
      <c r="M27" s="1082"/>
      <c r="N27" s="343"/>
      <c r="O27" s="298"/>
      <c r="P27" s="298"/>
      <c r="Q27" s="298"/>
      <c r="R27" s="298"/>
      <c r="S27" s="298"/>
      <c r="T27" s="298"/>
      <c r="U27" s="367"/>
      <c r="V27" s="355"/>
      <c r="W27" s="325"/>
      <c r="X27" s="297"/>
      <c r="Y27" s="297"/>
      <c r="Z27" s="298"/>
      <c r="AA27" s="298"/>
      <c r="AB27" s="298"/>
      <c r="AC27" s="297"/>
      <c r="AD27" s="375"/>
      <c r="AE27" s="355"/>
      <c r="AF27" s="376">
        <f t="shared" si="6"/>
        <v>0</v>
      </c>
      <c r="AG27" s="377"/>
      <c r="AH27" s="390"/>
      <c r="AI27" s="391">
        <f t="shared" si="7"/>
        <v>0</v>
      </c>
      <c r="AJ27" s="392"/>
      <c r="AK27" s="393">
        <f t="shared" si="8"/>
        <v>0</v>
      </c>
      <c r="AL27" s="396" t="s">
        <v>8</v>
      </c>
      <c r="AM27" s="397" t="s">
        <v>23</v>
      </c>
      <c r="AN27" s="398" t="s">
        <v>174</v>
      </c>
    </row>
    <row r="28" spans="1:40" s="284" customFormat="1" ht="21" thickBot="1">
      <c r="A28" s="294" t="s">
        <v>110</v>
      </c>
      <c r="B28" s="299"/>
      <c r="C28" s="299"/>
      <c r="D28" s="1070"/>
      <c r="E28" s="457"/>
      <c r="F28" s="458"/>
      <c r="G28" s="458"/>
      <c r="H28" s="459"/>
      <c r="I28" s="459"/>
      <c r="J28" s="458"/>
      <c r="K28" s="1085"/>
      <c r="L28" s="761"/>
      <c r="M28" s="1082"/>
      <c r="N28" s="343"/>
      <c r="O28" s="298"/>
      <c r="P28" s="298"/>
      <c r="Q28" s="298"/>
      <c r="R28" s="298"/>
      <c r="S28" s="298"/>
      <c r="T28" s="298"/>
      <c r="U28" s="367"/>
      <c r="V28" s="355"/>
      <c r="W28" s="325"/>
      <c r="X28" s="297"/>
      <c r="Y28" s="297"/>
      <c r="Z28" s="298"/>
      <c r="AA28" s="298"/>
      <c r="AB28" s="298"/>
      <c r="AC28" s="297"/>
      <c r="AD28" s="375"/>
      <c r="AE28" s="355"/>
      <c r="AF28" s="376">
        <f t="shared" si="3"/>
        <v>0</v>
      </c>
      <c r="AG28" s="377"/>
      <c r="AH28" s="390"/>
      <c r="AI28" s="391">
        <f t="shared" si="4"/>
        <v>0</v>
      </c>
      <c r="AJ28" s="392"/>
      <c r="AK28" s="393">
        <f t="shared" si="5"/>
        <v>0</v>
      </c>
      <c r="AL28" s="399">
        <f>'BIG CHAIR'!CL36</f>
        <v>0</v>
      </c>
      <c r="AM28" s="400">
        <f>'Tea Table'!X29</f>
        <v>0</v>
      </c>
      <c r="AN28" s="401">
        <f>AI32+AL28+AM28</f>
        <v>2329</v>
      </c>
    </row>
    <row r="29" spans="1:40" s="284" customFormat="1" ht="21" thickBot="1">
      <c r="A29" s="294" t="s">
        <v>110</v>
      </c>
      <c r="B29" s="299"/>
      <c r="C29" s="299"/>
      <c r="D29" s="1070"/>
      <c r="E29" s="457"/>
      <c r="F29" s="458"/>
      <c r="G29" s="458"/>
      <c r="H29" s="459"/>
      <c r="I29" s="459"/>
      <c r="J29" s="458"/>
      <c r="K29" s="1085"/>
      <c r="L29" s="761"/>
      <c r="M29" s="1082"/>
      <c r="N29" s="343"/>
      <c r="O29" s="298"/>
      <c r="P29" s="298"/>
      <c r="Q29" s="298"/>
      <c r="R29" s="298"/>
      <c r="S29" s="298"/>
      <c r="T29" s="298"/>
      <c r="U29" s="367"/>
      <c r="V29" s="355"/>
      <c r="W29" s="325"/>
      <c r="X29" s="297"/>
      <c r="Y29" s="297"/>
      <c r="Z29" s="298"/>
      <c r="AA29" s="298"/>
      <c r="AB29" s="298"/>
      <c r="AC29" s="297"/>
      <c r="AD29" s="375"/>
      <c r="AE29" s="355"/>
      <c r="AF29" s="376">
        <f t="shared" si="3"/>
        <v>0</v>
      </c>
      <c r="AG29" s="377"/>
      <c r="AH29" s="390"/>
      <c r="AI29" s="391">
        <f t="shared" si="4"/>
        <v>0</v>
      </c>
      <c r="AJ29" s="392"/>
      <c r="AK29" s="393">
        <f t="shared" si="5"/>
        <v>0</v>
      </c>
      <c r="AL29" s="403"/>
      <c r="AM29" s="403"/>
      <c r="AN29" s="403"/>
    </row>
    <row r="30" spans="1:40" s="282" customFormat="1" ht="21" thickBot="1">
      <c r="A30" s="294" t="s">
        <v>110</v>
      </c>
      <c r="B30" s="299"/>
      <c r="C30" s="299"/>
      <c r="D30" s="1070"/>
      <c r="E30" s="457"/>
      <c r="F30" s="458"/>
      <c r="G30" s="458"/>
      <c r="H30" s="459"/>
      <c r="I30" s="459"/>
      <c r="J30" s="458"/>
      <c r="K30" s="1085"/>
      <c r="L30" s="761"/>
      <c r="M30" s="1082"/>
      <c r="N30" s="343"/>
      <c r="O30" s="298"/>
      <c r="P30" s="298"/>
      <c r="Q30" s="298"/>
      <c r="R30" s="298"/>
      <c r="S30" s="298"/>
      <c r="T30" s="298"/>
      <c r="U30" s="367"/>
      <c r="V30" s="355"/>
      <c r="W30" s="325"/>
      <c r="X30" s="297"/>
      <c r="Y30" s="297"/>
      <c r="Z30" s="298"/>
      <c r="AA30" s="298"/>
      <c r="AB30" s="298"/>
      <c r="AC30" s="297"/>
      <c r="AD30" s="375"/>
      <c r="AE30" s="355"/>
      <c r="AF30" s="376">
        <f t="shared" ref="AF30" si="9">SUM(E30:AD30)</f>
        <v>0</v>
      </c>
      <c r="AG30" s="377"/>
      <c r="AH30" s="390"/>
      <c r="AI30" s="391">
        <f t="shared" ref="AI30" si="10">AF30+AG30</f>
        <v>0</v>
      </c>
      <c r="AJ30" s="392"/>
      <c r="AK30" s="393">
        <f t="shared" ref="AK30" si="11">AI30+AJ30</f>
        <v>0</v>
      </c>
    </row>
    <row r="31" spans="1:40" s="234" customFormat="1" ht="21" thickBot="1">
      <c r="A31" s="294" t="s">
        <v>110</v>
      </c>
      <c r="B31" s="299"/>
      <c r="C31" s="299"/>
      <c r="D31" s="462"/>
      <c r="E31" s="325"/>
      <c r="F31" s="297"/>
      <c r="G31" s="297"/>
      <c r="H31" s="298"/>
      <c r="I31" s="298"/>
      <c r="J31" s="297"/>
      <c r="K31" s="1086"/>
      <c r="L31" s="367"/>
      <c r="M31" s="1082"/>
      <c r="N31" s="343"/>
      <c r="O31" s="298"/>
      <c r="P31" s="298"/>
      <c r="Q31" s="298"/>
      <c r="R31" s="298"/>
      <c r="S31" s="298"/>
      <c r="T31" s="298"/>
      <c r="U31" s="367"/>
      <c r="V31" s="355"/>
      <c r="W31" s="325"/>
      <c r="X31" s="297"/>
      <c r="Y31" s="297"/>
      <c r="Z31" s="298"/>
      <c r="AA31" s="298"/>
      <c r="AB31" s="298"/>
      <c r="AC31" s="297"/>
      <c r="AD31" s="375"/>
      <c r="AE31" s="355"/>
      <c r="AF31" s="376">
        <f t="shared" si="0"/>
        <v>0</v>
      </c>
      <c r="AG31" s="377"/>
      <c r="AH31" s="390"/>
      <c r="AI31" s="391">
        <f t="shared" si="1"/>
        <v>0</v>
      </c>
      <c r="AJ31" s="392"/>
      <c r="AK31" s="395">
        <f t="shared" si="2"/>
        <v>0</v>
      </c>
    </row>
    <row r="32" spans="1:40" s="234" customFormat="1" ht="19.5" thickBot="1">
      <c r="A32" s="302" t="s">
        <v>175</v>
      </c>
      <c r="B32" s="303"/>
      <c r="C32" s="303"/>
      <c r="D32" s="1071"/>
      <c r="E32" s="305">
        <f t="shared" ref="E32:AK32" si="12">SUM(E5:E31)</f>
        <v>0</v>
      </c>
      <c r="F32" s="1072">
        <f t="shared" si="12"/>
        <v>0</v>
      </c>
      <c r="G32" s="1072">
        <f t="shared" si="12"/>
        <v>0</v>
      </c>
      <c r="H32" s="1072">
        <f t="shared" si="12"/>
        <v>0</v>
      </c>
      <c r="I32" s="1072">
        <f t="shared" si="12"/>
        <v>0</v>
      </c>
      <c r="J32" s="1072">
        <f t="shared" si="12"/>
        <v>0</v>
      </c>
      <c r="K32" s="1072">
        <f t="shared" si="12"/>
        <v>360</v>
      </c>
      <c r="L32" s="1087">
        <f t="shared" si="12"/>
        <v>0</v>
      </c>
      <c r="M32" s="1088">
        <f t="shared" si="12"/>
        <v>0</v>
      </c>
      <c r="N32" s="305">
        <f t="shared" si="12"/>
        <v>0</v>
      </c>
      <c r="O32" s="305">
        <f t="shared" si="12"/>
        <v>0</v>
      </c>
      <c r="P32" s="305">
        <f t="shared" si="12"/>
        <v>0</v>
      </c>
      <c r="Q32" s="305">
        <f t="shared" si="12"/>
        <v>0</v>
      </c>
      <c r="R32" s="305">
        <f t="shared" si="12"/>
        <v>0</v>
      </c>
      <c r="S32" s="305">
        <f t="shared" si="12"/>
        <v>0</v>
      </c>
      <c r="T32" s="305">
        <f t="shared" si="12"/>
        <v>0</v>
      </c>
      <c r="U32" s="812">
        <f t="shared" si="12"/>
        <v>0</v>
      </c>
      <c r="V32" s="305">
        <f t="shared" si="12"/>
        <v>0</v>
      </c>
      <c r="W32" s="305">
        <f t="shared" si="12"/>
        <v>0</v>
      </c>
      <c r="X32" s="305">
        <f t="shared" si="12"/>
        <v>0</v>
      </c>
      <c r="Y32" s="305">
        <f t="shared" si="12"/>
        <v>660</v>
      </c>
      <c r="Z32" s="305">
        <f t="shared" si="12"/>
        <v>0</v>
      </c>
      <c r="AA32" s="305">
        <f t="shared" si="12"/>
        <v>1300</v>
      </c>
      <c r="AB32" s="305">
        <f t="shared" si="12"/>
        <v>0</v>
      </c>
      <c r="AC32" s="305">
        <f t="shared" si="12"/>
        <v>0</v>
      </c>
      <c r="AD32" s="305">
        <f t="shared" si="12"/>
        <v>0</v>
      </c>
      <c r="AE32" s="305">
        <f t="shared" si="12"/>
        <v>0</v>
      </c>
      <c r="AF32" s="305">
        <f t="shared" si="12"/>
        <v>2320</v>
      </c>
      <c r="AG32" s="305">
        <f t="shared" si="12"/>
        <v>9</v>
      </c>
      <c r="AH32" s="305">
        <f t="shared" si="12"/>
        <v>0</v>
      </c>
      <c r="AI32" s="305">
        <f t="shared" si="12"/>
        <v>2329</v>
      </c>
      <c r="AJ32" s="305">
        <f t="shared" si="12"/>
        <v>16</v>
      </c>
      <c r="AK32" s="305">
        <f t="shared" si="12"/>
        <v>2345</v>
      </c>
    </row>
    <row r="33" spans="1:37" s="234" customFormat="1" ht="19.5" thickBot="1">
      <c r="A33" s="306"/>
      <c r="B33" s="307"/>
      <c r="C33" s="307"/>
      <c r="D33" s="308"/>
      <c r="E33" s="309"/>
      <c r="F33" s="309"/>
      <c r="G33" s="309"/>
      <c r="H33" s="309"/>
      <c r="I33" s="309"/>
      <c r="J33" s="309"/>
      <c r="K33" s="309"/>
      <c r="L33" s="309"/>
      <c r="M33" s="346"/>
      <c r="N33" s="347"/>
      <c r="O33" s="347"/>
      <c r="P33" s="347"/>
      <c r="Q33" s="347"/>
      <c r="R33" s="347"/>
      <c r="S33" s="347"/>
      <c r="T33" s="347"/>
      <c r="U33" s="347"/>
      <c r="V33" s="346"/>
      <c r="W33" s="347"/>
      <c r="X33" s="347"/>
      <c r="Y33" s="347"/>
      <c r="Z33" s="347"/>
      <c r="AA33" s="347"/>
      <c r="AB33" s="347"/>
      <c r="AC33" s="347"/>
      <c r="AD33" s="347"/>
      <c r="AE33" s="346"/>
      <c r="AF33" s="347"/>
      <c r="AG33" s="347"/>
      <c r="AH33" s="347"/>
      <c r="AI33" s="347"/>
      <c r="AJ33" s="347"/>
      <c r="AK33" s="402"/>
    </row>
    <row r="34" spans="1:37" s="234" customFormat="1" ht="24" thickBot="1">
      <c r="A34" s="286" t="s">
        <v>117</v>
      </c>
      <c r="B34" s="287" t="s">
        <v>68</v>
      </c>
      <c r="C34" s="287" t="s">
        <v>69</v>
      </c>
      <c r="D34" s="1073" t="s">
        <v>70</v>
      </c>
      <c r="E34" s="743" t="s">
        <v>88</v>
      </c>
      <c r="F34" s="744" t="s">
        <v>407</v>
      </c>
      <c r="G34" s="744" t="s">
        <v>53</v>
      </c>
      <c r="H34" s="744" t="s">
        <v>170</v>
      </c>
      <c r="I34" s="744" t="s">
        <v>222</v>
      </c>
      <c r="J34" s="744" t="s">
        <v>149</v>
      </c>
      <c r="K34" s="744" t="s">
        <v>206</v>
      </c>
      <c r="L34" s="783" t="s">
        <v>124</v>
      </c>
      <c r="M34" s="1089"/>
      <c r="N34" s="80" t="s">
        <v>96</v>
      </c>
      <c r="O34" s="49" t="s">
        <v>407</v>
      </c>
      <c r="P34" s="49" t="s">
        <v>53</v>
      </c>
      <c r="Q34" s="49" t="s">
        <v>86</v>
      </c>
      <c r="R34" s="49" t="s">
        <v>94</v>
      </c>
      <c r="S34" s="49" t="s">
        <v>85</v>
      </c>
      <c r="T34" s="126" t="s">
        <v>92</v>
      </c>
      <c r="U34" s="171" t="s">
        <v>432</v>
      </c>
      <c r="V34" s="79"/>
      <c r="W34" s="80" t="s">
        <v>88</v>
      </c>
      <c r="X34" s="49"/>
      <c r="Y34" s="49" t="s">
        <v>206</v>
      </c>
      <c r="Z34" s="49"/>
      <c r="AA34" s="49" t="s">
        <v>222</v>
      </c>
      <c r="AB34" s="49"/>
      <c r="AC34" s="126" t="s">
        <v>76</v>
      </c>
      <c r="AD34" s="171"/>
      <c r="AE34" s="370"/>
      <c r="AF34" s="371" t="s">
        <v>172</v>
      </c>
      <c r="AG34" s="372" t="s">
        <v>80</v>
      </c>
      <c r="AH34" s="385"/>
      <c r="AI34" s="386" t="s">
        <v>106</v>
      </c>
      <c r="AJ34" s="385" t="s">
        <v>173</v>
      </c>
      <c r="AK34" s="371" t="s">
        <v>108</v>
      </c>
    </row>
    <row r="35" spans="1:37" s="234" customFormat="1" ht="20.25">
      <c r="A35" s="1180" t="s">
        <v>120</v>
      </c>
      <c r="B35" s="2583"/>
      <c r="C35" s="732"/>
      <c r="D35" s="1066">
        <v>46116</v>
      </c>
      <c r="E35" s="1067"/>
      <c r="F35" s="1068"/>
      <c r="G35" s="1068"/>
      <c r="H35" s="1069"/>
      <c r="I35" s="1069"/>
      <c r="J35" s="1068"/>
      <c r="K35" s="1080"/>
      <c r="L35" s="351"/>
      <c r="M35" s="352"/>
      <c r="N35" s="353"/>
      <c r="O35" s="321"/>
      <c r="P35" s="321"/>
      <c r="Q35" s="321"/>
      <c r="R35" s="321">
        <f>15*20+24*20</f>
        <v>780</v>
      </c>
      <c r="S35" s="321"/>
      <c r="T35" s="321"/>
      <c r="U35" s="351"/>
      <c r="V35" s="352"/>
      <c r="W35" s="319"/>
      <c r="X35" s="320"/>
      <c r="Y35" s="320"/>
      <c r="Z35" s="321"/>
      <c r="AA35" s="321"/>
      <c r="AB35" s="321"/>
      <c r="AC35" s="320"/>
      <c r="AD35" s="380"/>
      <c r="AE35" s="352"/>
      <c r="AF35" s="376">
        <f>SUM(E35:AD35)</f>
        <v>780</v>
      </c>
      <c r="AG35" s="381">
        <f>2+4</f>
        <v>6</v>
      </c>
      <c r="AH35" s="408"/>
      <c r="AI35" s="409">
        <f>AF35+AG35</f>
        <v>786</v>
      </c>
      <c r="AJ35" s="410">
        <f>7+4</f>
        <v>11</v>
      </c>
      <c r="AK35" s="411">
        <f>AI35+AJ35</f>
        <v>797</v>
      </c>
    </row>
    <row r="36" spans="1:37" s="234" customFormat="1" ht="20.25">
      <c r="A36" s="1180" t="s">
        <v>120</v>
      </c>
      <c r="B36" s="727"/>
      <c r="C36" s="728"/>
      <c r="D36" s="1074">
        <v>46117</v>
      </c>
      <c r="E36" s="319"/>
      <c r="F36" s="320"/>
      <c r="G36" s="320"/>
      <c r="H36" s="321"/>
      <c r="I36" s="321"/>
      <c r="J36" s="320"/>
      <c r="K36" s="321"/>
      <c r="L36" s="351"/>
      <c r="M36" s="352"/>
      <c r="N36" s="353"/>
      <c r="O36" s="320"/>
      <c r="P36" s="320"/>
      <c r="Q36" s="321"/>
      <c r="R36" s="321">
        <f>24*20+28*20</f>
        <v>1040</v>
      </c>
      <c r="S36" s="321"/>
      <c r="T36" s="320"/>
      <c r="U36" s="351"/>
      <c r="V36" s="352"/>
      <c r="W36" s="353"/>
      <c r="X36" s="321"/>
      <c r="Y36" s="321"/>
      <c r="Z36" s="321"/>
      <c r="AA36" s="321"/>
      <c r="AB36" s="321"/>
      <c r="AC36" s="321"/>
      <c r="AD36" s="380"/>
      <c r="AE36" s="352"/>
      <c r="AF36" s="376">
        <f t="shared" ref="AF36:AF67" si="13">SUM(E36:AD36)</f>
        <v>1040</v>
      </c>
      <c r="AG36" s="381">
        <f>5+5</f>
        <v>10</v>
      </c>
      <c r="AH36" s="408"/>
      <c r="AI36" s="409">
        <f>AF36+AG36</f>
        <v>1050</v>
      </c>
      <c r="AJ36" s="410">
        <f>5+16</f>
        <v>21</v>
      </c>
      <c r="AK36" s="411">
        <f>AI36+AJ36</f>
        <v>1071</v>
      </c>
    </row>
    <row r="37" spans="1:37" s="234" customFormat="1" ht="20.25">
      <c r="A37" s="1180" t="s">
        <v>120</v>
      </c>
      <c r="B37" s="729"/>
      <c r="C37" s="730"/>
      <c r="D37" s="1074">
        <v>46118</v>
      </c>
      <c r="E37" s="319"/>
      <c r="F37" s="320"/>
      <c r="G37" s="320"/>
      <c r="H37" s="321"/>
      <c r="I37" s="321"/>
      <c r="J37" s="320"/>
      <c r="K37" s="1090"/>
      <c r="L37" s="351"/>
      <c r="M37" s="352"/>
      <c r="N37" s="353"/>
      <c r="O37" s="321"/>
      <c r="P37" s="321">
        <f>6*20+26*20</f>
        <v>640</v>
      </c>
      <c r="Q37" s="321"/>
      <c r="R37" s="321">
        <f>16*20</f>
        <v>320</v>
      </c>
      <c r="S37" s="321"/>
      <c r="T37" s="321"/>
      <c r="U37" s="351"/>
      <c r="V37" s="352"/>
      <c r="W37" s="319"/>
      <c r="X37" s="320"/>
      <c r="Y37" s="320"/>
      <c r="Z37" s="321"/>
      <c r="AA37" s="321"/>
      <c r="AB37" s="321"/>
      <c r="AC37" s="320"/>
      <c r="AD37" s="380"/>
      <c r="AE37" s="352"/>
      <c r="AF37" s="376">
        <f t="shared" si="13"/>
        <v>960</v>
      </c>
      <c r="AG37" s="381">
        <f>3+10</f>
        <v>13</v>
      </c>
      <c r="AH37" s="408"/>
      <c r="AI37" s="409">
        <f>AF37+AG37</f>
        <v>973</v>
      </c>
      <c r="AJ37" s="410">
        <f>13+7+32</f>
        <v>52</v>
      </c>
      <c r="AK37" s="411">
        <f>AI37+AJ37</f>
        <v>1025</v>
      </c>
    </row>
    <row r="38" spans="1:37" s="234" customFormat="1" ht="20.25">
      <c r="A38" s="1180" t="s">
        <v>120</v>
      </c>
      <c r="B38" s="727"/>
      <c r="C38" s="730"/>
      <c r="D38" s="1074">
        <v>46119</v>
      </c>
      <c r="E38" s="319"/>
      <c r="F38" s="320"/>
      <c r="G38" s="320"/>
      <c r="H38" s="321"/>
      <c r="I38" s="321"/>
      <c r="J38" s="320"/>
      <c r="K38" s="1091"/>
      <c r="L38" s="351"/>
      <c r="M38" s="352"/>
      <c r="N38" s="353"/>
      <c r="O38" s="321"/>
      <c r="P38" s="321">
        <f>27*20+29*20</f>
        <v>1120</v>
      </c>
      <c r="Q38" s="321"/>
      <c r="R38" s="321"/>
      <c r="S38" s="321"/>
      <c r="T38" s="321"/>
      <c r="U38" s="351"/>
      <c r="V38" s="352"/>
      <c r="W38" s="319"/>
      <c r="X38" s="320"/>
      <c r="Y38" s="320"/>
      <c r="Z38" s="321"/>
      <c r="AA38" s="321"/>
      <c r="AB38" s="321"/>
      <c r="AC38" s="320"/>
      <c r="AD38" s="380"/>
      <c r="AE38" s="352"/>
      <c r="AF38" s="376">
        <f t="shared" si="13"/>
        <v>1120</v>
      </c>
      <c r="AG38" s="381"/>
      <c r="AH38" s="408"/>
      <c r="AI38" s="409">
        <f>AF38+AG38</f>
        <v>1120</v>
      </c>
      <c r="AJ38" s="410">
        <f>9+24</f>
        <v>33</v>
      </c>
      <c r="AK38" s="411">
        <f>AI38+AJ38</f>
        <v>1153</v>
      </c>
    </row>
    <row r="39" spans="1:37" s="234" customFormat="1" ht="20.25">
      <c r="A39" s="1180" t="s">
        <v>120</v>
      </c>
      <c r="B39" s="729"/>
      <c r="C39" s="730"/>
      <c r="D39" s="1074">
        <v>46120</v>
      </c>
      <c r="E39" s="319"/>
      <c r="F39" s="320"/>
      <c r="G39" s="320"/>
      <c r="H39" s="321"/>
      <c r="I39" s="321"/>
      <c r="J39" s="320"/>
      <c r="K39" s="1090"/>
      <c r="L39" s="351"/>
      <c r="M39" s="352"/>
      <c r="N39" s="353"/>
      <c r="O39" s="321"/>
      <c r="P39" s="321">
        <f>23*20+22*20</f>
        <v>900</v>
      </c>
      <c r="Q39" s="321"/>
      <c r="R39" s="321"/>
      <c r="S39" s="321"/>
      <c r="T39" s="321"/>
      <c r="U39" s="351"/>
      <c r="V39" s="352"/>
      <c r="W39" s="319"/>
      <c r="X39" s="320"/>
      <c r="Y39" s="320"/>
      <c r="Z39" s="321"/>
      <c r="AA39" s="321"/>
      <c r="AB39" s="321"/>
      <c r="AC39" s="320"/>
      <c r="AD39" s="380"/>
      <c r="AE39" s="352"/>
      <c r="AF39" s="376">
        <f t="shared" si="13"/>
        <v>900</v>
      </c>
      <c r="AG39" s="381"/>
      <c r="AH39" s="408"/>
      <c r="AI39" s="409">
        <f>AF39+AG39</f>
        <v>900</v>
      </c>
      <c r="AJ39" s="410">
        <f>25+38</f>
        <v>63</v>
      </c>
      <c r="AK39" s="411">
        <f>AI39+AJ39</f>
        <v>963</v>
      </c>
    </row>
    <row r="40" spans="1:37" s="234" customFormat="1" ht="20.25">
      <c r="A40" s="1180" t="s">
        <v>120</v>
      </c>
      <c r="B40" s="729"/>
      <c r="C40" s="730"/>
      <c r="D40" s="1074">
        <v>46125</v>
      </c>
      <c r="E40" s="319"/>
      <c r="F40" s="320"/>
      <c r="G40" s="320"/>
      <c r="H40" s="321"/>
      <c r="I40" s="321"/>
      <c r="J40" s="320"/>
      <c r="K40" s="1090"/>
      <c r="L40" s="351"/>
      <c r="M40" s="352"/>
      <c r="N40" s="353"/>
      <c r="O40" s="321"/>
      <c r="P40" s="321"/>
      <c r="Q40" s="321"/>
      <c r="R40" s="321">
        <f>29*20</f>
        <v>580</v>
      </c>
      <c r="S40" s="321"/>
      <c r="T40" s="321"/>
      <c r="U40" s="351"/>
      <c r="V40" s="352"/>
      <c r="W40" s="319"/>
      <c r="X40" s="320"/>
      <c r="Y40" s="320"/>
      <c r="Z40" s="321"/>
      <c r="AA40" s="321"/>
      <c r="AB40" s="321"/>
      <c r="AC40" s="320"/>
      <c r="AD40" s="380"/>
      <c r="AE40" s="352"/>
      <c r="AF40" s="376">
        <f t="shared" si="13"/>
        <v>580</v>
      </c>
      <c r="AG40" s="381">
        <v>12</v>
      </c>
      <c r="AH40" s="408"/>
      <c r="AI40" s="409">
        <f t="shared" ref="AI40:AI67" si="14">AF40+AG40</f>
        <v>592</v>
      </c>
      <c r="AJ40" s="410">
        <v>30</v>
      </c>
      <c r="AK40" s="411">
        <f t="shared" ref="AK40:AK67" si="15">AI40+AJ40</f>
        <v>622</v>
      </c>
    </row>
    <row r="41" spans="1:37" s="234" customFormat="1" ht="20.25">
      <c r="A41" s="1180" t="s">
        <v>120</v>
      </c>
      <c r="B41" s="729"/>
      <c r="C41" s="730"/>
      <c r="D41" s="1074">
        <v>46126</v>
      </c>
      <c r="E41" s="319"/>
      <c r="F41" s="320"/>
      <c r="G41" s="320"/>
      <c r="H41" s="321"/>
      <c r="I41" s="321"/>
      <c r="J41" s="320"/>
      <c r="K41" s="1090"/>
      <c r="L41" s="351"/>
      <c r="M41" s="352"/>
      <c r="N41" s="353"/>
      <c r="O41" s="321"/>
      <c r="P41" s="321"/>
      <c r="Q41" s="321"/>
      <c r="R41" s="321">
        <f>9*20</f>
        <v>180</v>
      </c>
      <c r="S41" s="321"/>
      <c r="T41" s="321"/>
      <c r="U41" s="351"/>
      <c r="V41" s="352"/>
      <c r="W41" s="319"/>
      <c r="X41" s="320"/>
      <c r="Y41" s="320"/>
      <c r="Z41" s="321"/>
      <c r="AA41" s="321"/>
      <c r="AB41" s="321"/>
      <c r="AC41" s="320"/>
      <c r="AD41" s="380"/>
      <c r="AE41" s="352"/>
      <c r="AF41" s="376">
        <f t="shared" si="13"/>
        <v>180</v>
      </c>
      <c r="AG41" s="381"/>
      <c r="AH41" s="408"/>
      <c r="AI41" s="409">
        <f t="shared" si="14"/>
        <v>180</v>
      </c>
      <c r="AJ41" s="410">
        <v>18</v>
      </c>
      <c r="AK41" s="411">
        <f t="shared" si="15"/>
        <v>198</v>
      </c>
    </row>
    <row r="42" spans="1:37" s="234" customFormat="1" ht="20.25">
      <c r="A42" s="1180" t="s">
        <v>120</v>
      </c>
      <c r="B42" s="729"/>
      <c r="C42" s="730"/>
      <c r="D42" s="1074"/>
      <c r="E42" s="319"/>
      <c r="F42" s="320"/>
      <c r="G42" s="320"/>
      <c r="H42" s="321"/>
      <c r="I42" s="321"/>
      <c r="J42" s="320"/>
      <c r="K42" s="1090"/>
      <c r="L42" s="351"/>
      <c r="M42" s="352"/>
      <c r="N42" s="353"/>
      <c r="O42" s="321"/>
      <c r="P42" s="321"/>
      <c r="Q42" s="321"/>
      <c r="R42" s="321"/>
      <c r="S42" s="321"/>
      <c r="T42" s="321"/>
      <c r="U42" s="351"/>
      <c r="V42" s="352"/>
      <c r="W42" s="319"/>
      <c r="X42" s="320"/>
      <c r="Y42" s="320"/>
      <c r="Z42" s="321"/>
      <c r="AA42" s="321"/>
      <c r="AB42" s="321"/>
      <c r="AC42" s="320"/>
      <c r="AD42" s="380"/>
      <c r="AE42" s="352"/>
      <c r="AF42" s="376">
        <f t="shared" si="13"/>
        <v>0</v>
      </c>
      <c r="AG42" s="381"/>
      <c r="AH42" s="408"/>
      <c r="AI42" s="409">
        <f t="shared" si="14"/>
        <v>0</v>
      </c>
      <c r="AJ42" s="410"/>
      <c r="AK42" s="411">
        <f t="shared" si="15"/>
        <v>0</v>
      </c>
    </row>
    <row r="43" spans="1:37" s="234" customFormat="1" ht="20.25">
      <c r="A43" s="1180" t="s">
        <v>120</v>
      </c>
      <c r="B43" s="729"/>
      <c r="C43" s="730"/>
      <c r="D43" s="1074"/>
      <c r="E43" s="319"/>
      <c r="F43" s="320"/>
      <c r="G43" s="320"/>
      <c r="H43" s="321"/>
      <c r="I43" s="321"/>
      <c r="J43" s="320"/>
      <c r="K43" s="1090"/>
      <c r="L43" s="351"/>
      <c r="M43" s="352"/>
      <c r="N43" s="353"/>
      <c r="O43" s="321"/>
      <c r="P43" s="321"/>
      <c r="Q43" s="321"/>
      <c r="R43" s="321"/>
      <c r="S43" s="321"/>
      <c r="T43" s="321"/>
      <c r="U43" s="351"/>
      <c r="V43" s="352"/>
      <c r="W43" s="319"/>
      <c r="X43" s="320"/>
      <c r="Y43" s="320"/>
      <c r="Z43" s="321"/>
      <c r="AA43" s="321"/>
      <c r="AB43" s="321"/>
      <c r="AC43" s="320"/>
      <c r="AD43" s="380"/>
      <c r="AE43" s="352"/>
      <c r="AF43" s="376">
        <f t="shared" si="13"/>
        <v>0</v>
      </c>
      <c r="AG43" s="381"/>
      <c r="AH43" s="408"/>
      <c r="AI43" s="409">
        <f t="shared" si="14"/>
        <v>0</v>
      </c>
      <c r="AJ43" s="410"/>
      <c r="AK43" s="411">
        <f t="shared" si="15"/>
        <v>0</v>
      </c>
    </row>
    <row r="44" spans="1:37" s="234" customFormat="1" ht="20.25">
      <c r="A44" s="1180" t="s">
        <v>120</v>
      </c>
      <c r="B44" s="729"/>
      <c r="C44" s="730"/>
      <c r="D44" s="1074"/>
      <c r="E44" s="319"/>
      <c r="F44" s="320"/>
      <c r="G44" s="320"/>
      <c r="H44" s="321"/>
      <c r="I44" s="321"/>
      <c r="J44" s="320"/>
      <c r="K44" s="1090"/>
      <c r="L44" s="351"/>
      <c r="M44" s="352"/>
      <c r="N44" s="353"/>
      <c r="O44" s="321"/>
      <c r="P44" s="321"/>
      <c r="Q44" s="321"/>
      <c r="R44" s="321"/>
      <c r="S44" s="321"/>
      <c r="T44" s="321"/>
      <c r="U44" s="351"/>
      <c r="V44" s="352"/>
      <c r="W44" s="319"/>
      <c r="X44" s="320"/>
      <c r="Y44" s="320"/>
      <c r="Z44" s="321"/>
      <c r="AA44" s="321"/>
      <c r="AB44" s="321"/>
      <c r="AC44" s="320"/>
      <c r="AD44" s="380"/>
      <c r="AE44" s="352"/>
      <c r="AF44" s="376">
        <f t="shared" si="13"/>
        <v>0</v>
      </c>
      <c r="AG44" s="381"/>
      <c r="AH44" s="408"/>
      <c r="AI44" s="409">
        <f t="shared" si="14"/>
        <v>0</v>
      </c>
      <c r="AJ44" s="410"/>
      <c r="AK44" s="411">
        <f t="shared" si="15"/>
        <v>0</v>
      </c>
    </row>
    <row r="45" spans="1:37" s="234" customFormat="1" ht="20.25">
      <c r="A45" s="1180" t="s">
        <v>120</v>
      </c>
      <c r="B45" s="729"/>
      <c r="C45" s="730"/>
      <c r="D45" s="1074"/>
      <c r="E45" s="319"/>
      <c r="F45" s="320"/>
      <c r="G45" s="320"/>
      <c r="H45" s="321"/>
      <c r="I45" s="321"/>
      <c r="J45" s="320"/>
      <c r="K45" s="1090"/>
      <c r="L45" s="351"/>
      <c r="M45" s="352"/>
      <c r="N45" s="353"/>
      <c r="O45" s="321"/>
      <c r="P45" s="321"/>
      <c r="Q45" s="321"/>
      <c r="R45" s="321"/>
      <c r="S45" s="321"/>
      <c r="T45" s="321"/>
      <c r="U45" s="351"/>
      <c r="V45" s="352"/>
      <c r="W45" s="319"/>
      <c r="X45" s="320"/>
      <c r="Y45" s="320"/>
      <c r="Z45" s="321"/>
      <c r="AA45" s="321"/>
      <c r="AB45" s="321"/>
      <c r="AC45" s="320"/>
      <c r="AD45" s="380"/>
      <c r="AE45" s="352"/>
      <c r="AF45" s="376">
        <f t="shared" si="13"/>
        <v>0</v>
      </c>
      <c r="AG45" s="381"/>
      <c r="AH45" s="408"/>
      <c r="AI45" s="409">
        <f t="shared" si="14"/>
        <v>0</v>
      </c>
      <c r="AJ45" s="410"/>
      <c r="AK45" s="411">
        <f t="shared" si="15"/>
        <v>0</v>
      </c>
    </row>
    <row r="46" spans="1:37" s="234" customFormat="1" ht="20.25">
      <c r="A46" s="1180" t="s">
        <v>120</v>
      </c>
      <c r="B46" s="729"/>
      <c r="C46" s="730"/>
      <c r="D46" s="1074"/>
      <c r="E46" s="319"/>
      <c r="F46" s="320"/>
      <c r="G46" s="320"/>
      <c r="H46" s="321"/>
      <c r="I46" s="321"/>
      <c r="J46" s="320"/>
      <c r="K46" s="1090"/>
      <c r="L46" s="351"/>
      <c r="M46" s="352"/>
      <c r="N46" s="353"/>
      <c r="O46" s="321"/>
      <c r="P46" s="321"/>
      <c r="Q46" s="321"/>
      <c r="R46" s="321"/>
      <c r="S46" s="321"/>
      <c r="T46" s="321"/>
      <c r="U46" s="351"/>
      <c r="V46" s="352"/>
      <c r="W46" s="319"/>
      <c r="X46" s="320"/>
      <c r="Y46" s="320"/>
      <c r="Z46" s="321"/>
      <c r="AA46" s="321"/>
      <c r="AB46" s="321"/>
      <c r="AC46" s="320"/>
      <c r="AD46" s="380"/>
      <c r="AE46" s="352"/>
      <c r="AF46" s="376">
        <f t="shared" si="13"/>
        <v>0</v>
      </c>
      <c r="AG46" s="381"/>
      <c r="AH46" s="408"/>
      <c r="AI46" s="409">
        <f t="shared" si="14"/>
        <v>0</v>
      </c>
      <c r="AJ46" s="410"/>
      <c r="AK46" s="411">
        <f t="shared" si="15"/>
        <v>0</v>
      </c>
    </row>
    <row r="47" spans="1:37" s="234" customFormat="1" ht="20.25">
      <c r="A47" s="1180" t="s">
        <v>120</v>
      </c>
      <c r="B47" s="729"/>
      <c r="C47" s="730"/>
      <c r="D47" s="1074"/>
      <c r="E47" s="319"/>
      <c r="F47" s="320"/>
      <c r="G47" s="320"/>
      <c r="H47" s="321"/>
      <c r="I47" s="321"/>
      <c r="J47" s="320"/>
      <c r="K47" s="1090"/>
      <c r="L47" s="351"/>
      <c r="M47" s="352"/>
      <c r="N47" s="353"/>
      <c r="O47" s="321"/>
      <c r="P47" s="321"/>
      <c r="Q47" s="321"/>
      <c r="R47" s="321"/>
      <c r="S47" s="321"/>
      <c r="T47" s="321"/>
      <c r="U47" s="351"/>
      <c r="V47" s="352"/>
      <c r="W47" s="319"/>
      <c r="X47" s="320"/>
      <c r="Y47" s="320"/>
      <c r="Z47" s="321"/>
      <c r="AA47" s="321"/>
      <c r="AB47" s="321"/>
      <c r="AC47" s="320"/>
      <c r="AD47" s="380"/>
      <c r="AE47" s="352"/>
      <c r="AF47" s="376">
        <f t="shared" si="13"/>
        <v>0</v>
      </c>
      <c r="AG47" s="381"/>
      <c r="AH47" s="408"/>
      <c r="AI47" s="409">
        <f t="shared" si="14"/>
        <v>0</v>
      </c>
      <c r="AJ47" s="410"/>
      <c r="AK47" s="411">
        <f t="shared" si="15"/>
        <v>0</v>
      </c>
    </row>
    <row r="48" spans="1:37" s="234" customFormat="1" ht="20.25">
      <c r="A48" s="1180" t="s">
        <v>120</v>
      </c>
      <c r="B48" s="729"/>
      <c r="C48" s="730"/>
      <c r="D48" s="1074"/>
      <c r="E48" s="319"/>
      <c r="F48" s="320"/>
      <c r="G48" s="320"/>
      <c r="H48" s="321"/>
      <c r="I48" s="321"/>
      <c r="J48" s="320"/>
      <c r="K48" s="1090"/>
      <c r="L48" s="351"/>
      <c r="M48" s="352"/>
      <c r="N48" s="353"/>
      <c r="O48" s="321"/>
      <c r="P48" s="321"/>
      <c r="Q48" s="321"/>
      <c r="R48" s="321"/>
      <c r="S48" s="321"/>
      <c r="T48" s="321"/>
      <c r="U48" s="351"/>
      <c r="V48" s="352"/>
      <c r="W48" s="319"/>
      <c r="X48" s="320"/>
      <c r="Y48" s="320"/>
      <c r="Z48" s="321"/>
      <c r="AA48" s="321"/>
      <c r="AB48" s="321"/>
      <c r="AC48" s="320"/>
      <c r="AD48" s="380"/>
      <c r="AE48" s="352"/>
      <c r="AF48" s="376">
        <f t="shared" si="13"/>
        <v>0</v>
      </c>
      <c r="AG48" s="381"/>
      <c r="AH48" s="408"/>
      <c r="AI48" s="409">
        <f t="shared" si="14"/>
        <v>0</v>
      </c>
      <c r="AJ48" s="410"/>
      <c r="AK48" s="411">
        <f t="shared" si="15"/>
        <v>0</v>
      </c>
    </row>
    <row r="49" spans="1:40" s="234" customFormat="1" ht="20.25">
      <c r="A49" s="1180" t="s">
        <v>120</v>
      </c>
      <c r="B49" s="729"/>
      <c r="C49" s="730"/>
      <c r="D49" s="1074"/>
      <c r="E49" s="319"/>
      <c r="F49" s="320"/>
      <c r="G49" s="320"/>
      <c r="H49" s="321"/>
      <c r="I49" s="321"/>
      <c r="J49" s="320"/>
      <c r="K49" s="1090"/>
      <c r="L49" s="351"/>
      <c r="M49" s="352"/>
      <c r="N49" s="353"/>
      <c r="O49" s="321"/>
      <c r="P49" s="321"/>
      <c r="Q49" s="321"/>
      <c r="R49" s="321"/>
      <c r="S49" s="321"/>
      <c r="T49" s="321"/>
      <c r="U49" s="351"/>
      <c r="V49" s="352"/>
      <c r="W49" s="319"/>
      <c r="X49" s="320"/>
      <c r="Y49" s="320"/>
      <c r="Z49" s="321"/>
      <c r="AA49" s="321"/>
      <c r="AB49" s="321"/>
      <c r="AC49" s="320"/>
      <c r="AD49" s="380"/>
      <c r="AE49" s="352"/>
      <c r="AF49" s="376">
        <f t="shared" si="13"/>
        <v>0</v>
      </c>
      <c r="AG49" s="381"/>
      <c r="AH49" s="408"/>
      <c r="AI49" s="409">
        <f t="shared" si="14"/>
        <v>0</v>
      </c>
      <c r="AJ49" s="410"/>
      <c r="AK49" s="411">
        <f t="shared" si="15"/>
        <v>0</v>
      </c>
    </row>
    <row r="50" spans="1:40" s="234" customFormat="1" ht="20.25">
      <c r="A50" s="1180" t="s">
        <v>120</v>
      </c>
      <c r="B50" s="729"/>
      <c r="C50" s="730"/>
      <c r="D50" s="1074"/>
      <c r="E50" s="319"/>
      <c r="F50" s="320"/>
      <c r="G50" s="320"/>
      <c r="H50" s="321"/>
      <c r="I50" s="321"/>
      <c r="J50" s="320"/>
      <c r="K50" s="1090"/>
      <c r="L50" s="351"/>
      <c r="M50" s="352"/>
      <c r="N50" s="353"/>
      <c r="O50" s="321"/>
      <c r="P50" s="321"/>
      <c r="Q50" s="321"/>
      <c r="R50" s="321"/>
      <c r="S50" s="321"/>
      <c r="T50" s="321"/>
      <c r="U50" s="351"/>
      <c r="V50" s="352"/>
      <c r="W50" s="319"/>
      <c r="X50" s="320"/>
      <c r="Y50" s="320"/>
      <c r="Z50" s="321"/>
      <c r="AA50" s="321"/>
      <c r="AB50" s="321"/>
      <c r="AC50" s="320"/>
      <c r="AD50" s="380"/>
      <c r="AE50" s="352"/>
      <c r="AF50" s="376">
        <f t="shared" si="13"/>
        <v>0</v>
      </c>
      <c r="AG50" s="381"/>
      <c r="AH50" s="408"/>
      <c r="AI50" s="409">
        <f t="shared" si="14"/>
        <v>0</v>
      </c>
      <c r="AJ50" s="410"/>
      <c r="AK50" s="411">
        <f t="shared" si="15"/>
        <v>0</v>
      </c>
    </row>
    <row r="51" spans="1:40" s="234" customFormat="1" ht="20.25">
      <c r="A51" s="1180" t="s">
        <v>120</v>
      </c>
      <c r="B51" s="729"/>
      <c r="C51" s="730"/>
      <c r="D51" s="1075"/>
      <c r="E51" s="319"/>
      <c r="F51" s="320"/>
      <c r="G51" s="320"/>
      <c r="H51" s="321"/>
      <c r="I51" s="321"/>
      <c r="J51" s="320"/>
      <c r="K51" s="1090"/>
      <c r="L51" s="351"/>
      <c r="M51" s="352"/>
      <c r="N51" s="353"/>
      <c r="O51" s="321"/>
      <c r="P51" s="321"/>
      <c r="Q51" s="321"/>
      <c r="R51" s="321"/>
      <c r="S51" s="321"/>
      <c r="T51" s="321"/>
      <c r="U51" s="351"/>
      <c r="V51" s="352"/>
      <c r="W51" s="319"/>
      <c r="X51" s="320"/>
      <c r="Y51" s="320"/>
      <c r="Z51" s="321"/>
      <c r="AA51" s="321"/>
      <c r="AB51" s="321"/>
      <c r="AC51" s="320"/>
      <c r="AD51" s="380"/>
      <c r="AE51" s="352"/>
      <c r="AF51" s="376">
        <f t="shared" si="13"/>
        <v>0</v>
      </c>
      <c r="AG51" s="381"/>
      <c r="AH51" s="408"/>
      <c r="AI51" s="409">
        <f t="shared" si="14"/>
        <v>0</v>
      </c>
      <c r="AJ51" s="410"/>
      <c r="AK51" s="411">
        <f t="shared" si="15"/>
        <v>0</v>
      </c>
    </row>
    <row r="52" spans="1:40" s="234" customFormat="1" ht="20.25">
      <c r="A52" s="1180" t="s">
        <v>120</v>
      </c>
      <c r="B52" s="729"/>
      <c r="C52" s="730"/>
      <c r="D52" s="1075"/>
      <c r="E52" s="319"/>
      <c r="F52" s="320"/>
      <c r="G52" s="320"/>
      <c r="H52" s="321"/>
      <c r="I52" s="321"/>
      <c r="J52" s="320"/>
      <c r="K52" s="1090"/>
      <c r="L52" s="351"/>
      <c r="M52" s="352"/>
      <c r="N52" s="353"/>
      <c r="O52" s="321"/>
      <c r="P52" s="321"/>
      <c r="Q52" s="321"/>
      <c r="R52" s="321"/>
      <c r="S52" s="321"/>
      <c r="T52" s="321"/>
      <c r="U52" s="351"/>
      <c r="V52" s="352"/>
      <c r="W52" s="319"/>
      <c r="X52" s="320"/>
      <c r="Y52" s="320"/>
      <c r="Z52" s="321"/>
      <c r="AA52" s="321"/>
      <c r="AB52" s="321"/>
      <c r="AC52" s="320"/>
      <c r="AD52" s="380"/>
      <c r="AE52" s="352"/>
      <c r="AF52" s="376">
        <f t="shared" si="13"/>
        <v>0</v>
      </c>
      <c r="AG52" s="381"/>
      <c r="AH52" s="408"/>
      <c r="AI52" s="409">
        <f t="shared" si="14"/>
        <v>0</v>
      </c>
      <c r="AJ52" s="410"/>
      <c r="AK52" s="411">
        <f t="shared" si="15"/>
        <v>0</v>
      </c>
    </row>
    <row r="53" spans="1:40" s="234" customFormat="1" ht="20.25">
      <c r="A53" s="1180" t="s">
        <v>120</v>
      </c>
      <c r="B53" s="729"/>
      <c r="C53" s="730"/>
      <c r="D53" s="1075"/>
      <c r="E53" s="319"/>
      <c r="F53" s="320"/>
      <c r="G53" s="320"/>
      <c r="H53" s="321"/>
      <c r="I53" s="321"/>
      <c r="J53" s="320"/>
      <c r="K53" s="842"/>
      <c r="L53" s="351"/>
      <c r="M53" s="352"/>
      <c r="N53" s="353"/>
      <c r="O53" s="321"/>
      <c r="P53" s="321"/>
      <c r="Q53" s="321"/>
      <c r="R53" s="321"/>
      <c r="S53" s="321"/>
      <c r="T53" s="321"/>
      <c r="U53" s="351"/>
      <c r="V53" s="352"/>
      <c r="W53" s="319"/>
      <c r="X53" s="320"/>
      <c r="Y53" s="320"/>
      <c r="Z53" s="321"/>
      <c r="AA53" s="321"/>
      <c r="AB53" s="321"/>
      <c r="AC53" s="320"/>
      <c r="AD53" s="380"/>
      <c r="AE53" s="352"/>
      <c r="AF53" s="376">
        <f t="shared" si="13"/>
        <v>0</v>
      </c>
      <c r="AG53" s="381"/>
      <c r="AH53" s="408"/>
      <c r="AI53" s="409">
        <f t="shared" si="14"/>
        <v>0</v>
      </c>
      <c r="AJ53" s="410"/>
      <c r="AK53" s="411">
        <f t="shared" si="15"/>
        <v>0</v>
      </c>
    </row>
    <row r="54" spans="1:40" s="234" customFormat="1" ht="20.25">
      <c r="A54" s="1180" t="s">
        <v>120</v>
      </c>
      <c r="B54" s="729"/>
      <c r="C54" s="730"/>
      <c r="D54" s="1075"/>
      <c r="E54" s="319"/>
      <c r="F54" s="1076"/>
      <c r="G54" s="320"/>
      <c r="H54" s="321"/>
      <c r="I54" s="321"/>
      <c r="J54" s="320"/>
      <c r="K54" s="842"/>
      <c r="L54" s="351"/>
      <c r="M54" s="352"/>
      <c r="N54" s="353"/>
      <c r="O54" s="321"/>
      <c r="P54" s="321"/>
      <c r="Q54" s="321"/>
      <c r="R54" s="321"/>
      <c r="S54" s="321"/>
      <c r="T54" s="321"/>
      <c r="U54" s="351"/>
      <c r="V54" s="352"/>
      <c r="W54" s="319"/>
      <c r="X54" s="320"/>
      <c r="Y54" s="320"/>
      <c r="Z54" s="321"/>
      <c r="AA54" s="321"/>
      <c r="AB54" s="321"/>
      <c r="AC54" s="320"/>
      <c r="AD54" s="380"/>
      <c r="AE54" s="352"/>
      <c r="AF54" s="376">
        <f t="shared" si="13"/>
        <v>0</v>
      </c>
      <c r="AG54" s="381"/>
      <c r="AH54" s="408"/>
      <c r="AI54" s="409">
        <f t="shared" si="14"/>
        <v>0</v>
      </c>
      <c r="AJ54" s="410"/>
      <c r="AK54" s="411">
        <f t="shared" si="15"/>
        <v>0</v>
      </c>
    </row>
    <row r="55" spans="1:40" s="234" customFormat="1" ht="20.25">
      <c r="A55" s="1180" t="s">
        <v>120</v>
      </c>
      <c r="B55" s="729"/>
      <c r="C55" s="730"/>
      <c r="D55" s="1075"/>
      <c r="E55" s="319"/>
      <c r="F55" s="320"/>
      <c r="G55" s="320"/>
      <c r="H55" s="321"/>
      <c r="I55" s="321"/>
      <c r="J55" s="320"/>
      <c r="K55" s="842"/>
      <c r="L55" s="351"/>
      <c r="M55" s="352"/>
      <c r="N55" s="353"/>
      <c r="O55" s="321"/>
      <c r="P55" s="321"/>
      <c r="Q55" s="321"/>
      <c r="R55" s="321"/>
      <c r="S55" s="321"/>
      <c r="T55" s="321"/>
      <c r="U55" s="351"/>
      <c r="V55" s="352"/>
      <c r="W55" s="319"/>
      <c r="X55" s="320"/>
      <c r="Y55" s="320"/>
      <c r="Z55" s="321"/>
      <c r="AA55" s="321"/>
      <c r="AB55" s="321"/>
      <c r="AC55" s="320"/>
      <c r="AD55" s="380"/>
      <c r="AE55" s="352"/>
      <c r="AF55" s="376">
        <f t="shared" si="13"/>
        <v>0</v>
      </c>
      <c r="AG55" s="381"/>
      <c r="AH55" s="408"/>
      <c r="AI55" s="409">
        <f t="shared" si="14"/>
        <v>0</v>
      </c>
      <c r="AJ55" s="410"/>
      <c r="AK55" s="411">
        <f t="shared" si="15"/>
        <v>0</v>
      </c>
    </row>
    <row r="56" spans="1:40" s="234" customFormat="1" ht="20.25">
      <c r="A56" s="1180" t="s">
        <v>120</v>
      </c>
      <c r="B56" s="729"/>
      <c r="C56" s="730"/>
      <c r="D56" s="1075"/>
      <c r="E56" s="319"/>
      <c r="F56" s="320"/>
      <c r="G56" s="320"/>
      <c r="H56" s="321"/>
      <c r="I56" s="321"/>
      <c r="J56" s="320"/>
      <c r="K56" s="842"/>
      <c r="L56" s="351"/>
      <c r="M56" s="352"/>
      <c r="N56" s="353"/>
      <c r="O56" s="321"/>
      <c r="P56" s="321"/>
      <c r="Q56" s="321"/>
      <c r="R56" s="321"/>
      <c r="S56" s="321"/>
      <c r="T56" s="321"/>
      <c r="U56" s="351"/>
      <c r="V56" s="352"/>
      <c r="W56" s="319"/>
      <c r="X56" s="320"/>
      <c r="Y56" s="320"/>
      <c r="Z56" s="321"/>
      <c r="AA56" s="321"/>
      <c r="AB56" s="321"/>
      <c r="AC56" s="320"/>
      <c r="AD56" s="380"/>
      <c r="AE56" s="352"/>
      <c r="AF56" s="376">
        <f t="shared" si="13"/>
        <v>0</v>
      </c>
      <c r="AG56" s="381"/>
      <c r="AH56" s="408"/>
      <c r="AI56" s="409">
        <f t="shared" si="14"/>
        <v>0</v>
      </c>
      <c r="AJ56" s="410"/>
      <c r="AK56" s="411">
        <f t="shared" si="15"/>
        <v>0</v>
      </c>
    </row>
    <row r="57" spans="1:40" s="234" customFormat="1" ht="20.25">
      <c r="A57" s="1180" t="s">
        <v>120</v>
      </c>
      <c r="B57" s="729"/>
      <c r="C57" s="730"/>
      <c r="D57" s="1075"/>
      <c r="E57" s="319"/>
      <c r="F57" s="320"/>
      <c r="G57" s="320"/>
      <c r="H57" s="321"/>
      <c r="I57" s="321"/>
      <c r="J57" s="320"/>
      <c r="K57" s="842"/>
      <c r="L57" s="351"/>
      <c r="M57" s="352"/>
      <c r="N57" s="353"/>
      <c r="O57" s="321"/>
      <c r="P57" s="321"/>
      <c r="Q57" s="321"/>
      <c r="R57" s="321"/>
      <c r="S57" s="321"/>
      <c r="T57" s="321"/>
      <c r="U57" s="351"/>
      <c r="V57" s="352"/>
      <c r="W57" s="319"/>
      <c r="X57" s="320"/>
      <c r="Y57" s="320"/>
      <c r="Z57" s="321"/>
      <c r="AA57" s="321"/>
      <c r="AB57" s="321"/>
      <c r="AC57" s="320"/>
      <c r="AD57" s="380"/>
      <c r="AE57" s="352"/>
      <c r="AF57" s="376">
        <f t="shared" si="13"/>
        <v>0</v>
      </c>
      <c r="AG57" s="381"/>
      <c r="AH57" s="408"/>
      <c r="AI57" s="409">
        <f t="shared" si="14"/>
        <v>0</v>
      </c>
      <c r="AJ57" s="410"/>
      <c r="AK57" s="411">
        <f t="shared" si="15"/>
        <v>0</v>
      </c>
    </row>
    <row r="58" spans="1:40" s="234" customFormat="1" ht="20.25">
      <c r="A58" s="1180" t="s">
        <v>120</v>
      </c>
      <c r="B58" s="729"/>
      <c r="C58" s="730"/>
      <c r="D58" s="1075"/>
      <c r="E58" s="319"/>
      <c r="F58" s="320"/>
      <c r="G58" s="320"/>
      <c r="H58" s="321"/>
      <c r="I58" s="321"/>
      <c r="J58" s="320"/>
      <c r="K58" s="842"/>
      <c r="L58" s="351"/>
      <c r="M58" s="352"/>
      <c r="N58" s="353"/>
      <c r="O58" s="321"/>
      <c r="P58" s="321"/>
      <c r="Q58" s="321"/>
      <c r="R58" s="321"/>
      <c r="S58" s="321"/>
      <c r="T58" s="321"/>
      <c r="U58" s="351"/>
      <c r="V58" s="352"/>
      <c r="W58" s="319"/>
      <c r="X58" s="320"/>
      <c r="Y58" s="320"/>
      <c r="Z58" s="321"/>
      <c r="AA58" s="321"/>
      <c r="AB58" s="321"/>
      <c r="AC58" s="320"/>
      <c r="AD58" s="380"/>
      <c r="AE58" s="352"/>
      <c r="AF58" s="376">
        <f t="shared" si="13"/>
        <v>0</v>
      </c>
      <c r="AG58" s="381"/>
      <c r="AH58" s="408"/>
      <c r="AI58" s="409">
        <f t="shared" si="14"/>
        <v>0</v>
      </c>
      <c r="AJ58" s="410"/>
      <c r="AK58" s="411">
        <f t="shared" si="15"/>
        <v>0</v>
      </c>
    </row>
    <row r="59" spans="1:40" s="234" customFormat="1" ht="20.25">
      <c r="A59" s="1180" t="s">
        <v>120</v>
      </c>
      <c r="B59" s="729"/>
      <c r="C59" s="730"/>
      <c r="D59" s="1075"/>
      <c r="E59" s="319"/>
      <c r="F59" s="320"/>
      <c r="G59" s="320"/>
      <c r="H59" s="321"/>
      <c r="I59" s="321"/>
      <c r="J59" s="320"/>
      <c r="K59" s="842"/>
      <c r="L59" s="351"/>
      <c r="M59" s="352"/>
      <c r="N59" s="353"/>
      <c r="O59" s="321"/>
      <c r="P59" s="321"/>
      <c r="Q59" s="321"/>
      <c r="R59" s="321"/>
      <c r="S59" s="321"/>
      <c r="T59" s="321"/>
      <c r="U59" s="351"/>
      <c r="V59" s="352"/>
      <c r="W59" s="319"/>
      <c r="X59" s="320"/>
      <c r="Y59" s="320"/>
      <c r="Z59" s="321"/>
      <c r="AA59" s="321"/>
      <c r="AB59" s="321"/>
      <c r="AC59" s="320"/>
      <c r="AD59" s="380"/>
      <c r="AE59" s="352"/>
      <c r="AF59" s="376">
        <f t="shared" si="13"/>
        <v>0</v>
      </c>
      <c r="AG59" s="381"/>
      <c r="AH59" s="408"/>
      <c r="AI59" s="409">
        <f t="shared" si="14"/>
        <v>0</v>
      </c>
      <c r="AJ59" s="410"/>
      <c r="AK59" s="411">
        <f t="shared" si="15"/>
        <v>0</v>
      </c>
    </row>
    <row r="60" spans="1:40" s="234" customFormat="1" ht="20.25">
      <c r="A60" s="1180" t="s">
        <v>120</v>
      </c>
      <c r="B60" s="729"/>
      <c r="C60" s="730"/>
      <c r="D60" s="1075"/>
      <c r="E60" s="319"/>
      <c r="F60" s="320"/>
      <c r="G60" s="320"/>
      <c r="H60" s="321"/>
      <c r="I60" s="321"/>
      <c r="J60" s="320"/>
      <c r="K60" s="842"/>
      <c r="L60" s="351"/>
      <c r="M60" s="352"/>
      <c r="N60" s="353"/>
      <c r="O60" s="321"/>
      <c r="P60" s="321"/>
      <c r="Q60" s="321"/>
      <c r="R60" s="321"/>
      <c r="S60" s="321"/>
      <c r="T60" s="321"/>
      <c r="U60" s="351"/>
      <c r="V60" s="352"/>
      <c r="W60" s="319"/>
      <c r="X60" s="320"/>
      <c r="Y60" s="320"/>
      <c r="Z60" s="321"/>
      <c r="AA60" s="321"/>
      <c r="AB60" s="321"/>
      <c r="AC60" s="320"/>
      <c r="AD60" s="380"/>
      <c r="AE60" s="352"/>
      <c r="AF60" s="376">
        <f t="shared" si="13"/>
        <v>0</v>
      </c>
      <c r="AG60" s="381"/>
      <c r="AH60" s="408"/>
      <c r="AI60" s="409">
        <f t="shared" si="14"/>
        <v>0</v>
      </c>
      <c r="AJ60" s="410"/>
      <c r="AK60" s="411">
        <f t="shared" si="15"/>
        <v>0</v>
      </c>
    </row>
    <row r="61" spans="1:40" s="234" customFormat="1" ht="20.25">
      <c r="A61" s="1180" t="s">
        <v>120</v>
      </c>
      <c r="B61" s="729"/>
      <c r="C61" s="730"/>
      <c r="D61" s="1075"/>
      <c r="E61" s="319"/>
      <c r="F61" s="320"/>
      <c r="G61" s="320"/>
      <c r="H61" s="321"/>
      <c r="I61" s="321"/>
      <c r="J61" s="320"/>
      <c r="K61" s="842"/>
      <c r="L61" s="351"/>
      <c r="M61" s="352"/>
      <c r="N61" s="353"/>
      <c r="O61" s="321"/>
      <c r="P61" s="321"/>
      <c r="Q61" s="321"/>
      <c r="R61" s="321"/>
      <c r="S61" s="321"/>
      <c r="T61" s="321"/>
      <c r="U61" s="351"/>
      <c r="V61" s="352"/>
      <c r="W61" s="319"/>
      <c r="X61" s="320"/>
      <c r="Y61" s="320"/>
      <c r="Z61" s="321"/>
      <c r="AA61" s="321"/>
      <c r="AB61" s="321"/>
      <c r="AC61" s="320"/>
      <c r="AD61" s="380"/>
      <c r="AE61" s="352"/>
      <c r="AF61" s="376">
        <f t="shared" si="13"/>
        <v>0</v>
      </c>
      <c r="AG61" s="381"/>
      <c r="AH61" s="408"/>
      <c r="AI61" s="409">
        <f t="shared" si="14"/>
        <v>0</v>
      </c>
      <c r="AJ61" s="410"/>
      <c r="AK61" s="411">
        <f t="shared" si="15"/>
        <v>0</v>
      </c>
    </row>
    <row r="62" spans="1:40" s="234" customFormat="1" ht="21" thickBot="1">
      <c r="A62" s="1180" t="s">
        <v>120</v>
      </c>
      <c r="B62" s="729"/>
      <c r="C62" s="730"/>
      <c r="D62" s="1075"/>
      <c r="E62" s="319"/>
      <c r="F62" s="320"/>
      <c r="G62" s="320"/>
      <c r="H62" s="321"/>
      <c r="I62" s="321"/>
      <c r="J62" s="320"/>
      <c r="K62" s="842"/>
      <c r="L62" s="351"/>
      <c r="M62" s="352"/>
      <c r="N62" s="353"/>
      <c r="O62" s="321"/>
      <c r="P62" s="321"/>
      <c r="Q62" s="321"/>
      <c r="R62" s="321"/>
      <c r="S62" s="321"/>
      <c r="T62" s="321"/>
      <c r="U62" s="351"/>
      <c r="V62" s="352"/>
      <c r="W62" s="319"/>
      <c r="X62" s="320"/>
      <c r="Y62" s="320"/>
      <c r="Z62" s="321"/>
      <c r="AA62" s="321"/>
      <c r="AB62" s="321"/>
      <c r="AC62" s="320"/>
      <c r="AD62" s="380"/>
      <c r="AE62" s="352"/>
      <c r="AF62" s="376">
        <f t="shared" si="13"/>
        <v>0</v>
      </c>
      <c r="AG62" s="381"/>
      <c r="AH62" s="408"/>
      <c r="AI62" s="409">
        <f t="shared" si="14"/>
        <v>0</v>
      </c>
      <c r="AJ62" s="410"/>
      <c r="AK62" s="411">
        <f t="shared" si="15"/>
        <v>0</v>
      </c>
    </row>
    <row r="63" spans="1:40" s="283" customFormat="1" ht="21" thickBot="1">
      <c r="A63" s="1180" t="s">
        <v>120</v>
      </c>
      <c r="B63" s="729"/>
      <c r="C63" s="730"/>
      <c r="D63" s="1075"/>
      <c r="E63" s="319"/>
      <c r="F63" s="320"/>
      <c r="G63" s="320"/>
      <c r="H63" s="321"/>
      <c r="I63" s="321"/>
      <c r="J63" s="320"/>
      <c r="K63" s="842"/>
      <c r="L63" s="351"/>
      <c r="M63" s="352"/>
      <c r="N63" s="353"/>
      <c r="O63" s="321"/>
      <c r="P63" s="321"/>
      <c r="Q63" s="321"/>
      <c r="R63" s="321"/>
      <c r="S63" s="321"/>
      <c r="T63" s="321"/>
      <c r="U63" s="351"/>
      <c r="V63" s="352"/>
      <c r="W63" s="319"/>
      <c r="X63" s="320"/>
      <c r="Y63" s="320"/>
      <c r="Z63" s="321"/>
      <c r="AA63" s="321"/>
      <c r="AB63" s="321"/>
      <c r="AC63" s="320"/>
      <c r="AD63" s="380"/>
      <c r="AE63" s="352"/>
      <c r="AF63" s="376">
        <f t="shared" si="13"/>
        <v>0</v>
      </c>
      <c r="AG63" s="381"/>
      <c r="AH63" s="408"/>
      <c r="AI63" s="409">
        <f t="shared" si="14"/>
        <v>0</v>
      </c>
      <c r="AJ63" s="410"/>
      <c r="AK63" s="411">
        <f t="shared" si="15"/>
        <v>0</v>
      </c>
      <c r="AL63" s="414" t="s">
        <v>8</v>
      </c>
      <c r="AM63" s="397" t="s">
        <v>23</v>
      </c>
      <c r="AN63" s="415" t="s">
        <v>174</v>
      </c>
    </row>
    <row r="64" spans="1:40" s="284" customFormat="1" ht="21" thickBot="1">
      <c r="A64" s="1180" t="s">
        <v>120</v>
      </c>
      <c r="B64" s="729"/>
      <c r="C64" s="730"/>
      <c r="D64" s="1075"/>
      <c r="E64" s="319"/>
      <c r="F64" s="320"/>
      <c r="G64" s="320"/>
      <c r="H64" s="321"/>
      <c r="I64" s="321"/>
      <c r="J64" s="320"/>
      <c r="K64" s="842"/>
      <c r="L64" s="351"/>
      <c r="M64" s="352"/>
      <c r="N64" s="353"/>
      <c r="O64" s="321"/>
      <c r="P64" s="321"/>
      <c r="Q64" s="321"/>
      <c r="R64" s="321"/>
      <c r="S64" s="321"/>
      <c r="T64" s="321"/>
      <c r="U64" s="351"/>
      <c r="V64" s="352"/>
      <c r="W64" s="319"/>
      <c r="X64" s="320"/>
      <c r="Y64" s="320"/>
      <c r="Z64" s="321"/>
      <c r="AA64" s="321"/>
      <c r="AB64" s="321"/>
      <c r="AC64" s="320"/>
      <c r="AD64" s="380"/>
      <c r="AE64" s="352"/>
      <c r="AF64" s="376">
        <f t="shared" si="13"/>
        <v>0</v>
      </c>
      <c r="AG64" s="381"/>
      <c r="AH64" s="408"/>
      <c r="AI64" s="409">
        <f t="shared" si="14"/>
        <v>0</v>
      </c>
      <c r="AJ64" s="410"/>
      <c r="AK64" s="411">
        <f t="shared" si="15"/>
        <v>0</v>
      </c>
      <c r="AL64" s="399">
        <f>'BIG CHAIR'!CL77</f>
        <v>14560</v>
      </c>
      <c r="AM64" s="400">
        <f>'Tea Table'!X85</f>
        <v>0</v>
      </c>
      <c r="AN64" s="401">
        <f>AI68+AL64+AM64</f>
        <v>20161</v>
      </c>
    </row>
    <row r="65" spans="1:40" s="284" customFormat="1" ht="20.25">
      <c r="A65" s="1180" t="s">
        <v>120</v>
      </c>
      <c r="B65" s="729"/>
      <c r="C65" s="730"/>
      <c r="D65" s="1075"/>
      <c r="E65" s="319"/>
      <c r="F65" s="320"/>
      <c r="G65" s="320"/>
      <c r="H65" s="321"/>
      <c r="I65" s="321"/>
      <c r="J65" s="320"/>
      <c r="K65" s="842"/>
      <c r="L65" s="351"/>
      <c r="M65" s="352"/>
      <c r="N65" s="353"/>
      <c r="O65" s="321"/>
      <c r="P65" s="321"/>
      <c r="Q65" s="321"/>
      <c r="R65" s="321"/>
      <c r="S65" s="321"/>
      <c r="T65" s="321"/>
      <c r="U65" s="351"/>
      <c r="V65" s="352"/>
      <c r="W65" s="319"/>
      <c r="X65" s="320"/>
      <c r="Y65" s="320"/>
      <c r="Z65" s="321"/>
      <c r="AA65" s="321"/>
      <c r="AB65" s="321"/>
      <c r="AC65" s="320"/>
      <c r="AD65" s="380"/>
      <c r="AE65" s="352"/>
      <c r="AF65" s="376">
        <f t="shared" si="13"/>
        <v>0</v>
      </c>
      <c r="AG65" s="381"/>
      <c r="AH65" s="408"/>
      <c r="AI65" s="409">
        <f t="shared" si="14"/>
        <v>0</v>
      </c>
      <c r="AJ65" s="410"/>
      <c r="AK65" s="411">
        <f t="shared" si="15"/>
        <v>0</v>
      </c>
      <c r="AL65" s="403"/>
      <c r="AM65" s="403"/>
      <c r="AN65" s="403"/>
    </row>
    <row r="66" spans="1:40" s="282" customFormat="1" ht="20.25">
      <c r="A66" s="1180" t="s">
        <v>120</v>
      </c>
      <c r="B66" s="729"/>
      <c r="C66" s="730"/>
      <c r="D66" s="1077"/>
      <c r="E66" s="319"/>
      <c r="F66" s="320"/>
      <c r="G66" s="320"/>
      <c r="H66" s="321"/>
      <c r="I66" s="321"/>
      <c r="J66" s="320"/>
      <c r="K66" s="842"/>
      <c r="L66" s="351"/>
      <c r="M66" s="352"/>
      <c r="N66" s="353"/>
      <c r="O66" s="321"/>
      <c r="P66" s="321"/>
      <c r="Q66" s="321"/>
      <c r="R66" s="321"/>
      <c r="S66" s="321"/>
      <c r="T66" s="321"/>
      <c r="U66" s="351"/>
      <c r="V66" s="352"/>
      <c r="W66" s="319"/>
      <c r="X66" s="320"/>
      <c r="Y66" s="320"/>
      <c r="Z66" s="321"/>
      <c r="AA66" s="321"/>
      <c r="AB66" s="321"/>
      <c r="AC66" s="320"/>
      <c r="AD66" s="380"/>
      <c r="AE66" s="352"/>
      <c r="AF66" s="376">
        <f t="shared" si="13"/>
        <v>0</v>
      </c>
      <c r="AG66" s="381"/>
      <c r="AH66" s="408"/>
      <c r="AI66" s="409">
        <f t="shared" si="14"/>
        <v>0</v>
      </c>
      <c r="AJ66" s="410"/>
      <c r="AK66" s="411">
        <f t="shared" si="15"/>
        <v>0</v>
      </c>
    </row>
    <row r="67" spans="1:40" s="234" customFormat="1" ht="21" thickBot="1">
      <c r="A67" s="2582"/>
      <c r="B67" s="2564"/>
      <c r="C67" s="732"/>
      <c r="D67" s="1078"/>
      <c r="E67" s="325"/>
      <c r="F67" s="297"/>
      <c r="G67" s="297"/>
      <c r="H67" s="298"/>
      <c r="I67" s="298"/>
      <c r="J67" s="297"/>
      <c r="K67" s="1086"/>
      <c r="L67" s="367"/>
      <c r="M67" s="355"/>
      <c r="N67" s="343"/>
      <c r="O67" s="298"/>
      <c r="P67" s="298"/>
      <c r="Q67" s="298"/>
      <c r="R67" s="298"/>
      <c r="S67" s="298"/>
      <c r="T67" s="298"/>
      <c r="U67" s="367"/>
      <c r="V67" s="355"/>
      <c r="W67" s="325"/>
      <c r="X67" s="297"/>
      <c r="Y67" s="297"/>
      <c r="Z67" s="298"/>
      <c r="AA67" s="298"/>
      <c r="AB67" s="298"/>
      <c r="AC67" s="297"/>
      <c r="AD67" s="375"/>
      <c r="AE67" s="355"/>
      <c r="AF67" s="376">
        <f t="shared" si="13"/>
        <v>0</v>
      </c>
      <c r="AG67" s="377"/>
      <c r="AH67" s="390"/>
      <c r="AI67" s="391">
        <f t="shared" si="14"/>
        <v>0</v>
      </c>
      <c r="AJ67" s="412"/>
      <c r="AK67" s="413">
        <f t="shared" si="15"/>
        <v>0</v>
      </c>
    </row>
    <row r="68" spans="1:40" s="234" customFormat="1" ht="19.5" thickBot="1">
      <c r="A68" s="326" t="s">
        <v>177</v>
      </c>
      <c r="B68" s="327"/>
      <c r="C68" s="327"/>
      <c r="D68" s="328"/>
      <c r="E68" s="329">
        <f>SUM(E35:E67)</f>
        <v>0</v>
      </c>
      <c r="F68" s="329">
        <f t="shared" ref="F68:L68" si="16">SUM(F35:F67)</f>
        <v>0</v>
      </c>
      <c r="G68" s="329">
        <f t="shared" si="16"/>
        <v>0</v>
      </c>
      <c r="H68" s="329">
        <f t="shared" si="16"/>
        <v>0</v>
      </c>
      <c r="I68" s="329">
        <f t="shared" si="16"/>
        <v>0</v>
      </c>
      <c r="J68" s="329">
        <f t="shared" si="16"/>
        <v>0</v>
      </c>
      <c r="K68" s="1092">
        <f t="shared" si="16"/>
        <v>0</v>
      </c>
      <c r="L68" s="329">
        <f t="shared" si="16"/>
        <v>0</v>
      </c>
      <c r="M68" s="357"/>
      <c r="N68" s="358">
        <f>SUM(N35:N67)</f>
        <v>0</v>
      </c>
      <c r="O68" s="358">
        <f t="shared" ref="O68:U68" si="17">SUM(O35:O67)</f>
        <v>0</v>
      </c>
      <c r="P68" s="358">
        <f t="shared" si="17"/>
        <v>2660</v>
      </c>
      <c r="Q68" s="358">
        <f t="shared" si="17"/>
        <v>0</v>
      </c>
      <c r="R68" s="358">
        <f t="shared" si="17"/>
        <v>2900</v>
      </c>
      <c r="S68" s="358">
        <f t="shared" si="17"/>
        <v>0</v>
      </c>
      <c r="T68" s="358">
        <f t="shared" si="17"/>
        <v>0</v>
      </c>
      <c r="U68" s="358">
        <f t="shared" si="17"/>
        <v>0</v>
      </c>
      <c r="V68" s="357"/>
      <c r="W68" s="358">
        <f>SUM(W35:W67)</f>
        <v>0</v>
      </c>
      <c r="X68" s="358">
        <f t="shared" ref="X68:AD68" si="18">SUM(X35:X67)</f>
        <v>0</v>
      </c>
      <c r="Y68" s="358">
        <f t="shared" si="18"/>
        <v>0</v>
      </c>
      <c r="Z68" s="358">
        <f t="shared" si="18"/>
        <v>0</v>
      </c>
      <c r="AA68" s="358">
        <f t="shared" si="18"/>
        <v>0</v>
      </c>
      <c r="AB68" s="358">
        <f t="shared" si="18"/>
        <v>0</v>
      </c>
      <c r="AC68" s="358">
        <f t="shared" si="18"/>
        <v>0</v>
      </c>
      <c r="AD68" s="358">
        <f t="shared" si="18"/>
        <v>0</v>
      </c>
      <c r="AE68" s="357"/>
      <c r="AF68" s="382">
        <f>SUM(AF35:AF67)</f>
        <v>5560</v>
      </c>
      <c r="AG68" s="382">
        <f t="shared" ref="AG68:AK68" si="19">SUM(AG35:AG67)</f>
        <v>41</v>
      </c>
      <c r="AH68" s="382">
        <f t="shared" si="19"/>
        <v>0</v>
      </c>
      <c r="AI68" s="382">
        <f t="shared" si="19"/>
        <v>5601</v>
      </c>
      <c r="AJ68" s="382">
        <f t="shared" si="19"/>
        <v>228</v>
      </c>
      <c r="AK68" s="382">
        <f t="shared" si="19"/>
        <v>5829</v>
      </c>
    </row>
    <row r="69" spans="1:40" s="234" customFormat="1" ht="19.5" thickBot="1">
      <c r="A69" s="306"/>
      <c r="B69" s="307"/>
      <c r="C69" s="307"/>
      <c r="D69" s="308"/>
      <c r="E69" s="309"/>
      <c r="F69" s="309"/>
      <c r="G69" s="309"/>
      <c r="H69" s="309"/>
      <c r="I69" s="309"/>
      <c r="J69" s="309"/>
      <c r="K69" s="309"/>
      <c r="L69" s="309"/>
      <c r="M69" s="346"/>
      <c r="N69" s="347"/>
      <c r="O69" s="347"/>
      <c r="P69" s="347"/>
      <c r="Q69" s="347"/>
      <c r="R69" s="347"/>
      <c r="S69" s="347"/>
      <c r="T69" s="347"/>
      <c r="U69" s="347"/>
      <c r="V69" s="346"/>
      <c r="W69" s="347"/>
      <c r="X69" s="347"/>
      <c r="Y69" s="347"/>
      <c r="Z69" s="347"/>
      <c r="AA69" s="347"/>
      <c r="AB69" s="347"/>
      <c r="AC69" s="347"/>
      <c r="AD69" s="347"/>
      <c r="AE69" s="346"/>
      <c r="AF69" s="347"/>
      <c r="AG69" s="347"/>
      <c r="AH69" s="347"/>
      <c r="AI69" s="347"/>
      <c r="AJ69" s="347"/>
      <c r="AK69" s="402"/>
    </row>
    <row r="70" spans="1:40" s="234" customFormat="1" ht="24" thickBot="1">
      <c r="A70" s="286" t="s">
        <v>122</v>
      </c>
      <c r="B70" s="287" t="s">
        <v>68</v>
      </c>
      <c r="C70" s="287" t="s">
        <v>69</v>
      </c>
      <c r="D70" s="1073" t="s">
        <v>70</v>
      </c>
      <c r="E70" s="743" t="s">
        <v>88</v>
      </c>
      <c r="F70" s="744" t="s">
        <v>407</v>
      </c>
      <c r="G70" s="744" t="s">
        <v>53</v>
      </c>
      <c r="H70" s="744" t="s">
        <v>170</v>
      </c>
      <c r="I70" s="744" t="s">
        <v>222</v>
      </c>
      <c r="J70" s="744" t="s">
        <v>149</v>
      </c>
      <c r="K70" s="744" t="s">
        <v>206</v>
      </c>
      <c r="L70" s="783" t="s">
        <v>124</v>
      </c>
      <c r="M70" s="1089"/>
      <c r="N70" s="80" t="s">
        <v>96</v>
      </c>
      <c r="O70" s="49" t="s">
        <v>407</v>
      </c>
      <c r="P70" s="49" t="s">
        <v>53</v>
      </c>
      <c r="Q70" s="49" t="s">
        <v>86</v>
      </c>
      <c r="R70" s="49" t="s">
        <v>94</v>
      </c>
      <c r="S70" s="49" t="s">
        <v>85</v>
      </c>
      <c r="T70" s="126" t="s">
        <v>92</v>
      </c>
      <c r="U70" s="171" t="s">
        <v>432</v>
      </c>
      <c r="V70" s="79"/>
      <c r="W70" s="80" t="s">
        <v>88</v>
      </c>
      <c r="X70" s="49"/>
      <c r="Y70" s="49" t="s">
        <v>206</v>
      </c>
      <c r="Z70" s="49"/>
      <c r="AA70" s="49" t="s">
        <v>222</v>
      </c>
      <c r="AB70" s="49"/>
      <c r="AC70" s="126" t="s">
        <v>76</v>
      </c>
      <c r="AD70" s="171"/>
      <c r="AE70" s="370"/>
      <c r="AF70" s="371" t="s">
        <v>172</v>
      </c>
      <c r="AG70" s="372" t="s">
        <v>80</v>
      </c>
      <c r="AH70" s="385"/>
      <c r="AI70" s="386" t="s">
        <v>106</v>
      </c>
      <c r="AJ70" s="385" t="s">
        <v>173</v>
      </c>
      <c r="AK70" s="371" t="s">
        <v>108</v>
      </c>
    </row>
    <row r="71" spans="1:40" s="234" customFormat="1" ht="20.25">
      <c r="A71" s="1180" t="s">
        <v>125</v>
      </c>
      <c r="B71" s="724"/>
      <c r="C71" s="728"/>
      <c r="D71" s="1077"/>
      <c r="E71" s="319"/>
      <c r="F71" s="320"/>
      <c r="G71" s="320"/>
      <c r="H71" s="321"/>
      <c r="I71" s="321"/>
      <c r="J71" s="320"/>
      <c r="K71" s="1090"/>
      <c r="L71" s="363"/>
      <c r="M71" s="352"/>
      <c r="N71" s="353"/>
      <c r="O71" s="320"/>
      <c r="P71" s="320"/>
      <c r="Q71" s="321"/>
      <c r="R71" s="321"/>
      <c r="S71" s="321"/>
      <c r="T71" s="320"/>
      <c r="U71" s="351"/>
      <c r="V71" s="352"/>
      <c r="W71" s="362"/>
      <c r="X71" s="334"/>
      <c r="Y71" s="334"/>
      <c r="Z71" s="334"/>
      <c r="AA71" s="334"/>
      <c r="AB71" s="334"/>
      <c r="AC71" s="334"/>
      <c r="AD71" s="380"/>
      <c r="AE71" s="352"/>
      <c r="AF71" s="381">
        <f>SUM(E71:AD71)</f>
        <v>0</v>
      </c>
      <c r="AG71" s="381"/>
      <c r="AH71" s="408"/>
      <c r="AI71" s="409">
        <f>AF71+AG71</f>
        <v>0</v>
      </c>
      <c r="AJ71" s="410"/>
      <c r="AK71" s="411">
        <f>AI71+AJ71</f>
        <v>0</v>
      </c>
    </row>
    <row r="72" spans="1:40" s="234" customFormat="1" ht="20.25">
      <c r="A72" s="1180" t="s">
        <v>125</v>
      </c>
      <c r="B72" s="729"/>
      <c r="C72" s="730"/>
      <c r="D72" s="1077"/>
      <c r="E72" s="319"/>
      <c r="F72" s="320"/>
      <c r="G72" s="320"/>
      <c r="H72" s="321"/>
      <c r="I72" s="321"/>
      <c r="J72" s="320"/>
      <c r="K72" s="1090"/>
      <c r="L72" s="363"/>
      <c r="M72" s="352"/>
      <c r="N72" s="353"/>
      <c r="O72" s="321"/>
      <c r="P72" s="321"/>
      <c r="Q72" s="321"/>
      <c r="R72" s="321"/>
      <c r="S72" s="321"/>
      <c r="T72" s="321"/>
      <c r="U72" s="351"/>
      <c r="V72" s="352"/>
      <c r="W72" s="319"/>
      <c r="X72" s="320"/>
      <c r="Y72" s="320"/>
      <c r="Z72" s="321"/>
      <c r="AA72" s="321"/>
      <c r="AB72" s="321"/>
      <c r="AC72" s="320"/>
      <c r="AD72" s="380"/>
      <c r="AE72" s="352"/>
      <c r="AF72" s="381">
        <f>SUM(E72:AD72)</f>
        <v>0</v>
      </c>
      <c r="AG72" s="381"/>
      <c r="AH72" s="408"/>
      <c r="AI72" s="409">
        <f>AF72+AG72</f>
        <v>0</v>
      </c>
      <c r="AJ72" s="410"/>
      <c r="AK72" s="411">
        <f>AI72+AJ72</f>
        <v>0</v>
      </c>
    </row>
    <row r="73" spans="1:40" s="234" customFormat="1" ht="20.25">
      <c r="A73" s="1180" t="s">
        <v>125</v>
      </c>
      <c r="B73" s="729"/>
      <c r="C73" s="730"/>
      <c r="D73" s="1077"/>
      <c r="E73" s="319"/>
      <c r="F73" s="320"/>
      <c r="G73" s="320"/>
      <c r="H73" s="321"/>
      <c r="I73" s="321"/>
      <c r="J73" s="320"/>
      <c r="K73" s="1090"/>
      <c r="L73" s="363"/>
      <c r="M73" s="352"/>
      <c r="N73" s="353"/>
      <c r="O73" s="321"/>
      <c r="P73" s="321"/>
      <c r="Q73" s="321"/>
      <c r="R73" s="321"/>
      <c r="S73" s="321"/>
      <c r="T73" s="321"/>
      <c r="U73" s="351"/>
      <c r="V73" s="352"/>
      <c r="W73" s="319"/>
      <c r="X73" s="320"/>
      <c r="Y73" s="320"/>
      <c r="Z73" s="321"/>
      <c r="AA73" s="321"/>
      <c r="AB73" s="321"/>
      <c r="AC73" s="320"/>
      <c r="AD73" s="380"/>
      <c r="AE73" s="352"/>
      <c r="AF73" s="381">
        <f>SUM(E73:AD73)</f>
        <v>0</v>
      </c>
      <c r="AG73" s="381"/>
      <c r="AH73" s="408"/>
      <c r="AI73" s="409">
        <f>AF73+AG73</f>
        <v>0</v>
      </c>
      <c r="AJ73" s="410"/>
      <c r="AK73" s="411">
        <f>AI73+AJ73</f>
        <v>0</v>
      </c>
    </row>
    <row r="74" spans="1:40" s="234" customFormat="1" ht="20.25">
      <c r="A74" s="1180" t="s">
        <v>125</v>
      </c>
      <c r="B74" s="729"/>
      <c r="C74" s="730"/>
      <c r="D74" s="1077"/>
      <c r="E74" s="319"/>
      <c r="F74" s="320"/>
      <c r="G74" s="320"/>
      <c r="H74" s="321"/>
      <c r="I74" s="321"/>
      <c r="J74" s="320"/>
      <c r="K74" s="1091"/>
      <c r="L74" s="363"/>
      <c r="M74" s="352"/>
      <c r="N74" s="353"/>
      <c r="O74" s="321"/>
      <c r="P74" s="321"/>
      <c r="Q74" s="321"/>
      <c r="R74" s="321"/>
      <c r="S74" s="321"/>
      <c r="T74" s="321"/>
      <c r="U74" s="351"/>
      <c r="V74" s="352"/>
      <c r="W74" s="319"/>
      <c r="X74" s="320"/>
      <c r="Y74" s="320"/>
      <c r="Z74" s="321"/>
      <c r="AA74" s="321"/>
      <c r="AB74" s="321"/>
      <c r="AC74" s="320"/>
      <c r="AD74" s="380"/>
      <c r="AE74" s="352"/>
      <c r="AF74" s="381">
        <f>SUM(E74:AD74)</f>
        <v>0</v>
      </c>
      <c r="AG74" s="381"/>
      <c r="AH74" s="408"/>
      <c r="AI74" s="409">
        <f>AF74+AG74</f>
        <v>0</v>
      </c>
      <c r="AJ74" s="410"/>
      <c r="AK74" s="411">
        <f>AI74+AJ74</f>
        <v>0</v>
      </c>
    </row>
    <row r="75" spans="1:40" s="234" customFormat="1" ht="20.25">
      <c r="A75" s="1180" t="s">
        <v>125</v>
      </c>
      <c r="B75" s="729"/>
      <c r="C75" s="730"/>
      <c r="D75" s="1077"/>
      <c r="E75" s="319"/>
      <c r="F75" s="320"/>
      <c r="G75" s="320"/>
      <c r="H75" s="321"/>
      <c r="I75" s="321"/>
      <c r="J75" s="320"/>
      <c r="K75" s="1090"/>
      <c r="L75" s="363"/>
      <c r="M75" s="352"/>
      <c r="N75" s="353"/>
      <c r="O75" s="321"/>
      <c r="P75" s="321"/>
      <c r="Q75" s="321"/>
      <c r="R75" s="321"/>
      <c r="S75" s="321"/>
      <c r="T75" s="321"/>
      <c r="U75" s="351"/>
      <c r="V75" s="352"/>
      <c r="W75" s="319"/>
      <c r="X75" s="320"/>
      <c r="Y75" s="320"/>
      <c r="Z75" s="321"/>
      <c r="AA75" s="321"/>
      <c r="AB75" s="321"/>
      <c r="AC75" s="320"/>
      <c r="AD75" s="380"/>
      <c r="AE75" s="352"/>
      <c r="AF75" s="381">
        <f>SUM(E75:AD75)</f>
        <v>0</v>
      </c>
      <c r="AG75" s="381"/>
      <c r="AH75" s="408"/>
      <c r="AI75" s="409">
        <f>AF75+AG75</f>
        <v>0</v>
      </c>
      <c r="AJ75" s="410"/>
      <c r="AK75" s="411">
        <f>AI75+AJ75</f>
        <v>0</v>
      </c>
    </row>
    <row r="76" spans="1:40" s="234" customFormat="1" ht="20.25">
      <c r="A76" s="1180" t="s">
        <v>125</v>
      </c>
      <c r="B76" s="729"/>
      <c r="C76" s="730"/>
      <c r="D76" s="1077"/>
      <c r="E76" s="319"/>
      <c r="F76" s="320"/>
      <c r="G76" s="320"/>
      <c r="H76" s="321"/>
      <c r="I76" s="321"/>
      <c r="J76" s="320"/>
      <c r="K76" s="1090"/>
      <c r="L76" s="363"/>
      <c r="M76" s="352"/>
      <c r="N76" s="353"/>
      <c r="O76" s="321"/>
      <c r="P76" s="321"/>
      <c r="Q76" s="321"/>
      <c r="R76" s="321"/>
      <c r="S76" s="321"/>
      <c r="T76" s="321"/>
      <c r="U76" s="351"/>
      <c r="V76" s="352"/>
      <c r="W76" s="319"/>
      <c r="X76" s="320"/>
      <c r="Y76" s="320"/>
      <c r="Z76" s="321"/>
      <c r="AA76" s="321"/>
      <c r="AB76" s="321"/>
      <c r="AC76" s="320"/>
      <c r="AD76" s="380"/>
      <c r="AE76" s="352"/>
      <c r="AF76" s="381">
        <f t="shared" ref="AF76:AF103" si="20">SUM(E76:AD76)</f>
        <v>0</v>
      </c>
      <c r="AG76" s="381"/>
      <c r="AH76" s="408"/>
      <c r="AI76" s="409">
        <f t="shared" ref="AI76:AI103" si="21">AF76+AG76</f>
        <v>0</v>
      </c>
      <c r="AJ76" s="410"/>
      <c r="AK76" s="411">
        <f t="shared" ref="AK76:AK103" si="22">AI76+AJ76</f>
        <v>0</v>
      </c>
    </row>
    <row r="77" spans="1:40" s="234" customFormat="1" ht="20.25">
      <c r="A77" s="1180" t="s">
        <v>125</v>
      </c>
      <c r="B77" s="729"/>
      <c r="C77" s="730"/>
      <c r="D77" s="1077"/>
      <c r="E77" s="319"/>
      <c r="F77" s="320"/>
      <c r="G77" s="320"/>
      <c r="H77" s="321"/>
      <c r="I77" s="321"/>
      <c r="J77" s="320"/>
      <c r="K77" s="1090"/>
      <c r="L77" s="351"/>
      <c r="M77" s="352"/>
      <c r="N77" s="353"/>
      <c r="O77" s="321"/>
      <c r="P77" s="321"/>
      <c r="Q77" s="321"/>
      <c r="R77" s="321"/>
      <c r="S77" s="321"/>
      <c r="T77" s="321"/>
      <c r="U77" s="351"/>
      <c r="V77" s="352"/>
      <c r="W77" s="319"/>
      <c r="X77" s="320"/>
      <c r="Y77" s="320"/>
      <c r="Z77" s="321"/>
      <c r="AA77" s="321"/>
      <c r="AB77" s="321"/>
      <c r="AC77" s="320"/>
      <c r="AD77" s="380"/>
      <c r="AE77" s="352"/>
      <c r="AF77" s="381">
        <f t="shared" si="20"/>
        <v>0</v>
      </c>
      <c r="AG77" s="381"/>
      <c r="AH77" s="408"/>
      <c r="AI77" s="409">
        <f t="shared" si="21"/>
        <v>0</v>
      </c>
      <c r="AJ77" s="410"/>
      <c r="AK77" s="411">
        <f t="shared" si="22"/>
        <v>0</v>
      </c>
    </row>
    <row r="78" spans="1:40" s="234" customFormat="1" ht="20.25">
      <c r="A78" s="1180" t="s">
        <v>125</v>
      </c>
      <c r="B78" s="729"/>
      <c r="C78" s="730"/>
      <c r="D78" s="1077"/>
      <c r="E78" s="319"/>
      <c r="F78" s="320"/>
      <c r="G78" s="320"/>
      <c r="H78" s="321"/>
      <c r="I78" s="321"/>
      <c r="J78" s="320"/>
      <c r="K78" s="1090"/>
      <c r="L78" s="351"/>
      <c r="M78" s="352"/>
      <c r="N78" s="353"/>
      <c r="O78" s="321"/>
      <c r="P78" s="321"/>
      <c r="Q78" s="321"/>
      <c r="R78" s="321"/>
      <c r="S78" s="321"/>
      <c r="T78" s="321"/>
      <c r="U78" s="351"/>
      <c r="V78" s="352"/>
      <c r="W78" s="319"/>
      <c r="X78" s="320"/>
      <c r="Y78" s="320"/>
      <c r="Z78" s="321"/>
      <c r="AA78" s="321"/>
      <c r="AB78" s="321"/>
      <c r="AC78" s="320"/>
      <c r="AD78" s="380"/>
      <c r="AE78" s="352"/>
      <c r="AF78" s="381">
        <f t="shared" si="20"/>
        <v>0</v>
      </c>
      <c r="AG78" s="381"/>
      <c r="AH78" s="408"/>
      <c r="AI78" s="409">
        <f t="shared" si="21"/>
        <v>0</v>
      </c>
      <c r="AJ78" s="410"/>
      <c r="AK78" s="411">
        <f t="shared" si="22"/>
        <v>0</v>
      </c>
    </row>
    <row r="79" spans="1:40" s="234" customFormat="1" ht="20.25">
      <c r="A79" s="1180" t="s">
        <v>125</v>
      </c>
      <c r="B79" s="729"/>
      <c r="C79" s="730"/>
      <c r="D79" s="1077"/>
      <c r="E79" s="319"/>
      <c r="F79" s="320"/>
      <c r="G79" s="320"/>
      <c r="H79" s="321"/>
      <c r="I79" s="321"/>
      <c r="J79" s="320"/>
      <c r="K79" s="1090"/>
      <c r="L79" s="351"/>
      <c r="M79" s="352"/>
      <c r="N79" s="353"/>
      <c r="O79" s="321"/>
      <c r="P79" s="321"/>
      <c r="Q79" s="321"/>
      <c r="R79" s="321"/>
      <c r="S79" s="321"/>
      <c r="T79" s="321"/>
      <c r="U79" s="351"/>
      <c r="V79" s="352"/>
      <c r="W79" s="319"/>
      <c r="X79" s="320"/>
      <c r="Y79" s="320"/>
      <c r="Z79" s="321"/>
      <c r="AA79" s="321"/>
      <c r="AB79" s="321"/>
      <c r="AC79" s="320"/>
      <c r="AD79" s="380"/>
      <c r="AE79" s="352"/>
      <c r="AF79" s="381">
        <f t="shared" si="20"/>
        <v>0</v>
      </c>
      <c r="AG79" s="381"/>
      <c r="AH79" s="408"/>
      <c r="AI79" s="409">
        <f t="shared" si="21"/>
        <v>0</v>
      </c>
      <c r="AJ79" s="410"/>
      <c r="AK79" s="411">
        <f t="shared" si="22"/>
        <v>0</v>
      </c>
    </row>
    <row r="80" spans="1:40" s="234" customFormat="1" ht="20.25">
      <c r="A80" s="1180" t="s">
        <v>125</v>
      </c>
      <c r="B80" s="729"/>
      <c r="C80" s="730"/>
      <c r="D80" s="1077"/>
      <c r="E80" s="319"/>
      <c r="F80" s="320"/>
      <c r="G80" s="320"/>
      <c r="H80" s="321"/>
      <c r="I80" s="321"/>
      <c r="J80" s="320"/>
      <c r="K80" s="1090"/>
      <c r="L80" s="351"/>
      <c r="M80" s="352"/>
      <c r="N80" s="353"/>
      <c r="O80" s="321"/>
      <c r="P80" s="321"/>
      <c r="Q80" s="321"/>
      <c r="R80" s="321"/>
      <c r="S80" s="321"/>
      <c r="T80" s="321"/>
      <c r="U80" s="351"/>
      <c r="V80" s="352"/>
      <c r="W80" s="319"/>
      <c r="X80" s="320"/>
      <c r="Y80" s="320"/>
      <c r="Z80" s="321"/>
      <c r="AA80" s="321"/>
      <c r="AB80" s="321"/>
      <c r="AC80" s="320"/>
      <c r="AD80" s="380"/>
      <c r="AE80" s="352"/>
      <c r="AF80" s="381">
        <f t="shared" si="20"/>
        <v>0</v>
      </c>
      <c r="AG80" s="381"/>
      <c r="AH80" s="408"/>
      <c r="AI80" s="409">
        <f t="shared" si="21"/>
        <v>0</v>
      </c>
      <c r="AJ80" s="410"/>
      <c r="AK80" s="411">
        <f t="shared" si="22"/>
        <v>0</v>
      </c>
    </row>
    <row r="81" spans="1:37" s="234" customFormat="1" ht="20.25">
      <c r="A81" s="1180" t="s">
        <v>125</v>
      </c>
      <c r="B81" s="729"/>
      <c r="C81" s="730"/>
      <c r="D81" s="1077"/>
      <c r="E81" s="319"/>
      <c r="F81" s="320"/>
      <c r="G81" s="320"/>
      <c r="H81" s="321"/>
      <c r="I81" s="321"/>
      <c r="J81" s="320"/>
      <c r="K81" s="1090"/>
      <c r="L81" s="351"/>
      <c r="M81" s="352"/>
      <c r="N81" s="353"/>
      <c r="O81" s="321"/>
      <c r="P81" s="321"/>
      <c r="Q81" s="321"/>
      <c r="R81" s="321"/>
      <c r="S81" s="321"/>
      <c r="T81" s="321"/>
      <c r="U81" s="351"/>
      <c r="V81" s="352"/>
      <c r="W81" s="319"/>
      <c r="X81" s="320"/>
      <c r="Y81" s="320"/>
      <c r="Z81" s="321"/>
      <c r="AA81" s="321"/>
      <c r="AB81" s="321"/>
      <c r="AC81" s="320"/>
      <c r="AD81" s="380"/>
      <c r="AE81" s="352"/>
      <c r="AF81" s="381">
        <f t="shared" si="20"/>
        <v>0</v>
      </c>
      <c r="AG81" s="381"/>
      <c r="AH81" s="408"/>
      <c r="AI81" s="409">
        <f t="shared" si="21"/>
        <v>0</v>
      </c>
      <c r="AJ81" s="410"/>
      <c r="AK81" s="411">
        <f t="shared" si="22"/>
        <v>0</v>
      </c>
    </row>
    <row r="82" spans="1:37" s="234" customFormat="1" ht="20.25">
      <c r="A82" s="1180" t="s">
        <v>125</v>
      </c>
      <c r="B82" s="729"/>
      <c r="C82" s="730"/>
      <c r="D82" s="1077"/>
      <c r="E82" s="319"/>
      <c r="F82" s="320"/>
      <c r="G82" s="320"/>
      <c r="H82" s="321"/>
      <c r="I82" s="321"/>
      <c r="J82" s="320"/>
      <c r="K82" s="1090"/>
      <c r="L82" s="351"/>
      <c r="M82" s="352"/>
      <c r="N82" s="353"/>
      <c r="O82" s="321"/>
      <c r="P82" s="321"/>
      <c r="Q82" s="321"/>
      <c r="R82" s="321"/>
      <c r="S82" s="321"/>
      <c r="T82" s="321"/>
      <c r="U82" s="351"/>
      <c r="V82" s="352"/>
      <c r="W82" s="319"/>
      <c r="X82" s="320"/>
      <c r="Y82" s="320"/>
      <c r="Z82" s="321"/>
      <c r="AA82" s="321"/>
      <c r="AB82" s="321"/>
      <c r="AC82" s="320"/>
      <c r="AD82" s="380"/>
      <c r="AE82" s="352"/>
      <c r="AF82" s="381">
        <f t="shared" si="20"/>
        <v>0</v>
      </c>
      <c r="AG82" s="381"/>
      <c r="AH82" s="408"/>
      <c r="AI82" s="409">
        <f t="shared" si="21"/>
        <v>0</v>
      </c>
      <c r="AJ82" s="410"/>
      <c r="AK82" s="411">
        <f t="shared" si="22"/>
        <v>0</v>
      </c>
    </row>
    <row r="83" spans="1:37" s="234" customFormat="1" ht="20.25">
      <c r="A83" s="1180" t="s">
        <v>125</v>
      </c>
      <c r="B83" s="729"/>
      <c r="C83" s="730"/>
      <c r="D83" s="1077"/>
      <c r="E83" s="319"/>
      <c r="F83" s="320"/>
      <c r="G83" s="320"/>
      <c r="H83" s="321"/>
      <c r="I83" s="321"/>
      <c r="J83" s="320"/>
      <c r="K83" s="1090"/>
      <c r="L83" s="351"/>
      <c r="M83" s="352"/>
      <c r="N83" s="353"/>
      <c r="O83" s="321"/>
      <c r="P83" s="321"/>
      <c r="Q83" s="321"/>
      <c r="R83" s="321"/>
      <c r="S83" s="321"/>
      <c r="T83" s="321"/>
      <c r="U83" s="351"/>
      <c r="V83" s="352"/>
      <c r="W83" s="319"/>
      <c r="X83" s="320"/>
      <c r="Y83" s="320"/>
      <c r="Z83" s="321"/>
      <c r="AA83" s="321"/>
      <c r="AB83" s="321"/>
      <c r="AC83" s="320"/>
      <c r="AD83" s="380"/>
      <c r="AE83" s="352"/>
      <c r="AF83" s="381">
        <f t="shared" si="20"/>
        <v>0</v>
      </c>
      <c r="AG83" s="381"/>
      <c r="AH83" s="408"/>
      <c r="AI83" s="409">
        <f t="shared" si="21"/>
        <v>0</v>
      </c>
      <c r="AJ83" s="410"/>
      <c r="AK83" s="411">
        <f t="shared" si="22"/>
        <v>0</v>
      </c>
    </row>
    <row r="84" spans="1:37" s="234" customFormat="1" ht="20.25">
      <c r="A84" s="1180" t="s">
        <v>125</v>
      </c>
      <c r="B84" s="729"/>
      <c r="C84" s="730"/>
      <c r="D84" s="1077"/>
      <c r="E84" s="319"/>
      <c r="F84" s="320"/>
      <c r="G84" s="320"/>
      <c r="H84" s="321"/>
      <c r="I84" s="321"/>
      <c r="J84" s="320"/>
      <c r="K84" s="1090"/>
      <c r="L84" s="351"/>
      <c r="M84" s="352"/>
      <c r="N84" s="353"/>
      <c r="O84" s="321"/>
      <c r="P84" s="321"/>
      <c r="Q84" s="321"/>
      <c r="R84" s="321"/>
      <c r="S84" s="321"/>
      <c r="T84" s="321"/>
      <c r="U84" s="351"/>
      <c r="V84" s="352"/>
      <c r="W84" s="319"/>
      <c r="X84" s="320"/>
      <c r="Y84" s="320"/>
      <c r="Z84" s="321"/>
      <c r="AA84" s="321"/>
      <c r="AB84" s="321"/>
      <c r="AC84" s="320"/>
      <c r="AD84" s="380"/>
      <c r="AE84" s="352"/>
      <c r="AF84" s="381">
        <f t="shared" si="20"/>
        <v>0</v>
      </c>
      <c r="AG84" s="381"/>
      <c r="AH84" s="408"/>
      <c r="AI84" s="409">
        <f t="shared" si="21"/>
        <v>0</v>
      </c>
      <c r="AJ84" s="410"/>
      <c r="AK84" s="411">
        <f t="shared" si="22"/>
        <v>0</v>
      </c>
    </row>
    <row r="85" spans="1:37" s="234" customFormat="1" ht="20.25">
      <c r="A85" s="1180" t="s">
        <v>125</v>
      </c>
      <c r="B85" s="729"/>
      <c r="C85" s="730"/>
      <c r="D85" s="1077"/>
      <c r="E85" s="319"/>
      <c r="F85" s="320"/>
      <c r="G85" s="320"/>
      <c r="H85" s="321"/>
      <c r="I85" s="321"/>
      <c r="J85" s="320"/>
      <c r="K85" s="1090"/>
      <c r="L85" s="351"/>
      <c r="M85" s="352"/>
      <c r="N85" s="353"/>
      <c r="O85" s="321"/>
      <c r="P85" s="321"/>
      <c r="Q85" s="321"/>
      <c r="R85" s="321"/>
      <c r="S85" s="321"/>
      <c r="T85" s="321"/>
      <c r="U85" s="351"/>
      <c r="V85" s="352"/>
      <c r="W85" s="319"/>
      <c r="X85" s="320"/>
      <c r="Y85" s="320"/>
      <c r="Z85" s="321"/>
      <c r="AA85" s="321"/>
      <c r="AB85" s="321"/>
      <c r="AC85" s="320"/>
      <c r="AD85" s="380"/>
      <c r="AE85" s="352"/>
      <c r="AF85" s="381">
        <f t="shared" si="20"/>
        <v>0</v>
      </c>
      <c r="AG85" s="381"/>
      <c r="AH85" s="408"/>
      <c r="AI85" s="409">
        <f t="shared" si="21"/>
        <v>0</v>
      </c>
      <c r="AJ85" s="410"/>
      <c r="AK85" s="411">
        <f t="shared" si="22"/>
        <v>0</v>
      </c>
    </row>
    <row r="86" spans="1:37" s="234" customFormat="1" ht="20.25">
      <c r="A86" s="1180" t="s">
        <v>125</v>
      </c>
      <c r="B86" s="729"/>
      <c r="C86" s="730"/>
      <c r="D86" s="1077"/>
      <c r="E86" s="319"/>
      <c r="F86" s="320"/>
      <c r="G86" s="320"/>
      <c r="H86" s="321"/>
      <c r="I86" s="321"/>
      <c r="J86" s="320"/>
      <c r="K86" s="1090"/>
      <c r="L86" s="351"/>
      <c r="M86" s="352"/>
      <c r="N86" s="353"/>
      <c r="O86" s="321"/>
      <c r="P86" s="321"/>
      <c r="Q86" s="321"/>
      <c r="R86" s="321"/>
      <c r="S86" s="321"/>
      <c r="T86" s="321"/>
      <c r="U86" s="351"/>
      <c r="V86" s="352"/>
      <c r="W86" s="319"/>
      <c r="X86" s="320"/>
      <c r="Y86" s="320"/>
      <c r="Z86" s="321"/>
      <c r="AA86" s="321"/>
      <c r="AB86" s="321"/>
      <c r="AC86" s="320"/>
      <c r="AD86" s="380"/>
      <c r="AE86" s="352"/>
      <c r="AF86" s="381">
        <f t="shared" si="20"/>
        <v>0</v>
      </c>
      <c r="AG86" s="381"/>
      <c r="AH86" s="408"/>
      <c r="AI86" s="409">
        <f t="shared" si="21"/>
        <v>0</v>
      </c>
      <c r="AJ86" s="410"/>
      <c r="AK86" s="411">
        <f t="shared" si="22"/>
        <v>0</v>
      </c>
    </row>
    <row r="87" spans="1:37" s="234" customFormat="1" ht="20.25">
      <c r="A87" s="1180" t="s">
        <v>125</v>
      </c>
      <c r="B87" s="729"/>
      <c r="C87" s="730"/>
      <c r="D87" s="1077"/>
      <c r="E87" s="319"/>
      <c r="F87" s="320"/>
      <c r="G87" s="320"/>
      <c r="H87" s="321"/>
      <c r="I87" s="321"/>
      <c r="J87" s="320"/>
      <c r="K87" s="1090"/>
      <c r="L87" s="351"/>
      <c r="M87" s="352"/>
      <c r="N87" s="353"/>
      <c r="O87" s="321"/>
      <c r="P87" s="321"/>
      <c r="Q87" s="321"/>
      <c r="R87" s="321"/>
      <c r="S87" s="321"/>
      <c r="T87" s="321"/>
      <c r="U87" s="351"/>
      <c r="V87" s="352"/>
      <c r="W87" s="319"/>
      <c r="X87" s="320"/>
      <c r="Y87" s="320"/>
      <c r="Z87" s="321"/>
      <c r="AA87" s="321"/>
      <c r="AB87" s="321"/>
      <c r="AC87" s="320"/>
      <c r="AD87" s="380"/>
      <c r="AE87" s="352"/>
      <c r="AF87" s="381">
        <f t="shared" si="20"/>
        <v>0</v>
      </c>
      <c r="AG87" s="381"/>
      <c r="AH87" s="408"/>
      <c r="AI87" s="409">
        <f t="shared" si="21"/>
        <v>0</v>
      </c>
      <c r="AJ87" s="410"/>
      <c r="AK87" s="411">
        <f t="shared" si="22"/>
        <v>0</v>
      </c>
    </row>
    <row r="88" spans="1:37" s="234" customFormat="1" ht="20.25">
      <c r="A88" s="1180" t="s">
        <v>125</v>
      </c>
      <c r="B88" s="729"/>
      <c r="C88" s="730"/>
      <c r="D88" s="1077"/>
      <c r="E88" s="319"/>
      <c r="F88" s="320"/>
      <c r="G88" s="320"/>
      <c r="H88" s="321"/>
      <c r="I88" s="321"/>
      <c r="J88" s="320"/>
      <c r="K88" s="1090"/>
      <c r="L88" s="351"/>
      <c r="M88" s="352"/>
      <c r="N88" s="353"/>
      <c r="O88" s="321"/>
      <c r="P88" s="321"/>
      <c r="Q88" s="321"/>
      <c r="R88" s="321"/>
      <c r="S88" s="321"/>
      <c r="T88" s="321"/>
      <c r="U88" s="351"/>
      <c r="V88" s="352"/>
      <c r="W88" s="319"/>
      <c r="X88" s="320"/>
      <c r="Y88" s="320"/>
      <c r="Z88" s="321"/>
      <c r="AA88" s="321"/>
      <c r="AB88" s="321"/>
      <c r="AC88" s="320"/>
      <c r="AD88" s="380"/>
      <c r="AE88" s="352"/>
      <c r="AF88" s="381">
        <f t="shared" si="20"/>
        <v>0</v>
      </c>
      <c r="AG88" s="381"/>
      <c r="AH88" s="408"/>
      <c r="AI88" s="409">
        <f t="shared" si="21"/>
        <v>0</v>
      </c>
      <c r="AJ88" s="410"/>
      <c r="AK88" s="411">
        <f t="shared" si="22"/>
        <v>0</v>
      </c>
    </row>
    <row r="89" spans="1:37" s="234" customFormat="1" ht="20.25">
      <c r="A89" s="1180" t="s">
        <v>125</v>
      </c>
      <c r="B89" s="729"/>
      <c r="C89" s="730"/>
      <c r="D89" s="1077"/>
      <c r="E89" s="319"/>
      <c r="F89" s="320"/>
      <c r="G89" s="320"/>
      <c r="H89" s="321"/>
      <c r="I89" s="321"/>
      <c r="J89" s="320"/>
      <c r="K89" s="842"/>
      <c r="L89" s="351"/>
      <c r="M89" s="352"/>
      <c r="N89" s="353"/>
      <c r="O89" s="321"/>
      <c r="P89" s="321"/>
      <c r="Q89" s="321"/>
      <c r="R89" s="321"/>
      <c r="S89" s="321"/>
      <c r="T89" s="321"/>
      <c r="U89" s="351"/>
      <c r="V89" s="352"/>
      <c r="W89" s="319"/>
      <c r="X89" s="320"/>
      <c r="Y89" s="320"/>
      <c r="Z89" s="321"/>
      <c r="AA89" s="321"/>
      <c r="AB89" s="321"/>
      <c r="AC89" s="320"/>
      <c r="AD89" s="380"/>
      <c r="AE89" s="352"/>
      <c r="AF89" s="381">
        <f t="shared" si="20"/>
        <v>0</v>
      </c>
      <c r="AG89" s="381"/>
      <c r="AH89" s="408"/>
      <c r="AI89" s="409">
        <f t="shared" si="21"/>
        <v>0</v>
      </c>
      <c r="AJ89" s="410"/>
      <c r="AK89" s="411">
        <f t="shared" si="22"/>
        <v>0</v>
      </c>
    </row>
    <row r="90" spans="1:37" s="234" customFormat="1" ht="20.25">
      <c r="A90" s="1180" t="s">
        <v>125</v>
      </c>
      <c r="B90" s="729"/>
      <c r="C90" s="730"/>
      <c r="D90" s="1077"/>
      <c r="E90" s="319"/>
      <c r="F90" s="320"/>
      <c r="G90" s="320"/>
      <c r="H90" s="321"/>
      <c r="I90" s="321"/>
      <c r="J90" s="320"/>
      <c r="K90" s="842"/>
      <c r="L90" s="351"/>
      <c r="M90" s="352"/>
      <c r="N90" s="353"/>
      <c r="O90" s="321"/>
      <c r="P90" s="321"/>
      <c r="Q90" s="321"/>
      <c r="R90" s="321"/>
      <c r="S90" s="321"/>
      <c r="T90" s="321"/>
      <c r="U90" s="351"/>
      <c r="V90" s="352"/>
      <c r="W90" s="319"/>
      <c r="X90" s="320"/>
      <c r="Y90" s="320"/>
      <c r="Z90" s="321"/>
      <c r="AA90" s="321"/>
      <c r="AB90" s="321"/>
      <c r="AC90" s="320"/>
      <c r="AD90" s="380"/>
      <c r="AE90" s="352"/>
      <c r="AF90" s="381">
        <f t="shared" si="20"/>
        <v>0</v>
      </c>
      <c r="AG90" s="381"/>
      <c r="AH90" s="408"/>
      <c r="AI90" s="409">
        <f t="shared" si="21"/>
        <v>0</v>
      </c>
      <c r="AJ90" s="410"/>
      <c r="AK90" s="411">
        <f t="shared" si="22"/>
        <v>0</v>
      </c>
    </row>
    <row r="91" spans="1:37" s="234" customFormat="1" ht="20.25">
      <c r="A91" s="1180" t="s">
        <v>125</v>
      </c>
      <c r="B91" s="729"/>
      <c r="C91" s="730"/>
      <c r="D91" s="1077"/>
      <c r="E91" s="319"/>
      <c r="F91" s="320"/>
      <c r="G91" s="320"/>
      <c r="H91" s="321"/>
      <c r="I91" s="321"/>
      <c r="J91" s="320"/>
      <c r="K91" s="842"/>
      <c r="L91" s="351"/>
      <c r="M91" s="352"/>
      <c r="N91" s="353"/>
      <c r="O91" s="321"/>
      <c r="P91" s="321"/>
      <c r="Q91" s="321"/>
      <c r="R91" s="321"/>
      <c r="S91" s="321"/>
      <c r="T91" s="321"/>
      <c r="U91" s="351"/>
      <c r="V91" s="352"/>
      <c r="W91" s="319"/>
      <c r="X91" s="320"/>
      <c r="Y91" s="320"/>
      <c r="Z91" s="321"/>
      <c r="AA91" s="321"/>
      <c r="AB91" s="321"/>
      <c r="AC91" s="320"/>
      <c r="AD91" s="380"/>
      <c r="AE91" s="352"/>
      <c r="AF91" s="381">
        <f t="shared" si="20"/>
        <v>0</v>
      </c>
      <c r="AG91" s="381"/>
      <c r="AH91" s="408"/>
      <c r="AI91" s="409">
        <f t="shared" si="21"/>
        <v>0</v>
      </c>
      <c r="AJ91" s="410"/>
      <c r="AK91" s="411">
        <f t="shared" si="22"/>
        <v>0</v>
      </c>
    </row>
    <row r="92" spans="1:37" s="234" customFormat="1" ht="20.25">
      <c r="A92" s="1180" t="s">
        <v>125</v>
      </c>
      <c r="B92" s="729"/>
      <c r="C92" s="730"/>
      <c r="D92" s="1077"/>
      <c r="E92" s="319"/>
      <c r="F92" s="320"/>
      <c r="G92" s="320"/>
      <c r="H92" s="321"/>
      <c r="I92" s="321"/>
      <c r="J92" s="320"/>
      <c r="K92" s="842"/>
      <c r="L92" s="351"/>
      <c r="M92" s="352"/>
      <c r="N92" s="353"/>
      <c r="O92" s="321"/>
      <c r="P92" s="321"/>
      <c r="Q92" s="321"/>
      <c r="R92" s="321"/>
      <c r="S92" s="321"/>
      <c r="T92" s="321"/>
      <c r="U92" s="351"/>
      <c r="V92" s="352"/>
      <c r="W92" s="319"/>
      <c r="X92" s="320"/>
      <c r="Y92" s="320"/>
      <c r="Z92" s="321"/>
      <c r="AA92" s="321"/>
      <c r="AB92" s="321"/>
      <c r="AC92" s="320"/>
      <c r="AD92" s="380"/>
      <c r="AE92" s="352"/>
      <c r="AF92" s="381">
        <f t="shared" si="20"/>
        <v>0</v>
      </c>
      <c r="AG92" s="381"/>
      <c r="AH92" s="408"/>
      <c r="AI92" s="409">
        <f t="shared" si="21"/>
        <v>0</v>
      </c>
      <c r="AJ92" s="410"/>
      <c r="AK92" s="411">
        <f t="shared" si="22"/>
        <v>0</v>
      </c>
    </row>
    <row r="93" spans="1:37" s="234" customFormat="1" ht="20.25">
      <c r="A93" s="1180" t="s">
        <v>125</v>
      </c>
      <c r="B93" s="729"/>
      <c r="C93" s="730"/>
      <c r="D93" s="1077"/>
      <c r="E93" s="319"/>
      <c r="F93" s="320"/>
      <c r="G93" s="320"/>
      <c r="H93" s="321"/>
      <c r="I93" s="321"/>
      <c r="J93" s="320"/>
      <c r="K93" s="842"/>
      <c r="L93" s="351"/>
      <c r="M93" s="352"/>
      <c r="N93" s="353"/>
      <c r="O93" s="321"/>
      <c r="P93" s="321"/>
      <c r="Q93" s="321"/>
      <c r="R93" s="321"/>
      <c r="S93" s="321"/>
      <c r="T93" s="321"/>
      <c r="U93" s="351"/>
      <c r="V93" s="352"/>
      <c r="W93" s="319"/>
      <c r="X93" s="320"/>
      <c r="Y93" s="320"/>
      <c r="Z93" s="321"/>
      <c r="AA93" s="321"/>
      <c r="AB93" s="321"/>
      <c r="AC93" s="320"/>
      <c r="AD93" s="380"/>
      <c r="AE93" s="352"/>
      <c r="AF93" s="381">
        <f t="shared" si="20"/>
        <v>0</v>
      </c>
      <c r="AG93" s="381"/>
      <c r="AH93" s="408"/>
      <c r="AI93" s="409">
        <f t="shared" si="21"/>
        <v>0</v>
      </c>
      <c r="AJ93" s="410"/>
      <c r="AK93" s="411">
        <f t="shared" si="22"/>
        <v>0</v>
      </c>
    </row>
    <row r="94" spans="1:37" s="234" customFormat="1" ht="20.25">
      <c r="A94" s="1180" t="s">
        <v>125</v>
      </c>
      <c r="B94" s="729"/>
      <c r="C94" s="730"/>
      <c r="D94" s="1077"/>
      <c r="E94" s="319"/>
      <c r="F94" s="320"/>
      <c r="G94" s="320"/>
      <c r="H94" s="321"/>
      <c r="I94" s="321"/>
      <c r="J94" s="320"/>
      <c r="K94" s="842"/>
      <c r="L94" s="351"/>
      <c r="M94" s="352"/>
      <c r="N94" s="353"/>
      <c r="O94" s="321"/>
      <c r="P94" s="321"/>
      <c r="Q94" s="321"/>
      <c r="R94" s="321"/>
      <c r="S94" s="321"/>
      <c r="T94" s="321"/>
      <c r="U94" s="351"/>
      <c r="V94" s="352"/>
      <c r="W94" s="319"/>
      <c r="X94" s="320"/>
      <c r="Y94" s="320"/>
      <c r="Z94" s="321"/>
      <c r="AA94" s="321"/>
      <c r="AB94" s="321"/>
      <c r="AC94" s="320"/>
      <c r="AD94" s="380"/>
      <c r="AE94" s="352"/>
      <c r="AF94" s="381">
        <f t="shared" si="20"/>
        <v>0</v>
      </c>
      <c r="AG94" s="381"/>
      <c r="AH94" s="408"/>
      <c r="AI94" s="409">
        <f t="shared" si="21"/>
        <v>0</v>
      </c>
      <c r="AJ94" s="410"/>
      <c r="AK94" s="411">
        <f t="shared" si="22"/>
        <v>0</v>
      </c>
    </row>
    <row r="95" spans="1:37" s="234" customFormat="1" ht="20.25">
      <c r="A95" s="1180" t="s">
        <v>125</v>
      </c>
      <c r="B95" s="729"/>
      <c r="C95" s="730"/>
      <c r="D95" s="1077"/>
      <c r="E95" s="319"/>
      <c r="F95" s="320"/>
      <c r="G95" s="320"/>
      <c r="H95" s="321"/>
      <c r="I95" s="321"/>
      <c r="J95" s="320"/>
      <c r="K95" s="842"/>
      <c r="L95" s="351"/>
      <c r="M95" s="352"/>
      <c r="N95" s="353"/>
      <c r="O95" s="321"/>
      <c r="P95" s="321"/>
      <c r="Q95" s="321"/>
      <c r="R95" s="321"/>
      <c r="S95" s="321"/>
      <c r="T95" s="321"/>
      <c r="U95" s="351"/>
      <c r="V95" s="352"/>
      <c r="W95" s="319"/>
      <c r="X95" s="320"/>
      <c r="Y95" s="320"/>
      <c r="Z95" s="321"/>
      <c r="AA95" s="321"/>
      <c r="AB95" s="321"/>
      <c r="AC95" s="320"/>
      <c r="AD95" s="380"/>
      <c r="AE95" s="352"/>
      <c r="AF95" s="381">
        <f t="shared" si="20"/>
        <v>0</v>
      </c>
      <c r="AG95" s="381"/>
      <c r="AH95" s="408"/>
      <c r="AI95" s="409">
        <f t="shared" si="21"/>
        <v>0</v>
      </c>
      <c r="AJ95" s="410"/>
      <c r="AK95" s="411">
        <f t="shared" si="22"/>
        <v>0</v>
      </c>
    </row>
    <row r="96" spans="1:37" s="234" customFormat="1" ht="20.25">
      <c r="A96" s="1180" t="s">
        <v>125</v>
      </c>
      <c r="B96" s="729"/>
      <c r="C96" s="730"/>
      <c r="D96" s="1077"/>
      <c r="E96" s="319"/>
      <c r="F96" s="320"/>
      <c r="G96" s="320"/>
      <c r="H96" s="321"/>
      <c r="I96" s="321"/>
      <c r="J96" s="320"/>
      <c r="K96" s="842"/>
      <c r="L96" s="351"/>
      <c r="M96" s="352"/>
      <c r="N96" s="353"/>
      <c r="O96" s="321"/>
      <c r="P96" s="321"/>
      <c r="Q96" s="321"/>
      <c r="R96" s="321"/>
      <c r="S96" s="321"/>
      <c r="T96" s="321"/>
      <c r="U96" s="351"/>
      <c r="V96" s="352"/>
      <c r="W96" s="319"/>
      <c r="X96" s="320"/>
      <c r="Y96" s="320"/>
      <c r="Z96" s="321"/>
      <c r="AA96" s="321"/>
      <c r="AB96" s="321"/>
      <c r="AC96" s="320"/>
      <c r="AD96" s="380"/>
      <c r="AE96" s="352"/>
      <c r="AF96" s="381">
        <f t="shared" si="20"/>
        <v>0</v>
      </c>
      <c r="AG96" s="381"/>
      <c r="AH96" s="408"/>
      <c r="AI96" s="409">
        <f t="shared" si="21"/>
        <v>0</v>
      </c>
      <c r="AJ96" s="410"/>
      <c r="AK96" s="411">
        <f t="shared" si="22"/>
        <v>0</v>
      </c>
    </row>
    <row r="97" spans="1:40" s="234" customFormat="1" ht="20.25">
      <c r="A97" s="1180" t="s">
        <v>125</v>
      </c>
      <c r="B97" s="729"/>
      <c r="C97" s="730"/>
      <c r="D97" s="1077"/>
      <c r="E97" s="319"/>
      <c r="F97" s="320"/>
      <c r="G97" s="320"/>
      <c r="H97" s="321"/>
      <c r="I97" s="321"/>
      <c r="J97" s="320"/>
      <c r="K97" s="842"/>
      <c r="L97" s="351"/>
      <c r="M97" s="352"/>
      <c r="N97" s="353"/>
      <c r="O97" s="321"/>
      <c r="P97" s="321"/>
      <c r="Q97" s="321"/>
      <c r="R97" s="321"/>
      <c r="S97" s="321"/>
      <c r="T97" s="321"/>
      <c r="U97" s="351"/>
      <c r="V97" s="352"/>
      <c r="W97" s="319"/>
      <c r="X97" s="320"/>
      <c r="Y97" s="320"/>
      <c r="Z97" s="321"/>
      <c r="AA97" s="321"/>
      <c r="AB97" s="321"/>
      <c r="AC97" s="320"/>
      <c r="AD97" s="380"/>
      <c r="AE97" s="352"/>
      <c r="AF97" s="381">
        <f t="shared" si="20"/>
        <v>0</v>
      </c>
      <c r="AG97" s="381"/>
      <c r="AH97" s="408"/>
      <c r="AI97" s="409">
        <f t="shared" si="21"/>
        <v>0</v>
      </c>
      <c r="AJ97" s="410"/>
      <c r="AK97" s="411">
        <f t="shared" si="22"/>
        <v>0</v>
      </c>
    </row>
    <row r="98" spans="1:40" s="234" customFormat="1" ht="21" thickBot="1">
      <c r="A98" s="1180" t="s">
        <v>125</v>
      </c>
      <c r="B98" s="729"/>
      <c r="C98" s="730"/>
      <c r="D98" s="1077"/>
      <c r="E98" s="319"/>
      <c r="F98" s="320"/>
      <c r="G98" s="320"/>
      <c r="H98" s="321"/>
      <c r="I98" s="321"/>
      <c r="J98" s="320"/>
      <c r="K98" s="842"/>
      <c r="L98" s="351"/>
      <c r="M98" s="352"/>
      <c r="N98" s="353"/>
      <c r="O98" s="321"/>
      <c r="P98" s="321"/>
      <c r="Q98" s="321"/>
      <c r="R98" s="321"/>
      <c r="S98" s="321"/>
      <c r="T98" s="321"/>
      <c r="U98" s="351"/>
      <c r="V98" s="352"/>
      <c r="W98" s="319"/>
      <c r="X98" s="320"/>
      <c r="Y98" s="320"/>
      <c r="Z98" s="321"/>
      <c r="AA98" s="321"/>
      <c r="AB98" s="321"/>
      <c r="AC98" s="320"/>
      <c r="AD98" s="380"/>
      <c r="AE98" s="352"/>
      <c r="AF98" s="381">
        <f t="shared" si="20"/>
        <v>0</v>
      </c>
      <c r="AG98" s="381"/>
      <c r="AH98" s="408"/>
      <c r="AI98" s="409">
        <f t="shared" si="21"/>
        <v>0</v>
      </c>
      <c r="AJ98" s="410"/>
      <c r="AK98" s="411">
        <f t="shared" si="22"/>
        <v>0</v>
      </c>
    </row>
    <row r="99" spans="1:40" s="283" customFormat="1" ht="21" thickBot="1">
      <c r="A99" s="1180" t="s">
        <v>125</v>
      </c>
      <c r="B99" s="729"/>
      <c r="C99" s="730"/>
      <c r="D99" s="1077"/>
      <c r="E99" s="319"/>
      <c r="F99" s="320"/>
      <c r="G99" s="320"/>
      <c r="H99" s="321"/>
      <c r="I99" s="321"/>
      <c r="J99" s="320"/>
      <c r="K99" s="842"/>
      <c r="L99" s="351"/>
      <c r="M99" s="352"/>
      <c r="N99" s="353"/>
      <c r="O99" s="321"/>
      <c r="P99" s="321"/>
      <c r="Q99" s="321"/>
      <c r="R99" s="321"/>
      <c r="S99" s="321"/>
      <c r="T99" s="321"/>
      <c r="U99" s="351"/>
      <c r="V99" s="352"/>
      <c r="W99" s="319"/>
      <c r="X99" s="320"/>
      <c r="Y99" s="320"/>
      <c r="Z99" s="321"/>
      <c r="AA99" s="321"/>
      <c r="AB99" s="321"/>
      <c r="AC99" s="320"/>
      <c r="AD99" s="380"/>
      <c r="AE99" s="352"/>
      <c r="AF99" s="381">
        <f t="shared" si="20"/>
        <v>0</v>
      </c>
      <c r="AG99" s="381"/>
      <c r="AH99" s="408"/>
      <c r="AI99" s="409">
        <f t="shared" si="21"/>
        <v>0</v>
      </c>
      <c r="AJ99" s="410"/>
      <c r="AK99" s="411">
        <f t="shared" si="22"/>
        <v>0</v>
      </c>
      <c r="AL99" s="414" t="s">
        <v>8</v>
      </c>
      <c r="AM99" s="397" t="s">
        <v>23</v>
      </c>
      <c r="AN99" s="415" t="s">
        <v>174</v>
      </c>
    </row>
    <row r="100" spans="1:40" s="284" customFormat="1" ht="21" thickBot="1">
      <c r="A100" s="1180" t="s">
        <v>125</v>
      </c>
      <c r="B100" s="729"/>
      <c r="C100" s="730"/>
      <c r="D100" s="1077"/>
      <c r="E100" s="319"/>
      <c r="F100" s="320"/>
      <c r="G100" s="320"/>
      <c r="H100" s="321"/>
      <c r="I100" s="321"/>
      <c r="J100" s="320"/>
      <c r="K100" s="842"/>
      <c r="L100" s="351"/>
      <c r="M100" s="352"/>
      <c r="N100" s="353"/>
      <c r="O100" s="321"/>
      <c r="P100" s="321"/>
      <c r="Q100" s="321"/>
      <c r="R100" s="321"/>
      <c r="S100" s="321"/>
      <c r="T100" s="321"/>
      <c r="U100" s="351"/>
      <c r="V100" s="352"/>
      <c r="W100" s="319"/>
      <c r="X100" s="320"/>
      <c r="Y100" s="320"/>
      <c r="Z100" s="321"/>
      <c r="AA100" s="321"/>
      <c r="AB100" s="321"/>
      <c r="AC100" s="320"/>
      <c r="AD100" s="380"/>
      <c r="AE100" s="352"/>
      <c r="AF100" s="381">
        <f t="shared" si="20"/>
        <v>0</v>
      </c>
      <c r="AG100" s="381"/>
      <c r="AH100" s="408"/>
      <c r="AI100" s="409">
        <f t="shared" si="21"/>
        <v>0</v>
      </c>
      <c r="AJ100" s="410"/>
      <c r="AK100" s="411">
        <f t="shared" si="22"/>
        <v>0</v>
      </c>
      <c r="AL100" s="399">
        <f>'BIG CHAIR'!CL146</f>
        <v>0</v>
      </c>
      <c r="AM100" s="400">
        <f>'Tea Table'!X202</f>
        <v>0</v>
      </c>
      <c r="AN100" s="401">
        <f>AI104+AL100+AM100</f>
        <v>0</v>
      </c>
    </row>
    <row r="101" spans="1:40" ht="20.25">
      <c r="A101" s="1180" t="s">
        <v>125</v>
      </c>
      <c r="B101" s="729"/>
      <c r="C101" s="730"/>
      <c r="D101" s="1077"/>
      <c r="E101" s="319"/>
      <c r="F101" s="320"/>
      <c r="G101" s="320"/>
      <c r="H101" s="321"/>
      <c r="I101" s="321"/>
      <c r="J101" s="320"/>
      <c r="K101" s="842"/>
      <c r="L101" s="351"/>
      <c r="M101" s="352"/>
      <c r="N101" s="353"/>
      <c r="O101" s="321"/>
      <c r="P101" s="321"/>
      <c r="Q101" s="321"/>
      <c r="R101" s="321"/>
      <c r="S101" s="321"/>
      <c r="T101" s="321"/>
      <c r="U101" s="351"/>
      <c r="V101" s="352"/>
      <c r="W101" s="319"/>
      <c r="X101" s="320"/>
      <c r="Y101" s="320"/>
      <c r="Z101" s="321"/>
      <c r="AA101" s="321"/>
      <c r="AB101" s="321"/>
      <c r="AC101" s="320"/>
      <c r="AD101" s="380"/>
      <c r="AE101" s="352"/>
      <c r="AF101" s="381">
        <f t="shared" si="20"/>
        <v>0</v>
      </c>
      <c r="AG101" s="381"/>
      <c r="AH101" s="408"/>
      <c r="AI101" s="409">
        <f t="shared" si="21"/>
        <v>0</v>
      </c>
      <c r="AJ101" s="410"/>
      <c r="AK101" s="411">
        <f t="shared" si="22"/>
        <v>0</v>
      </c>
      <c r="AL101" s="282"/>
      <c r="AM101" s="282"/>
      <c r="AN101" s="282"/>
    </row>
    <row r="102" spans="1:40" ht="20.25">
      <c r="A102" s="1180" t="s">
        <v>125</v>
      </c>
      <c r="B102" s="729"/>
      <c r="C102" s="730"/>
      <c r="D102" s="1077"/>
      <c r="E102" s="319"/>
      <c r="F102" s="320"/>
      <c r="G102" s="320"/>
      <c r="H102" s="321"/>
      <c r="I102" s="321"/>
      <c r="J102" s="320"/>
      <c r="K102" s="842"/>
      <c r="L102" s="351"/>
      <c r="M102" s="352"/>
      <c r="N102" s="353"/>
      <c r="O102" s="321"/>
      <c r="P102" s="321"/>
      <c r="Q102" s="321"/>
      <c r="R102" s="321"/>
      <c r="S102" s="321"/>
      <c r="T102" s="321"/>
      <c r="U102" s="351"/>
      <c r="V102" s="352"/>
      <c r="W102" s="319"/>
      <c r="X102" s="320"/>
      <c r="Y102" s="320"/>
      <c r="Z102" s="321"/>
      <c r="AA102" s="321"/>
      <c r="AB102" s="321"/>
      <c r="AC102" s="320"/>
      <c r="AD102" s="380"/>
      <c r="AE102" s="352"/>
      <c r="AF102" s="381">
        <f t="shared" si="20"/>
        <v>0</v>
      </c>
      <c r="AG102" s="381"/>
      <c r="AH102" s="408"/>
      <c r="AI102" s="409">
        <f t="shared" si="21"/>
        <v>0</v>
      </c>
      <c r="AJ102" s="410"/>
      <c r="AK102" s="411">
        <f t="shared" si="22"/>
        <v>0</v>
      </c>
      <c r="AL102" s="234"/>
      <c r="AM102" s="234"/>
      <c r="AN102" s="234"/>
    </row>
    <row r="103" spans="1:40" ht="21" thickBot="1">
      <c r="A103" s="2582"/>
      <c r="B103" s="2564"/>
      <c r="C103" s="732"/>
      <c r="D103" s="1078"/>
      <c r="E103" s="325"/>
      <c r="F103" s="297"/>
      <c r="G103" s="297"/>
      <c r="H103" s="298"/>
      <c r="I103" s="298"/>
      <c r="J103" s="297"/>
      <c r="K103" s="1086"/>
      <c r="L103" s="367"/>
      <c r="M103" s="355"/>
      <c r="N103" s="343"/>
      <c r="O103" s="298"/>
      <c r="P103" s="298"/>
      <c r="Q103" s="298"/>
      <c r="R103" s="298"/>
      <c r="S103" s="298"/>
      <c r="T103" s="298"/>
      <c r="U103" s="367"/>
      <c r="V103" s="355"/>
      <c r="W103" s="325"/>
      <c r="X103" s="297"/>
      <c r="Y103" s="297"/>
      <c r="Z103" s="298"/>
      <c r="AA103" s="298"/>
      <c r="AB103" s="298"/>
      <c r="AC103" s="297"/>
      <c r="AD103" s="375"/>
      <c r="AE103" s="355"/>
      <c r="AF103" s="376">
        <f t="shared" si="20"/>
        <v>0</v>
      </c>
      <c r="AG103" s="377"/>
      <c r="AH103" s="390"/>
      <c r="AI103" s="391">
        <f t="shared" si="21"/>
        <v>0</v>
      </c>
      <c r="AJ103" s="412"/>
      <c r="AK103" s="413">
        <f t="shared" si="22"/>
        <v>0</v>
      </c>
      <c r="AL103" s="234"/>
      <c r="AM103" s="234"/>
      <c r="AN103" s="234"/>
    </row>
    <row r="104" spans="1:40" ht="19.5" thickBot="1">
      <c r="A104" s="326" t="s">
        <v>126</v>
      </c>
      <c r="B104" s="327"/>
      <c r="C104" s="327"/>
      <c r="D104" s="328"/>
      <c r="E104" s="329">
        <f t="shared" ref="E104:L104" si="23">SUM(E71:E103)</f>
        <v>0</v>
      </c>
      <c r="F104" s="330">
        <f t="shared" si="23"/>
        <v>0</v>
      </c>
      <c r="G104" s="330">
        <f t="shared" si="23"/>
        <v>0</v>
      </c>
      <c r="H104" s="330">
        <f t="shared" si="23"/>
        <v>0</v>
      </c>
      <c r="I104" s="330">
        <f t="shared" si="23"/>
        <v>0</v>
      </c>
      <c r="J104" s="330">
        <f t="shared" si="23"/>
        <v>0</v>
      </c>
      <c r="K104" s="330">
        <f t="shared" si="23"/>
        <v>0</v>
      </c>
      <c r="L104" s="356">
        <f t="shared" si="23"/>
        <v>0</v>
      </c>
      <c r="M104" s="357"/>
      <c r="N104" s="358">
        <f t="shared" ref="N104:U104" si="24">SUM(N71:N103)</f>
        <v>0</v>
      </c>
      <c r="O104" s="359">
        <f t="shared" si="24"/>
        <v>0</v>
      </c>
      <c r="P104" s="359">
        <f t="shared" si="24"/>
        <v>0</v>
      </c>
      <c r="Q104" s="359">
        <f t="shared" si="24"/>
        <v>0</v>
      </c>
      <c r="R104" s="359">
        <f t="shared" si="24"/>
        <v>0</v>
      </c>
      <c r="S104" s="359">
        <f t="shared" si="24"/>
        <v>0</v>
      </c>
      <c r="T104" s="359">
        <f t="shared" si="24"/>
        <v>0</v>
      </c>
      <c r="U104" s="369">
        <f t="shared" si="24"/>
        <v>0</v>
      </c>
      <c r="V104" s="357"/>
      <c r="W104" s="358">
        <f>SUM(W71:W103)</f>
        <v>0</v>
      </c>
      <c r="X104" s="359">
        <f>SUM(X71:X103)</f>
        <v>0</v>
      </c>
      <c r="Y104" s="359">
        <f t="shared" ref="Y104:AD104" si="25">SUM(Y71:Y103)</f>
        <v>0</v>
      </c>
      <c r="Z104" s="359">
        <f t="shared" si="25"/>
        <v>0</v>
      </c>
      <c r="AA104" s="359">
        <f t="shared" si="25"/>
        <v>0</v>
      </c>
      <c r="AB104" s="359">
        <f t="shared" si="25"/>
        <v>0</v>
      </c>
      <c r="AC104" s="359">
        <f t="shared" si="25"/>
        <v>0</v>
      </c>
      <c r="AD104" s="369">
        <f t="shared" si="25"/>
        <v>0</v>
      </c>
      <c r="AE104" s="357"/>
      <c r="AF104" s="382">
        <f t="shared" ref="AF104:AK104" si="26">SUM(AF71:AF103)</f>
        <v>0</v>
      </c>
      <c r="AG104" s="382">
        <f t="shared" si="26"/>
        <v>0</v>
      </c>
      <c r="AH104" s="416">
        <f t="shared" si="26"/>
        <v>0</v>
      </c>
      <c r="AI104" s="417">
        <f t="shared" si="26"/>
        <v>0</v>
      </c>
      <c r="AJ104" s="382">
        <f t="shared" si="26"/>
        <v>0</v>
      </c>
      <c r="AK104" s="418">
        <f t="shared" si="26"/>
        <v>0</v>
      </c>
      <c r="AL104" s="234"/>
      <c r="AM104" s="234"/>
      <c r="AN104" s="234"/>
    </row>
    <row r="105" spans="1:40" ht="24" thickBot="1">
      <c r="A105" s="286" t="s">
        <v>127</v>
      </c>
      <c r="B105" s="287" t="s">
        <v>68</v>
      </c>
      <c r="C105" s="287" t="s">
        <v>69</v>
      </c>
      <c r="D105" s="1073" t="s">
        <v>70</v>
      </c>
      <c r="E105" s="743" t="s">
        <v>88</v>
      </c>
      <c r="F105" s="744" t="s">
        <v>407</v>
      </c>
      <c r="G105" s="744" t="s">
        <v>53</v>
      </c>
      <c r="H105" s="744" t="s">
        <v>170</v>
      </c>
      <c r="I105" s="744" t="s">
        <v>222</v>
      </c>
      <c r="J105" s="744" t="s">
        <v>149</v>
      </c>
      <c r="K105" s="744" t="s">
        <v>206</v>
      </c>
      <c r="L105" s="783" t="s">
        <v>124</v>
      </c>
      <c r="M105" s="1089"/>
      <c r="N105" s="80" t="s">
        <v>96</v>
      </c>
      <c r="O105" s="49" t="s">
        <v>407</v>
      </c>
      <c r="P105" s="49" t="s">
        <v>53</v>
      </c>
      <c r="Q105" s="49" t="s">
        <v>86</v>
      </c>
      <c r="R105" s="49" t="s">
        <v>94</v>
      </c>
      <c r="S105" s="49" t="s">
        <v>85</v>
      </c>
      <c r="T105" s="126" t="s">
        <v>92</v>
      </c>
      <c r="U105" s="171" t="s">
        <v>432</v>
      </c>
      <c r="V105" s="79"/>
      <c r="W105" s="80" t="s">
        <v>88</v>
      </c>
      <c r="X105" s="49"/>
      <c r="Y105" s="49" t="s">
        <v>206</v>
      </c>
      <c r="Z105" s="49"/>
      <c r="AA105" s="49" t="s">
        <v>222</v>
      </c>
      <c r="AB105" s="49"/>
      <c r="AC105" s="126" t="s">
        <v>76</v>
      </c>
      <c r="AD105" s="171"/>
      <c r="AE105" s="370"/>
      <c r="AF105" s="371" t="s">
        <v>172</v>
      </c>
      <c r="AG105" s="372" t="s">
        <v>80</v>
      </c>
      <c r="AH105" s="385"/>
      <c r="AI105" s="386" t="s">
        <v>106</v>
      </c>
      <c r="AJ105" s="385" t="s">
        <v>173</v>
      </c>
      <c r="AK105" s="371" t="s">
        <v>108</v>
      </c>
      <c r="AL105" s="234"/>
      <c r="AM105" s="234"/>
      <c r="AN105" s="234"/>
    </row>
    <row r="106" spans="1:40" ht="20.25">
      <c r="A106" s="1180" t="s">
        <v>128</v>
      </c>
      <c r="B106" s="2584"/>
      <c r="C106" s="730"/>
      <c r="D106" s="1077"/>
      <c r="E106" s="319"/>
      <c r="F106" s="320"/>
      <c r="G106" s="320"/>
      <c r="H106" s="321"/>
      <c r="I106" s="321"/>
      <c r="J106" s="320"/>
      <c r="K106" s="320"/>
      <c r="L106" s="363"/>
      <c r="M106" s="352"/>
      <c r="N106" s="353"/>
      <c r="O106" s="321"/>
      <c r="P106" s="321"/>
      <c r="Q106" s="321"/>
      <c r="R106" s="321"/>
      <c r="S106" s="321"/>
      <c r="T106" s="321"/>
      <c r="U106" s="351"/>
      <c r="V106" s="352"/>
      <c r="W106" s="319"/>
      <c r="X106" s="320"/>
      <c r="Y106" s="320"/>
      <c r="Z106" s="321"/>
      <c r="AA106" s="321"/>
      <c r="AB106" s="321"/>
      <c r="AC106" s="320"/>
      <c r="AD106" s="380"/>
      <c r="AE106" s="352"/>
      <c r="AF106" s="381">
        <f>SUM(E106:AD106)</f>
        <v>0</v>
      </c>
      <c r="AG106" s="381"/>
      <c r="AH106" s="408"/>
      <c r="AI106" s="409">
        <f>AF106+AG106</f>
        <v>0</v>
      </c>
      <c r="AJ106" s="410"/>
      <c r="AK106" s="411">
        <f>AI106+AJ106</f>
        <v>0</v>
      </c>
      <c r="AL106" s="234"/>
      <c r="AM106" s="234"/>
      <c r="AN106" s="234"/>
    </row>
    <row r="107" spans="1:40" ht="20.25">
      <c r="A107" s="1180" t="s">
        <v>128</v>
      </c>
      <c r="B107" s="2585"/>
      <c r="C107" s="730"/>
      <c r="D107" s="1077"/>
      <c r="E107" s="319"/>
      <c r="F107" s="320"/>
      <c r="G107" s="320"/>
      <c r="H107" s="321"/>
      <c r="I107" s="321"/>
      <c r="J107" s="320"/>
      <c r="K107" s="320"/>
      <c r="L107" s="363"/>
      <c r="M107" s="352"/>
      <c r="N107" s="353"/>
      <c r="O107" s="321"/>
      <c r="P107" s="321"/>
      <c r="Q107" s="321"/>
      <c r="R107" s="321"/>
      <c r="S107" s="321"/>
      <c r="T107" s="321"/>
      <c r="U107" s="351"/>
      <c r="V107" s="352"/>
      <c r="W107" s="319"/>
      <c r="X107" s="320"/>
      <c r="Y107" s="320"/>
      <c r="Z107" s="321"/>
      <c r="AA107" s="321"/>
      <c r="AB107" s="321"/>
      <c r="AC107" s="320"/>
      <c r="AD107" s="380"/>
      <c r="AE107" s="352"/>
      <c r="AF107" s="381">
        <f>SUM(E107:AD107)</f>
        <v>0</v>
      </c>
      <c r="AG107" s="381"/>
      <c r="AH107" s="408"/>
      <c r="AI107" s="409">
        <f>AF107+AG107</f>
        <v>0</v>
      </c>
      <c r="AJ107" s="410"/>
      <c r="AK107" s="411">
        <f>AI107+AJ107</f>
        <v>0</v>
      </c>
      <c r="AL107" s="234"/>
      <c r="AM107" s="234"/>
      <c r="AN107" s="234"/>
    </row>
    <row r="108" spans="1:40" ht="20.25">
      <c r="A108" s="1180" t="s">
        <v>128</v>
      </c>
      <c r="B108" s="2585"/>
      <c r="C108" s="730"/>
      <c r="D108" s="1077"/>
      <c r="E108" s="319"/>
      <c r="F108" s="320"/>
      <c r="G108" s="320"/>
      <c r="H108" s="321"/>
      <c r="I108" s="321"/>
      <c r="J108" s="320"/>
      <c r="K108" s="320"/>
      <c r="L108" s="363"/>
      <c r="M108" s="352"/>
      <c r="N108" s="353"/>
      <c r="O108" s="321"/>
      <c r="P108" s="321"/>
      <c r="Q108" s="321"/>
      <c r="R108" s="321"/>
      <c r="S108" s="321"/>
      <c r="T108" s="321"/>
      <c r="U108" s="351"/>
      <c r="V108" s="352"/>
      <c r="W108" s="319"/>
      <c r="X108" s="320"/>
      <c r="Y108" s="320"/>
      <c r="Z108" s="321"/>
      <c r="AA108" s="321"/>
      <c r="AB108" s="321"/>
      <c r="AC108" s="320"/>
      <c r="AD108" s="380"/>
      <c r="AE108" s="352"/>
      <c r="AF108" s="381">
        <f>SUM(E108:AD108)</f>
        <v>0</v>
      </c>
      <c r="AG108" s="381"/>
      <c r="AH108" s="408"/>
      <c r="AI108" s="409">
        <f>AF108+AG108</f>
        <v>0</v>
      </c>
      <c r="AJ108" s="410"/>
      <c r="AK108" s="411">
        <f>AI108+AJ108</f>
        <v>0</v>
      </c>
      <c r="AL108" s="234"/>
      <c r="AM108" s="234"/>
      <c r="AN108" s="234"/>
    </row>
    <row r="109" spans="1:40" ht="20.25">
      <c r="A109" s="1180" t="s">
        <v>128</v>
      </c>
      <c r="B109" s="2585"/>
      <c r="C109" s="730"/>
      <c r="D109" s="1077"/>
      <c r="E109" s="319"/>
      <c r="F109" s="320"/>
      <c r="G109" s="320"/>
      <c r="H109" s="321"/>
      <c r="I109" s="321"/>
      <c r="J109" s="320"/>
      <c r="K109" s="1090"/>
      <c r="L109" s="363"/>
      <c r="M109" s="352"/>
      <c r="N109" s="353"/>
      <c r="O109" s="321"/>
      <c r="P109" s="321"/>
      <c r="Q109" s="321"/>
      <c r="R109" s="321"/>
      <c r="S109" s="321"/>
      <c r="T109" s="321"/>
      <c r="U109" s="351"/>
      <c r="V109" s="352"/>
      <c r="W109" s="319"/>
      <c r="X109" s="320"/>
      <c r="Y109" s="320"/>
      <c r="Z109" s="321"/>
      <c r="AA109" s="321"/>
      <c r="AB109" s="321"/>
      <c r="AC109" s="320"/>
      <c r="AD109" s="380"/>
      <c r="AE109" s="352"/>
      <c r="AF109" s="381">
        <f t="shared" ref="AF109:AF136" si="27">SUM(E109:AD109)</f>
        <v>0</v>
      </c>
      <c r="AG109" s="381"/>
      <c r="AH109" s="408"/>
      <c r="AI109" s="409">
        <f t="shared" ref="AI109:AI136" si="28">AF109+AG109</f>
        <v>0</v>
      </c>
      <c r="AJ109" s="410"/>
      <c r="AK109" s="411">
        <f t="shared" ref="AK109:AK136" si="29">AI109+AJ109</f>
        <v>0</v>
      </c>
      <c r="AL109" s="234"/>
      <c r="AM109" s="234"/>
      <c r="AN109" s="234"/>
    </row>
    <row r="110" spans="1:40" ht="20.25">
      <c r="A110" s="1180" t="s">
        <v>128</v>
      </c>
      <c r="B110" s="2586"/>
      <c r="C110" s="730"/>
      <c r="D110" s="1077"/>
      <c r="E110" s="319"/>
      <c r="F110" s="320"/>
      <c r="G110" s="320"/>
      <c r="H110" s="321"/>
      <c r="I110" s="321"/>
      <c r="J110" s="320"/>
      <c r="K110" s="1090"/>
      <c r="L110" s="351"/>
      <c r="M110" s="352"/>
      <c r="N110" s="353"/>
      <c r="O110" s="321"/>
      <c r="P110" s="321"/>
      <c r="Q110" s="321"/>
      <c r="R110" s="321"/>
      <c r="S110" s="321"/>
      <c r="T110" s="321"/>
      <c r="U110" s="351"/>
      <c r="V110" s="352"/>
      <c r="W110" s="319"/>
      <c r="X110" s="320"/>
      <c r="Y110" s="320"/>
      <c r="Z110" s="321"/>
      <c r="AA110" s="321"/>
      <c r="AB110" s="321"/>
      <c r="AC110" s="320"/>
      <c r="AD110" s="380"/>
      <c r="AE110" s="352"/>
      <c r="AF110" s="381">
        <f t="shared" si="27"/>
        <v>0</v>
      </c>
      <c r="AG110" s="381"/>
      <c r="AH110" s="408"/>
      <c r="AI110" s="409">
        <f t="shared" si="28"/>
        <v>0</v>
      </c>
      <c r="AJ110" s="410"/>
      <c r="AK110" s="411">
        <f t="shared" si="29"/>
        <v>0</v>
      </c>
      <c r="AL110" s="234"/>
      <c r="AM110" s="234"/>
      <c r="AN110" s="234"/>
    </row>
    <row r="111" spans="1:40" ht="20.25">
      <c r="A111" s="1180" t="s">
        <v>128</v>
      </c>
      <c r="B111" s="2586"/>
      <c r="C111" s="730"/>
      <c r="D111" s="1077"/>
      <c r="E111" s="319"/>
      <c r="F111" s="320"/>
      <c r="G111" s="320"/>
      <c r="H111" s="321"/>
      <c r="I111" s="321"/>
      <c r="J111" s="320"/>
      <c r="K111" s="1090"/>
      <c r="L111" s="351"/>
      <c r="M111" s="352"/>
      <c r="N111" s="353"/>
      <c r="O111" s="321"/>
      <c r="P111" s="321"/>
      <c r="Q111" s="321"/>
      <c r="R111" s="321"/>
      <c r="S111" s="321"/>
      <c r="T111" s="321"/>
      <c r="U111" s="351"/>
      <c r="V111" s="352"/>
      <c r="W111" s="319"/>
      <c r="X111" s="320"/>
      <c r="Y111" s="320"/>
      <c r="Z111" s="321"/>
      <c r="AA111" s="321"/>
      <c r="AB111" s="321"/>
      <c r="AC111" s="320"/>
      <c r="AD111" s="380"/>
      <c r="AE111" s="352"/>
      <c r="AF111" s="381">
        <f t="shared" si="27"/>
        <v>0</v>
      </c>
      <c r="AG111" s="381"/>
      <c r="AH111" s="408"/>
      <c r="AI111" s="409">
        <f t="shared" si="28"/>
        <v>0</v>
      </c>
      <c r="AJ111" s="410"/>
      <c r="AK111" s="411">
        <f t="shared" si="29"/>
        <v>0</v>
      </c>
      <c r="AL111" s="234"/>
      <c r="AM111" s="234"/>
      <c r="AN111" s="234"/>
    </row>
    <row r="112" spans="1:40" ht="20.25">
      <c r="A112" s="1180" t="s">
        <v>128</v>
      </c>
      <c r="B112" s="2586"/>
      <c r="C112" s="730"/>
      <c r="D112" s="1077"/>
      <c r="E112" s="319"/>
      <c r="F112" s="320"/>
      <c r="G112" s="320"/>
      <c r="H112" s="321"/>
      <c r="I112" s="321"/>
      <c r="J112" s="320"/>
      <c r="K112" s="1090"/>
      <c r="L112" s="351"/>
      <c r="M112" s="352"/>
      <c r="N112" s="353"/>
      <c r="O112" s="321"/>
      <c r="P112" s="321"/>
      <c r="Q112" s="321"/>
      <c r="R112" s="321"/>
      <c r="S112" s="321"/>
      <c r="T112" s="321"/>
      <c r="U112" s="351"/>
      <c r="V112" s="352"/>
      <c r="W112" s="319"/>
      <c r="X112" s="320"/>
      <c r="Y112" s="320"/>
      <c r="Z112" s="321"/>
      <c r="AA112" s="321"/>
      <c r="AB112" s="321"/>
      <c r="AC112" s="320"/>
      <c r="AD112" s="380"/>
      <c r="AE112" s="352"/>
      <c r="AF112" s="381">
        <f t="shared" si="27"/>
        <v>0</v>
      </c>
      <c r="AG112" s="381"/>
      <c r="AH112" s="408"/>
      <c r="AI112" s="409">
        <f t="shared" si="28"/>
        <v>0</v>
      </c>
      <c r="AJ112" s="410"/>
      <c r="AK112" s="411">
        <f t="shared" si="29"/>
        <v>0</v>
      </c>
      <c r="AL112" s="234"/>
      <c r="AM112" s="234"/>
      <c r="AN112" s="234"/>
    </row>
    <row r="113" spans="1:40" ht="20.25">
      <c r="A113" s="1180" t="s">
        <v>128</v>
      </c>
      <c r="B113" s="2586"/>
      <c r="C113" s="730"/>
      <c r="D113" s="1077"/>
      <c r="E113" s="319"/>
      <c r="F113" s="320"/>
      <c r="G113" s="320"/>
      <c r="H113" s="321"/>
      <c r="I113" s="321"/>
      <c r="J113" s="320"/>
      <c r="K113" s="1090"/>
      <c r="L113" s="351"/>
      <c r="M113" s="352"/>
      <c r="N113" s="353"/>
      <c r="O113" s="321"/>
      <c r="P113" s="321"/>
      <c r="Q113" s="321"/>
      <c r="R113" s="321"/>
      <c r="S113" s="321"/>
      <c r="T113" s="321"/>
      <c r="U113" s="351"/>
      <c r="V113" s="352"/>
      <c r="W113" s="319"/>
      <c r="X113" s="320"/>
      <c r="Y113" s="320"/>
      <c r="Z113" s="321"/>
      <c r="AA113" s="321"/>
      <c r="AB113" s="321"/>
      <c r="AC113" s="320"/>
      <c r="AD113" s="380"/>
      <c r="AE113" s="352"/>
      <c r="AF113" s="381">
        <f t="shared" si="27"/>
        <v>0</v>
      </c>
      <c r="AG113" s="381"/>
      <c r="AH113" s="408"/>
      <c r="AI113" s="409">
        <f t="shared" si="28"/>
        <v>0</v>
      </c>
      <c r="AJ113" s="410"/>
      <c r="AK113" s="411">
        <f t="shared" si="29"/>
        <v>0</v>
      </c>
      <c r="AL113" s="234"/>
      <c r="AM113" s="234"/>
      <c r="AN113" s="234"/>
    </row>
    <row r="114" spans="1:40" ht="20.25">
      <c r="A114" s="1180" t="s">
        <v>128</v>
      </c>
      <c r="B114" s="2586"/>
      <c r="C114" s="730"/>
      <c r="D114" s="1077"/>
      <c r="E114" s="319"/>
      <c r="F114" s="320"/>
      <c r="G114" s="320"/>
      <c r="H114" s="321"/>
      <c r="I114" s="321"/>
      <c r="J114" s="320"/>
      <c r="K114" s="1090"/>
      <c r="L114" s="351"/>
      <c r="M114" s="352"/>
      <c r="N114" s="353"/>
      <c r="O114" s="321"/>
      <c r="P114" s="321"/>
      <c r="Q114" s="321"/>
      <c r="R114" s="321"/>
      <c r="S114" s="321"/>
      <c r="T114" s="321"/>
      <c r="U114" s="351"/>
      <c r="V114" s="352"/>
      <c r="W114" s="319"/>
      <c r="X114" s="320"/>
      <c r="Y114" s="320"/>
      <c r="Z114" s="321"/>
      <c r="AA114" s="321"/>
      <c r="AB114" s="321"/>
      <c r="AC114" s="320"/>
      <c r="AD114" s="380"/>
      <c r="AE114" s="352"/>
      <c r="AF114" s="381">
        <f t="shared" si="27"/>
        <v>0</v>
      </c>
      <c r="AG114" s="381"/>
      <c r="AH114" s="408"/>
      <c r="AI114" s="409">
        <f t="shared" si="28"/>
        <v>0</v>
      </c>
      <c r="AJ114" s="410"/>
      <c r="AK114" s="411">
        <f t="shared" si="29"/>
        <v>0</v>
      </c>
      <c r="AL114" s="234"/>
      <c r="AM114" s="234"/>
      <c r="AN114" s="234"/>
    </row>
    <row r="115" spans="1:40" ht="20.25">
      <c r="A115" s="1180" t="s">
        <v>128</v>
      </c>
      <c r="B115" s="2586"/>
      <c r="C115" s="730"/>
      <c r="D115" s="1077"/>
      <c r="E115" s="319"/>
      <c r="F115" s="320"/>
      <c r="G115" s="320"/>
      <c r="H115" s="321"/>
      <c r="I115" s="321"/>
      <c r="J115" s="320"/>
      <c r="K115" s="1090"/>
      <c r="L115" s="351"/>
      <c r="M115" s="352"/>
      <c r="N115" s="353"/>
      <c r="O115" s="321"/>
      <c r="P115" s="321"/>
      <c r="Q115" s="321"/>
      <c r="R115" s="321"/>
      <c r="S115" s="321"/>
      <c r="T115" s="321"/>
      <c r="U115" s="351"/>
      <c r="V115" s="352"/>
      <c r="W115" s="319"/>
      <c r="X115" s="320"/>
      <c r="Y115" s="320"/>
      <c r="Z115" s="321"/>
      <c r="AA115" s="321"/>
      <c r="AB115" s="321"/>
      <c r="AC115" s="320"/>
      <c r="AD115" s="380"/>
      <c r="AE115" s="352"/>
      <c r="AF115" s="381">
        <f t="shared" si="27"/>
        <v>0</v>
      </c>
      <c r="AG115" s="381"/>
      <c r="AH115" s="408"/>
      <c r="AI115" s="409">
        <f t="shared" si="28"/>
        <v>0</v>
      </c>
      <c r="AJ115" s="410"/>
      <c r="AK115" s="411">
        <f t="shared" si="29"/>
        <v>0</v>
      </c>
      <c r="AL115" s="234"/>
      <c r="AM115" s="234"/>
      <c r="AN115" s="234"/>
    </row>
    <row r="116" spans="1:40" ht="20.25">
      <c r="A116" s="1180" t="s">
        <v>128</v>
      </c>
      <c r="B116" s="2585"/>
      <c r="C116" s="730"/>
      <c r="D116" s="1077"/>
      <c r="E116" s="319"/>
      <c r="F116" s="320"/>
      <c r="G116" s="320"/>
      <c r="H116" s="321"/>
      <c r="I116" s="321"/>
      <c r="J116" s="320"/>
      <c r="K116" s="1090"/>
      <c r="L116" s="351"/>
      <c r="M116" s="352"/>
      <c r="N116" s="353"/>
      <c r="O116" s="321"/>
      <c r="P116" s="321"/>
      <c r="Q116" s="321"/>
      <c r="R116" s="321"/>
      <c r="S116" s="321"/>
      <c r="T116" s="321"/>
      <c r="U116" s="351"/>
      <c r="V116" s="352"/>
      <c r="W116" s="319"/>
      <c r="X116" s="320"/>
      <c r="Y116" s="320"/>
      <c r="Z116" s="321"/>
      <c r="AA116" s="321"/>
      <c r="AB116" s="321"/>
      <c r="AC116" s="320"/>
      <c r="AD116" s="380"/>
      <c r="AE116" s="352"/>
      <c r="AF116" s="381">
        <f t="shared" si="27"/>
        <v>0</v>
      </c>
      <c r="AG116" s="381"/>
      <c r="AH116" s="408"/>
      <c r="AI116" s="409">
        <f t="shared" si="28"/>
        <v>0</v>
      </c>
      <c r="AJ116" s="410"/>
      <c r="AK116" s="411">
        <f t="shared" si="29"/>
        <v>0</v>
      </c>
      <c r="AL116" s="234"/>
      <c r="AM116" s="234"/>
      <c r="AN116" s="234"/>
    </row>
    <row r="117" spans="1:40" ht="20.25">
      <c r="A117" s="1180" t="s">
        <v>128</v>
      </c>
      <c r="B117" s="2586"/>
      <c r="C117" s="730"/>
      <c r="D117" s="1077"/>
      <c r="E117" s="319"/>
      <c r="F117" s="320"/>
      <c r="G117" s="320"/>
      <c r="H117" s="321"/>
      <c r="I117" s="321"/>
      <c r="J117" s="320"/>
      <c r="K117" s="1090"/>
      <c r="L117" s="351"/>
      <c r="M117" s="352"/>
      <c r="N117" s="353"/>
      <c r="O117" s="321"/>
      <c r="P117" s="321"/>
      <c r="Q117" s="321"/>
      <c r="R117" s="321"/>
      <c r="S117" s="321"/>
      <c r="T117" s="321"/>
      <c r="U117" s="351"/>
      <c r="V117" s="352"/>
      <c r="W117" s="319"/>
      <c r="X117" s="320"/>
      <c r="Y117" s="320"/>
      <c r="Z117" s="321"/>
      <c r="AA117" s="321"/>
      <c r="AB117" s="321"/>
      <c r="AC117" s="320"/>
      <c r="AD117" s="380"/>
      <c r="AE117" s="352"/>
      <c r="AF117" s="381">
        <f t="shared" si="27"/>
        <v>0</v>
      </c>
      <c r="AG117" s="381"/>
      <c r="AH117" s="408"/>
      <c r="AI117" s="409">
        <f t="shared" si="28"/>
        <v>0</v>
      </c>
      <c r="AJ117" s="410"/>
      <c r="AK117" s="411">
        <f t="shared" si="29"/>
        <v>0</v>
      </c>
      <c r="AL117" s="234"/>
      <c r="AM117" s="234"/>
      <c r="AN117" s="234"/>
    </row>
    <row r="118" spans="1:40" ht="20.25">
      <c r="A118" s="1180" t="s">
        <v>128</v>
      </c>
      <c r="B118" s="729"/>
      <c r="C118" s="730"/>
      <c r="D118" s="1077"/>
      <c r="E118" s="319"/>
      <c r="F118" s="320"/>
      <c r="G118" s="320"/>
      <c r="H118" s="321"/>
      <c r="I118" s="321"/>
      <c r="J118" s="320"/>
      <c r="K118" s="1090"/>
      <c r="L118" s="351"/>
      <c r="M118" s="352"/>
      <c r="N118" s="353"/>
      <c r="O118" s="321"/>
      <c r="P118" s="321"/>
      <c r="Q118" s="321"/>
      <c r="R118" s="321"/>
      <c r="S118" s="321"/>
      <c r="T118" s="321"/>
      <c r="U118" s="351"/>
      <c r="V118" s="352"/>
      <c r="W118" s="319"/>
      <c r="X118" s="320"/>
      <c r="Y118" s="320"/>
      <c r="Z118" s="321"/>
      <c r="AA118" s="321"/>
      <c r="AB118" s="321"/>
      <c r="AC118" s="320"/>
      <c r="AD118" s="380"/>
      <c r="AE118" s="352"/>
      <c r="AF118" s="381">
        <f t="shared" si="27"/>
        <v>0</v>
      </c>
      <c r="AG118" s="381"/>
      <c r="AH118" s="408"/>
      <c r="AI118" s="409">
        <f t="shared" si="28"/>
        <v>0</v>
      </c>
      <c r="AJ118" s="410"/>
      <c r="AK118" s="411">
        <f t="shared" si="29"/>
        <v>0</v>
      </c>
      <c r="AL118" s="234"/>
      <c r="AM118" s="234"/>
      <c r="AN118" s="234"/>
    </row>
    <row r="119" spans="1:40" ht="20.25">
      <c r="A119" s="1180" t="s">
        <v>128</v>
      </c>
      <c r="B119" s="729"/>
      <c r="C119" s="730"/>
      <c r="D119" s="1077"/>
      <c r="E119" s="319"/>
      <c r="F119" s="320"/>
      <c r="G119" s="320"/>
      <c r="H119" s="321"/>
      <c r="I119" s="321"/>
      <c r="J119" s="320"/>
      <c r="K119" s="1090"/>
      <c r="L119" s="351"/>
      <c r="M119" s="352"/>
      <c r="N119" s="353"/>
      <c r="O119" s="321"/>
      <c r="P119" s="321"/>
      <c r="Q119" s="321"/>
      <c r="R119" s="321"/>
      <c r="S119" s="321"/>
      <c r="T119" s="321"/>
      <c r="U119" s="351"/>
      <c r="V119" s="352"/>
      <c r="W119" s="319"/>
      <c r="X119" s="320"/>
      <c r="Y119" s="320"/>
      <c r="Z119" s="321"/>
      <c r="AA119" s="321"/>
      <c r="AB119" s="321"/>
      <c r="AC119" s="320"/>
      <c r="AD119" s="380"/>
      <c r="AE119" s="352"/>
      <c r="AF119" s="381">
        <f t="shared" si="27"/>
        <v>0</v>
      </c>
      <c r="AG119" s="381"/>
      <c r="AH119" s="408"/>
      <c r="AI119" s="409">
        <f t="shared" si="28"/>
        <v>0</v>
      </c>
      <c r="AJ119" s="410"/>
      <c r="AK119" s="411">
        <f t="shared" si="29"/>
        <v>0</v>
      </c>
      <c r="AL119" s="234"/>
      <c r="AM119" s="234"/>
      <c r="AN119" s="234"/>
    </row>
    <row r="120" spans="1:40" ht="20.25">
      <c r="A120" s="1180" t="s">
        <v>128</v>
      </c>
      <c r="B120" s="729"/>
      <c r="C120" s="730"/>
      <c r="D120" s="1077"/>
      <c r="E120" s="319"/>
      <c r="F120" s="320"/>
      <c r="G120" s="320"/>
      <c r="H120" s="321"/>
      <c r="I120" s="321"/>
      <c r="J120" s="320"/>
      <c r="K120" s="1090"/>
      <c r="L120" s="351"/>
      <c r="M120" s="352"/>
      <c r="N120" s="353"/>
      <c r="O120" s="321"/>
      <c r="P120" s="321"/>
      <c r="Q120" s="321"/>
      <c r="R120" s="321"/>
      <c r="S120" s="321"/>
      <c r="T120" s="321"/>
      <c r="U120" s="351"/>
      <c r="V120" s="352"/>
      <c r="W120" s="319"/>
      <c r="X120" s="320"/>
      <c r="Y120" s="320"/>
      <c r="Z120" s="321"/>
      <c r="AA120" s="321"/>
      <c r="AB120" s="321"/>
      <c r="AC120" s="320"/>
      <c r="AD120" s="380"/>
      <c r="AE120" s="352"/>
      <c r="AF120" s="381">
        <f t="shared" si="27"/>
        <v>0</v>
      </c>
      <c r="AG120" s="381"/>
      <c r="AH120" s="408"/>
      <c r="AI120" s="409">
        <f t="shared" si="28"/>
        <v>0</v>
      </c>
      <c r="AJ120" s="410"/>
      <c r="AK120" s="411">
        <f t="shared" si="29"/>
        <v>0</v>
      </c>
      <c r="AL120" s="234"/>
      <c r="AM120" s="234"/>
      <c r="AN120" s="234"/>
    </row>
    <row r="121" spans="1:40" ht="20.25">
      <c r="A121" s="1180" t="s">
        <v>128</v>
      </c>
      <c r="B121" s="729"/>
      <c r="C121" s="730"/>
      <c r="D121" s="1077"/>
      <c r="E121" s="319"/>
      <c r="F121" s="320"/>
      <c r="G121" s="320"/>
      <c r="H121" s="321"/>
      <c r="I121" s="321"/>
      <c r="J121" s="320"/>
      <c r="K121" s="1090"/>
      <c r="L121" s="351"/>
      <c r="M121" s="352"/>
      <c r="N121" s="353"/>
      <c r="O121" s="321"/>
      <c r="P121" s="321"/>
      <c r="Q121" s="321"/>
      <c r="R121" s="321"/>
      <c r="S121" s="321"/>
      <c r="T121" s="321"/>
      <c r="U121" s="351"/>
      <c r="V121" s="352"/>
      <c r="W121" s="319"/>
      <c r="X121" s="320"/>
      <c r="Y121" s="320"/>
      <c r="Z121" s="321"/>
      <c r="AA121" s="321"/>
      <c r="AB121" s="321"/>
      <c r="AC121" s="320"/>
      <c r="AD121" s="380"/>
      <c r="AE121" s="352"/>
      <c r="AF121" s="381">
        <f t="shared" si="27"/>
        <v>0</v>
      </c>
      <c r="AG121" s="381"/>
      <c r="AH121" s="408"/>
      <c r="AI121" s="409">
        <f t="shared" si="28"/>
        <v>0</v>
      </c>
      <c r="AJ121" s="410"/>
      <c r="AK121" s="411">
        <f t="shared" si="29"/>
        <v>0</v>
      </c>
      <c r="AL121" s="234"/>
      <c r="AM121" s="234"/>
      <c r="AN121" s="234"/>
    </row>
    <row r="122" spans="1:40" ht="20.25">
      <c r="A122" s="1180" t="s">
        <v>128</v>
      </c>
      <c r="B122" s="729"/>
      <c r="C122" s="730"/>
      <c r="D122" s="1077"/>
      <c r="E122" s="319"/>
      <c r="F122" s="320"/>
      <c r="G122" s="320"/>
      <c r="H122" s="321"/>
      <c r="I122" s="321"/>
      <c r="J122" s="320"/>
      <c r="K122" s="842"/>
      <c r="L122" s="351"/>
      <c r="M122" s="352"/>
      <c r="N122" s="353"/>
      <c r="O122" s="321"/>
      <c r="P122" s="321"/>
      <c r="Q122" s="321"/>
      <c r="R122" s="321"/>
      <c r="S122" s="321"/>
      <c r="T122" s="321"/>
      <c r="U122" s="351"/>
      <c r="V122" s="352"/>
      <c r="W122" s="319"/>
      <c r="X122" s="320"/>
      <c r="Y122" s="320"/>
      <c r="Z122" s="321"/>
      <c r="AA122" s="321"/>
      <c r="AB122" s="321"/>
      <c r="AC122" s="320"/>
      <c r="AD122" s="380"/>
      <c r="AE122" s="352"/>
      <c r="AF122" s="381">
        <f t="shared" si="27"/>
        <v>0</v>
      </c>
      <c r="AG122" s="381"/>
      <c r="AH122" s="408"/>
      <c r="AI122" s="409">
        <f t="shared" si="28"/>
        <v>0</v>
      </c>
      <c r="AJ122" s="410"/>
      <c r="AK122" s="411">
        <f t="shared" si="29"/>
        <v>0</v>
      </c>
      <c r="AL122" s="234"/>
      <c r="AM122" s="234"/>
      <c r="AN122" s="234"/>
    </row>
    <row r="123" spans="1:40" ht="20.25">
      <c r="A123" s="1180" t="s">
        <v>128</v>
      </c>
      <c r="B123" s="729"/>
      <c r="C123" s="730"/>
      <c r="D123" s="1077"/>
      <c r="E123" s="319"/>
      <c r="F123" s="320"/>
      <c r="G123" s="320"/>
      <c r="H123" s="321"/>
      <c r="I123" s="321"/>
      <c r="J123" s="320"/>
      <c r="K123" s="842"/>
      <c r="L123" s="351"/>
      <c r="M123" s="352"/>
      <c r="N123" s="353"/>
      <c r="O123" s="321"/>
      <c r="P123" s="321"/>
      <c r="Q123" s="321"/>
      <c r="R123" s="321"/>
      <c r="S123" s="321"/>
      <c r="T123" s="321"/>
      <c r="U123" s="351"/>
      <c r="V123" s="352"/>
      <c r="W123" s="319"/>
      <c r="X123" s="320"/>
      <c r="Y123" s="320"/>
      <c r="Z123" s="321"/>
      <c r="AA123" s="321"/>
      <c r="AB123" s="321"/>
      <c r="AC123" s="320"/>
      <c r="AD123" s="380"/>
      <c r="AE123" s="352"/>
      <c r="AF123" s="381">
        <f t="shared" si="27"/>
        <v>0</v>
      </c>
      <c r="AG123" s="381"/>
      <c r="AH123" s="408"/>
      <c r="AI123" s="409">
        <f t="shared" si="28"/>
        <v>0</v>
      </c>
      <c r="AJ123" s="410"/>
      <c r="AK123" s="411">
        <f t="shared" si="29"/>
        <v>0</v>
      </c>
      <c r="AL123" s="234"/>
      <c r="AM123" s="234"/>
      <c r="AN123" s="234"/>
    </row>
    <row r="124" spans="1:40" ht="20.25">
      <c r="A124" s="1180" t="s">
        <v>128</v>
      </c>
      <c r="B124" s="729"/>
      <c r="C124" s="730"/>
      <c r="D124" s="1077"/>
      <c r="E124" s="319"/>
      <c r="F124" s="320"/>
      <c r="G124" s="320"/>
      <c r="H124" s="321"/>
      <c r="I124" s="321"/>
      <c r="J124" s="320"/>
      <c r="K124" s="842"/>
      <c r="L124" s="351"/>
      <c r="M124" s="352"/>
      <c r="N124" s="353"/>
      <c r="O124" s="321"/>
      <c r="P124" s="321"/>
      <c r="Q124" s="321"/>
      <c r="R124" s="321"/>
      <c r="S124" s="321"/>
      <c r="T124" s="321"/>
      <c r="U124" s="351"/>
      <c r="V124" s="352"/>
      <c r="W124" s="319"/>
      <c r="X124" s="320"/>
      <c r="Y124" s="320"/>
      <c r="Z124" s="321"/>
      <c r="AA124" s="321"/>
      <c r="AB124" s="321"/>
      <c r="AC124" s="320"/>
      <c r="AD124" s="380"/>
      <c r="AE124" s="352"/>
      <c r="AF124" s="381">
        <f t="shared" si="27"/>
        <v>0</v>
      </c>
      <c r="AG124" s="381"/>
      <c r="AH124" s="408"/>
      <c r="AI124" s="409">
        <f t="shared" si="28"/>
        <v>0</v>
      </c>
      <c r="AJ124" s="410"/>
      <c r="AK124" s="411">
        <f t="shared" si="29"/>
        <v>0</v>
      </c>
      <c r="AL124" s="234"/>
      <c r="AM124" s="234"/>
      <c r="AN124" s="234"/>
    </row>
    <row r="125" spans="1:40" ht="20.25">
      <c r="A125" s="1180" t="s">
        <v>128</v>
      </c>
      <c r="B125" s="729"/>
      <c r="C125" s="730"/>
      <c r="D125" s="1077"/>
      <c r="E125" s="319"/>
      <c r="F125" s="320"/>
      <c r="G125" s="320"/>
      <c r="H125" s="321"/>
      <c r="I125" s="321"/>
      <c r="J125" s="320"/>
      <c r="K125" s="842"/>
      <c r="L125" s="351"/>
      <c r="M125" s="352"/>
      <c r="N125" s="353"/>
      <c r="O125" s="321"/>
      <c r="P125" s="321"/>
      <c r="Q125" s="321"/>
      <c r="R125" s="321"/>
      <c r="S125" s="321"/>
      <c r="T125" s="321"/>
      <c r="U125" s="351"/>
      <c r="V125" s="352"/>
      <c r="W125" s="319"/>
      <c r="X125" s="320"/>
      <c r="Y125" s="320"/>
      <c r="Z125" s="321"/>
      <c r="AA125" s="321"/>
      <c r="AB125" s="321"/>
      <c r="AC125" s="320"/>
      <c r="AD125" s="380"/>
      <c r="AE125" s="352"/>
      <c r="AF125" s="381">
        <f t="shared" si="27"/>
        <v>0</v>
      </c>
      <c r="AG125" s="381"/>
      <c r="AH125" s="408"/>
      <c r="AI125" s="409">
        <f t="shared" si="28"/>
        <v>0</v>
      </c>
      <c r="AJ125" s="410"/>
      <c r="AK125" s="411">
        <f t="shared" si="29"/>
        <v>0</v>
      </c>
      <c r="AL125" s="234"/>
      <c r="AM125" s="234"/>
      <c r="AN125" s="234"/>
    </row>
    <row r="126" spans="1:40" ht="20.25">
      <c r="A126" s="1180" t="s">
        <v>128</v>
      </c>
      <c r="B126" s="729"/>
      <c r="C126" s="730"/>
      <c r="D126" s="1077"/>
      <c r="E126" s="319"/>
      <c r="F126" s="320"/>
      <c r="G126" s="320"/>
      <c r="H126" s="321"/>
      <c r="I126" s="321"/>
      <c r="J126" s="320"/>
      <c r="K126" s="842"/>
      <c r="L126" s="351"/>
      <c r="M126" s="352"/>
      <c r="N126" s="353"/>
      <c r="O126" s="321"/>
      <c r="P126" s="321"/>
      <c r="Q126" s="321"/>
      <c r="R126" s="321"/>
      <c r="S126" s="321"/>
      <c r="T126" s="321"/>
      <c r="U126" s="351"/>
      <c r="V126" s="352"/>
      <c r="W126" s="319"/>
      <c r="X126" s="320"/>
      <c r="Y126" s="320"/>
      <c r="Z126" s="321"/>
      <c r="AA126" s="321"/>
      <c r="AB126" s="321"/>
      <c r="AC126" s="320"/>
      <c r="AD126" s="380"/>
      <c r="AE126" s="352"/>
      <c r="AF126" s="381">
        <f t="shared" si="27"/>
        <v>0</v>
      </c>
      <c r="AG126" s="381"/>
      <c r="AH126" s="408"/>
      <c r="AI126" s="409">
        <f t="shared" si="28"/>
        <v>0</v>
      </c>
      <c r="AJ126" s="410"/>
      <c r="AK126" s="411">
        <f t="shared" si="29"/>
        <v>0</v>
      </c>
      <c r="AL126" s="234"/>
      <c r="AM126" s="234"/>
      <c r="AN126" s="234"/>
    </row>
    <row r="127" spans="1:40" ht="20.25">
      <c r="A127" s="1180" t="s">
        <v>128</v>
      </c>
      <c r="B127" s="729"/>
      <c r="C127" s="730"/>
      <c r="D127" s="1077"/>
      <c r="E127" s="319"/>
      <c r="F127" s="320"/>
      <c r="G127" s="320"/>
      <c r="H127" s="321"/>
      <c r="I127" s="321"/>
      <c r="J127" s="320"/>
      <c r="K127" s="842"/>
      <c r="L127" s="351"/>
      <c r="M127" s="352"/>
      <c r="N127" s="353"/>
      <c r="O127" s="321"/>
      <c r="P127" s="321"/>
      <c r="Q127" s="321"/>
      <c r="R127" s="321"/>
      <c r="S127" s="321"/>
      <c r="T127" s="321"/>
      <c r="U127" s="351"/>
      <c r="V127" s="352"/>
      <c r="W127" s="319"/>
      <c r="X127" s="320"/>
      <c r="Y127" s="320"/>
      <c r="Z127" s="321"/>
      <c r="AA127" s="321"/>
      <c r="AB127" s="321"/>
      <c r="AC127" s="320"/>
      <c r="AD127" s="380"/>
      <c r="AE127" s="352"/>
      <c r="AF127" s="381">
        <f t="shared" si="27"/>
        <v>0</v>
      </c>
      <c r="AG127" s="381"/>
      <c r="AH127" s="408"/>
      <c r="AI127" s="409">
        <f t="shared" si="28"/>
        <v>0</v>
      </c>
      <c r="AJ127" s="410"/>
      <c r="AK127" s="411">
        <f t="shared" si="29"/>
        <v>0</v>
      </c>
      <c r="AL127" s="234"/>
      <c r="AM127" s="234"/>
      <c r="AN127" s="234"/>
    </row>
    <row r="128" spans="1:40" ht="20.25">
      <c r="A128" s="1180" t="s">
        <v>128</v>
      </c>
      <c r="B128" s="729"/>
      <c r="C128" s="730"/>
      <c r="D128" s="1077"/>
      <c r="E128" s="319"/>
      <c r="F128" s="320"/>
      <c r="G128" s="320"/>
      <c r="H128" s="321"/>
      <c r="I128" s="321"/>
      <c r="J128" s="320"/>
      <c r="K128" s="842"/>
      <c r="L128" s="351"/>
      <c r="M128" s="352"/>
      <c r="N128" s="353"/>
      <c r="O128" s="321"/>
      <c r="P128" s="321"/>
      <c r="Q128" s="321"/>
      <c r="R128" s="321"/>
      <c r="S128" s="321"/>
      <c r="T128" s="321"/>
      <c r="U128" s="351"/>
      <c r="V128" s="352"/>
      <c r="W128" s="319"/>
      <c r="X128" s="320"/>
      <c r="Y128" s="320"/>
      <c r="Z128" s="321"/>
      <c r="AA128" s="321"/>
      <c r="AB128" s="321"/>
      <c r="AC128" s="320"/>
      <c r="AD128" s="380"/>
      <c r="AE128" s="352"/>
      <c r="AF128" s="381">
        <f t="shared" si="27"/>
        <v>0</v>
      </c>
      <c r="AG128" s="381"/>
      <c r="AH128" s="408"/>
      <c r="AI128" s="409">
        <f t="shared" si="28"/>
        <v>0</v>
      </c>
      <c r="AJ128" s="410"/>
      <c r="AK128" s="411">
        <f t="shared" si="29"/>
        <v>0</v>
      </c>
      <c r="AL128" s="234"/>
      <c r="AM128" s="234"/>
      <c r="AN128" s="234"/>
    </row>
    <row r="129" spans="1:40" ht="20.25">
      <c r="A129" s="1180" t="s">
        <v>128</v>
      </c>
      <c r="B129" s="729"/>
      <c r="C129" s="730"/>
      <c r="D129" s="1077"/>
      <c r="E129" s="319"/>
      <c r="F129" s="320"/>
      <c r="G129" s="320"/>
      <c r="H129" s="321"/>
      <c r="I129" s="321"/>
      <c r="J129" s="320"/>
      <c r="K129" s="842"/>
      <c r="L129" s="351"/>
      <c r="M129" s="352"/>
      <c r="N129" s="353"/>
      <c r="O129" s="321"/>
      <c r="P129" s="321"/>
      <c r="Q129" s="321"/>
      <c r="R129" s="321"/>
      <c r="S129" s="321"/>
      <c r="T129" s="321"/>
      <c r="U129" s="351"/>
      <c r="V129" s="352"/>
      <c r="W129" s="319"/>
      <c r="X129" s="320"/>
      <c r="Y129" s="320"/>
      <c r="Z129" s="321"/>
      <c r="AA129" s="321"/>
      <c r="AB129" s="321"/>
      <c r="AC129" s="320"/>
      <c r="AD129" s="380"/>
      <c r="AE129" s="352"/>
      <c r="AF129" s="381">
        <f t="shared" si="27"/>
        <v>0</v>
      </c>
      <c r="AG129" s="381"/>
      <c r="AH129" s="408"/>
      <c r="AI129" s="409">
        <f t="shared" si="28"/>
        <v>0</v>
      </c>
      <c r="AJ129" s="410"/>
      <c r="AK129" s="411">
        <f t="shared" si="29"/>
        <v>0</v>
      </c>
      <c r="AL129" s="234"/>
      <c r="AM129" s="234"/>
      <c r="AN129" s="234"/>
    </row>
    <row r="130" spans="1:40" ht="20.25">
      <c r="A130" s="1180" t="s">
        <v>128</v>
      </c>
      <c r="B130" s="729"/>
      <c r="C130" s="730"/>
      <c r="D130" s="1077"/>
      <c r="E130" s="319"/>
      <c r="F130" s="320"/>
      <c r="G130" s="320"/>
      <c r="H130" s="321"/>
      <c r="I130" s="321"/>
      <c r="J130" s="320"/>
      <c r="K130" s="842"/>
      <c r="L130" s="351"/>
      <c r="M130" s="352"/>
      <c r="N130" s="353"/>
      <c r="O130" s="321"/>
      <c r="P130" s="321"/>
      <c r="Q130" s="321"/>
      <c r="R130" s="321"/>
      <c r="S130" s="321"/>
      <c r="T130" s="321"/>
      <c r="U130" s="351"/>
      <c r="V130" s="352"/>
      <c r="W130" s="319"/>
      <c r="X130" s="320"/>
      <c r="Y130" s="320"/>
      <c r="Z130" s="321"/>
      <c r="AA130" s="321"/>
      <c r="AB130" s="321"/>
      <c r="AC130" s="320"/>
      <c r="AD130" s="380"/>
      <c r="AE130" s="352"/>
      <c r="AF130" s="381">
        <f t="shared" si="27"/>
        <v>0</v>
      </c>
      <c r="AG130" s="381"/>
      <c r="AH130" s="408"/>
      <c r="AI130" s="409">
        <f t="shared" si="28"/>
        <v>0</v>
      </c>
      <c r="AJ130" s="410"/>
      <c r="AK130" s="411">
        <f t="shared" si="29"/>
        <v>0</v>
      </c>
      <c r="AL130" s="234"/>
      <c r="AM130" s="234"/>
      <c r="AN130" s="234"/>
    </row>
    <row r="131" spans="1:40" ht="21" thickBot="1">
      <c r="A131" s="1180" t="s">
        <v>128</v>
      </c>
      <c r="B131" s="729"/>
      <c r="C131" s="730"/>
      <c r="D131" s="1077"/>
      <c r="E131" s="319"/>
      <c r="F131" s="320"/>
      <c r="G131" s="320"/>
      <c r="H131" s="321"/>
      <c r="I131" s="321"/>
      <c r="J131" s="320"/>
      <c r="K131" s="842"/>
      <c r="L131" s="351"/>
      <c r="M131" s="352"/>
      <c r="N131" s="353"/>
      <c r="O131" s="321"/>
      <c r="P131" s="321"/>
      <c r="Q131" s="321"/>
      <c r="R131" s="321"/>
      <c r="S131" s="321"/>
      <c r="T131" s="321"/>
      <c r="U131" s="351"/>
      <c r="V131" s="352"/>
      <c r="W131" s="319"/>
      <c r="X131" s="320"/>
      <c r="Y131" s="320"/>
      <c r="Z131" s="321"/>
      <c r="AA131" s="321"/>
      <c r="AB131" s="321"/>
      <c r="AC131" s="320"/>
      <c r="AD131" s="380"/>
      <c r="AE131" s="352"/>
      <c r="AF131" s="381">
        <f t="shared" si="27"/>
        <v>0</v>
      </c>
      <c r="AG131" s="381"/>
      <c r="AH131" s="408"/>
      <c r="AI131" s="409">
        <f t="shared" si="28"/>
        <v>0</v>
      </c>
      <c r="AJ131" s="410"/>
      <c r="AK131" s="411">
        <f t="shared" si="29"/>
        <v>0</v>
      </c>
      <c r="AL131" s="234"/>
      <c r="AM131" s="234"/>
      <c r="AN131" s="234"/>
    </row>
    <row r="132" spans="1:40" ht="21" thickBot="1">
      <c r="A132" s="1180" t="s">
        <v>128</v>
      </c>
      <c r="B132" s="729"/>
      <c r="C132" s="730"/>
      <c r="D132" s="1077"/>
      <c r="E132" s="319"/>
      <c r="F132" s="320"/>
      <c r="G132" s="320"/>
      <c r="H132" s="321"/>
      <c r="I132" s="321"/>
      <c r="J132" s="320"/>
      <c r="K132" s="842"/>
      <c r="L132" s="351"/>
      <c r="M132" s="352"/>
      <c r="N132" s="353"/>
      <c r="O132" s="321"/>
      <c r="P132" s="321"/>
      <c r="Q132" s="321"/>
      <c r="R132" s="321"/>
      <c r="S132" s="321"/>
      <c r="T132" s="321"/>
      <c r="U132" s="351"/>
      <c r="V132" s="352"/>
      <c r="W132" s="319"/>
      <c r="X132" s="320"/>
      <c r="Y132" s="320"/>
      <c r="Z132" s="321"/>
      <c r="AA132" s="321"/>
      <c r="AB132" s="321"/>
      <c r="AC132" s="320"/>
      <c r="AD132" s="380"/>
      <c r="AE132" s="352"/>
      <c r="AF132" s="381">
        <f t="shared" si="27"/>
        <v>0</v>
      </c>
      <c r="AG132" s="381"/>
      <c r="AH132" s="408"/>
      <c r="AI132" s="409">
        <f t="shared" si="28"/>
        <v>0</v>
      </c>
      <c r="AJ132" s="410"/>
      <c r="AK132" s="411">
        <f t="shared" si="29"/>
        <v>0</v>
      </c>
      <c r="AL132" s="414" t="s">
        <v>8</v>
      </c>
      <c r="AM132" s="397" t="s">
        <v>23</v>
      </c>
      <c r="AN132" s="415" t="s">
        <v>174</v>
      </c>
    </row>
    <row r="133" spans="1:40" s="284" customFormat="1" ht="21" thickBot="1">
      <c r="A133" s="1180" t="s">
        <v>128</v>
      </c>
      <c r="B133" s="729"/>
      <c r="C133" s="730"/>
      <c r="D133" s="1077"/>
      <c r="E133" s="319"/>
      <c r="F133" s="320"/>
      <c r="G133" s="320"/>
      <c r="H133" s="321"/>
      <c r="I133" s="321"/>
      <c r="J133" s="320"/>
      <c r="K133" s="842"/>
      <c r="L133" s="351"/>
      <c r="M133" s="352"/>
      <c r="N133" s="353"/>
      <c r="O133" s="321"/>
      <c r="P133" s="321"/>
      <c r="Q133" s="321"/>
      <c r="R133" s="321"/>
      <c r="S133" s="321"/>
      <c r="T133" s="321"/>
      <c r="U133" s="351"/>
      <c r="V133" s="352"/>
      <c r="W133" s="319"/>
      <c r="X133" s="320"/>
      <c r="Y133" s="320"/>
      <c r="Z133" s="321"/>
      <c r="AA133" s="321"/>
      <c r="AB133" s="321"/>
      <c r="AC133" s="320"/>
      <c r="AD133" s="380"/>
      <c r="AE133" s="352"/>
      <c r="AF133" s="381">
        <f t="shared" si="27"/>
        <v>0</v>
      </c>
      <c r="AG133" s="381"/>
      <c r="AH133" s="408"/>
      <c r="AI133" s="409">
        <f t="shared" si="28"/>
        <v>0</v>
      </c>
      <c r="AJ133" s="410"/>
      <c r="AK133" s="411">
        <f t="shared" si="29"/>
        <v>0</v>
      </c>
      <c r="AL133" s="399" t="e">
        <f>'BIG CHAIR'!#REF!</f>
        <v>#REF!</v>
      </c>
      <c r="AM133" s="400">
        <f>'Tea Table'!X236</f>
        <v>96</v>
      </c>
      <c r="AN133" s="401" t="e">
        <f>AI137+AL133+AM133</f>
        <v>#REF!</v>
      </c>
    </row>
    <row r="134" spans="1:40" ht="20.25">
      <c r="A134" s="1180" t="s">
        <v>128</v>
      </c>
      <c r="B134" s="729"/>
      <c r="C134" s="730"/>
      <c r="D134" s="1077"/>
      <c r="E134" s="319"/>
      <c r="F134" s="320"/>
      <c r="G134" s="320"/>
      <c r="H134" s="321"/>
      <c r="I134" s="321"/>
      <c r="J134" s="320"/>
      <c r="K134" s="842"/>
      <c r="L134" s="351"/>
      <c r="M134" s="352"/>
      <c r="N134" s="353"/>
      <c r="O134" s="321"/>
      <c r="P134" s="321"/>
      <c r="Q134" s="321"/>
      <c r="R134" s="321"/>
      <c r="S134" s="321"/>
      <c r="T134" s="321"/>
      <c r="U134" s="351"/>
      <c r="V134" s="352"/>
      <c r="W134" s="319"/>
      <c r="X134" s="320"/>
      <c r="Y134" s="320"/>
      <c r="Z134" s="321"/>
      <c r="AA134" s="321"/>
      <c r="AB134" s="321"/>
      <c r="AC134" s="320"/>
      <c r="AD134" s="380"/>
      <c r="AE134" s="352"/>
      <c r="AF134" s="381">
        <f t="shared" si="27"/>
        <v>0</v>
      </c>
      <c r="AG134" s="381"/>
      <c r="AH134" s="408"/>
      <c r="AI134" s="409">
        <f t="shared" si="28"/>
        <v>0</v>
      </c>
      <c r="AJ134" s="410"/>
      <c r="AK134" s="411">
        <f t="shared" si="29"/>
        <v>0</v>
      </c>
      <c r="AL134" s="282"/>
      <c r="AM134" s="282"/>
      <c r="AN134" s="282"/>
    </row>
    <row r="135" spans="1:40" ht="20.25">
      <c r="A135" s="1180" t="s">
        <v>128</v>
      </c>
      <c r="B135" s="729"/>
      <c r="C135" s="730"/>
      <c r="D135" s="1077"/>
      <c r="E135" s="319"/>
      <c r="F135" s="320"/>
      <c r="G135" s="320"/>
      <c r="H135" s="321"/>
      <c r="I135" s="321"/>
      <c r="J135" s="320"/>
      <c r="K135" s="842"/>
      <c r="L135" s="351"/>
      <c r="M135" s="352"/>
      <c r="N135" s="353"/>
      <c r="O135" s="321"/>
      <c r="P135" s="321"/>
      <c r="Q135" s="321"/>
      <c r="R135" s="321"/>
      <c r="S135" s="321"/>
      <c r="T135" s="321"/>
      <c r="U135" s="351"/>
      <c r="V135" s="352"/>
      <c r="W135" s="319"/>
      <c r="X135" s="320"/>
      <c r="Y135" s="320"/>
      <c r="Z135" s="321"/>
      <c r="AA135" s="321"/>
      <c r="AB135" s="321"/>
      <c r="AC135" s="320"/>
      <c r="AD135" s="380"/>
      <c r="AE135" s="352"/>
      <c r="AF135" s="381">
        <f t="shared" si="27"/>
        <v>0</v>
      </c>
      <c r="AG135" s="381"/>
      <c r="AH135" s="408"/>
      <c r="AI135" s="409">
        <f t="shared" si="28"/>
        <v>0</v>
      </c>
      <c r="AJ135" s="410"/>
      <c r="AK135" s="411">
        <f t="shared" si="29"/>
        <v>0</v>
      </c>
      <c r="AL135" s="234"/>
      <c r="AM135" s="234"/>
      <c r="AN135" s="234"/>
    </row>
    <row r="136" spans="1:40" ht="21" thickBot="1">
      <c r="A136" s="2582"/>
      <c r="B136" s="2564"/>
      <c r="C136" s="732"/>
      <c r="D136" s="1078"/>
      <c r="E136" s="325"/>
      <c r="F136" s="297"/>
      <c r="G136" s="297"/>
      <c r="H136" s="298"/>
      <c r="I136" s="298"/>
      <c r="J136" s="297"/>
      <c r="K136" s="1086"/>
      <c r="L136" s="367"/>
      <c r="M136" s="355"/>
      <c r="N136" s="343"/>
      <c r="O136" s="298"/>
      <c r="P136" s="298"/>
      <c r="Q136" s="298"/>
      <c r="R136" s="298"/>
      <c r="S136" s="298"/>
      <c r="T136" s="298"/>
      <c r="U136" s="367"/>
      <c r="V136" s="355"/>
      <c r="W136" s="325"/>
      <c r="X136" s="297"/>
      <c r="Y136" s="297"/>
      <c r="Z136" s="298"/>
      <c r="AA136" s="298"/>
      <c r="AB136" s="298"/>
      <c r="AC136" s="297"/>
      <c r="AD136" s="375"/>
      <c r="AE136" s="355"/>
      <c r="AF136" s="376">
        <f t="shared" si="27"/>
        <v>0</v>
      </c>
      <c r="AG136" s="377"/>
      <c r="AH136" s="390"/>
      <c r="AI136" s="391">
        <f t="shared" si="28"/>
        <v>0</v>
      </c>
      <c r="AJ136" s="412"/>
      <c r="AK136" s="413">
        <f t="shared" si="29"/>
        <v>0</v>
      </c>
      <c r="AL136" s="234"/>
      <c r="AM136" s="234"/>
      <c r="AN136" s="234"/>
    </row>
    <row r="137" spans="1:40" ht="19.5" thickBot="1">
      <c r="A137" s="326" t="s">
        <v>129</v>
      </c>
      <c r="B137" s="327"/>
      <c r="C137" s="327"/>
      <c r="D137" s="328"/>
      <c r="E137" s="329">
        <f t="shared" ref="E137:L137" si="30">SUM(E106:E136)</f>
        <v>0</v>
      </c>
      <c r="F137" s="329">
        <f t="shared" si="30"/>
        <v>0</v>
      </c>
      <c r="G137" s="329">
        <f t="shared" si="30"/>
        <v>0</v>
      </c>
      <c r="H137" s="329">
        <f t="shared" si="30"/>
        <v>0</v>
      </c>
      <c r="I137" s="329">
        <f t="shared" si="30"/>
        <v>0</v>
      </c>
      <c r="J137" s="329">
        <f t="shared" si="30"/>
        <v>0</v>
      </c>
      <c r="K137" s="329">
        <f t="shared" si="30"/>
        <v>0</v>
      </c>
      <c r="L137" s="329">
        <f t="shared" si="30"/>
        <v>0</v>
      </c>
      <c r="M137" s="357"/>
      <c r="N137" s="358">
        <f t="shared" ref="N137:U137" si="31">SUM(N106:N136)</f>
        <v>0</v>
      </c>
      <c r="O137" s="359">
        <f t="shared" si="31"/>
        <v>0</v>
      </c>
      <c r="P137" s="359">
        <f t="shared" si="31"/>
        <v>0</v>
      </c>
      <c r="Q137" s="359">
        <f t="shared" si="31"/>
        <v>0</v>
      </c>
      <c r="R137" s="359">
        <f t="shared" si="31"/>
        <v>0</v>
      </c>
      <c r="S137" s="359">
        <f t="shared" si="31"/>
        <v>0</v>
      </c>
      <c r="T137" s="359">
        <f t="shared" si="31"/>
        <v>0</v>
      </c>
      <c r="U137" s="369">
        <f t="shared" si="31"/>
        <v>0</v>
      </c>
      <c r="V137" s="357"/>
      <c r="W137" s="358">
        <f t="shared" ref="W137:AD137" si="32">SUM(W106:W136)</f>
        <v>0</v>
      </c>
      <c r="X137" s="358">
        <f t="shared" si="32"/>
        <v>0</v>
      </c>
      <c r="Y137" s="358">
        <f t="shared" si="32"/>
        <v>0</v>
      </c>
      <c r="Z137" s="358">
        <f t="shared" si="32"/>
        <v>0</v>
      </c>
      <c r="AA137" s="358">
        <f t="shared" si="32"/>
        <v>0</v>
      </c>
      <c r="AB137" s="358">
        <f t="shared" si="32"/>
        <v>0</v>
      </c>
      <c r="AC137" s="358">
        <f t="shared" si="32"/>
        <v>0</v>
      </c>
      <c r="AD137" s="358">
        <f t="shared" si="32"/>
        <v>0</v>
      </c>
      <c r="AE137" s="357"/>
      <c r="AF137" s="382">
        <f t="shared" ref="AF137:AK137" si="33">SUM(AF106:AF136)</f>
        <v>0</v>
      </c>
      <c r="AG137" s="382">
        <f t="shared" si="33"/>
        <v>0</v>
      </c>
      <c r="AH137" s="416">
        <f t="shared" si="33"/>
        <v>0</v>
      </c>
      <c r="AI137" s="417">
        <f t="shared" si="33"/>
        <v>0</v>
      </c>
      <c r="AJ137" s="382">
        <f t="shared" si="33"/>
        <v>0</v>
      </c>
      <c r="AK137" s="418">
        <f t="shared" si="33"/>
        <v>0</v>
      </c>
      <c r="AL137" s="234"/>
      <c r="AM137" s="234"/>
      <c r="AN137" s="234"/>
    </row>
    <row r="138" spans="1:40" ht="24" thickBot="1">
      <c r="A138" s="286" t="s">
        <v>130</v>
      </c>
      <c r="B138" s="287" t="s">
        <v>68</v>
      </c>
      <c r="C138" s="287" t="s">
        <v>69</v>
      </c>
      <c r="D138" s="1073" t="s">
        <v>70</v>
      </c>
      <c r="E138" s="743" t="s">
        <v>88</v>
      </c>
      <c r="F138" s="744" t="s">
        <v>407</v>
      </c>
      <c r="G138" s="744" t="s">
        <v>53</v>
      </c>
      <c r="H138" s="744" t="s">
        <v>170</v>
      </c>
      <c r="I138" s="744" t="s">
        <v>222</v>
      </c>
      <c r="J138" s="744" t="s">
        <v>149</v>
      </c>
      <c r="K138" s="744" t="s">
        <v>206</v>
      </c>
      <c r="L138" s="783" t="s">
        <v>124</v>
      </c>
      <c r="M138" s="1089"/>
      <c r="N138" s="80" t="s">
        <v>96</v>
      </c>
      <c r="O138" s="49" t="s">
        <v>407</v>
      </c>
      <c r="P138" s="49" t="s">
        <v>463</v>
      </c>
      <c r="Q138" s="49" t="s">
        <v>86</v>
      </c>
      <c r="R138" s="49" t="s">
        <v>94</v>
      </c>
      <c r="S138" s="49" t="s">
        <v>85</v>
      </c>
      <c r="T138" s="126" t="s">
        <v>92</v>
      </c>
      <c r="U138" s="171" t="s">
        <v>432</v>
      </c>
      <c r="V138" s="79"/>
      <c r="W138" s="80" t="s">
        <v>88</v>
      </c>
      <c r="X138" s="49" t="s">
        <v>213</v>
      </c>
      <c r="Y138" s="49" t="s">
        <v>206</v>
      </c>
      <c r="Z138" s="49"/>
      <c r="AA138" s="49" t="s">
        <v>222</v>
      </c>
      <c r="AB138" s="49"/>
      <c r="AC138" s="126" t="s">
        <v>76</v>
      </c>
      <c r="AD138" s="171"/>
      <c r="AE138" s="370"/>
      <c r="AF138" s="371" t="s">
        <v>172</v>
      </c>
      <c r="AG138" s="372" t="s">
        <v>80</v>
      </c>
      <c r="AH138" s="385"/>
      <c r="AI138" s="386" t="s">
        <v>106</v>
      </c>
      <c r="AJ138" s="385" t="s">
        <v>173</v>
      </c>
      <c r="AK138" s="371" t="s">
        <v>108</v>
      </c>
      <c r="AL138" s="234"/>
      <c r="AM138" s="234"/>
      <c r="AN138" s="234"/>
    </row>
    <row r="139" spans="1:40" ht="20.25">
      <c r="A139" s="1180" t="s">
        <v>131</v>
      </c>
      <c r="B139" s="2584"/>
      <c r="C139" s="730"/>
      <c r="D139" s="1077"/>
      <c r="E139" s="319"/>
      <c r="F139" s="320"/>
      <c r="G139" s="320"/>
      <c r="H139" s="321"/>
      <c r="I139" s="321"/>
      <c r="J139" s="320"/>
      <c r="K139" s="320"/>
      <c r="L139" s="363"/>
      <c r="M139" s="352"/>
      <c r="N139" s="353"/>
      <c r="O139" s="321"/>
      <c r="P139" s="321"/>
      <c r="Q139" s="321"/>
      <c r="R139" s="321"/>
      <c r="S139" s="321"/>
      <c r="T139" s="321"/>
      <c r="U139" s="351"/>
      <c r="V139" s="352"/>
      <c r="W139" s="319"/>
      <c r="X139" s="320"/>
      <c r="Y139" s="320"/>
      <c r="Z139" s="321"/>
      <c r="AA139" s="321"/>
      <c r="AB139" s="321"/>
      <c r="AC139" s="320"/>
      <c r="AD139" s="380"/>
      <c r="AE139" s="352"/>
      <c r="AF139" s="381">
        <f>SUM(E139:AD139)</f>
        <v>0</v>
      </c>
      <c r="AG139" s="381"/>
      <c r="AH139" s="408"/>
      <c r="AI139" s="409">
        <f>AF139+AG139</f>
        <v>0</v>
      </c>
      <c r="AJ139" s="410"/>
      <c r="AK139" s="411">
        <f>AI139+AJ139</f>
        <v>0</v>
      </c>
      <c r="AL139" s="234"/>
      <c r="AM139" s="234"/>
      <c r="AN139" s="234"/>
    </row>
    <row r="140" spans="1:40" ht="20.25">
      <c r="A140" s="1180" t="s">
        <v>131</v>
      </c>
      <c r="B140" s="2585" t="s">
        <v>472</v>
      </c>
      <c r="C140" s="730"/>
      <c r="D140" s="1077"/>
      <c r="E140" s="319"/>
      <c r="F140" s="320"/>
      <c r="G140" s="320"/>
      <c r="H140" s="321"/>
      <c r="I140" s="321"/>
      <c r="J140" s="320"/>
      <c r="K140" s="320"/>
      <c r="L140" s="363"/>
      <c r="M140" s="352"/>
      <c r="N140" s="353"/>
      <c r="O140" s="321"/>
      <c r="P140" s="321"/>
      <c r="Q140" s="321"/>
      <c r="R140" s="321"/>
      <c r="S140" s="321"/>
      <c r="T140" s="321"/>
      <c r="U140" s="351"/>
      <c r="V140" s="352"/>
      <c r="W140" s="319"/>
      <c r="X140" s="320"/>
      <c r="Y140" s="320"/>
      <c r="Z140" s="321"/>
      <c r="AA140" s="321"/>
      <c r="AB140" s="321"/>
      <c r="AC140" s="320"/>
      <c r="AD140" s="380"/>
      <c r="AE140" s="352"/>
      <c r="AF140" s="381">
        <f>SUM(E140:AD140)</f>
        <v>0</v>
      </c>
      <c r="AG140" s="381"/>
      <c r="AH140" s="408"/>
      <c r="AI140" s="409">
        <f>AF140+AG140</f>
        <v>0</v>
      </c>
      <c r="AJ140" s="410"/>
      <c r="AK140" s="411">
        <f>AI140+AJ140</f>
        <v>0</v>
      </c>
      <c r="AL140" s="234"/>
      <c r="AM140" s="234"/>
      <c r="AN140" s="234"/>
    </row>
    <row r="141" spans="1:40" ht="20.25">
      <c r="A141" s="1180" t="s">
        <v>131</v>
      </c>
      <c r="B141" s="2585"/>
      <c r="C141" s="730"/>
      <c r="D141" s="1077"/>
      <c r="E141" s="319"/>
      <c r="F141" s="320"/>
      <c r="G141" s="320"/>
      <c r="H141" s="321"/>
      <c r="I141" s="321"/>
      <c r="J141" s="320"/>
      <c r="K141" s="320"/>
      <c r="L141" s="363"/>
      <c r="M141" s="352"/>
      <c r="N141" s="353"/>
      <c r="O141" s="321"/>
      <c r="P141" s="321"/>
      <c r="Q141" s="321"/>
      <c r="R141" s="321"/>
      <c r="S141" s="321"/>
      <c r="T141" s="321"/>
      <c r="U141" s="351"/>
      <c r="V141" s="352"/>
      <c r="W141" s="319"/>
      <c r="X141" s="320"/>
      <c r="Y141" s="320"/>
      <c r="Z141" s="321"/>
      <c r="AA141" s="321"/>
      <c r="AB141" s="321"/>
      <c r="AC141" s="320"/>
      <c r="AD141" s="380"/>
      <c r="AE141" s="352"/>
      <c r="AF141" s="381">
        <f>SUM(E141:AD141)</f>
        <v>0</v>
      </c>
      <c r="AG141" s="381"/>
      <c r="AH141" s="408"/>
      <c r="AI141" s="409">
        <f>AF141+AG141</f>
        <v>0</v>
      </c>
      <c r="AJ141" s="410"/>
      <c r="AK141" s="411">
        <f>AI141+AJ141</f>
        <v>0</v>
      </c>
      <c r="AL141" s="234"/>
      <c r="AM141" s="234"/>
      <c r="AN141" s="234"/>
    </row>
    <row r="142" spans="1:40" ht="20.25">
      <c r="A142" s="1180" t="s">
        <v>131</v>
      </c>
      <c r="B142" s="2585"/>
      <c r="C142" s="730"/>
      <c r="D142" s="1077"/>
      <c r="E142" s="319"/>
      <c r="F142" s="320"/>
      <c r="G142" s="320"/>
      <c r="H142" s="321"/>
      <c r="I142" s="321"/>
      <c r="J142" s="320"/>
      <c r="K142" s="1090"/>
      <c r="L142" s="363"/>
      <c r="M142" s="352"/>
      <c r="N142" s="353"/>
      <c r="O142" s="321"/>
      <c r="P142" s="321"/>
      <c r="Q142" s="321"/>
      <c r="R142" s="321"/>
      <c r="S142" s="321"/>
      <c r="T142" s="321"/>
      <c r="U142" s="351"/>
      <c r="V142" s="352"/>
      <c r="W142" s="319"/>
      <c r="X142" s="320"/>
      <c r="Y142" s="320"/>
      <c r="Z142" s="321"/>
      <c r="AA142" s="321"/>
      <c r="AB142" s="321"/>
      <c r="AC142" s="320"/>
      <c r="AD142" s="380"/>
      <c r="AE142" s="352"/>
      <c r="AF142" s="381">
        <f t="shared" ref="AF142:AF169" si="34">SUM(E142:AD142)</f>
        <v>0</v>
      </c>
      <c r="AG142" s="381"/>
      <c r="AH142" s="408"/>
      <c r="AI142" s="409">
        <f t="shared" ref="AI142:AI169" si="35">AF142+AG142</f>
        <v>0</v>
      </c>
      <c r="AJ142" s="410"/>
      <c r="AK142" s="411">
        <f t="shared" ref="AK142:AK169" si="36">AI142+AJ142</f>
        <v>0</v>
      </c>
      <c r="AL142" s="234"/>
      <c r="AM142" s="234"/>
      <c r="AN142" s="234"/>
    </row>
    <row r="143" spans="1:40" ht="20.25">
      <c r="A143" s="1180" t="s">
        <v>131</v>
      </c>
      <c r="B143" s="2586"/>
      <c r="C143" s="730"/>
      <c r="D143" s="1077"/>
      <c r="E143" s="319"/>
      <c r="F143" s="320"/>
      <c r="G143" s="320"/>
      <c r="H143" s="321"/>
      <c r="I143" s="321"/>
      <c r="J143" s="320"/>
      <c r="K143" s="1090"/>
      <c r="L143" s="351"/>
      <c r="M143" s="352"/>
      <c r="N143" s="353"/>
      <c r="O143" s="321"/>
      <c r="P143" s="321"/>
      <c r="Q143" s="321"/>
      <c r="R143" s="321"/>
      <c r="S143" s="321"/>
      <c r="T143" s="321"/>
      <c r="U143" s="351"/>
      <c r="V143" s="352"/>
      <c r="W143" s="319"/>
      <c r="X143" s="320"/>
      <c r="Y143" s="320"/>
      <c r="Z143" s="321"/>
      <c r="AA143" s="321"/>
      <c r="AB143" s="321"/>
      <c r="AC143" s="320"/>
      <c r="AD143" s="380"/>
      <c r="AE143" s="352"/>
      <c r="AF143" s="381">
        <f t="shared" si="34"/>
        <v>0</v>
      </c>
      <c r="AG143" s="381"/>
      <c r="AH143" s="408"/>
      <c r="AI143" s="409">
        <f t="shared" si="35"/>
        <v>0</v>
      </c>
      <c r="AJ143" s="410"/>
      <c r="AK143" s="411">
        <f t="shared" si="36"/>
        <v>0</v>
      </c>
      <c r="AL143" s="234"/>
      <c r="AM143" s="234"/>
      <c r="AN143" s="234"/>
    </row>
    <row r="144" spans="1:40" ht="20.25">
      <c r="A144" s="1180" t="s">
        <v>131</v>
      </c>
      <c r="B144" s="2586"/>
      <c r="C144" s="730"/>
      <c r="D144" s="1077"/>
      <c r="E144" s="319"/>
      <c r="F144" s="320"/>
      <c r="G144" s="320"/>
      <c r="H144" s="321"/>
      <c r="I144" s="321"/>
      <c r="J144" s="320"/>
      <c r="K144" s="1090"/>
      <c r="L144" s="351"/>
      <c r="M144" s="352"/>
      <c r="N144" s="353"/>
      <c r="O144" s="321"/>
      <c r="P144" s="321"/>
      <c r="Q144" s="321"/>
      <c r="R144" s="321"/>
      <c r="S144" s="321"/>
      <c r="T144" s="321"/>
      <c r="U144" s="351"/>
      <c r="V144" s="352"/>
      <c r="W144" s="319"/>
      <c r="X144" s="320"/>
      <c r="Y144" s="320"/>
      <c r="Z144" s="321"/>
      <c r="AA144" s="321"/>
      <c r="AB144" s="321"/>
      <c r="AC144" s="320"/>
      <c r="AD144" s="380"/>
      <c r="AE144" s="352"/>
      <c r="AF144" s="381">
        <f t="shared" si="34"/>
        <v>0</v>
      </c>
      <c r="AG144" s="381"/>
      <c r="AH144" s="408"/>
      <c r="AI144" s="409">
        <f t="shared" si="35"/>
        <v>0</v>
      </c>
      <c r="AJ144" s="410"/>
      <c r="AK144" s="411">
        <f t="shared" si="36"/>
        <v>0</v>
      </c>
      <c r="AL144" s="234"/>
      <c r="AM144" s="234"/>
      <c r="AN144" s="234"/>
    </row>
    <row r="145" spans="1:40" ht="20.25">
      <c r="A145" s="1180" t="s">
        <v>131</v>
      </c>
      <c r="B145" s="2586"/>
      <c r="C145" s="730"/>
      <c r="D145" s="1077"/>
      <c r="E145" s="319"/>
      <c r="F145" s="320"/>
      <c r="G145" s="320"/>
      <c r="H145" s="321"/>
      <c r="I145" s="321"/>
      <c r="J145" s="320"/>
      <c r="K145" s="1090"/>
      <c r="L145" s="351"/>
      <c r="M145" s="352"/>
      <c r="N145" s="353"/>
      <c r="O145" s="321"/>
      <c r="P145" s="321"/>
      <c r="Q145" s="321"/>
      <c r="R145" s="321"/>
      <c r="S145" s="321"/>
      <c r="T145" s="321"/>
      <c r="U145" s="351"/>
      <c r="V145" s="352"/>
      <c r="W145" s="319"/>
      <c r="X145" s="320"/>
      <c r="Y145" s="320"/>
      <c r="Z145" s="321"/>
      <c r="AA145" s="321"/>
      <c r="AB145" s="321"/>
      <c r="AC145" s="320"/>
      <c r="AD145" s="380"/>
      <c r="AE145" s="352"/>
      <c r="AF145" s="381">
        <f t="shared" si="34"/>
        <v>0</v>
      </c>
      <c r="AG145" s="381"/>
      <c r="AH145" s="408"/>
      <c r="AI145" s="409">
        <f t="shared" si="35"/>
        <v>0</v>
      </c>
      <c r="AJ145" s="410"/>
      <c r="AK145" s="411">
        <f t="shared" si="36"/>
        <v>0</v>
      </c>
      <c r="AL145" s="234"/>
      <c r="AM145" s="234"/>
      <c r="AN145" s="234"/>
    </row>
    <row r="146" spans="1:40" ht="20.25">
      <c r="A146" s="1180" t="s">
        <v>131</v>
      </c>
      <c r="B146" s="2586"/>
      <c r="C146" s="730"/>
      <c r="D146" s="1077"/>
      <c r="E146" s="319"/>
      <c r="F146" s="320"/>
      <c r="G146" s="320"/>
      <c r="H146" s="321"/>
      <c r="I146" s="321"/>
      <c r="J146" s="320"/>
      <c r="K146" s="1090"/>
      <c r="L146" s="351"/>
      <c r="M146" s="352"/>
      <c r="N146" s="353"/>
      <c r="O146" s="321"/>
      <c r="P146" s="321"/>
      <c r="Q146" s="321"/>
      <c r="R146" s="321"/>
      <c r="S146" s="321"/>
      <c r="T146" s="321"/>
      <c r="U146" s="351"/>
      <c r="V146" s="352"/>
      <c r="W146" s="319"/>
      <c r="X146" s="320"/>
      <c r="Y146" s="320"/>
      <c r="Z146" s="321"/>
      <c r="AA146" s="321"/>
      <c r="AB146" s="321"/>
      <c r="AC146" s="320"/>
      <c r="AD146" s="380"/>
      <c r="AE146" s="352"/>
      <c r="AF146" s="381">
        <f t="shared" si="34"/>
        <v>0</v>
      </c>
      <c r="AG146" s="381"/>
      <c r="AH146" s="408"/>
      <c r="AI146" s="409">
        <f t="shared" si="35"/>
        <v>0</v>
      </c>
      <c r="AJ146" s="410"/>
      <c r="AK146" s="411">
        <f t="shared" si="36"/>
        <v>0</v>
      </c>
      <c r="AL146" s="234"/>
      <c r="AM146" s="234"/>
      <c r="AN146" s="234"/>
    </row>
    <row r="147" spans="1:40" ht="20.25">
      <c r="A147" s="1180" t="s">
        <v>131</v>
      </c>
      <c r="B147" s="2586"/>
      <c r="C147" s="730"/>
      <c r="D147" s="1077"/>
      <c r="E147" s="319"/>
      <c r="F147" s="320"/>
      <c r="G147" s="320"/>
      <c r="H147" s="321"/>
      <c r="I147" s="321"/>
      <c r="J147" s="320"/>
      <c r="K147" s="1090"/>
      <c r="L147" s="351"/>
      <c r="M147" s="352"/>
      <c r="N147" s="353"/>
      <c r="O147" s="321"/>
      <c r="P147" s="321"/>
      <c r="Q147" s="321"/>
      <c r="R147" s="321"/>
      <c r="S147" s="321"/>
      <c r="T147" s="321"/>
      <c r="U147" s="351"/>
      <c r="V147" s="352"/>
      <c r="W147" s="319"/>
      <c r="X147" s="320"/>
      <c r="Y147" s="320"/>
      <c r="Z147" s="321"/>
      <c r="AA147" s="321"/>
      <c r="AB147" s="321"/>
      <c r="AC147" s="320"/>
      <c r="AD147" s="380"/>
      <c r="AE147" s="352"/>
      <c r="AF147" s="381">
        <f t="shared" si="34"/>
        <v>0</v>
      </c>
      <c r="AG147" s="381"/>
      <c r="AH147" s="408"/>
      <c r="AI147" s="409">
        <f t="shared" si="35"/>
        <v>0</v>
      </c>
      <c r="AJ147" s="410"/>
      <c r="AK147" s="411">
        <f t="shared" si="36"/>
        <v>0</v>
      </c>
      <c r="AL147" s="234"/>
      <c r="AM147" s="234"/>
      <c r="AN147" s="234"/>
    </row>
    <row r="148" spans="1:40" ht="20.25">
      <c r="A148" s="1180" t="s">
        <v>131</v>
      </c>
      <c r="B148" s="2586"/>
      <c r="C148" s="730"/>
      <c r="D148" s="1077"/>
      <c r="E148" s="319"/>
      <c r="F148" s="320"/>
      <c r="G148" s="320"/>
      <c r="H148" s="321"/>
      <c r="I148" s="321"/>
      <c r="J148" s="320"/>
      <c r="K148" s="1090"/>
      <c r="L148" s="351"/>
      <c r="M148" s="352"/>
      <c r="N148" s="353"/>
      <c r="O148" s="321"/>
      <c r="P148" s="321"/>
      <c r="Q148" s="321"/>
      <c r="R148" s="321"/>
      <c r="S148" s="321"/>
      <c r="T148" s="321"/>
      <c r="U148" s="351"/>
      <c r="V148" s="352"/>
      <c r="W148" s="319"/>
      <c r="X148" s="320"/>
      <c r="Y148" s="320"/>
      <c r="Z148" s="321"/>
      <c r="AA148" s="321"/>
      <c r="AB148" s="321"/>
      <c r="AC148" s="320"/>
      <c r="AD148" s="380"/>
      <c r="AE148" s="352"/>
      <c r="AF148" s="381">
        <f t="shared" si="34"/>
        <v>0</v>
      </c>
      <c r="AG148" s="381"/>
      <c r="AH148" s="408"/>
      <c r="AI148" s="409">
        <f t="shared" si="35"/>
        <v>0</v>
      </c>
      <c r="AJ148" s="410"/>
      <c r="AK148" s="411">
        <f t="shared" si="36"/>
        <v>0</v>
      </c>
      <c r="AL148" s="234"/>
      <c r="AM148" s="234"/>
      <c r="AN148" s="234"/>
    </row>
    <row r="149" spans="1:40" ht="20.25">
      <c r="A149" s="1180" t="s">
        <v>131</v>
      </c>
      <c r="B149" s="2585"/>
      <c r="C149" s="730"/>
      <c r="D149" s="1077"/>
      <c r="E149" s="319"/>
      <c r="F149" s="320"/>
      <c r="G149" s="320"/>
      <c r="H149" s="321"/>
      <c r="I149" s="321"/>
      <c r="J149" s="320"/>
      <c r="K149" s="1090"/>
      <c r="L149" s="351"/>
      <c r="M149" s="352"/>
      <c r="N149" s="353"/>
      <c r="O149" s="321"/>
      <c r="P149" s="321"/>
      <c r="Q149" s="321"/>
      <c r="R149" s="321"/>
      <c r="S149" s="321"/>
      <c r="T149" s="321"/>
      <c r="U149" s="351"/>
      <c r="V149" s="352"/>
      <c r="W149" s="319"/>
      <c r="X149" s="320"/>
      <c r="Y149" s="320"/>
      <c r="Z149" s="321"/>
      <c r="AA149" s="321"/>
      <c r="AB149" s="321"/>
      <c r="AC149" s="320"/>
      <c r="AD149" s="380"/>
      <c r="AE149" s="352"/>
      <c r="AF149" s="381">
        <f t="shared" si="34"/>
        <v>0</v>
      </c>
      <c r="AG149" s="381"/>
      <c r="AH149" s="408"/>
      <c r="AI149" s="409">
        <f t="shared" si="35"/>
        <v>0</v>
      </c>
      <c r="AJ149" s="410"/>
      <c r="AK149" s="411">
        <f t="shared" si="36"/>
        <v>0</v>
      </c>
      <c r="AL149" s="234"/>
      <c r="AM149" s="234"/>
      <c r="AN149" s="234"/>
    </row>
    <row r="150" spans="1:40" ht="20.25">
      <c r="A150" s="1180" t="s">
        <v>131</v>
      </c>
      <c r="B150" s="2586"/>
      <c r="C150" s="730"/>
      <c r="D150" s="1077"/>
      <c r="E150" s="319"/>
      <c r="F150" s="320"/>
      <c r="G150" s="320"/>
      <c r="H150" s="321"/>
      <c r="I150" s="321"/>
      <c r="J150" s="320"/>
      <c r="K150" s="1090"/>
      <c r="L150" s="351"/>
      <c r="M150" s="352"/>
      <c r="N150" s="353"/>
      <c r="O150" s="321"/>
      <c r="P150" s="321"/>
      <c r="Q150" s="321"/>
      <c r="R150" s="321"/>
      <c r="S150" s="321"/>
      <c r="T150" s="321"/>
      <c r="U150" s="351"/>
      <c r="V150" s="352"/>
      <c r="W150" s="319"/>
      <c r="X150" s="320"/>
      <c r="Y150" s="320"/>
      <c r="Z150" s="321"/>
      <c r="AA150" s="321"/>
      <c r="AB150" s="321"/>
      <c r="AC150" s="320"/>
      <c r="AD150" s="380"/>
      <c r="AE150" s="352"/>
      <c r="AF150" s="381">
        <f t="shared" si="34"/>
        <v>0</v>
      </c>
      <c r="AG150" s="381"/>
      <c r="AH150" s="408"/>
      <c r="AI150" s="409">
        <f t="shared" si="35"/>
        <v>0</v>
      </c>
      <c r="AJ150" s="410"/>
      <c r="AK150" s="411">
        <f t="shared" si="36"/>
        <v>0</v>
      </c>
      <c r="AL150" s="234"/>
      <c r="AM150" s="234"/>
      <c r="AN150" s="234"/>
    </row>
    <row r="151" spans="1:40" ht="20.25">
      <c r="A151" s="1180" t="s">
        <v>131</v>
      </c>
      <c r="B151" s="729"/>
      <c r="C151" s="730"/>
      <c r="D151" s="1077"/>
      <c r="E151" s="319"/>
      <c r="F151" s="320"/>
      <c r="G151" s="320"/>
      <c r="H151" s="321"/>
      <c r="I151" s="321"/>
      <c r="J151" s="320"/>
      <c r="K151" s="1090"/>
      <c r="L151" s="351"/>
      <c r="M151" s="352"/>
      <c r="N151" s="353"/>
      <c r="O151" s="321"/>
      <c r="P151" s="321"/>
      <c r="Q151" s="321"/>
      <c r="R151" s="321"/>
      <c r="S151" s="321"/>
      <c r="T151" s="321"/>
      <c r="U151" s="351"/>
      <c r="V151" s="352"/>
      <c r="W151" s="319"/>
      <c r="X151" s="320"/>
      <c r="Y151" s="320"/>
      <c r="Z151" s="321"/>
      <c r="AA151" s="321"/>
      <c r="AB151" s="321"/>
      <c r="AC151" s="320"/>
      <c r="AD151" s="380"/>
      <c r="AE151" s="352"/>
      <c r="AF151" s="381">
        <f t="shared" si="34"/>
        <v>0</v>
      </c>
      <c r="AG151" s="381"/>
      <c r="AH151" s="408"/>
      <c r="AI151" s="409">
        <f t="shared" si="35"/>
        <v>0</v>
      </c>
      <c r="AJ151" s="410"/>
      <c r="AK151" s="411">
        <f t="shared" si="36"/>
        <v>0</v>
      </c>
      <c r="AL151" s="234"/>
      <c r="AM151" s="234"/>
      <c r="AN151" s="234"/>
    </row>
    <row r="152" spans="1:40" ht="20.25">
      <c r="A152" s="1180" t="s">
        <v>131</v>
      </c>
      <c r="B152" s="729"/>
      <c r="C152" s="730"/>
      <c r="D152" s="1077"/>
      <c r="E152" s="319"/>
      <c r="F152" s="320"/>
      <c r="G152" s="320"/>
      <c r="H152" s="321"/>
      <c r="I152" s="321"/>
      <c r="J152" s="320"/>
      <c r="K152" s="1090"/>
      <c r="L152" s="351"/>
      <c r="M152" s="352"/>
      <c r="N152" s="353"/>
      <c r="O152" s="321"/>
      <c r="P152" s="321"/>
      <c r="Q152" s="321"/>
      <c r="R152" s="321"/>
      <c r="S152" s="321"/>
      <c r="T152" s="321"/>
      <c r="U152" s="351"/>
      <c r="V152" s="352"/>
      <c r="W152" s="319"/>
      <c r="X152" s="320"/>
      <c r="Y152" s="320"/>
      <c r="Z152" s="321"/>
      <c r="AA152" s="321"/>
      <c r="AB152" s="321"/>
      <c r="AC152" s="320"/>
      <c r="AD152" s="380"/>
      <c r="AE152" s="352"/>
      <c r="AF152" s="381">
        <f t="shared" si="34"/>
        <v>0</v>
      </c>
      <c r="AG152" s="381"/>
      <c r="AH152" s="408"/>
      <c r="AI152" s="409">
        <f t="shared" si="35"/>
        <v>0</v>
      </c>
      <c r="AJ152" s="410"/>
      <c r="AK152" s="411">
        <f t="shared" si="36"/>
        <v>0</v>
      </c>
      <c r="AL152" s="234"/>
      <c r="AM152" s="234"/>
      <c r="AN152" s="234"/>
    </row>
    <row r="153" spans="1:40" ht="20.25">
      <c r="A153" s="1180" t="s">
        <v>131</v>
      </c>
      <c r="B153" s="729"/>
      <c r="C153" s="730"/>
      <c r="D153" s="1077"/>
      <c r="E153" s="319"/>
      <c r="F153" s="320"/>
      <c r="G153" s="320"/>
      <c r="H153" s="321"/>
      <c r="I153" s="321"/>
      <c r="J153" s="320"/>
      <c r="K153" s="1090"/>
      <c r="L153" s="351"/>
      <c r="M153" s="352"/>
      <c r="N153" s="353"/>
      <c r="O153" s="321"/>
      <c r="P153" s="321"/>
      <c r="Q153" s="321"/>
      <c r="R153" s="321"/>
      <c r="S153" s="321"/>
      <c r="T153" s="321"/>
      <c r="U153" s="351"/>
      <c r="V153" s="352"/>
      <c r="W153" s="319"/>
      <c r="X153" s="320"/>
      <c r="Y153" s="320"/>
      <c r="Z153" s="321"/>
      <c r="AA153" s="321"/>
      <c r="AB153" s="321"/>
      <c r="AC153" s="320"/>
      <c r="AD153" s="380"/>
      <c r="AE153" s="352"/>
      <c r="AF153" s="381">
        <f t="shared" si="34"/>
        <v>0</v>
      </c>
      <c r="AG153" s="381"/>
      <c r="AH153" s="408"/>
      <c r="AI153" s="409">
        <f t="shared" si="35"/>
        <v>0</v>
      </c>
      <c r="AJ153" s="410"/>
      <c r="AK153" s="411">
        <f t="shared" si="36"/>
        <v>0</v>
      </c>
      <c r="AL153" s="234"/>
      <c r="AM153" s="234"/>
      <c r="AN153" s="234"/>
    </row>
    <row r="154" spans="1:40" ht="20.25">
      <c r="A154" s="1180" t="s">
        <v>131</v>
      </c>
      <c r="B154" s="729"/>
      <c r="C154" s="730"/>
      <c r="D154" s="1077"/>
      <c r="E154" s="319"/>
      <c r="F154" s="320"/>
      <c r="G154" s="320"/>
      <c r="H154" s="321"/>
      <c r="I154" s="321"/>
      <c r="J154" s="320"/>
      <c r="K154" s="1090"/>
      <c r="L154" s="351"/>
      <c r="M154" s="352"/>
      <c r="N154" s="353"/>
      <c r="O154" s="321"/>
      <c r="P154" s="321"/>
      <c r="Q154" s="321"/>
      <c r="R154" s="321"/>
      <c r="S154" s="321"/>
      <c r="T154" s="321"/>
      <c r="U154" s="351"/>
      <c r="V154" s="352"/>
      <c r="W154" s="319"/>
      <c r="X154" s="320"/>
      <c r="Y154" s="320"/>
      <c r="Z154" s="321"/>
      <c r="AA154" s="321"/>
      <c r="AB154" s="321"/>
      <c r="AC154" s="320"/>
      <c r="AD154" s="380"/>
      <c r="AE154" s="352"/>
      <c r="AF154" s="381">
        <f t="shared" si="34"/>
        <v>0</v>
      </c>
      <c r="AG154" s="381"/>
      <c r="AH154" s="408"/>
      <c r="AI154" s="409">
        <f t="shared" si="35"/>
        <v>0</v>
      </c>
      <c r="AJ154" s="410"/>
      <c r="AK154" s="411">
        <f t="shared" si="36"/>
        <v>0</v>
      </c>
      <c r="AL154" s="234"/>
      <c r="AM154" s="234"/>
      <c r="AN154" s="234"/>
    </row>
    <row r="155" spans="1:40" ht="20.25">
      <c r="A155" s="1180" t="s">
        <v>131</v>
      </c>
      <c r="B155" s="729"/>
      <c r="C155" s="730"/>
      <c r="D155" s="1077"/>
      <c r="E155" s="319"/>
      <c r="F155" s="320"/>
      <c r="G155" s="320"/>
      <c r="H155" s="321"/>
      <c r="I155" s="321"/>
      <c r="J155" s="320"/>
      <c r="K155" s="842"/>
      <c r="L155" s="351"/>
      <c r="M155" s="352"/>
      <c r="N155" s="353"/>
      <c r="O155" s="321"/>
      <c r="P155" s="321"/>
      <c r="Q155" s="321"/>
      <c r="R155" s="321"/>
      <c r="S155" s="321"/>
      <c r="T155" s="321"/>
      <c r="U155" s="351"/>
      <c r="V155" s="352"/>
      <c r="W155" s="319"/>
      <c r="X155" s="320"/>
      <c r="Y155" s="320"/>
      <c r="Z155" s="321"/>
      <c r="AA155" s="321"/>
      <c r="AB155" s="321"/>
      <c r="AC155" s="320"/>
      <c r="AD155" s="380"/>
      <c r="AE155" s="352"/>
      <c r="AF155" s="381">
        <f t="shared" si="34"/>
        <v>0</v>
      </c>
      <c r="AG155" s="381"/>
      <c r="AH155" s="408"/>
      <c r="AI155" s="409">
        <f t="shared" si="35"/>
        <v>0</v>
      </c>
      <c r="AJ155" s="410"/>
      <c r="AK155" s="411">
        <f t="shared" si="36"/>
        <v>0</v>
      </c>
      <c r="AL155" s="234"/>
      <c r="AM155" s="234"/>
      <c r="AN155" s="234"/>
    </row>
    <row r="156" spans="1:40" ht="20.25">
      <c r="A156" s="1180" t="s">
        <v>131</v>
      </c>
      <c r="B156" s="729"/>
      <c r="C156" s="730"/>
      <c r="D156" s="1077"/>
      <c r="E156" s="319"/>
      <c r="F156" s="320"/>
      <c r="G156" s="320"/>
      <c r="H156" s="321"/>
      <c r="I156" s="321"/>
      <c r="J156" s="320"/>
      <c r="K156" s="842"/>
      <c r="L156" s="351"/>
      <c r="M156" s="352"/>
      <c r="N156" s="353"/>
      <c r="O156" s="321"/>
      <c r="P156" s="321"/>
      <c r="Q156" s="321"/>
      <c r="R156" s="321"/>
      <c r="S156" s="321"/>
      <c r="T156" s="321"/>
      <c r="U156" s="351"/>
      <c r="V156" s="352"/>
      <c r="W156" s="319"/>
      <c r="X156" s="320"/>
      <c r="Y156" s="320"/>
      <c r="Z156" s="321"/>
      <c r="AA156" s="321"/>
      <c r="AB156" s="321"/>
      <c r="AC156" s="320"/>
      <c r="AD156" s="380"/>
      <c r="AE156" s="352"/>
      <c r="AF156" s="381">
        <f t="shared" si="34"/>
        <v>0</v>
      </c>
      <c r="AG156" s="381"/>
      <c r="AH156" s="408"/>
      <c r="AI156" s="409">
        <f t="shared" si="35"/>
        <v>0</v>
      </c>
      <c r="AJ156" s="410"/>
      <c r="AK156" s="411">
        <f t="shared" si="36"/>
        <v>0</v>
      </c>
      <c r="AL156" s="234"/>
      <c r="AM156" s="234"/>
      <c r="AN156" s="234"/>
    </row>
    <row r="157" spans="1:40" ht="20.25">
      <c r="A157" s="1180" t="s">
        <v>131</v>
      </c>
      <c r="B157" s="729"/>
      <c r="C157" s="730"/>
      <c r="D157" s="1077"/>
      <c r="E157" s="319"/>
      <c r="F157" s="320"/>
      <c r="G157" s="320"/>
      <c r="H157" s="321"/>
      <c r="I157" s="321"/>
      <c r="J157" s="320"/>
      <c r="K157" s="842"/>
      <c r="L157" s="351"/>
      <c r="M157" s="352"/>
      <c r="N157" s="353"/>
      <c r="O157" s="321"/>
      <c r="P157" s="321"/>
      <c r="Q157" s="321"/>
      <c r="R157" s="321"/>
      <c r="S157" s="321"/>
      <c r="T157" s="321"/>
      <c r="U157" s="351"/>
      <c r="V157" s="352"/>
      <c r="W157" s="319"/>
      <c r="X157" s="320"/>
      <c r="Y157" s="320"/>
      <c r="Z157" s="321"/>
      <c r="AA157" s="321"/>
      <c r="AB157" s="321"/>
      <c r="AC157" s="320"/>
      <c r="AD157" s="380"/>
      <c r="AE157" s="352"/>
      <c r="AF157" s="381">
        <f t="shared" si="34"/>
        <v>0</v>
      </c>
      <c r="AG157" s="381"/>
      <c r="AH157" s="408"/>
      <c r="AI157" s="409">
        <f t="shared" si="35"/>
        <v>0</v>
      </c>
      <c r="AJ157" s="410"/>
      <c r="AK157" s="411">
        <f t="shared" si="36"/>
        <v>0</v>
      </c>
      <c r="AL157" s="234"/>
      <c r="AM157" s="234"/>
      <c r="AN157" s="234"/>
    </row>
    <row r="158" spans="1:40" ht="20.25">
      <c r="A158" s="1180" t="s">
        <v>131</v>
      </c>
      <c r="B158" s="729"/>
      <c r="C158" s="730"/>
      <c r="D158" s="1077"/>
      <c r="E158" s="319"/>
      <c r="F158" s="320"/>
      <c r="G158" s="320"/>
      <c r="H158" s="321"/>
      <c r="I158" s="321"/>
      <c r="J158" s="320"/>
      <c r="K158" s="842"/>
      <c r="L158" s="351"/>
      <c r="M158" s="352"/>
      <c r="N158" s="353"/>
      <c r="O158" s="321"/>
      <c r="P158" s="321"/>
      <c r="Q158" s="321"/>
      <c r="R158" s="321"/>
      <c r="S158" s="321"/>
      <c r="T158" s="321"/>
      <c r="U158" s="351"/>
      <c r="V158" s="352"/>
      <c r="W158" s="319"/>
      <c r="X158" s="320"/>
      <c r="Y158" s="320"/>
      <c r="Z158" s="321"/>
      <c r="AA158" s="321"/>
      <c r="AB158" s="321"/>
      <c r="AC158" s="320"/>
      <c r="AD158" s="380"/>
      <c r="AE158" s="352"/>
      <c r="AF158" s="381">
        <f t="shared" si="34"/>
        <v>0</v>
      </c>
      <c r="AG158" s="381"/>
      <c r="AH158" s="408"/>
      <c r="AI158" s="409">
        <f t="shared" si="35"/>
        <v>0</v>
      </c>
      <c r="AJ158" s="410"/>
      <c r="AK158" s="411">
        <f t="shared" si="36"/>
        <v>0</v>
      </c>
      <c r="AL158" s="234"/>
      <c r="AM158" s="234"/>
      <c r="AN158" s="234"/>
    </row>
    <row r="159" spans="1:40" ht="20.25">
      <c r="A159" s="1180" t="s">
        <v>131</v>
      </c>
      <c r="B159" s="729"/>
      <c r="C159" s="730"/>
      <c r="D159" s="1077"/>
      <c r="E159" s="319"/>
      <c r="F159" s="320"/>
      <c r="G159" s="320"/>
      <c r="H159" s="321"/>
      <c r="I159" s="321"/>
      <c r="J159" s="320"/>
      <c r="K159" s="842"/>
      <c r="L159" s="351"/>
      <c r="M159" s="352"/>
      <c r="N159" s="353"/>
      <c r="O159" s="321"/>
      <c r="P159" s="321"/>
      <c r="Q159" s="321"/>
      <c r="R159" s="321"/>
      <c r="S159" s="321"/>
      <c r="T159" s="321"/>
      <c r="U159" s="351"/>
      <c r="V159" s="352"/>
      <c r="W159" s="319"/>
      <c r="X159" s="320"/>
      <c r="Y159" s="320"/>
      <c r="Z159" s="321"/>
      <c r="AA159" s="321"/>
      <c r="AB159" s="321"/>
      <c r="AC159" s="320"/>
      <c r="AD159" s="380"/>
      <c r="AE159" s="352"/>
      <c r="AF159" s="381">
        <f t="shared" si="34"/>
        <v>0</v>
      </c>
      <c r="AG159" s="381"/>
      <c r="AH159" s="408"/>
      <c r="AI159" s="409">
        <f t="shared" si="35"/>
        <v>0</v>
      </c>
      <c r="AJ159" s="410"/>
      <c r="AK159" s="411">
        <f t="shared" si="36"/>
        <v>0</v>
      </c>
      <c r="AL159" s="234"/>
      <c r="AM159" s="234"/>
      <c r="AN159" s="234"/>
    </row>
    <row r="160" spans="1:40" ht="20.25">
      <c r="A160" s="1180" t="s">
        <v>131</v>
      </c>
      <c r="B160" s="729"/>
      <c r="C160" s="730"/>
      <c r="D160" s="1077"/>
      <c r="E160" s="319"/>
      <c r="F160" s="320"/>
      <c r="G160" s="320"/>
      <c r="H160" s="321"/>
      <c r="I160" s="321"/>
      <c r="J160" s="320"/>
      <c r="K160" s="842"/>
      <c r="L160" s="351"/>
      <c r="M160" s="352"/>
      <c r="N160" s="353"/>
      <c r="O160" s="321"/>
      <c r="P160" s="321"/>
      <c r="Q160" s="321"/>
      <c r="R160" s="321"/>
      <c r="S160" s="321"/>
      <c r="T160" s="321"/>
      <c r="U160" s="351"/>
      <c r="V160" s="352"/>
      <c r="W160" s="319"/>
      <c r="X160" s="320"/>
      <c r="Y160" s="320"/>
      <c r="Z160" s="321"/>
      <c r="AA160" s="321"/>
      <c r="AB160" s="321"/>
      <c r="AC160" s="320"/>
      <c r="AD160" s="380"/>
      <c r="AE160" s="352"/>
      <c r="AF160" s="381">
        <f t="shared" si="34"/>
        <v>0</v>
      </c>
      <c r="AG160" s="381"/>
      <c r="AH160" s="408"/>
      <c r="AI160" s="409">
        <f t="shared" si="35"/>
        <v>0</v>
      </c>
      <c r="AJ160" s="410"/>
      <c r="AK160" s="411">
        <f t="shared" si="36"/>
        <v>0</v>
      </c>
      <c r="AL160" s="234"/>
      <c r="AM160" s="234"/>
      <c r="AN160" s="234"/>
    </row>
    <row r="161" spans="1:40" ht="20.25">
      <c r="A161" s="1180" t="s">
        <v>131</v>
      </c>
      <c r="B161" s="729"/>
      <c r="C161" s="730"/>
      <c r="D161" s="1077"/>
      <c r="E161" s="319"/>
      <c r="F161" s="320"/>
      <c r="G161" s="320"/>
      <c r="H161" s="321"/>
      <c r="I161" s="321"/>
      <c r="J161" s="320"/>
      <c r="K161" s="842"/>
      <c r="L161" s="351"/>
      <c r="M161" s="352"/>
      <c r="N161" s="353"/>
      <c r="O161" s="321"/>
      <c r="P161" s="321"/>
      <c r="Q161" s="321"/>
      <c r="R161" s="321"/>
      <c r="S161" s="321"/>
      <c r="T161" s="321"/>
      <c r="U161" s="351"/>
      <c r="V161" s="352"/>
      <c r="W161" s="319"/>
      <c r="X161" s="320"/>
      <c r="Y161" s="320"/>
      <c r="Z161" s="321"/>
      <c r="AA161" s="321"/>
      <c r="AB161" s="321"/>
      <c r="AC161" s="320"/>
      <c r="AD161" s="380"/>
      <c r="AE161" s="352"/>
      <c r="AF161" s="381">
        <f t="shared" si="34"/>
        <v>0</v>
      </c>
      <c r="AG161" s="381"/>
      <c r="AH161" s="408"/>
      <c r="AI161" s="409">
        <f t="shared" si="35"/>
        <v>0</v>
      </c>
      <c r="AJ161" s="410"/>
      <c r="AK161" s="411">
        <f t="shared" si="36"/>
        <v>0</v>
      </c>
      <c r="AL161" s="234"/>
      <c r="AM161" s="234"/>
      <c r="AN161" s="234"/>
    </row>
    <row r="162" spans="1:40" ht="20.25">
      <c r="A162" s="1180" t="s">
        <v>131</v>
      </c>
      <c r="B162" s="729"/>
      <c r="C162" s="730"/>
      <c r="D162" s="1077"/>
      <c r="E162" s="319"/>
      <c r="F162" s="320"/>
      <c r="G162" s="320"/>
      <c r="H162" s="321"/>
      <c r="I162" s="321"/>
      <c r="J162" s="320"/>
      <c r="K162" s="842"/>
      <c r="L162" s="351"/>
      <c r="M162" s="352"/>
      <c r="N162" s="353"/>
      <c r="O162" s="321"/>
      <c r="P162" s="321"/>
      <c r="Q162" s="321"/>
      <c r="R162" s="321"/>
      <c r="S162" s="321"/>
      <c r="T162" s="321"/>
      <c r="U162" s="351"/>
      <c r="V162" s="352"/>
      <c r="W162" s="319"/>
      <c r="X162" s="320"/>
      <c r="Y162" s="320"/>
      <c r="Z162" s="321"/>
      <c r="AA162" s="321"/>
      <c r="AB162" s="321"/>
      <c r="AC162" s="320"/>
      <c r="AD162" s="380"/>
      <c r="AE162" s="352"/>
      <c r="AF162" s="381">
        <f t="shared" si="34"/>
        <v>0</v>
      </c>
      <c r="AG162" s="381"/>
      <c r="AH162" s="408"/>
      <c r="AI162" s="409">
        <f t="shared" si="35"/>
        <v>0</v>
      </c>
      <c r="AJ162" s="410"/>
      <c r="AK162" s="411">
        <f t="shared" si="36"/>
        <v>0</v>
      </c>
      <c r="AL162" s="234"/>
      <c r="AM162" s="234"/>
      <c r="AN162" s="234"/>
    </row>
    <row r="163" spans="1:40" ht="20.25">
      <c r="A163" s="1180" t="s">
        <v>131</v>
      </c>
      <c r="B163" s="729"/>
      <c r="C163" s="730"/>
      <c r="D163" s="1077"/>
      <c r="E163" s="319"/>
      <c r="F163" s="320"/>
      <c r="G163" s="320"/>
      <c r="H163" s="321"/>
      <c r="I163" s="321"/>
      <c r="J163" s="320"/>
      <c r="K163" s="842"/>
      <c r="L163" s="351"/>
      <c r="M163" s="352"/>
      <c r="N163" s="353"/>
      <c r="O163" s="321"/>
      <c r="P163" s="321"/>
      <c r="Q163" s="321"/>
      <c r="R163" s="321"/>
      <c r="S163" s="321"/>
      <c r="T163" s="321"/>
      <c r="U163" s="351"/>
      <c r="V163" s="352"/>
      <c r="W163" s="319"/>
      <c r="X163" s="320"/>
      <c r="Y163" s="320"/>
      <c r="Z163" s="321"/>
      <c r="AA163" s="321"/>
      <c r="AB163" s="321"/>
      <c r="AC163" s="320"/>
      <c r="AD163" s="380"/>
      <c r="AE163" s="352"/>
      <c r="AF163" s="381">
        <f t="shared" si="34"/>
        <v>0</v>
      </c>
      <c r="AG163" s="381"/>
      <c r="AH163" s="408"/>
      <c r="AI163" s="409">
        <f t="shared" si="35"/>
        <v>0</v>
      </c>
      <c r="AJ163" s="410"/>
      <c r="AK163" s="411">
        <f t="shared" si="36"/>
        <v>0</v>
      </c>
      <c r="AL163" s="234"/>
      <c r="AM163" s="234"/>
      <c r="AN163" s="234"/>
    </row>
    <row r="164" spans="1:40" ht="21" thickBot="1">
      <c r="A164" s="1180" t="s">
        <v>131</v>
      </c>
      <c r="B164" s="729"/>
      <c r="C164" s="730"/>
      <c r="D164" s="1077"/>
      <c r="E164" s="319"/>
      <c r="F164" s="320"/>
      <c r="G164" s="320"/>
      <c r="H164" s="321"/>
      <c r="I164" s="321"/>
      <c r="J164" s="320"/>
      <c r="K164" s="842"/>
      <c r="L164" s="351"/>
      <c r="M164" s="352"/>
      <c r="N164" s="353"/>
      <c r="O164" s="321"/>
      <c r="P164" s="321"/>
      <c r="Q164" s="321"/>
      <c r="R164" s="321"/>
      <c r="S164" s="321"/>
      <c r="T164" s="321"/>
      <c r="U164" s="351"/>
      <c r="V164" s="352"/>
      <c r="W164" s="319"/>
      <c r="X164" s="320"/>
      <c r="Y164" s="320"/>
      <c r="Z164" s="321"/>
      <c r="AA164" s="321"/>
      <c r="AB164" s="321"/>
      <c r="AC164" s="320"/>
      <c r="AD164" s="380"/>
      <c r="AE164" s="352"/>
      <c r="AF164" s="381">
        <f t="shared" si="34"/>
        <v>0</v>
      </c>
      <c r="AG164" s="381"/>
      <c r="AH164" s="408"/>
      <c r="AI164" s="409">
        <f t="shared" si="35"/>
        <v>0</v>
      </c>
      <c r="AJ164" s="410"/>
      <c r="AK164" s="411">
        <f t="shared" si="36"/>
        <v>0</v>
      </c>
      <c r="AL164" s="234"/>
      <c r="AM164" s="234"/>
      <c r="AN164" s="234"/>
    </row>
    <row r="165" spans="1:40" ht="21" thickBot="1">
      <c r="A165" s="1180" t="s">
        <v>131</v>
      </c>
      <c r="B165" s="729"/>
      <c r="C165" s="730"/>
      <c r="D165" s="1077"/>
      <c r="E165" s="319"/>
      <c r="F165" s="320"/>
      <c r="G165" s="320"/>
      <c r="H165" s="321"/>
      <c r="I165" s="321"/>
      <c r="J165" s="320"/>
      <c r="K165" s="842"/>
      <c r="L165" s="351"/>
      <c r="M165" s="352"/>
      <c r="N165" s="353"/>
      <c r="O165" s="321"/>
      <c r="P165" s="321"/>
      <c r="Q165" s="321"/>
      <c r="R165" s="321"/>
      <c r="S165" s="321"/>
      <c r="T165" s="321"/>
      <c r="U165" s="351"/>
      <c r="V165" s="352"/>
      <c r="W165" s="319"/>
      <c r="X165" s="320"/>
      <c r="Y165" s="320"/>
      <c r="Z165" s="321"/>
      <c r="AA165" s="321"/>
      <c r="AB165" s="321"/>
      <c r="AC165" s="320"/>
      <c r="AD165" s="380"/>
      <c r="AE165" s="352"/>
      <c r="AF165" s="381">
        <f t="shared" si="34"/>
        <v>0</v>
      </c>
      <c r="AG165" s="381"/>
      <c r="AH165" s="408"/>
      <c r="AI165" s="409">
        <f t="shared" si="35"/>
        <v>0</v>
      </c>
      <c r="AJ165" s="410"/>
      <c r="AK165" s="411">
        <f t="shared" si="36"/>
        <v>0</v>
      </c>
      <c r="AL165" s="414" t="s">
        <v>8</v>
      </c>
      <c r="AM165" s="397" t="s">
        <v>23</v>
      </c>
      <c r="AN165" s="415" t="s">
        <v>174</v>
      </c>
    </row>
    <row r="166" spans="1:40" s="284" customFormat="1" ht="21" thickBot="1">
      <c r="A166" s="1180" t="s">
        <v>131</v>
      </c>
      <c r="B166" s="729"/>
      <c r="C166" s="730"/>
      <c r="D166" s="1077"/>
      <c r="E166" s="319"/>
      <c r="F166" s="320"/>
      <c r="G166" s="320"/>
      <c r="H166" s="321"/>
      <c r="I166" s="321"/>
      <c r="J166" s="320"/>
      <c r="K166" s="842"/>
      <c r="L166" s="351"/>
      <c r="M166" s="352"/>
      <c r="N166" s="353"/>
      <c r="O166" s="321"/>
      <c r="P166" s="321"/>
      <c r="Q166" s="321"/>
      <c r="R166" s="321"/>
      <c r="S166" s="321"/>
      <c r="T166" s="321"/>
      <c r="U166" s="351"/>
      <c r="V166" s="352"/>
      <c r="W166" s="319"/>
      <c r="X166" s="320"/>
      <c r="Y166" s="320"/>
      <c r="Z166" s="321"/>
      <c r="AA166" s="321"/>
      <c r="AB166" s="321"/>
      <c r="AC166" s="320"/>
      <c r="AD166" s="380"/>
      <c r="AE166" s="352"/>
      <c r="AF166" s="381">
        <f t="shared" si="34"/>
        <v>0</v>
      </c>
      <c r="AG166" s="381"/>
      <c r="AH166" s="408"/>
      <c r="AI166" s="409">
        <f t="shared" si="35"/>
        <v>0</v>
      </c>
      <c r="AJ166" s="410"/>
      <c r="AK166" s="411">
        <f t="shared" si="36"/>
        <v>0</v>
      </c>
      <c r="AL166" s="399" t="e">
        <f>'BIG CHAIR'!#REF!</f>
        <v>#REF!</v>
      </c>
      <c r="AM166" s="400">
        <f>'Tea Table'!X269</f>
        <v>0</v>
      </c>
      <c r="AN166" s="401" t="e">
        <f>AI170+AL166+AM166</f>
        <v>#REF!</v>
      </c>
    </row>
    <row r="167" spans="1:40" s="282" customFormat="1" ht="20.25">
      <c r="A167" s="1180" t="s">
        <v>131</v>
      </c>
      <c r="B167" s="729"/>
      <c r="C167" s="730"/>
      <c r="D167" s="1077"/>
      <c r="E167" s="319"/>
      <c r="F167" s="320"/>
      <c r="G167" s="320"/>
      <c r="H167" s="321"/>
      <c r="I167" s="321"/>
      <c r="J167" s="320"/>
      <c r="K167" s="842"/>
      <c r="L167" s="351"/>
      <c r="M167" s="352"/>
      <c r="N167" s="353"/>
      <c r="O167" s="321"/>
      <c r="P167" s="321"/>
      <c r="Q167" s="321"/>
      <c r="R167" s="321"/>
      <c r="S167" s="321"/>
      <c r="T167" s="321"/>
      <c r="U167" s="351"/>
      <c r="V167" s="352"/>
      <c r="W167" s="319"/>
      <c r="X167" s="320"/>
      <c r="Y167" s="320"/>
      <c r="Z167" s="321"/>
      <c r="AA167" s="321"/>
      <c r="AB167" s="321"/>
      <c r="AC167" s="320"/>
      <c r="AD167" s="380"/>
      <c r="AE167" s="352"/>
      <c r="AF167" s="381">
        <f t="shared" si="34"/>
        <v>0</v>
      </c>
      <c r="AG167" s="381"/>
      <c r="AH167" s="408"/>
      <c r="AI167" s="409">
        <f t="shared" si="35"/>
        <v>0</v>
      </c>
      <c r="AJ167" s="410"/>
      <c r="AK167" s="411">
        <f t="shared" si="36"/>
        <v>0</v>
      </c>
    </row>
    <row r="168" spans="1:40" s="283" customFormat="1" ht="20.25">
      <c r="A168" s="1180" t="s">
        <v>131</v>
      </c>
      <c r="B168" s="729"/>
      <c r="C168" s="730"/>
      <c r="D168" s="1077"/>
      <c r="E168" s="319"/>
      <c r="F168" s="320"/>
      <c r="G168" s="320"/>
      <c r="H168" s="321"/>
      <c r="I168" s="321"/>
      <c r="J168" s="320"/>
      <c r="K168" s="842"/>
      <c r="L168" s="351"/>
      <c r="M168" s="352"/>
      <c r="N168" s="353"/>
      <c r="O168" s="321"/>
      <c r="P168" s="321"/>
      <c r="Q168" s="321"/>
      <c r="R168" s="321"/>
      <c r="S168" s="321"/>
      <c r="T168" s="321"/>
      <c r="U168" s="351"/>
      <c r="V168" s="352"/>
      <c r="W168" s="319"/>
      <c r="X168" s="320"/>
      <c r="Y168" s="320"/>
      <c r="Z168" s="321"/>
      <c r="AA168" s="321"/>
      <c r="AB168" s="321"/>
      <c r="AC168" s="320"/>
      <c r="AD168" s="380"/>
      <c r="AE168" s="352"/>
      <c r="AF168" s="381">
        <f t="shared" si="34"/>
        <v>0</v>
      </c>
      <c r="AG168" s="381"/>
      <c r="AH168" s="408"/>
      <c r="AI168" s="409">
        <f t="shared" si="35"/>
        <v>0</v>
      </c>
      <c r="AJ168" s="410"/>
      <c r="AK168" s="411">
        <f t="shared" si="36"/>
        <v>0</v>
      </c>
      <c r="AL168" s="234"/>
      <c r="AM168" s="234"/>
      <c r="AN168" s="234"/>
    </row>
    <row r="169" spans="1:40" s="283" customFormat="1" ht="21" thickBot="1">
      <c r="A169" s="2582"/>
      <c r="B169" s="2564"/>
      <c r="C169" s="732"/>
      <c r="D169" s="1078"/>
      <c r="E169" s="325"/>
      <c r="F169" s="297"/>
      <c r="G169" s="297"/>
      <c r="H169" s="298"/>
      <c r="I169" s="298"/>
      <c r="J169" s="297"/>
      <c r="K169" s="1086"/>
      <c r="L169" s="367"/>
      <c r="M169" s="355"/>
      <c r="N169" s="343"/>
      <c r="O169" s="298"/>
      <c r="P169" s="298"/>
      <c r="Q169" s="298"/>
      <c r="R169" s="298"/>
      <c r="S169" s="298"/>
      <c r="T169" s="298"/>
      <c r="U169" s="367"/>
      <c r="V169" s="355"/>
      <c r="W169" s="325"/>
      <c r="X169" s="297"/>
      <c r="Y169" s="297"/>
      <c r="Z169" s="298"/>
      <c r="AA169" s="298"/>
      <c r="AB169" s="298"/>
      <c r="AC169" s="297"/>
      <c r="AD169" s="375"/>
      <c r="AE169" s="355"/>
      <c r="AF169" s="376">
        <f t="shared" si="34"/>
        <v>0</v>
      </c>
      <c r="AG169" s="377"/>
      <c r="AH169" s="390"/>
      <c r="AI169" s="391">
        <f t="shared" si="35"/>
        <v>0</v>
      </c>
      <c r="AJ169" s="412"/>
      <c r="AK169" s="413">
        <f t="shared" si="36"/>
        <v>0</v>
      </c>
      <c r="AL169" s="234"/>
      <c r="AM169" s="234"/>
      <c r="AN169" s="234"/>
    </row>
    <row r="170" spans="1:40" s="283" customFormat="1" ht="19.5" thickBot="1">
      <c r="A170" s="326" t="s">
        <v>132</v>
      </c>
      <c r="B170" s="327"/>
      <c r="C170" s="327"/>
      <c r="D170" s="328"/>
      <c r="E170" s="329">
        <f t="shared" ref="E170:L170" si="37">SUM(E139:E169)</f>
        <v>0</v>
      </c>
      <c r="F170" s="329">
        <f t="shared" si="37"/>
        <v>0</v>
      </c>
      <c r="G170" s="329">
        <f t="shared" si="37"/>
        <v>0</v>
      </c>
      <c r="H170" s="329">
        <f t="shared" si="37"/>
        <v>0</v>
      </c>
      <c r="I170" s="329">
        <f t="shared" si="37"/>
        <v>0</v>
      </c>
      <c r="J170" s="329">
        <f t="shared" si="37"/>
        <v>0</v>
      </c>
      <c r="K170" s="329">
        <f t="shared" si="37"/>
        <v>0</v>
      </c>
      <c r="L170" s="329">
        <f t="shared" si="37"/>
        <v>0</v>
      </c>
      <c r="M170" s="357"/>
      <c r="N170" s="358">
        <f t="shared" ref="N170:U170" si="38">SUM(N139:N169)</f>
        <v>0</v>
      </c>
      <c r="O170" s="359">
        <f t="shared" si="38"/>
        <v>0</v>
      </c>
      <c r="P170" s="359">
        <f t="shared" si="38"/>
        <v>0</v>
      </c>
      <c r="Q170" s="359">
        <f t="shared" si="38"/>
        <v>0</v>
      </c>
      <c r="R170" s="359">
        <f t="shared" si="38"/>
        <v>0</v>
      </c>
      <c r="S170" s="359">
        <f t="shared" si="38"/>
        <v>0</v>
      </c>
      <c r="T170" s="359">
        <f t="shared" si="38"/>
        <v>0</v>
      </c>
      <c r="U170" s="369">
        <f t="shared" si="38"/>
        <v>0</v>
      </c>
      <c r="V170" s="357"/>
      <c r="W170" s="358">
        <f t="shared" ref="W170:AD170" si="39">SUM(W139:W169)</f>
        <v>0</v>
      </c>
      <c r="X170" s="358">
        <f t="shared" si="39"/>
        <v>0</v>
      </c>
      <c r="Y170" s="358">
        <f t="shared" si="39"/>
        <v>0</v>
      </c>
      <c r="Z170" s="358">
        <f t="shared" si="39"/>
        <v>0</v>
      </c>
      <c r="AA170" s="358">
        <f t="shared" si="39"/>
        <v>0</v>
      </c>
      <c r="AB170" s="358">
        <f t="shared" si="39"/>
        <v>0</v>
      </c>
      <c r="AC170" s="358">
        <f t="shared" si="39"/>
        <v>0</v>
      </c>
      <c r="AD170" s="358">
        <f t="shared" si="39"/>
        <v>0</v>
      </c>
      <c r="AE170" s="357"/>
      <c r="AF170" s="382">
        <f t="shared" ref="AF170:AK170" si="40">SUM(AF139:AF169)</f>
        <v>0</v>
      </c>
      <c r="AG170" s="382">
        <f t="shared" si="40"/>
        <v>0</v>
      </c>
      <c r="AH170" s="416">
        <f t="shared" si="40"/>
        <v>0</v>
      </c>
      <c r="AI170" s="417">
        <f t="shared" si="40"/>
        <v>0</v>
      </c>
      <c r="AJ170" s="382">
        <f t="shared" si="40"/>
        <v>0</v>
      </c>
      <c r="AK170" s="418">
        <f t="shared" si="40"/>
        <v>0</v>
      </c>
      <c r="AL170" s="234"/>
      <c r="AM170" s="234"/>
      <c r="AN170" s="234"/>
    </row>
    <row r="171" spans="1:40" s="283" customFormat="1" ht="24" thickBot="1">
      <c r="A171" s="286" t="s">
        <v>393</v>
      </c>
      <c r="B171" s="287" t="s">
        <v>68</v>
      </c>
      <c r="C171" s="287" t="s">
        <v>69</v>
      </c>
      <c r="D171" s="1073" t="s">
        <v>70</v>
      </c>
      <c r="E171" s="743" t="s">
        <v>88</v>
      </c>
      <c r="F171" s="744" t="s">
        <v>407</v>
      </c>
      <c r="G171" s="744" t="s">
        <v>53</v>
      </c>
      <c r="H171" s="744" t="s">
        <v>170</v>
      </c>
      <c r="I171" s="744" t="s">
        <v>222</v>
      </c>
      <c r="J171" s="744" t="s">
        <v>149</v>
      </c>
      <c r="K171" s="744" t="s">
        <v>206</v>
      </c>
      <c r="L171" s="783" t="s">
        <v>124</v>
      </c>
      <c r="M171" s="1089"/>
      <c r="N171" s="80" t="s">
        <v>96</v>
      </c>
      <c r="O171" s="49" t="s">
        <v>407</v>
      </c>
      <c r="P171" s="49" t="s">
        <v>53</v>
      </c>
      <c r="Q171" s="49" t="s">
        <v>86</v>
      </c>
      <c r="R171" s="49" t="s">
        <v>94</v>
      </c>
      <c r="S171" s="49" t="s">
        <v>85</v>
      </c>
      <c r="T171" s="126" t="s">
        <v>92</v>
      </c>
      <c r="U171" s="171" t="s">
        <v>432</v>
      </c>
      <c r="V171" s="79"/>
      <c r="W171" s="743" t="s">
        <v>88</v>
      </c>
      <c r="X171" s="49" t="s">
        <v>213</v>
      </c>
      <c r="Y171" s="744" t="s">
        <v>206</v>
      </c>
      <c r="Z171" s="744"/>
      <c r="AA171" s="744" t="s">
        <v>222</v>
      </c>
      <c r="AB171" s="744"/>
      <c r="AC171" s="126" t="s">
        <v>76</v>
      </c>
      <c r="AD171" s="805"/>
      <c r="AE171" s="370"/>
      <c r="AF171" s="371" t="s">
        <v>172</v>
      </c>
      <c r="AG171" s="372" t="s">
        <v>80</v>
      </c>
      <c r="AH171" s="385"/>
      <c r="AI171" s="386" t="s">
        <v>106</v>
      </c>
      <c r="AJ171" s="385" t="s">
        <v>173</v>
      </c>
      <c r="AK171" s="371" t="s">
        <v>108</v>
      </c>
      <c r="AL171" s="234"/>
      <c r="AM171" s="234"/>
      <c r="AN171" s="234"/>
    </row>
    <row r="172" spans="1:40" s="283" customFormat="1" ht="20.25">
      <c r="A172" s="1180" t="s">
        <v>392</v>
      </c>
      <c r="B172" s="724"/>
      <c r="C172" s="728"/>
      <c r="D172" s="1077"/>
      <c r="E172" s="319"/>
      <c r="F172" s="320"/>
      <c r="G172" s="320"/>
      <c r="H172" s="321"/>
      <c r="I172" s="321"/>
      <c r="J172" s="320"/>
      <c r="K172" s="1090"/>
      <c r="L172" s="363"/>
      <c r="M172" s="352"/>
      <c r="N172" s="362"/>
      <c r="O172" s="333"/>
      <c r="P172" s="333"/>
      <c r="Q172" s="334"/>
      <c r="R172" s="334"/>
      <c r="S172" s="334"/>
      <c r="T172" s="333"/>
      <c r="U172" s="798"/>
      <c r="V172" s="352"/>
      <c r="W172" s="362"/>
      <c r="X172" s="334"/>
      <c r="Y172" s="334"/>
      <c r="Z172" s="334"/>
      <c r="AA172" s="334"/>
      <c r="AB172" s="334"/>
      <c r="AC172" s="334"/>
      <c r="AD172" s="383"/>
      <c r="AE172" s="352"/>
      <c r="AF172" s="381">
        <f>SUM(E172:AD172)</f>
        <v>0</v>
      </c>
      <c r="AG172" s="381"/>
      <c r="AH172" s="408"/>
      <c r="AI172" s="409">
        <f>AF172+AG172</f>
        <v>0</v>
      </c>
      <c r="AJ172" s="410"/>
      <c r="AK172" s="411">
        <f>AI172+AJ172</f>
        <v>0</v>
      </c>
      <c r="AL172" s="234"/>
      <c r="AM172" s="234"/>
      <c r="AN172" s="234"/>
    </row>
    <row r="173" spans="1:40" s="283" customFormat="1" ht="20.25">
      <c r="A173" s="1180" t="s">
        <v>392</v>
      </c>
      <c r="B173" s="2585"/>
      <c r="C173" s="730"/>
      <c r="D173" s="1077"/>
      <c r="E173" s="319"/>
      <c r="F173" s="320"/>
      <c r="G173" s="320"/>
      <c r="H173" s="321"/>
      <c r="I173" s="321"/>
      <c r="J173" s="320"/>
      <c r="K173" s="1090"/>
      <c r="L173" s="363"/>
      <c r="M173" s="352"/>
      <c r="N173" s="353"/>
      <c r="O173" s="321"/>
      <c r="P173" s="321"/>
      <c r="Q173" s="321"/>
      <c r="R173" s="321"/>
      <c r="S173" s="321"/>
      <c r="T173" s="321"/>
      <c r="U173" s="351"/>
      <c r="V173" s="352"/>
      <c r="W173" s="319"/>
      <c r="X173" s="320"/>
      <c r="Y173" s="320"/>
      <c r="Z173" s="321"/>
      <c r="AA173" s="321"/>
      <c r="AB173" s="321"/>
      <c r="AC173" s="320"/>
      <c r="AD173" s="380"/>
      <c r="AE173" s="352"/>
      <c r="AF173" s="381">
        <f>SUM(E173:AD173)</f>
        <v>0</v>
      </c>
      <c r="AG173" s="381"/>
      <c r="AH173" s="408"/>
      <c r="AI173" s="409">
        <f>AF173+AG173</f>
        <v>0</v>
      </c>
      <c r="AJ173" s="410"/>
      <c r="AK173" s="411">
        <f>AI173+AJ173</f>
        <v>0</v>
      </c>
      <c r="AL173" s="234"/>
      <c r="AM173" s="234"/>
      <c r="AN173" s="234"/>
    </row>
    <row r="174" spans="1:40" s="284" customFormat="1" ht="20.25">
      <c r="A174" s="1180" t="s">
        <v>392</v>
      </c>
      <c r="B174" s="2585"/>
      <c r="C174" s="730"/>
      <c r="D174" s="1077"/>
      <c r="E174" s="319"/>
      <c r="F174" s="320"/>
      <c r="G174" s="320"/>
      <c r="H174" s="321"/>
      <c r="I174" s="321"/>
      <c r="J174" s="320"/>
      <c r="K174" s="1090"/>
      <c r="L174" s="363"/>
      <c r="M174" s="352"/>
      <c r="N174" s="353"/>
      <c r="O174" s="321"/>
      <c r="P174" s="321"/>
      <c r="Q174" s="321"/>
      <c r="R174" s="321"/>
      <c r="S174" s="321"/>
      <c r="T174" s="321"/>
      <c r="U174" s="351"/>
      <c r="V174" s="352"/>
      <c r="W174" s="319"/>
      <c r="X174" s="320"/>
      <c r="Y174" s="320"/>
      <c r="Z174" s="321"/>
      <c r="AA174" s="321"/>
      <c r="AB174" s="321"/>
      <c r="AC174" s="320"/>
      <c r="AD174" s="380"/>
      <c r="AE174" s="352"/>
      <c r="AF174" s="381">
        <f>SUM(E174:AD174)</f>
        <v>0</v>
      </c>
      <c r="AG174" s="381"/>
      <c r="AH174" s="408"/>
      <c r="AI174" s="409">
        <f>AF174+AG174</f>
        <v>0</v>
      </c>
      <c r="AJ174" s="410"/>
      <c r="AK174" s="411">
        <f>AI174+AJ174</f>
        <v>0</v>
      </c>
      <c r="AL174" s="234"/>
      <c r="AM174" s="234"/>
      <c r="AN174" s="234"/>
    </row>
    <row r="175" spans="1:40" s="282" customFormat="1" ht="20.25">
      <c r="A175" s="1180" t="s">
        <v>392</v>
      </c>
      <c r="B175" s="2585"/>
      <c r="C175" s="730"/>
      <c r="D175" s="1077"/>
      <c r="E175" s="319"/>
      <c r="F175" s="320"/>
      <c r="G175" s="320"/>
      <c r="H175" s="321"/>
      <c r="I175" s="321"/>
      <c r="J175" s="320"/>
      <c r="K175" s="1091"/>
      <c r="L175" s="363"/>
      <c r="M175" s="352"/>
      <c r="N175" s="353"/>
      <c r="O175" s="321"/>
      <c r="P175" s="321"/>
      <c r="Q175" s="321"/>
      <c r="R175" s="321"/>
      <c r="S175" s="321"/>
      <c r="T175" s="321"/>
      <c r="U175" s="351"/>
      <c r="V175" s="352"/>
      <c r="W175" s="319"/>
      <c r="X175" s="320"/>
      <c r="Y175" s="320"/>
      <c r="Z175" s="321"/>
      <c r="AA175" s="321"/>
      <c r="AB175" s="321"/>
      <c r="AC175" s="320"/>
      <c r="AD175" s="380"/>
      <c r="AE175" s="352"/>
      <c r="AF175" s="381">
        <f>SUM(E175:AD175)</f>
        <v>0</v>
      </c>
      <c r="AG175" s="381"/>
      <c r="AH175" s="408"/>
      <c r="AI175" s="409">
        <f>AF175+AG175</f>
        <v>0</v>
      </c>
      <c r="AJ175" s="410"/>
      <c r="AK175" s="411">
        <f>AI175+AJ175</f>
        <v>0</v>
      </c>
      <c r="AL175" s="234"/>
      <c r="AM175" s="234"/>
      <c r="AN175" s="234"/>
    </row>
    <row r="176" spans="1:40" s="283" customFormat="1" ht="20.25">
      <c r="A176" s="1180" t="s">
        <v>392</v>
      </c>
      <c r="B176" s="2585"/>
      <c r="C176" s="730"/>
      <c r="D176" s="1077"/>
      <c r="E176" s="319"/>
      <c r="F176" s="320"/>
      <c r="G176" s="320"/>
      <c r="H176" s="321"/>
      <c r="I176" s="321"/>
      <c r="J176" s="320"/>
      <c r="K176" s="1090"/>
      <c r="L176" s="363"/>
      <c r="M176" s="352"/>
      <c r="N176" s="353"/>
      <c r="O176" s="321"/>
      <c r="P176" s="321"/>
      <c r="Q176" s="321"/>
      <c r="R176" s="321"/>
      <c r="S176" s="321"/>
      <c r="T176" s="321"/>
      <c r="U176" s="351"/>
      <c r="V176" s="352"/>
      <c r="W176" s="319"/>
      <c r="X176" s="320"/>
      <c r="Y176" s="320"/>
      <c r="Z176" s="321"/>
      <c r="AA176" s="321"/>
      <c r="AB176" s="321"/>
      <c r="AC176" s="320"/>
      <c r="AD176" s="380"/>
      <c r="AE176" s="352"/>
      <c r="AF176" s="381">
        <f>SUM(E176:AD176)</f>
        <v>0</v>
      </c>
      <c r="AG176" s="381"/>
      <c r="AH176" s="408"/>
      <c r="AI176" s="409">
        <f>AF176+AG176</f>
        <v>0</v>
      </c>
      <c r="AJ176" s="410"/>
      <c r="AK176" s="411">
        <f>AI176+AJ176</f>
        <v>0</v>
      </c>
      <c r="AL176" s="234"/>
      <c r="AM176" s="234"/>
      <c r="AN176" s="234"/>
    </row>
    <row r="177" spans="1:40" s="283" customFormat="1" ht="20.25">
      <c r="A177" s="1180" t="s">
        <v>392</v>
      </c>
      <c r="B177" s="2585"/>
      <c r="C177" s="730"/>
      <c r="D177" s="1077"/>
      <c r="E177" s="319"/>
      <c r="F177" s="320"/>
      <c r="G177" s="320"/>
      <c r="H177" s="321"/>
      <c r="I177" s="321"/>
      <c r="J177" s="320"/>
      <c r="K177" s="1090"/>
      <c r="L177" s="363"/>
      <c r="M177" s="352"/>
      <c r="N177" s="353"/>
      <c r="O177" s="321"/>
      <c r="P177" s="321"/>
      <c r="Q177" s="321"/>
      <c r="R177" s="321"/>
      <c r="S177" s="321"/>
      <c r="T177" s="321"/>
      <c r="U177" s="351"/>
      <c r="V177" s="352"/>
      <c r="W177" s="319"/>
      <c r="X177" s="320"/>
      <c r="Y177" s="320"/>
      <c r="Z177" s="321"/>
      <c r="AA177" s="321"/>
      <c r="AB177" s="321"/>
      <c r="AC177" s="320"/>
      <c r="AD177" s="380"/>
      <c r="AE177" s="352"/>
      <c r="AF177" s="381">
        <f t="shared" ref="AF177:AF204" si="41">SUM(E177:AD177)</f>
        <v>0</v>
      </c>
      <c r="AG177" s="381"/>
      <c r="AH177" s="408"/>
      <c r="AI177" s="409">
        <f t="shared" ref="AI177:AI204" si="42">AF177+AG177</f>
        <v>0</v>
      </c>
      <c r="AJ177" s="410"/>
      <c r="AK177" s="411">
        <f t="shared" ref="AK177:AK204" si="43">AI177+AJ177</f>
        <v>0</v>
      </c>
      <c r="AL177" s="234"/>
      <c r="AM177" s="234"/>
      <c r="AN177" s="234"/>
    </row>
    <row r="178" spans="1:40" s="283" customFormat="1" ht="20.25">
      <c r="A178" s="1180" t="s">
        <v>392</v>
      </c>
      <c r="B178" s="2586"/>
      <c r="C178" s="730"/>
      <c r="D178" s="1077"/>
      <c r="E178" s="319"/>
      <c r="F178" s="320"/>
      <c r="G178" s="320"/>
      <c r="H178" s="321"/>
      <c r="I178" s="321"/>
      <c r="J178" s="320"/>
      <c r="K178" s="1090"/>
      <c r="L178" s="351"/>
      <c r="M178" s="352"/>
      <c r="N178" s="353"/>
      <c r="O178" s="321"/>
      <c r="P178" s="321"/>
      <c r="Q178" s="321"/>
      <c r="R178" s="321"/>
      <c r="S178" s="321"/>
      <c r="T178" s="321"/>
      <c r="U178" s="351"/>
      <c r="V178" s="352"/>
      <c r="W178" s="319"/>
      <c r="X178" s="320"/>
      <c r="Y178" s="320"/>
      <c r="Z178" s="321"/>
      <c r="AA178" s="321"/>
      <c r="AB178" s="321"/>
      <c r="AC178" s="320"/>
      <c r="AD178" s="380"/>
      <c r="AE178" s="352"/>
      <c r="AF178" s="381">
        <f t="shared" si="41"/>
        <v>0</v>
      </c>
      <c r="AG178" s="381"/>
      <c r="AH178" s="408"/>
      <c r="AI178" s="409">
        <f t="shared" si="42"/>
        <v>0</v>
      </c>
      <c r="AJ178" s="410"/>
      <c r="AK178" s="411">
        <f t="shared" si="43"/>
        <v>0</v>
      </c>
      <c r="AL178" s="234"/>
      <c r="AM178" s="234"/>
      <c r="AN178" s="234"/>
    </row>
    <row r="179" spans="1:40" s="283" customFormat="1" ht="20.25">
      <c r="A179" s="1180" t="s">
        <v>392</v>
      </c>
      <c r="B179" s="2586"/>
      <c r="C179" s="730"/>
      <c r="D179" s="1077"/>
      <c r="E179" s="319"/>
      <c r="F179" s="320"/>
      <c r="G179" s="320"/>
      <c r="H179" s="321"/>
      <c r="I179" s="321"/>
      <c r="J179" s="320"/>
      <c r="K179" s="1090"/>
      <c r="L179" s="351"/>
      <c r="M179" s="352"/>
      <c r="N179" s="353"/>
      <c r="O179" s="321"/>
      <c r="P179" s="321"/>
      <c r="Q179" s="321"/>
      <c r="R179" s="321"/>
      <c r="S179" s="321"/>
      <c r="T179" s="321"/>
      <c r="U179" s="351"/>
      <c r="V179" s="352"/>
      <c r="W179" s="319"/>
      <c r="X179" s="320"/>
      <c r="Y179" s="320"/>
      <c r="Z179" s="321"/>
      <c r="AA179" s="321"/>
      <c r="AB179" s="321"/>
      <c r="AC179" s="320"/>
      <c r="AD179" s="380"/>
      <c r="AE179" s="352"/>
      <c r="AF179" s="381">
        <f t="shared" si="41"/>
        <v>0</v>
      </c>
      <c r="AG179" s="381"/>
      <c r="AH179" s="408"/>
      <c r="AI179" s="409">
        <f t="shared" si="42"/>
        <v>0</v>
      </c>
      <c r="AJ179" s="410"/>
      <c r="AK179" s="411">
        <f t="shared" si="43"/>
        <v>0</v>
      </c>
      <c r="AL179" s="234"/>
      <c r="AM179" s="234"/>
      <c r="AN179" s="234"/>
    </row>
    <row r="180" spans="1:40" s="283" customFormat="1" ht="20.25">
      <c r="A180" s="1180" t="s">
        <v>392</v>
      </c>
      <c r="B180" s="2586"/>
      <c r="C180" s="730"/>
      <c r="D180" s="1077"/>
      <c r="E180" s="319"/>
      <c r="F180" s="320"/>
      <c r="G180" s="320"/>
      <c r="H180" s="321"/>
      <c r="I180" s="321"/>
      <c r="J180" s="320"/>
      <c r="K180" s="1090"/>
      <c r="L180" s="351"/>
      <c r="M180" s="352"/>
      <c r="N180" s="353"/>
      <c r="O180" s="321"/>
      <c r="P180" s="321"/>
      <c r="Q180" s="321"/>
      <c r="R180" s="321"/>
      <c r="S180" s="321"/>
      <c r="T180" s="321"/>
      <c r="U180" s="351"/>
      <c r="V180" s="352"/>
      <c r="W180" s="319"/>
      <c r="X180" s="320"/>
      <c r="Y180" s="320"/>
      <c r="Z180" s="321"/>
      <c r="AA180" s="321"/>
      <c r="AB180" s="321"/>
      <c r="AC180" s="320"/>
      <c r="AD180" s="380"/>
      <c r="AE180" s="352"/>
      <c r="AF180" s="381">
        <f t="shared" si="41"/>
        <v>0</v>
      </c>
      <c r="AG180" s="381"/>
      <c r="AH180" s="408"/>
      <c r="AI180" s="409">
        <f t="shared" si="42"/>
        <v>0</v>
      </c>
      <c r="AJ180" s="410"/>
      <c r="AK180" s="411">
        <f t="shared" si="43"/>
        <v>0</v>
      </c>
      <c r="AL180" s="234"/>
      <c r="AM180" s="234"/>
      <c r="AN180" s="234"/>
    </row>
    <row r="181" spans="1:40" s="284" customFormat="1" ht="20.25">
      <c r="A181" s="1180" t="s">
        <v>392</v>
      </c>
      <c r="B181" s="2586"/>
      <c r="C181" s="730"/>
      <c r="D181" s="1077"/>
      <c r="E181" s="319"/>
      <c r="F181" s="320"/>
      <c r="G181" s="320"/>
      <c r="H181" s="321"/>
      <c r="I181" s="321"/>
      <c r="J181" s="320"/>
      <c r="K181" s="1090"/>
      <c r="L181" s="351"/>
      <c r="M181" s="352"/>
      <c r="N181" s="353"/>
      <c r="O181" s="321"/>
      <c r="P181" s="321"/>
      <c r="Q181" s="321"/>
      <c r="R181" s="321"/>
      <c r="S181" s="321"/>
      <c r="T181" s="321"/>
      <c r="U181" s="351"/>
      <c r="V181" s="352"/>
      <c r="W181" s="319"/>
      <c r="X181" s="320"/>
      <c r="Y181" s="320"/>
      <c r="Z181" s="321"/>
      <c r="AA181" s="321"/>
      <c r="AB181" s="321"/>
      <c r="AC181" s="320"/>
      <c r="AD181" s="380"/>
      <c r="AE181" s="352"/>
      <c r="AF181" s="381">
        <f t="shared" si="41"/>
        <v>0</v>
      </c>
      <c r="AG181" s="381"/>
      <c r="AH181" s="408"/>
      <c r="AI181" s="409">
        <f t="shared" si="42"/>
        <v>0</v>
      </c>
      <c r="AJ181" s="410"/>
      <c r="AK181" s="411">
        <f t="shared" si="43"/>
        <v>0</v>
      </c>
      <c r="AL181" s="234"/>
      <c r="AM181" s="234"/>
      <c r="AN181" s="234"/>
    </row>
    <row r="182" spans="1:40" s="282" customFormat="1" ht="20.25">
      <c r="A182" s="1180" t="s">
        <v>392</v>
      </c>
      <c r="B182" s="2586"/>
      <c r="C182" s="730"/>
      <c r="D182" s="1077"/>
      <c r="E182" s="319"/>
      <c r="F182" s="320"/>
      <c r="G182" s="320"/>
      <c r="H182" s="321"/>
      <c r="I182" s="321"/>
      <c r="J182" s="320"/>
      <c r="K182" s="1090"/>
      <c r="L182" s="351"/>
      <c r="M182" s="352"/>
      <c r="N182" s="353"/>
      <c r="O182" s="321"/>
      <c r="P182" s="321"/>
      <c r="Q182" s="321"/>
      <c r="R182" s="321"/>
      <c r="S182" s="321"/>
      <c r="T182" s="321"/>
      <c r="U182" s="351"/>
      <c r="V182" s="352"/>
      <c r="W182" s="319"/>
      <c r="X182" s="320"/>
      <c r="Y182" s="320"/>
      <c r="Z182" s="321"/>
      <c r="AA182" s="321"/>
      <c r="AB182" s="321"/>
      <c r="AC182" s="320"/>
      <c r="AD182" s="380"/>
      <c r="AE182" s="352"/>
      <c r="AF182" s="381">
        <f t="shared" si="41"/>
        <v>0</v>
      </c>
      <c r="AG182" s="381"/>
      <c r="AH182" s="408"/>
      <c r="AI182" s="409">
        <f t="shared" si="42"/>
        <v>0</v>
      </c>
      <c r="AJ182" s="410"/>
      <c r="AK182" s="411">
        <f t="shared" si="43"/>
        <v>0</v>
      </c>
      <c r="AL182" s="234"/>
      <c r="AM182" s="234"/>
      <c r="AN182" s="234"/>
    </row>
    <row r="183" spans="1:40" s="283" customFormat="1" ht="20.25">
      <c r="A183" s="1180" t="s">
        <v>392</v>
      </c>
      <c r="B183" s="2586"/>
      <c r="C183" s="730"/>
      <c r="D183" s="1077"/>
      <c r="E183" s="319"/>
      <c r="F183" s="320"/>
      <c r="G183" s="320"/>
      <c r="H183" s="321"/>
      <c r="I183" s="321"/>
      <c r="J183" s="320"/>
      <c r="K183" s="1090"/>
      <c r="L183" s="351"/>
      <c r="M183" s="352"/>
      <c r="N183" s="353"/>
      <c r="O183" s="321"/>
      <c r="P183" s="321"/>
      <c r="Q183" s="321"/>
      <c r="R183" s="321"/>
      <c r="S183" s="321"/>
      <c r="T183" s="321"/>
      <c r="U183" s="351"/>
      <c r="V183" s="352"/>
      <c r="W183" s="319"/>
      <c r="X183" s="320"/>
      <c r="Y183" s="320"/>
      <c r="Z183" s="321"/>
      <c r="AA183" s="321"/>
      <c r="AB183" s="321"/>
      <c r="AC183" s="320"/>
      <c r="AD183" s="380"/>
      <c r="AE183" s="352"/>
      <c r="AF183" s="381">
        <f t="shared" si="41"/>
        <v>0</v>
      </c>
      <c r="AG183" s="381"/>
      <c r="AH183" s="408"/>
      <c r="AI183" s="409">
        <f t="shared" si="42"/>
        <v>0</v>
      </c>
      <c r="AJ183" s="410"/>
      <c r="AK183" s="411">
        <f t="shared" si="43"/>
        <v>0</v>
      </c>
      <c r="AL183" s="234"/>
      <c r="AM183" s="234"/>
      <c r="AN183" s="234"/>
    </row>
    <row r="184" spans="1:40" s="283" customFormat="1" ht="20.25">
      <c r="A184" s="1180" t="s">
        <v>392</v>
      </c>
      <c r="B184" s="2585"/>
      <c r="C184" s="730"/>
      <c r="D184" s="1077"/>
      <c r="E184" s="319"/>
      <c r="F184" s="320"/>
      <c r="G184" s="320"/>
      <c r="H184" s="321"/>
      <c r="I184" s="321"/>
      <c r="J184" s="320"/>
      <c r="K184" s="1090"/>
      <c r="L184" s="351"/>
      <c r="M184" s="352"/>
      <c r="N184" s="353"/>
      <c r="O184" s="321"/>
      <c r="P184" s="321"/>
      <c r="Q184" s="321"/>
      <c r="R184" s="321"/>
      <c r="S184" s="321"/>
      <c r="T184" s="321"/>
      <c r="U184" s="351"/>
      <c r="V184" s="352"/>
      <c r="W184" s="319"/>
      <c r="X184" s="320"/>
      <c r="Y184" s="320"/>
      <c r="Z184" s="321"/>
      <c r="AA184" s="321"/>
      <c r="AB184" s="321"/>
      <c r="AC184" s="320"/>
      <c r="AD184" s="380"/>
      <c r="AE184" s="352"/>
      <c r="AF184" s="381">
        <f t="shared" si="41"/>
        <v>0</v>
      </c>
      <c r="AG184" s="381"/>
      <c r="AH184" s="408"/>
      <c r="AI184" s="409">
        <f t="shared" si="42"/>
        <v>0</v>
      </c>
      <c r="AJ184" s="410"/>
      <c r="AK184" s="411">
        <f t="shared" si="43"/>
        <v>0</v>
      </c>
      <c r="AL184" s="234"/>
      <c r="AM184" s="234"/>
      <c r="AN184" s="234"/>
    </row>
    <row r="185" spans="1:40" s="283" customFormat="1" ht="20.25">
      <c r="A185" s="1180" t="s">
        <v>392</v>
      </c>
      <c r="B185" s="2586"/>
      <c r="C185" s="730"/>
      <c r="D185" s="1077"/>
      <c r="E185" s="319"/>
      <c r="F185" s="320"/>
      <c r="G185" s="320"/>
      <c r="H185" s="321"/>
      <c r="I185" s="321"/>
      <c r="J185" s="320"/>
      <c r="K185" s="1090"/>
      <c r="L185" s="351"/>
      <c r="M185" s="352"/>
      <c r="N185" s="353"/>
      <c r="O185" s="321"/>
      <c r="P185" s="321"/>
      <c r="Q185" s="321"/>
      <c r="R185" s="321"/>
      <c r="S185" s="321"/>
      <c r="T185" s="321"/>
      <c r="U185" s="351"/>
      <c r="V185" s="352"/>
      <c r="W185" s="319"/>
      <c r="X185" s="320"/>
      <c r="Y185" s="320"/>
      <c r="Z185" s="321"/>
      <c r="AA185" s="321"/>
      <c r="AB185" s="321"/>
      <c r="AC185" s="320"/>
      <c r="AD185" s="380"/>
      <c r="AE185" s="352"/>
      <c r="AF185" s="381">
        <f t="shared" si="41"/>
        <v>0</v>
      </c>
      <c r="AG185" s="381"/>
      <c r="AH185" s="408"/>
      <c r="AI185" s="409">
        <f t="shared" si="42"/>
        <v>0</v>
      </c>
      <c r="AJ185" s="410"/>
      <c r="AK185" s="411">
        <f t="shared" si="43"/>
        <v>0</v>
      </c>
      <c r="AL185" s="234"/>
      <c r="AM185" s="234"/>
      <c r="AN185" s="234"/>
    </row>
    <row r="186" spans="1:40" s="283" customFormat="1" ht="20.25">
      <c r="A186" s="1180" t="s">
        <v>392</v>
      </c>
      <c r="B186" s="729"/>
      <c r="C186" s="730"/>
      <c r="D186" s="1077"/>
      <c r="E186" s="319"/>
      <c r="F186" s="320"/>
      <c r="G186" s="320"/>
      <c r="H186" s="321"/>
      <c r="I186" s="321"/>
      <c r="J186" s="320"/>
      <c r="K186" s="1090"/>
      <c r="L186" s="351"/>
      <c r="M186" s="352"/>
      <c r="N186" s="353"/>
      <c r="O186" s="321"/>
      <c r="P186" s="321"/>
      <c r="Q186" s="321"/>
      <c r="R186" s="321"/>
      <c r="S186" s="321"/>
      <c r="T186" s="321"/>
      <c r="U186" s="351"/>
      <c r="V186" s="352"/>
      <c r="W186" s="319"/>
      <c r="X186" s="320"/>
      <c r="Y186" s="320"/>
      <c r="Z186" s="321"/>
      <c r="AA186" s="321"/>
      <c r="AB186" s="321"/>
      <c r="AC186" s="320"/>
      <c r="AD186" s="380"/>
      <c r="AE186" s="352"/>
      <c r="AF186" s="381">
        <f t="shared" si="41"/>
        <v>0</v>
      </c>
      <c r="AG186" s="381"/>
      <c r="AH186" s="408"/>
      <c r="AI186" s="409">
        <f t="shared" si="42"/>
        <v>0</v>
      </c>
      <c r="AJ186" s="410"/>
      <c r="AK186" s="411">
        <f t="shared" si="43"/>
        <v>0</v>
      </c>
      <c r="AL186" s="234"/>
      <c r="AM186" s="234"/>
      <c r="AN186" s="234"/>
    </row>
    <row r="187" spans="1:40" s="283" customFormat="1" ht="20.25">
      <c r="A187" s="1180" t="s">
        <v>392</v>
      </c>
      <c r="B187" s="729"/>
      <c r="C187" s="730"/>
      <c r="D187" s="1077"/>
      <c r="E187" s="319"/>
      <c r="F187" s="320"/>
      <c r="G187" s="320"/>
      <c r="H187" s="321"/>
      <c r="I187" s="321"/>
      <c r="J187" s="320"/>
      <c r="K187" s="1090"/>
      <c r="L187" s="351"/>
      <c r="M187" s="352"/>
      <c r="N187" s="353"/>
      <c r="O187" s="321"/>
      <c r="P187" s="321"/>
      <c r="Q187" s="321"/>
      <c r="R187" s="321"/>
      <c r="S187" s="321"/>
      <c r="T187" s="321"/>
      <c r="U187" s="351"/>
      <c r="V187" s="352"/>
      <c r="W187" s="319"/>
      <c r="X187" s="320"/>
      <c r="Y187" s="320"/>
      <c r="Z187" s="321"/>
      <c r="AA187" s="321"/>
      <c r="AB187" s="321"/>
      <c r="AC187" s="320"/>
      <c r="AD187" s="380"/>
      <c r="AE187" s="352"/>
      <c r="AF187" s="381">
        <f t="shared" si="41"/>
        <v>0</v>
      </c>
      <c r="AG187" s="381"/>
      <c r="AH187" s="408"/>
      <c r="AI187" s="409">
        <f t="shared" si="42"/>
        <v>0</v>
      </c>
      <c r="AJ187" s="410"/>
      <c r="AK187" s="411">
        <f t="shared" si="43"/>
        <v>0</v>
      </c>
      <c r="AL187" s="234"/>
      <c r="AM187" s="234"/>
      <c r="AN187" s="234"/>
    </row>
    <row r="188" spans="1:40" s="283" customFormat="1" ht="20.25">
      <c r="A188" s="1180" t="s">
        <v>392</v>
      </c>
      <c r="B188" s="729"/>
      <c r="C188" s="730"/>
      <c r="D188" s="1077"/>
      <c r="E188" s="319"/>
      <c r="F188" s="320"/>
      <c r="G188" s="320"/>
      <c r="H188" s="321"/>
      <c r="I188" s="321"/>
      <c r="J188" s="320"/>
      <c r="K188" s="1090"/>
      <c r="L188" s="351"/>
      <c r="M188" s="352"/>
      <c r="N188" s="353"/>
      <c r="O188" s="321"/>
      <c r="P188" s="321"/>
      <c r="Q188" s="321"/>
      <c r="R188" s="321"/>
      <c r="S188" s="321"/>
      <c r="T188" s="321"/>
      <c r="U188" s="351"/>
      <c r="V188" s="352"/>
      <c r="W188" s="319"/>
      <c r="X188" s="320"/>
      <c r="Y188" s="320"/>
      <c r="Z188" s="321"/>
      <c r="AA188" s="321"/>
      <c r="AB188" s="321"/>
      <c r="AC188" s="320"/>
      <c r="AD188" s="380"/>
      <c r="AE188" s="352"/>
      <c r="AF188" s="381">
        <f t="shared" si="41"/>
        <v>0</v>
      </c>
      <c r="AG188" s="381"/>
      <c r="AH188" s="408"/>
      <c r="AI188" s="409">
        <f t="shared" si="42"/>
        <v>0</v>
      </c>
      <c r="AJ188" s="410"/>
      <c r="AK188" s="411">
        <f t="shared" si="43"/>
        <v>0</v>
      </c>
      <c r="AL188" s="234"/>
      <c r="AM188" s="234"/>
      <c r="AN188" s="234"/>
    </row>
    <row r="189" spans="1:40" s="283" customFormat="1" ht="20.25">
      <c r="A189" s="1180" t="s">
        <v>392</v>
      </c>
      <c r="B189" s="729"/>
      <c r="C189" s="730"/>
      <c r="D189" s="1077"/>
      <c r="E189" s="319"/>
      <c r="F189" s="320"/>
      <c r="G189" s="320"/>
      <c r="H189" s="321"/>
      <c r="I189" s="321"/>
      <c r="J189" s="320"/>
      <c r="K189" s="1090"/>
      <c r="L189" s="351"/>
      <c r="M189" s="352"/>
      <c r="N189" s="353"/>
      <c r="O189" s="321"/>
      <c r="P189" s="321"/>
      <c r="Q189" s="321"/>
      <c r="R189" s="321"/>
      <c r="S189" s="321"/>
      <c r="T189" s="321"/>
      <c r="U189" s="351"/>
      <c r="V189" s="352"/>
      <c r="W189" s="319"/>
      <c r="X189" s="320"/>
      <c r="Y189" s="320"/>
      <c r="Z189" s="321"/>
      <c r="AA189" s="321"/>
      <c r="AB189" s="321"/>
      <c r="AC189" s="320"/>
      <c r="AD189" s="380"/>
      <c r="AE189" s="352"/>
      <c r="AF189" s="381">
        <f t="shared" si="41"/>
        <v>0</v>
      </c>
      <c r="AG189" s="381"/>
      <c r="AH189" s="408"/>
      <c r="AI189" s="409">
        <f t="shared" si="42"/>
        <v>0</v>
      </c>
      <c r="AJ189" s="410"/>
      <c r="AK189" s="411">
        <f t="shared" si="43"/>
        <v>0</v>
      </c>
      <c r="AL189" s="234"/>
      <c r="AM189" s="234"/>
      <c r="AN189" s="234"/>
    </row>
    <row r="190" spans="1:40" s="284" customFormat="1" ht="20.25">
      <c r="A190" s="1180" t="s">
        <v>392</v>
      </c>
      <c r="B190" s="729"/>
      <c r="C190" s="730"/>
      <c r="D190" s="1077"/>
      <c r="E190" s="319"/>
      <c r="F190" s="320"/>
      <c r="G190" s="320"/>
      <c r="H190" s="321"/>
      <c r="I190" s="321"/>
      <c r="J190" s="320"/>
      <c r="K190" s="842"/>
      <c r="L190" s="351"/>
      <c r="M190" s="352"/>
      <c r="N190" s="353"/>
      <c r="O190" s="321"/>
      <c r="P190" s="321"/>
      <c r="Q190" s="321"/>
      <c r="R190" s="321"/>
      <c r="S190" s="321"/>
      <c r="T190" s="321"/>
      <c r="U190" s="351"/>
      <c r="V190" s="352"/>
      <c r="W190" s="319"/>
      <c r="X190" s="320"/>
      <c r="Y190" s="320"/>
      <c r="Z190" s="321"/>
      <c r="AA190" s="321"/>
      <c r="AB190" s="321"/>
      <c r="AC190" s="320"/>
      <c r="AD190" s="380"/>
      <c r="AE190" s="352"/>
      <c r="AF190" s="381">
        <f t="shared" si="41"/>
        <v>0</v>
      </c>
      <c r="AG190" s="381"/>
      <c r="AH190" s="408"/>
      <c r="AI190" s="409">
        <f t="shared" si="42"/>
        <v>0</v>
      </c>
      <c r="AJ190" s="410"/>
      <c r="AK190" s="411">
        <f t="shared" si="43"/>
        <v>0</v>
      </c>
      <c r="AL190" s="234"/>
      <c r="AM190" s="234"/>
      <c r="AN190" s="234"/>
    </row>
    <row r="191" spans="1:40" s="282" customFormat="1" ht="20.25">
      <c r="A191" s="1180" t="s">
        <v>392</v>
      </c>
      <c r="B191" s="729"/>
      <c r="C191" s="730"/>
      <c r="D191" s="1077"/>
      <c r="E191" s="319"/>
      <c r="F191" s="320"/>
      <c r="G191" s="320"/>
      <c r="H191" s="321"/>
      <c r="I191" s="321"/>
      <c r="J191" s="320"/>
      <c r="K191" s="842"/>
      <c r="L191" s="351"/>
      <c r="M191" s="352"/>
      <c r="N191" s="353"/>
      <c r="O191" s="321"/>
      <c r="P191" s="321"/>
      <c r="Q191" s="321"/>
      <c r="R191" s="321"/>
      <c r="S191" s="321"/>
      <c r="T191" s="321"/>
      <c r="U191" s="351"/>
      <c r="V191" s="352"/>
      <c r="W191" s="319"/>
      <c r="X191" s="320"/>
      <c r="Y191" s="320"/>
      <c r="Z191" s="321"/>
      <c r="AA191" s="321"/>
      <c r="AB191" s="321"/>
      <c r="AC191" s="320"/>
      <c r="AD191" s="380"/>
      <c r="AE191" s="352"/>
      <c r="AF191" s="381">
        <f t="shared" si="41"/>
        <v>0</v>
      </c>
      <c r="AG191" s="381"/>
      <c r="AH191" s="408"/>
      <c r="AI191" s="409">
        <f t="shared" si="42"/>
        <v>0</v>
      </c>
      <c r="AJ191" s="410"/>
      <c r="AK191" s="411">
        <f t="shared" si="43"/>
        <v>0</v>
      </c>
      <c r="AL191" s="234"/>
      <c r="AM191" s="234"/>
      <c r="AN191" s="234"/>
    </row>
    <row r="192" spans="1:40" s="283" customFormat="1" ht="20.25">
      <c r="A192" s="1180" t="s">
        <v>392</v>
      </c>
      <c r="B192" s="729"/>
      <c r="C192" s="730"/>
      <c r="D192" s="1077"/>
      <c r="E192" s="319"/>
      <c r="F192" s="320"/>
      <c r="G192" s="320"/>
      <c r="H192" s="321"/>
      <c r="I192" s="321"/>
      <c r="J192" s="320"/>
      <c r="K192" s="842"/>
      <c r="L192" s="351"/>
      <c r="M192" s="352"/>
      <c r="N192" s="353"/>
      <c r="O192" s="321"/>
      <c r="P192" s="321"/>
      <c r="Q192" s="321"/>
      <c r="R192" s="321"/>
      <c r="S192" s="321"/>
      <c r="T192" s="321"/>
      <c r="U192" s="351"/>
      <c r="V192" s="352"/>
      <c r="W192" s="319"/>
      <c r="X192" s="320"/>
      <c r="Y192" s="320"/>
      <c r="Z192" s="321"/>
      <c r="AA192" s="321"/>
      <c r="AB192" s="321"/>
      <c r="AC192" s="320"/>
      <c r="AD192" s="380"/>
      <c r="AE192" s="352"/>
      <c r="AF192" s="381">
        <f t="shared" si="41"/>
        <v>0</v>
      </c>
      <c r="AG192" s="381"/>
      <c r="AH192" s="408"/>
      <c r="AI192" s="409">
        <f t="shared" si="42"/>
        <v>0</v>
      </c>
      <c r="AJ192" s="410"/>
      <c r="AK192" s="411">
        <f t="shared" si="43"/>
        <v>0</v>
      </c>
      <c r="AL192" s="234"/>
      <c r="AM192" s="234"/>
      <c r="AN192" s="234"/>
    </row>
    <row r="193" spans="1:40" s="283" customFormat="1" ht="20.25">
      <c r="A193" s="1180" t="s">
        <v>392</v>
      </c>
      <c r="B193" s="729"/>
      <c r="C193" s="730"/>
      <c r="D193" s="1077"/>
      <c r="E193" s="319"/>
      <c r="F193" s="320"/>
      <c r="G193" s="320"/>
      <c r="H193" s="321"/>
      <c r="I193" s="321"/>
      <c r="J193" s="320"/>
      <c r="K193" s="842"/>
      <c r="L193" s="351"/>
      <c r="M193" s="352"/>
      <c r="N193" s="353"/>
      <c r="O193" s="321"/>
      <c r="P193" s="321"/>
      <c r="Q193" s="321"/>
      <c r="R193" s="321"/>
      <c r="S193" s="321"/>
      <c r="T193" s="321"/>
      <c r="U193" s="351"/>
      <c r="V193" s="352"/>
      <c r="W193" s="319"/>
      <c r="X193" s="320"/>
      <c r="Y193" s="320"/>
      <c r="Z193" s="321"/>
      <c r="AA193" s="321"/>
      <c r="AB193" s="321"/>
      <c r="AC193" s="320"/>
      <c r="AD193" s="380"/>
      <c r="AE193" s="352"/>
      <c r="AF193" s="381">
        <f t="shared" si="41"/>
        <v>0</v>
      </c>
      <c r="AG193" s="381"/>
      <c r="AH193" s="408"/>
      <c r="AI193" s="409">
        <f t="shared" si="42"/>
        <v>0</v>
      </c>
      <c r="AJ193" s="410"/>
      <c r="AK193" s="411">
        <f t="shared" si="43"/>
        <v>0</v>
      </c>
      <c r="AL193" s="234"/>
      <c r="AM193" s="234"/>
      <c r="AN193" s="234"/>
    </row>
    <row r="194" spans="1:40" s="283" customFormat="1" ht="20.25">
      <c r="A194" s="1180" t="s">
        <v>392</v>
      </c>
      <c r="B194" s="729"/>
      <c r="C194" s="730"/>
      <c r="D194" s="1077"/>
      <c r="E194" s="319"/>
      <c r="F194" s="320"/>
      <c r="G194" s="320"/>
      <c r="H194" s="321"/>
      <c r="I194" s="321"/>
      <c r="J194" s="320"/>
      <c r="K194" s="842"/>
      <c r="L194" s="351"/>
      <c r="M194" s="352"/>
      <c r="N194" s="353"/>
      <c r="O194" s="321"/>
      <c r="P194" s="321"/>
      <c r="Q194" s="321"/>
      <c r="R194" s="321"/>
      <c r="S194" s="321"/>
      <c r="T194" s="321"/>
      <c r="U194" s="351"/>
      <c r="V194" s="352"/>
      <c r="W194" s="319"/>
      <c r="X194" s="320"/>
      <c r="Y194" s="320"/>
      <c r="Z194" s="321"/>
      <c r="AA194" s="321"/>
      <c r="AB194" s="321"/>
      <c r="AC194" s="320"/>
      <c r="AD194" s="380"/>
      <c r="AE194" s="352"/>
      <c r="AF194" s="381">
        <f t="shared" si="41"/>
        <v>0</v>
      </c>
      <c r="AG194" s="381"/>
      <c r="AH194" s="408"/>
      <c r="AI194" s="409">
        <f t="shared" si="42"/>
        <v>0</v>
      </c>
      <c r="AJ194" s="410"/>
      <c r="AK194" s="411">
        <f t="shared" si="43"/>
        <v>0</v>
      </c>
      <c r="AL194" s="234"/>
      <c r="AM194" s="234"/>
      <c r="AN194" s="234"/>
    </row>
    <row r="195" spans="1:40" s="283" customFormat="1" ht="20.25">
      <c r="A195" s="1180" t="s">
        <v>392</v>
      </c>
      <c r="B195" s="729"/>
      <c r="C195" s="730"/>
      <c r="D195" s="1077"/>
      <c r="E195" s="319"/>
      <c r="F195" s="320"/>
      <c r="G195" s="320"/>
      <c r="H195" s="321"/>
      <c r="I195" s="321"/>
      <c r="J195" s="320"/>
      <c r="K195" s="842"/>
      <c r="L195" s="351"/>
      <c r="M195" s="352"/>
      <c r="N195" s="353"/>
      <c r="O195" s="321"/>
      <c r="P195" s="321"/>
      <c r="Q195" s="321"/>
      <c r="R195" s="321"/>
      <c r="S195" s="321"/>
      <c r="T195" s="321"/>
      <c r="U195" s="351"/>
      <c r="V195" s="352"/>
      <c r="W195" s="319"/>
      <c r="X195" s="320"/>
      <c r="Y195" s="320"/>
      <c r="Z195" s="321"/>
      <c r="AA195" s="321"/>
      <c r="AB195" s="321"/>
      <c r="AC195" s="320"/>
      <c r="AD195" s="380"/>
      <c r="AE195" s="352"/>
      <c r="AF195" s="381">
        <f t="shared" si="41"/>
        <v>0</v>
      </c>
      <c r="AG195" s="381"/>
      <c r="AH195" s="408"/>
      <c r="AI195" s="409">
        <f t="shared" si="42"/>
        <v>0</v>
      </c>
      <c r="AJ195" s="410"/>
      <c r="AK195" s="411">
        <f t="shared" si="43"/>
        <v>0</v>
      </c>
      <c r="AL195" s="234"/>
      <c r="AM195" s="234"/>
      <c r="AN195" s="234"/>
    </row>
    <row r="196" spans="1:40" s="283" customFormat="1" ht="20.25">
      <c r="A196" s="1180" t="s">
        <v>392</v>
      </c>
      <c r="B196" s="729"/>
      <c r="C196" s="730"/>
      <c r="D196" s="1077"/>
      <c r="E196" s="319"/>
      <c r="F196" s="320"/>
      <c r="G196" s="320"/>
      <c r="H196" s="321"/>
      <c r="I196" s="321"/>
      <c r="J196" s="320"/>
      <c r="K196" s="842"/>
      <c r="L196" s="351"/>
      <c r="M196" s="352"/>
      <c r="N196" s="353"/>
      <c r="O196" s="321"/>
      <c r="P196" s="321"/>
      <c r="Q196" s="321"/>
      <c r="R196" s="321"/>
      <c r="S196" s="321"/>
      <c r="T196" s="321"/>
      <c r="U196" s="351"/>
      <c r="V196" s="352"/>
      <c r="W196" s="319"/>
      <c r="X196" s="320"/>
      <c r="Y196" s="320"/>
      <c r="Z196" s="321"/>
      <c r="AA196" s="321"/>
      <c r="AB196" s="321"/>
      <c r="AC196" s="320"/>
      <c r="AD196" s="380"/>
      <c r="AE196" s="352"/>
      <c r="AF196" s="381">
        <f t="shared" si="41"/>
        <v>0</v>
      </c>
      <c r="AG196" s="381"/>
      <c r="AH196" s="408"/>
      <c r="AI196" s="409">
        <f t="shared" si="42"/>
        <v>0</v>
      </c>
      <c r="AJ196" s="410"/>
      <c r="AK196" s="411">
        <f t="shared" si="43"/>
        <v>0</v>
      </c>
      <c r="AL196" s="234"/>
      <c r="AM196" s="234"/>
      <c r="AN196" s="234"/>
    </row>
    <row r="197" spans="1:40" s="283" customFormat="1" ht="20.25">
      <c r="A197" s="1180" t="s">
        <v>392</v>
      </c>
      <c r="B197" s="729"/>
      <c r="C197" s="730"/>
      <c r="D197" s="1077"/>
      <c r="E197" s="319"/>
      <c r="F197" s="320"/>
      <c r="G197" s="320"/>
      <c r="H197" s="321"/>
      <c r="I197" s="321"/>
      <c r="J197" s="320"/>
      <c r="K197" s="842"/>
      <c r="L197" s="351"/>
      <c r="M197" s="352"/>
      <c r="N197" s="353"/>
      <c r="O197" s="321"/>
      <c r="P197" s="321"/>
      <c r="Q197" s="321"/>
      <c r="R197" s="321"/>
      <c r="S197" s="321"/>
      <c r="T197" s="321"/>
      <c r="U197" s="351"/>
      <c r="V197" s="352"/>
      <c r="W197" s="319"/>
      <c r="X197" s="320"/>
      <c r="Y197" s="320"/>
      <c r="Z197" s="321"/>
      <c r="AA197" s="321"/>
      <c r="AB197" s="321"/>
      <c r="AC197" s="320"/>
      <c r="AD197" s="380"/>
      <c r="AE197" s="352"/>
      <c r="AF197" s="381">
        <f t="shared" si="41"/>
        <v>0</v>
      </c>
      <c r="AG197" s="381"/>
      <c r="AH197" s="408"/>
      <c r="AI197" s="409">
        <f t="shared" si="42"/>
        <v>0</v>
      </c>
      <c r="AJ197" s="410"/>
      <c r="AK197" s="411">
        <f t="shared" si="43"/>
        <v>0</v>
      </c>
      <c r="AL197" s="234"/>
      <c r="AM197" s="234"/>
      <c r="AN197" s="234"/>
    </row>
    <row r="198" spans="1:40" s="284" customFormat="1" ht="15.75" customHeight="1">
      <c r="A198" s="1180" t="s">
        <v>392</v>
      </c>
      <c r="B198" s="729"/>
      <c r="C198" s="730"/>
      <c r="D198" s="1077"/>
      <c r="E198" s="319"/>
      <c r="F198" s="320"/>
      <c r="G198" s="320"/>
      <c r="H198" s="321"/>
      <c r="I198" s="321"/>
      <c r="J198" s="320"/>
      <c r="K198" s="842"/>
      <c r="L198" s="351"/>
      <c r="M198" s="352"/>
      <c r="N198" s="353"/>
      <c r="O198" s="321"/>
      <c r="P198" s="321"/>
      <c r="Q198" s="321"/>
      <c r="R198" s="321"/>
      <c r="S198" s="321"/>
      <c r="T198" s="321"/>
      <c r="U198" s="351"/>
      <c r="V198" s="352"/>
      <c r="W198" s="319"/>
      <c r="X198" s="320"/>
      <c r="Y198" s="320"/>
      <c r="Z198" s="321"/>
      <c r="AA198" s="321"/>
      <c r="AB198" s="321"/>
      <c r="AC198" s="320"/>
      <c r="AD198" s="380"/>
      <c r="AE198" s="352"/>
      <c r="AF198" s="381">
        <f t="shared" si="41"/>
        <v>0</v>
      </c>
      <c r="AG198" s="381"/>
      <c r="AH198" s="408"/>
      <c r="AI198" s="409">
        <f t="shared" si="42"/>
        <v>0</v>
      </c>
      <c r="AJ198" s="410"/>
      <c r="AK198" s="411">
        <f t="shared" si="43"/>
        <v>0</v>
      </c>
      <c r="AL198" s="234"/>
      <c r="AM198" s="234"/>
      <c r="AN198" s="234"/>
    </row>
    <row r="199" spans="1:40" ht="21" thickBot="1">
      <c r="A199" s="1180" t="s">
        <v>392</v>
      </c>
      <c r="B199" s="729"/>
      <c r="C199" s="730"/>
      <c r="D199" s="1077"/>
      <c r="E199" s="319"/>
      <c r="F199" s="320"/>
      <c r="G199" s="320"/>
      <c r="H199" s="321"/>
      <c r="I199" s="321"/>
      <c r="J199" s="320"/>
      <c r="K199" s="842"/>
      <c r="L199" s="351"/>
      <c r="M199" s="352"/>
      <c r="N199" s="353"/>
      <c r="O199" s="321"/>
      <c r="P199" s="321"/>
      <c r="Q199" s="321"/>
      <c r="R199" s="321"/>
      <c r="S199" s="321"/>
      <c r="T199" s="321"/>
      <c r="U199" s="351"/>
      <c r="V199" s="352"/>
      <c r="W199" s="319"/>
      <c r="X199" s="320"/>
      <c r="Y199" s="320"/>
      <c r="Z199" s="321"/>
      <c r="AA199" s="321"/>
      <c r="AB199" s="321"/>
      <c r="AC199" s="320"/>
      <c r="AD199" s="380"/>
      <c r="AE199" s="352"/>
      <c r="AF199" s="381">
        <f t="shared" si="41"/>
        <v>0</v>
      </c>
      <c r="AG199" s="381"/>
      <c r="AH199" s="408"/>
      <c r="AI199" s="409">
        <f t="shared" si="42"/>
        <v>0</v>
      </c>
      <c r="AJ199" s="410"/>
      <c r="AK199" s="411">
        <f t="shared" si="43"/>
        <v>0</v>
      </c>
      <c r="AL199" s="234"/>
      <c r="AM199" s="234"/>
      <c r="AN199" s="234"/>
    </row>
    <row r="200" spans="1:40" ht="21" thickBot="1">
      <c r="A200" s="1180" t="s">
        <v>392</v>
      </c>
      <c r="B200" s="729"/>
      <c r="C200" s="730"/>
      <c r="D200" s="1077"/>
      <c r="E200" s="319"/>
      <c r="F200" s="320"/>
      <c r="G200" s="320"/>
      <c r="H200" s="321"/>
      <c r="I200" s="321"/>
      <c r="J200" s="320"/>
      <c r="K200" s="842"/>
      <c r="L200" s="351"/>
      <c r="M200" s="352"/>
      <c r="N200" s="353"/>
      <c r="O200" s="321"/>
      <c r="P200" s="321"/>
      <c r="Q200" s="321"/>
      <c r="R200" s="321"/>
      <c r="S200" s="321"/>
      <c r="T200" s="321"/>
      <c r="U200" s="351"/>
      <c r="V200" s="352"/>
      <c r="W200" s="319"/>
      <c r="X200" s="320"/>
      <c r="Y200" s="320"/>
      <c r="Z200" s="321"/>
      <c r="AA200" s="321"/>
      <c r="AB200" s="321"/>
      <c r="AC200" s="320"/>
      <c r="AD200" s="380"/>
      <c r="AE200" s="352"/>
      <c r="AF200" s="381">
        <f t="shared" si="41"/>
        <v>0</v>
      </c>
      <c r="AG200" s="381"/>
      <c r="AH200" s="408"/>
      <c r="AI200" s="409">
        <f t="shared" si="42"/>
        <v>0</v>
      </c>
      <c r="AJ200" s="410"/>
      <c r="AK200" s="411">
        <f t="shared" si="43"/>
        <v>0</v>
      </c>
      <c r="AL200" s="414" t="s">
        <v>8</v>
      </c>
      <c r="AM200" s="397" t="s">
        <v>23</v>
      </c>
      <c r="AN200" s="415" t="s">
        <v>174</v>
      </c>
    </row>
    <row r="201" spans="1:40" s="1" customFormat="1" ht="21" thickBot="1">
      <c r="A201" s="1180" t="s">
        <v>392</v>
      </c>
      <c r="B201" s="729"/>
      <c r="C201" s="730"/>
      <c r="D201" s="1077"/>
      <c r="E201" s="319"/>
      <c r="F201" s="320"/>
      <c r="G201" s="320"/>
      <c r="H201" s="321"/>
      <c r="I201" s="321"/>
      <c r="J201" s="320"/>
      <c r="K201" s="842"/>
      <c r="L201" s="351"/>
      <c r="M201" s="352"/>
      <c r="N201" s="353"/>
      <c r="O201" s="321"/>
      <c r="P201" s="321"/>
      <c r="Q201" s="321"/>
      <c r="R201" s="321"/>
      <c r="S201" s="321"/>
      <c r="T201" s="321"/>
      <c r="U201" s="351"/>
      <c r="V201" s="352"/>
      <c r="W201" s="319"/>
      <c r="X201" s="320"/>
      <c r="Y201" s="320"/>
      <c r="Z201" s="321"/>
      <c r="AA201" s="321"/>
      <c r="AB201" s="321"/>
      <c r="AC201" s="320"/>
      <c r="AD201" s="380"/>
      <c r="AE201" s="352"/>
      <c r="AF201" s="381">
        <f t="shared" si="41"/>
        <v>0</v>
      </c>
      <c r="AG201" s="381"/>
      <c r="AH201" s="408"/>
      <c r="AI201" s="409">
        <f t="shared" si="42"/>
        <v>0</v>
      </c>
      <c r="AJ201" s="410"/>
      <c r="AK201" s="411">
        <f t="shared" si="43"/>
        <v>0</v>
      </c>
      <c r="AL201" s="399" t="str">
        <f>'BIG CHAIR'!CL230</f>
        <v>Total</v>
      </c>
      <c r="AM201" s="400">
        <f>'Tea Table'!X295</f>
        <v>0</v>
      </c>
      <c r="AN201" s="401" t="e">
        <f>AI205+AL201+AM201</f>
        <v>#VALUE!</v>
      </c>
    </row>
    <row r="202" spans="1:40" ht="20.25">
      <c r="A202" s="1180" t="s">
        <v>392</v>
      </c>
      <c r="B202" s="729"/>
      <c r="C202" s="730"/>
      <c r="D202" s="1077"/>
      <c r="E202" s="319"/>
      <c r="F202" s="320"/>
      <c r="G202" s="320"/>
      <c r="H202" s="321"/>
      <c r="I202" s="321"/>
      <c r="J202" s="320"/>
      <c r="K202" s="842"/>
      <c r="L202" s="351"/>
      <c r="M202" s="352"/>
      <c r="N202" s="353"/>
      <c r="O202" s="321"/>
      <c r="P202" s="321"/>
      <c r="Q202" s="321"/>
      <c r="R202" s="321"/>
      <c r="S202" s="321"/>
      <c r="T202" s="321"/>
      <c r="U202" s="351"/>
      <c r="V202" s="352"/>
      <c r="W202" s="319"/>
      <c r="X202" s="320"/>
      <c r="Y202" s="320"/>
      <c r="Z202" s="321"/>
      <c r="AA202" s="321"/>
      <c r="AB202" s="321"/>
      <c r="AC202" s="320"/>
      <c r="AD202" s="380"/>
      <c r="AE202" s="352"/>
      <c r="AF202" s="381">
        <f t="shared" si="41"/>
        <v>0</v>
      </c>
      <c r="AG202" s="381"/>
      <c r="AH202" s="408"/>
      <c r="AI202" s="409">
        <f t="shared" si="42"/>
        <v>0</v>
      </c>
      <c r="AJ202" s="410"/>
      <c r="AK202" s="411">
        <f t="shared" si="43"/>
        <v>0</v>
      </c>
      <c r="AL202" s="282"/>
      <c r="AM202" s="282"/>
      <c r="AN202" s="282"/>
    </row>
    <row r="203" spans="1:40" s="276" customFormat="1" ht="20.25">
      <c r="A203" s="1180" t="s">
        <v>392</v>
      </c>
      <c r="B203" s="729"/>
      <c r="C203" s="730"/>
      <c r="D203" s="1077"/>
      <c r="E203" s="319"/>
      <c r="F203" s="320"/>
      <c r="G203" s="320"/>
      <c r="H203" s="321"/>
      <c r="I203" s="321"/>
      <c r="J203" s="320"/>
      <c r="K203" s="842"/>
      <c r="L203" s="351"/>
      <c r="M203" s="352"/>
      <c r="N203" s="353"/>
      <c r="O203" s="321"/>
      <c r="P203" s="321"/>
      <c r="Q203" s="321"/>
      <c r="R203" s="321"/>
      <c r="S203" s="321"/>
      <c r="T203" s="321"/>
      <c r="U203" s="351"/>
      <c r="V203" s="352"/>
      <c r="W203" s="319"/>
      <c r="X203" s="320"/>
      <c r="Y203" s="320"/>
      <c r="Z203" s="321"/>
      <c r="AA203" s="321"/>
      <c r="AB203" s="321"/>
      <c r="AC203" s="320"/>
      <c r="AD203" s="380"/>
      <c r="AE203" s="352"/>
      <c r="AF203" s="381">
        <f t="shared" si="41"/>
        <v>0</v>
      </c>
      <c r="AG203" s="381"/>
      <c r="AH203" s="408"/>
      <c r="AI203" s="409">
        <f t="shared" si="42"/>
        <v>0</v>
      </c>
      <c r="AJ203" s="410"/>
      <c r="AK203" s="411">
        <f t="shared" si="43"/>
        <v>0</v>
      </c>
      <c r="AL203" s="283"/>
      <c r="AM203" s="283"/>
      <c r="AN203" s="283"/>
    </row>
    <row r="204" spans="1:40" s="276" customFormat="1" ht="21" thickBot="1">
      <c r="A204" s="1180" t="s">
        <v>392</v>
      </c>
      <c r="B204" s="2564"/>
      <c r="C204" s="732"/>
      <c r="D204" s="1078"/>
      <c r="E204" s="325"/>
      <c r="F204" s="297"/>
      <c r="G204" s="297"/>
      <c r="H204" s="298"/>
      <c r="I204" s="298"/>
      <c r="J204" s="297"/>
      <c r="K204" s="1086"/>
      <c r="L204" s="367"/>
      <c r="M204" s="355"/>
      <c r="N204" s="343"/>
      <c r="O204" s="298"/>
      <c r="P204" s="298"/>
      <c r="Q204" s="298"/>
      <c r="R204" s="298"/>
      <c r="S204" s="298"/>
      <c r="T204" s="298"/>
      <c r="U204" s="367"/>
      <c r="V204" s="355"/>
      <c r="W204" s="325"/>
      <c r="X204" s="297"/>
      <c r="Y204" s="297"/>
      <c r="Z204" s="298"/>
      <c r="AA204" s="298"/>
      <c r="AB204" s="298"/>
      <c r="AC204" s="297"/>
      <c r="AD204" s="375"/>
      <c r="AE204" s="355"/>
      <c r="AF204" s="376">
        <f t="shared" si="41"/>
        <v>0</v>
      </c>
      <c r="AG204" s="377"/>
      <c r="AH204" s="390"/>
      <c r="AI204" s="391">
        <f t="shared" si="42"/>
        <v>0</v>
      </c>
      <c r="AJ204" s="412"/>
      <c r="AK204" s="413">
        <f t="shared" si="43"/>
        <v>0</v>
      </c>
      <c r="AL204" s="283"/>
      <c r="AM204" s="283"/>
      <c r="AN204" s="283"/>
    </row>
    <row r="205" spans="1:40" s="276" customFormat="1" ht="19.5" thickBot="1">
      <c r="A205" s="326" t="s">
        <v>415</v>
      </c>
      <c r="B205" s="327"/>
      <c r="C205" s="327"/>
      <c r="D205" s="328"/>
      <c r="E205" s="329">
        <f>SUM(E172:E204)</f>
        <v>0</v>
      </c>
      <c r="F205" s="329">
        <f t="shared" ref="F205:L205" si="44">SUM(F172:F204)</f>
        <v>0</v>
      </c>
      <c r="G205" s="329">
        <f t="shared" si="44"/>
        <v>0</v>
      </c>
      <c r="H205" s="329">
        <f t="shared" si="44"/>
        <v>0</v>
      </c>
      <c r="I205" s="329">
        <f t="shared" si="44"/>
        <v>0</v>
      </c>
      <c r="J205" s="329">
        <f t="shared" si="44"/>
        <v>0</v>
      </c>
      <c r="K205" s="329">
        <f t="shared" si="44"/>
        <v>0</v>
      </c>
      <c r="L205" s="329">
        <f t="shared" si="44"/>
        <v>0</v>
      </c>
      <c r="M205" s="357"/>
      <c r="N205" s="358">
        <f>SUM(N172:N204)</f>
        <v>0</v>
      </c>
      <c r="O205" s="359">
        <f t="shared" ref="O205:U205" si="45">SUM(O172:O204)</f>
        <v>0</v>
      </c>
      <c r="P205" s="359">
        <f t="shared" si="45"/>
        <v>0</v>
      </c>
      <c r="Q205" s="359">
        <f t="shared" si="45"/>
        <v>0</v>
      </c>
      <c r="R205" s="359">
        <f t="shared" si="45"/>
        <v>0</v>
      </c>
      <c r="S205" s="359">
        <f t="shared" si="45"/>
        <v>0</v>
      </c>
      <c r="T205" s="359">
        <f t="shared" si="45"/>
        <v>0</v>
      </c>
      <c r="U205" s="369">
        <f t="shared" si="45"/>
        <v>0</v>
      </c>
      <c r="V205" s="357"/>
      <c r="W205" s="358">
        <f>SUM(W172:W204)</f>
        <v>0</v>
      </c>
      <c r="X205" s="358">
        <f t="shared" ref="X205:AD205" si="46">SUM(X172:X204)</f>
        <v>0</v>
      </c>
      <c r="Y205" s="358">
        <f t="shared" si="46"/>
        <v>0</v>
      </c>
      <c r="Z205" s="358">
        <f t="shared" si="46"/>
        <v>0</v>
      </c>
      <c r="AA205" s="358">
        <f t="shared" si="46"/>
        <v>0</v>
      </c>
      <c r="AB205" s="358">
        <f t="shared" si="46"/>
        <v>0</v>
      </c>
      <c r="AC205" s="358">
        <f t="shared" si="46"/>
        <v>0</v>
      </c>
      <c r="AD205" s="358">
        <f t="shared" si="46"/>
        <v>0</v>
      </c>
      <c r="AE205" s="357"/>
      <c r="AF205" s="382">
        <f>SUM(AF172:AF204)</f>
        <v>0</v>
      </c>
      <c r="AG205" s="382">
        <f t="shared" ref="AG205:AK205" si="47">SUM(AG172:AG204)</f>
        <v>0</v>
      </c>
      <c r="AH205" s="416">
        <f t="shared" si="47"/>
        <v>0</v>
      </c>
      <c r="AI205" s="417">
        <f t="shared" si="47"/>
        <v>0</v>
      </c>
      <c r="AJ205" s="382">
        <f t="shared" si="47"/>
        <v>0</v>
      </c>
      <c r="AK205" s="418">
        <f t="shared" si="47"/>
        <v>0</v>
      </c>
      <c r="AL205" s="283"/>
      <c r="AM205" s="283"/>
      <c r="AN205" s="283"/>
    </row>
    <row r="206" spans="1:40" s="234" customFormat="1" ht="16.5" thickBot="1">
      <c r="A206" s="2587" t="s">
        <v>179</v>
      </c>
      <c r="B206" s="288" t="s">
        <v>68</v>
      </c>
      <c r="C206" s="722" t="s">
        <v>69</v>
      </c>
      <c r="D206" s="1073" t="s">
        <v>70</v>
      </c>
      <c r="E206" s="743" t="s">
        <v>88</v>
      </c>
      <c r="F206" s="744" t="s">
        <v>407</v>
      </c>
      <c r="G206" s="744" t="s">
        <v>53</v>
      </c>
      <c r="H206" s="744" t="s">
        <v>170</v>
      </c>
      <c r="I206" s="744" t="s">
        <v>222</v>
      </c>
      <c r="J206" s="744" t="s">
        <v>149</v>
      </c>
      <c r="K206" s="744" t="s">
        <v>206</v>
      </c>
      <c r="L206" s="783" t="s">
        <v>124</v>
      </c>
      <c r="M206" s="1089"/>
      <c r="N206" s="80" t="s">
        <v>96</v>
      </c>
      <c r="O206" s="49" t="s">
        <v>407</v>
      </c>
      <c r="P206" s="49" t="s">
        <v>53</v>
      </c>
      <c r="Q206" s="49" t="s">
        <v>86</v>
      </c>
      <c r="R206" s="49" t="s">
        <v>94</v>
      </c>
      <c r="S206" s="49" t="s">
        <v>85</v>
      </c>
      <c r="T206" s="126" t="s">
        <v>92</v>
      </c>
      <c r="U206" s="171" t="s">
        <v>432</v>
      </c>
      <c r="V206" s="79"/>
      <c r="W206" s="80" t="s">
        <v>88</v>
      </c>
      <c r="X206" s="49"/>
      <c r="Y206" s="49" t="s">
        <v>206</v>
      </c>
      <c r="Z206" s="49"/>
      <c r="AA206" s="49" t="s">
        <v>222</v>
      </c>
      <c r="AB206" s="49"/>
      <c r="AC206" s="126" t="s">
        <v>76</v>
      </c>
      <c r="AD206" s="171"/>
      <c r="AE206" s="79"/>
      <c r="AF206" s="371" t="s">
        <v>172</v>
      </c>
      <c r="AG206" s="372" t="s">
        <v>80</v>
      </c>
      <c r="AH206" s="385"/>
      <c r="AI206" s="386" t="s">
        <v>106</v>
      </c>
      <c r="AJ206" s="385" t="s">
        <v>173</v>
      </c>
      <c r="AK206" s="371" t="s">
        <v>108</v>
      </c>
      <c r="AL206" s="283"/>
      <c r="AM206" s="283"/>
      <c r="AN206" s="283"/>
    </row>
    <row r="207" spans="1:40" s="234" customFormat="1" ht="20.25">
      <c r="A207" s="2582"/>
      <c r="B207" s="731"/>
      <c r="C207" s="2583"/>
      <c r="D207" s="2588"/>
      <c r="E207" s="1067"/>
      <c r="F207" s="1068"/>
      <c r="G207" s="1068"/>
      <c r="H207" s="1069"/>
      <c r="I207" s="1069"/>
      <c r="J207" s="1068"/>
      <c r="K207" s="1101"/>
      <c r="L207" s="1102"/>
      <c r="M207" s="355"/>
      <c r="N207" s="343"/>
      <c r="O207" s="298"/>
      <c r="P207" s="298"/>
      <c r="Q207" s="298"/>
      <c r="R207" s="298"/>
      <c r="S207" s="298"/>
      <c r="T207" s="298"/>
      <c r="U207" s="367"/>
      <c r="V207" s="355"/>
      <c r="W207" s="325"/>
      <c r="X207" s="297"/>
      <c r="Y207" s="297"/>
      <c r="Z207" s="298"/>
      <c r="AA207" s="298"/>
      <c r="AB207" s="298"/>
      <c r="AC207" s="297"/>
      <c r="AD207" s="375"/>
      <c r="AE207" s="355"/>
      <c r="AF207" s="377">
        <f t="shared" ref="AF207:AF209" si="48">SUM(E207:AD207)</f>
        <v>0</v>
      </c>
      <c r="AG207" s="377"/>
      <c r="AH207" s="390"/>
      <c r="AI207" s="507">
        <f t="shared" ref="AI207:AI211" si="49">AF207+AG207</f>
        <v>0</v>
      </c>
      <c r="AJ207" s="412"/>
      <c r="AK207" s="508">
        <f>AI207+AJ207</f>
        <v>0</v>
      </c>
      <c r="AL207" s="283"/>
      <c r="AM207" s="283"/>
      <c r="AN207" s="283"/>
    </row>
    <row r="208" spans="1:40" s="276" customFormat="1" ht="20.25">
      <c r="A208" s="2582"/>
      <c r="B208" s="731"/>
      <c r="C208" s="731"/>
      <c r="D208" s="2589"/>
      <c r="E208" s="457"/>
      <c r="F208" s="458"/>
      <c r="G208" s="458"/>
      <c r="H208" s="459"/>
      <c r="I208" s="459"/>
      <c r="J208" s="458"/>
      <c r="K208" s="1085"/>
      <c r="L208" s="1103"/>
      <c r="M208" s="355"/>
      <c r="N208" s="343"/>
      <c r="O208" s="298"/>
      <c r="P208" s="298"/>
      <c r="Q208" s="298"/>
      <c r="R208" s="298"/>
      <c r="S208" s="298"/>
      <c r="T208" s="298"/>
      <c r="U208" s="367"/>
      <c r="V208" s="355"/>
      <c r="W208" s="325"/>
      <c r="X208" s="297"/>
      <c r="Y208" s="297"/>
      <c r="Z208" s="298"/>
      <c r="AA208" s="298"/>
      <c r="AB208" s="298"/>
      <c r="AC208" s="297"/>
      <c r="AD208" s="375"/>
      <c r="AE208" s="355"/>
      <c r="AF208" s="377">
        <f t="shared" ref="AF208" si="50">SUM(E208:AD208)</f>
        <v>0</v>
      </c>
      <c r="AG208" s="377"/>
      <c r="AH208" s="390"/>
      <c r="AI208" s="507">
        <f t="shared" si="49"/>
        <v>0</v>
      </c>
      <c r="AJ208" s="412"/>
      <c r="AK208" s="508">
        <f>AI208+AJ208</f>
        <v>0</v>
      </c>
      <c r="AL208" s="283"/>
      <c r="AM208" s="283"/>
      <c r="AN208" s="283"/>
    </row>
    <row r="209" spans="1:40" s="234" customFormat="1" ht="20.25">
      <c r="A209" s="2582"/>
      <c r="B209" s="731"/>
      <c r="C209" s="731"/>
      <c r="D209" s="2589"/>
      <c r="E209" s="457"/>
      <c r="F209" s="458"/>
      <c r="G209" s="458"/>
      <c r="H209" s="459"/>
      <c r="I209" s="459"/>
      <c r="J209" s="458"/>
      <c r="K209" s="1085"/>
      <c r="L209" s="1103"/>
      <c r="M209" s="355"/>
      <c r="N209" s="343"/>
      <c r="O209" s="298"/>
      <c r="P209" s="298"/>
      <c r="Q209" s="298"/>
      <c r="R209" s="298"/>
      <c r="S209" s="298"/>
      <c r="T209" s="298"/>
      <c r="U209" s="367"/>
      <c r="V209" s="355"/>
      <c r="W209" s="325"/>
      <c r="X209" s="297"/>
      <c r="Y209" s="297"/>
      <c r="Z209" s="298"/>
      <c r="AA209" s="298"/>
      <c r="AB209" s="298"/>
      <c r="AC209" s="297"/>
      <c r="AD209" s="375"/>
      <c r="AE209" s="355"/>
      <c r="AF209" s="377">
        <f t="shared" si="48"/>
        <v>0</v>
      </c>
      <c r="AG209" s="377"/>
      <c r="AH209" s="390"/>
      <c r="AI209" s="507">
        <f t="shared" si="49"/>
        <v>0</v>
      </c>
      <c r="AJ209" s="412"/>
      <c r="AK209" s="508">
        <f>AI209+AJ209</f>
        <v>0</v>
      </c>
      <c r="AL209" s="403"/>
      <c r="AM209" s="403"/>
      <c r="AN209" s="403"/>
    </row>
    <row r="210" spans="1:40" s="234" customFormat="1" ht="20.25">
      <c r="A210" s="2582"/>
      <c r="B210" s="731"/>
      <c r="C210" s="731"/>
      <c r="D210" s="2589"/>
      <c r="E210" s="457"/>
      <c r="F210" s="458"/>
      <c r="G210" s="458"/>
      <c r="H210" s="459"/>
      <c r="I210" s="459"/>
      <c r="J210" s="458"/>
      <c r="K210" s="1085"/>
      <c r="L210" s="486"/>
      <c r="M210" s="355"/>
      <c r="N210" s="343"/>
      <c r="O210" s="298"/>
      <c r="P210" s="298"/>
      <c r="Q210" s="298"/>
      <c r="R210" s="298"/>
      <c r="S210" s="298"/>
      <c r="T210" s="298"/>
      <c r="U210" s="367"/>
      <c r="V210" s="355"/>
      <c r="W210" s="325"/>
      <c r="X210" s="297"/>
      <c r="Y210" s="297"/>
      <c r="Z210" s="298"/>
      <c r="AA210" s="298"/>
      <c r="AB210" s="298"/>
      <c r="AC210" s="297"/>
      <c r="AD210" s="375"/>
      <c r="AE210" s="355"/>
      <c r="AF210" s="377">
        <f t="shared" ref="AF210:AF211" si="51">SUM(E210:AD210)</f>
        <v>0</v>
      </c>
      <c r="AG210" s="377"/>
      <c r="AH210" s="390"/>
      <c r="AI210" s="507">
        <f t="shared" si="49"/>
        <v>0</v>
      </c>
      <c r="AJ210" s="412"/>
      <c r="AK210" s="508">
        <f>AI210+AJ210</f>
        <v>0</v>
      </c>
      <c r="AL210" s="282"/>
      <c r="AM210" s="282"/>
      <c r="AN210" s="282"/>
    </row>
    <row r="211" spans="1:40" s="276" customFormat="1" ht="21" thickBot="1">
      <c r="A211" s="2582"/>
      <c r="B211" s="2564"/>
      <c r="C211" s="2564"/>
      <c r="D211" s="2589"/>
      <c r="E211" s="325"/>
      <c r="F211" s="297"/>
      <c r="G211" s="297"/>
      <c r="H211" s="298"/>
      <c r="I211" s="298"/>
      <c r="J211" s="297"/>
      <c r="K211" s="1086"/>
      <c r="L211" s="344"/>
      <c r="M211" s="355"/>
      <c r="N211" s="343"/>
      <c r="O211" s="298"/>
      <c r="P211" s="298"/>
      <c r="Q211" s="298"/>
      <c r="R211" s="298"/>
      <c r="S211" s="298"/>
      <c r="T211" s="298"/>
      <c r="U211" s="367"/>
      <c r="V211" s="355"/>
      <c r="W211" s="325"/>
      <c r="X211" s="297"/>
      <c r="Y211" s="297"/>
      <c r="Z211" s="298"/>
      <c r="AA211" s="298"/>
      <c r="AB211" s="298"/>
      <c r="AC211" s="297"/>
      <c r="AD211" s="375"/>
      <c r="AE211" s="355"/>
      <c r="AF211" s="377">
        <f t="shared" si="51"/>
        <v>0</v>
      </c>
      <c r="AG211" s="377"/>
      <c r="AH211" s="390"/>
      <c r="AI211" s="507">
        <f t="shared" si="49"/>
        <v>0</v>
      </c>
      <c r="AJ211" s="412"/>
      <c r="AK211" s="508">
        <f t="shared" ref="AK211" si="52">AI211+AJ211</f>
        <v>0</v>
      </c>
      <c r="AL211" s="283"/>
      <c r="AM211" s="283"/>
      <c r="AN211" s="283"/>
    </row>
    <row r="212" spans="1:40" s="234" customFormat="1" ht="21" thickBot="1">
      <c r="A212" s="436"/>
      <c r="B212" s="437"/>
      <c r="C212" s="437"/>
      <c r="D212" s="1093"/>
      <c r="E212" s="439">
        <f>SUM(E207:E211)</f>
        <v>0</v>
      </c>
      <c r="F212" s="440">
        <f t="shared" ref="F212:L212" si="53">SUM(F207:F211)</f>
        <v>0</v>
      </c>
      <c r="G212" s="440">
        <f t="shared" si="53"/>
        <v>0</v>
      </c>
      <c r="H212" s="440">
        <f t="shared" si="53"/>
        <v>0</v>
      </c>
      <c r="I212" s="440">
        <f t="shared" si="53"/>
        <v>0</v>
      </c>
      <c r="J212" s="440">
        <f t="shared" si="53"/>
        <v>0</v>
      </c>
      <c r="K212" s="1104">
        <f t="shared" si="53"/>
        <v>0</v>
      </c>
      <c r="L212" s="481">
        <f t="shared" si="53"/>
        <v>0</v>
      </c>
      <c r="M212" s="482"/>
      <c r="N212" s="439">
        <f t="shared" ref="N212:U212" si="54">SUM(N207:N211)</f>
        <v>0</v>
      </c>
      <c r="O212" s="439">
        <f t="shared" si="54"/>
        <v>0</v>
      </c>
      <c r="P212" s="439">
        <f t="shared" si="54"/>
        <v>0</v>
      </c>
      <c r="Q212" s="439">
        <f t="shared" si="54"/>
        <v>0</v>
      </c>
      <c r="R212" s="439">
        <f t="shared" si="54"/>
        <v>0</v>
      </c>
      <c r="S212" s="439">
        <f t="shared" si="54"/>
        <v>0</v>
      </c>
      <c r="T212" s="439">
        <f t="shared" si="54"/>
        <v>0</v>
      </c>
      <c r="U212" s="439">
        <f t="shared" si="54"/>
        <v>0</v>
      </c>
      <c r="V212" s="482"/>
      <c r="W212" s="439">
        <f>SUM(W207:W211)</f>
        <v>0</v>
      </c>
      <c r="X212" s="440">
        <f t="shared" ref="X212:AD212" si="55">SUM(X207:X211)</f>
        <v>0</v>
      </c>
      <c r="Y212" s="440">
        <f t="shared" si="55"/>
        <v>0</v>
      </c>
      <c r="Z212" s="440">
        <f t="shared" si="55"/>
        <v>0</v>
      </c>
      <c r="AA212" s="440">
        <f t="shared" si="55"/>
        <v>0</v>
      </c>
      <c r="AB212" s="440">
        <f t="shared" si="55"/>
        <v>0</v>
      </c>
      <c r="AC212" s="440">
        <f t="shared" si="55"/>
        <v>0</v>
      </c>
      <c r="AD212" s="481">
        <f t="shared" si="55"/>
        <v>0</v>
      </c>
      <c r="AE212" s="482"/>
      <c r="AF212" s="494">
        <f>SUM(AF207:AF211)</f>
        <v>0</v>
      </c>
      <c r="AG212" s="494">
        <f>SUM(AG207:AG211)</f>
        <v>0</v>
      </c>
      <c r="AH212" s="494">
        <f t="shared" ref="AH212:AK212" si="56">SUM(AH207:AH211)</f>
        <v>0</v>
      </c>
      <c r="AI212" s="509">
        <f t="shared" si="56"/>
        <v>0</v>
      </c>
      <c r="AJ212" s="494">
        <f t="shared" si="56"/>
        <v>0</v>
      </c>
      <c r="AK212" s="509">
        <f t="shared" si="56"/>
        <v>0</v>
      </c>
      <c r="AL212" s="283"/>
      <c r="AM212" s="283"/>
      <c r="AN212" s="283"/>
    </row>
    <row r="213" spans="1:40" s="276" customFormat="1" ht="19.5" thickBot="1">
      <c r="A213" s="425"/>
      <c r="B213" s="426"/>
      <c r="C213" s="426"/>
      <c r="D213" s="427"/>
      <c r="E213" s="428"/>
      <c r="F213" s="428"/>
      <c r="G213" s="428"/>
      <c r="H213" s="428"/>
      <c r="I213" s="428"/>
      <c r="J213" s="428"/>
      <c r="K213" s="428"/>
      <c r="L213" s="428"/>
      <c r="M213" s="478"/>
      <c r="N213" s="479"/>
      <c r="O213" s="479"/>
      <c r="P213" s="479"/>
      <c r="Q213" s="479"/>
      <c r="R213" s="479"/>
      <c r="S213" s="479"/>
      <c r="T213" s="479"/>
      <c r="U213" s="479"/>
      <c r="V213" s="478"/>
      <c r="W213" s="479"/>
      <c r="X213" s="479"/>
      <c r="Y213" s="479"/>
      <c r="Z213" s="479"/>
      <c r="AA213" s="479"/>
      <c r="AB213" s="479"/>
      <c r="AC213" s="479"/>
      <c r="AD213" s="479"/>
      <c r="AE213" s="478"/>
      <c r="AF213" s="479"/>
      <c r="AG213" s="479"/>
      <c r="AH213" s="479"/>
      <c r="AI213" s="479"/>
      <c r="AJ213" s="479"/>
      <c r="AK213" s="506"/>
      <c r="AL213" s="283"/>
      <c r="AM213" s="283"/>
      <c r="AN213" s="283"/>
    </row>
    <row r="214" spans="1:40" s="234" customFormat="1" ht="18.75" thickBot="1">
      <c r="A214" s="441" t="s">
        <v>135</v>
      </c>
      <c r="B214" s="287" t="s">
        <v>68</v>
      </c>
      <c r="C214" s="287" t="s">
        <v>69</v>
      </c>
      <c r="D214" s="1073" t="s">
        <v>70</v>
      </c>
      <c r="E214" s="743" t="s">
        <v>88</v>
      </c>
      <c r="F214" s="744" t="s">
        <v>407</v>
      </c>
      <c r="G214" s="744" t="s">
        <v>53</v>
      </c>
      <c r="H214" s="744" t="s">
        <v>170</v>
      </c>
      <c r="I214" s="744" t="s">
        <v>222</v>
      </c>
      <c r="J214" s="744" t="s">
        <v>149</v>
      </c>
      <c r="K214" s="744" t="s">
        <v>206</v>
      </c>
      <c r="L214" s="783" t="s">
        <v>124</v>
      </c>
      <c r="M214" s="1089"/>
      <c r="N214" s="80" t="s">
        <v>96</v>
      </c>
      <c r="O214" s="49" t="s">
        <v>407</v>
      </c>
      <c r="P214" s="49" t="s">
        <v>53</v>
      </c>
      <c r="Q214" s="49" t="s">
        <v>86</v>
      </c>
      <c r="R214" s="49" t="s">
        <v>94</v>
      </c>
      <c r="S214" s="49" t="s">
        <v>85</v>
      </c>
      <c r="T214" s="126" t="s">
        <v>92</v>
      </c>
      <c r="U214" s="171" t="s">
        <v>432</v>
      </c>
      <c r="V214" s="79"/>
      <c r="W214" s="80" t="s">
        <v>88</v>
      </c>
      <c r="X214" s="49"/>
      <c r="Y214" s="49" t="s">
        <v>206</v>
      </c>
      <c r="Z214" s="49"/>
      <c r="AA214" s="49" t="s">
        <v>222</v>
      </c>
      <c r="AB214" s="49"/>
      <c r="AC214" s="126" t="s">
        <v>76</v>
      </c>
      <c r="AD214" s="171"/>
      <c r="AE214" s="79"/>
      <c r="AF214" s="371" t="s">
        <v>172</v>
      </c>
      <c r="AG214" s="372" t="s">
        <v>80</v>
      </c>
      <c r="AH214" s="385"/>
      <c r="AI214" s="386" t="s">
        <v>106</v>
      </c>
      <c r="AJ214" s="385" t="s">
        <v>173</v>
      </c>
      <c r="AK214" s="371" t="s">
        <v>108</v>
      </c>
      <c r="AL214" s="283"/>
      <c r="AM214" s="283"/>
      <c r="AN214" s="283"/>
    </row>
    <row r="215" spans="1:40" s="276" customFormat="1" ht="20.25">
      <c r="A215" s="442" t="s">
        <v>232</v>
      </c>
      <c r="B215" s="443"/>
      <c r="C215" s="443"/>
      <c r="D215" s="1094"/>
      <c r="E215" s="1067"/>
      <c r="F215" s="1068"/>
      <c r="G215" s="1068"/>
      <c r="H215" s="1069"/>
      <c r="I215" s="1069"/>
      <c r="J215" s="1068"/>
      <c r="K215" s="1101"/>
      <c r="L215" s="1102"/>
      <c r="M215" s="483"/>
      <c r="N215" s="484"/>
      <c r="O215" s="435"/>
      <c r="P215" s="435"/>
      <c r="Q215" s="435"/>
      <c r="R215" s="435"/>
      <c r="S215" s="435"/>
      <c r="T215" s="435"/>
      <c r="U215" s="492"/>
      <c r="V215" s="483"/>
      <c r="W215" s="433"/>
      <c r="X215" s="434"/>
      <c r="Y215" s="434"/>
      <c r="Z215" s="435"/>
      <c r="AA215" s="435"/>
      <c r="AB215" s="435"/>
      <c r="AC215" s="434"/>
      <c r="AD215" s="495"/>
      <c r="AE215" s="483"/>
      <c r="AF215" s="496">
        <f t="shared" ref="AF215:AF218" si="57">SUM(E215:AD215)</f>
        <v>0</v>
      </c>
      <c r="AG215" s="497"/>
      <c r="AH215" s="510"/>
      <c r="AI215" s="511">
        <f t="shared" ref="AI215:AI218" si="58">AF215+AG215</f>
        <v>0</v>
      </c>
      <c r="AJ215" s="512"/>
      <c r="AK215" s="513">
        <f>AI215+AJ215</f>
        <v>0</v>
      </c>
      <c r="AL215" s="283"/>
      <c r="AM215" s="283"/>
      <c r="AN215" s="283"/>
    </row>
    <row r="216" spans="1:40" s="234" customFormat="1" ht="20.25">
      <c r="A216" s="445"/>
      <c r="B216" s="323"/>
      <c r="C216" s="323"/>
      <c r="D216" s="1078"/>
      <c r="E216" s="457"/>
      <c r="F216" s="458"/>
      <c r="G216" s="458"/>
      <c r="H216" s="459"/>
      <c r="I216" s="459"/>
      <c r="J216" s="458"/>
      <c r="K216" s="1085"/>
      <c r="L216" s="486"/>
      <c r="M216" s="355"/>
      <c r="N216" s="343"/>
      <c r="O216" s="298"/>
      <c r="P216" s="298"/>
      <c r="Q216" s="298"/>
      <c r="R216" s="298"/>
      <c r="S216" s="298"/>
      <c r="T216" s="298"/>
      <c r="U216" s="367"/>
      <c r="V216" s="355"/>
      <c r="W216" s="325"/>
      <c r="X216" s="297"/>
      <c r="Y216" s="297"/>
      <c r="Z216" s="298"/>
      <c r="AA216" s="298"/>
      <c r="AB216" s="298"/>
      <c r="AC216" s="297"/>
      <c r="AD216" s="375"/>
      <c r="AE216" s="355"/>
      <c r="AF216" s="376">
        <f t="shared" si="57"/>
        <v>0</v>
      </c>
      <c r="AG216" s="377"/>
      <c r="AH216" s="390"/>
      <c r="AI216" s="391">
        <f t="shared" si="58"/>
        <v>0</v>
      </c>
      <c r="AJ216" s="412"/>
      <c r="AK216" s="413">
        <f t="shared" ref="AK216:AK218" si="59">AI216+AJ216</f>
        <v>0</v>
      </c>
      <c r="AL216" s="403"/>
      <c r="AM216" s="403"/>
      <c r="AN216" s="403"/>
    </row>
    <row r="217" spans="1:40" s="276" customFormat="1" ht="20.25">
      <c r="A217" s="445"/>
      <c r="B217" s="323"/>
      <c r="C217" s="323"/>
      <c r="D217" s="1078"/>
      <c r="E217" s="457"/>
      <c r="F217" s="458"/>
      <c r="G217" s="458"/>
      <c r="H217" s="459"/>
      <c r="I217" s="459"/>
      <c r="J217" s="458"/>
      <c r="K217" s="1085"/>
      <c r="L217" s="486"/>
      <c r="M217" s="355"/>
      <c r="N217" s="343"/>
      <c r="O217" s="298"/>
      <c r="P217" s="298"/>
      <c r="Q217" s="298"/>
      <c r="R217" s="298"/>
      <c r="S217" s="298"/>
      <c r="T217" s="298"/>
      <c r="U217" s="367"/>
      <c r="V217" s="355"/>
      <c r="W217" s="325"/>
      <c r="X217" s="297"/>
      <c r="Y217" s="297"/>
      <c r="Z217" s="298"/>
      <c r="AA217" s="298"/>
      <c r="AB217" s="298"/>
      <c r="AC217" s="297"/>
      <c r="AD217" s="375"/>
      <c r="AE217" s="355"/>
      <c r="AF217" s="376">
        <f t="shared" si="57"/>
        <v>0</v>
      </c>
      <c r="AG217" s="377"/>
      <c r="AH217" s="390"/>
      <c r="AI217" s="391">
        <f t="shared" si="58"/>
        <v>0</v>
      </c>
      <c r="AJ217" s="412"/>
      <c r="AK217" s="413">
        <f t="shared" si="59"/>
        <v>0</v>
      </c>
      <c r="AL217" s="282"/>
      <c r="AM217" s="282"/>
      <c r="AN217" s="282"/>
    </row>
    <row r="218" spans="1:40" s="234" customFormat="1" ht="21" thickBot="1">
      <c r="A218" s="322"/>
      <c r="B218" s="323"/>
      <c r="C218" s="323"/>
      <c r="D218" s="1078"/>
      <c r="E218" s="325"/>
      <c r="F218" s="297"/>
      <c r="G218" s="297"/>
      <c r="H218" s="298"/>
      <c r="I218" s="298"/>
      <c r="J218" s="297"/>
      <c r="K218" s="1086"/>
      <c r="L218" s="344"/>
      <c r="M218" s="355"/>
      <c r="N218" s="343"/>
      <c r="O218" s="298"/>
      <c r="P218" s="298"/>
      <c r="Q218" s="298"/>
      <c r="R218" s="298"/>
      <c r="S218" s="298"/>
      <c r="T218" s="298"/>
      <c r="U218" s="367"/>
      <c r="V218" s="355"/>
      <c r="W218" s="325"/>
      <c r="X218" s="297"/>
      <c r="Y218" s="297"/>
      <c r="Z218" s="298"/>
      <c r="AA218" s="298"/>
      <c r="AB218" s="298"/>
      <c r="AC218" s="297"/>
      <c r="AD218" s="375"/>
      <c r="AE218" s="355"/>
      <c r="AF218" s="377">
        <f t="shared" si="57"/>
        <v>0</v>
      </c>
      <c r="AG218" s="377"/>
      <c r="AH218" s="390"/>
      <c r="AI218" s="507">
        <f t="shared" si="58"/>
        <v>0</v>
      </c>
      <c r="AJ218" s="412"/>
      <c r="AK218" s="508">
        <f t="shared" si="59"/>
        <v>0</v>
      </c>
      <c r="AL218" s="283"/>
      <c r="AM218" s="283"/>
      <c r="AN218" s="283"/>
    </row>
    <row r="219" spans="1:40" s="276" customFormat="1" ht="21" thickBot="1">
      <c r="A219" s="436"/>
      <c r="B219" s="437"/>
      <c r="C219" s="437"/>
      <c r="D219" s="1093"/>
      <c r="E219" s="439">
        <f>SUM(E215:E218)</f>
        <v>0</v>
      </c>
      <c r="F219" s="439">
        <f t="shared" ref="F219:L219" si="60">SUM(F215:F218)</f>
        <v>0</v>
      </c>
      <c r="G219" s="439">
        <f t="shared" si="60"/>
        <v>0</v>
      </c>
      <c r="H219" s="439">
        <f t="shared" si="60"/>
        <v>0</v>
      </c>
      <c r="I219" s="439">
        <f t="shared" si="60"/>
        <v>0</v>
      </c>
      <c r="J219" s="439">
        <f t="shared" si="60"/>
        <v>0</v>
      </c>
      <c r="K219" s="439">
        <f t="shared" si="60"/>
        <v>0</v>
      </c>
      <c r="L219" s="439">
        <f t="shared" si="60"/>
        <v>0</v>
      </c>
      <c r="M219" s="482"/>
      <c r="N219" s="439">
        <f>SUM(N215:N218)</f>
        <v>0</v>
      </c>
      <c r="O219" s="439">
        <f t="shared" ref="O219:U219" si="61">SUM(O215:O218)</f>
        <v>0</v>
      </c>
      <c r="P219" s="439">
        <f t="shared" si="61"/>
        <v>0</v>
      </c>
      <c r="Q219" s="439">
        <f t="shared" si="61"/>
        <v>0</v>
      </c>
      <c r="R219" s="439">
        <f t="shared" si="61"/>
        <v>0</v>
      </c>
      <c r="S219" s="439">
        <f t="shared" si="61"/>
        <v>0</v>
      </c>
      <c r="T219" s="439">
        <f t="shared" si="61"/>
        <v>0</v>
      </c>
      <c r="U219" s="439">
        <f t="shared" si="61"/>
        <v>0</v>
      </c>
      <c r="V219" s="482"/>
      <c r="W219" s="439">
        <f>SUM(W215:W218)</f>
        <v>0</v>
      </c>
      <c r="X219" s="439">
        <f t="shared" ref="X219:AD219" si="62">SUM(X215:X218)</f>
        <v>0</v>
      </c>
      <c r="Y219" s="439">
        <f t="shared" si="62"/>
        <v>0</v>
      </c>
      <c r="Z219" s="439">
        <f t="shared" si="62"/>
        <v>0</v>
      </c>
      <c r="AA219" s="439">
        <f t="shared" si="62"/>
        <v>0</v>
      </c>
      <c r="AB219" s="439">
        <f t="shared" si="62"/>
        <v>0</v>
      </c>
      <c r="AC219" s="439">
        <f t="shared" si="62"/>
        <v>0</v>
      </c>
      <c r="AD219" s="481">
        <f t="shared" si="62"/>
        <v>0</v>
      </c>
      <c r="AE219" s="482"/>
      <c r="AF219" s="494">
        <f>SUM(AF215:AF218)</f>
        <v>0</v>
      </c>
      <c r="AG219" s="494">
        <f>SUM(AG215:AG218)</f>
        <v>0</v>
      </c>
      <c r="AH219" s="509"/>
      <c r="AI219" s="514">
        <f>SUM(AI215:AI218)</f>
        <v>0</v>
      </c>
      <c r="AJ219" s="494">
        <f>SUM(AJ215:AJ218)</f>
        <v>0</v>
      </c>
      <c r="AK219" s="515">
        <f>SUM(AK215:AK218)</f>
        <v>0</v>
      </c>
      <c r="AL219" s="283"/>
      <c r="AM219" s="283"/>
      <c r="AN219" s="283"/>
    </row>
    <row r="220" spans="1:40" s="234" customFormat="1" ht="19.5" thickBot="1">
      <c r="A220" s="425"/>
      <c r="B220" s="426"/>
      <c r="C220" s="426"/>
      <c r="D220" s="427"/>
      <c r="E220" s="428"/>
      <c r="F220" s="428"/>
      <c r="G220" s="428"/>
      <c r="H220" s="428"/>
      <c r="I220" s="428"/>
      <c r="J220" s="428"/>
      <c r="K220" s="428"/>
      <c r="L220" s="428"/>
      <c r="M220" s="478"/>
      <c r="N220" s="479"/>
      <c r="O220" s="479"/>
      <c r="P220" s="479"/>
      <c r="Q220" s="479"/>
      <c r="R220" s="479"/>
      <c r="S220" s="479"/>
      <c r="T220" s="479"/>
      <c r="U220" s="479"/>
      <c r="V220" s="478"/>
      <c r="W220" s="479"/>
      <c r="X220" s="479"/>
      <c r="Y220" s="479"/>
      <c r="Z220" s="479"/>
      <c r="AA220" s="479"/>
      <c r="AB220" s="479"/>
      <c r="AC220" s="479"/>
      <c r="AD220" s="479"/>
      <c r="AE220" s="478"/>
      <c r="AF220" s="479"/>
      <c r="AG220" s="479"/>
      <c r="AH220" s="479"/>
      <c r="AI220" s="479"/>
      <c r="AJ220" s="479"/>
      <c r="AK220" s="506"/>
      <c r="AL220" s="283"/>
      <c r="AM220" s="283"/>
      <c r="AN220" s="283"/>
    </row>
    <row r="221" spans="1:40" s="276" customFormat="1" ht="16.5" thickBot="1">
      <c r="A221" s="446" t="s">
        <v>140</v>
      </c>
      <c r="B221" s="287" t="s">
        <v>68</v>
      </c>
      <c r="C221" s="447" t="s">
        <v>69</v>
      </c>
      <c r="D221" s="1095" t="s">
        <v>70</v>
      </c>
      <c r="E221" s="743" t="s">
        <v>88</v>
      </c>
      <c r="F221" s="744" t="s">
        <v>407</v>
      </c>
      <c r="G221" s="744" t="s">
        <v>53</v>
      </c>
      <c r="H221" s="744"/>
      <c r="I221" s="744" t="s">
        <v>222</v>
      </c>
      <c r="J221" s="744" t="s">
        <v>149</v>
      </c>
      <c r="K221" s="744" t="s">
        <v>206</v>
      </c>
      <c r="L221" s="783" t="s">
        <v>124</v>
      </c>
      <c r="M221" s="1089"/>
      <c r="N221" s="80" t="s">
        <v>96</v>
      </c>
      <c r="O221" s="49" t="s">
        <v>407</v>
      </c>
      <c r="P221" s="49" t="s">
        <v>53</v>
      </c>
      <c r="Q221" s="49" t="s">
        <v>86</v>
      </c>
      <c r="R221" s="49" t="s">
        <v>94</v>
      </c>
      <c r="S221" s="49" t="s">
        <v>85</v>
      </c>
      <c r="T221" s="126" t="s">
        <v>92</v>
      </c>
      <c r="U221" s="171" t="s">
        <v>432</v>
      </c>
      <c r="V221" s="79"/>
      <c r="W221" s="80" t="s">
        <v>88</v>
      </c>
      <c r="X221" s="49"/>
      <c r="Y221" s="49" t="s">
        <v>206</v>
      </c>
      <c r="Z221" s="49"/>
      <c r="AA221" s="49" t="s">
        <v>222</v>
      </c>
      <c r="AB221" s="49"/>
      <c r="AC221" s="126" t="s">
        <v>76</v>
      </c>
      <c r="AD221" s="171"/>
      <c r="AE221" s="79"/>
      <c r="AF221" s="371" t="s">
        <v>172</v>
      </c>
      <c r="AG221" s="498" t="s">
        <v>80</v>
      </c>
      <c r="AH221" s="385"/>
      <c r="AI221" s="386" t="s">
        <v>106</v>
      </c>
      <c r="AJ221" s="385" t="s">
        <v>173</v>
      </c>
      <c r="AK221" s="371" t="s">
        <v>108</v>
      </c>
      <c r="AL221" s="283"/>
      <c r="AM221" s="283"/>
      <c r="AN221" s="283"/>
    </row>
    <row r="222" spans="1:40" s="234" customFormat="1" ht="20.25">
      <c r="A222" s="449" t="s">
        <v>180</v>
      </c>
      <c r="B222" s="450"/>
      <c r="C222" s="450"/>
      <c r="D222" s="451"/>
      <c r="E222" s="1067"/>
      <c r="F222" s="1068"/>
      <c r="G222" s="1068"/>
      <c r="H222" s="1069"/>
      <c r="I222" s="1069"/>
      <c r="J222" s="1068"/>
      <c r="K222" s="1101"/>
      <c r="L222" s="1102"/>
      <c r="M222" s="355"/>
      <c r="N222" s="343"/>
      <c r="O222" s="298"/>
      <c r="P222" s="298"/>
      <c r="Q222" s="298"/>
      <c r="R222" s="298"/>
      <c r="S222" s="298"/>
      <c r="T222" s="298"/>
      <c r="U222" s="367"/>
      <c r="V222" s="355"/>
      <c r="W222" s="325"/>
      <c r="X222" s="297"/>
      <c r="Y222" s="297"/>
      <c r="Z222" s="298"/>
      <c r="AA222" s="298"/>
      <c r="AB222" s="298"/>
      <c r="AC222" s="297"/>
      <c r="AD222" s="375"/>
      <c r="AE222" s="355"/>
      <c r="AF222" s="376">
        <f t="shared" ref="AF222:AF227" si="63">SUM(E222:AD222)</f>
        <v>0</v>
      </c>
      <c r="AG222" s="499"/>
      <c r="AH222" s="516"/>
      <c r="AI222" s="391">
        <f t="shared" ref="AI222:AI227" si="64">AF222+AG222</f>
        <v>0</v>
      </c>
      <c r="AJ222" s="412"/>
      <c r="AK222" s="413">
        <f>AI222+AJ222</f>
        <v>0</v>
      </c>
      <c r="AL222" s="283"/>
      <c r="AM222" s="283"/>
      <c r="AN222" s="283"/>
    </row>
    <row r="223" spans="1:40" s="234" customFormat="1" ht="20.25">
      <c r="A223" s="445"/>
      <c r="B223" s="455"/>
      <c r="C223" s="455"/>
      <c r="D223" s="456"/>
      <c r="E223" s="457"/>
      <c r="F223" s="458"/>
      <c r="G223" s="458"/>
      <c r="H223" s="459"/>
      <c r="I223" s="459"/>
      <c r="J223" s="458"/>
      <c r="K223" s="1085"/>
      <c r="L223" s="486"/>
      <c r="M223" s="355"/>
      <c r="N223" s="343"/>
      <c r="O223" s="298"/>
      <c r="P223" s="298"/>
      <c r="Q223" s="298"/>
      <c r="R223" s="298"/>
      <c r="S223" s="298"/>
      <c r="T223" s="298"/>
      <c r="U223" s="367"/>
      <c r="V223" s="355"/>
      <c r="W223" s="325"/>
      <c r="X223" s="297"/>
      <c r="Y223" s="297"/>
      <c r="Z223" s="298"/>
      <c r="AA223" s="298"/>
      <c r="AB223" s="298"/>
      <c r="AC223" s="297"/>
      <c r="AD223" s="375"/>
      <c r="AE223" s="355"/>
      <c r="AF223" s="376">
        <f t="shared" si="63"/>
        <v>0</v>
      </c>
      <c r="AG223" s="500"/>
      <c r="AH223" s="516"/>
      <c r="AI223" s="391">
        <f t="shared" si="64"/>
        <v>0</v>
      </c>
      <c r="AJ223" s="412"/>
      <c r="AK223" s="413">
        <f t="shared" ref="AK223:AK227" si="65">AI223+AJ223</f>
        <v>0</v>
      </c>
      <c r="AL223" s="283"/>
      <c r="AM223" s="283"/>
      <c r="AN223" s="283"/>
    </row>
    <row r="224" spans="1:40" s="276" customFormat="1" ht="20.25">
      <c r="A224" s="442"/>
      <c r="B224" s="455"/>
      <c r="C224" s="455"/>
      <c r="D224" s="456"/>
      <c r="E224" s="457"/>
      <c r="F224" s="458"/>
      <c r="G224" s="458"/>
      <c r="H224" s="459"/>
      <c r="I224" s="459"/>
      <c r="J224" s="458"/>
      <c r="K224" s="1085"/>
      <c r="L224" s="486"/>
      <c r="M224" s="483"/>
      <c r="N224" s="484"/>
      <c r="O224" s="435"/>
      <c r="P224" s="435"/>
      <c r="Q224" s="435"/>
      <c r="R224" s="435"/>
      <c r="S224" s="435"/>
      <c r="T224" s="435"/>
      <c r="U224" s="492"/>
      <c r="V224" s="483"/>
      <c r="W224" s="433"/>
      <c r="X224" s="434"/>
      <c r="Y224" s="434"/>
      <c r="Z224" s="435"/>
      <c r="AA224" s="435"/>
      <c r="AB224" s="435"/>
      <c r="AC224" s="434"/>
      <c r="AD224" s="495"/>
      <c r="AE224" s="483"/>
      <c r="AF224" s="496">
        <f t="shared" si="63"/>
        <v>0</v>
      </c>
      <c r="AG224" s="500"/>
      <c r="AH224" s="516"/>
      <c r="AI224" s="511">
        <f t="shared" si="64"/>
        <v>0</v>
      </c>
      <c r="AJ224" s="412"/>
      <c r="AK224" s="513">
        <f t="shared" si="65"/>
        <v>0</v>
      </c>
      <c r="AL224" s="283"/>
      <c r="AM224" s="283"/>
      <c r="AN224" s="283"/>
    </row>
    <row r="225" spans="1:40" s="234" customFormat="1" ht="20.25">
      <c r="A225" s="445"/>
      <c r="B225" s="455"/>
      <c r="C225" s="455"/>
      <c r="D225" s="456"/>
      <c r="E225" s="457"/>
      <c r="F225" s="458"/>
      <c r="G225" s="458"/>
      <c r="H225" s="459"/>
      <c r="I225" s="459"/>
      <c r="J225" s="458"/>
      <c r="K225" s="1085"/>
      <c r="L225" s="486"/>
      <c r="M225" s="355"/>
      <c r="N225" s="343"/>
      <c r="O225" s="298"/>
      <c r="P225" s="298"/>
      <c r="Q225" s="298"/>
      <c r="R225" s="298"/>
      <c r="S225" s="298"/>
      <c r="T225" s="298"/>
      <c r="U225" s="367"/>
      <c r="V225" s="355"/>
      <c r="W225" s="325"/>
      <c r="X225" s="297"/>
      <c r="Y225" s="297"/>
      <c r="Z225" s="298"/>
      <c r="AA225" s="298"/>
      <c r="AB225" s="298"/>
      <c r="AC225" s="297"/>
      <c r="AD225" s="375"/>
      <c r="AE225" s="355"/>
      <c r="AF225" s="376">
        <f t="shared" si="63"/>
        <v>0</v>
      </c>
      <c r="AG225" s="500"/>
      <c r="AH225" s="516"/>
      <c r="AI225" s="391">
        <f t="shared" si="64"/>
        <v>0</v>
      </c>
      <c r="AJ225" s="412"/>
      <c r="AK225" s="413">
        <f t="shared" si="65"/>
        <v>0</v>
      </c>
      <c r="AL225" s="403"/>
      <c r="AM225" s="403"/>
      <c r="AN225" s="403"/>
    </row>
    <row r="226" spans="1:40" s="276" customFormat="1" ht="20.25">
      <c r="A226" s="445"/>
      <c r="B226" s="455"/>
      <c r="C226" s="455"/>
      <c r="D226" s="456"/>
      <c r="E226" s="457"/>
      <c r="F226" s="458"/>
      <c r="G226" s="458"/>
      <c r="H226" s="459"/>
      <c r="I226" s="459"/>
      <c r="J226" s="458"/>
      <c r="K226" s="1085"/>
      <c r="L226" s="486"/>
      <c r="M226" s="355"/>
      <c r="N226" s="343"/>
      <c r="O226" s="298"/>
      <c r="P226" s="298"/>
      <c r="Q226" s="298"/>
      <c r="R226" s="298"/>
      <c r="S226" s="298"/>
      <c r="T226" s="298"/>
      <c r="U226" s="367"/>
      <c r="V226" s="355"/>
      <c r="W226" s="325"/>
      <c r="X226" s="297"/>
      <c r="Y226" s="297"/>
      <c r="Z226" s="298"/>
      <c r="AA226" s="298"/>
      <c r="AB226" s="298"/>
      <c r="AC226" s="297"/>
      <c r="AD226" s="375"/>
      <c r="AE226" s="355"/>
      <c r="AF226" s="376">
        <f t="shared" si="63"/>
        <v>0</v>
      </c>
      <c r="AG226" s="500"/>
      <c r="AH226" s="516"/>
      <c r="AI226" s="391">
        <f t="shared" si="64"/>
        <v>0</v>
      </c>
      <c r="AJ226" s="412"/>
      <c r="AK226" s="413">
        <f t="shared" si="65"/>
        <v>0</v>
      </c>
      <c r="AL226" s="282"/>
      <c r="AM226" s="282"/>
      <c r="AN226" s="282"/>
    </row>
    <row r="227" spans="1:40" s="234" customFormat="1" ht="21" thickBot="1">
      <c r="A227" s="460"/>
      <c r="B227" s="461"/>
      <c r="C227" s="461"/>
      <c r="D227" s="462"/>
      <c r="E227" s="325"/>
      <c r="F227" s="297"/>
      <c r="G227" s="297"/>
      <c r="H227" s="298"/>
      <c r="I227" s="298"/>
      <c r="J227" s="297"/>
      <c r="K227" s="1086"/>
      <c r="L227" s="344"/>
      <c r="M227" s="355"/>
      <c r="N227" s="343"/>
      <c r="O227" s="298"/>
      <c r="P227" s="298"/>
      <c r="Q227" s="298"/>
      <c r="R227" s="298"/>
      <c r="S227" s="298"/>
      <c r="T227" s="298"/>
      <c r="U227" s="367"/>
      <c r="V227" s="355"/>
      <c r="W227" s="325"/>
      <c r="X227" s="297"/>
      <c r="Y227" s="297"/>
      <c r="Z227" s="298"/>
      <c r="AA227" s="298"/>
      <c r="AB227" s="298"/>
      <c r="AC227" s="297"/>
      <c r="AD227" s="375"/>
      <c r="AE227" s="355"/>
      <c r="AF227" s="377">
        <f t="shared" si="63"/>
        <v>0</v>
      </c>
      <c r="AG227" s="501"/>
      <c r="AH227" s="516"/>
      <c r="AI227" s="507">
        <f t="shared" si="64"/>
        <v>0</v>
      </c>
      <c r="AJ227" s="412"/>
      <c r="AK227" s="508">
        <f t="shared" si="65"/>
        <v>0</v>
      </c>
      <c r="AL227" s="283"/>
      <c r="AM227" s="283"/>
      <c r="AN227" s="283"/>
    </row>
    <row r="228" spans="1:40" s="276" customFormat="1" ht="21" thickBot="1">
      <c r="A228" s="466"/>
      <c r="B228" s="467"/>
      <c r="C228" s="467"/>
      <c r="D228" s="1096"/>
      <c r="E228" s="439">
        <f>SUM(E222:E227)</f>
        <v>0</v>
      </c>
      <c r="F228" s="439">
        <f t="shared" ref="F228:AK228" si="66">SUM(F222:F227)</f>
        <v>0</v>
      </c>
      <c r="G228" s="439">
        <f t="shared" si="66"/>
        <v>0</v>
      </c>
      <c r="H228" s="439">
        <f t="shared" si="66"/>
        <v>0</v>
      </c>
      <c r="I228" s="439">
        <f t="shared" si="66"/>
        <v>0</v>
      </c>
      <c r="J228" s="439">
        <f t="shared" si="66"/>
        <v>0</v>
      </c>
      <c r="K228" s="439">
        <f t="shared" si="66"/>
        <v>0</v>
      </c>
      <c r="L228" s="439">
        <f t="shared" si="66"/>
        <v>0</v>
      </c>
      <c r="M228" s="439"/>
      <c r="N228" s="439">
        <f t="shared" si="66"/>
        <v>0</v>
      </c>
      <c r="O228" s="439">
        <f t="shared" si="66"/>
        <v>0</v>
      </c>
      <c r="P228" s="439">
        <f t="shared" si="66"/>
        <v>0</v>
      </c>
      <c r="Q228" s="439">
        <f t="shared" si="66"/>
        <v>0</v>
      </c>
      <c r="R228" s="439">
        <f t="shared" si="66"/>
        <v>0</v>
      </c>
      <c r="S228" s="439">
        <f t="shared" si="66"/>
        <v>0</v>
      </c>
      <c r="T228" s="439">
        <f t="shared" si="66"/>
        <v>0</v>
      </c>
      <c r="U228" s="439">
        <f t="shared" si="66"/>
        <v>0</v>
      </c>
      <c r="V228" s="439"/>
      <c r="W228" s="439">
        <f t="shared" si="66"/>
        <v>0</v>
      </c>
      <c r="X228" s="439">
        <f t="shared" si="66"/>
        <v>0</v>
      </c>
      <c r="Y228" s="439">
        <f t="shared" si="66"/>
        <v>0</v>
      </c>
      <c r="Z228" s="439">
        <f t="shared" si="66"/>
        <v>0</v>
      </c>
      <c r="AA228" s="439">
        <f t="shared" si="66"/>
        <v>0</v>
      </c>
      <c r="AB228" s="439">
        <f t="shared" si="66"/>
        <v>0</v>
      </c>
      <c r="AC228" s="439">
        <f t="shared" si="66"/>
        <v>0</v>
      </c>
      <c r="AD228" s="439">
        <f t="shared" si="66"/>
        <v>0</v>
      </c>
      <c r="AE228" s="439"/>
      <c r="AF228" s="439">
        <f t="shared" si="66"/>
        <v>0</v>
      </c>
      <c r="AG228" s="439">
        <f t="shared" si="66"/>
        <v>0</v>
      </c>
      <c r="AH228" s="439">
        <f t="shared" si="66"/>
        <v>0</v>
      </c>
      <c r="AI228" s="439">
        <f t="shared" si="66"/>
        <v>0</v>
      </c>
      <c r="AJ228" s="439">
        <f t="shared" si="66"/>
        <v>0</v>
      </c>
      <c r="AK228" s="439">
        <f t="shared" si="66"/>
        <v>0</v>
      </c>
      <c r="AL228" s="283"/>
      <c r="AM228" s="283"/>
      <c r="AN228" s="283"/>
    </row>
    <row r="229" spans="1:40" s="234" customFormat="1" ht="19.5" thickBot="1">
      <c r="A229" s="425"/>
      <c r="B229" s="426"/>
      <c r="C229" s="426"/>
      <c r="D229" s="427"/>
      <c r="E229" s="428"/>
      <c r="F229" s="428"/>
      <c r="G229" s="428"/>
      <c r="H229" s="428"/>
      <c r="I229" s="428"/>
      <c r="J229" s="428"/>
      <c r="K229" s="428"/>
      <c r="L229" s="428"/>
      <c r="M229" s="478"/>
      <c r="N229" s="479"/>
      <c r="O229" s="479"/>
      <c r="P229" s="479"/>
      <c r="Q229" s="479"/>
      <c r="R229" s="479"/>
      <c r="S229" s="479"/>
      <c r="T229" s="479"/>
      <c r="U229" s="479"/>
      <c r="V229" s="478"/>
      <c r="W229" s="479"/>
      <c r="X229" s="479"/>
      <c r="Y229" s="479"/>
      <c r="Z229" s="479"/>
      <c r="AA229" s="479"/>
      <c r="AB229" s="479"/>
      <c r="AC229" s="479"/>
      <c r="AD229" s="479"/>
      <c r="AE229" s="478"/>
      <c r="AF229" s="479"/>
      <c r="AG229" s="479"/>
      <c r="AH229" s="479"/>
      <c r="AI229" s="479"/>
      <c r="AJ229" s="479"/>
      <c r="AK229" s="506"/>
      <c r="AL229" s="283"/>
      <c r="AM229" s="283"/>
      <c r="AN229" s="283"/>
    </row>
    <row r="230" spans="1:40" s="1063" customFormat="1" ht="18.75" thickBot="1">
      <c r="A230" s="441" t="s">
        <v>143</v>
      </c>
      <c r="B230" s="287" t="s">
        <v>68</v>
      </c>
      <c r="C230" s="287" t="s">
        <v>69</v>
      </c>
      <c r="D230" s="1073" t="s">
        <v>70</v>
      </c>
      <c r="E230" s="743" t="s">
        <v>88</v>
      </c>
      <c r="F230" s="744" t="s">
        <v>407</v>
      </c>
      <c r="G230" s="744" t="s">
        <v>53</v>
      </c>
      <c r="H230" s="744"/>
      <c r="I230" s="744" t="s">
        <v>222</v>
      </c>
      <c r="J230" s="744" t="s">
        <v>149</v>
      </c>
      <c r="K230" s="744" t="s">
        <v>206</v>
      </c>
      <c r="L230" s="783" t="s">
        <v>124</v>
      </c>
      <c r="M230" s="1089"/>
      <c r="N230" s="80" t="s">
        <v>96</v>
      </c>
      <c r="O230" s="49" t="s">
        <v>407</v>
      </c>
      <c r="P230" s="49" t="s">
        <v>53</v>
      </c>
      <c r="Q230" s="49" t="s">
        <v>86</v>
      </c>
      <c r="R230" s="49" t="s">
        <v>94</v>
      </c>
      <c r="S230" s="49" t="s">
        <v>85</v>
      </c>
      <c r="T230" s="126" t="s">
        <v>92</v>
      </c>
      <c r="U230" s="171" t="s">
        <v>432</v>
      </c>
      <c r="V230" s="79"/>
      <c r="W230" s="80" t="s">
        <v>88</v>
      </c>
      <c r="X230" s="49"/>
      <c r="Y230" s="49" t="s">
        <v>206</v>
      </c>
      <c r="Z230" s="49"/>
      <c r="AA230" s="49" t="s">
        <v>222</v>
      </c>
      <c r="AB230" s="49"/>
      <c r="AC230" s="126" t="s">
        <v>76</v>
      </c>
      <c r="AD230" s="171"/>
      <c r="AE230" s="79"/>
      <c r="AF230" s="371" t="s">
        <v>172</v>
      </c>
      <c r="AG230" s="372" t="s">
        <v>80</v>
      </c>
      <c r="AH230" s="385"/>
      <c r="AI230" s="386" t="s">
        <v>106</v>
      </c>
      <c r="AJ230" s="385" t="s">
        <v>173</v>
      </c>
      <c r="AK230" s="371" t="s">
        <v>108</v>
      </c>
      <c r="AL230" s="283"/>
      <c r="AM230" s="283"/>
      <c r="AN230" s="283"/>
    </row>
    <row r="231" spans="1:40" s="1063" customFormat="1" ht="20.25">
      <c r="A231" s="471" t="s">
        <v>181</v>
      </c>
      <c r="B231" s="472"/>
      <c r="C231" s="472"/>
      <c r="D231" s="1097"/>
      <c r="E231" s="1098"/>
      <c r="F231" s="1099"/>
      <c r="G231" s="1099"/>
      <c r="H231" s="1100"/>
      <c r="I231" s="1100"/>
      <c r="J231" s="1099"/>
      <c r="K231" s="1105"/>
      <c r="L231" s="1106"/>
      <c r="M231" s="490"/>
      <c r="N231" s="491"/>
      <c r="O231" s="476"/>
      <c r="P231" s="476"/>
      <c r="Q231" s="476"/>
      <c r="R231" s="476"/>
      <c r="S231" s="476"/>
      <c r="T231" s="476"/>
      <c r="U231" s="493"/>
      <c r="V231" s="490"/>
      <c r="W231" s="474"/>
      <c r="X231" s="475"/>
      <c r="Y231" s="475"/>
      <c r="Z231" s="476"/>
      <c r="AA231" s="476"/>
      <c r="AB231" s="476"/>
      <c r="AC231" s="475"/>
      <c r="AD231" s="503"/>
      <c r="AE231" s="490"/>
      <c r="AF231" s="504">
        <f t="shared" ref="AF231:AF235" si="67">SUM(E231:AD231)</f>
        <v>0</v>
      </c>
      <c r="AG231" s="505"/>
      <c r="AH231" s="518"/>
      <c r="AI231" s="519">
        <f t="shared" ref="AI231:AI235" si="68">AF231+AG231</f>
        <v>0</v>
      </c>
      <c r="AJ231" s="520"/>
      <c r="AK231" s="521">
        <f>AI231+AJ231</f>
        <v>0</v>
      </c>
      <c r="AL231" s="283"/>
      <c r="AM231" s="283"/>
      <c r="AN231" s="283"/>
    </row>
    <row r="232" spans="1:40" s="1063" customFormat="1" ht="20.25">
      <c r="A232" s="445" t="s">
        <v>182</v>
      </c>
      <c r="B232" s="323"/>
      <c r="C232" s="323"/>
      <c r="D232" s="324"/>
      <c r="E232" s="457"/>
      <c r="F232" s="458"/>
      <c r="G232" s="458"/>
      <c r="H232" s="459"/>
      <c r="I232" s="459"/>
      <c r="J232" s="458"/>
      <c r="K232" s="1085"/>
      <c r="L232" s="1103"/>
      <c r="M232" s="355"/>
      <c r="N232" s="343"/>
      <c r="O232" s="298"/>
      <c r="P232" s="298"/>
      <c r="Q232" s="298"/>
      <c r="R232" s="298"/>
      <c r="S232" s="298"/>
      <c r="T232" s="298"/>
      <c r="U232" s="367"/>
      <c r="V232" s="355"/>
      <c r="W232" s="325"/>
      <c r="X232" s="297"/>
      <c r="Y232" s="297"/>
      <c r="Z232" s="298"/>
      <c r="AA232" s="298"/>
      <c r="AB232" s="298"/>
      <c r="AC232" s="297"/>
      <c r="AD232" s="375"/>
      <c r="AE232" s="355"/>
      <c r="AF232" s="376">
        <f t="shared" si="67"/>
        <v>0</v>
      </c>
      <c r="AG232" s="377"/>
      <c r="AH232" s="390"/>
      <c r="AI232" s="391">
        <f t="shared" si="68"/>
        <v>0</v>
      </c>
      <c r="AJ232" s="412"/>
      <c r="AK232" s="413">
        <f t="shared" ref="AK232:AK235" si="69">AI232+AJ232</f>
        <v>0</v>
      </c>
      <c r="AL232" s="283"/>
      <c r="AM232" s="283"/>
      <c r="AN232" s="283"/>
    </row>
    <row r="233" spans="1:40" s="1063" customFormat="1" ht="20.25">
      <c r="A233" s="445"/>
      <c r="B233" s="323"/>
      <c r="C233" s="323"/>
      <c r="D233" s="1078"/>
      <c r="E233" s="457"/>
      <c r="F233" s="458"/>
      <c r="G233" s="458"/>
      <c r="H233" s="459"/>
      <c r="I233" s="459"/>
      <c r="J233" s="458"/>
      <c r="K233" s="1085"/>
      <c r="L233" s="486"/>
      <c r="M233" s="355"/>
      <c r="N233" s="343"/>
      <c r="O233" s="298"/>
      <c r="P233" s="298"/>
      <c r="Q233" s="298"/>
      <c r="R233" s="298"/>
      <c r="S233" s="298"/>
      <c r="T233" s="298"/>
      <c r="U233" s="367"/>
      <c r="V233" s="355"/>
      <c r="W233" s="325"/>
      <c r="X233" s="297"/>
      <c r="Y233" s="297"/>
      <c r="Z233" s="298"/>
      <c r="AA233" s="298"/>
      <c r="AB233" s="298"/>
      <c r="AC233" s="297"/>
      <c r="AD233" s="375"/>
      <c r="AE233" s="355"/>
      <c r="AF233" s="376">
        <f t="shared" si="67"/>
        <v>0</v>
      </c>
      <c r="AG233" s="377"/>
      <c r="AH233" s="390"/>
      <c r="AI233" s="391">
        <f t="shared" si="68"/>
        <v>0</v>
      </c>
      <c r="AJ233" s="412"/>
      <c r="AK233" s="413">
        <f t="shared" si="69"/>
        <v>0</v>
      </c>
      <c r="AL233" s="403"/>
      <c r="AM233" s="403"/>
      <c r="AN233" s="403"/>
    </row>
    <row r="234" spans="1:40" s="1063" customFormat="1" ht="20.25">
      <c r="A234" s="445"/>
      <c r="B234" s="323"/>
      <c r="C234" s="323"/>
      <c r="D234" s="1078"/>
      <c r="E234" s="457"/>
      <c r="F234" s="458"/>
      <c r="G234" s="458"/>
      <c r="H234" s="459"/>
      <c r="I234" s="459"/>
      <c r="J234" s="458"/>
      <c r="K234" s="1085"/>
      <c r="L234" s="486"/>
      <c r="M234" s="355"/>
      <c r="N234" s="343"/>
      <c r="O234" s="298"/>
      <c r="P234" s="298"/>
      <c r="Q234" s="298"/>
      <c r="R234" s="298"/>
      <c r="S234" s="298"/>
      <c r="T234" s="298"/>
      <c r="U234" s="367"/>
      <c r="V234" s="355"/>
      <c r="W234" s="325"/>
      <c r="X234" s="297"/>
      <c r="Y234" s="297"/>
      <c r="Z234" s="298"/>
      <c r="AA234" s="298"/>
      <c r="AB234" s="298"/>
      <c r="AC234" s="297"/>
      <c r="AD234" s="375"/>
      <c r="AE234" s="355"/>
      <c r="AF234" s="376">
        <f t="shared" si="67"/>
        <v>0</v>
      </c>
      <c r="AG234" s="377"/>
      <c r="AH234" s="390"/>
      <c r="AI234" s="391">
        <f t="shared" si="68"/>
        <v>0</v>
      </c>
      <c r="AJ234" s="412"/>
      <c r="AK234" s="413">
        <f t="shared" si="69"/>
        <v>0</v>
      </c>
      <c r="AL234"/>
      <c r="AM234"/>
      <c r="AN234"/>
    </row>
    <row r="235" spans="1:40" s="1063" customFormat="1" ht="21" thickBot="1">
      <c r="A235" s="322"/>
      <c r="B235" s="323"/>
      <c r="C235" s="323"/>
      <c r="D235" s="1078"/>
      <c r="E235" s="325"/>
      <c r="F235" s="297"/>
      <c r="G235" s="297"/>
      <c r="H235" s="298"/>
      <c r="I235" s="298"/>
      <c r="J235" s="297"/>
      <c r="K235" s="1086"/>
      <c r="L235" s="344"/>
      <c r="M235" s="355"/>
      <c r="N235" s="343"/>
      <c r="O235" s="298"/>
      <c r="P235" s="298"/>
      <c r="Q235" s="298"/>
      <c r="R235" s="298"/>
      <c r="S235" s="298"/>
      <c r="T235" s="298"/>
      <c r="U235" s="367"/>
      <c r="V235" s="355"/>
      <c r="W235" s="325"/>
      <c r="X235" s="297"/>
      <c r="Y235" s="297"/>
      <c r="Z235" s="298"/>
      <c r="AA235" s="298"/>
      <c r="AB235" s="298"/>
      <c r="AC235" s="297"/>
      <c r="AD235" s="375"/>
      <c r="AE235" s="355"/>
      <c r="AF235" s="377">
        <f t="shared" si="67"/>
        <v>0</v>
      </c>
      <c r="AG235" s="377"/>
      <c r="AH235" s="390"/>
      <c r="AI235" s="507">
        <f t="shared" si="68"/>
        <v>0</v>
      </c>
      <c r="AJ235" s="412"/>
      <c r="AK235" s="508">
        <f t="shared" si="69"/>
        <v>0</v>
      </c>
      <c r="AL235"/>
      <c r="AM235"/>
      <c r="AN235"/>
    </row>
    <row r="236" spans="1:40" ht="21" thickBot="1">
      <c r="A236" s="436"/>
      <c r="B236" s="437"/>
      <c r="C236" s="437"/>
      <c r="D236" s="1093"/>
      <c r="E236" s="439">
        <f>SUM(E231:E235)</f>
        <v>0</v>
      </c>
      <c r="F236" s="440">
        <f t="shared" ref="F236:L236" si="70">SUM(F231:F235)</f>
        <v>0</v>
      </c>
      <c r="G236" s="440">
        <f t="shared" si="70"/>
        <v>0</v>
      </c>
      <c r="H236" s="440">
        <f t="shared" si="70"/>
        <v>0</v>
      </c>
      <c r="I236" s="440">
        <f t="shared" si="70"/>
        <v>0</v>
      </c>
      <c r="J236" s="440">
        <f t="shared" si="70"/>
        <v>0</v>
      </c>
      <c r="K236" s="1104">
        <f t="shared" si="70"/>
        <v>0</v>
      </c>
      <c r="L236" s="481">
        <f t="shared" si="70"/>
        <v>0</v>
      </c>
      <c r="M236" s="482"/>
      <c r="N236" s="439">
        <f t="shared" ref="N236:U236" si="71">SUM(N231:N235)</f>
        <v>0</v>
      </c>
      <c r="O236" s="440">
        <f t="shared" si="71"/>
        <v>0</v>
      </c>
      <c r="P236" s="440">
        <f t="shared" si="71"/>
        <v>0</v>
      </c>
      <c r="Q236" s="440">
        <f t="shared" si="71"/>
        <v>0</v>
      </c>
      <c r="R236" s="440">
        <f t="shared" si="71"/>
        <v>0</v>
      </c>
      <c r="S236" s="440">
        <f t="shared" si="71"/>
        <v>0</v>
      </c>
      <c r="T236" s="440">
        <f t="shared" si="71"/>
        <v>0</v>
      </c>
      <c r="U236" s="481">
        <f t="shared" si="71"/>
        <v>0</v>
      </c>
      <c r="V236" s="482"/>
      <c r="W236" s="439">
        <f t="shared" ref="W236:AD236" si="72">SUM(W231:W235)</f>
        <v>0</v>
      </c>
      <c r="X236" s="440">
        <f t="shared" si="72"/>
        <v>0</v>
      </c>
      <c r="Y236" s="440">
        <f t="shared" si="72"/>
        <v>0</v>
      </c>
      <c r="Z236" s="440">
        <f t="shared" si="72"/>
        <v>0</v>
      </c>
      <c r="AA236" s="440">
        <f t="shared" si="72"/>
        <v>0</v>
      </c>
      <c r="AB236" s="440">
        <f t="shared" si="72"/>
        <v>0</v>
      </c>
      <c r="AC236" s="440">
        <f t="shared" si="72"/>
        <v>0</v>
      </c>
      <c r="AD236" s="481">
        <f t="shared" si="72"/>
        <v>0</v>
      </c>
      <c r="AE236" s="482"/>
      <c r="AF236" s="494">
        <f>SUM(AF231:AF235)</f>
        <v>0</v>
      </c>
      <c r="AG236" s="494">
        <f>SUM(AG231:AG235)</f>
        <v>0</v>
      </c>
      <c r="AH236" s="509"/>
      <c r="AI236" s="514">
        <f>SUM(AI231:AI235)</f>
        <v>0</v>
      </c>
      <c r="AJ236" s="494">
        <f>SUM(AJ231:AJ235)</f>
        <v>0</v>
      </c>
      <c r="AK236" s="509">
        <f>SUM(AK231:AK235)</f>
        <v>0</v>
      </c>
      <c r="AL236" s="1"/>
      <c r="AM236" s="1"/>
      <c r="AN236" s="1"/>
    </row>
    <row r="237" spans="1:40" ht="19.5" thickBot="1">
      <c r="A237" s="522"/>
      <c r="B237" s="523"/>
      <c r="C237" s="523"/>
      <c r="D237" s="524"/>
      <c r="E237" s="743" t="s">
        <v>88</v>
      </c>
      <c r="F237" s="744" t="s">
        <v>407</v>
      </c>
      <c r="G237" s="744" t="s">
        <v>53</v>
      </c>
      <c r="H237" s="744" t="s">
        <v>170</v>
      </c>
      <c r="I237" s="744" t="s">
        <v>222</v>
      </c>
      <c r="J237" s="744" t="s">
        <v>149</v>
      </c>
      <c r="K237" s="744" t="s">
        <v>206</v>
      </c>
      <c r="L237" s="783" t="s">
        <v>124</v>
      </c>
      <c r="M237" s="1089"/>
      <c r="N237" s="80" t="s">
        <v>88</v>
      </c>
      <c r="O237" s="49" t="s">
        <v>407</v>
      </c>
      <c r="P237" s="49" t="s">
        <v>53</v>
      </c>
      <c r="Q237" s="49" t="s">
        <v>86</v>
      </c>
      <c r="R237" s="49" t="s">
        <v>94</v>
      </c>
      <c r="S237" s="49" t="s">
        <v>85</v>
      </c>
      <c r="T237" s="126" t="s">
        <v>123</v>
      </c>
      <c r="U237" s="171" t="s">
        <v>432</v>
      </c>
      <c r="V237" s="79"/>
      <c r="W237" s="80" t="s">
        <v>88</v>
      </c>
      <c r="X237" s="49"/>
      <c r="Y237" s="49" t="s">
        <v>206</v>
      </c>
      <c r="Z237" s="49"/>
      <c r="AA237" s="49" t="s">
        <v>222</v>
      </c>
      <c r="AB237" s="49"/>
      <c r="AC237" s="126"/>
      <c r="AD237" s="171"/>
      <c r="AE237" s="572"/>
      <c r="AF237" s="573"/>
      <c r="AG237" s="573"/>
      <c r="AH237" s="599"/>
      <c r="AI237" s="573"/>
      <c r="AJ237" s="573"/>
      <c r="AK237" s="600"/>
    </row>
    <row r="238" spans="1:40" s="284" customFormat="1" ht="21" thickBot="1">
      <c r="A238" s="526" t="s">
        <v>145</v>
      </c>
      <c r="B238" s="527"/>
      <c r="C238" s="527"/>
      <c r="D238" s="528"/>
      <c r="E238" s="665">
        <f t="shared" ref="E238:AD238" si="73">E4+E32+E68+E104+E137+E205+E212+E219+E228+E236+E170</f>
        <v>0</v>
      </c>
      <c r="F238" s="665">
        <f t="shared" si="73"/>
        <v>0</v>
      </c>
      <c r="G238" s="665">
        <f t="shared" si="73"/>
        <v>0</v>
      </c>
      <c r="H238" s="665">
        <f t="shared" si="73"/>
        <v>0</v>
      </c>
      <c r="I238" s="665">
        <f t="shared" si="73"/>
        <v>0</v>
      </c>
      <c r="J238" s="665">
        <f t="shared" si="73"/>
        <v>140</v>
      </c>
      <c r="K238" s="665">
        <f t="shared" si="73"/>
        <v>360</v>
      </c>
      <c r="L238" s="665">
        <f t="shared" si="73"/>
        <v>0</v>
      </c>
      <c r="M238" s="665">
        <f t="shared" si="73"/>
        <v>0</v>
      </c>
      <c r="N238" s="665">
        <f t="shared" si="73"/>
        <v>140</v>
      </c>
      <c r="O238" s="665">
        <f t="shared" si="73"/>
        <v>0</v>
      </c>
      <c r="P238" s="665">
        <f t="shared" si="73"/>
        <v>2860</v>
      </c>
      <c r="Q238" s="665">
        <f t="shared" si="73"/>
        <v>340</v>
      </c>
      <c r="R238" s="665">
        <f t="shared" si="73"/>
        <v>3500</v>
      </c>
      <c r="S238" s="665">
        <f t="shared" si="73"/>
        <v>0</v>
      </c>
      <c r="T238" s="665">
        <f t="shared" si="73"/>
        <v>0</v>
      </c>
      <c r="U238" s="665">
        <f t="shared" si="73"/>
        <v>760</v>
      </c>
      <c r="V238" s="665">
        <f t="shared" si="73"/>
        <v>0</v>
      </c>
      <c r="W238" s="665">
        <f t="shared" si="73"/>
        <v>2220</v>
      </c>
      <c r="X238" s="665">
        <f t="shared" si="73"/>
        <v>1200</v>
      </c>
      <c r="Y238" s="665">
        <f t="shared" si="73"/>
        <v>2360</v>
      </c>
      <c r="Z238" s="665">
        <f t="shared" si="73"/>
        <v>0</v>
      </c>
      <c r="AA238" s="665">
        <f t="shared" si="73"/>
        <v>2920</v>
      </c>
      <c r="AB238" s="665">
        <f t="shared" si="73"/>
        <v>20</v>
      </c>
      <c r="AC238" s="665">
        <f t="shared" si="73"/>
        <v>0</v>
      </c>
      <c r="AD238" s="665">
        <f t="shared" si="73"/>
        <v>0</v>
      </c>
      <c r="AE238" s="665"/>
      <c r="AF238" s="665">
        <f t="shared" ref="AF238:AK238" si="74">AF4+AF32+AF68+AF104+AF137+AF205+AF212+AF219+AF228+AF236+AF170</f>
        <v>16820</v>
      </c>
      <c r="AG238" s="665">
        <f t="shared" si="74"/>
        <v>50</v>
      </c>
      <c r="AH238" s="665">
        <f t="shared" si="74"/>
        <v>0</v>
      </c>
      <c r="AI238" s="665">
        <f t="shared" si="74"/>
        <v>16870</v>
      </c>
      <c r="AJ238" s="665">
        <f t="shared" si="74"/>
        <v>244</v>
      </c>
      <c r="AK238" s="665">
        <f t="shared" si="74"/>
        <v>17114</v>
      </c>
      <c r="AL238" s="276"/>
      <c r="AM238" s="276"/>
      <c r="AN238" s="276"/>
    </row>
    <row r="239" spans="1:40" s="282" customFormat="1" ht="21" thickBot="1">
      <c r="A239" s="530" t="s">
        <v>152</v>
      </c>
      <c r="B239" s="531"/>
      <c r="C239" s="531"/>
      <c r="D239" s="532"/>
      <c r="E239" s="529">
        <f>E238/20</f>
        <v>0</v>
      </c>
      <c r="F239" s="639">
        <f t="shared" ref="F239:N239" si="75">F238/20</f>
        <v>0</v>
      </c>
      <c r="G239" s="639">
        <f t="shared" si="75"/>
        <v>0</v>
      </c>
      <c r="H239" s="639">
        <f t="shared" si="75"/>
        <v>0</v>
      </c>
      <c r="I239" s="639">
        <f t="shared" si="75"/>
        <v>0</v>
      </c>
      <c r="J239" s="639">
        <f t="shared" si="75"/>
        <v>7</v>
      </c>
      <c r="K239" s="1122">
        <f t="shared" si="75"/>
        <v>18</v>
      </c>
      <c r="L239" s="1123">
        <f t="shared" si="75"/>
        <v>0</v>
      </c>
      <c r="M239" s="575"/>
      <c r="N239" s="586">
        <f t="shared" si="75"/>
        <v>7</v>
      </c>
      <c r="O239" s="577">
        <f t="shared" ref="O239:U239" si="76">O238/20</f>
        <v>0</v>
      </c>
      <c r="P239" s="577">
        <f t="shared" si="76"/>
        <v>143</v>
      </c>
      <c r="Q239" s="577">
        <f t="shared" si="76"/>
        <v>17</v>
      </c>
      <c r="R239" s="577">
        <f t="shared" si="76"/>
        <v>175</v>
      </c>
      <c r="S239" s="577">
        <f t="shared" si="76"/>
        <v>0</v>
      </c>
      <c r="T239" s="577">
        <f t="shared" si="76"/>
        <v>0</v>
      </c>
      <c r="U239" s="586">
        <f t="shared" si="76"/>
        <v>38</v>
      </c>
      <c r="V239" s="575"/>
      <c r="W239" s="576">
        <f>W238/20</f>
        <v>111</v>
      </c>
      <c r="X239" s="577">
        <f t="shared" ref="X239:AK239" si="77">X238/20</f>
        <v>60</v>
      </c>
      <c r="Y239" s="577">
        <f t="shared" si="77"/>
        <v>118</v>
      </c>
      <c r="Z239" s="577">
        <f t="shared" si="77"/>
        <v>0</v>
      </c>
      <c r="AA239" s="577">
        <f t="shared" si="77"/>
        <v>146</v>
      </c>
      <c r="AB239" s="577">
        <f t="shared" si="77"/>
        <v>1</v>
      </c>
      <c r="AC239" s="577">
        <f t="shared" si="77"/>
        <v>0</v>
      </c>
      <c r="AD239" s="586">
        <f t="shared" si="77"/>
        <v>0</v>
      </c>
      <c r="AE239" s="586"/>
      <c r="AF239" s="586">
        <f t="shared" si="77"/>
        <v>841</v>
      </c>
      <c r="AG239" s="586">
        <f>AG238/20</f>
        <v>2.5</v>
      </c>
      <c r="AH239" s="586">
        <f t="shared" si="77"/>
        <v>0</v>
      </c>
      <c r="AI239" s="586">
        <f t="shared" si="77"/>
        <v>843.5</v>
      </c>
      <c r="AJ239" s="586">
        <f t="shared" si="77"/>
        <v>12.2</v>
      </c>
      <c r="AK239" s="601">
        <f t="shared" si="77"/>
        <v>855.7</v>
      </c>
      <c r="AL239" s="276"/>
      <c r="AM239" s="276" t="s">
        <v>495</v>
      </c>
      <c r="AN239" s="276"/>
    </row>
    <row r="240" spans="1:40" s="283" customFormat="1" ht="24" thickBot="1">
      <c r="A240" s="3755" t="s">
        <v>147</v>
      </c>
      <c r="B240" s="3755"/>
      <c r="C240" s="3755"/>
      <c r="D240" s="3755"/>
      <c r="E240" s="3756"/>
      <c r="F240" s="3756"/>
      <c r="G240" s="3756"/>
      <c r="H240" s="3756"/>
      <c r="I240" s="3756"/>
      <c r="J240" s="3756"/>
      <c r="K240" s="3756"/>
      <c r="L240" s="3756"/>
      <c r="M240" s="3755"/>
      <c r="N240" s="3755"/>
      <c r="O240" s="3755"/>
      <c r="P240" s="3755"/>
      <c r="Q240" s="3755"/>
      <c r="R240" s="3755"/>
      <c r="S240" s="3755"/>
      <c r="T240" s="3755"/>
      <c r="U240" s="3755"/>
      <c r="V240" s="3755"/>
      <c r="W240" s="3755"/>
      <c r="X240" s="3755"/>
      <c r="Y240" s="3755"/>
      <c r="Z240" s="3755"/>
      <c r="AA240" s="3755"/>
      <c r="AB240" s="3755"/>
      <c r="AC240" s="3755"/>
      <c r="AD240" s="3755"/>
      <c r="AE240" s="3755"/>
      <c r="AF240" s="3755"/>
      <c r="AG240" s="3755"/>
      <c r="AH240" s="3755"/>
      <c r="AI240" s="3755"/>
      <c r="AJ240" s="3755"/>
      <c r="AK240" s="3755"/>
      <c r="AL240" s="276"/>
      <c r="AM240" s="276"/>
      <c r="AN240" s="276"/>
    </row>
    <row r="241" spans="1:40" s="283" customFormat="1" ht="24" thickBot="1">
      <c r="A241" s="3888" t="s">
        <v>4</v>
      </c>
      <c r="B241" s="3889"/>
      <c r="C241" s="3889"/>
      <c r="D241" s="3890"/>
      <c r="E241" s="3891" t="str">
        <f>E2</f>
        <v>401(Flower)</v>
      </c>
      <c r="F241" s="3892"/>
      <c r="G241" s="3892"/>
      <c r="H241" s="3892"/>
      <c r="I241" s="3892"/>
      <c r="J241" s="3892"/>
      <c r="K241" s="3892"/>
      <c r="L241" s="3904"/>
      <c r="M241" s="336"/>
      <c r="N241" s="3893" t="str">
        <f>N2</f>
        <v>402(Chattai)</v>
      </c>
      <c r="O241" s="3894"/>
      <c r="P241" s="3894"/>
      <c r="Q241" s="3894"/>
      <c r="R241" s="3894"/>
      <c r="S241" s="3894"/>
      <c r="T241" s="3894"/>
      <c r="U241" s="3895"/>
      <c r="V241" s="364"/>
      <c r="W241" s="3893" t="str">
        <f>W2</f>
        <v>403(WIFI)</v>
      </c>
      <c r="X241" s="3894"/>
      <c r="Y241" s="3894"/>
      <c r="Z241" s="3894"/>
      <c r="AA241" s="3894"/>
      <c r="AB241" s="3894"/>
      <c r="AC241" s="3894"/>
      <c r="AD241" s="3895"/>
      <c r="AE241" s="364"/>
      <c r="AF241" s="3893"/>
      <c r="AG241" s="3894"/>
      <c r="AH241" s="3894"/>
      <c r="AI241" s="3894"/>
      <c r="AJ241" s="3894"/>
      <c r="AK241" s="3895"/>
      <c r="AL241" s="234"/>
      <c r="AM241" s="234"/>
      <c r="AN241" s="234"/>
    </row>
    <row r="242" spans="1:40" s="284" customFormat="1" ht="30.75" thickBot="1">
      <c r="A242" s="535" t="s">
        <v>148</v>
      </c>
      <c r="B242" s="749" t="s">
        <v>68</v>
      </c>
      <c r="C242" s="536" t="s">
        <v>69</v>
      </c>
      <c r="D242" s="536" t="s">
        <v>70</v>
      </c>
      <c r="E242" s="743" t="s">
        <v>88</v>
      </c>
      <c r="F242" s="744" t="s">
        <v>407</v>
      </c>
      <c r="G242" s="744" t="s">
        <v>53</v>
      </c>
      <c r="H242" s="744" t="s">
        <v>538</v>
      </c>
      <c r="I242" s="744" t="s">
        <v>222</v>
      </c>
      <c r="J242" s="744" t="s">
        <v>149</v>
      </c>
      <c r="K242" s="744" t="s">
        <v>206</v>
      </c>
      <c r="L242" s="783" t="s">
        <v>124</v>
      </c>
      <c r="M242" s="1089"/>
      <c r="N242" s="80" t="s">
        <v>96</v>
      </c>
      <c r="O242" s="49" t="s">
        <v>407</v>
      </c>
      <c r="P242" s="49" t="s">
        <v>53</v>
      </c>
      <c r="Q242" s="49" t="s">
        <v>86</v>
      </c>
      <c r="R242" s="49" t="s">
        <v>94</v>
      </c>
      <c r="S242" s="49" t="s">
        <v>549</v>
      </c>
      <c r="T242" s="126" t="s">
        <v>92</v>
      </c>
      <c r="U242" s="171" t="s">
        <v>432</v>
      </c>
      <c r="V242" s="79"/>
      <c r="W242" s="80" t="s">
        <v>88</v>
      </c>
      <c r="X242" s="49" t="s">
        <v>213</v>
      </c>
      <c r="Y242" s="49" t="s">
        <v>206</v>
      </c>
      <c r="Z242" s="49" t="s">
        <v>466</v>
      </c>
      <c r="AA242" s="49" t="s">
        <v>222</v>
      </c>
      <c r="AB242" s="49"/>
      <c r="AC242" s="126" t="s">
        <v>76</v>
      </c>
      <c r="AD242" s="171"/>
      <c r="AE242" s="589"/>
      <c r="AF242" s="590" t="s">
        <v>172</v>
      </c>
      <c r="AG242" s="591" t="s">
        <v>80</v>
      </c>
      <c r="AH242" s="602" t="s">
        <v>150</v>
      </c>
      <c r="AI242" s="603" t="s">
        <v>106</v>
      </c>
      <c r="AJ242" s="602" t="s">
        <v>173</v>
      </c>
      <c r="AK242" s="604" t="s">
        <v>108</v>
      </c>
      <c r="AL242" s="276"/>
      <c r="AM242" s="276"/>
      <c r="AN242" s="276"/>
    </row>
    <row r="243" spans="1:40" s="1" customFormat="1" ht="20.25">
      <c r="A243" s="547" t="s">
        <v>618</v>
      </c>
      <c r="B243" s="545"/>
      <c r="C243" s="539"/>
      <c r="D243" s="544">
        <v>46116</v>
      </c>
      <c r="E243" s="556"/>
      <c r="F243" s="557"/>
      <c r="G243" s="557"/>
      <c r="H243" s="558"/>
      <c r="I243" s="558"/>
      <c r="J243" s="557"/>
      <c r="K243" s="558"/>
      <c r="L243" s="583"/>
      <c r="M243" s="584"/>
      <c r="N243" s="585"/>
      <c r="O243" s="558"/>
      <c r="P243" s="558"/>
      <c r="Q243" s="558"/>
      <c r="R243" s="558"/>
      <c r="S243" s="558"/>
      <c r="T243" s="558"/>
      <c r="U243" s="819"/>
      <c r="V243" s="584"/>
      <c r="W243" s="585">
        <f>8*20</f>
        <v>160</v>
      </c>
      <c r="X243" s="558"/>
      <c r="Y243" s="558"/>
      <c r="Z243" s="558"/>
      <c r="AA243" s="558">
        <f>5*20</f>
        <v>100</v>
      </c>
      <c r="AB243" s="558"/>
      <c r="AC243" s="558"/>
      <c r="AD243" s="595"/>
      <c r="AE243" s="584"/>
      <c r="AF243" s="596">
        <f>SUM(E243:AD243)</f>
        <v>260</v>
      </c>
      <c r="AG243" s="597"/>
      <c r="AH243" s="596"/>
      <c r="AI243" s="597">
        <f>AF243+AG243+AH243</f>
        <v>260</v>
      </c>
      <c r="AJ243" s="607"/>
      <c r="AK243" s="606">
        <f>AI243+AJ243</f>
        <v>260</v>
      </c>
      <c r="AL243" s="234"/>
      <c r="AM243" s="234"/>
      <c r="AN243" s="234"/>
    </row>
    <row r="244" spans="1:40" ht="20.25">
      <c r="A244" s="537" t="s">
        <v>619</v>
      </c>
      <c r="B244" s="545"/>
      <c r="C244" s="539"/>
      <c r="D244" s="544">
        <v>46116</v>
      </c>
      <c r="E244" s="556"/>
      <c r="F244" s="557"/>
      <c r="G244" s="557"/>
      <c r="H244" s="558"/>
      <c r="I244" s="558"/>
      <c r="J244" s="557"/>
      <c r="K244" s="558"/>
      <c r="L244" s="583"/>
      <c r="M244" s="584"/>
      <c r="N244" s="585"/>
      <c r="O244" s="558"/>
      <c r="P244" s="558">
        <f>5*20</f>
        <v>100</v>
      </c>
      <c r="Q244" s="558"/>
      <c r="R244" s="558">
        <f>5*20</f>
        <v>100</v>
      </c>
      <c r="S244" s="558"/>
      <c r="T244" s="558"/>
      <c r="U244" s="819"/>
      <c r="V244" s="584"/>
      <c r="W244" s="585"/>
      <c r="X244" s="558"/>
      <c r="Y244" s="558"/>
      <c r="Z244" s="558"/>
      <c r="AA244" s="558"/>
      <c r="AB244" s="558"/>
      <c r="AC244" s="558"/>
      <c r="AD244" s="595"/>
      <c r="AE244" s="584"/>
      <c r="AF244" s="596">
        <f>SUM(E244:AD244)</f>
        <v>200</v>
      </c>
      <c r="AG244" s="597"/>
      <c r="AH244" s="596"/>
      <c r="AI244" s="597">
        <f>AF244+AG244+AH244</f>
        <v>200</v>
      </c>
      <c r="AJ244" s="607"/>
      <c r="AK244" s="606">
        <f>AI244+AJ244</f>
        <v>200</v>
      </c>
      <c r="AL244" s="234"/>
      <c r="AM244" s="234"/>
      <c r="AN244" s="234"/>
    </row>
    <row r="245" spans="1:40" ht="20.25">
      <c r="A245" s="537" t="s">
        <v>620</v>
      </c>
      <c r="B245" s="545"/>
      <c r="C245" s="539"/>
      <c r="D245" s="544">
        <v>46117</v>
      </c>
      <c r="E245" s="332"/>
      <c r="F245" s="333"/>
      <c r="G245" s="333"/>
      <c r="H245" s="334"/>
      <c r="I245" s="334"/>
      <c r="J245" s="333"/>
      <c r="K245" s="334"/>
      <c r="L245" s="798"/>
      <c r="M245" s="361"/>
      <c r="N245" s="362"/>
      <c r="O245" s="334"/>
      <c r="P245" s="334"/>
      <c r="Q245" s="334"/>
      <c r="R245" s="334"/>
      <c r="S245" s="334"/>
      <c r="T245" s="334"/>
      <c r="U245" s="818"/>
      <c r="V245" s="361"/>
      <c r="W245" s="362">
        <f>2*20</f>
        <v>40</v>
      </c>
      <c r="X245" s="334"/>
      <c r="Y245" s="334">
        <f>2*20</f>
        <v>40</v>
      </c>
      <c r="Z245" s="334"/>
      <c r="AA245" s="334">
        <f>2*20</f>
        <v>40</v>
      </c>
      <c r="AB245" s="334"/>
      <c r="AC245" s="334"/>
      <c r="AD245" s="383"/>
      <c r="AE245" s="361"/>
      <c r="AF245" s="419">
        <f t="shared" ref="AF245:AF271" si="78">SUM(E245:AD245)</f>
        <v>120</v>
      </c>
      <c r="AG245" s="420"/>
      <c r="AH245" s="419"/>
      <c r="AI245" s="420">
        <f>AF245+AG245+AH245</f>
        <v>120</v>
      </c>
      <c r="AJ245" s="421"/>
      <c r="AK245" s="422">
        <f>AI245+AJ245</f>
        <v>120</v>
      </c>
      <c r="AL245" s="276"/>
      <c r="AM245" s="276"/>
      <c r="AN245" s="276"/>
    </row>
    <row r="246" spans="1:40" ht="20.25">
      <c r="A246" s="537" t="s">
        <v>623</v>
      </c>
      <c r="B246" s="545"/>
      <c r="C246" s="539"/>
      <c r="D246" s="544">
        <v>46119</v>
      </c>
      <c r="E246" s="556"/>
      <c r="F246" s="557"/>
      <c r="G246" s="557"/>
      <c r="H246" s="558"/>
      <c r="I246" s="558"/>
      <c r="J246" s="557"/>
      <c r="K246" s="558"/>
      <c r="L246" s="583"/>
      <c r="M246" s="584"/>
      <c r="N246" s="585"/>
      <c r="O246" s="558"/>
      <c r="P246" s="558">
        <f>3*20</f>
        <v>60</v>
      </c>
      <c r="Q246" s="558">
        <f>2*20</f>
        <v>40</v>
      </c>
      <c r="R246" s="558">
        <f>4*20</f>
        <v>80</v>
      </c>
      <c r="S246" s="558"/>
      <c r="T246" s="558"/>
      <c r="U246" s="819">
        <f>2*20</f>
        <v>40</v>
      </c>
      <c r="V246" s="584"/>
      <c r="W246" s="585"/>
      <c r="X246" s="558"/>
      <c r="Y246" s="558">
        <f>4*20</f>
        <v>80</v>
      </c>
      <c r="Z246" s="558"/>
      <c r="AA246" s="558">
        <f>4*20</f>
        <v>80</v>
      </c>
      <c r="AB246" s="558"/>
      <c r="AC246" s="558"/>
      <c r="AD246" s="595"/>
      <c r="AE246" s="584"/>
      <c r="AF246" s="596">
        <f t="shared" ref="AF246" si="79">SUM(E246:AD246)</f>
        <v>380</v>
      </c>
      <c r="AG246" s="597"/>
      <c r="AH246" s="596"/>
      <c r="AI246" s="597">
        <f t="shared" ref="AI246:AI325" si="80">AF246+AG246+AH246</f>
        <v>380</v>
      </c>
      <c r="AJ246" s="607"/>
      <c r="AK246" s="606">
        <f t="shared" ref="AK246:AK285" si="81">AI246+AJ246</f>
        <v>380</v>
      </c>
      <c r="AL246" s="234"/>
      <c r="AM246" s="234"/>
      <c r="AN246" s="234"/>
    </row>
    <row r="247" spans="1:40" ht="20.25">
      <c r="A247" s="537" t="s">
        <v>624</v>
      </c>
      <c r="B247" s="545"/>
      <c r="C247" s="539"/>
      <c r="D247" s="544">
        <v>46120</v>
      </c>
      <c r="E247" s="829"/>
      <c r="F247" s="741"/>
      <c r="G247" s="741"/>
      <c r="H247" s="582"/>
      <c r="I247" s="582"/>
      <c r="J247" s="741"/>
      <c r="K247" s="582"/>
      <c r="L247" s="832"/>
      <c r="M247" s="830"/>
      <c r="N247" s="831"/>
      <c r="O247" s="582"/>
      <c r="P247" s="582"/>
      <c r="Q247" s="582"/>
      <c r="R247" s="582"/>
      <c r="S247" s="582"/>
      <c r="T247" s="582"/>
      <c r="U247" s="834"/>
      <c r="V247" s="830"/>
      <c r="W247" s="831">
        <f>4*20</f>
        <v>80</v>
      </c>
      <c r="X247" s="582"/>
      <c r="Y247" s="582">
        <f>4*20</f>
        <v>80</v>
      </c>
      <c r="Z247" s="582"/>
      <c r="AA247" s="582">
        <f>2*20</f>
        <v>40</v>
      </c>
      <c r="AB247" s="582"/>
      <c r="AC247" s="582"/>
      <c r="AD247" s="833"/>
      <c r="AE247" s="830"/>
      <c r="AF247" s="1143">
        <f t="shared" ref="AF247:AF270" si="82">SUM(E247:AD247)</f>
        <v>200</v>
      </c>
      <c r="AG247" s="1151"/>
      <c r="AH247" s="1143"/>
      <c r="AI247" s="1151">
        <f t="shared" si="80"/>
        <v>200</v>
      </c>
      <c r="AJ247" s="1152"/>
      <c r="AK247" s="411">
        <f t="shared" si="81"/>
        <v>200</v>
      </c>
      <c r="AL247" s="276"/>
      <c r="AM247" s="276"/>
      <c r="AN247" s="276"/>
    </row>
    <row r="248" spans="1:40" ht="20.25">
      <c r="A248" s="537" t="s">
        <v>625</v>
      </c>
      <c r="B248" s="538"/>
      <c r="C248" s="539"/>
      <c r="D248" s="544">
        <v>46121</v>
      </c>
      <c r="E248" s="829"/>
      <c r="F248" s="741"/>
      <c r="G248" s="741"/>
      <c r="H248" s="582"/>
      <c r="I248" s="582"/>
      <c r="J248" s="741"/>
      <c r="K248" s="582"/>
      <c r="L248" s="832"/>
      <c r="M248" s="830"/>
      <c r="N248" s="831"/>
      <c r="O248" s="582"/>
      <c r="P248" s="582"/>
      <c r="Q248" s="582"/>
      <c r="R248" s="582"/>
      <c r="S248" s="582"/>
      <c r="T248" s="582"/>
      <c r="U248" s="1137"/>
      <c r="V248" s="830"/>
      <c r="W248" s="831"/>
      <c r="X248" s="582"/>
      <c r="Y248" s="582">
        <f>3*20</f>
        <v>60</v>
      </c>
      <c r="Z248" s="582"/>
      <c r="AA248" s="582">
        <f>2*20</f>
        <v>40</v>
      </c>
      <c r="AB248" s="582"/>
      <c r="AC248" s="582"/>
      <c r="AD248" s="833"/>
      <c r="AE248" s="830"/>
      <c r="AF248" s="1143">
        <f t="shared" si="82"/>
        <v>100</v>
      </c>
      <c r="AG248" s="1151"/>
      <c r="AH248" s="1143"/>
      <c r="AI248" s="1151">
        <f t="shared" si="80"/>
        <v>100</v>
      </c>
      <c r="AJ248" s="1152"/>
      <c r="AK248" s="411">
        <f t="shared" si="81"/>
        <v>100</v>
      </c>
      <c r="AL248" s="234"/>
      <c r="AM248" s="234"/>
      <c r="AN248" s="234"/>
    </row>
    <row r="249" spans="1:40" ht="20.25">
      <c r="A249" s="537" t="s">
        <v>627</v>
      </c>
      <c r="B249" s="548"/>
      <c r="C249" s="549"/>
      <c r="D249" s="544">
        <v>46122</v>
      </c>
      <c r="E249" s="1107"/>
      <c r="F249" s="557"/>
      <c r="G249" s="557"/>
      <c r="H249" s="558"/>
      <c r="I249" s="558"/>
      <c r="J249" s="557"/>
      <c r="K249" s="558"/>
      <c r="L249" s="583"/>
      <c r="M249" s="584"/>
      <c r="N249" s="585"/>
      <c r="O249" s="558"/>
      <c r="P249" s="558">
        <f>12*20</f>
        <v>240</v>
      </c>
      <c r="Q249" s="558"/>
      <c r="R249" s="558"/>
      <c r="S249" s="558"/>
      <c r="T249" s="558"/>
      <c r="U249" s="819"/>
      <c r="V249" s="584"/>
      <c r="W249" s="585">
        <f>10*20</f>
        <v>200</v>
      </c>
      <c r="X249" s="558"/>
      <c r="Y249" s="558">
        <f>10*20</f>
        <v>200</v>
      </c>
      <c r="Z249" s="558"/>
      <c r="AA249" s="558">
        <f>10*20</f>
        <v>200</v>
      </c>
      <c r="AB249" s="558"/>
      <c r="AC249" s="558"/>
      <c r="AD249" s="595"/>
      <c r="AE249" s="584"/>
      <c r="AF249" s="596">
        <f t="shared" si="82"/>
        <v>840</v>
      </c>
      <c r="AG249" s="597"/>
      <c r="AH249" s="596"/>
      <c r="AI249" s="597">
        <f t="shared" si="80"/>
        <v>840</v>
      </c>
      <c r="AJ249" s="607"/>
      <c r="AK249" s="606">
        <f t="shared" si="81"/>
        <v>840</v>
      </c>
      <c r="AL249" s="234"/>
      <c r="AM249" s="234"/>
      <c r="AN249" s="234"/>
    </row>
    <row r="250" spans="1:40" ht="20.25">
      <c r="A250" s="537" t="s">
        <v>628</v>
      </c>
      <c r="B250" s="548"/>
      <c r="C250" s="549"/>
      <c r="D250" s="544">
        <v>46122</v>
      </c>
      <c r="E250" s="829"/>
      <c r="F250" s="741"/>
      <c r="G250" s="741"/>
      <c r="H250" s="582"/>
      <c r="I250" s="582"/>
      <c r="J250" s="741"/>
      <c r="K250" s="582"/>
      <c r="L250" s="583"/>
      <c r="M250" s="830"/>
      <c r="N250" s="831"/>
      <c r="O250" s="582"/>
      <c r="P250" s="582">
        <f>2*20</f>
        <v>40</v>
      </c>
      <c r="Q250" s="582"/>
      <c r="R250" s="582">
        <f>2*20</f>
        <v>40</v>
      </c>
      <c r="S250" s="582"/>
      <c r="T250" s="582"/>
      <c r="U250" s="1137"/>
      <c r="V250" s="830"/>
      <c r="W250" s="831"/>
      <c r="X250" s="582"/>
      <c r="Y250" s="582"/>
      <c r="Z250" s="582"/>
      <c r="AA250" s="582"/>
      <c r="AB250" s="582"/>
      <c r="AC250" s="582"/>
      <c r="AD250" s="833"/>
      <c r="AE250" s="830"/>
      <c r="AF250" s="1143">
        <f t="shared" si="82"/>
        <v>80</v>
      </c>
      <c r="AG250" s="1151"/>
      <c r="AH250" s="1143"/>
      <c r="AI250" s="1151">
        <f t="shared" si="80"/>
        <v>80</v>
      </c>
      <c r="AJ250" s="1152"/>
      <c r="AK250" s="411">
        <f t="shared" si="81"/>
        <v>80</v>
      </c>
      <c r="AL250" s="276"/>
      <c r="AM250" s="276"/>
      <c r="AN250" s="276"/>
    </row>
    <row r="251" spans="1:40" ht="20.25">
      <c r="A251" s="537" t="s">
        <v>629</v>
      </c>
      <c r="B251" s="548"/>
      <c r="C251" s="549"/>
      <c r="D251" s="544">
        <v>46122</v>
      </c>
      <c r="E251" s="556"/>
      <c r="F251" s="557"/>
      <c r="G251" s="557"/>
      <c r="H251" s="558"/>
      <c r="I251" s="558"/>
      <c r="J251" s="557"/>
      <c r="K251" s="558"/>
      <c r="L251" s="583"/>
      <c r="M251" s="584"/>
      <c r="N251" s="585"/>
      <c r="O251" s="558"/>
      <c r="P251" s="558">
        <f>5*20</f>
        <v>100</v>
      </c>
      <c r="Q251" s="558"/>
      <c r="R251" s="558">
        <f>4*20</f>
        <v>80</v>
      </c>
      <c r="S251" s="558"/>
      <c r="T251" s="558"/>
      <c r="U251" s="588"/>
      <c r="V251" s="584"/>
      <c r="W251" s="585"/>
      <c r="X251" s="558"/>
      <c r="Y251" s="558"/>
      <c r="Z251" s="558"/>
      <c r="AA251" s="558"/>
      <c r="AB251" s="558"/>
      <c r="AC251" s="558"/>
      <c r="AD251" s="595"/>
      <c r="AE251" s="584"/>
      <c r="AF251" s="596">
        <f t="shared" si="82"/>
        <v>180</v>
      </c>
      <c r="AG251" s="597"/>
      <c r="AH251" s="596"/>
      <c r="AI251" s="597">
        <f t="shared" si="80"/>
        <v>180</v>
      </c>
      <c r="AJ251" s="607"/>
      <c r="AK251" s="606">
        <f t="shared" si="81"/>
        <v>180</v>
      </c>
      <c r="AL251" s="276"/>
      <c r="AM251" s="276"/>
      <c r="AN251" s="276"/>
    </row>
    <row r="252" spans="1:40" ht="20.25">
      <c r="A252" s="537" t="s">
        <v>634</v>
      </c>
      <c r="B252" s="552"/>
      <c r="C252" s="553"/>
      <c r="D252" s="555">
        <v>46124</v>
      </c>
      <c r="E252" s="829"/>
      <c r="F252" s="741"/>
      <c r="G252" s="741"/>
      <c r="H252" s="582"/>
      <c r="I252" s="582"/>
      <c r="J252" s="741"/>
      <c r="K252" s="582"/>
      <c r="L252" s="832"/>
      <c r="M252" s="830"/>
      <c r="N252" s="831"/>
      <c r="O252" s="582"/>
      <c r="P252" s="582"/>
      <c r="Q252" s="582"/>
      <c r="R252" s="582">
        <f>3*20</f>
        <v>60</v>
      </c>
      <c r="S252" s="582"/>
      <c r="T252" s="582"/>
      <c r="U252" s="1137"/>
      <c r="V252" s="830"/>
      <c r="W252" s="831"/>
      <c r="X252" s="582"/>
      <c r="Y252" s="582"/>
      <c r="Z252" s="582"/>
      <c r="AA252" s="582">
        <f>3*20</f>
        <v>60</v>
      </c>
      <c r="AB252" s="582"/>
      <c r="AC252" s="582"/>
      <c r="AD252" s="833"/>
      <c r="AE252" s="830"/>
      <c r="AF252" s="1143">
        <f t="shared" si="82"/>
        <v>120</v>
      </c>
      <c r="AG252" s="1151"/>
      <c r="AH252" s="1143"/>
      <c r="AI252" s="1151">
        <f t="shared" si="80"/>
        <v>120</v>
      </c>
      <c r="AJ252" s="1152"/>
      <c r="AK252" s="411">
        <f t="shared" si="81"/>
        <v>120</v>
      </c>
      <c r="AL252" s="234"/>
      <c r="AM252" s="234"/>
      <c r="AN252" s="234"/>
    </row>
    <row r="253" spans="1:40" ht="20.25">
      <c r="A253" s="537" t="s">
        <v>635</v>
      </c>
      <c r="B253" s="796"/>
      <c r="C253" s="797"/>
      <c r="D253" s="544">
        <v>46125</v>
      </c>
      <c r="E253" s="829"/>
      <c r="F253" s="741"/>
      <c r="G253" s="741"/>
      <c r="H253" s="582"/>
      <c r="I253" s="582"/>
      <c r="J253" s="741"/>
      <c r="K253" s="582"/>
      <c r="L253" s="832"/>
      <c r="M253" s="830"/>
      <c r="N253" s="831"/>
      <c r="O253" s="582"/>
      <c r="P253" s="582">
        <f>2*20</f>
        <v>40</v>
      </c>
      <c r="Q253" s="582"/>
      <c r="R253" s="582">
        <f>6*20</f>
        <v>120</v>
      </c>
      <c r="S253" s="582"/>
      <c r="T253" s="582"/>
      <c r="U253" s="1137"/>
      <c r="V253" s="830"/>
      <c r="W253" s="831"/>
      <c r="X253" s="582"/>
      <c r="Y253" s="582"/>
      <c r="Z253" s="582"/>
      <c r="AA253" s="582">
        <f>2*20</f>
        <v>40</v>
      </c>
      <c r="AB253" s="582"/>
      <c r="AC253" s="582"/>
      <c r="AD253" s="833"/>
      <c r="AE253" s="830"/>
      <c r="AF253" s="1143">
        <f t="shared" si="82"/>
        <v>200</v>
      </c>
      <c r="AG253" s="1151"/>
      <c r="AH253" s="1143"/>
      <c r="AI253" s="1151">
        <f t="shared" si="80"/>
        <v>200</v>
      </c>
      <c r="AJ253" s="1152"/>
      <c r="AK253" s="411">
        <f t="shared" si="81"/>
        <v>200</v>
      </c>
      <c r="AL253" s="276"/>
      <c r="AM253" s="276"/>
      <c r="AN253" s="276"/>
    </row>
    <row r="254" spans="1:40" ht="20.25">
      <c r="A254" s="551" t="s">
        <v>636</v>
      </c>
      <c r="B254" s="563"/>
      <c r="C254" s="553"/>
      <c r="D254" s="544">
        <v>46125</v>
      </c>
      <c r="E254" s="829"/>
      <c r="F254" s="741"/>
      <c r="G254" s="741"/>
      <c r="H254" s="582"/>
      <c r="I254" s="582"/>
      <c r="J254" s="741"/>
      <c r="K254" s="582"/>
      <c r="L254" s="832"/>
      <c r="M254" s="830"/>
      <c r="N254" s="831"/>
      <c r="O254" s="582"/>
      <c r="P254" s="582">
        <f>20*20</f>
        <v>400</v>
      </c>
      <c r="Q254" s="582"/>
      <c r="R254" s="582">
        <f>15*20</f>
        <v>300</v>
      </c>
      <c r="S254" s="582"/>
      <c r="T254" s="582"/>
      <c r="U254" s="1137"/>
      <c r="V254" s="830"/>
      <c r="W254" s="831">
        <f>35*20</f>
        <v>700</v>
      </c>
      <c r="X254" s="582"/>
      <c r="Y254" s="582">
        <f>20*20</f>
        <v>400</v>
      </c>
      <c r="Z254" s="582"/>
      <c r="AA254" s="582">
        <f>10*20</f>
        <v>200</v>
      </c>
      <c r="AB254" s="582"/>
      <c r="AC254" s="582"/>
      <c r="AD254" s="833"/>
      <c r="AE254" s="830"/>
      <c r="AF254" s="1143">
        <f t="shared" si="82"/>
        <v>2000</v>
      </c>
      <c r="AG254" s="1151"/>
      <c r="AH254" s="1143"/>
      <c r="AI254" s="1151">
        <f t="shared" si="80"/>
        <v>2000</v>
      </c>
      <c r="AJ254" s="1152"/>
      <c r="AK254" s="411">
        <f t="shared" si="81"/>
        <v>2000</v>
      </c>
      <c r="AL254" s="234"/>
      <c r="AM254" s="234"/>
      <c r="AN254" s="234"/>
    </row>
    <row r="255" spans="1:40" ht="20.25">
      <c r="A255" s="561" t="s">
        <v>623</v>
      </c>
      <c r="B255" s="796"/>
      <c r="C255" s="797"/>
      <c r="D255" s="544">
        <v>45761</v>
      </c>
      <c r="E255" s="829"/>
      <c r="F255" s="741"/>
      <c r="G255" s="741"/>
      <c r="H255" s="582"/>
      <c r="I255" s="582"/>
      <c r="J255" s="741"/>
      <c r="K255" s="582"/>
      <c r="L255" s="832"/>
      <c r="M255" s="830"/>
      <c r="N255" s="831"/>
      <c r="O255" s="582"/>
      <c r="P255" s="582"/>
      <c r="Q255" s="582"/>
      <c r="R255" s="582"/>
      <c r="S255" s="582"/>
      <c r="T255" s="582"/>
      <c r="U255" s="1137"/>
      <c r="V255" s="830"/>
      <c r="W255" s="831"/>
      <c r="X255" s="582"/>
      <c r="Y255" s="582">
        <f>1*20</f>
        <v>20</v>
      </c>
      <c r="Z255" s="582"/>
      <c r="AA255" s="582"/>
      <c r="AB255" s="582"/>
      <c r="AC255" s="582"/>
      <c r="AD255" s="833"/>
      <c r="AE255" s="830"/>
      <c r="AF255" s="1143">
        <f t="shared" ref="AF255:AF258" si="83">SUM(E255:AD255)</f>
        <v>20</v>
      </c>
      <c r="AG255" s="1151"/>
      <c r="AH255" s="1143"/>
      <c r="AI255" s="1151">
        <f t="shared" ref="AI255:AI258" si="84">AF255+AG255+AH255</f>
        <v>20</v>
      </c>
      <c r="AJ255" s="1152"/>
      <c r="AK255" s="411">
        <f t="shared" ref="AK255:AK258" si="85">AI255+AJ255</f>
        <v>20</v>
      </c>
      <c r="AL255" s="234"/>
      <c r="AM255" s="234"/>
      <c r="AN255" s="234"/>
    </row>
    <row r="256" spans="1:40" ht="20.25">
      <c r="A256" s="537" t="s">
        <v>637</v>
      </c>
      <c r="B256" s="796"/>
      <c r="C256" s="797"/>
      <c r="D256" s="544">
        <v>46126</v>
      </c>
      <c r="E256" s="829"/>
      <c r="F256" s="741"/>
      <c r="G256" s="741"/>
      <c r="H256" s="582"/>
      <c r="I256" s="582"/>
      <c r="J256" s="741"/>
      <c r="K256" s="582"/>
      <c r="L256" s="832"/>
      <c r="M256" s="830"/>
      <c r="N256" s="831"/>
      <c r="O256" s="582"/>
      <c r="P256" s="582">
        <f>5*20</f>
        <v>100</v>
      </c>
      <c r="Q256" s="582"/>
      <c r="R256" s="582">
        <f>10*20</f>
        <v>200</v>
      </c>
      <c r="S256" s="582"/>
      <c r="T256" s="582"/>
      <c r="U256" s="1137"/>
      <c r="V256" s="830"/>
      <c r="W256" s="831"/>
      <c r="X256" s="582"/>
      <c r="Y256" s="582"/>
      <c r="Z256" s="582"/>
      <c r="AA256" s="582"/>
      <c r="AB256" s="582"/>
      <c r="AC256" s="582"/>
      <c r="AD256" s="833"/>
      <c r="AE256" s="830"/>
      <c r="AF256" s="1143">
        <f t="shared" si="83"/>
        <v>300</v>
      </c>
      <c r="AG256" s="1151"/>
      <c r="AH256" s="1143"/>
      <c r="AI256" s="1151">
        <f t="shared" si="84"/>
        <v>300</v>
      </c>
      <c r="AJ256" s="1152"/>
      <c r="AK256" s="411">
        <f t="shared" si="85"/>
        <v>300</v>
      </c>
      <c r="AL256" s="276"/>
      <c r="AM256" s="276"/>
      <c r="AN256" s="276"/>
    </row>
    <row r="257" spans="1:40" ht="20.25">
      <c r="A257" s="561" t="s">
        <v>627</v>
      </c>
      <c r="B257" s="796"/>
      <c r="C257" s="797"/>
      <c r="D257" s="544">
        <v>46128</v>
      </c>
      <c r="E257" s="829"/>
      <c r="F257" s="741"/>
      <c r="G257" s="741"/>
      <c r="H257" s="582"/>
      <c r="I257" s="582"/>
      <c r="J257" s="741"/>
      <c r="K257" s="582"/>
      <c r="L257" s="832"/>
      <c r="M257" s="830"/>
      <c r="N257" s="831"/>
      <c r="O257" s="582"/>
      <c r="P257" s="582">
        <f>15*20</f>
        <v>300</v>
      </c>
      <c r="Q257" s="582"/>
      <c r="R257" s="582">
        <f>15*20</f>
        <v>300</v>
      </c>
      <c r="S257" s="582"/>
      <c r="T257" s="582"/>
      <c r="U257" s="1137"/>
      <c r="V257" s="830"/>
      <c r="W257" s="831"/>
      <c r="X257" s="582"/>
      <c r="Y257" s="582">
        <f>12*20</f>
        <v>240</v>
      </c>
      <c r="Z257" s="582"/>
      <c r="AA257" s="582">
        <f>10*20</f>
        <v>200</v>
      </c>
      <c r="AB257" s="582"/>
      <c r="AC257" s="582"/>
      <c r="AD257" s="833"/>
      <c r="AE257" s="830"/>
      <c r="AF257" s="1143">
        <f t="shared" si="83"/>
        <v>1040</v>
      </c>
      <c r="AG257" s="1151"/>
      <c r="AH257" s="1143"/>
      <c r="AI257" s="1151">
        <f t="shared" si="84"/>
        <v>1040</v>
      </c>
      <c r="AJ257" s="1152"/>
      <c r="AK257" s="411">
        <f t="shared" si="85"/>
        <v>1040</v>
      </c>
      <c r="AL257" s="234"/>
      <c r="AM257" s="234"/>
      <c r="AN257" s="234"/>
    </row>
    <row r="258" spans="1:40" ht="20.25">
      <c r="A258" s="561" t="s">
        <v>624</v>
      </c>
      <c r="B258" s="796"/>
      <c r="C258" s="797"/>
      <c r="D258" s="544">
        <v>46129</v>
      </c>
      <c r="E258" s="829"/>
      <c r="F258" s="741"/>
      <c r="G258" s="741"/>
      <c r="H258" s="582"/>
      <c r="I258" s="582"/>
      <c r="J258" s="741"/>
      <c r="K258" s="582"/>
      <c r="L258" s="832"/>
      <c r="M258" s="830"/>
      <c r="N258" s="831"/>
      <c r="O258" s="582"/>
      <c r="P258" s="582"/>
      <c r="Q258" s="582"/>
      <c r="R258" s="582"/>
      <c r="S258" s="582"/>
      <c r="T258" s="582"/>
      <c r="U258" s="1137"/>
      <c r="V258" s="830"/>
      <c r="W258" s="831">
        <f>5*20</f>
        <v>100</v>
      </c>
      <c r="X258" s="582"/>
      <c r="Y258" s="582">
        <f>5*20</f>
        <v>100</v>
      </c>
      <c r="Z258" s="582"/>
      <c r="AA258" s="582"/>
      <c r="AB258" s="582"/>
      <c r="AC258" s="582"/>
      <c r="AD258" s="833"/>
      <c r="AE258" s="830"/>
      <c r="AF258" s="1143">
        <f t="shared" si="83"/>
        <v>200</v>
      </c>
      <c r="AG258" s="1151"/>
      <c r="AH258" s="1143"/>
      <c r="AI258" s="1151">
        <f t="shared" si="84"/>
        <v>200</v>
      </c>
      <c r="AJ258" s="1152"/>
      <c r="AK258" s="411">
        <f t="shared" si="85"/>
        <v>200</v>
      </c>
      <c r="AL258" s="276"/>
      <c r="AM258" s="276"/>
      <c r="AN258" s="276"/>
    </row>
    <row r="259" spans="1:40" ht="20.25">
      <c r="A259" s="561" t="s">
        <v>619</v>
      </c>
      <c r="B259" s="545"/>
      <c r="C259" s="539"/>
      <c r="D259" s="544">
        <v>46130</v>
      </c>
      <c r="E259" s="556"/>
      <c r="F259" s="557"/>
      <c r="G259" s="557"/>
      <c r="H259" s="558"/>
      <c r="I259" s="558"/>
      <c r="J259" s="557"/>
      <c r="K259" s="558"/>
      <c r="L259" s="583"/>
      <c r="M259" s="584"/>
      <c r="N259" s="585"/>
      <c r="O259" s="558"/>
      <c r="P259" s="558">
        <f>7*20</f>
        <v>140</v>
      </c>
      <c r="Q259" s="558"/>
      <c r="R259" s="558">
        <f>8*20</f>
        <v>160</v>
      </c>
      <c r="S259" s="558"/>
      <c r="T259" s="558"/>
      <c r="U259" s="588"/>
      <c r="V259" s="584"/>
      <c r="W259" s="585"/>
      <c r="X259" s="558"/>
      <c r="Y259" s="558"/>
      <c r="Z259" s="558"/>
      <c r="AA259" s="558"/>
      <c r="AB259" s="558"/>
      <c r="AC259" s="558"/>
      <c r="AD259" s="595"/>
      <c r="AE259" s="584"/>
      <c r="AF259" s="596">
        <f t="shared" si="82"/>
        <v>300</v>
      </c>
      <c r="AG259" s="597"/>
      <c r="AH259" s="596"/>
      <c r="AI259" s="597">
        <f t="shared" si="80"/>
        <v>300</v>
      </c>
      <c r="AJ259" s="607"/>
      <c r="AK259" s="606">
        <f t="shared" si="81"/>
        <v>300</v>
      </c>
      <c r="AL259" s="234"/>
      <c r="AM259" s="234"/>
      <c r="AN259" s="234"/>
    </row>
    <row r="260" spans="1:40" ht="20.25">
      <c r="A260" s="547" t="s">
        <v>647</v>
      </c>
      <c r="B260" s="545"/>
      <c r="C260" s="539"/>
      <c r="D260" s="544">
        <v>46130</v>
      </c>
      <c r="E260" s="556"/>
      <c r="F260" s="557"/>
      <c r="G260" s="557"/>
      <c r="H260" s="558"/>
      <c r="I260" s="558"/>
      <c r="J260" s="557"/>
      <c r="K260" s="558"/>
      <c r="L260" s="583"/>
      <c r="M260" s="584"/>
      <c r="N260" s="585"/>
      <c r="O260" s="558"/>
      <c r="P260" s="558"/>
      <c r="Q260" s="558"/>
      <c r="R260" s="558">
        <f>2*20</f>
        <v>40</v>
      </c>
      <c r="S260" s="558"/>
      <c r="T260" s="558"/>
      <c r="U260" s="588"/>
      <c r="V260" s="584"/>
      <c r="W260" s="585"/>
      <c r="X260" s="558"/>
      <c r="Y260" s="558">
        <f>2*20</f>
        <v>40</v>
      </c>
      <c r="Z260" s="558"/>
      <c r="AA260" s="558"/>
      <c r="AB260" s="558"/>
      <c r="AC260" s="558"/>
      <c r="AD260" s="595"/>
      <c r="AE260" s="584"/>
      <c r="AF260" s="596">
        <f t="shared" si="82"/>
        <v>80</v>
      </c>
      <c r="AG260" s="597"/>
      <c r="AH260" s="596"/>
      <c r="AI260" s="597">
        <f t="shared" si="80"/>
        <v>80</v>
      </c>
      <c r="AJ260" s="607"/>
      <c r="AK260" s="606">
        <f t="shared" si="81"/>
        <v>80</v>
      </c>
      <c r="AL260" s="276"/>
      <c r="AM260" s="276"/>
      <c r="AN260" s="276"/>
    </row>
    <row r="261" spans="1:40" ht="20.25">
      <c r="A261" s="547" t="s">
        <v>655</v>
      </c>
      <c r="B261" s="550"/>
      <c r="C261" s="539"/>
      <c r="D261" s="544">
        <v>46131</v>
      </c>
      <c r="E261" s="829"/>
      <c r="F261" s="741"/>
      <c r="G261" s="741"/>
      <c r="H261" s="582"/>
      <c r="I261" s="582"/>
      <c r="J261" s="741"/>
      <c r="K261" s="582"/>
      <c r="L261" s="832"/>
      <c r="M261" s="830"/>
      <c r="N261" s="831"/>
      <c r="O261" s="582"/>
      <c r="P261" s="582">
        <f>1*20</f>
        <v>20</v>
      </c>
      <c r="Q261" s="582"/>
      <c r="R261" s="582">
        <f>1*20</f>
        <v>20</v>
      </c>
      <c r="S261" s="582"/>
      <c r="T261" s="582"/>
      <c r="U261" s="1137"/>
      <c r="V261" s="830"/>
      <c r="W261" s="831">
        <f>2*20</f>
        <v>40</v>
      </c>
      <c r="X261" s="582"/>
      <c r="Y261" s="582"/>
      <c r="Z261" s="582"/>
      <c r="AA261" s="582">
        <f>2*20</f>
        <v>40</v>
      </c>
      <c r="AB261" s="582"/>
      <c r="AC261" s="582"/>
      <c r="AD261" s="833"/>
      <c r="AE261" s="830"/>
      <c r="AF261" s="1143">
        <f t="shared" si="82"/>
        <v>120</v>
      </c>
      <c r="AG261" s="1151"/>
      <c r="AH261" s="1143"/>
      <c r="AI261" s="1151">
        <f t="shared" si="80"/>
        <v>120</v>
      </c>
      <c r="AJ261" s="1152"/>
      <c r="AK261" s="411">
        <f t="shared" si="81"/>
        <v>120</v>
      </c>
      <c r="AL261" s="234"/>
      <c r="AM261" s="234"/>
      <c r="AN261" s="234"/>
    </row>
    <row r="262" spans="1:40" ht="20.25">
      <c r="A262" s="547" t="s">
        <v>634</v>
      </c>
      <c r="B262" s="550"/>
      <c r="C262" s="539"/>
      <c r="D262" s="544">
        <v>46131</v>
      </c>
      <c r="E262" s="556"/>
      <c r="F262" s="557"/>
      <c r="G262" s="557"/>
      <c r="H262" s="558"/>
      <c r="I262" s="558"/>
      <c r="J262" s="557"/>
      <c r="K262" s="558"/>
      <c r="L262" s="583"/>
      <c r="M262" s="584"/>
      <c r="N262" s="585"/>
      <c r="O262" s="558"/>
      <c r="P262" s="558"/>
      <c r="Q262" s="558"/>
      <c r="R262" s="558">
        <f>3*20</f>
        <v>60</v>
      </c>
      <c r="S262" s="558"/>
      <c r="T262" s="558"/>
      <c r="U262" s="588"/>
      <c r="V262" s="584"/>
      <c r="W262" s="585"/>
      <c r="X262" s="558"/>
      <c r="Y262" s="558"/>
      <c r="Z262" s="558"/>
      <c r="AA262" s="558">
        <f>3*20</f>
        <v>60</v>
      </c>
      <c r="AB262" s="558"/>
      <c r="AC262" s="558"/>
      <c r="AD262" s="595"/>
      <c r="AE262" s="584"/>
      <c r="AF262" s="596">
        <f t="shared" si="82"/>
        <v>120</v>
      </c>
      <c r="AG262" s="597"/>
      <c r="AH262" s="596"/>
      <c r="AI262" s="597">
        <f t="shared" si="80"/>
        <v>120</v>
      </c>
      <c r="AJ262" s="607"/>
      <c r="AK262" s="606">
        <f t="shared" si="81"/>
        <v>120</v>
      </c>
      <c r="AL262" s="1063"/>
      <c r="AM262" s="1063"/>
      <c r="AN262" s="1063"/>
    </row>
    <row r="263" spans="1:40" ht="20.25">
      <c r="A263" s="561" t="s">
        <v>656</v>
      </c>
      <c r="B263" s="796"/>
      <c r="C263" s="797"/>
      <c r="D263" s="544">
        <v>46131</v>
      </c>
      <c r="E263" s="829"/>
      <c r="F263" s="741"/>
      <c r="G263" s="741"/>
      <c r="H263" s="582"/>
      <c r="I263" s="582"/>
      <c r="J263" s="741"/>
      <c r="K263" s="582"/>
      <c r="L263" s="832"/>
      <c r="M263" s="830"/>
      <c r="N263" s="831"/>
      <c r="O263" s="582"/>
      <c r="P263" s="582">
        <f>4*20</f>
        <v>80</v>
      </c>
      <c r="Q263" s="582"/>
      <c r="R263" s="582">
        <f>4*20</f>
        <v>80</v>
      </c>
      <c r="S263" s="582"/>
      <c r="T263" s="582"/>
      <c r="U263" s="1137"/>
      <c r="V263" s="830"/>
      <c r="W263" s="831">
        <f>4*20</f>
        <v>80</v>
      </c>
      <c r="X263" s="582"/>
      <c r="Y263" s="582"/>
      <c r="Z263" s="582"/>
      <c r="AA263" s="582">
        <f>2*20</f>
        <v>40</v>
      </c>
      <c r="AB263" s="582"/>
      <c r="AC263" s="582"/>
      <c r="AD263" s="833"/>
      <c r="AE263" s="830"/>
      <c r="AF263" s="1143">
        <f t="shared" si="82"/>
        <v>280</v>
      </c>
      <c r="AG263" s="1151"/>
      <c r="AH263" s="1143"/>
      <c r="AI263" s="1151">
        <f t="shared" si="80"/>
        <v>280</v>
      </c>
      <c r="AJ263" s="1152"/>
      <c r="AK263" s="411">
        <f t="shared" si="81"/>
        <v>280</v>
      </c>
      <c r="AL263" s="1063"/>
      <c r="AM263" s="1063"/>
      <c r="AN263" s="1063"/>
    </row>
    <row r="264" spans="1:40" ht="20.25">
      <c r="A264" s="547" t="s">
        <v>659</v>
      </c>
      <c r="B264" s="545"/>
      <c r="C264" s="539"/>
      <c r="D264" s="544">
        <v>46132</v>
      </c>
      <c r="E264" s="829"/>
      <c r="F264" s="741"/>
      <c r="G264" s="741"/>
      <c r="H264" s="582"/>
      <c r="I264" s="582"/>
      <c r="J264" s="741"/>
      <c r="K264" s="582"/>
      <c r="L264" s="832"/>
      <c r="M264" s="830"/>
      <c r="N264" s="831"/>
      <c r="O264" s="582"/>
      <c r="P264" s="582"/>
      <c r="Q264" s="582"/>
      <c r="R264" s="582"/>
      <c r="S264" s="582"/>
      <c r="T264" s="582"/>
      <c r="U264" s="1137"/>
      <c r="V264" s="830"/>
      <c r="W264" s="831">
        <f>2*20</f>
        <v>40</v>
      </c>
      <c r="X264" s="582"/>
      <c r="Y264" s="582">
        <f>2*20</f>
        <v>40</v>
      </c>
      <c r="Z264" s="582"/>
      <c r="AA264" s="582">
        <f>2*20</f>
        <v>40</v>
      </c>
      <c r="AB264" s="582"/>
      <c r="AC264" s="582"/>
      <c r="AD264" s="833"/>
      <c r="AE264" s="830"/>
      <c r="AF264" s="1143">
        <f t="shared" si="82"/>
        <v>120</v>
      </c>
      <c r="AG264" s="1151"/>
      <c r="AH264" s="1143"/>
      <c r="AI264" s="1151">
        <f t="shared" si="80"/>
        <v>120</v>
      </c>
      <c r="AJ264" s="1152"/>
      <c r="AK264" s="411">
        <f t="shared" si="81"/>
        <v>120</v>
      </c>
      <c r="AL264" s="1063"/>
      <c r="AM264" s="1063"/>
      <c r="AN264" s="1063"/>
    </row>
    <row r="265" spans="1:40" ht="20.25">
      <c r="A265" s="547" t="s">
        <v>623</v>
      </c>
      <c r="B265" s="796"/>
      <c r="C265" s="797"/>
      <c r="D265" s="544">
        <v>46133</v>
      </c>
      <c r="E265" s="556"/>
      <c r="F265" s="557"/>
      <c r="G265" s="557"/>
      <c r="H265" s="558"/>
      <c r="I265" s="558"/>
      <c r="J265" s="557"/>
      <c r="K265" s="558"/>
      <c r="L265" s="583"/>
      <c r="M265" s="584"/>
      <c r="N265" s="585"/>
      <c r="O265" s="558"/>
      <c r="P265" s="558">
        <f>5*20</f>
        <v>100</v>
      </c>
      <c r="Q265" s="558"/>
      <c r="R265" s="558">
        <f>3*20</f>
        <v>60</v>
      </c>
      <c r="S265" s="558"/>
      <c r="T265" s="558"/>
      <c r="U265" s="588">
        <f>2*20</f>
        <v>40</v>
      </c>
      <c r="V265" s="584"/>
      <c r="W265" s="585">
        <f>3*20</f>
        <v>60</v>
      </c>
      <c r="X265" s="558"/>
      <c r="Y265" s="558"/>
      <c r="Z265" s="558"/>
      <c r="AA265" s="558"/>
      <c r="AB265" s="558"/>
      <c r="AC265" s="558"/>
      <c r="AD265" s="595"/>
      <c r="AE265" s="584"/>
      <c r="AF265" s="596">
        <f t="shared" si="82"/>
        <v>260</v>
      </c>
      <c r="AG265" s="597"/>
      <c r="AH265" s="596"/>
      <c r="AI265" s="597">
        <f t="shared" si="80"/>
        <v>260</v>
      </c>
      <c r="AJ265" s="607"/>
      <c r="AK265" s="606">
        <f t="shared" si="81"/>
        <v>260</v>
      </c>
      <c r="AL265" s="1063"/>
      <c r="AM265" s="1063"/>
      <c r="AN265" s="1063"/>
    </row>
    <row r="266" spans="1:40" ht="20.25">
      <c r="A266" s="551" t="s">
        <v>634</v>
      </c>
      <c r="B266" s="548"/>
      <c r="C266" s="549"/>
      <c r="D266" s="544">
        <v>46133</v>
      </c>
      <c r="E266" s="319"/>
      <c r="F266" s="320"/>
      <c r="G266" s="320"/>
      <c r="H266" s="321"/>
      <c r="I266" s="321"/>
      <c r="J266" s="320"/>
      <c r="K266" s="321"/>
      <c r="L266" s="351"/>
      <c r="M266" s="352"/>
      <c r="N266" s="353"/>
      <c r="O266" s="321"/>
      <c r="P266" s="321"/>
      <c r="Q266" s="321"/>
      <c r="R266" s="321">
        <f>2*20</f>
        <v>40</v>
      </c>
      <c r="S266" s="321"/>
      <c r="T266" s="321"/>
      <c r="U266" s="354"/>
      <c r="V266" s="352"/>
      <c r="W266" s="353">
        <f>3*20</f>
        <v>60</v>
      </c>
      <c r="X266" s="321"/>
      <c r="Y266" s="321"/>
      <c r="Z266" s="321"/>
      <c r="AA266" s="321">
        <f>3*20</f>
        <v>60</v>
      </c>
      <c r="AB266" s="321"/>
      <c r="AC266" s="321"/>
      <c r="AD266" s="380"/>
      <c r="AE266" s="352"/>
      <c r="AF266" s="408">
        <f t="shared" si="82"/>
        <v>160</v>
      </c>
      <c r="AG266" s="409"/>
      <c r="AH266" s="408"/>
      <c r="AI266" s="409">
        <f t="shared" si="80"/>
        <v>160</v>
      </c>
      <c r="AJ266" s="410"/>
      <c r="AK266" s="411">
        <f t="shared" si="81"/>
        <v>160</v>
      </c>
      <c r="AL266" s="1063"/>
      <c r="AM266" s="1063"/>
      <c r="AN266" s="1063"/>
    </row>
    <row r="267" spans="1:40" ht="20.25">
      <c r="A267" s="537" t="s">
        <v>664</v>
      </c>
      <c r="B267" s="552"/>
      <c r="C267" s="553"/>
      <c r="D267" s="544">
        <v>46134</v>
      </c>
      <c r="E267" s="3530"/>
      <c r="F267" s="542"/>
      <c r="G267" s="542"/>
      <c r="H267" s="543"/>
      <c r="I267" s="543"/>
      <c r="J267" s="542"/>
      <c r="K267" s="543"/>
      <c r="L267" s="579"/>
      <c r="M267" s="580"/>
      <c r="N267" s="581"/>
      <c r="O267" s="543"/>
      <c r="P267" s="543">
        <f>6*20</f>
        <v>120</v>
      </c>
      <c r="Q267" s="543"/>
      <c r="R267" s="543">
        <f>5*20</f>
        <v>100</v>
      </c>
      <c r="S267" s="543"/>
      <c r="T267" s="543"/>
      <c r="U267" s="587"/>
      <c r="V267" s="580"/>
      <c r="W267" s="581"/>
      <c r="X267" s="543"/>
      <c r="Y267" s="543"/>
      <c r="Z267" s="543"/>
      <c r="AA267" s="543"/>
      <c r="AB267" s="543">
        <f>1*20</f>
        <v>20</v>
      </c>
      <c r="AC267" s="543"/>
      <c r="AD267" s="592"/>
      <c r="AE267" s="580"/>
      <c r="AF267" s="593">
        <f t="shared" si="82"/>
        <v>240</v>
      </c>
      <c r="AG267" s="594"/>
      <c r="AH267" s="593"/>
      <c r="AI267" s="594">
        <f t="shared" si="80"/>
        <v>240</v>
      </c>
      <c r="AJ267" s="605"/>
      <c r="AK267" s="606">
        <f t="shared" si="81"/>
        <v>240</v>
      </c>
      <c r="AL267" s="1063"/>
      <c r="AM267" s="1063"/>
      <c r="AN267" s="1063"/>
    </row>
    <row r="268" spans="1:40" ht="20.25">
      <c r="A268" s="561" t="s">
        <v>665</v>
      </c>
      <c r="B268" s="552"/>
      <c r="C268" s="553"/>
      <c r="D268" s="544">
        <v>46134</v>
      </c>
      <c r="E268" s="319"/>
      <c r="F268" s="320"/>
      <c r="G268" s="320"/>
      <c r="H268" s="321"/>
      <c r="I268" s="321"/>
      <c r="J268" s="320"/>
      <c r="K268" s="321"/>
      <c r="L268" s="351"/>
      <c r="M268" s="352"/>
      <c r="N268" s="353"/>
      <c r="O268" s="321"/>
      <c r="P268" s="321">
        <f>4*20</f>
        <v>80</v>
      </c>
      <c r="Q268" s="321"/>
      <c r="R268" s="321">
        <f>10*20</f>
        <v>200</v>
      </c>
      <c r="S268" s="321"/>
      <c r="T268" s="321"/>
      <c r="U268" s="354"/>
      <c r="V268" s="352"/>
      <c r="W268" s="353"/>
      <c r="X268" s="321"/>
      <c r="Y268" s="321"/>
      <c r="Z268" s="321"/>
      <c r="AA268" s="321"/>
      <c r="AB268" s="321"/>
      <c r="AC268" s="321"/>
      <c r="AD268" s="380"/>
      <c r="AE268" s="352"/>
      <c r="AF268" s="408">
        <f t="shared" si="82"/>
        <v>280</v>
      </c>
      <c r="AG268" s="409"/>
      <c r="AH268" s="408"/>
      <c r="AI268" s="409">
        <f t="shared" si="80"/>
        <v>280</v>
      </c>
      <c r="AJ268" s="410"/>
      <c r="AK268" s="411">
        <f t="shared" si="81"/>
        <v>280</v>
      </c>
      <c r="AL268" s="1063"/>
      <c r="AM268" s="1063"/>
      <c r="AN268" s="1063"/>
    </row>
    <row r="269" spans="1:40" ht="20.25">
      <c r="A269" s="537" t="s">
        <v>637</v>
      </c>
      <c r="B269" s="550"/>
      <c r="C269" s="539"/>
      <c r="D269" s="555">
        <v>46134</v>
      </c>
      <c r="E269" s="541"/>
      <c r="F269" s="542"/>
      <c r="G269" s="542"/>
      <c r="H269" s="543"/>
      <c r="I269" s="543"/>
      <c r="J269" s="542"/>
      <c r="K269" s="543"/>
      <c r="L269" s="579"/>
      <c r="M269" s="580"/>
      <c r="N269" s="581"/>
      <c r="O269" s="543"/>
      <c r="P269" s="543">
        <f>4*20</f>
        <v>80</v>
      </c>
      <c r="Q269" s="543"/>
      <c r="R269" s="543">
        <f>9*20</f>
        <v>180</v>
      </c>
      <c r="S269" s="543"/>
      <c r="T269" s="543"/>
      <c r="U269" s="587"/>
      <c r="V269" s="580"/>
      <c r="W269" s="581"/>
      <c r="X269" s="543"/>
      <c r="Y269" s="543"/>
      <c r="Z269" s="543"/>
      <c r="AA269" s="543"/>
      <c r="AB269" s="543"/>
      <c r="AC269" s="543"/>
      <c r="AD269" s="592"/>
      <c r="AE269" s="580"/>
      <c r="AF269" s="593">
        <f t="shared" si="82"/>
        <v>260</v>
      </c>
      <c r="AG269" s="594"/>
      <c r="AH269" s="593"/>
      <c r="AI269" s="594">
        <f t="shared" si="80"/>
        <v>260</v>
      </c>
      <c r="AJ269" s="605"/>
      <c r="AK269" s="606">
        <f t="shared" si="81"/>
        <v>260</v>
      </c>
      <c r="AL269" s="1063"/>
      <c r="AM269" s="1063"/>
      <c r="AN269" s="1063"/>
    </row>
    <row r="270" spans="1:40" ht="20.25">
      <c r="A270" s="547" t="s">
        <v>621</v>
      </c>
      <c r="B270" s="552"/>
      <c r="C270" s="553"/>
      <c r="D270" s="544">
        <v>46134</v>
      </c>
      <c r="E270" s="319"/>
      <c r="F270" s="320"/>
      <c r="G270" s="320"/>
      <c r="H270" s="321"/>
      <c r="I270" s="321"/>
      <c r="J270" s="320"/>
      <c r="K270" s="321"/>
      <c r="L270" s="351"/>
      <c r="M270" s="352"/>
      <c r="N270" s="353"/>
      <c r="O270" s="321"/>
      <c r="P270" s="321">
        <f>1*20</f>
        <v>20</v>
      </c>
      <c r="Q270" s="321"/>
      <c r="R270" s="321"/>
      <c r="S270" s="321"/>
      <c r="T270" s="321"/>
      <c r="U270" s="354"/>
      <c r="V270" s="352"/>
      <c r="W270" s="353"/>
      <c r="X270" s="321"/>
      <c r="Y270" s="321"/>
      <c r="Z270" s="321"/>
      <c r="AA270" s="321"/>
      <c r="AB270" s="321"/>
      <c r="AC270" s="321"/>
      <c r="AD270" s="380"/>
      <c r="AE270" s="352"/>
      <c r="AF270" s="408">
        <f t="shared" si="82"/>
        <v>20</v>
      </c>
      <c r="AG270" s="409"/>
      <c r="AH270" s="408"/>
      <c r="AI270" s="409">
        <f t="shared" si="80"/>
        <v>20</v>
      </c>
      <c r="AJ270" s="410"/>
      <c r="AK270" s="411">
        <f t="shared" si="81"/>
        <v>20</v>
      </c>
      <c r="AL270" s="1063"/>
      <c r="AM270" s="1063"/>
      <c r="AN270" s="1063"/>
    </row>
    <row r="271" spans="1:40" ht="20.25">
      <c r="A271" s="537" t="s">
        <v>668</v>
      </c>
      <c r="B271" s="552"/>
      <c r="C271" s="553"/>
      <c r="D271" s="544">
        <v>46135</v>
      </c>
      <c r="E271" s="1108"/>
      <c r="F271" s="1109"/>
      <c r="G271" s="1109"/>
      <c r="H271" s="1110"/>
      <c r="I271" s="1110"/>
      <c r="J271" s="1109"/>
      <c r="K271" s="1110"/>
      <c r="L271" s="1124"/>
      <c r="M271" s="1125"/>
      <c r="N271" s="1126"/>
      <c r="O271" s="1127"/>
      <c r="P271" s="1127"/>
      <c r="Q271" s="1127"/>
      <c r="R271" s="1127"/>
      <c r="S271" s="1127"/>
      <c r="T271" s="1127"/>
      <c r="U271" s="1138"/>
      <c r="V271" s="1139"/>
      <c r="W271" s="1126">
        <f>4*20</f>
        <v>80</v>
      </c>
      <c r="X271" s="1127"/>
      <c r="Y271" s="1127"/>
      <c r="Z271" s="1127"/>
      <c r="AA271" s="1127">
        <f>4*20</f>
        <v>80</v>
      </c>
      <c r="AB271" s="1127"/>
      <c r="AC271" s="1127"/>
      <c r="AD271" s="1144"/>
      <c r="AE271" s="1139"/>
      <c r="AF271" s="1145">
        <f t="shared" si="78"/>
        <v>160</v>
      </c>
      <c r="AG271" s="1153"/>
      <c r="AH271" s="1145"/>
      <c r="AI271" s="1153">
        <f t="shared" si="80"/>
        <v>160</v>
      </c>
      <c r="AJ271" s="1154"/>
      <c r="AK271" s="1155">
        <f t="shared" si="81"/>
        <v>160</v>
      </c>
      <c r="AL271" s="1063"/>
      <c r="AM271" s="1063"/>
      <c r="AN271" s="1063"/>
    </row>
    <row r="272" spans="1:40" ht="21" thickBot="1">
      <c r="A272" s="551" t="s">
        <v>627</v>
      </c>
      <c r="B272" s="552"/>
      <c r="C272" s="553"/>
      <c r="D272" s="544">
        <v>46136</v>
      </c>
      <c r="E272" s="1108"/>
      <c r="F272" s="1109"/>
      <c r="G272" s="1109"/>
      <c r="H272" s="1110"/>
      <c r="I272" s="1110"/>
      <c r="J272" s="1109"/>
      <c r="K272" s="1110"/>
      <c r="L272" s="1124"/>
      <c r="M272" s="1128"/>
      <c r="N272" s="1129"/>
      <c r="O272" s="1130"/>
      <c r="P272" s="1130">
        <f>5*20</f>
        <v>100</v>
      </c>
      <c r="Q272" s="1130"/>
      <c r="R272" s="1130">
        <f>10*20</f>
        <v>200</v>
      </c>
      <c r="S272" s="1130"/>
      <c r="T272" s="1130"/>
      <c r="U272" s="1140"/>
      <c r="V272" s="1131"/>
      <c r="W272" s="1129"/>
      <c r="X272" s="1130"/>
      <c r="Y272" s="1130"/>
      <c r="Z272" s="1130"/>
      <c r="AA272" s="1130"/>
      <c r="AB272" s="1130"/>
      <c r="AC272" s="1130"/>
      <c r="AD272" s="1146"/>
      <c r="AE272" s="1147"/>
      <c r="AF272" s="1148">
        <f t="shared" ref="AF272:AF325" si="86">SUM(E272:AD272)</f>
        <v>300</v>
      </c>
      <c r="AG272" s="1156"/>
      <c r="AH272" s="1150"/>
      <c r="AI272" s="1156">
        <f t="shared" si="80"/>
        <v>300</v>
      </c>
      <c r="AJ272" s="1157"/>
      <c r="AK272" s="1158">
        <f t="shared" si="81"/>
        <v>300</v>
      </c>
      <c r="AL272" s="1063"/>
      <c r="AM272" s="1063"/>
      <c r="AN272" s="1063"/>
    </row>
    <row r="273" spans="1:40" ht="21" thickBot="1">
      <c r="A273" s="551" t="s">
        <v>672</v>
      </c>
      <c r="B273" s="563"/>
      <c r="C273" s="553"/>
      <c r="D273" s="544">
        <v>46136</v>
      </c>
      <c r="E273" s="1108"/>
      <c r="F273" s="1109"/>
      <c r="G273" s="1109"/>
      <c r="H273" s="1110"/>
      <c r="I273" s="1110"/>
      <c r="J273" s="1109"/>
      <c r="K273" s="1110"/>
      <c r="L273" s="1124"/>
      <c r="M273" s="1128"/>
      <c r="N273" s="1126"/>
      <c r="O273" s="1127"/>
      <c r="P273" s="1127"/>
      <c r="Q273" s="1127"/>
      <c r="R273" s="1127"/>
      <c r="S273" s="1127"/>
      <c r="T273" s="1127"/>
      <c r="U273" s="1138"/>
      <c r="V273" s="1139"/>
      <c r="W273" s="1126">
        <f>3*20</f>
        <v>60</v>
      </c>
      <c r="X273" s="1127"/>
      <c r="Y273" s="1127">
        <f>2*20</f>
        <v>40</v>
      </c>
      <c r="Z273" s="1127"/>
      <c r="AA273" s="1127"/>
      <c r="AB273" s="1127"/>
      <c r="AC273" s="1127"/>
      <c r="AD273" s="1144"/>
      <c r="AE273" s="1147"/>
      <c r="AF273" s="1145">
        <f t="shared" si="86"/>
        <v>100</v>
      </c>
      <c r="AG273" s="1153"/>
      <c r="AH273" s="1145"/>
      <c r="AI273" s="1153">
        <f t="shared" si="80"/>
        <v>100</v>
      </c>
      <c r="AJ273" s="1154"/>
      <c r="AK273" s="1155">
        <f t="shared" si="81"/>
        <v>100</v>
      </c>
      <c r="AL273" s="1063"/>
      <c r="AM273" s="1063"/>
      <c r="AN273" s="1063"/>
    </row>
    <row r="274" spans="1:40" ht="20.25">
      <c r="A274" s="547" t="s">
        <v>674</v>
      </c>
      <c r="B274" s="552"/>
      <c r="C274" s="553"/>
      <c r="D274" s="544">
        <v>46137</v>
      </c>
      <c r="E274" s="1108"/>
      <c r="F274" s="1109"/>
      <c r="G274" s="1109"/>
      <c r="H274" s="1110"/>
      <c r="I274" s="1110"/>
      <c r="J274" s="1109"/>
      <c r="K274" s="1110"/>
      <c r="L274" s="1124"/>
      <c r="M274" s="1131"/>
      <c r="N274" s="1108"/>
      <c r="O274" s="1109"/>
      <c r="P274" s="1109"/>
      <c r="Q274" s="1110"/>
      <c r="R274" s="1110"/>
      <c r="S274" s="1109"/>
      <c r="T274" s="1110"/>
      <c r="U274" s="1124"/>
      <c r="V274" s="1131"/>
      <c r="W274" s="1108">
        <f>4*20</f>
        <v>80</v>
      </c>
      <c r="X274" s="1109"/>
      <c r="Y274" s="1109">
        <f>4*20</f>
        <v>80</v>
      </c>
      <c r="Z274" s="1110"/>
      <c r="AA274" s="1110">
        <f>4*20</f>
        <v>80</v>
      </c>
      <c r="AB274" s="1109"/>
      <c r="AC274" s="1110"/>
      <c r="AD274" s="1124"/>
      <c r="AE274" s="1131"/>
      <c r="AF274" s="1148">
        <f t="shared" si="86"/>
        <v>240</v>
      </c>
      <c r="AG274" s="1156"/>
      <c r="AH274" s="1148"/>
      <c r="AI274" s="1156">
        <f t="shared" si="80"/>
        <v>240</v>
      </c>
      <c r="AJ274" s="1159"/>
      <c r="AK274" s="1158">
        <f t="shared" si="81"/>
        <v>240</v>
      </c>
      <c r="AL274" s="1063"/>
      <c r="AM274" s="1063" t="s">
        <v>478</v>
      </c>
      <c r="AN274" s="1063"/>
    </row>
    <row r="275" spans="1:40" ht="20.25">
      <c r="A275" s="537" t="s">
        <v>629</v>
      </c>
      <c r="B275" s="552"/>
      <c r="C275" s="553"/>
      <c r="D275" s="544">
        <v>46138</v>
      </c>
      <c r="E275" s="1108"/>
      <c r="F275" s="1109"/>
      <c r="G275" s="1109"/>
      <c r="H275" s="1110"/>
      <c r="I275" s="1110"/>
      <c r="J275" s="1109"/>
      <c r="K275" s="1110"/>
      <c r="L275" s="1124"/>
      <c r="M275" s="1131"/>
      <c r="N275" s="1108"/>
      <c r="O275" s="1109"/>
      <c r="P275" s="1109">
        <f>6*20</f>
        <v>120</v>
      </c>
      <c r="Q275" s="1110"/>
      <c r="R275" s="1110">
        <f>8*20</f>
        <v>160</v>
      </c>
      <c r="S275" s="1109"/>
      <c r="T275" s="1110"/>
      <c r="U275" s="1124"/>
      <c r="V275" s="1131"/>
      <c r="W275" s="1108"/>
      <c r="X275" s="1109"/>
      <c r="Y275" s="1109"/>
      <c r="Z275" s="1110"/>
      <c r="AA275" s="1110"/>
      <c r="AB275" s="1109"/>
      <c r="AC275" s="1110"/>
      <c r="AD275" s="1124"/>
      <c r="AE275" s="1131"/>
      <c r="AF275" s="1145">
        <f t="shared" si="86"/>
        <v>280</v>
      </c>
      <c r="AG275" s="1153"/>
      <c r="AH275" s="1145"/>
      <c r="AI275" s="1153">
        <f t="shared" si="80"/>
        <v>280</v>
      </c>
      <c r="AJ275" s="1154"/>
      <c r="AK275" s="1155">
        <f t="shared" si="81"/>
        <v>280</v>
      </c>
      <c r="AL275" s="1063"/>
      <c r="AM275" s="1063"/>
      <c r="AN275" s="1063"/>
    </row>
    <row r="276" spans="1:40" ht="20.25">
      <c r="A276" s="547" t="s">
        <v>677</v>
      </c>
      <c r="B276" s="563"/>
      <c r="C276" s="553"/>
      <c r="D276" s="544">
        <v>46138</v>
      </c>
      <c r="E276" s="1108"/>
      <c r="F276" s="1109"/>
      <c r="G276" s="1109"/>
      <c r="H276" s="1110"/>
      <c r="I276" s="1110"/>
      <c r="J276" s="1109"/>
      <c r="K276" s="1110"/>
      <c r="L276" s="1124"/>
      <c r="M276" s="1131"/>
      <c r="N276" s="1108"/>
      <c r="O276" s="1109"/>
      <c r="P276" s="1109"/>
      <c r="Q276" s="1110"/>
      <c r="R276" s="1110"/>
      <c r="S276" s="1109"/>
      <c r="T276" s="1110"/>
      <c r="U276" s="1124"/>
      <c r="V276" s="1131"/>
      <c r="W276" s="1108">
        <f>10*20</f>
        <v>200</v>
      </c>
      <c r="X276" s="1109"/>
      <c r="Y276" s="1109">
        <f>3*20</f>
        <v>60</v>
      </c>
      <c r="Z276" s="1110"/>
      <c r="AA276" s="1110"/>
      <c r="AB276" s="1109"/>
      <c r="AC276" s="1110"/>
      <c r="AD276" s="1124"/>
      <c r="AE276" s="1131"/>
      <c r="AF276" s="1148">
        <f t="shared" si="86"/>
        <v>260</v>
      </c>
      <c r="AG276" s="1156"/>
      <c r="AH276" s="1148"/>
      <c r="AI276" s="1156">
        <f t="shared" si="80"/>
        <v>260</v>
      </c>
      <c r="AJ276" s="1159"/>
      <c r="AK276" s="1158">
        <f t="shared" si="81"/>
        <v>260</v>
      </c>
      <c r="AL276" s="1063"/>
      <c r="AM276" s="1063"/>
      <c r="AN276" s="1063"/>
    </row>
    <row r="277" spans="1:40" ht="20.25">
      <c r="A277" s="551" t="s">
        <v>634</v>
      </c>
      <c r="B277" s="552"/>
      <c r="C277" s="553"/>
      <c r="D277" s="544">
        <v>46138</v>
      </c>
      <c r="E277" s="1108"/>
      <c r="F277" s="1109"/>
      <c r="G277" s="1109"/>
      <c r="H277" s="1110"/>
      <c r="I277" s="1110"/>
      <c r="J277" s="1109"/>
      <c r="K277" s="1110"/>
      <c r="L277" s="1124"/>
      <c r="M277" s="1131"/>
      <c r="N277" s="1108"/>
      <c r="O277" s="1109"/>
      <c r="P277" s="1109">
        <f>3*20</f>
        <v>60</v>
      </c>
      <c r="Q277" s="1110"/>
      <c r="R277" s="1110">
        <f>7*20</f>
        <v>140</v>
      </c>
      <c r="S277" s="1109"/>
      <c r="T277" s="1110"/>
      <c r="U277" s="1124"/>
      <c r="V277" s="1131"/>
      <c r="W277" s="1108">
        <f>3*20</f>
        <v>60</v>
      </c>
      <c r="X277" s="1109"/>
      <c r="Y277" s="1109"/>
      <c r="Z277" s="1110"/>
      <c r="AA277" s="1110">
        <f>2*20</f>
        <v>40</v>
      </c>
      <c r="AB277" s="1109"/>
      <c r="AC277" s="1110"/>
      <c r="AD277" s="1124"/>
      <c r="AE277" s="1131"/>
      <c r="AF277" s="1145">
        <f t="shared" si="86"/>
        <v>300</v>
      </c>
      <c r="AG277" s="1153"/>
      <c r="AH277" s="1145"/>
      <c r="AI277" s="1153">
        <f t="shared" si="80"/>
        <v>300</v>
      </c>
      <c r="AJ277" s="1154"/>
      <c r="AK277" s="1155">
        <f t="shared" si="81"/>
        <v>300</v>
      </c>
      <c r="AL277" s="1063"/>
      <c r="AM277" s="1063"/>
      <c r="AN277" s="1063"/>
    </row>
    <row r="278" spans="1:40" ht="20.25">
      <c r="A278" s="537" t="s">
        <v>679</v>
      </c>
      <c r="B278" s="552"/>
      <c r="C278" s="553"/>
      <c r="D278" s="544">
        <v>46139</v>
      </c>
      <c r="E278" s="1108"/>
      <c r="F278" s="1109"/>
      <c r="G278" s="1109"/>
      <c r="H278" s="1110"/>
      <c r="I278" s="1110"/>
      <c r="J278" s="1109"/>
      <c r="K278" s="1110"/>
      <c r="L278" s="1124"/>
      <c r="M278" s="1131"/>
      <c r="N278" s="1108"/>
      <c r="O278" s="1109"/>
      <c r="P278" s="1109"/>
      <c r="Q278" s="1110"/>
      <c r="R278" s="1110"/>
      <c r="S278" s="1109"/>
      <c r="T278" s="1110"/>
      <c r="U278" s="1124"/>
      <c r="V278" s="1131"/>
      <c r="W278" s="1108">
        <f>1*20</f>
        <v>20</v>
      </c>
      <c r="X278" s="1109"/>
      <c r="Y278" s="1109">
        <f>4*20</f>
        <v>80</v>
      </c>
      <c r="Z278" s="1110"/>
      <c r="AA278" s="1110">
        <f>2*20</f>
        <v>40</v>
      </c>
      <c r="AB278" s="1109"/>
      <c r="AC278" s="1110"/>
      <c r="AD278" s="1124"/>
      <c r="AE278" s="1131"/>
      <c r="AF278" s="1148">
        <f t="shared" si="86"/>
        <v>140</v>
      </c>
      <c r="AG278" s="1156"/>
      <c r="AH278" s="1148"/>
      <c r="AI278" s="1156">
        <f t="shared" si="80"/>
        <v>140</v>
      </c>
      <c r="AJ278" s="1159"/>
      <c r="AK278" s="1158">
        <f t="shared" si="81"/>
        <v>140</v>
      </c>
      <c r="AL278" s="1063"/>
      <c r="AM278" s="1063"/>
      <c r="AN278" s="1063"/>
    </row>
    <row r="279" spans="1:40" ht="20.25">
      <c r="A279" s="537" t="s">
        <v>680</v>
      </c>
      <c r="B279" s="552"/>
      <c r="C279" s="553"/>
      <c r="D279" s="555">
        <v>46139</v>
      </c>
      <c r="E279" s="1108"/>
      <c r="F279" s="1109"/>
      <c r="G279" s="1109"/>
      <c r="H279" s="1110"/>
      <c r="I279" s="1110"/>
      <c r="J279" s="1109"/>
      <c r="K279" s="1110"/>
      <c r="L279" s="1124"/>
      <c r="M279" s="1125"/>
      <c r="N279" s="1108"/>
      <c r="O279" s="1109"/>
      <c r="P279" s="1109">
        <f>4*20</f>
        <v>80</v>
      </c>
      <c r="Q279" s="1110"/>
      <c r="R279" s="1110">
        <f>22*20</f>
        <v>440</v>
      </c>
      <c r="S279" s="1109"/>
      <c r="T279" s="1110"/>
      <c r="U279" s="1124"/>
      <c r="V279" s="1139"/>
      <c r="W279" s="1126"/>
      <c r="X279" s="1127"/>
      <c r="Y279" s="1127"/>
      <c r="Z279" s="1127"/>
      <c r="AA279" s="1127"/>
      <c r="AB279" s="1127"/>
      <c r="AC279" s="1127"/>
      <c r="AD279" s="1144"/>
      <c r="AE279" s="1139"/>
      <c r="AF279" s="1145">
        <f t="shared" si="86"/>
        <v>520</v>
      </c>
      <c r="AG279" s="1153"/>
      <c r="AH279" s="1145"/>
      <c r="AI279" s="1153">
        <f t="shared" si="80"/>
        <v>520</v>
      </c>
      <c r="AJ279" s="1154"/>
      <c r="AK279" s="1155">
        <f t="shared" si="81"/>
        <v>520</v>
      </c>
      <c r="AL279" s="1063"/>
      <c r="AM279" s="1063"/>
      <c r="AN279" s="1063"/>
    </row>
    <row r="280" spans="1:40" ht="20.25">
      <c r="A280" s="537" t="s">
        <v>684</v>
      </c>
      <c r="B280" s="563"/>
      <c r="C280" s="553"/>
      <c r="D280" s="544">
        <v>46140</v>
      </c>
      <c r="E280" s="1108"/>
      <c r="F280" s="1109"/>
      <c r="G280" s="1109"/>
      <c r="H280" s="1110"/>
      <c r="I280" s="1110"/>
      <c r="J280" s="1109"/>
      <c r="K280" s="1110"/>
      <c r="L280" s="1124"/>
      <c r="M280" s="1125"/>
      <c r="N280" s="1108"/>
      <c r="O280" s="1109"/>
      <c r="P280" s="1109">
        <f>1*20</f>
        <v>20</v>
      </c>
      <c r="Q280" s="1110"/>
      <c r="R280" s="1110"/>
      <c r="S280" s="1109"/>
      <c r="T280" s="1110"/>
      <c r="U280" s="1124"/>
      <c r="V280" s="1139"/>
      <c r="W280" s="1126"/>
      <c r="X280" s="1127"/>
      <c r="Y280" s="1127"/>
      <c r="Z280" s="1127"/>
      <c r="AA280" s="1127">
        <f>1*20</f>
        <v>20</v>
      </c>
      <c r="AB280" s="1127"/>
      <c r="AC280" s="1127"/>
      <c r="AD280" s="1144"/>
      <c r="AE280" s="1139"/>
      <c r="AF280" s="1145">
        <f t="shared" si="86"/>
        <v>40</v>
      </c>
      <c r="AG280" s="1153"/>
      <c r="AH280" s="1145"/>
      <c r="AI280" s="1153">
        <f t="shared" si="80"/>
        <v>40</v>
      </c>
      <c r="AJ280" s="1154"/>
      <c r="AK280" s="1155">
        <f t="shared" si="81"/>
        <v>40</v>
      </c>
      <c r="AL280" s="1063"/>
      <c r="AM280" s="1063"/>
      <c r="AN280" s="1063"/>
    </row>
    <row r="281" spans="1:40" ht="20.25">
      <c r="A281" s="537" t="s">
        <v>639</v>
      </c>
      <c r="B281" s="552"/>
      <c r="C281" s="553"/>
      <c r="D281" s="544">
        <v>46140</v>
      </c>
      <c r="E281" s="1108"/>
      <c r="F281" s="1109"/>
      <c r="G281" s="1109"/>
      <c r="H281" s="1110"/>
      <c r="I281" s="1110"/>
      <c r="J281" s="1109"/>
      <c r="K281" s="1110"/>
      <c r="L281" s="1124"/>
      <c r="M281" s="1125"/>
      <c r="N281" s="1108"/>
      <c r="O281" s="1109"/>
      <c r="P281" s="1109">
        <f>5*20</f>
        <v>100</v>
      </c>
      <c r="Q281" s="1110"/>
      <c r="R281" s="1110">
        <f>5*20</f>
        <v>100</v>
      </c>
      <c r="S281" s="1109"/>
      <c r="T281" s="1110"/>
      <c r="U281" s="1124"/>
      <c r="V281" s="1139"/>
      <c r="W281" s="1126"/>
      <c r="X281" s="1127"/>
      <c r="Y281" s="1127"/>
      <c r="Z281" s="1127"/>
      <c r="AA281" s="1127"/>
      <c r="AB281" s="1127"/>
      <c r="AC281" s="1127"/>
      <c r="AD281" s="1144"/>
      <c r="AE281" s="1139"/>
      <c r="AF281" s="1145">
        <f t="shared" si="86"/>
        <v>200</v>
      </c>
      <c r="AG281" s="1153"/>
      <c r="AH281" s="1145"/>
      <c r="AI281" s="1153">
        <f t="shared" si="80"/>
        <v>200</v>
      </c>
      <c r="AJ281" s="1154"/>
      <c r="AK281" s="1155">
        <f t="shared" si="81"/>
        <v>200</v>
      </c>
      <c r="AL281" s="1063"/>
      <c r="AM281" s="1063"/>
      <c r="AN281" s="1063"/>
    </row>
    <row r="282" spans="1:40" ht="20.25">
      <c r="A282" s="551" t="s">
        <v>637</v>
      </c>
      <c r="B282" s="552"/>
      <c r="C282" s="553"/>
      <c r="D282" s="544">
        <v>46141</v>
      </c>
      <c r="E282" s="1108"/>
      <c r="F282" s="1109"/>
      <c r="G282" s="1109"/>
      <c r="H282" s="1110"/>
      <c r="I282" s="1110"/>
      <c r="J282" s="1109"/>
      <c r="K282" s="1110"/>
      <c r="L282" s="1124"/>
      <c r="M282" s="1125"/>
      <c r="N282" s="1108"/>
      <c r="O282" s="1109"/>
      <c r="P282" s="1109">
        <f>5*20</f>
        <v>100</v>
      </c>
      <c r="Q282" s="1110"/>
      <c r="R282" s="1110">
        <f>5*20</f>
        <v>100</v>
      </c>
      <c r="S282" s="1109"/>
      <c r="T282" s="1110"/>
      <c r="U282" s="1124"/>
      <c r="V282" s="1139"/>
      <c r="W282" s="1126"/>
      <c r="X282" s="1127"/>
      <c r="Y282" s="1127"/>
      <c r="Z282" s="1127"/>
      <c r="AA282" s="1127"/>
      <c r="AB282" s="1127"/>
      <c r="AC282" s="1127"/>
      <c r="AD282" s="1144"/>
      <c r="AE282" s="1139"/>
      <c r="AF282" s="1145">
        <f t="shared" ref="AF282" si="87">SUM(E282:AD282)</f>
        <v>200</v>
      </c>
      <c r="AG282" s="1153"/>
      <c r="AH282" s="1145"/>
      <c r="AI282" s="1153">
        <f t="shared" ref="AI282" si="88">AF282+AG282+AH282</f>
        <v>200</v>
      </c>
      <c r="AJ282" s="1154"/>
      <c r="AK282" s="1155">
        <f t="shared" ref="AK282" si="89">AI282+AJ282</f>
        <v>200</v>
      </c>
      <c r="AL282" s="1063"/>
      <c r="AM282" s="1063"/>
      <c r="AN282" s="1063"/>
    </row>
    <row r="283" spans="1:40" ht="20.25">
      <c r="A283" s="537" t="s">
        <v>635</v>
      </c>
      <c r="B283" s="538"/>
      <c r="C283" s="3079"/>
      <c r="D283" s="544">
        <v>46141</v>
      </c>
      <c r="E283" s="1108"/>
      <c r="F283" s="1109"/>
      <c r="G283" s="1109"/>
      <c r="H283" s="1110"/>
      <c r="I283" s="1110"/>
      <c r="J283" s="1109"/>
      <c r="K283" s="1110"/>
      <c r="L283" s="1124"/>
      <c r="M283" s="1125"/>
      <c r="N283" s="1108"/>
      <c r="O283" s="1109"/>
      <c r="P283" s="1109">
        <f>2*20</f>
        <v>40</v>
      </c>
      <c r="Q283" s="1110"/>
      <c r="R283" s="1110">
        <f>6*20</f>
        <v>120</v>
      </c>
      <c r="S283" s="1109"/>
      <c r="T283" s="1110"/>
      <c r="U283" s="1124"/>
      <c r="V283" s="1139"/>
      <c r="W283" s="1126"/>
      <c r="X283" s="1127"/>
      <c r="Y283" s="1127"/>
      <c r="Z283" s="1127"/>
      <c r="AA283" s="1127">
        <f>2*20</f>
        <v>40</v>
      </c>
      <c r="AB283" s="1127"/>
      <c r="AC283" s="1127"/>
      <c r="AD283" s="1144"/>
      <c r="AE283" s="1139"/>
      <c r="AF283" s="1145">
        <f t="shared" ref="AF283" si="90">SUM(E283:AD283)</f>
        <v>200</v>
      </c>
      <c r="AG283" s="1153"/>
      <c r="AH283" s="1145"/>
      <c r="AI283" s="1153">
        <f t="shared" ref="AI283" si="91">AF283+AG283+AH283</f>
        <v>200</v>
      </c>
      <c r="AJ283" s="1154"/>
      <c r="AK283" s="1155">
        <f t="shared" ref="AK283" si="92">AI283+AJ283</f>
        <v>200</v>
      </c>
      <c r="AL283" s="1063"/>
      <c r="AM283" s="1063"/>
      <c r="AN283" s="1063"/>
    </row>
    <row r="284" spans="1:40" ht="20.25">
      <c r="A284" s="547" t="s">
        <v>686</v>
      </c>
      <c r="B284" s="552"/>
      <c r="C284"/>
      <c r="D284" s="544">
        <v>46141</v>
      </c>
      <c r="E284" s="1108"/>
      <c r="F284" s="1109"/>
      <c r="G284" s="1109"/>
      <c r="H284" s="1110"/>
      <c r="I284" s="1110"/>
      <c r="J284" s="1109"/>
      <c r="K284" s="1110"/>
      <c r="L284" s="1124"/>
      <c r="M284" s="1125"/>
      <c r="N284" s="1108"/>
      <c r="O284" s="1109"/>
      <c r="P284" s="1109"/>
      <c r="Q284" s="1110"/>
      <c r="R284" s="1110">
        <f>2*20</f>
        <v>40</v>
      </c>
      <c r="S284" s="1109"/>
      <c r="T284" s="1110"/>
      <c r="U284" s="1124"/>
      <c r="V284" s="1139"/>
      <c r="W284" s="1126"/>
      <c r="X284" s="1127"/>
      <c r="Y284" s="1127"/>
      <c r="Z284" s="1127"/>
      <c r="AA284" s="1127">
        <f>4*20</f>
        <v>80</v>
      </c>
      <c r="AB284" s="1127"/>
      <c r="AC284" s="1127"/>
      <c r="AD284" s="1144"/>
      <c r="AE284" s="1139"/>
      <c r="AF284" s="1145">
        <f t="shared" si="86"/>
        <v>120</v>
      </c>
      <c r="AG284" s="1153"/>
      <c r="AH284" s="1145"/>
      <c r="AI284" s="1153">
        <f t="shared" si="80"/>
        <v>120</v>
      </c>
      <c r="AJ284" s="1154"/>
      <c r="AK284" s="1155">
        <f t="shared" si="81"/>
        <v>120</v>
      </c>
      <c r="AL284" s="1063"/>
      <c r="AM284" s="1063"/>
      <c r="AN284" s="1063"/>
    </row>
    <row r="285" spans="1:40" ht="20.25">
      <c r="A285" s="537" t="s">
        <v>659</v>
      </c>
      <c r="B285" s="552"/>
      <c r="C285" s="553"/>
      <c r="D285" s="544">
        <v>46142</v>
      </c>
      <c r="E285" s="1108"/>
      <c r="F285" s="1109"/>
      <c r="G285" s="1109"/>
      <c r="H285" s="1110"/>
      <c r="I285" s="1110"/>
      <c r="J285" s="1109"/>
      <c r="K285" s="1110"/>
      <c r="L285" s="1124"/>
      <c r="M285" s="1125"/>
      <c r="N285" s="1108"/>
      <c r="O285" s="1109"/>
      <c r="P285" s="1109">
        <f>2*20</f>
        <v>40</v>
      </c>
      <c r="Q285" s="1110"/>
      <c r="R285" s="1110"/>
      <c r="S285" s="1109"/>
      <c r="T285" s="1110"/>
      <c r="U285" s="1124"/>
      <c r="V285" s="1139"/>
      <c r="W285" s="1126"/>
      <c r="X285" s="1127"/>
      <c r="Y285" s="1127"/>
      <c r="Z285" s="1127"/>
      <c r="AA285" s="1127"/>
      <c r="AB285" s="1127"/>
      <c r="AC285" s="1127"/>
      <c r="AD285" s="1144"/>
      <c r="AE285" s="1139"/>
      <c r="AF285" s="1145">
        <f t="shared" si="86"/>
        <v>40</v>
      </c>
      <c r="AG285" s="1153"/>
      <c r="AH285" s="1145"/>
      <c r="AI285" s="1153">
        <f t="shared" si="80"/>
        <v>40</v>
      </c>
      <c r="AJ285" s="1154"/>
      <c r="AK285" s="1155">
        <f t="shared" si="81"/>
        <v>40</v>
      </c>
      <c r="AL285" s="1063"/>
      <c r="AM285" s="1063"/>
      <c r="AN285" s="1063"/>
    </row>
    <row r="286" spans="1:40" ht="20.25">
      <c r="A286" s="537" t="s">
        <v>665</v>
      </c>
      <c r="B286" s="550"/>
      <c r="C286" s="549"/>
      <c r="D286" s="544">
        <v>46142</v>
      </c>
      <c r="E286" s="1108"/>
      <c r="F286" s="1109"/>
      <c r="G286" s="1109"/>
      <c r="H286" s="1110"/>
      <c r="I286" s="1110"/>
      <c r="J286" s="1109"/>
      <c r="K286" s="1110"/>
      <c r="L286" s="1124"/>
      <c r="M286" s="1125"/>
      <c r="N286" s="1108"/>
      <c r="O286" s="1109"/>
      <c r="P286" s="1109"/>
      <c r="Q286" s="1110"/>
      <c r="R286" s="1110"/>
      <c r="S286" s="1109"/>
      <c r="T286" s="1110"/>
      <c r="U286" s="1124"/>
      <c r="V286" s="1139"/>
      <c r="W286" s="1126">
        <f>12*20</f>
        <v>240</v>
      </c>
      <c r="X286" s="1127"/>
      <c r="Y286" s="1127"/>
      <c r="Z286" s="1127"/>
      <c r="AA286" s="1127"/>
      <c r="AB286" s="1127"/>
      <c r="AC286" s="1127"/>
      <c r="AD286" s="1144"/>
      <c r="AE286" s="1139"/>
      <c r="AF286" s="1145">
        <f t="shared" ref="AF286" si="93">SUM(E286:AD286)</f>
        <v>240</v>
      </c>
      <c r="AG286" s="1153"/>
      <c r="AH286" s="1145"/>
      <c r="AI286" s="1153">
        <f t="shared" ref="AI286" si="94">AF286+AG286+AH286</f>
        <v>240</v>
      </c>
      <c r="AJ286" s="1154"/>
      <c r="AK286" s="1155">
        <f t="shared" ref="AK286" si="95">AI286+AJ286</f>
        <v>240</v>
      </c>
      <c r="AL286" s="1063"/>
      <c r="AM286" s="1063"/>
      <c r="AN286" s="1063"/>
    </row>
    <row r="287" spans="1:40" ht="20.25">
      <c r="A287" s="551" t="s">
        <v>619</v>
      </c>
      <c r="B287" s="538"/>
      <c r="C287" s="539"/>
      <c r="D287" s="544">
        <v>46142</v>
      </c>
      <c r="E287" s="1108"/>
      <c r="F287" s="1109"/>
      <c r="G287" s="1109"/>
      <c r="H287" s="1110"/>
      <c r="I287" s="1110"/>
      <c r="J287" s="1109"/>
      <c r="K287" s="1110"/>
      <c r="L287" s="1124"/>
      <c r="M287" s="1125"/>
      <c r="N287" s="1108"/>
      <c r="O287" s="1109"/>
      <c r="P287" s="1109"/>
      <c r="Q287" s="1110">
        <f>1*20</f>
        <v>20</v>
      </c>
      <c r="R287" s="1110"/>
      <c r="S287" s="1109"/>
      <c r="T287" s="1110"/>
      <c r="U287" s="1124">
        <f>1*20</f>
        <v>20</v>
      </c>
      <c r="V287" s="1139"/>
      <c r="W287" s="1126">
        <f>10*20</f>
        <v>200</v>
      </c>
      <c r="X287" s="1127"/>
      <c r="Y287" s="1127"/>
      <c r="Z287" s="1127"/>
      <c r="AA287" s="1127"/>
      <c r="AB287" s="1127"/>
      <c r="AC287" s="1127"/>
      <c r="AD287" s="1144"/>
      <c r="AE287" s="1139"/>
      <c r="AF287" s="1145">
        <f t="shared" ref="AF287" si="96">SUM(E287:AD287)</f>
        <v>240</v>
      </c>
      <c r="AG287" s="1153"/>
      <c r="AH287" s="1145"/>
      <c r="AI287" s="1153">
        <f t="shared" ref="AI287" si="97">AF287+AG287+AH287</f>
        <v>240</v>
      </c>
      <c r="AJ287" s="1154"/>
      <c r="AK287" s="1155">
        <f t="shared" ref="AK287" si="98">AI287+AJ287</f>
        <v>240</v>
      </c>
      <c r="AL287" s="1063"/>
      <c r="AM287" s="1063"/>
      <c r="AN287" s="1063"/>
    </row>
    <row r="288" spans="1:40" ht="20.25">
      <c r="A288" s="537"/>
      <c r="B288" s="1112"/>
      <c r="C288" s="1113"/>
      <c r="D288" s="1114"/>
      <c r="E288" s="1108"/>
      <c r="F288" s="1109"/>
      <c r="G288" s="1109"/>
      <c r="H288" s="1110"/>
      <c r="I288" s="1110"/>
      <c r="J288" s="1109"/>
      <c r="K288" s="1110"/>
      <c r="L288" s="1124"/>
      <c r="M288" s="1125"/>
      <c r="N288" s="1108"/>
      <c r="O288" s="1109"/>
      <c r="P288" s="1109"/>
      <c r="Q288" s="1110"/>
      <c r="R288" s="1110"/>
      <c r="S288" s="1109"/>
      <c r="T288" s="1110"/>
      <c r="U288" s="1124"/>
      <c r="V288" s="1139"/>
      <c r="W288" s="1126"/>
      <c r="X288" s="1127"/>
      <c r="Y288" s="1127"/>
      <c r="Z288" s="1127"/>
      <c r="AA288" s="1127"/>
      <c r="AB288" s="1127"/>
      <c r="AC288" s="1127"/>
      <c r="AD288" s="1144"/>
      <c r="AE288" s="1139"/>
      <c r="AF288" s="1145">
        <f t="shared" ref="AF288:AF291" si="99">SUM(E288:AD288)</f>
        <v>0</v>
      </c>
      <c r="AG288" s="1153"/>
      <c r="AH288" s="1145"/>
      <c r="AI288" s="1153">
        <f t="shared" ref="AI288:AI291" si="100">AF288+AG288+AH288</f>
        <v>0</v>
      </c>
      <c r="AJ288" s="1154"/>
      <c r="AK288" s="1155">
        <f t="shared" ref="AK288:AK291" si="101">AI288+AJ288</f>
        <v>0</v>
      </c>
      <c r="AL288" s="1063"/>
      <c r="AM288" s="1063"/>
      <c r="AN288" s="1063"/>
    </row>
    <row r="289" spans="1:40" ht="20.25">
      <c r="A289" s="537"/>
      <c r="B289" s="1112"/>
      <c r="C289" s="1113"/>
      <c r="D289" s="1114"/>
      <c r="E289" s="1108"/>
      <c r="F289" s="1109"/>
      <c r="G289" s="1109"/>
      <c r="H289" s="1110"/>
      <c r="I289" s="1110"/>
      <c r="J289" s="1109"/>
      <c r="K289" s="1110"/>
      <c r="L289" s="1124"/>
      <c r="M289" s="1125"/>
      <c r="N289" s="1108"/>
      <c r="O289" s="1109"/>
      <c r="P289" s="1109"/>
      <c r="Q289" s="1110"/>
      <c r="R289" s="1110"/>
      <c r="S289" s="1109"/>
      <c r="T289" s="1110"/>
      <c r="U289" s="1124"/>
      <c r="V289" s="1139"/>
      <c r="W289" s="1126"/>
      <c r="X289" s="1127"/>
      <c r="Y289" s="1127"/>
      <c r="Z289" s="1127"/>
      <c r="AA289" s="1127"/>
      <c r="AB289" s="1127"/>
      <c r="AC289" s="1127"/>
      <c r="AD289" s="1144"/>
      <c r="AE289" s="1139"/>
      <c r="AF289" s="1145">
        <f t="shared" si="99"/>
        <v>0</v>
      </c>
      <c r="AG289" s="1153"/>
      <c r="AH289" s="1145"/>
      <c r="AI289" s="1153">
        <f t="shared" si="100"/>
        <v>0</v>
      </c>
      <c r="AJ289" s="1154"/>
      <c r="AK289" s="1155">
        <f t="shared" si="101"/>
        <v>0</v>
      </c>
      <c r="AL289" s="1063"/>
      <c r="AM289" s="1063"/>
      <c r="AN289" s="1063"/>
    </row>
    <row r="290" spans="1:40" ht="20.25">
      <c r="A290" s="537"/>
      <c r="B290" s="552"/>
      <c r="C290" s="553"/>
      <c r="D290" s="544"/>
      <c r="E290" s="1108"/>
      <c r="F290" s="1109"/>
      <c r="G290" s="1109"/>
      <c r="H290" s="1110"/>
      <c r="I290" s="1110"/>
      <c r="J290" s="1109"/>
      <c r="K290" s="1110"/>
      <c r="L290" s="1124"/>
      <c r="M290" s="1125"/>
      <c r="N290" s="1108"/>
      <c r="O290" s="1109"/>
      <c r="P290" s="1109"/>
      <c r="Q290" s="1110"/>
      <c r="R290" s="1110"/>
      <c r="S290" s="1109"/>
      <c r="T290" s="1110"/>
      <c r="U290" s="1124"/>
      <c r="V290" s="1139"/>
      <c r="W290" s="1126"/>
      <c r="X290" s="1127"/>
      <c r="Y290" s="1127"/>
      <c r="Z290" s="1127"/>
      <c r="AA290" s="1127"/>
      <c r="AB290" s="1127"/>
      <c r="AC290" s="1127"/>
      <c r="AD290" s="1144"/>
      <c r="AE290" s="1139"/>
      <c r="AF290" s="1145">
        <f t="shared" ref="AF290" si="102">SUM(E290:AD290)</f>
        <v>0</v>
      </c>
      <c r="AG290" s="1153"/>
      <c r="AH290" s="1145"/>
      <c r="AI290" s="1153">
        <f t="shared" ref="AI290" si="103">AF290+AG290+AH290</f>
        <v>0</v>
      </c>
      <c r="AJ290" s="1154"/>
      <c r="AK290" s="1155">
        <f t="shared" ref="AK290" si="104">AI290+AJ290</f>
        <v>0</v>
      </c>
      <c r="AL290" s="1063"/>
      <c r="AM290" s="1063"/>
      <c r="AN290" s="1063"/>
    </row>
    <row r="291" spans="1:40" ht="20.25">
      <c r="A291" s="547"/>
      <c r="B291" s="550"/>
      <c r="C291" s="549"/>
      <c r="D291" s="544"/>
      <c r="E291" s="1108"/>
      <c r="F291" s="1109"/>
      <c r="G291" s="1109"/>
      <c r="H291" s="1110"/>
      <c r="I291" s="1110"/>
      <c r="J291" s="1109"/>
      <c r="K291" s="1110"/>
      <c r="L291" s="1124"/>
      <c r="M291" s="1125"/>
      <c r="N291" s="1108"/>
      <c r="O291" s="1109"/>
      <c r="P291" s="1109"/>
      <c r="Q291" s="1110"/>
      <c r="R291" s="1110"/>
      <c r="S291" s="1109"/>
      <c r="T291" s="1110"/>
      <c r="U291" s="1124"/>
      <c r="V291" s="1139"/>
      <c r="W291" s="1126"/>
      <c r="X291" s="1127"/>
      <c r="Y291" s="1127"/>
      <c r="Z291" s="1127"/>
      <c r="AA291" s="1127"/>
      <c r="AB291" s="1127"/>
      <c r="AC291" s="1127"/>
      <c r="AD291" s="1144"/>
      <c r="AE291" s="1139"/>
      <c r="AF291" s="1145">
        <f t="shared" si="99"/>
        <v>0</v>
      </c>
      <c r="AG291" s="1153"/>
      <c r="AH291" s="1145"/>
      <c r="AI291" s="1153">
        <f t="shared" si="100"/>
        <v>0</v>
      </c>
      <c r="AJ291" s="1154"/>
      <c r="AK291" s="1155">
        <f t="shared" si="101"/>
        <v>0</v>
      </c>
      <c r="AL291" s="1063"/>
      <c r="AM291" s="1063"/>
      <c r="AN291" s="1063"/>
    </row>
    <row r="292" spans="1:40" ht="20.25">
      <c r="A292" s="547"/>
      <c r="B292" s="550"/>
      <c r="C292" s="549"/>
      <c r="D292" s="544"/>
      <c r="E292" s="1108"/>
      <c r="F292" s="1109"/>
      <c r="G292" s="1109"/>
      <c r="H292" s="1110"/>
      <c r="I292" s="1110"/>
      <c r="J292" s="1109"/>
      <c r="K292" s="1110"/>
      <c r="L292" s="1124"/>
      <c r="M292" s="1125"/>
      <c r="N292" s="1108"/>
      <c r="O292" s="1109"/>
      <c r="P292" s="1109"/>
      <c r="Q292" s="1110"/>
      <c r="R292" s="1110"/>
      <c r="S292" s="1109"/>
      <c r="T292" s="1110"/>
      <c r="U292" s="1124"/>
      <c r="V292" s="1139"/>
      <c r="W292" s="1126"/>
      <c r="X292" s="1127"/>
      <c r="Y292" s="1127"/>
      <c r="Z292" s="1127"/>
      <c r="AA292" s="1127"/>
      <c r="AB292" s="1127"/>
      <c r="AC292" s="1127"/>
      <c r="AD292" s="1144"/>
      <c r="AE292" s="1139"/>
      <c r="AF292" s="1145">
        <f t="shared" ref="AF292:AF294" si="105">SUM(E292:AD292)</f>
        <v>0</v>
      </c>
      <c r="AG292" s="1153"/>
      <c r="AH292" s="1145"/>
      <c r="AI292" s="1153">
        <f t="shared" ref="AI292:AI294" si="106">AF292+AG292+AH292</f>
        <v>0</v>
      </c>
      <c r="AJ292" s="1154"/>
      <c r="AK292" s="1155">
        <f t="shared" ref="AK292:AK294" si="107">AI292+AJ292</f>
        <v>0</v>
      </c>
      <c r="AL292" s="1063"/>
      <c r="AM292" s="1063"/>
      <c r="AN292" s="1063"/>
    </row>
    <row r="293" spans="1:40" ht="20.25">
      <c r="A293" s="537"/>
      <c r="B293" s="550"/>
      <c r="C293" s="549"/>
      <c r="D293" s="544"/>
      <c r="E293" s="1108"/>
      <c r="F293" s="1109"/>
      <c r="G293" s="1109"/>
      <c r="H293" s="1110"/>
      <c r="I293" s="1110"/>
      <c r="J293" s="1109"/>
      <c r="K293" s="1110"/>
      <c r="L293" s="1124"/>
      <c r="M293" s="1125"/>
      <c r="N293" s="1108"/>
      <c r="O293" s="1109"/>
      <c r="P293" s="1109"/>
      <c r="Q293" s="1110"/>
      <c r="R293" s="1110"/>
      <c r="S293" s="1109"/>
      <c r="T293" s="1110"/>
      <c r="U293" s="1124"/>
      <c r="V293" s="1139"/>
      <c r="W293" s="1126"/>
      <c r="X293" s="1127"/>
      <c r="Y293" s="1127"/>
      <c r="Z293" s="1127"/>
      <c r="AA293" s="1127"/>
      <c r="AB293" s="1127"/>
      <c r="AC293" s="1127"/>
      <c r="AD293" s="1144"/>
      <c r="AE293" s="1139"/>
      <c r="AF293" s="1145">
        <f t="shared" si="105"/>
        <v>0</v>
      </c>
      <c r="AG293" s="1153"/>
      <c r="AH293" s="1145"/>
      <c r="AI293" s="1153">
        <f t="shared" si="106"/>
        <v>0</v>
      </c>
      <c r="AJ293" s="1154"/>
      <c r="AK293" s="1155">
        <f t="shared" si="107"/>
        <v>0</v>
      </c>
      <c r="AL293" s="1063"/>
      <c r="AM293" s="1063"/>
      <c r="AN293" s="1063"/>
    </row>
    <row r="294" spans="1:40" ht="20.25">
      <c r="A294" s="537"/>
      <c r="B294" s="550"/>
      <c r="C294" s="549"/>
      <c r="D294" s="544"/>
      <c r="E294" s="1108"/>
      <c r="F294" s="1109"/>
      <c r="G294" s="1109"/>
      <c r="H294" s="1110"/>
      <c r="I294" s="1110"/>
      <c r="J294" s="1109"/>
      <c r="K294" s="1110"/>
      <c r="L294" s="1124"/>
      <c r="M294" s="1125"/>
      <c r="N294" s="1108"/>
      <c r="O294" s="1109"/>
      <c r="P294" s="1109"/>
      <c r="Q294" s="1110"/>
      <c r="R294" s="1110"/>
      <c r="S294" s="1109"/>
      <c r="T294" s="1110"/>
      <c r="U294" s="1124"/>
      <c r="V294" s="1139"/>
      <c r="W294" s="1126"/>
      <c r="X294" s="1127"/>
      <c r="Y294" s="1127"/>
      <c r="Z294" s="1127"/>
      <c r="AA294" s="1127"/>
      <c r="AB294" s="1127"/>
      <c r="AC294" s="1127"/>
      <c r="AD294" s="1144"/>
      <c r="AE294" s="1139"/>
      <c r="AF294" s="1145">
        <f t="shared" si="105"/>
        <v>0</v>
      </c>
      <c r="AG294" s="1153"/>
      <c r="AH294" s="1145"/>
      <c r="AI294" s="1153">
        <f t="shared" si="106"/>
        <v>0</v>
      </c>
      <c r="AJ294" s="1154"/>
      <c r="AK294" s="1155">
        <f t="shared" si="107"/>
        <v>0</v>
      </c>
      <c r="AL294" s="1063"/>
      <c r="AM294" s="1063"/>
      <c r="AN294" s="1063"/>
    </row>
    <row r="295" spans="1:40" ht="20.25">
      <c r="A295" s="537"/>
      <c r="B295" s="550"/>
      <c r="C295" s="549"/>
      <c r="D295" s="544"/>
      <c r="E295" s="1108"/>
      <c r="F295" s="1109"/>
      <c r="G295" s="1109"/>
      <c r="H295" s="1110"/>
      <c r="I295" s="1110"/>
      <c r="J295" s="1109"/>
      <c r="K295" s="1110"/>
      <c r="L295" s="1124"/>
      <c r="M295" s="1125"/>
      <c r="N295" s="1108"/>
      <c r="O295" s="1109"/>
      <c r="P295" s="1109"/>
      <c r="Q295" s="1110"/>
      <c r="R295" s="1110"/>
      <c r="S295" s="1109"/>
      <c r="T295" s="1110"/>
      <c r="U295" s="1124"/>
      <c r="V295" s="1139"/>
      <c r="W295" s="1126"/>
      <c r="X295" s="1127"/>
      <c r="Y295" s="1127"/>
      <c r="Z295" s="1127"/>
      <c r="AA295" s="1127"/>
      <c r="AB295" s="1127"/>
      <c r="AC295" s="1127"/>
      <c r="AD295" s="1144"/>
      <c r="AE295" s="1139"/>
      <c r="AF295" s="1145">
        <f t="shared" ref="AF295:AF298" si="108">SUM(E295:AD295)</f>
        <v>0</v>
      </c>
      <c r="AG295" s="1153"/>
      <c r="AH295" s="1145"/>
      <c r="AI295" s="1153">
        <f t="shared" ref="AI295:AI298" si="109">AF295+AG295+AH295</f>
        <v>0</v>
      </c>
      <c r="AJ295" s="1154"/>
      <c r="AK295" s="1155">
        <f t="shared" ref="AK295:AK298" si="110">AI295+AJ295</f>
        <v>0</v>
      </c>
      <c r="AL295" s="1063"/>
      <c r="AM295" s="1063"/>
      <c r="AN295" s="1063"/>
    </row>
    <row r="296" spans="1:40" ht="20.25">
      <c r="A296" s="537"/>
      <c r="B296" s="550"/>
      <c r="C296" s="549"/>
      <c r="D296" s="544"/>
      <c r="E296" s="1108"/>
      <c r="F296" s="1109"/>
      <c r="G296" s="1109"/>
      <c r="H296" s="1110"/>
      <c r="I296" s="1110"/>
      <c r="J296" s="1109"/>
      <c r="K296" s="1110"/>
      <c r="L296" s="1124"/>
      <c r="M296" s="1125"/>
      <c r="N296" s="1108"/>
      <c r="O296" s="1109"/>
      <c r="P296" s="1109"/>
      <c r="Q296" s="1110"/>
      <c r="R296" s="1110"/>
      <c r="S296" s="1109"/>
      <c r="T296" s="1110"/>
      <c r="U296" s="1124"/>
      <c r="V296" s="1139"/>
      <c r="W296" s="1126"/>
      <c r="X296" s="1127"/>
      <c r="Y296" s="1127"/>
      <c r="Z296" s="1127"/>
      <c r="AA296" s="1127"/>
      <c r="AB296" s="1127"/>
      <c r="AC296" s="1127"/>
      <c r="AD296" s="1144"/>
      <c r="AE296" s="1139"/>
      <c r="AF296" s="1145">
        <f t="shared" si="108"/>
        <v>0</v>
      </c>
      <c r="AG296" s="1153"/>
      <c r="AH296" s="1145"/>
      <c r="AI296" s="1153">
        <f t="shared" si="109"/>
        <v>0</v>
      </c>
      <c r="AJ296" s="1154"/>
      <c r="AK296" s="1155">
        <f t="shared" si="110"/>
        <v>0</v>
      </c>
      <c r="AL296" s="1063"/>
      <c r="AM296" s="1063"/>
      <c r="AN296" s="1063"/>
    </row>
    <row r="297" spans="1:40" ht="20.25">
      <c r="A297" s="537"/>
      <c r="B297" s="550"/>
      <c r="C297" s="549"/>
      <c r="D297" s="544"/>
      <c r="E297" s="1108"/>
      <c r="F297" s="1109"/>
      <c r="G297" s="1109"/>
      <c r="H297" s="1110"/>
      <c r="I297" s="1110"/>
      <c r="J297" s="1109"/>
      <c r="K297" s="1110"/>
      <c r="L297" s="1124"/>
      <c r="M297" s="1125"/>
      <c r="N297" s="1108"/>
      <c r="O297" s="1109"/>
      <c r="P297" s="1109"/>
      <c r="Q297" s="1110"/>
      <c r="R297" s="1110"/>
      <c r="S297" s="1109"/>
      <c r="T297" s="1110"/>
      <c r="U297" s="1124"/>
      <c r="V297" s="1139"/>
      <c r="W297" s="1126"/>
      <c r="X297" s="1127"/>
      <c r="Y297" s="1127"/>
      <c r="Z297" s="1127"/>
      <c r="AA297" s="1127"/>
      <c r="AB297" s="1127"/>
      <c r="AC297" s="1127"/>
      <c r="AD297" s="1144"/>
      <c r="AE297" s="1139"/>
      <c r="AF297" s="1145">
        <f t="shared" si="108"/>
        <v>0</v>
      </c>
      <c r="AG297" s="1153"/>
      <c r="AH297" s="1145"/>
      <c r="AI297" s="1153">
        <f t="shared" si="109"/>
        <v>0</v>
      </c>
      <c r="AJ297" s="1154"/>
      <c r="AK297" s="1155">
        <f t="shared" si="110"/>
        <v>0</v>
      </c>
      <c r="AL297" s="1063"/>
      <c r="AM297" s="1063"/>
      <c r="AN297" s="1063"/>
    </row>
    <row r="298" spans="1:40" ht="20.25">
      <c r="A298" s="537"/>
      <c r="B298" s="550"/>
      <c r="C298" s="549"/>
      <c r="D298" s="544"/>
      <c r="E298" s="1108"/>
      <c r="F298" s="1109"/>
      <c r="G298" s="1109"/>
      <c r="H298" s="1110"/>
      <c r="I298" s="1110"/>
      <c r="J298" s="1109"/>
      <c r="K298" s="1110"/>
      <c r="L298" s="1124"/>
      <c r="M298" s="1125"/>
      <c r="N298" s="1108"/>
      <c r="O298" s="1109"/>
      <c r="P298" s="1109"/>
      <c r="Q298" s="1110"/>
      <c r="R298" s="1110"/>
      <c r="S298" s="1109"/>
      <c r="T298" s="1110"/>
      <c r="U298" s="1124"/>
      <c r="V298" s="1139"/>
      <c r="W298" s="1126"/>
      <c r="X298" s="1127"/>
      <c r="Y298" s="1127"/>
      <c r="Z298" s="1127"/>
      <c r="AA298" s="1127"/>
      <c r="AB298" s="1127"/>
      <c r="AC298" s="1127"/>
      <c r="AD298" s="1144"/>
      <c r="AE298" s="1139"/>
      <c r="AF298" s="1145">
        <f t="shared" si="108"/>
        <v>0</v>
      </c>
      <c r="AG298" s="1153"/>
      <c r="AH298" s="1145"/>
      <c r="AI298" s="1153">
        <f t="shared" si="109"/>
        <v>0</v>
      </c>
      <c r="AJ298" s="1154"/>
      <c r="AK298" s="1155">
        <f t="shared" si="110"/>
        <v>0</v>
      </c>
      <c r="AL298" s="1063"/>
      <c r="AM298" s="1063"/>
      <c r="AN298" s="1063"/>
    </row>
    <row r="299" spans="1:40" ht="20.25">
      <c r="A299" s="537"/>
      <c r="B299" s="550"/>
      <c r="C299" s="549"/>
      <c r="D299" s="544"/>
      <c r="E299" s="1108"/>
      <c r="F299" s="1109"/>
      <c r="G299" s="1109"/>
      <c r="H299" s="1110"/>
      <c r="I299" s="1110"/>
      <c r="J299" s="1109"/>
      <c r="K299" s="1110"/>
      <c r="L299" s="1124"/>
      <c r="M299" s="1125"/>
      <c r="N299" s="1108"/>
      <c r="O299" s="1109"/>
      <c r="P299" s="1109"/>
      <c r="Q299" s="1110"/>
      <c r="R299" s="1110"/>
      <c r="S299" s="1109"/>
      <c r="T299" s="1110"/>
      <c r="U299" s="1124"/>
      <c r="V299" s="1139"/>
      <c r="W299" s="1126"/>
      <c r="X299" s="1127"/>
      <c r="Y299" s="1127"/>
      <c r="Z299" s="1127"/>
      <c r="AA299" s="1127"/>
      <c r="AB299" s="1127"/>
      <c r="AC299" s="1127"/>
      <c r="AD299" s="1144"/>
      <c r="AE299" s="1139"/>
      <c r="AF299" s="1145">
        <f t="shared" ref="AF299:AF300" si="111">SUM(E299:AD299)</f>
        <v>0</v>
      </c>
      <c r="AG299" s="1153"/>
      <c r="AH299" s="1145"/>
      <c r="AI299" s="1153">
        <f t="shared" ref="AI299:AI300" si="112">AF299+AG299+AH299</f>
        <v>0</v>
      </c>
      <c r="AJ299" s="1154"/>
      <c r="AK299" s="1155">
        <f t="shared" ref="AK299:AK300" si="113">AI299+AJ299</f>
        <v>0</v>
      </c>
      <c r="AL299" s="1063"/>
      <c r="AM299" s="1063"/>
      <c r="AN299" s="1063"/>
    </row>
    <row r="300" spans="1:40" ht="20.25">
      <c r="A300" s="537"/>
      <c r="B300" s="552"/>
      <c r="C300" s="553"/>
      <c r="D300" s="544"/>
      <c r="E300" s="1108"/>
      <c r="F300" s="1109"/>
      <c r="G300" s="1109"/>
      <c r="H300" s="1110"/>
      <c r="I300" s="1110"/>
      <c r="J300" s="1109"/>
      <c r="K300" s="1110"/>
      <c r="L300" s="1124"/>
      <c r="M300" s="1125"/>
      <c r="N300" s="1108"/>
      <c r="O300" s="1109"/>
      <c r="P300" s="1109"/>
      <c r="Q300" s="1110"/>
      <c r="R300" s="1110"/>
      <c r="S300" s="1109"/>
      <c r="T300" s="1110"/>
      <c r="U300" s="1124"/>
      <c r="V300" s="1139"/>
      <c r="W300" s="1126"/>
      <c r="X300" s="1127"/>
      <c r="Y300" s="1127"/>
      <c r="Z300" s="1127"/>
      <c r="AA300" s="1127"/>
      <c r="AB300" s="1127"/>
      <c r="AC300" s="1127"/>
      <c r="AD300" s="1144"/>
      <c r="AE300" s="1139"/>
      <c r="AF300" s="1145">
        <f t="shared" si="111"/>
        <v>0</v>
      </c>
      <c r="AG300" s="1153"/>
      <c r="AH300" s="1145"/>
      <c r="AI300" s="1153">
        <f t="shared" si="112"/>
        <v>0</v>
      </c>
      <c r="AJ300" s="1154"/>
      <c r="AK300" s="1155">
        <f t="shared" si="113"/>
        <v>0</v>
      </c>
      <c r="AL300" s="1063"/>
      <c r="AM300" s="1063"/>
      <c r="AN300" s="1063"/>
    </row>
    <row r="301" spans="1:40" ht="20.25">
      <c r="A301" s="537"/>
      <c r="B301" s="550"/>
      <c r="C301" s="549"/>
      <c r="D301" s="544"/>
      <c r="E301" s="1108"/>
      <c r="F301" s="1109"/>
      <c r="G301" s="1109"/>
      <c r="H301" s="1110"/>
      <c r="I301" s="1110"/>
      <c r="J301" s="1109"/>
      <c r="K301" s="1110"/>
      <c r="L301" s="1124"/>
      <c r="M301" s="1125"/>
      <c r="N301" s="1108"/>
      <c r="O301" s="1109"/>
      <c r="P301" s="1109"/>
      <c r="Q301" s="1110"/>
      <c r="R301" s="1110"/>
      <c r="S301" s="1109"/>
      <c r="T301" s="1110"/>
      <c r="U301" s="1124"/>
      <c r="V301" s="1139"/>
      <c r="W301" s="1126"/>
      <c r="X301" s="1127"/>
      <c r="Y301" s="1127"/>
      <c r="Z301" s="1127"/>
      <c r="AA301" s="1127"/>
      <c r="AB301" s="1127"/>
      <c r="AC301" s="1127"/>
      <c r="AD301" s="1144"/>
      <c r="AE301" s="1139"/>
      <c r="AF301" s="1145">
        <f t="shared" ref="AF301:AF303" si="114">SUM(E301:AD301)</f>
        <v>0</v>
      </c>
      <c r="AG301" s="1153"/>
      <c r="AH301" s="1145"/>
      <c r="AI301" s="1153">
        <f t="shared" ref="AI301:AI303" si="115">AF301+AG301+AH301</f>
        <v>0</v>
      </c>
      <c r="AJ301" s="1154"/>
      <c r="AK301" s="1155">
        <f t="shared" ref="AK301:AK303" si="116">AI301+AJ301</f>
        <v>0</v>
      </c>
      <c r="AL301" s="1063"/>
      <c r="AM301" s="1063"/>
      <c r="AN301" s="1063"/>
    </row>
    <row r="302" spans="1:40" ht="20.25">
      <c r="A302" s="561"/>
      <c r="B302" s="550"/>
      <c r="C302" s="549"/>
      <c r="D302" s="544"/>
      <c r="E302" s="1108"/>
      <c r="F302" s="1109"/>
      <c r="G302" s="1109"/>
      <c r="H302" s="1110"/>
      <c r="I302" s="1110"/>
      <c r="J302" s="1109"/>
      <c r="K302" s="1110"/>
      <c r="L302" s="1124"/>
      <c r="M302" s="1125"/>
      <c r="N302" s="1108"/>
      <c r="O302" s="1109"/>
      <c r="P302" s="1109"/>
      <c r="Q302" s="1110"/>
      <c r="R302" s="1110"/>
      <c r="S302" s="1109"/>
      <c r="T302" s="1110"/>
      <c r="U302" s="1124"/>
      <c r="V302" s="1139"/>
      <c r="W302" s="1126"/>
      <c r="X302" s="1127"/>
      <c r="Y302" s="1127"/>
      <c r="Z302" s="1127"/>
      <c r="AA302" s="1127"/>
      <c r="AB302" s="1127"/>
      <c r="AC302" s="1127"/>
      <c r="AD302" s="1144"/>
      <c r="AE302" s="1139"/>
      <c r="AF302" s="1145">
        <f t="shared" si="114"/>
        <v>0</v>
      </c>
      <c r="AG302" s="1153"/>
      <c r="AH302" s="1145"/>
      <c r="AI302" s="1153">
        <f t="shared" si="115"/>
        <v>0</v>
      </c>
      <c r="AJ302" s="1154"/>
      <c r="AK302" s="1155">
        <f t="shared" si="116"/>
        <v>0</v>
      </c>
      <c r="AL302" s="1063"/>
      <c r="AM302" s="1063"/>
      <c r="AN302" s="1063"/>
    </row>
    <row r="303" spans="1:40" ht="20.25">
      <c r="A303" s="537"/>
      <c r="B303" s="550"/>
      <c r="C303" s="549"/>
      <c r="D303" s="544"/>
      <c r="E303" s="1108"/>
      <c r="F303" s="1109"/>
      <c r="G303" s="1109"/>
      <c r="H303" s="1110"/>
      <c r="I303" s="1110"/>
      <c r="J303" s="1109"/>
      <c r="K303" s="1110"/>
      <c r="L303" s="1124"/>
      <c r="M303" s="1125"/>
      <c r="N303" s="1108"/>
      <c r="O303" s="1109"/>
      <c r="P303" s="1109"/>
      <c r="Q303" s="1110"/>
      <c r="R303" s="1110"/>
      <c r="S303" s="1109"/>
      <c r="T303" s="1110"/>
      <c r="U303" s="1124"/>
      <c r="V303" s="1139"/>
      <c r="W303" s="1126"/>
      <c r="X303" s="1127"/>
      <c r="Y303" s="1127"/>
      <c r="Z303" s="1127"/>
      <c r="AA303" s="1127"/>
      <c r="AB303" s="1127"/>
      <c r="AC303" s="1127"/>
      <c r="AD303" s="1144"/>
      <c r="AE303" s="1139"/>
      <c r="AF303" s="1145">
        <f t="shared" si="114"/>
        <v>0</v>
      </c>
      <c r="AG303" s="1153"/>
      <c r="AH303" s="1145"/>
      <c r="AI303" s="1153">
        <f t="shared" si="115"/>
        <v>0</v>
      </c>
      <c r="AJ303" s="1154"/>
      <c r="AK303" s="1155">
        <f t="shared" si="116"/>
        <v>0</v>
      </c>
      <c r="AL303" s="1063"/>
      <c r="AM303" s="1063"/>
      <c r="AN303" s="1063"/>
    </row>
    <row r="304" spans="1:40" ht="20.25">
      <c r="A304" s="537"/>
      <c r="B304" s="550"/>
      <c r="C304" s="549"/>
      <c r="D304" s="544"/>
      <c r="E304" s="1108"/>
      <c r="F304" s="1109"/>
      <c r="G304" s="1109"/>
      <c r="H304" s="1110"/>
      <c r="I304" s="1110"/>
      <c r="J304" s="1109"/>
      <c r="K304" s="1110"/>
      <c r="L304" s="1124"/>
      <c r="M304" s="1125"/>
      <c r="N304" s="1108"/>
      <c r="O304" s="1109"/>
      <c r="P304" s="1109"/>
      <c r="Q304" s="1110"/>
      <c r="R304" s="1110"/>
      <c r="S304" s="1109"/>
      <c r="T304" s="1110"/>
      <c r="U304" s="1124"/>
      <c r="V304" s="1139"/>
      <c r="W304" s="1126"/>
      <c r="X304" s="1127"/>
      <c r="Y304" s="1127"/>
      <c r="Z304" s="1127"/>
      <c r="AA304" s="1127"/>
      <c r="AB304" s="1127"/>
      <c r="AC304" s="1127"/>
      <c r="AD304" s="1144"/>
      <c r="AE304" s="1139"/>
      <c r="AF304" s="1145">
        <f t="shared" ref="AF304:AF306" si="117">SUM(E304:AD304)</f>
        <v>0</v>
      </c>
      <c r="AG304" s="1153"/>
      <c r="AH304" s="1145"/>
      <c r="AI304" s="1153">
        <f t="shared" ref="AI304:AI306" si="118">AF304+AG304+AH304</f>
        <v>0</v>
      </c>
      <c r="AJ304" s="1154"/>
      <c r="AK304" s="1155">
        <f t="shared" ref="AK304:AK306" si="119">AI304+AJ304</f>
        <v>0</v>
      </c>
      <c r="AL304" s="1063"/>
      <c r="AM304" s="1063"/>
      <c r="AN304" s="1063"/>
    </row>
    <row r="305" spans="1:40" ht="20.25">
      <c r="A305" s="537"/>
      <c r="B305" s="550"/>
      <c r="C305" s="549"/>
      <c r="D305" s="544"/>
      <c r="E305" s="1108"/>
      <c r="F305" s="1109"/>
      <c r="G305" s="1109"/>
      <c r="H305" s="1110"/>
      <c r="I305" s="1110"/>
      <c r="J305" s="1109"/>
      <c r="K305" s="1110"/>
      <c r="L305" s="1124"/>
      <c r="M305" s="1125"/>
      <c r="N305" s="1108"/>
      <c r="O305" s="1109"/>
      <c r="P305" s="1109"/>
      <c r="Q305" s="1110"/>
      <c r="R305" s="1110"/>
      <c r="S305" s="1109"/>
      <c r="T305" s="1110"/>
      <c r="U305" s="1124"/>
      <c r="V305" s="1139"/>
      <c r="W305" s="1126"/>
      <c r="X305" s="1127"/>
      <c r="Y305" s="1127"/>
      <c r="Z305" s="1127"/>
      <c r="AA305" s="1127"/>
      <c r="AB305" s="1127"/>
      <c r="AC305" s="1127"/>
      <c r="AD305" s="1144"/>
      <c r="AE305" s="1139"/>
      <c r="AF305" s="1145">
        <f t="shared" si="117"/>
        <v>0</v>
      </c>
      <c r="AG305" s="1153"/>
      <c r="AH305" s="1145"/>
      <c r="AI305" s="1153">
        <f t="shared" si="118"/>
        <v>0</v>
      </c>
      <c r="AJ305" s="1154"/>
      <c r="AK305" s="1155">
        <f t="shared" si="119"/>
        <v>0</v>
      </c>
      <c r="AL305" s="1063"/>
      <c r="AM305" s="1063"/>
      <c r="AN305" s="1063"/>
    </row>
    <row r="306" spans="1:40" ht="20.25">
      <c r="A306" s="537"/>
      <c r="B306" s="550"/>
      <c r="C306" s="549"/>
      <c r="D306" s="544"/>
      <c r="E306" s="1108"/>
      <c r="F306" s="1109"/>
      <c r="G306" s="1109"/>
      <c r="H306" s="1110"/>
      <c r="I306" s="1110"/>
      <c r="J306" s="1109"/>
      <c r="K306" s="1110"/>
      <c r="L306" s="1124"/>
      <c r="M306" s="1125"/>
      <c r="N306" s="1108"/>
      <c r="O306" s="1109"/>
      <c r="P306" s="1109"/>
      <c r="Q306" s="1110"/>
      <c r="R306" s="1110"/>
      <c r="S306" s="1109"/>
      <c r="T306" s="1110"/>
      <c r="U306" s="1124"/>
      <c r="V306" s="1139"/>
      <c r="W306" s="1126"/>
      <c r="X306" s="1127"/>
      <c r="Y306" s="1127"/>
      <c r="Z306" s="1127"/>
      <c r="AA306" s="1127"/>
      <c r="AB306" s="1127"/>
      <c r="AC306" s="1127"/>
      <c r="AD306" s="1144"/>
      <c r="AE306" s="1139"/>
      <c r="AF306" s="1145">
        <f t="shared" si="117"/>
        <v>0</v>
      </c>
      <c r="AG306" s="1153"/>
      <c r="AH306" s="1145"/>
      <c r="AI306" s="1153">
        <f t="shared" si="118"/>
        <v>0</v>
      </c>
      <c r="AJ306" s="1154"/>
      <c r="AK306" s="1155">
        <f t="shared" si="119"/>
        <v>0</v>
      </c>
      <c r="AL306" s="1063"/>
      <c r="AM306" s="1063"/>
      <c r="AN306" s="1063"/>
    </row>
    <row r="307" spans="1:40" ht="20.25">
      <c r="A307" s="537"/>
      <c r="B307" s="550"/>
      <c r="C307" s="549"/>
      <c r="D307" s="544"/>
      <c r="E307" s="1108"/>
      <c r="F307" s="1109"/>
      <c r="G307" s="1109"/>
      <c r="H307" s="1110"/>
      <c r="I307" s="1110"/>
      <c r="J307" s="1109"/>
      <c r="K307" s="1110"/>
      <c r="L307" s="1124"/>
      <c r="M307" s="1125"/>
      <c r="N307" s="1108"/>
      <c r="O307" s="1109"/>
      <c r="P307" s="1109"/>
      <c r="Q307" s="1110"/>
      <c r="R307" s="1110"/>
      <c r="S307" s="1109"/>
      <c r="T307" s="1110"/>
      <c r="U307" s="1124"/>
      <c r="V307" s="1139"/>
      <c r="W307" s="1126"/>
      <c r="X307" s="1127"/>
      <c r="Y307" s="1127"/>
      <c r="Z307" s="1127"/>
      <c r="AA307" s="1127"/>
      <c r="AB307" s="1127"/>
      <c r="AC307" s="1127"/>
      <c r="AD307" s="1144"/>
      <c r="AE307" s="1139"/>
      <c r="AF307" s="1145">
        <f t="shared" ref="AF307:AF308" si="120">SUM(E307:AD307)</f>
        <v>0</v>
      </c>
      <c r="AG307" s="1153"/>
      <c r="AH307" s="1145"/>
      <c r="AI307" s="1153">
        <f t="shared" ref="AI307:AI308" si="121">AF307+AG307+AH307</f>
        <v>0</v>
      </c>
      <c r="AJ307" s="1154"/>
      <c r="AK307" s="1155">
        <f t="shared" ref="AK307:AK308" si="122">AI307+AJ307</f>
        <v>0</v>
      </c>
      <c r="AL307" s="1063"/>
      <c r="AM307" s="1063"/>
      <c r="AN307" s="1063"/>
    </row>
    <row r="308" spans="1:40" ht="20.25">
      <c r="A308" s="537"/>
      <c r="B308" s="550"/>
      <c r="C308" s="549"/>
      <c r="D308" s="544"/>
      <c r="E308" s="1108"/>
      <c r="F308" s="1109"/>
      <c r="G308" s="1109"/>
      <c r="H308" s="1110"/>
      <c r="I308" s="1110"/>
      <c r="J308" s="1109"/>
      <c r="K308" s="1110"/>
      <c r="L308" s="1124"/>
      <c r="M308" s="1125"/>
      <c r="N308" s="1108"/>
      <c r="O308" s="1109"/>
      <c r="P308" s="1109"/>
      <c r="Q308" s="1110"/>
      <c r="R308" s="1110"/>
      <c r="S308" s="1109"/>
      <c r="T308" s="1110"/>
      <c r="U308" s="1124"/>
      <c r="V308" s="1139"/>
      <c r="W308" s="1126"/>
      <c r="X308" s="1127"/>
      <c r="Y308" s="1127"/>
      <c r="Z308" s="1127"/>
      <c r="AA308" s="1127"/>
      <c r="AB308" s="1127"/>
      <c r="AC308" s="1127"/>
      <c r="AD308" s="1144"/>
      <c r="AE308" s="1139"/>
      <c r="AF308" s="1145">
        <f t="shared" si="120"/>
        <v>0</v>
      </c>
      <c r="AG308" s="1153"/>
      <c r="AH308" s="1145"/>
      <c r="AI308" s="1153">
        <f t="shared" si="121"/>
        <v>0</v>
      </c>
      <c r="AJ308" s="1154"/>
      <c r="AK308" s="1155">
        <f t="shared" si="122"/>
        <v>0</v>
      </c>
      <c r="AL308" s="1063"/>
      <c r="AM308" s="1063"/>
      <c r="AN308" s="1063"/>
    </row>
    <row r="309" spans="1:40" ht="20.25">
      <c r="A309" s="537"/>
      <c r="B309" s="550"/>
      <c r="C309" s="549"/>
      <c r="D309" s="544"/>
      <c r="E309" s="1108"/>
      <c r="F309" s="1109"/>
      <c r="G309" s="1109"/>
      <c r="H309" s="1110"/>
      <c r="I309" s="1110"/>
      <c r="J309" s="1109"/>
      <c r="K309" s="1110"/>
      <c r="L309" s="1124"/>
      <c r="M309" s="1125"/>
      <c r="N309" s="1108"/>
      <c r="O309" s="1109"/>
      <c r="P309" s="1109"/>
      <c r="Q309" s="1110"/>
      <c r="R309" s="1110"/>
      <c r="S309" s="1109"/>
      <c r="T309" s="1110"/>
      <c r="U309" s="1124"/>
      <c r="V309" s="1139"/>
      <c r="W309" s="1126"/>
      <c r="X309" s="1127"/>
      <c r="Y309" s="1127"/>
      <c r="Z309" s="1127"/>
      <c r="AA309" s="1127"/>
      <c r="AB309" s="1127"/>
      <c r="AC309" s="1127"/>
      <c r="AD309" s="1144"/>
      <c r="AE309" s="1139"/>
      <c r="AF309" s="1145">
        <f t="shared" ref="AF309:AF314" si="123">SUM(E309:AD309)</f>
        <v>0</v>
      </c>
      <c r="AG309" s="1153"/>
      <c r="AH309" s="1145"/>
      <c r="AI309" s="1153">
        <f t="shared" ref="AI309:AI314" si="124">AF309+AG309+AH309</f>
        <v>0</v>
      </c>
      <c r="AJ309" s="1154"/>
      <c r="AK309" s="1155">
        <f t="shared" ref="AK309:AK314" si="125">AI309+AJ309</f>
        <v>0</v>
      </c>
      <c r="AL309" s="1063"/>
      <c r="AM309" s="1063"/>
      <c r="AN309" s="1063"/>
    </row>
    <row r="310" spans="1:40" ht="20.25">
      <c r="A310" s="537"/>
      <c r="B310" s="550"/>
      <c r="C310" s="549"/>
      <c r="D310" s="544"/>
      <c r="E310" s="1108"/>
      <c r="F310" s="1109"/>
      <c r="G310" s="1109"/>
      <c r="H310" s="1110"/>
      <c r="I310" s="1110"/>
      <c r="J310" s="1109"/>
      <c r="K310" s="1110"/>
      <c r="L310" s="1124"/>
      <c r="M310" s="1125"/>
      <c r="N310" s="1108"/>
      <c r="O310" s="1109"/>
      <c r="P310" s="1109"/>
      <c r="Q310" s="1110"/>
      <c r="R310" s="1110"/>
      <c r="S310" s="1109"/>
      <c r="T310" s="1110"/>
      <c r="U310" s="1124"/>
      <c r="V310" s="1139"/>
      <c r="W310" s="1126"/>
      <c r="X310" s="1127"/>
      <c r="Y310" s="1127"/>
      <c r="Z310" s="1127"/>
      <c r="AA310" s="1127"/>
      <c r="AB310" s="1127"/>
      <c r="AC310" s="1127"/>
      <c r="AD310" s="1144"/>
      <c r="AE310" s="1139"/>
      <c r="AF310" s="1145">
        <f t="shared" si="123"/>
        <v>0</v>
      </c>
      <c r="AG310" s="1153"/>
      <c r="AH310" s="1145"/>
      <c r="AI310" s="1153">
        <f t="shared" si="124"/>
        <v>0</v>
      </c>
      <c r="AJ310" s="1154"/>
      <c r="AK310" s="1155">
        <f t="shared" si="125"/>
        <v>0</v>
      </c>
    </row>
    <row r="311" spans="1:40" ht="20.25">
      <c r="A311" s="537"/>
      <c r="B311" s="550"/>
      <c r="C311" s="549"/>
      <c r="D311" s="544"/>
      <c r="E311" s="1108"/>
      <c r="F311" s="1109"/>
      <c r="G311" s="1109"/>
      <c r="H311" s="1110"/>
      <c r="I311" s="1110"/>
      <c r="J311" s="1109"/>
      <c r="K311" s="1110"/>
      <c r="L311" s="1124"/>
      <c r="M311" s="1125"/>
      <c r="N311" s="1108"/>
      <c r="O311" s="1109"/>
      <c r="P311" s="1109"/>
      <c r="Q311" s="1110"/>
      <c r="R311" s="1110"/>
      <c r="S311" s="1109"/>
      <c r="T311" s="1110"/>
      <c r="U311" s="1124"/>
      <c r="V311" s="1139"/>
      <c r="W311" s="1126"/>
      <c r="X311" s="1127"/>
      <c r="Y311" s="1127"/>
      <c r="Z311" s="1127"/>
      <c r="AA311" s="1127"/>
      <c r="AB311" s="1127"/>
      <c r="AC311" s="1127"/>
      <c r="AD311" s="1144"/>
      <c r="AE311" s="1139"/>
      <c r="AF311" s="1145">
        <f t="shared" si="123"/>
        <v>0</v>
      </c>
      <c r="AG311" s="1153"/>
      <c r="AH311" s="1145"/>
      <c r="AI311" s="1153">
        <f t="shared" si="124"/>
        <v>0</v>
      </c>
      <c r="AJ311" s="1154"/>
      <c r="AK311" s="1155">
        <f t="shared" si="125"/>
        <v>0</v>
      </c>
    </row>
    <row r="312" spans="1:40" ht="20.25">
      <c r="A312" s="551"/>
      <c r="B312" s="550"/>
      <c r="C312" s="549"/>
      <c r="D312" s="544"/>
      <c r="E312" s="1108"/>
      <c r="F312" s="1109"/>
      <c r="G312" s="1109"/>
      <c r="H312" s="1110"/>
      <c r="I312" s="1110"/>
      <c r="J312" s="1109"/>
      <c r="K312" s="1110"/>
      <c r="L312" s="1124"/>
      <c r="M312" s="1125"/>
      <c r="N312" s="1108"/>
      <c r="O312" s="1109"/>
      <c r="P312" s="1109"/>
      <c r="Q312" s="1110"/>
      <c r="R312" s="1110"/>
      <c r="S312" s="1109"/>
      <c r="T312" s="1110"/>
      <c r="U312" s="1124"/>
      <c r="V312" s="1139"/>
      <c r="W312" s="1126"/>
      <c r="X312" s="1127"/>
      <c r="Y312" s="1127"/>
      <c r="Z312" s="1127"/>
      <c r="AA312" s="1127"/>
      <c r="AB312" s="1127"/>
      <c r="AC312" s="1127"/>
      <c r="AD312" s="1144"/>
      <c r="AE312" s="1139"/>
      <c r="AF312" s="1145">
        <f t="shared" si="123"/>
        <v>0</v>
      </c>
      <c r="AG312" s="1153"/>
      <c r="AH312" s="1145"/>
      <c r="AI312" s="1153">
        <f t="shared" si="124"/>
        <v>0</v>
      </c>
      <c r="AJ312" s="1154"/>
      <c r="AK312" s="1155">
        <f t="shared" si="125"/>
        <v>0</v>
      </c>
      <c r="AL312" s="403"/>
      <c r="AM312" s="403"/>
      <c r="AN312" s="403"/>
    </row>
    <row r="313" spans="1:40" ht="20.25">
      <c r="A313" s="537"/>
      <c r="B313" s="550"/>
      <c r="C313" s="549"/>
      <c r="D313" s="544"/>
      <c r="E313" s="1108"/>
      <c r="F313" s="1109"/>
      <c r="G313" s="1109"/>
      <c r="H313" s="1110"/>
      <c r="I313" s="1110"/>
      <c r="J313" s="1109"/>
      <c r="K313" s="1110"/>
      <c r="L313" s="1124"/>
      <c r="M313" s="1125"/>
      <c r="N313" s="1108"/>
      <c r="O313" s="1109"/>
      <c r="P313" s="1109"/>
      <c r="Q313" s="1110"/>
      <c r="R313" s="1110"/>
      <c r="S313" s="1109"/>
      <c r="T313" s="1110"/>
      <c r="U313" s="1124"/>
      <c r="V313" s="1139"/>
      <c r="W313" s="1126"/>
      <c r="X313" s="1127"/>
      <c r="Y313" s="1127"/>
      <c r="Z313" s="1127"/>
      <c r="AA313" s="1127"/>
      <c r="AB313" s="1127"/>
      <c r="AC313" s="1127"/>
      <c r="AD313" s="1144"/>
      <c r="AE313" s="1139"/>
      <c r="AF313" s="1145">
        <f t="shared" si="123"/>
        <v>0</v>
      </c>
      <c r="AG313" s="1153"/>
      <c r="AH313" s="1145"/>
      <c r="AI313" s="1153">
        <f t="shared" si="124"/>
        <v>0</v>
      </c>
      <c r="AJ313" s="1154"/>
      <c r="AK313" s="1155">
        <f t="shared" si="125"/>
        <v>0</v>
      </c>
      <c r="AL313" s="282"/>
      <c r="AM313" s="282"/>
      <c r="AN313" s="282"/>
    </row>
    <row r="314" spans="1:40" ht="20.25">
      <c r="A314" s="1111"/>
      <c r="B314" s="1112"/>
      <c r="C314" s="1113"/>
      <c r="D314" s="1114"/>
      <c r="E314" s="1108"/>
      <c r="F314" s="1109"/>
      <c r="G314" s="1109"/>
      <c r="H314" s="1110"/>
      <c r="I314" s="1110"/>
      <c r="J314" s="1109"/>
      <c r="K314" s="1110"/>
      <c r="L314" s="1124"/>
      <c r="M314" s="1125"/>
      <c r="N314" s="1108"/>
      <c r="O314" s="1109"/>
      <c r="P314" s="1109"/>
      <c r="Q314" s="1110"/>
      <c r="R314" s="1110"/>
      <c r="S314" s="1109"/>
      <c r="T314" s="1110"/>
      <c r="U314" s="1124"/>
      <c r="V314" s="1139"/>
      <c r="W314" s="1126"/>
      <c r="X314" s="1127"/>
      <c r="Y314" s="1127"/>
      <c r="Z314" s="1127"/>
      <c r="AA314" s="1127"/>
      <c r="AB314" s="1127"/>
      <c r="AC314" s="1127"/>
      <c r="AD314" s="1144"/>
      <c r="AE314" s="1139"/>
      <c r="AF314" s="1145">
        <f t="shared" si="123"/>
        <v>0</v>
      </c>
      <c r="AG314" s="1153"/>
      <c r="AH314" s="1145"/>
      <c r="AI314" s="1153">
        <f t="shared" si="124"/>
        <v>0</v>
      </c>
      <c r="AJ314" s="1154"/>
      <c r="AK314" s="1155">
        <f t="shared" si="125"/>
        <v>0</v>
      </c>
      <c r="AL314" s="283"/>
      <c r="AM314" s="283"/>
      <c r="AN314" s="283"/>
    </row>
    <row r="315" spans="1:40" ht="20.25">
      <c r="A315" s="537"/>
      <c r="B315" s="1112"/>
      <c r="C315" s="1113"/>
      <c r="D315" s="1114"/>
      <c r="E315" s="1108"/>
      <c r="F315" s="1109"/>
      <c r="G315" s="1109"/>
      <c r="H315" s="1110"/>
      <c r="I315" s="1110"/>
      <c r="J315" s="1109"/>
      <c r="K315" s="1110"/>
      <c r="L315" s="1124"/>
      <c r="M315" s="1125"/>
      <c r="N315" s="1108"/>
      <c r="O315" s="1109"/>
      <c r="P315" s="1109"/>
      <c r="Q315" s="1110"/>
      <c r="R315" s="1110"/>
      <c r="S315" s="1109"/>
      <c r="T315" s="1110"/>
      <c r="U315" s="1124"/>
      <c r="V315" s="1139"/>
      <c r="W315" s="1126"/>
      <c r="X315" s="1127"/>
      <c r="Y315" s="1127"/>
      <c r="Z315" s="1127"/>
      <c r="AA315" s="1127"/>
      <c r="AB315" s="1127"/>
      <c r="AC315" s="1127"/>
      <c r="AD315" s="1144"/>
      <c r="AE315" s="1139"/>
      <c r="AF315" s="1145">
        <f t="shared" ref="AF315" si="126">SUM(E315:AD315)</f>
        <v>0</v>
      </c>
      <c r="AG315" s="1153"/>
      <c r="AH315" s="1145"/>
      <c r="AI315" s="1153">
        <f t="shared" ref="AI315" si="127">AF315+AG315+AH315</f>
        <v>0</v>
      </c>
      <c r="AJ315" s="1154"/>
      <c r="AK315" s="1155">
        <f t="shared" ref="AK315" si="128">AI315+AJ315</f>
        <v>0</v>
      </c>
      <c r="AL315" s="283"/>
      <c r="AM315" s="283"/>
      <c r="AN315" s="283"/>
    </row>
    <row r="316" spans="1:40" ht="20.25">
      <c r="A316" s="551"/>
      <c r="B316" s="1112"/>
      <c r="C316" s="1113"/>
      <c r="D316" s="1114"/>
      <c r="E316" s="1108"/>
      <c r="F316" s="1109"/>
      <c r="G316" s="1109"/>
      <c r="H316" s="1110"/>
      <c r="I316" s="1110"/>
      <c r="J316" s="1109"/>
      <c r="K316" s="1110"/>
      <c r="L316" s="1124"/>
      <c r="M316" s="1125"/>
      <c r="N316" s="1108"/>
      <c r="O316" s="1109"/>
      <c r="P316" s="1109"/>
      <c r="Q316" s="1110"/>
      <c r="R316" s="1110"/>
      <c r="S316" s="1109"/>
      <c r="T316" s="1110"/>
      <c r="U316" s="1124"/>
      <c r="V316" s="1139"/>
      <c r="W316" s="1126"/>
      <c r="X316" s="1127"/>
      <c r="Y316" s="1127"/>
      <c r="Z316" s="1127"/>
      <c r="AA316" s="1127"/>
      <c r="AB316" s="1127"/>
      <c r="AC316" s="1127"/>
      <c r="AD316" s="1144"/>
      <c r="AE316" s="1139"/>
      <c r="AF316" s="1145">
        <f t="shared" ref="AF316:AF318" si="129">SUM(E316:AD316)</f>
        <v>0</v>
      </c>
      <c r="AG316" s="1153"/>
      <c r="AH316" s="1145"/>
      <c r="AI316" s="1153">
        <f t="shared" ref="AI316:AI318" si="130">AF316+AG316+AH316</f>
        <v>0</v>
      </c>
      <c r="AJ316" s="1154"/>
      <c r="AK316" s="1155">
        <f t="shared" ref="AK316:AK318" si="131">AI316+AJ316</f>
        <v>0</v>
      </c>
      <c r="AL316" s="283"/>
      <c r="AM316" s="283"/>
      <c r="AN316" s="283"/>
    </row>
    <row r="317" spans="1:40" ht="20.25">
      <c r="A317" s="537"/>
      <c r="B317" s="1112"/>
      <c r="C317" s="1113"/>
      <c r="D317" s="1114"/>
      <c r="E317" s="1108"/>
      <c r="F317" s="1109"/>
      <c r="G317" s="1109"/>
      <c r="H317" s="1110"/>
      <c r="I317" s="1110"/>
      <c r="J317" s="1109"/>
      <c r="K317" s="1110"/>
      <c r="L317" s="1124"/>
      <c r="M317" s="1125"/>
      <c r="N317" s="1108"/>
      <c r="O317" s="1109"/>
      <c r="P317" s="1109"/>
      <c r="Q317" s="1110"/>
      <c r="R317" s="1110"/>
      <c r="S317" s="1109"/>
      <c r="T317" s="1110"/>
      <c r="U317" s="1124"/>
      <c r="V317" s="1139"/>
      <c r="W317" s="1126"/>
      <c r="X317" s="1127"/>
      <c r="Y317" s="1127"/>
      <c r="Z317" s="1127"/>
      <c r="AA317" s="1127"/>
      <c r="AB317" s="1127"/>
      <c r="AC317" s="1127"/>
      <c r="AD317" s="1144"/>
      <c r="AE317" s="1139"/>
      <c r="AF317" s="1145">
        <f t="shared" si="129"/>
        <v>0</v>
      </c>
      <c r="AG317" s="1153"/>
      <c r="AH317" s="1145"/>
      <c r="AI317" s="1153">
        <f t="shared" si="130"/>
        <v>0</v>
      </c>
      <c r="AJ317" s="1154"/>
      <c r="AK317" s="1155">
        <f t="shared" si="131"/>
        <v>0</v>
      </c>
      <c r="AL317" s="403"/>
      <c r="AM317" s="403"/>
      <c r="AN317" s="403"/>
    </row>
    <row r="318" spans="1:40" ht="20.25">
      <c r="A318" s="537"/>
      <c r="B318" s="1112"/>
      <c r="C318" s="1113"/>
      <c r="D318" s="1114"/>
      <c r="E318" s="1108"/>
      <c r="F318" s="1109"/>
      <c r="G318" s="1109"/>
      <c r="H318" s="1110"/>
      <c r="I318" s="1110"/>
      <c r="J318" s="1109"/>
      <c r="K318" s="1110"/>
      <c r="L318" s="1124"/>
      <c r="M318" s="1125"/>
      <c r="N318" s="1108"/>
      <c r="O318" s="1109"/>
      <c r="P318" s="1109"/>
      <c r="Q318" s="1110"/>
      <c r="R318" s="1110"/>
      <c r="S318" s="1109"/>
      <c r="T318" s="1110"/>
      <c r="U318" s="1124"/>
      <c r="V318" s="1139"/>
      <c r="W318" s="1126"/>
      <c r="X318" s="1127"/>
      <c r="Y318" s="1127"/>
      <c r="Z318" s="1127"/>
      <c r="AA318" s="1127"/>
      <c r="AB318" s="1127"/>
      <c r="AC318" s="1127"/>
      <c r="AD318" s="1144"/>
      <c r="AE318" s="1139"/>
      <c r="AF318" s="1145">
        <f t="shared" si="129"/>
        <v>0</v>
      </c>
      <c r="AG318" s="1153"/>
      <c r="AH318" s="1145"/>
      <c r="AI318" s="1153">
        <f t="shared" si="130"/>
        <v>0</v>
      </c>
      <c r="AJ318" s="1154"/>
      <c r="AK318" s="1155">
        <f t="shared" si="131"/>
        <v>0</v>
      </c>
      <c r="AL318" s="1"/>
      <c r="AM318" s="1"/>
    </row>
    <row r="319" spans="1:40" ht="21" thickBot="1">
      <c r="A319" s="537"/>
      <c r="B319" s="1115"/>
      <c r="C319" s="1116"/>
      <c r="D319" s="1117"/>
      <c r="E319" s="1108"/>
      <c r="F319" s="1109"/>
      <c r="G319" s="1109"/>
      <c r="H319" s="1110"/>
      <c r="I319" s="1110"/>
      <c r="J319" s="1109"/>
      <c r="K319" s="1110"/>
      <c r="L319" s="1124"/>
      <c r="M319" s="1132"/>
      <c r="N319" s="1108"/>
      <c r="O319" s="1109"/>
      <c r="P319" s="1109"/>
      <c r="Q319" s="1110"/>
      <c r="R319" s="1110"/>
      <c r="S319" s="1109"/>
      <c r="T319" s="1110"/>
      <c r="U319" s="1124"/>
      <c r="V319" s="1141"/>
      <c r="W319" s="1142"/>
      <c r="X319" s="1110"/>
      <c r="Y319" s="1110"/>
      <c r="Z319" s="1110"/>
      <c r="AA319" s="1110"/>
      <c r="AB319" s="1110"/>
      <c r="AC319" s="1110"/>
      <c r="AD319" s="1149"/>
      <c r="AE319" s="1139"/>
      <c r="AF319" s="1145">
        <f t="shared" ref="AF319:AF321" si="132">SUM(E319:AD319)</f>
        <v>0</v>
      </c>
      <c r="AG319" s="1153"/>
      <c r="AH319" s="1145"/>
      <c r="AI319" s="1153">
        <f t="shared" ref="AI319:AI321" si="133">AF319+AG319+AH319</f>
        <v>0</v>
      </c>
      <c r="AJ319" s="1154"/>
      <c r="AK319" s="1155">
        <f t="shared" ref="AK319" si="134">AI319+AJ319</f>
        <v>0</v>
      </c>
    </row>
    <row r="320" spans="1:40" ht="20.25">
      <c r="A320" s="537"/>
      <c r="B320" s="550"/>
      <c r="C320" s="549"/>
      <c r="D320" s="544"/>
      <c r="E320" s="1108"/>
      <c r="F320" s="1109"/>
      <c r="G320" s="1109"/>
      <c r="H320" s="1110"/>
      <c r="I320" s="1110"/>
      <c r="J320" s="1109"/>
      <c r="K320" s="1110"/>
      <c r="L320" s="1124"/>
      <c r="M320" s="1125"/>
      <c r="N320" s="1108"/>
      <c r="O320" s="1109"/>
      <c r="P320" s="1109"/>
      <c r="Q320" s="1110"/>
      <c r="R320" s="1110"/>
      <c r="S320" s="1109"/>
      <c r="T320" s="1110"/>
      <c r="U320" s="1124"/>
      <c r="V320" s="1139"/>
      <c r="W320" s="1126"/>
      <c r="X320" s="1127"/>
      <c r="Y320" s="1127"/>
      <c r="Z320" s="1127"/>
      <c r="AA320" s="1127"/>
      <c r="AB320" s="1127"/>
      <c r="AC320" s="1127"/>
      <c r="AD320" s="1144"/>
      <c r="AE320" s="1139"/>
      <c r="AF320" s="1145">
        <f t="shared" si="132"/>
        <v>0</v>
      </c>
      <c r="AG320" s="1153"/>
      <c r="AH320" s="1145"/>
      <c r="AI320" s="1153">
        <f t="shared" si="133"/>
        <v>0</v>
      </c>
      <c r="AJ320" s="1154"/>
      <c r="AK320" s="1155">
        <f>AI321+AJ320</f>
        <v>0</v>
      </c>
    </row>
    <row r="321" spans="1:38" ht="20.25">
      <c r="A321" s="537"/>
      <c r="B321" s="550"/>
      <c r="C321" s="549"/>
      <c r="D321" s="544"/>
      <c r="E321" s="1108"/>
      <c r="F321" s="1109"/>
      <c r="G321" s="1109"/>
      <c r="H321" s="1110"/>
      <c r="I321" s="1110"/>
      <c r="J321" s="1109"/>
      <c r="K321" s="1110"/>
      <c r="L321" s="1124"/>
      <c r="M321" s="1125"/>
      <c r="N321" s="1108"/>
      <c r="O321" s="1109"/>
      <c r="P321" s="1109"/>
      <c r="Q321" s="1110"/>
      <c r="R321" s="1110"/>
      <c r="S321" s="1109"/>
      <c r="T321" s="1110"/>
      <c r="U321" s="1124"/>
      <c r="V321" s="1139"/>
      <c r="W321" s="1126"/>
      <c r="X321" s="1127"/>
      <c r="Y321" s="1127"/>
      <c r="Z321" s="1127"/>
      <c r="AA321" s="1127"/>
      <c r="AB321" s="1127"/>
      <c r="AC321" s="1127"/>
      <c r="AD321" s="1144"/>
      <c r="AE321" s="1139"/>
      <c r="AF321" s="1145">
        <f t="shared" si="132"/>
        <v>0</v>
      </c>
      <c r="AG321" s="1153"/>
      <c r="AH321" s="1145"/>
      <c r="AI321" s="1153">
        <f t="shared" si="133"/>
        <v>0</v>
      </c>
      <c r="AJ321" s="1154"/>
      <c r="AK321" s="1155">
        <f>AI322+AJ321</f>
        <v>0</v>
      </c>
    </row>
    <row r="322" spans="1:38" ht="20.25">
      <c r="A322" s="537"/>
      <c r="B322" s="550"/>
      <c r="C322" s="549"/>
      <c r="D322" s="544"/>
      <c r="E322" s="1108"/>
      <c r="F322" s="1109"/>
      <c r="G322" s="1109"/>
      <c r="H322" s="1110"/>
      <c r="I322" s="1110"/>
      <c r="J322" s="1109"/>
      <c r="K322" s="1110"/>
      <c r="L322" s="1124"/>
      <c r="M322" s="1125"/>
      <c r="N322" s="1108"/>
      <c r="O322" s="1109"/>
      <c r="P322" s="1109"/>
      <c r="Q322" s="1110"/>
      <c r="R322" s="1110"/>
      <c r="S322" s="1109"/>
      <c r="T322" s="1110"/>
      <c r="U322" s="1124"/>
      <c r="V322" s="1139"/>
      <c r="W322" s="1126"/>
      <c r="X322" s="1127"/>
      <c r="Y322" s="1127"/>
      <c r="Z322" s="1127"/>
      <c r="AA322" s="1127"/>
      <c r="AB322" s="1127"/>
      <c r="AC322" s="1127"/>
      <c r="AD322" s="1144"/>
      <c r="AE322" s="1139"/>
      <c r="AF322" s="1145">
        <f t="shared" ref="AF322" si="135">SUM(E322:AD322)</f>
        <v>0</v>
      </c>
      <c r="AG322" s="1153"/>
      <c r="AH322" s="1145"/>
      <c r="AI322" s="1153">
        <f t="shared" ref="AI322" si="136">AF322+AG322+AH322</f>
        <v>0</v>
      </c>
      <c r="AJ322" s="1154"/>
      <c r="AK322" s="1155">
        <f>AI323+AJ322</f>
        <v>0</v>
      </c>
      <c r="AL322" s="1"/>
    </row>
    <row r="323" spans="1:38" ht="20.25">
      <c r="A323" s="537"/>
      <c r="B323" s="550"/>
      <c r="C323" s="549"/>
      <c r="D323" s="544"/>
      <c r="E323" s="1108"/>
      <c r="F323" s="1109"/>
      <c r="G323" s="1109"/>
      <c r="H323" s="1110"/>
      <c r="I323" s="1110"/>
      <c r="J323" s="1109"/>
      <c r="K323" s="1110"/>
      <c r="L323" s="1124"/>
      <c r="M323" s="1125"/>
      <c r="N323" s="1108"/>
      <c r="O323" s="1109"/>
      <c r="P323" s="1109"/>
      <c r="Q323" s="1110"/>
      <c r="R323" s="1110"/>
      <c r="S323" s="1109"/>
      <c r="T323" s="1110"/>
      <c r="U323" s="1124"/>
      <c r="V323" s="1139"/>
      <c r="W323" s="1126"/>
      <c r="X323" s="1127"/>
      <c r="Y323" s="1127"/>
      <c r="Z323" s="1127"/>
      <c r="AA323" s="1127"/>
      <c r="AB323" s="1127"/>
      <c r="AC323" s="1127"/>
      <c r="AD323" s="1144"/>
      <c r="AE323" s="1139"/>
      <c r="AF323" s="1145">
        <f t="shared" ref="AF323" si="137">SUM(E323:AD323)</f>
        <v>0</v>
      </c>
      <c r="AG323" s="1153"/>
      <c r="AH323" s="1145"/>
      <c r="AI323" s="1153">
        <f t="shared" ref="AI323" si="138">AF323+AG323+AH323</f>
        <v>0</v>
      </c>
      <c r="AJ323" s="1154"/>
      <c r="AK323" s="1155">
        <f>AI324+AJ323</f>
        <v>0</v>
      </c>
    </row>
    <row r="324" spans="1:38" ht="21" thickBot="1">
      <c r="A324" s="537"/>
      <c r="B324" s="1112"/>
      <c r="C324" s="1113"/>
      <c r="D324" s="1114"/>
      <c r="E324" s="1108"/>
      <c r="F324" s="1109"/>
      <c r="G324" s="1109"/>
      <c r="H324" s="1110"/>
      <c r="I324" s="1110"/>
      <c r="J324" s="1109"/>
      <c r="K324" s="1110"/>
      <c r="L324" s="1124"/>
      <c r="M324" s="1125"/>
      <c r="N324" s="1108"/>
      <c r="O324" s="1109"/>
      <c r="P324" s="1109"/>
      <c r="Q324" s="1110"/>
      <c r="R324" s="1110"/>
      <c r="S324" s="1109"/>
      <c r="T324" s="1110"/>
      <c r="U324" s="1124"/>
      <c r="V324" s="1139"/>
      <c r="W324" s="1126"/>
      <c r="X324" s="1127"/>
      <c r="Y324" s="1127"/>
      <c r="Z324" s="1127"/>
      <c r="AA324" s="1127"/>
      <c r="AB324" s="1127"/>
      <c r="AC324" s="1127"/>
      <c r="AD324" s="1144"/>
      <c r="AE324" s="1139"/>
      <c r="AF324" s="1145">
        <f t="shared" ref="AF324" si="139">SUM(E324:AD324)</f>
        <v>0</v>
      </c>
      <c r="AG324" s="1153"/>
      <c r="AH324" s="1145"/>
      <c r="AI324" s="1153">
        <f t="shared" ref="AI324" si="140">AF324+AG324+AH324</f>
        <v>0</v>
      </c>
      <c r="AJ324" s="1157"/>
      <c r="AK324" s="1161">
        <f>AI325+AJ324</f>
        <v>0</v>
      </c>
    </row>
    <row r="325" spans="1:38" ht="21" thickBot="1">
      <c r="A325" s="537"/>
      <c r="B325" s="1115"/>
      <c r="C325" s="1116"/>
      <c r="D325" s="1117"/>
      <c r="E325" s="1108"/>
      <c r="F325" s="1109"/>
      <c r="G325" s="1109"/>
      <c r="H325" s="1110"/>
      <c r="I325" s="1110"/>
      <c r="J325" s="1109"/>
      <c r="K325" s="1110"/>
      <c r="L325" s="1124"/>
      <c r="M325" s="1132"/>
      <c r="N325" s="1108"/>
      <c r="O325" s="1109"/>
      <c r="P325" s="1109"/>
      <c r="Q325" s="1110"/>
      <c r="R325" s="1110"/>
      <c r="S325" s="1109"/>
      <c r="T325" s="1110"/>
      <c r="U325" s="1124"/>
      <c r="V325" s="1141"/>
      <c r="W325" s="1142"/>
      <c r="X325" s="1110"/>
      <c r="Y325" s="1110"/>
      <c r="Z325" s="1110"/>
      <c r="AA325" s="1110"/>
      <c r="AB325" s="1110"/>
      <c r="AC325" s="1110"/>
      <c r="AD325" s="1149"/>
      <c r="AE325" s="1141"/>
      <c r="AF325" s="1150">
        <f t="shared" si="86"/>
        <v>0</v>
      </c>
      <c r="AG325" s="1160"/>
      <c r="AH325" s="1150"/>
      <c r="AI325" s="1160">
        <f t="shared" si="80"/>
        <v>0</v>
      </c>
      <c r="AJ325" s="693">
        <f>SUM(AJ243:AJ324)</f>
        <v>0</v>
      </c>
      <c r="AK325" s="693">
        <f>SUM(AK243:AK324)</f>
        <v>12060</v>
      </c>
    </row>
    <row r="326" spans="1:38" ht="21" thickBot="1">
      <c r="A326" s="626" t="s">
        <v>151</v>
      </c>
      <c r="B326" s="627"/>
      <c r="C326" s="627"/>
      <c r="D326" s="628"/>
      <c r="E326" s="529">
        <f t="shared" ref="E326:L326" si="141">SUM(E243:E325)</f>
        <v>0</v>
      </c>
      <c r="F326" s="529">
        <f t="shared" si="141"/>
        <v>0</v>
      </c>
      <c r="G326" s="529">
        <f t="shared" si="141"/>
        <v>0</v>
      </c>
      <c r="H326" s="529">
        <f t="shared" si="141"/>
        <v>0</v>
      </c>
      <c r="I326" s="529">
        <f t="shared" si="141"/>
        <v>0</v>
      </c>
      <c r="J326" s="529">
        <f t="shared" si="141"/>
        <v>0</v>
      </c>
      <c r="K326" s="529">
        <f t="shared" si="141"/>
        <v>0</v>
      </c>
      <c r="L326" s="529">
        <f t="shared" si="141"/>
        <v>0</v>
      </c>
      <c r="M326" s="529"/>
      <c r="N326" s="529">
        <f t="shared" ref="N326:U326" si="142">SUM(N243:N325)</f>
        <v>0</v>
      </c>
      <c r="O326" s="529">
        <f t="shared" si="142"/>
        <v>0</v>
      </c>
      <c r="P326" s="529">
        <f t="shared" si="142"/>
        <v>2680</v>
      </c>
      <c r="Q326" s="529">
        <f t="shared" si="142"/>
        <v>60</v>
      </c>
      <c r="R326" s="529">
        <f t="shared" si="142"/>
        <v>3520</v>
      </c>
      <c r="S326" s="529">
        <f t="shared" si="142"/>
        <v>0</v>
      </c>
      <c r="T326" s="529">
        <f t="shared" si="142"/>
        <v>0</v>
      </c>
      <c r="U326" s="529">
        <f t="shared" si="142"/>
        <v>100</v>
      </c>
      <c r="V326" s="529"/>
      <c r="W326" s="529">
        <f t="shared" ref="W326:AD326" si="143">SUM(W243:W325)</f>
        <v>2500</v>
      </c>
      <c r="X326" s="529">
        <f t="shared" si="143"/>
        <v>0</v>
      </c>
      <c r="Y326" s="529">
        <f t="shared" si="143"/>
        <v>1560</v>
      </c>
      <c r="Z326" s="529">
        <f t="shared" si="143"/>
        <v>0</v>
      </c>
      <c r="AA326" s="529">
        <f t="shared" si="143"/>
        <v>1620</v>
      </c>
      <c r="AB326" s="529">
        <f t="shared" si="143"/>
        <v>20</v>
      </c>
      <c r="AC326" s="529">
        <f t="shared" si="143"/>
        <v>0</v>
      </c>
      <c r="AD326" s="529">
        <f t="shared" si="143"/>
        <v>0</v>
      </c>
      <c r="AE326" s="574"/>
      <c r="AF326" s="693">
        <f>SUM(AF243:AF325)</f>
        <v>12060</v>
      </c>
      <c r="AG326" s="693">
        <f>SUM(AG243:AG325)</f>
        <v>0</v>
      </c>
      <c r="AH326" s="693">
        <f>SUM(AH243:AH325)</f>
        <v>0</v>
      </c>
      <c r="AI326" s="693">
        <f>SUM(AI243:AI325)</f>
        <v>12060</v>
      </c>
      <c r="AJ326" s="687">
        <f>AJ325/20</f>
        <v>0</v>
      </c>
      <c r="AK326" s="662">
        <f>AK325/20</f>
        <v>603</v>
      </c>
    </row>
    <row r="327" spans="1:38" ht="21" thickBot="1">
      <c r="A327" s="530" t="s">
        <v>152</v>
      </c>
      <c r="B327" s="531"/>
      <c r="C327" s="531"/>
      <c r="D327" s="630"/>
      <c r="E327" s="533">
        <f>E326/20</f>
        <v>0</v>
      </c>
      <c r="F327" s="534">
        <f t="shared" ref="F327:L327" si="144">F326/20</f>
        <v>0</v>
      </c>
      <c r="G327" s="534">
        <f t="shared" si="144"/>
        <v>0</v>
      </c>
      <c r="H327" s="534">
        <f t="shared" si="144"/>
        <v>0</v>
      </c>
      <c r="I327" s="534">
        <f t="shared" si="144"/>
        <v>0</v>
      </c>
      <c r="J327" s="534">
        <f t="shared" si="144"/>
        <v>0</v>
      </c>
      <c r="K327" s="586">
        <f t="shared" si="144"/>
        <v>0</v>
      </c>
      <c r="L327" s="586">
        <f t="shared" si="144"/>
        <v>0</v>
      </c>
      <c r="M327" s="575"/>
      <c r="N327" s="576">
        <f>N326/20</f>
        <v>0</v>
      </c>
      <c r="O327" s="577">
        <f t="shared" ref="O327:U327" si="145">O326/20</f>
        <v>0</v>
      </c>
      <c r="P327" s="577">
        <f t="shared" si="145"/>
        <v>134</v>
      </c>
      <c r="Q327" s="577">
        <f t="shared" si="145"/>
        <v>3</v>
      </c>
      <c r="R327" s="577">
        <f t="shared" si="145"/>
        <v>176</v>
      </c>
      <c r="S327" s="577">
        <f t="shared" si="145"/>
        <v>0</v>
      </c>
      <c r="T327" s="577">
        <f t="shared" si="145"/>
        <v>0</v>
      </c>
      <c r="U327" s="586">
        <f t="shared" si="145"/>
        <v>5</v>
      </c>
      <c r="V327" s="575"/>
      <c r="W327" s="576">
        <f>W326/20</f>
        <v>125</v>
      </c>
      <c r="X327" s="577">
        <f t="shared" ref="X327:AD327" si="146">X326/20</f>
        <v>0</v>
      </c>
      <c r="Y327" s="577">
        <f t="shared" si="146"/>
        <v>78</v>
      </c>
      <c r="Z327" s="577">
        <f t="shared" si="146"/>
        <v>0</v>
      </c>
      <c r="AA327" s="577">
        <f t="shared" si="146"/>
        <v>81</v>
      </c>
      <c r="AB327" s="577">
        <f t="shared" si="146"/>
        <v>1</v>
      </c>
      <c r="AC327" s="577">
        <f t="shared" si="146"/>
        <v>0</v>
      </c>
      <c r="AD327" s="586">
        <f t="shared" si="146"/>
        <v>0</v>
      </c>
      <c r="AE327" s="575"/>
      <c r="AF327" s="668">
        <f>SUM(E327:AD327)</f>
        <v>603</v>
      </c>
      <c r="AG327" s="687">
        <f>AG326/20</f>
        <v>0</v>
      </c>
      <c r="AH327" s="687">
        <f>AH326/20</f>
        <v>0</v>
      </c>
      <c r="AI327" s="575">
        <f>AI326/20</f>
        <v>603</v>
      </c>
      <c r="AJ327" s="347"/>
      <c r="AK327" s="402"/>
    </row>
    <row r="328" spans="1:38" ht="19.5" thickBot="1">
      <c r="A328" s="306"/>
      <c r="B328" s="307"/>
      <c r="C328" s="307"/>
      <c r="D328" s="308"/>
      <c r="E328" s="309"/>
      <c r="F328" s="309"/>
      <c r="G328" s="309"/>
      <c r="H328" s="309"/>
      <c r="I328" s="309"/>
      <c r="J328" s="309"/>
      <c r="K328" s="309"/>
      <c r="L328" s="309"/>
      <c r="M328" s="346"/>
      <c r="N328" s="347"/>
      <c r="O328" s="347"/>
      <c r="P328" s="347"/>
      <c r="Q328" s="347"/>
      <c r="R328" s="347"/>
      <c r="S328" s="347"/>
      <c r="T328" s="347"/>
      <c r="U328" s="347"/>
      <c r="V328" s="346"/>
      <c r="W328" s="347"/>
      <c r="X328" s="347"/>
      <c r="Y328" s="347"/>
      <c r="Z328" s="347"/>
      <c r="AA328" s="347"/>
      <c r="AB328" s="347"/>
      <c r="AC328" s="347"/>
      <c r="AD328" s="347"/>
      <c r="AE328" s="346"/>
      <c r="AF328" s="347"/>
      <c r="AG328" s="347"/>
      <c r="AH328" s="347"/>
      <c r="AI328" s="347"/>
      <c r="AJ328" s="385" t="s">
        <v>173</v>
      </c>
      <c r="AK328" s="371" t="s">
        <v>108</v>
      </c>
    </row>
    <row r="329" spans="1:38" ht="21" thickBot="1">
      <c r="A329" s="3881" t="s">
        <v>183</v>
      </c>
      <c r="B329" s="3882"/>
      <c r="C329" s="3883"/>
      <c r="D329" s="288" t="s">
        <v>70</v>
      </c>
      <c r="E329" s="743" t="s">
        <v>88</v>
      </c>
      <c r="F329" s="744" t="s">
        <v>407</v>
      </c>
      <c r="G329" s="744" t="s">
        <v>53</v>
      </c>
      <c r="H329" s="744" t="s">
        <v>170</v>
      </c>
      <c r="I329" s="744" t="s">
        <v>222</v>
      </c>
      <c r="J329" s="744" t="s">
        <v>149</v>
      </c>
      <c r="K329" s="744" t="s">
        <v>206</v>
      </c>
      <c r="L329" s="783" t="s">
        <v>124</v>
      </c>
      <c r="M329" s="1089"/>
      <c r="N329" s="80" t="s">
        <v>96</v>
      </c>
      <c r="O329" s="49" t="s">
        <v>407</v>
      </c>
      <c r="P329" s="49" t="s">
        <v>53</v>
      </c>
      <c r="Q329" s="49" t="s">
        <v>86</v>
      </c>
      <c r="R329" s="49" t="s">
        <v>94</v>
      </c>
      <c r="S329" s="49" t="s">
        <v>85</v>
      </c>
      <c r="T329" s="126" t="s">
        <v>92</v>
      </c>
      <c r="U329" s="171" t="s">
        <v>432</v>
      </c>
      <c r="V329" s="79"/>
      <c r="W329" s="743" t="s">
        <v>88</v>
      </c>
      <c r="X329" s="744"/>
      <c r="Y329" s="744" t="s">
        <v>206</v>
      </c>
      <c r="Z329" s="744"/>
      <c r="AA329" s="744" t="s">
        <v>222</v>
      </c>
      <c r="AB329" s="744"/>
      <c r="AC329" s="50"/>
      <c r="AD329" s="805"/>
      <c r="AE329" s="79"/>
      <c r="AF329" s="371" t="s">
        <v>172</v>
      </c>
      <c r="AG329" s="372" t="s">
        <v>80</v>
      </c>
      <c r="AH329" s="385"/>
      <c r="AI329" s="386" t="s">
        <v>106</v>
      </c>
      <c r="AJ329" s="512"/>
      <c r="AK329" s="513">
        <f>AI330+AJ329</f>
        <v>0</v>
      </c>
    </row>
    <row r="330" spans="1:38" ht="21" thickBot="1">
      <c r="A330" s="631"/>
      <c r="B330" s="443"/>
      <c r="C330" s="443"/>
      <c r="D330" s="444"/>
      <c r="E330" s="433"/>
      <c r="F330" s="434"/>
      <c r="G330" s="434"/>
      <c r="H330" s="435"/>
      <c r="I330" s="435"/>
      <c r="J330" s="434"/>
      <c r="K330" s="480"/>
      <c r="L330" s="492"/>
      <c r="M330" s="483"/>
      <c r="N330" s="484"/>
      <c r="O330" s="435"/>
      <c r="P330" s="435"/>
      <c r="Q330" s="435"/>
      <c r="R330" s="435"/>
      <c r="S330" s="435"/>
      <c r="T330" s="435"/>
      <c r="U330" s="492"/>
      <c r="V330" s="483"/>
      <c r="W330" s="433"/>
      <c r="X330" s="434"/>
      <c r="Y330" s="434"/>
      <c r="Z330" s="435"/>
      <c r="AA330" s="435"/>
      <c r="AB330" s="435"/>
      <c r="AC330" s="434"/>
      <c r="AD330" s="495"/>
      <c r="AE330" s="483"/>
      <c r="AF330" s="496">
        <f t="shared" ref="AF330:AF331" si="147">SUM(E330:AD330)</f>
        <v>0</v>
      </c>
      <c r="AG330" s="497"/>
      <c r="AH330" s="510"/>
      <c r="AI330" s="511">
        <f t="shared" ref="AI330:AI331" si="148">AF330+AG330</f>
        <v>0</v>
      </c>
      <c r="AJ330" s="412"/>
      <c r="AK330" s="508">
        <f>AI331+AJ330</f>
        <v>0</v>
      </c>
    </row>
    <row r="331" spans="1:38" ht="21" thickBot="1">
      <c r="A331" s="322"/>
      <c r="B331" s="323"/>
      <c r="C331" s="323"/>
      <c r="D331" s="324"/>
      <c r="E331" s="325"/>
      <c r="F331" s="297"/>
      <c r="G331" s="297"/>
      <c r="H331" s="298"/>
      <c r="I331" s="298"/>
      <c r="J331" s="297"/>
      <c r="K331" s="344"/>
      <c r="L331" s="344"/>
      <c r="M331" s="355"/>
      <c r="N331" s="343"/>
      <c r="O331" s="298"/>
      <c r="P331" s="298"/>
      <c r="Q331" s="298"/>
      <c r="R331" s="298"/>
      <c r="S331" s="298"/>
      <c r="T331" s="298"/>
      <c r="U331" s="367"/>
      <c r="V331" s="355"/>
      <c r="W331" s="325"/>
      <c r="X331" s="297"/>
      <c r="Y331" s="297"/>
      <c r="Z331" s="298"/>
      <c r="AA331" s="298"/>
      <c r="AB331" s="298"/>
      <c r="AC331" s="297"/>
      <c r="AD331" s="375"/>
      <c r="AE331" s="355"/>
      <c r="AF331" s="377">
        <f t="shared" si="147"/>
        <v>0</v>
      </c>
      <c r="AG331" s="377"/>
      <c r="AH331" s="390"/>
      <c r="AI331" s="507">
        <f t="shared" si="148"/>
        <v>0</v>
      </c>
      <c r="AJ331" s="494">
        <f>SUM(AJ329:AJ330)</f>
        <v>0</v>
      </c>
      <c r="AK331" s="515">
        <f>SUM(AK329:AK330)</f>
        <v>0</v>
      </c>
    </row>
    <row r="332" spans="1:38" ht="21" thickBot="1">
      <c r="A332" s="436"/>
      <c r="B332" s="437"/>
      <c r="C332" s="437"/>
      <c r="D332" s="438"/>
      <c r="E332" s="439">
        <f t="shared" ref="E332:L332" si="149">SUM(E330:E331)</f>
        <v>0</v>
      </c>
      <c r="F332" s="440">
        <f t="shared" si="149"/>
        <v>0</v>
      </c>
      <c r="G332" s="440">
        <f t="shared" si="149"/>
        <v>0</v>
      </c>
      <c r="H332" s="440">
        <f t="shared" si="149"/>
        <v>0</v>
      </c>
      <c r="I332" s="440">
        <f t="shared" si="149"/>
        <v>0</v>
      </c>
      <c r="J332" s="440">
        <f t="shared" si="149"/>
        <v>0</v>
      </c>
      <c r="K332" s="481">
        <f t="shared" si="149"/>
        <v>0</v>
      </c>
      <c r="L332" s="481">
        <f t="shared" si="149"/>
        <v>0</v>
      </c>
      <c r="M332" s="482"/>
      <c r="N332" s="439">
        <f t="shared" ref="N332:U332" si="150">SUM(N330:N331)</f>
        <v>0</v>
      </c>
      <c r="O332" s="440">
        <f t="shared" si="150"/>
        <v>0</v>
      </c>
      <c r="P332" s="440">
        <f t="shared" si="150"/>
        <v>0</v>
      </c>
      <c r="Q332" s="440">
        <f t="shared" si="150"/>
        <v>0</v>
      </c>
      <c r="R332" s="440">
        <f t="shared" si="150"/>
        <v>0</v>
      </c>
      <c r="S332" s="440">
        <f t="shared" si="150"/>
        <v>0</v>
      </c>
      <c r="T332" s="440">
        <f t="shared" si="150"/>
        <v>0</v>
      </c>
      <c r="U332" s="481">
        <f t="shared" si="150"/>
        <v>0</v>
      </c>
      <c r="V332" s="482"/>
      <c r="W332" s="439">
        <f t="shared" ref="W332:AD332" si="151">SUM(W330:W331)</f>
        <v>0</v>
      </c>
      <c r="X332" s="440">
        <f t="shared" si="151"/>
        <v>0</v>
      </c>
      <c r="Y332" s="440">
        <f t="shared" si="151"/>
        <v>0</v>
      </c>
      <c r="Z332" s="440">
        <f t="shared" si="151"/>
        <v>0</v>
      </c>
      <c r="AA332" s="440">
        <f t="shared" si="151"/>
        <v>0</v>
      </c>
      <c r="AB332" s="440">
        <f t="shared" si="151"/>
        <v>0</v>
      </c>
      <c r="AC332" s="440">
        <f t="shared" si="151"/>
        <v>0</v>
      </c>
      <c r="AD332" s="481">
        <f t="shared" si="151"/>
        <v>0</v>
      </c>
      <c r="AE332" s="482"/>
      <c r="AF332" s="494">
        <f>SUM(AF330:AF331)</f>
        <v>0</v>
      </c>
      <c r="AG332" s="494">
        <f>SUM(AG330:AG331)</f>
        <v>0</v>
      </c>
      <c r="AH332" s="509"/>
      <c r="AI332" s="514">
        <f>SUM(AI330:AI331)</f>
        <v>0</v>
      </c>
      <c r="AJ332" s="1134"/>
      <c r="AK332" s="1163"/>
    </row>
    <row r="333" spans="1:38" ht="21" thickBot="1">
      <c r="A333" s="1118"/>
      <c r="B333" s="1119"/>
      <c r="C333" s="1119"/>
      <c r="D333" s="1120"/>
      <c r="E333" s="743" t="s">
        <v>88</v>
      </c>
      <c r="F333" s="744" t="s">
        <v>407</v>
      </c>
      <c r="G333" s="744" t="s">
        <v>53</v>
      </c>
      <c r="H333" s="744" t="s">
        <v>170</v>
      </c>
      <c r="I333" s="744" t="s">
        <v>222</v>
      </c>
      <c r="J333" s="744" t="s">
        <v>149</v>
      </c>
      <c r="K333" s="744" t="s">
        <v>206</v>
      </c>
      <c r="L333" s="783" t="s">
        <v>124</v>
      </c>
      <c r="M333" s="1089"/>
      <c r="N333" s="80" t="s">
        <v>96</v>
      </c>
      <c r="O333" s="49" t="s">
        <v>407</v>
      </c>
      <c r="P333" s="49" t="s">
        <v>53</v>
      </c>
      <c r="Q333" s="49" t="s">
        <v>86</v>
      </c>
      <c r="R333" s="49" t="s">
        <v>94</v>
      </c>
      <c r="S333" s="49" t="s">
        <v>85</v>
      </c>
      <c r="T333" s="126" t="s">
        <v>92</v>
      </c>
      <c r="U333" s="171" t="s">
        <v>432</v>
      </c>
      <c r="V333" s="79"/>
      <c r="W333" s="743" t="s">
        <v>88</v>
      </c>
      <c r="X333" s="744"/>
      <c r="Y333" s="744" t="s">
        <v>206</v>
      </c>
      <c r="Z333" s="744"/>
      <c r="AA333" s="744" t="s">
        <v>222</v>
      </c>
      <c r="AB333" s="744"/>
      <c r="AC333" s="50"/>
      <c r="AD333" s="805"/>
      <c r="AE333" s="1133"/>
      <c r="AF333" s="1134"/>
      <c r="AG333" s="1134"/>
      <c r="AH333" s="1162"/>
      <c r="AI333" s="1134"/>
      <c r="AJ333" s="689"/>
      <c r="AK333" s="704"/>
    </row>
    <row r="334" spans="1:38" ht="21" thickBot="1">
      <c r="A334" s="122"/>
      <c r="B334" s="632"/>
      <c r="C334" s="632"/>
      <c r="D334" s="122"/>
      <c r="E334" s="3901"/>
      <c r="F334" s="3901"/>
      <c r="G334" s="3901"/>
      <c r="H334" s="3901"/>
      <c r="I334" s="3901"/>
      <c r="J334" s="3901"/>
      <c r="K334" s="3901"/>
      <c r="L334" s="3901"/>
      <c r="M334" s="633"/>
      <c r="N334" s="3902"/>
      <c r="O334" s="3902"/>
      <c r="P334" s="3902"/>
      <c r="Q334" s="3902"/>
      <c r="R334" s="3902"/>
      <c r="S334" s="3902"/>
      <c r="T334" s="3902"/>
      <c r="U334" s="3902"/>
      <c r="V334" s="663"/>
      <c r="W334" s="3903"/>
      <c r="X334" s="3903"/>
      <c r="Y334" s="3903"/>
      <c r="Z334" s="3903"/>
      <c r="AA334" s="3903"/>
      <c r="AB334" s="3903"/>
      <c r="AC334" s="3903"/>
      <c r="AD334" s="3903"/>
      <c r="AE334" s="688"/>
      <c r="AF334" s="689"/>
      <c r="AG334" s="673"/>
      <c r="AH334" s="673"/>
      <c r="AI334" s="689"/>
      <c r="AJ334" s="634"/>
      <c r="AK334" s="634"/>
    </row>
    <row r="335" spans="1:38" ht="21" thickBot="1">
      <c r="A335" s="634"/>
      <c r="B335" s="635"/>
      <c r="C335" s="635"/>
      <c r="D335" s="634"/>
      <c r="E335" s="634"/>
      <c r="F335" s="634"/>
      <c r="G335" s="634"/>
      <c r="H335" s="634"/>
      <c r="I335" s="634"/>
      <c r="J335" s="634"/>
      <c r="K335" s="634"/>
      <c r="L335" s="634"/>
      <c r="M335" s="634"/>
      <c r="N335" s="634"/>
      <c r="O335" s="634"/>
      <c r="P335" s="634"/>
      <c r="Q335" s="634"/>
      <c r="R335" s="634"/>
      <c r="S335" s="634"/>
      <c r="T335" s="634"/>
      <c r="U335" s="634"/>
      <c r="V335" s="634"/>
      <c r="W335" s="634"/>
      <c r="X335" s="634"/>
      <c r="Y335" s="634"/>
      <c r="Z335" s="634"/>
      <c r="AA335" s="634"/>
      <c r="AB335" s="634"/>
      <c r="AC335" s="690"/>
      <c r="AD335" s="690"/>
      <c r="AE335" s="690"/>
      <c r="AF335" s="690"/>
      <c r="AG335" s="634"/>
      <c r="AH335" s="634"/>
      <c r="AI335" s="634"/>
      <c r="AJ335" s="529">
        <f>AJ238-AJ325+AJ331</f>
        <v>244</v>
      </c>
      <c r="AK335" s="693">
        <f>AK238-AK325+AK331</f>
        <v>5054</v>
      </c>
    </row>
    <row r="336" spans="1:38" ht="21" thickBot="1">
      <c r="A336" s="636" t="s">
        <v>185</v>
      </c>
      <c r="B336" s="637"/>
      <c r="C336" s="637"/>
      <c r="D336" s="638"/>
      <c r="E336" s="529">
        <f t="shared" ref="E336:L336" si="152">E238-E326+E332</f>
        <v>0</v>
      </c>
      <c r="F336" s="639">
        <f t="shared" si="152"/>
        <v>0</v>
      </c>
      <c r="G336" s="639">
        <f t="shared" si="152"/>
        <v>0</v>
      </c>
      <c r="H336" s="639">
        <f t="shared" si="152"/>
        <v>0</v>
      </c>
      <c r="I336" s="639">
        <f t="shared" si="152"/>
        <v>0</v>
      </c>
      <c r="J336" s="639">
        <f t="shared" si="152"/>
        <v>140</v>
      </c>
      <c r="K336" s="664">
        <f t="shared" si="152"/>
        <v>360</v>
      </c>
      <c r="L336" s="664">
        <f t="shared" si="152"/>
        <v>0</v>
      </c>
      <c r="M336" s="574"/>
      <c r="N336" s="665">
        <f t="shared" ref="N336:U336" si="153">N238-N326+N332</f>
        <v>140</v>
      </c>
      <c r="O336" s="666">
        <f t="shared" si="153"/>
        <v>0</v>
      </c>
      <c r="P336" s="666">
        <f t="shared" si="153"/>
        <v>180</v>
      </c>
      <c r="Q336" s="666">
        <f t="shared" si="153"/>
        <v>280</v>
      </c>
      <c r="R336" s="666">
        <f t="shared" si="153"/>
        <v>-20</v>
      </c>
      <c r="S336" s="666">
        <f t="shared" si="153"/>
        <v>0</v>
      </c>
      <c r="T336" s="666">
        <f t="shared" si="153"/>
        <v>0</v>
      </c>
      <c r="U336" s="674">
        <f t="shared" si="153"/>
        <v>660</v>
      </c>
      <c r="V336" s="574"/>
      <c r="W336" s="665">
        <f t="shared" ref="W336:AD336" si="154">W238-W326+W332</f>
        <v>-280</v>
      </c>
      <c r="X336" s="666">
        <f t="shared" si="154"/>
        <v>1200</v>
      </c>
      <c r="Y336" s="666">
        <f t="shared" si="154"/>
        <v>800</v>
      </c>
      <c r="Z336" s="666">
        <f t="shared" si="154"/>
        <v>0</v>
      </c>
      <c r="AA336" s="666">
        <f t="shared" si="154"/>
        <v>1300</v>
      </c>
      <c r="AB336" s="666">
        <f t="shared" si="154"/>
        <v>0</v>
      </c>
      <c r="AC336" s="666">
        <f t="shared" si="154"/>
        <v>0</v>
      </c>
      <c r="AD336" s="674">
        <f t="shared" si="154"/>
        <v>0</v>
      </c>
      <c r="AE336" s="691"/>
      <c r="AF336" s="529">
        <f>AF238-AF326+AF332</f>
        <v>4760</v>
      </c>
      <c r="AG336" s="3775">
        <f>AG238-AG326-AH326+AG332</f>
        <v>50</v>
      </c>
      <c r="AH336" s="3884"/>
      <c r="AI336" s="529">
        <f>AI238-AI326+AI332</f>
        <v>4810</v>
      </c>
      <c r="AJ336" s="574">
        <f t="shared" ref="AI336:AK337" si="155">AJ335/20</f>
        <v>12.2</v>
      </c>
      <c r="AK336" s="706">
        <f t="shared" si="155"/>
        <v>252.7</v>
      </c>
    </row>
    <row r="337" spans="1:37" ht="21" thickBot="1">
      <c r="A337" s="640" t="s">
        <v>152</v>
      </c>
      <c r="B337" s="641"/>
      <c r="C337" s="641"/>
      <c r="D337" s="642"/>
      <c r="E337" s="529">
        <f>E336/20</f>
        <v>0</v>
      </c>
      <c r="F337" s="639">
        <f t="shared" ref="F337:L337" si="156">F336/20</f>
        <v>0</v>
      </c>
      <c r="G337" s="639">
        <f t="shared" si="156"/>
        <v>0</v>
      </c>
      <c r="H337" s="639">
        <f t="shared" si="156"/>
        <v>0</v>
      </c>
      <c r="I337" s="639">
        <f t="shared" si="156"/>
        <v>0</v>
      </c>
      <c r="J337" s="639">
        <f t="shared" si="156"/>
        <v>7</v>
      </c>
      <c r="K337" s="1123">
        <f t="shared" si="156"/>
        <v>18</v>
      </c>
      <c r="L337" s="1123">
        <f t="shared" si="156"/>
        <v>0</v>
      </c>
      <c r="M337" s="1135"/>
      <c r="N337" s="1136">
        <f>N336/20</f>
        <v>7</v>
      </c>
      <c r="O337" s="1122">
        <f t="shared" ref="O337:U337" si="157">O336/20</f>
        <v>0</v>
      </c>
      <c r="P337" s="1122">
        <f t="shared" si="157"/>
        <v>9</v>
      </c>
      <c r="Q337" s="1122">
        <f t="shared" si="157"/>
        <v>14</v>
      </c>
      <c r="R337" s="1122">
        <f t="shared" si="157"/>
        <v>-1</v>
      </c>
      <c r="S337" s="1122">
        <f t="shared" si="157"/>
        <v>0</v>
      </c>
      <c r="T337" s="1122">
        <f t="shared" si="157"/>
        <v>0</v>
      </c>
      <c r="U337" s="1123">
        <f t="shared" si="157"/>
        <v>33</v>
      </c>
      <c r="V337" s="1135"/>
      <c r="W337" s="1136">
        <f>W336/20</f>
        <v>-14</v>
      </c>
      <c r="X337" s="1122">
        <f t="shared" ref="X337:AD337" si="158">X336/20</f>
        <v>60</v>
      </c>
      <c r="Y337" s="1122">
        <f t="shared" si="158"/>
        <v>40</v>
      </c>
      <c r="Z337" s="1122">
        <f t="shared" si="158"/>
        <v>0</v>
      </c>
      <c r="AA337" s="1122">
        <f t="shared" si="158"/>
        <v>65</v>
      </c>
      <c r="AB337" s="1122">
        <f t="shared" si="158"/>
        <v>0</v>
      </c>
      <c r="AC337" s="1122">
        <f t="shared" si="158"/>
        <v>0</v>
      </c>
      <c r="AD337" s="1123">
        <f t="shared" si="158"/>
        <v>0</v>
      </c>
      <c r="AE337" s="692"/>
      <c r="AF337" s="693">
        <f>AF336/20</f>
        <v>238</v>
      </c>
      <c r="AG337" s="3775">
        <f>AG336/20</f>
        <v>2.5</v>
      </c>
      <c r="AH337" s="3884"/>
      <c r="AI337" s="693">
        <f t="shared" si="155"/>
        <v>240.5</v>
      </c>
      <c r="AJ337" s="694"/>
      <c r="AK337" s="707"/>
    </row>
    <row r="338" spans="1:37" ht="21" thickBot="1">
      <c r="A338" s="643" t="s">
        <v>156</v>
      </c>
      <c r="B338" s="644"/>
      <c r="C338" s="644"/>
      <c r="D338" s="645"/>
      <c r="E338" s="3897">
        <f>SUM(E337:L337)</f>
        <v>25</v>
      </c>
      <c r="F338" s="3898"/>
      <c r="G338" s="3898"/>
      <c r="H338" s="3898"/>
      <c r="I338" s="3898"/>
      <c r="J338" s="3898"/>
      <c r="K338" s="3898"/>
      <c r="L338" s="3899"/>
      <c r="M338" s="667"/>
      <c r="N338" s="3778">
        <f>SUM(N337:U337)</f>
        <v>62</v>
      </c>
      <c r="O338" s="3779"/>
      <c r="P338" s="3779"/>
      <c r="Q338" s="3779"/>
      <c r="R338" s="3779"/>
      <c r="S338" s="3779"/>
      <c r="T338" s="3779"/>
      <c r="U338" s="3780"/>
      <c r="V338" s="675"/>
      <c r="W338" s="3778">
        <f>SUM(W337:AD337)</f>
        <v>151</v>
      </c>
      <c r="X338" s="3779"/>
      <c r="Y338" s="3779"/>
      <c r="Z338" s="3779"/>
      <c r="AA338" s="3779"/>
      <c r="AB338" s="3779"/>
      <c r="AC338" s="3779"/>
      <c r="AD338" s="3780"/>
      <c r="AE338" s="694"/>
      <c r="AF338" s="694"/>
      <c r="AG338" s="694"/>
      <c r="AH338" s="694"/>
      <c r="AI338" s="694"/>
      <c r="AJ338" s="689"/>
      <c r="AK338" s="704"/>
    </row>
    <row r="339" spans="1:37" ht="21" thickBot="1">
      <c r="A339" s="646" t="s">
        <v>157</v>
      </c>
      <c r="B339" s="647"/>
      <c r="C339" s="647"/>
      <c r="D339" s="648"/>
      <c r="E339" s="3875">
        <f>SUM(E336:L336)</f>
        <v>500</v>
      </c>
      <c r="F339" s="3876"/>
      <c r="G339" s="3876"/>
      <c r="H339" s="3876"/>
      <c r="I339" s="3876"/>
      <c r="J339" s="3876"/>
      <c r="K339" s="3876"/>
      <c r="L339" s="3900"/>
      <c r="M339" s="669"/>
      <c r="N339" s="3877">
        <f>SUM(N336:U336)</f>
        <v>1240</v>
      </c>
      <c r="O339" s="3878"/>
      <c r="P339" s="3878"/>
      <c r="Q339" s="3878"/>
      <c r="R339" s="3878"/>
      <c r="S339" s="3878"/>
      <c r="T339" s="3878"/>
      <c r="U339" s="3879"/>
      <c r="V339" s="676"/>
      <c r="W339" s="3781">
        <f>SUM(W336:AD336)</f>
        <v>3020</v>
      </c>
      <c r="X339" s="3788"/>
      <c r="Y339" s="3788"/>
      <c r="Z339" s="3788"/>
      <c r="AA339" s="3788"/>
      <c r="AB339" s="3788"/>
      <c r="AC339" s="3788"/>
      <c r="AD339" s="3880"/>
      <c r="AE339" s="688"/>
      <c r="AF339" s="689"/>
      <c r="AG339" s="673"/>
      <c r="AH339" s="673"/>
      <c r="AI339" s="689"/>
      <c r="AJ339" s="634"/>
      <c r="AK339" s="634"/>
    </row>
    <row r="340" spans="1:37" ht="20.25">
      <c r="A340" s="634"/>
      <c r="B340" s="635"/>
      <c r="C340" s="635"/>
      <c r="D340" s="649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634"/>
      <c r="AB340" s="634"/>
      <c r="AC340" s="690"/>
      <c r="AD340" s="690"/>
      <c r="AE340" s="690"/>
      <c r="AF340" s="690"/>
      <c r="AG340" s="634"/>
      <c r="AH340" s="634"/>
      <c r="AI340" s="634"/>
      <c r="AJ340" s="650"/>
      <c r="AK340" s="650"/>
    </row>
    <row r="341" spans="1:37" ht="21" thickBot="1">
      <c r="A341" s="650"/>
      <c r="B341" s="651"/>
      <c r="C341" s="651"/>
      <c r="D341" s="650"/>
      <c r="E341" s="650"/>
      <c r="F341" s="650"/>
      <c r="G341" s="650"/>
      <c r="H341" s="650"/>
      <c r="I341" s="650"/>
      <c r="J341" s="650"/>
      <c r="K341" s="650"/>
      <c r="L341" s="650"/>
      <c r="M341" s="650"/>
      <c r="N341" s="650"/>
      <c r="O341" s="650"/>
      <c r="P341" s="650"/>
      <c r="Q341" s="650"/>
      <c r="R341" s="650"/>
      <c r="S341" s="650"/>
      <c r="T341" s="650"/>
      <c r="U341" s="650"/>
      <c r="V341" s="650"/>
      <c r="W341" s="650"/>
      <c r="X341" s="650"/>
      <c r="Y341" s="650"/>
      <c r="Z341" s="650"/>
      <c r="AA341" s="650"/>
      <c r="AB341" s="650"/>
      <c r="AC341" s="650"/>
      <c r="AD341" s="650"/>
      <c r="AE341" s="650"/>
      <c r="AF341" s="650"/>
      <c r="AG341" s="650"/>
      <c r="AH341" s="650"/>
      <c r="AI341" s="650"/>
      <c r="AJ341" s="634"/>
      <c r="AK341" s="634"/>
    </row>
    <row r="342" spans="1:37" ht="27.75" thickBot="1">
      <c r="A342" s="634"/>
      <c r="B342" s="635"/>
      <c r="C342" s="635"/>
      <c r="D342" s="634"/>
      <c r="E342" s="634"/>
      <c r="F342" s="634"/>
      <c r="G342" s="634"/>
      <c r="H342" s="634"/>
      <c r="I342" s="634"/>
      <c r="J342" s="634"/>
      <c r="K342" s="634"/>
      <c r="L342" s="634"/>
      <c r="M342" s="634"/>
      <c r="N342" s="634"/>
      <c r="O342" s="634"/>
      <c r="P342" s="634"/>
      <c r="Q342" s="634"/>
      <c r="R342" s="634"/>
      <c r="S342" s="634"/>
      <c r="T342" s="634"/>
      <c r="U342" s="634"/>
      <c r="V342" s="634"/>
      <c r="W342" s="634"/>
      <c r="X342" s="677"/>
      <c r="Y342" s="3857" t="s">
        <v>158</v>
      </c>
      <c r="Z342" s="3858"/>
      <c r="AA342" s="3858"/>
      <c r="AB342" s="3858"/>
      <c r="AC342" s="3859"/>
      <c r="AD342" s="3802">
        <f>'BIG CHAIR'!CI325</f>
        <v>0</v>
      </c>
      <c r="AE342" s="3803"/>
      <c r="AF342" s="3804"/>
      <c r="AG342" s="634"/>
      <c r="AH342" s="634"/>
      <c r="AI342" s="634"/>
      <c r="AJ342" s="634"/>
      <c r="AK342" s="708"/>
    </row>
    <row r="343" spans="1:37" ht="27.75" thickBot="1">
      <c r="A343" s="634"/>
      <c r="B343" s="635"/>
      <c r="C343" s="635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4"/>
      <c r="P343" s="634"/>
      <c r="Q343" s="634"/>
      <c r="R343" s="634"/>
      <c r="S343" s="634"/>
      <c r="T343" s="634"/>
      <c r="U343" s="634"/>
      <c r="V343" s="634"/>
      <c r="W343" s="634"/>
      <c r="X343" s="677"/>
      <c r="Y343" s="3905" t="s">
        <v>159</v>
      </c>
      <c r="Z343" s="3826"/>
      <c r="AA343" s="3826"/>
      <c r="AB343" s="3826"/>
      <c r="AC343" s="3906"/>
      <c r="AD343" s="3872">
        <f>AF336</f>
        <v>4760</v>
      </c>
      <c r="AE343" s="3803"/>
      <c r="AF343" s="3804"/>
      <c r="AG343" s="634"/>
      <c r="AH343" s="634"/>
      <c r="AI343" s="634"/>
      <c r="AJ343" s="634"/>
      <c r="AK343" s="634"/>
    </row>
    <row r="344" spans="1:37" ht="27.75" thickBot="1">
      <c r="A344" s="634"/>
      <c r="B344" s="635"/>
      <c r="C344" s="635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4"/>
      <c r="P344" s="634"/>
      <c r="Q344" s="634"/>
      <c r="R344" s="634"/>
      <c r="S344" s="634"/>
      <c r="T344" s="634"/>
      <c r="U344" s="634"/>
      <c r="V344" s="634"/>
      <c r="W344" s="634"/>
      <c r="X344" s="677"/>
      <c r="Y344" s="3857" t="s">
        <v>160</v>
      </c>
      <c r="Z344" s="3858"/>
      <c r="AA344" s="3858"/>
      <c r="AB344" s="3858"/>
      <c r="AC344" s="3859"/>
      <c r="AD344" s="3802">
        <f>'BIG CHAIR'!CJ325</f>
        <v>0</v>
      </c>
      <c r="AE344" s="3803"/>
      <c r="AF344" s="3804"/>
      <c r="AG344" s="634"/>
      <c r="AH344" s="634"/>
      <c r="AI344" s="634"/>
      <c r="AJ344" s="634"/>
      <c r="AK344" s="634"/>
    </row>
    <row r="345" spans="1:37" ht="27.75" thickBot="1">
      <c r="A345" s="634"/>
      <c r="B345" s="635"/>
      <c r="C345" s="635"/>
      <c r="D345" s="634"/>
      <c r="E345" s="634"/>
      <c r="F345" s="634"/>
      <c r="G345" s="634"/>
      <c r="H345" s="634"/>
      <c r="I345" s="634"/>
      <c r="J345" s="634"/>
      <c r="K345" s="634"/>
      <c r="L345" s="634"/>
      <c r="M345" s="634"/>
      <c r="N345" s="634"/>
      <c r="O345" s="634"/>
      <c r="P345" s="634"/>
      <c r="Q345" s="634"/>
      <c r="R345" s="634"/>
      <c r="S345" s="634"/>
      <c r="T345" s="634"/>
      <c r="U345" s="634"/>
      <c r="V345" s="634"/>
      <c r="W345" s="634"/>
      <c r="X345" s="677"/>
      <c r="Y345" s="3857" t="s">
        <v>161</v>
      </c>
      <c r="Z345" s="3858"/>
      <c r="AA345" s="3858"/>
      <c r="AB345" s="3858"/>
      <c r="AC345" s="3858"/>
      <c r="AD345" s="3872">
        <f>AG336</f>
        <v>50</v>
      </c>
      <c r="AE345" s="3803"/>
      <c r="AF345" s="3804"/>
      <c r="AG345" s="634"/>
      <c r="AH345" s="634"/>
      <c r="AI345" s="634"/>
      <c r="AJ345" s="634"/>
      <c r="AK345" s="634"/>
    </row>
    <row r="346" spans="1:37" ht="27.75" thickBot="1">
      <c r="A346" s="634"/>
      <c r="B346" s="635"/>
      <c r="C346" s="635"/>
      <c r="D346" s="634"/>
      <c r="E346" s="634"/>
      <c r="F346" s="634"/>
      <c r="G346" s="634"/>
      <c r="H346" s="634"/>
      <c r="I346" s="634"/>
      <c r="J346" s="634"/>
      <c r="K346" s="634"/>
      <c r="L346" s="634"/>
      <c r="M346" s="634"/>
      <c r="N346" s="634"/>
      <c r="O346" s="634"/>
      <c r="P346" s="634"/>
      <c r="Q346" s="634"/>
      <c r="R346" s="634"/>
      <c r="S346" s="634"/>
      <c r="T346" s="634"/>
      <c r="U346" s="634"/>
      <c r="V346" s="634"/>
      <c r="W346" s="634"/>
      <c r="X346" s="677"/>
      <c r="Y346" s="3857" t="s">
        <v>162</v>
      </c>
      <c r="Z346" s="3858"/>
      <c r="AA346" s="3858"/>
      <c r="AB346" s="3858"/>
      <c r="AC346" s="3859"/>
      <c r="AD346" s="3802">
        <f>'Tea Table'!U285</f>
        <v>2676</v>
      </c>
      <c r="AE346" s="3803"/>
      <c r="AF346" s="3804"/>
      <c r="AG346" s="634"/>
      <c r="AH346" s="634"/>
      <c r="AI346" s="634"/>
      <c r="AJ346" s="634"/>
      <c r="AK346" s="634"/>
    </row>
    <row r="347" spans="1:37" ht="27.75" thickBot="1">
      <c r="A347" s="634"/>
      <c r="B347" s="635"/>
      <c r="C347" s="635"/>
      <c r="D347" s="634"/>
      <c r="E347" s="634"/>
      <c r="F347" s="634"/>
      <c r="G347" s="634"/>
      <c r="H347" s="634"/>
      <c r="I347" s="634"/>
      <c r="J347" s="634"/>
      <c r="K347" s="634"/>
      <c r="L347" s="634"/>
      <c r="M347" s="634"/>
      <c r="N347" s="634"/>
      <c r="O347" s="634"/>
      <c r="P347" s="634"/>
      <c r="Q347" s="634"/>
      <c r="R347" s="634"/>
      <c r="S347" s="634"/>
      <c r="T347" s="634"/>
      <c r="U347" s="634"/>
      <c r="V347" s="634"/>
      <c r="W347" s="634"/>
      <c r="X347" s="677"/>
      <c r="Y347" s="3860" t="s">
        <v>163</v>
      </c>
      <c r="Z347" s="3861"/>
      <c r="AA347" s="3861"/>
      <c r="AB347" s="3861"/>
      <c r="AC347" s="3862"/>
      <c r="AD347" s="3863">
        <f>'Tea Table'!V285</f>
        <v>29</v>
      </c>
      <c r="AE347" s="3864"/>
      <c r="AF347" s="3865"/>
      <c r="AG347" s="634"/>
      <c r="AH347" s="634"/>
      <c r="AI347" s="634"/>
      <c r="AJ347" s="634"/>
      <c r="AK347" s="634"/>
    </row>
    <row r="348" spans="1:37" ht="28.5" thickTop="1" thickBot="1">
      <c r="A348" s="634"/>
      <c r="B348" s="635"/>
      <c r="C348" s="635"/>
      <c r="D348" s="634"/>
      <c r="E348" s="634"/>
      <c r="F348" s="634"/>
      <c r="G348" s="634"/>
      <c r="H348" s="634"/>
      <c r="I348" s="634"/>
      <c r="J348" s="634"/>
      <c r="K348" s="634"/>
      <c r="L348" s="634"/>
      <c r="M348" s="634"/>
      <c r="N348" s="634"/>
      <c r="O348" s="634"/>
      <c r="P348" s="634"/>
      <c r="Q348" s="634"/>
      <c r="R348" s="634"/>
      <c r="S348" s="634"/>
      <c r="T348" s="634"/>
      <c r="U348" s="634"/>
      <c r="V348" s="634"/>
      <c r="W348" s="634"/>
      <c r="X348" s="677"/>
      <c r="Y348" s="3866"/>
      <c r="Z348" s="3867"/>
      <c r="AA348" s="3867"/>
      <c r="AB348" s="3867"/>
      <c r="AC348" s="3868"/>
      <c r="AD348" s="3869"/>
      <c r="AE348" s="3870"/>
      <c r="AF348" s="3871"/>
      <c r="AG348" s="634"/>
      <c r="AH348" s="634"/>
      <c r="AI348" s="634"/>
      <c r="AJ348" s="634"/>
      <c r="AK348" s="634"/>
    </row>
    <row r="349" spans="1:37" ht="27.75" thickBot="1">
      <c r="A349" s="634"/>
      <c r="B349" s="635"/>
      <c r="C349" s="635"/>
      <c r="D349" s="634"/>
      <c r="E349" s="634"/>
      <c r="F349" s="634"/>
      <c r="G349" s="634"/>
      <c r="H349" s="634"/>
      <c r="I349" s="634"/>
      <c r="J349" s="634"/>
      <c r="K349" s="634"/>
      <c r="L349" s="634"/>
      <c r="M349" s="634"/>
      <c r="N349" s="634"/>
      <c r="O349" s="634"/>
      <c r="P349" s="634"/>
      <c r="Q349" s="634"/>
      <c r="R349" s="634"/>
      <c r="S349" s="634"/>
      <c r="T349" s="634"/>
      <c r="U349" s="634"/>
      <c r="V349" s="634"/>
      <c r="W349" s="634"/>
      <c r="X349" s="677"/>
      <c r="Y349" s="3857" t="s">
        <v>164</v>
      </c>
      <c r="Z349" s="3858"/>
      <c r="AA349" s="3858"/>
      <c r="AB349" s="3858"/>
      <c r="AC349" s="3859"/>
      <c r="AD349" s="3796">
        <f>SUM(AD342:AF348)</f>
        <v>7515</v>
      </c>
      <c r="AE349" s="3797"/>
      <c r="AF349" s="3798"/>
      <c r="AG349" s="634"/>
      <c r="AH349" s="634"/>
      <c r="AI349" s="634"/>
      <c r="AJ349" s="634"/>
      <c r="AK349" s="634"/>
    </row>
    <row r="350" spans="1:37" ht="27.75" thickBot="1">
      <c r="A350" s="634"/>
      <c r="B350" s="635"/>
      <c r="C350" s="635"/>
      <c r="D350" s="634"/>
      <c r="E350" s="634"/>
      <c r="F350" s="634"/>
      <c r="G350" s="634"/>
      <c r="H350" s="634"/>
      <c r="I350" s="634"/>
      <c r="J350" s="634"/>
      <c r="K350" s="634"/>
      <c r="L350" s="634"/>
      <c r="M350" s="634"/>
      <c r="N350" s="634"/>
      <c r="O350" s="634"/>
      <c r="P350" s="634"/>
      <c r="Q350" s="634"/>
      <c r="R350" s="634"/>
      <c r="S350" s="634"/>
      <c r="T350" s="634"/>
      <c r="U350" s="634"/>
      <c r="V350" s="634"/>
      <c r="W350" s="634"/>
      <c r="X350" s="677"/>
      <c r="Y350" s="3857" t="s">
        <v>165</v>
      </c>
      <c r="Z350" s="3858"/>
      <c r="AA350" s="3858"/>
      <c r="AB350" s="3858"/>
      <c r="AC350" s="3859"/>
      <c r="AD350" s="3796">
        <f>AF337+'BIG CHAIR'!CI326+'Tea Table'!U286</f>
        <v>461</v>
      </c>
      <c r="AE350" s="3797"/>
      <c r="AF350" s="3798"/>
      <c r="AG350" s="695"/>
      <c r="AH350" s="695"/>
      <c r="AI350" s="695"/>
    </row>
    <row r="351" spans="1:37">
      <c r="B351" s="652"/>
      <c r="C351" s="652"/>
      <c r="AC351" s="696"/>
      <c r="AD351" s="696"/>
      <c r="AE351" s="696"/>
      <c r="AF351" s="696"/>
    </row>
    <row r="352" spans="1:37">
      <c r="B352" s="652"/>
      <c r="C352" s="652"/>
      <c r="AC352" s="696"/>
      <c r="AD352" s="696"/>
      <c r="AE352" s="696"/>
      <c r="AF352" s="696"/>
    </row>
    <row r="353" spans="2:32">
      <c r="B353" s="652"/>
      <c r="C353" s="652"/>
      <c r="AC353" s="696"/>
      <c r="AD353" s="696"/>
      <c r="AE353" s="696"/>
      <c r="AF353" s="696"/>
    </row>
    <row r="354" spans="2:32">
      <c r="B354" s="652"/>
      <c r="C354" s="652"/>
      <c r="AC354" s="696"/>
      <c r="AD354" s="696"/>
      <c r="AE354" s="696"/>
      <c r="AF354" s="696"/>
    </row>
    <row r="355" spans="2:32">
      <c r="B355" s="652"/>
      <c r="C355" s="652"/>
      <c r="AC355" s="696"/>
      <c r="AD355" s="696"/>
      <c r="AE355" s="696"/>
      <c r="AF355" s="696"/>
    </row>
    <row r="356" spans="2:32">
      <c r="B356" s="652"/>
      <c r="C356" s="652"/>
      <c r="AC356" s="696"/>
      <c r="AD356" s="696"/>
      <c r="AE356" s="696"/>
      <c r="AF356" s="696"/>
    </row>
    <row r="357" spans="2:32">
      <c r="B357" s="652"/>
      <c r="C357" s="652"/>
      <c r="AC357" s="696"/>
      <c r="AD357" s="696"/>
      <c r="AE357" s="696"/>
      <c r="AF357" s="696"/>
    </row>
    <row r="358" spans="2:32">
      <c r="B358" s="652"/>
      <c r="C358" s="652"/>
      <c r="AC358" s="696"/>
      <c r="AD358" s="696"/>
      <c r="AE358" s="696"/>
      <c r="AF358" s="696"/>
    </row>
    <row r="359" spans="2:32">
      <c r="B359" s="652"/>
      <c r="C359" s="652"/>
      <c r="AC359" s="696"/>
      <c r="AD359" s="696"/>
      <c r="AE359" s="696"/>
      <c r="AF359" s="696"/>
    </row>
    <row r="360" spans="2:32">
      <c r="B360" s="652"/>
      <c r="C360" s="652"/>
      <c r="AC360" s="696"/>
      <c r="AD360" s="696"/>
      <c r="AE360" s="696"/>
      <c r="AF360" s="696"/>
    </row>
    <row r="361" spans="2:32">
      <c r="B361" s="652"/>
      <c r="C361" s="652"/>
      <c r="AC361" s="696"/>
      <c r="AD361" s="696"/>
      <c r="AE361" s="696"/>
      <c r="AF361" s="696"/>
    </row>
    <row r="362" spans="2:32">
      <c r="B362" s="652"/>
      <c r="C362" s="652"/>
      <c r="AC362" s="696"/>
      <c r="AD362" s="696"/>
      <c r="AE362" s="696"/>
      <c r="AF362" s="696"/>
    </row>
    <row r="363" spans="2:32">
      <c r="B363" s="652"/>
      <c r="C363" s="652"/>
      <c r="AC363" s="696"/>
      <c r="AD363" s="696"/>
      <c r="AE363" s="696"/>
      <c r="AF363" s="696"/>
    </row>
    <row r="364" spans="2:32">
      <c r="B364" s="652"/>
      <c r="C364" s="652"/>
      <c r="AC364" s="696"/>
      <c r="AD364" s="696"/>
      <c r="AE364" s="696"/>
      <c r="AF364" s="696"/>
    </row>
    <row r="365" spans="2:32">
      <c r="B365" s="652"/>
      <c r="C365" s="652"/>
      <c r="AC365" s="696"/>
      <c r="AD365" s="696"/>
      <c r="AE365" s="696"/>
      <c r="AF365" s="696"/>
    </row>
    <row r="366" spans="2:32">
      <c r="B366" s="652"/>
      <c r="C366" s="652"/>
      <c r="AC366" s="696"/>
      <c r="AD366" s="696"/>
      <c r="AE366" s="696"/>
      <c r="AF366" s="696"/>
    </row>
    <row r="367" spans="2:32">
      <c r="B367" s="652"/>
      <c r="C367" s="652"/>
      <c r="AC367" s="696"/>
      <c r="AD367" s="696"/>
      <c r="AE367" s="696"/>
      <c r="AF367" s="696"/>
    </row>
    <row r="368" spans="2:32">
      <c r="B368" s="652"/>
      <c r="C368" s="652"/>
      <c r="AC368" s="696"/>
      <c r="AD368" s="696"/>
      <c r="AE368" s="696"/>
      <c r="AF368" s="696"/>
    </row>
  </sheetData>
  <mergeCells count="41">
    <mergeCell ref="AF2:AK2"/>
    <mergeCell ref="A240:AK240"/>
    <mergeCell ref="A329:C329"/>
    <mergeCell ref="A2:D2"/>
    <mergeCell ref="E2:L2"/>
    <mergeCell ref="N2:U2"/>
    <mergeCell ref="W2:AD2"/>
    <mergeCell ref="A241:D241"/>
    <mergeCell ref="E241:L241"/>
    <mergeCell ref="N241:U241"/>
    <mergeCell ref="W241:AD241"/>
    <mergeCell ref="AF241:AK241"/>
    <mergeCell ref="AG336:AH336"/>
    <mergeCell ref="AG337:AH337"/>
    <mergeCell ref="E338:L338"/>
    <mergeCell ref="N338:U338"/>
    <mergeCell ref="W338:AD338"/>
    <mergeCell ref="Y343:AC343"/>
    <mergeCell ref="AD343:AF343"/>
    <mergeCell ref="E334:L334"/>
    <mergeCell ref="N334:U334"/>
    <mergeCell ref="W334:AD334"/>
    <mergeCell ref="E339:L339"/>
    <mergeCell ref="N339:U339"/>
    <mergeCell ref="W339:AD339"/>
    <mergeCell ref="Y342:AC342"/>
    <mergeCell ref="AD342:AF342"/>
    <mergeCell ref="Y344:AC344"/>
    <mergeCell ref="AD344:AF344"/>
    <mergeCell ref="Y345:AC345"/>
    <mergeCell ref="AD345:AF345"/>
    <mergeCell ref="Y346:AC346"/>
    <mergeCell ref="AD346:AF346"/>
    <mergeCell ref="Y350:AC350"/>
    <mergeCell ref="AD350:AF350"/>
    <mergeCell ref="Y347:AC347"/>
    <mergeCell ref="AD347:AF347"/>
    <mergeCell ref="Y348:AC348"/>
    <mergeCell ref="AD348:AF348"/>
    <mergeCell ref="Y349:AC349"/>
    <mergeCell ref="AD349:AF349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334"/>
  <sheetViews>
    <sheetView zoomScaleNormal="100" workbookViewId="0">
      <pane ySplit="3" topLeftCell="A223" activePane="bottomLeft" state="frozen"/>
      <selection pane="bottomLeft" activeCell="A235" sqref="A235"/>
    </sheetView>
  </sheetViews>
  <sheetFormatPr defaultColWidth="9" defaultRowHeight="15"/>
  <cols>
    <col min="1" max="1" width="57.5703125" customWidth="1"/>
    <col min="2" max="2" width="16" style="276" bestFit="1" customWidth="1"/>
    <col min="3" max="3" width="7.5703125" style="276" bestFit="1" customWidth="1"/>
    <col min="4" max="4" width="21.85546875" customWidth="1"/>
    <col min="5" max="5" width="12.42578125" customWidth="1"/>
    <col min="6" max="6" width="14.7109375" customWidth="1"/>
    <col min="7" max="7" width="14.5703125" customWidth="1"/>
    <col min="8" max="8" width="15.7109375" bestFit="1" customWidth="1"/>
    <col min="9" max="9" width="11.5703125" customWidth="1"/>
    <col min="10" max="10" width="16.28515625" customWidth="1"/>
    <col min="11" max="11" width="14.7109375" customWidth="1"/>
    <col min="12" max="12" width="16.28515625" bestFit="1" customWidth="1"/>
    <col min="13" max="13" width="13.7109375" customWidth="1"/>
    <col min="14" max="15" width="12.7109375" customWidth="1"/>
    <col min="16" max="16" width="15.140625" customWidth="1"/>
    <col min="17" max="17" width="13.7109375" customWidth="1"/>
    <col min="18" max="18" width="16.85546875" customWidth="1"/>
    <col min="19" max="19" width="11.5703125" customWidth="1"/>
    <col min="20" max="20" width="17.5703125" customWidth="1"/>
    <col min="21" max="21" width="1.5703125" customWidth="1"/>
    <col min="22" max="22" width="15.7109375" customWidth="1"/>
    <col min="23" max="23" width="16.85546875" customWidth="1"/>
    <col min="24" max="24" width="12.140625" customWidth="1"/>
    <col min="25" max="25" width="15.42578125" bestFit="1" customWidth="1"/>
    <col min="26" max="26" width="14.85546875" customWidth="1"/>
    <col min="27" max="27" width="12.5703125" customWidth="1"/>
    <col min="28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9" max="39" width="11" customWidth="1"/>
    <col min="40" max="256" width="10" customWidth="1"/>
  </cols>
  <sheetData>
    <row r="1" spans="1:39" ht="27" thickBot="1">
      <c r="A1" s="285" t="s">
        <v>166</v>
      </c>
      <c r="B1" s="285"/>
      <c r="C1" s="285"/>
      <c r="D1" s="285"/>
      <c r="E1" s="285"/>
      <c r="F1" s="285"/>
      <c r="G1" s="285"/>
      <c r="H1" s="285"/>
      <c r="I1" s="285"/>
      <c r="J1" s="335">
        <v>1</v>
      </c>
      <c r="K1" s="335">
        <v>4</v>
      </c>
      <c r="L1" s="285">
        <v>26</v>
      </c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>
        <v>201</v>
      </c>
      <c r="F2" s="3892"/>
      <c r="G2" s="3892"/>
      <c r="H2" s="3892"/>
      <c r="I2" s="3892"/>
      <c r="J2" s="3892"/>
      <c r="K2" s="3892"/>
      <c r="L2" s="336"/>
      <c r="M2" s="3893">
        <v>202</v>
      </c>
      <c r="N2" s="3894"/>
      <c r="O2" s="3894"/>
      <c r="P2" s="3894"/>
      <c r="Q2" s="3894"/>
      <c r="R2" s="3894"/>
      <c r="S2" s="3894"/>
      <c r="T2" s="3895"/>
      <c r="U2" s="364"/>
      <c r="V2" s="3893">
        <v>203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8" t="s">
        <v>250</v>
      </c>
      <c r="F3" s="744" t="s">
        <v>394</v>
      </c>
      <c r="G3" s="30" t="s">
        <v>500</v>
      </c>
      <c r="H3" s="744" t="s">
        <v>92</v>
      </c>
      <c r="I3" s="744" t="s">
        <v>407</v>
      </c>
      <c r="J3" s="751" t="s">
        <v>480</v>
      </c>
      <c r="K3" s="783" t="s">
        <v>552</v>
      </c>
      <c r="L3" s="79" t="s">
        <v>462</v>
      </c>
      <c r="M3" s="80" t="s">
        <v>53</v>
      </c>
      <c r="N3" s="49"/>
      <c r="O3" s="49" t="s">
        <v>94</v>
      </c>
      <c r="P3" s="49" t="s">
        <v>577</v>
      </c>
      <c r="Q3" s="49" t="s">
        <v>190</v>
      </c>
      <c r="R3" s="49" t="s">
        <v>476</v>
      </c>
      <c r="S3" s="126" t="s">
        <v>548</v>
      </c>
      <c r="T3" s="171" t="s">
        <v>482</v>
      </c>
      <c r="U3" s="79"/>
      <c r="V3" s="80" t="s">
        <v>53</v>
      </c>
      <c r="W3" s="714"/>
      <c r="X3" s="49" t="s">
        <v>94</v>
      </c>
      <c r="Y3" s="103"/>
      <c r="Z3" s="104"/>
      <c r="AA3" s="716"/>
      <c r="AB3" s="121"/>
      <c r="AC3" s="717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675"/>
      <c r="F4" s="2674">
        <f>18*16</f>
        <v>288</v>
      </c>
      <c r="G4" s="2674"/>
      <c r="H4" s="2674"/>
      <c r="I4" s="2674"/>
      <c r="J4" s="1349">
        <f>21*16</f>
        <v>336</v>
      </c>
      <c r="K4" s="1349"/>
      <c r="L4" s="339"/>
      <c r="M4" s="340">
        <f>1*16</f>
        <v>16</v>
      </c>
      <c r="N4" s="293"/>
      <c r="O4" s="337">
        <f>11*16</f>
        <v>176</v>
      </c>
      <c r="P4" s="337">
        <f>12*16</f>
        <v>192</v>
      </c>
      <c r="Q4" s="337">
        <f>35*16</f>
        <v>560</v>
      </c>
      <c r="R4" s="337"/>
      <c r="S4" s="365">
        <f>59*16</f>
        <v>944</v>
      </c>
      <c r="T4" s="338">
        <f>43*16</f>
        <v>688</v>
      </c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3200</v>
      </c>
      <c r="AF4" s="374"/>
      <c r="AG4" s="373"/>
      <c r="AH4" s="387">
        <f>AF4+AE4</f>
        <v>3200</v>
      </c>
      <c r="AI4" s="388"/>
      <c r="AJ4" s="389">
        <f>AH4+AI4</f>
        <v>3200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7"/>
      <c r="I5" s="298"/>
      <c r="J5" s="298"/>
      <c r="K5" s="297"/>
      <c r="L5" s="297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8" si="0">SUM(E5:AC5)</f>
        <v>0</v>
      </c>
      <c r="AF5" s="377"/>
      <c r="AG5" s="390"/>
      <c r="AH5" s="391">
        <f t="shared" ref="AH5:AH38" si="1"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/>
      <c r="E6" s="296"/>
      <c r="F6" s="297"/>
      <c r="G6" s="297"/>
      <c r="H6" s="297"/>
      <c r="I6" s="298"/>
      <c r="J6" s="298"/>
      <c r="K6" s="297"/>
      <c r="L6" s="297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si="1"/>
        <v>0</v>
      </c>
      <c r="AI6" s="392"/>
      <c r="AJ6" s="393">
        <f>AH6+AI6</f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/>
      <c r="E7" s="296"/>
      <c r="F7" s="297"/>
      <c r="G7" s="297"/>
      <c r="H7" s="297"/>
      <c r="I7" s="298"/>
      <c r="J7" s="298"/>
      <c r="K7" s="297"/>
      <c r="L7" s="297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ref="AJ7:AJ38" si="2">AH7+AI7</f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7"/>
      <c r="I8" s="298"/>
      <c r="J8" s="298"/>
      <c r="K8" s="297"/>
      <c r="L8" s="297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7"/>
      <c r="I9" s="298"/>
      <c r="J9" s="298"/>
      <c r="K9" s="297"/>
      <c r="L9" s="297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7"/>
      <c r="I10" s="298"/>
      <c r="J10" s="298"/>
      <c r="K10" s="297"/>
      <c r="L10" s="297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297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297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297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297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297"/>
      <c r="M15" s="711"/>
      <c r="N15" s="712"/>
      <c r="O15" s="712"/>
      <c r="P15" s="712"/>
      <c r="Q15" s="712"/>
      <c r="R15" s="712"/>
      <c r="S15" s="712"/>
      <c r="T15" s="715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297"/>
      <c r="M16" s="711"/>
      <c r="N16" s="712"/>
      <c r="O16" s="712"/>
      <c r="P16" s="712"/>
      <c r="Q16" s="712"/>
      <c r="R16" s="712"/>
      <c r="S16" s="712"/>
      <c r="T16" s="715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297"/>
      <c r="M17" s="711"/>
      <c r="N17" s="712"/>
      <c r="O17" s="712"/>
      <c r="P17" s="712"/>
      <c r="Q17" s="712"/>
      <c r="R17" s="712"/>
      <c r="S17" s="712"/>
      <c r="T17" s="715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297"/>
      <c r="M18" s="711"/>
      <c r="N18" s="712"/>
      <c r="O18" s="712"/>
      <c r="P18" s="712"/>
      <c r="Q18" s="712"/>
      <c r="R18" s="712"/>
      <c r="S18" s="712"/>
      <c r="T18" s="715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297"/>
      <c r="M19" s="711"/>
      <c r="N19" s="712"/>
      <c r="O19" s="712"/>
      <c r="P19" s="712"/>
      <c r="Q19" s="712"/>
      <c r="R19" s="712"/>
      <c r="S19" s="712"/>
      <c r="T19" s="715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2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297"/>
      <c r="M20" s="711"/>
      <c r="N20" s="712"/>
      <c r="O20" s="712"/>
      <c r="P20" s="712"/>
      <c r="Q20" s="712"/>
      <c r="R20" s="712"/>
      <c r="S20" s="712"/>
      <c r="T20" s="715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297"/>
      <c r="M21" s="711"/>
      <c r="N21" s="712"/>
      <c r="O21" s="712"/>
      <c r="P21" s="712"/>
      <c r="Q21" s="712"/>
      <c r="R21" s="712"/>
      <c r="S21" s="712"/>
      <c r="T21" s="715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297"/>
      <c r="M22" s="711"/>
      <c r="N22" s="712"/>
      <c r="O22" s="712"/>
      <c r="P22" s="712"/>
      <c r="Q22" s="712"/>
      <c r="R22" s="712"/>
      <c r="S22" s="712"/>
      <c r="T22" s="715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297"/>
      <c r="M23" s="711"/>
      <c r="N23" s="712"/>
      <c r="O23" s="712"/>
      <c r="P23" s="712"/>
      <c r="Q23" s="712"/>
      <c r="R23" s="712"/>
      <c r="S23" s="712"/>
      <c r="T23" s="715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297"/>
      <c r="M24" s="711"/>
      <c r="N24" s="712"/>
      <c r="O24" s="712"/>
      <c r="P24" s="712"/>
      <c r="Q24" s="712"/>
      <c r="R24" s="712"/>
      <c r="S24" s="712"/>
      <c r="T24" s="715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297"/>
      <c r="M25" s="711"/>
      <c r="N25" s="712"/>
      <c r="O25" s="712"/>
      <c r="P25" s="712"/>
      <c r="Q25" s="712"/>
      <c r="R25" s="712"/>
      <c r="S25" s="712"/>
      <c r="T25" s="715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297"/>
      <c r="M26" s="711"/>
      <c r="N26" s="712"/>
      <c r="O26" s="712"/>
      <c r="P26" s="712"/>
      <c r="Q26" s="712"/>
      <c r="R26" s="712"/>
      <c r="S26" s="712"/>
      <c r="T26" s="715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297"/>
      <c r="M27" s="711"/>
      <c r="N27" s="712"/>
      <c r="O27" s="712"/>
      <c r="P27" s="712"/>
      <c r="Q27" s="712"/>
      <c r="R27" s="712"/>
      <c r="S27" s="712"/>
      <c r="T27" s="715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297"/>
      <c r="M28" s="711"/>
      <c r="N28" s="712"/>
      <c r="O28" s="712"/>
      <c r="P28" s="712"/>
      <c r="Q28" s="712"/>
      <c r="R28" s="712"/>
      <c r="S28" s="712"/>
      <c r="T28" s="715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297"/>
      <c r="M29" s="711"/>
      <c r="N29" s="712"/>
      <c r="O29" s="712"/>
      <c r="P29" s="712"/>
      <c r="Q29" s="712"/>
      <c r="R29" s="712"/>
      <c r="S29" s="712"/>
      <c r="T29" s="715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297"/>
      <c r="M30" s="711"/>
      <c r="N30" s="712"/>
      <c r="O30" s="712"/>
      <c r="P30" s="712"/>
      <c r="Q30" s="712"/>
      <c r="R30" s="712"/>
      <c r="S30" s="712"/>
      <c r="T30" s="715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297"/>
      <c r="M31" s="711"/>
      <c r="N31" s="712"/>
      <c r="O31" s="712"/>
      <c r="P31" s="712"/>
      <c r="Q31" s="712"/>
      <c r="R31" s="712"/>
      <c r="S31" s="712"/>
      <c r="T31" s="715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297"/>
      <c r="M32" s="711"/>
      <c r="N32" s="712"/>
      <c r="O32" s="712"/>
      <c r="P32" s="712"/>
      <c r="Q32" s="712"/>
      <c r="R32" s="712"/>
      <c r="S32" s="712"/>
      <c r="T32" s="715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297"/>
      <c r="M33" s="711"/>
      <c r="N33" s="712"/>
      <c r="O33" s="712"/>
      <c r="P33" s="712"/>
      <c r="Q33" s="712"/>
      <c r="R33" s="712"/>
      <c r="S33" s="712"/>
      <c r="T33" s="715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297"/>
      <c r="M34" s="711"/>
      <c r="N34" s="712"/>
      <c r="O34" s="712"/>
      <c r="P34" s="712"/>
      <c r="Q34" s="712"/>
      <c r="R34" s="712"/>
      <c r="S34" s="712"/>
      <c r="T34" s="715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297"/>
      <c r="M35" s="711"/>
      <c r="N35" s="712"/>
      <c r="O35" s="712"/>
      <c r="P35" s="712"/>
      <c r="Q35" s="712"/>
      <c r="R35" s="712"/>
      <c r="S35" s="712"/>
      <c r="T35" s="715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297"/>
      <c r="M36" s="711"/>
      <c r="N36" s="712"/>
      <c r="O36" s="712"/>
      <c r="P36" s="712"/>
      <c r="Q36" s="712"/>
      <c r="R36" s="712"/>
      <c r="S36" s="712"/>
      <c r="T36" s="715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297"/>
      <c r="M37" s="711"/>
      <c r="N37" s="712"/>
      <c r="O37" s="712"/>
      <c r="P37" s="712"/>
      <c r="Q37" s="712"/>
      <c r="R37" s="712"/>
      <c r="S37" s="712"/>
      <c r="T37" s="715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3">
        <f t="shared" si="2"/>
        <v>0</v>
      </c>
      <c r="AK37" s="394"/>
      <c r="AL37" s="54"/>
      <c r="AM37" s="394"/>
    </row>
    <row r="38" spans="1:39" s="283" customFormat="1" ht="21" thickBot="1">
      <c r="A38" s="294" t="s">
        <v>110</v>
      </c>
      <c r="B38" s="299"/>
      <c r="C38" s="299"/>
      <c r="D38" s="301"/>
      <c r="E38" s="296"/>
      <c r="F38" s="297"/>
      <c r="G38" s="297"/>
      <c r="H38" s="297"/>
      <c r="I38" s="298"/>
      <c r="J38" s="298"/>
      <c r="K38" s="297"/>
      <c r="L38" s="297"/>
      <c r="M38" s="711"/>
      <c r="N38" s="712"/>
      <c r="O38" s="712"/>
      <c r="P38" s="712"/>
      <c r="Q38" s="712"/>
      <c r="R38" s="712"/>
      <c r="S38" s="712"/>
      <c r="T38" s="715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0"/>
        <v>0</v>
      </c>
      <c r="AF38" s="377"/>
      <c r="AG38" s="390"/>
      <c r="AH38" s="391">
        <f t="shared" si="1"/>
        <v>0</v>
      </c>
      <c r="AI38" s="392"/>
      <c r="AJ38" s="395">
        <f t="shared" si="2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9.5" thickBot="1">
      <c r="A39" s="302" t="s">
        <v>175</v>
      </c>
      <c r="B39" s="303"/>
      <c r="C39" s="303"/>
      <c r="D39" s="304"/>
      <c r="E39" s="305">
        <f>SUM(E5:E38)</f>
        <v>0</v>
      </c>
      <c r="F39" s="305">
        <f t="shared" ref="F39:AJ39" si="3">SUM(F5:F38)</f>
        <v>0</v>
      </c>
      <c r="G39" s="305">
        <f t="shared" si="3"/>
        <v>0</v>
      </c>
      <c r="H39" s="305">
        <f t="shared" si="3"/>
        <v>0</v>
      </c>
      <c r="I39" s="305">
        <f t="shared" si="3"/>
        <v>0</v>
      </c>
      <c r="J39" s="305">
        <f t="shared" si="3"/>
        <v>0</v>
      </c>
      <c r="K39" s="305">
        <f t="shared" si="3"/>
        <v>0</v>
      </c>
      <c r="L39" s="305">
        <f t="shared" si="3"/>
        <v>0</v>
      </c>
      <c r="M39" s="305">
        <f t="shared" si="3"/>
        <v>0</v>
      </c>
      <c r="N39" s="305">
        <f t="shared" si="3"/>
        <v>0</v>
      </c>
      <c r="O39" s="305">
        <f t="shared" si="3"/>
        <v>0</v>
      </c>
      <c r="P39" s="305">
        <f t="shared" si="3"/>
        <v>0</v>
      </c>
      <c r="Q39" s="305">
        <f t="shared" si="3"/>
        <v>0</v>
      </c>
      <c r="R39" s="305">
        <f t="shared" si="3"/>
        <v>0</v>
      </c>
      <c r="S39" s="305">
        <f t="shared" si="3"/>
        <v>0</v>
      </c>
      <c r="T39" s="305">
        <f t="shared" si="3"/>
        <v>0</v>
      </c>
      <c r="U39" s="305">
        <f t="shared" si="3"/>
        <v>0</v>
      </c>
      <c r="V39" s="305">
        <f t="shared" si="3"/>
        <v>0</v>
      </c>
      <c r="W39" s="305">
        <f t="shared" si="3"/>
        <v>0</v>
      </c>
      <c r="X39" s="305">
        <f t="shared" si="3"/>
        <v>0</v>
      </c>
      <c r="Y39" s="305">
        <f t="shared" si="3"/>
        <v>0</v>
      </c>
      <c r="Z39" s="305">
        <f t="shared" si="3"/>
        <v>0</v>
      </c>
      <c r="AA39" s="305">
        <f t="shared" si="3"/>
        <v>0</v>
      </c>
      <c r="AB39" s="305">
        <f t="shared" si="3"/>
        <v>0</v>
      </c>
      <c r="AC39" s="305">
        <f t="shared" si="3"/>
        <v>0</v>
      </c>
      <c r="AD39" s="305">
        <f t="shared" si="3"/>
        <v>0</v>
      </c>
      <c r="AE39" s="305">
        <f t="shared" si="3"/>
        <v>0</v>
      </c>
      <c r="AF39" s="305">
        <f t="shared" si="3"/>
        <v>0</v>
      </c>
      <c r="AG39" s="305">
        <f t="shared" si="3"/>
        <v>0</v>
      </c>
      <c r="AH39" s="305">
        <f t="shared" si="3"/>
        <v>0</v>
      </c>
      <c r="AI39" s="305">
        <f t="shared" si="3"/>
        <v>0</v>
      </c>
      <c r="AJ39" s="305">
        <f t="shared" si="3"/>
        <v>0</v>
      </c>
      <c r="AK39" s="399">
        <f>'BIG CHAIR'!CL36</f>
        <v>0</v>
      </c>
      <c r="AL39" s="400">
        <f>'Tea Table'!X29</f>
        <v>0</v>
      </c>
      <c r="AM39" s="718">
        <f>AH39+AK39+AL39</f>
        <v>0</v>
      </c>
    </row>
    <row r="40" spans="1:39" s="284" customFormat="1" ht="19.5" thickBot="1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4" thickBot="1">
      <c r="A41" s="286" t="s">
        <v>117</v>
      </c>
      <c r="B41" s="287" t="s">
        <v>68</v>
      </c>
      <c r="C41" s="287" t="s">
        <v>69</v>
      </c>
      <c r="D41" s="288" t="s">
        <v>70</v>
      </c>
      <c r="E41" s="88" t="s">
        <v>250</v>
      </c>
      <c r="F41" s="744" t="s">
        <v>394</v>
      </c>
      <c r="G41" s="30" t="s">
        <v>395</v>
      </c>
      <c r="H41" s="744" t="s">
        <v>92</v>
      </c>
      <c r="I41" s="744" t="s">
        <v>407</v>
      </c>
      <c r="J41" s="751" t="s">
        <v>433</v>
      </c>
      <c r="K41" s="783" t="s">
        <v>546</v>
      </c>
      <c r="L41" s="79" t="s">
        <v>462</v>
      </c>
      <c r="M41" s="80" t="s">
        <v>53</v>
      </c>
      <c r="N41" s="49"/>
      <c r="O41" s="49" t="s">
        <v>94</v>
      </c>
      <c r="P41" s="49"/>
      <c r="Q41" s="49" t="s">
        <v>190</v>
      </c>
      <c r="R41" s="49" t="s">
        <v>476</v>
      </c>
      <c r="S41" s="126" t="s">
        <v>548</v>
      </c>
      <c r="T41" s="171" t="s">
        <v>482</v>
      </c>
      <c r="U41" s="79"/>
      <c r="V41" s="80" t="s">
        <v>53</v>
      </c>
      <c r="W41" s="714"/>
      <c r="X41" s="49" t="s">
        <v>94</v>
      </c>
      <c r="Y41" s="103"/>
      <c r="Z41" s="104"/>
      <c r="AA41" s="716"/>
      <c r="AB41" s="121"/>
      <c r="AC41" s="717"/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0.25">
      <c r="A42" s="310" t="s">
        <v>176</v>
      </c>
      <c r="B42" s="311"/>
      <c r="C42" s="311"/>
      <c r="D42" s="312"/>
      <c r="E42" s="313"/>
      <c r="F42" s="314"/>
      <c r="G42" s="314"/>
      <c r="H42" s="314"/>
      <c r="I42" s="315"/>
      <c r="J42" s="315"/>
      <c r="K42" s="314"/>
      <c r="L42" s="349"/>
      <c r="M42" s="350"/>
      <c r="N42" s="315"/>
      <c r="O42" s="315"/>
      <c r="P42" s="315"/>
      <c r="Q42" s="315"/>
      <c r="R42" s="315"/>
      <c r="S42" s="315"/>
      <c r="T42" s="477"/>
      <c r="U42" s="349"/>
      <c r="V42" s="313"/>
      <c r="W42" s="315"/>
      <c r="X42" s="315"/>
      <c r="Y42" s="315"/>
      <c r="Z42" s="315"/>
      <c r="AA42" s="315"/>
      <c r="AB42" s="315"/>
      <c r="AC42" s="378"/>
      <c r="AD42" s="349"/>
      <c r="AE42" s="379">
        <f>SUM(E42:AC42)</f>
        <v>0</v>
      </c>
      <c r="AF42" s="379"/>
      <c r="AG42" s="404"/>
      <c r="AH42" s="405">
        <f t="shared" ref="AH42:AH63" si="4">AE42+AF42</f>
        <v>0</v>
      </c>
      <c r="AI42" s="406"/>
      <c r="AJ42" s="407">
        <f>AH42+AI42</f>
        <v>0</v>
      </c>
    </row>
    <row r="43" spans="1:39" s="234" customFormat="1" ht="20.25">
      <c r="A43" s="316" t="s">
        <v>120</v>
      </c>
      <c r="B43" s="317"/>
      <c r="C43" s="317"/>
      <c r="D43" s="318"/>
      <c r="E43" s="319"/>
      <c r="F43" s="320"/>
      <c r="G43" s="320"/>
      <c r="H43" s="320"/>
      <c r="I43" s="321"/>
      <c r="J43" s="321"/>
      <c r="K43" s="320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19"/>
      <c r="W43" s="321"/>
      <c r="X43" s="321"/>
      <c r="Y43" s="321"/>
      <c r="Z43" s="321"/>
      <c r="AA43" s="321"/>
      <c r="AB43" s="321"/>
      <c r="AC43" s="380"/>
      <c r="AD43" s="352"/>
      <c r="AE43" s="381">
        <f t="shared" ref="AE43:AE63" si="5">SUM(E43:AC43)</f>
        <v>0</v>
      </c>
      <c r="AF43" s="381"/>
      <c r="AG43" s="408"/>
      <c r="AH43" s="409">
        <f t="shared" si="4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822"/>
      <c r="C44" s="295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1"/>
      <c r="Y44" s="321"/>
      <c r="Z44" s="321"/>
      <c r="AA44" s="321"/>
      <c r="AB44" s="320"/>
      <c r="AC44" s="380"/>
      <c r="AD44" s="352"/>
      <c r="AE44" s="381">
        <f t="shared" si="5"/>
        <v>0</v>
      </c>
      <c r="AF44" s="381"/>
      <c r="AG44" s="408"/>
      <c r="AH44" s="409">
        <f t="shared" si="4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822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5"/>
        <v>0</v>
      </c>
      <c r="AF45" s="381"/>
      <c r="AG45" s="408"/>
      <c r="AH45" s="409">
        <f t="shared" si="4"/>
        <v>0</v>
      </c>
      <c r="AI45" s="410"/>
      <c r="AJ45" s="411">
        <f>AH45+AI45</f>
        <v>0</v>
      </c>
    </row>
    <row r="46" spans="1:39" s="234" customFormat="1" ht="20.25">
      <c r="A46" s="316" t="s">
        <v>120</v>
      </c>
      <c r="B46" s="822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582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5"/>
        <v>0</v>
      </c>
      <c r="AF46" s="381"/>
      <c r="AG46" s="408"/>
      <c r="AH46" s="409">
        <f t="shared" si="4"/>
        <v>0</v>
      </c>
      <c r="AI46" s="410"/>
      <c r="AJ46" s="411">
        <f t="shared" ref="AJ46:AJ63" si="6">AH46+AI46</f>
        <v>0</v>
      </c>
    </row>
    <row r="47" spans="1:39" s="234" customFormat="1" ht="20.25">
      <c r="A47" s="316" t="s">
        <v>120</v>
      </c>
      <c r="B47" s="822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5"/>
        <v>0</v>
      </c>
      <c r="AF47" s="381"/>
      <c r="AG47" s="408"/>
      <c r="AH47" s="409">
        <f t="shared" si="4"/>
        <v>0</v>
      </c>
      <c r="AI47" s="410"/>
      <c r="AJ47" s="411">
        <f t="shared" si="6"/>
        <v>0</v>
      </c>
    </row>
    <row r="48" spans="1:39" s="234" customFormat="1" ht="20.25">
      <c r="A48" s="316" t="s">
        <v>120</v>
      </c>
      <c r="B48" s="822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5"/>
        <v>0</v>
      </c>
      <c r="AF48" s="381"/>
      <c r="AG48" s="408"/>
      <c r="AH48" s="409">
        <f t="shared" si="4"/>
        <v>0</v>
      </c>
      <c r="AI48" s="410"/>
      <c r="AJ48" s="411">
        <f t="shared" si="6"/>
        <v>0</v>
      </c>
    </row>
    <row r="49" spans="1:39" s="234" customFormat="1" ht="20.25">
      <c r="A49" s="316" t="s">
        <v>120</v>
      </c>
      <c r="B49" s="822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5"/>
        <v>0</v>
      </c>
      <c r="AF49" s="381"/>
      <c r="AG49" s="408"/>
      <c r="AH49" s="409">
        <f t="shared" si="4"/>
        <v>0</v>
      </c>
      <c r="AI49" s="410"/>
      <c r="AJ49" s="411">
        <f t="shared" si="6"/>
        <v>0</v>
      </c>
    </row>
    <row r="50" spans="1:39" s="234" customFormat="1" ht="20.25">
      <c r="A50" s="316" t="s">
        <v>120</v>
      </c>
      <c r="B50" s="822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5"/>
        <v>0</v>
      </c>
      <c r="AF50" s="381"/>
      <c r="AG50" s="408"/>
      <c r="AH50" s="409">
        <f t="shared" si="4"/>
        <v>0</v>
      </c>
      <c r="AI50" s="410"/>
      <c r="AJ50" s="411">
        <f t="shared" si="6"/>
        <v>0</v>
      </c>
    </row>
    <row r="51" spans="1:39" s="234" customFormat="1" ht="20.25">
      <c r="A51" s="316" t="s">
        <v>120</v>
      </c>
      <c r="B51" s="710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5"/>
        <v>0</v>
      </c>
      <c r="AF51" s="381"/>
      <c r="AG51" s="408"/>
      <c r="AH51" s="409">
        <f t="shared" si="4"/>
        <v>0</v>
      </c>
      <c r="AI51" s="410"/>
      <c r="AJ51" s="411">
        <f t="shared" si="6"/>
        <v>0</v>
      </c>
    </row>
    <row r="52" spans="1:39" s="234" customFormat="1" ht="20.25">
      <c r="A52" s="316" t="s">
        <v>120</v>
      </c>
      <c r="B52" s="822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5"/>
        <v>0</v>
      </c>
      <c r="AF52" s="381"/>
      <c r="AG52" s="408"/>
      <c r="AH52" s="409">
        <f t="shared" si="4"/>
        <v>0</v>
      </c>
      <c r="AI52" s="410"/>
      <c r="AJ52" s="411">
        <f t="shared" si="6"/>
        <v>0</v>
      </c>
    </row>
    <row r="53" spans="1:39" s="234" customFormat="1" ht="20.25">
      <c r="A53" s="316" t="s">
        <v>120</v>
      </c>
      <c r="B53" s="710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320"/>
      <c r="AC53" s="380"/>
      <c r="AD53" s="352"/>
      <c r="AE53" s="381">
        <f t="shared" si="5"/>
        <v>0</v>
      </c>
      <c r="AF53" s="381"/>
      <c r="AG53" s="408"/>
      <c r="AH53" s="409">
        <f t="shared" si="4"/>
        <v>0</v>
      </c>
      <c r="AI53" s="410"/>
      <c r="AJ53" s="411">
        <f t="shared" si="6"/>
        <v>0</v>
      </c>
    </row>
    <row r="54" spans="1:39" s="234" customFormat="1" ht="20.25">
      <c r="A54" s="316" t="s">
        <v>120</v>
      </c>
      <c r="B54" s="710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319"/>
      <c r="W54" s="320"/>
      <c r="X54" s="320"/>
      <c r="Y54" s="321"/>
      <c r="Z54" s="321"/>
      <c r="AA54" s="321"/>
      <c r="AB54" s="320"/>
      <c r="AC54" s="380"/>
      <c r="AD54" s="352"/>
      <c r="AE54" s="381">
        <f t="shared" si="5"/>
        <v>0</v>
      </c>
      <c r="AF54" s="381"/>
      <c r="AG54" s="408"/>
      <c r="AH54" s="409">
        <f t="shared" si="4"/>
        <v>0</v>
      </c>
      <c r="AI54" s="410"/>
      <c r="AJ54" s="411">
        <f t="shared" si="6"/>
        <v>0</v>
      </c>
    </row>
    <row r="55" spans="1:39" s="234" customFormat="1" ht="20.25">
      <c r="A55" s="316" t="s">
        <v>120</v>
      </c>
      <c r="B55" s="710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5"/>
        <v>0</v>
      </c>
      <c r="AF55" s="381"/>
      <c r="AG55" s="408"/>
      <c r="AH55" s="409">
        <f t="shared" si="4"/>
        <v>0</v>
      </c>
      <c r="AI55" s="410"/>
      <c r="AJ55" s="411">
        <f t="shared" si="6"/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5"/>
        <v>0</v>
      </c>
      <c r="AF56" s="381"/>
      <c r="AG56" s="408"/>
      <c r="AH56" s="409">
        <f t="shared" si="4"/>
        <v>0</v>
      </c>
      <c r="AI56" s="410"/>
      <c r="AJ56" s="411">
        <f t="shared" si="6"/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5"/>
        <v>0</v>
      </c>
      <c r="AF57" s="381"/>
      <c r="AG57" s="408"/>
      <c r="AH57" s="409">
        <f t="shared" si="4"/>
        <v>0</v>
      </c>
      <c r="AI57" s="410"/>
      <c r="AJ57" s="411">
        <f t="shared" si="6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5"/>
        <v>0</v>
      </c>
      <c r="AF58" s="381"/>
      <c r="AG58" s="408"/>
      <c r="AH58" s="409">
        <f t="shared" si="4"/>
        <v>0</v>
      </c>
      <c r="AI58" s="410"/>
      <c r="AJ58" s="411">
        <f t="shared" si="6"/>
        <v>0</v>
      </c>
    </row>
    <row r="59" spans="1:39" s="234" customFormat="1" ht="20.25">
      <c r="A59" s="316" t="s">
        <v>120</v>
      </c>
      <c r="B59" s="823"/>
      <c r="C59" s="317"/>
      <c r="D59" s="318"/>
      <c r="E59" s="319"/>
      <c r="F59" s="320"/>
      <c r="G59" s="320"/>
      <c r="H59" s="320"/>
      <c r="I59" s="321"/>
      <c r="J59" s="825"/>
      <c r="K59" s="825"/>
      <c r="L59" s="352"/>
      <c r="M59" s="353"/>
      <c r="N59" s="320"/>
      <c r="O59" s="320"/>
      <c r="P59" s="321"/>
      <c r="Q59" s="321"/>
      <c r="R59" s="321"/>
      <c r="S59" s="320"/>
      <c r="T59" s="351"/>
      <c r="U59" s="352"/>
      <c r="V59" s="353"/>
      <c r="W59" s="321"/>
      <c r="X59" s="321"/>
      <c r="Y59" s="321"/>
      <c r="Z59" s="321"/>
      <c r="AA59" s="321"/>
      <c r="AB59" s="321"/>
      <c r="AC59" s="380"/>
      <c r="AD59" s="352"/>
      <c r="AE59" s="381">
        <f t="shared" si="5"/>
        <v>0</v>
      </c>
      <c r="AF59" s="381"/>
      <c r="AG59" s="408"/>
      <c r="AH59" s="409">
        <f t="shared" si="4"/>
        <v>0</v>
      </c>
      <c r="AI59" s="410"/>
      <c r="AJ59" s="411">
        <f t="shared" si="6"/>
        <v>0</v>
      </c>
    </row>
    <row r="60" spans="1:39" s="234" customFormat="1" ht="20.25">
      <c r="A60" s="316" t="s">
        <v>120</v>
      </c>
      <c r="B60" s="317"/>
      <c r="C60" s="317"/>
      <c r="D60" s="318"/>
      <c r="E60" s="319"/>
      <c r="F60" s="320"/>
      <c r="G60" s="320"/>
      <c r="H60" s="320"/>
      <c r="I60" s="321"/>
      <c r="J60" s="825"/>
      <c r="K60" s="825"/>
      <c r="L60" s="352"/>
      <c r="M60" s="353"/>
      <c r="N60" s="320"/>
      <c r="O60" s="320"/>
      <c r="P60" s="321"/>
      <c r="Q60" s="321"/>
      <c r="R60" s="321"/>
      <c r="S60" s="320"/>
      <c r="T60" s="351"/>
      <c r="U60" s="352"/>
      <c r="V60" s="353"/>
      <c r="W60" s="321"/>
      <c r="X60" s="321"/>
      <c r="Y60" s="321"/>
      <c r="Z60" s="321"/>
      <c r="AA60" s="321"/>
      <c r="AB60" s="321"/>
      <c r="AC60" s="380"/>
      <c r="AD60" s="352"/>
      <c r="AE60" s="381">
        <f t="shared" si="5"/>
        <v>0</v>
      </c>
      <c r="AF60" s="381"/>
      <c r="AG60" s="408"/>
      <c r="AH60" s="409">
        <f t="shared" si="4"/>
        <v>0</v>
      </c>
      <c r="AI60" s="410"/>
      <c r="AJ60" s="411">
        <f t="shared" si="6"/>
        <v>0</v>
      </c>
    </row>
    <row r="61" spans="1:39" s="234" customFormat="1" ht="20.25">
      <c r="A61" s="316" t="s">
        <v>120</v>
      </c>
      <c r="B61" s="824"/>
      <c r="C61" s="317"/>
      <c r="D61" s="318"/>
      <c r="E61" s="319"/>
      <c r="F61" s="320"/>
      <c r="G61" s="320"/>
      <c r="H61" s="320"/>
      <c r="I61" s="321"/>
      <c r="J61" s="825"/>
      <c r="K61" s="825"/>
      <c r="L61" s="352"/>
      <c r="M61" s="353"/>
      <c r="N61" s="320"/>
      <c r="O61" s="320"/>
      <c r="P61" s="321"/>
      <c r="Q61" s="321"/>
      <c r="R61" s="321"/>
      <c r="S61" s="320"/>
      <c r="T61" s="351"/>
      <c r="U61" s="352"/>
      <c r="V61" s="353"/>
      <c r="W61" s="321"/>
      <c r="X61" s="321"/>
      <c r="Y61" s="321"/>
      <c r="Z61" s="321"/>
      <c r="AA61" s="321"/>
      <c r="AB61" s="321"/>
      <c r="AC61" s="380"/>
      <c r="AD61" s="352"/>
      <c r="AE61" s="381">
        <f t="shared" si="5"/>
        <v>0</v>
      </c>
      <c r="AF61" s="381"/>
      <c r="AG61" s="408"/>
      <c r="AH61" s="409">
        <f t="shared" si="4"/>
        <v>0</v>
      </c>
      <c r="AI61" s="410"/>
      <c r="AJ61" s="411">
        <f t="shared" si="6"/>
        <v>0</v>
      </c>
    </row>
    <row r="62" spans="1:39" s="234" customFormat="1" ht="21" thickBot="1">
      <c r="A62" s="316" t="s">
        <v>120</v>
      </c>
      <c r="B62" s="824"/>
      <c r="C62" s="317"/>
      <c r="D62" s="318"/>
      <c r="E62" s="319"/>
      <c r="F62" s="320"/>
      <c r="G62" s="320"/>
      <c r="H62" s="320"/>
      <c r="I62" s="321"/>
      <c r="J62" s="825"/>
      <c r="K62" s="825"/>
      <c r="L62" s="352"/>
      <c r="M62" s="353"/>
      <c r="N62" s="320"/>
      <c r="O62" s="320"/>
      <c r="P62" s="321"/>
      <c r="Q62" s="321"/>
      <c r="R62" s="321"/>
      <c r="S62" s="320"/>
      <c r="T62" s="351"/>
      <c r="U62" s="352"/>
      <c r="V62" s="353"/>
      <c r="W62" s="321"/>
      <c r="X62" s="321"/>
      <c r="Y62" s="321"/>
      <c r="Z62" s="321"/>
      <c r="AA62" s="321"/>
      <c r="AB62" s="321"/>
      <c r="AC62" s="380"/>
      <c r="AD62" s="352"/>
      <c r="AE62" s="381">
        <f t="shared" si="5"/>
        <v>0</v>
      </c>
      <c r="AF62" s="381"/>
      <c r="AG62" s="408"/>
      <c r="AH62" s="409">
        <f t="shared" si="4"/>
        <v>0</v>
      </c>
      <c r="AI62" s="410"/>
      <c r="AJ62" s="411">
        <f t="shared" si="6"/>
        <v>0</v>
      </c>
    </row>
    <row r="63" spans="1:39" s="283" customFormat="1" ht="21" thickBot="1">
      <c r="A63" s="316" t="s">
        <v>120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325"/>
      <c r="W63" s="297"/>
      <c r="X63" s="297"/>
      <c r="Y63" s="298"/>
      <c r="Z63" s="298"/>
      <c r="AA63" s="298"/>
      <c r="AB63" s="297"/>
      <c r="AC63" s="375"/>
      <c r="AD63" s="355"/>
      <c r="AE63" s="376">
        <f t="shared" si="5"/>
        <v>0</v>
      </c>
      <c r="AF63" s="377"/>
      <c r="AG63" s="390"/>
      <c r="AH63" s="391">
        <f t="shared" si="4"/>
        <v>0</v>
      </c>
      <c r="AI63" s="412"/>
      <c r="AJ63" s="413">
        <f t="shared" si="6"/>
        <v>0</v>
      </c>
      <c r="AK63" s="414" t="s">
        <v>8</v>
      </c>
      <c r="AL63" s="397" t="s">
        <v>23</v>
      </c>
      <c r="AM63" s="415" t="s">
        <v>174</v>
      </c>
    </row>
    <row r="64" spans="1:39" s="284" customFormat="1" ht="19.5" thickBot="1">
      <c r="A64" s="326" t="s">
        <v>177</v>
      </c>
      <c r="B64" s="327"/>
      <c r="C64" s="327"/>
      <c r="D64" s="328"/>
      <c r="E64" s="329">
        <f t="shared" ref="E64:K64" si="7">SUM(E42:E63)</f>
        <v>0</v>
      </c>
      <c r="F64" s="330">
        <f t="shared" si="7"/>
        <v>0</v>
      </c>
      <c r="G64" s="330">
        <f t="shared" si="7"/>
        <v>0</v>
      </c>
      <c r="H64" s="330">
        <f t="shared" si="7"/>
        <v>0</v>
      </c>
      <c r="I64" s="330">
        <f t="shared" si="7"/>
        <v>0</v>
      </c>
      <c r="J64" s="330">
        <f t="shared" si="7"/>
        <v>0</v>
      </c>
      <c r="K64" s="330">
        <f t="shared" si="7"/>
        <v>0</v>
      </c>
      <c r="L64" s="357"/>
      <c r="M64" s="358">
        <f t="shared" ref="M64:T64" si="8">SUM(M42:M63)</f>
        <v>0</v>
      </c>
      <c r="N64" s="359">
        <f t="shared" si="8"/>
        <v>0</v>
      </c>
      <c r="O64" s="359">
        <f t="shared" si="8"/>
        <v>0</v>
      </c>
      <c r="P64" s="359">
        <f t="shared" si="8"/>
        <v>0</v>
      </c>
      <c r="Q64" s="359">
        <f t="shared" si="8"/>
        <v>0</v>
      </c>
      <c r="R64" s="359">
        <f t="shared" si="8"/>
        <v>0</v>
      </c>
      <c r="S64" s="359">
        <f t="shared" si="8"/>
        <v>0</v>
      </c>
      <c r="T64" s="369">
        <f t="shared" si="8"/>
        <v>0</v>
      </c>
      <c r="U64" s="357"/>
      <c r="V64" s="358">
        <f t="shared" ref="V64:AC64" si="9">SUM(V42:V63)</f>
        <v>0</v>
      </c>
      <c r="W64" s="359">
        <f t="shared" si="9"/>
        <v>0</v>
      </c>
      <c r="X64" s="359">
        <f t="shared" si="9"/>
        <v>0</v>
      </c>
      <c r="Y64" s="359">
        <f t="shared" si="9"/>
        <v>0</v>
      </c>
      <c r="Z64" s="359">
        <f t="shared" si="9"/>
        <v>0</v>
      </c>
      <c r="AA64" s="359">
        <f t="shared" si="9"/>
        <v>0</v>
      </c>
      <c r="AB64" s="359">
        <f t="shared" si="9"/>
        <v>0</v>
      </c>
      <c r="AC64" s="369">
        <f t="shared" si="9"/>
        <v>0</v>
      </c>
      <c r="AD64" s="357"/>
      <c r="AE64" s="382">
        <f>SUM(AE42:AE63)</f>
        <v>0</v>
      </c>
      <c r="AF64" s="382">
        <f>SUM(AF42:AF63)</f>
        <v>0</v>
      </c>
      <c r="AG64" s="416">
        <f>SUM(AG42:AG63)</f>
        <v>0</v>
      </c>
      <c r="AH64" s="417">
        <f>SUM(AH42:AH63)</f>
        <v>0</v>
      </c>
      <c r="AI64" s="382">
        <f>SUM(AI42:AI63)</f>
        <v>0</v>
      </c>
      <c r="AJ64" s="418">
        <f t="shared" ref="AJ64" si="10">SUM(AJ42:AJ63)</f>
        <v>0</v>
      </c>
      <c r="AK64" s="399">
        <f>'BIG CHAIR'!CL77</f>
        <v>14560</v>
      </c>
      <c r="AL64" s="400">
        <f>'Tea Table'!X85</f>
        <v>0</v>
      </c>
      <c r="AM64" s="401">
        <f>AH64+AK64+AL64</f>
        <v>14560</v>
      </c>
    </row>
    <row r="65" spans="1:39" s="284" customFormat="1" ht="19.5" thickBot="1">
      <c r="A65" s="306"/>
      <c r="B65" s="307"/>
      <c r="C65" s="307"/>
      <c r="D65" s="308"/>
      <c r="E65" s="309"/>
      <c r="F65" s="309"/>
      <c r="G65" s="309"/>
      <c r="H65" s="309"/>
      <c r="I65" s="309"/>
      <c r="J65" s="309"/>
      <c r="K65" s="309"/>
      <c r="L65" s="346"/>
      <c r="M65" s="347"/>
      <c r="N65" s="347"/>
      <c r="O65" s="347"/>
      <c r="P65" s="347"/>
      <c r="Q65" s="347"/>
      <c r="R65" s="347"/>
      <c r="S65" s="347"/>
      <c r="T65" s="347"/>
      <c r="U65" s="346"/>
      <c r="V65" s="347"/>
      <c r="W65" s="347"/>
      <c r="X65" s="347"/>
      <c r="Y65" s="347"/>
      <c r="Z65" s="347"/>
      <c r="AA65" s="347"/>
      <c r="AB65" s="347"/>
      <c r="AC65" s="347"/>
      <c r="AD65" s="346"/>
      <c r="AE65" s="347"/>
      <c r="AF65" s="347"/>
      <c r="AG65" s="347"/>
      <c r="AH65" s="347"/>
      <c r="AI65" s="347"/>
      <c r="AJ65" s="402"/>
      <c r="AK65" s="403"/>
      <c r="AL65" s="403"/>
      <c r="AM65" s="403"/>
    </row>
    <row r="66" spans="1:39" s="282" customFormat="1" ht="24" thickBot="1">
      <c r="A66" s="286" t="s">
        <v>122</v>
      </c>
      <c r="B66" s="287" t="s">
        <v>68</v>
      </c>
      <c r="C66" s="287" t="s">
        <v>69</v>
      </c>
      <c r="D66" s="288" t="s">
        <v>70</v>
      </c>
      <c r="E66" s="88" t="s">
        <v>250</v>
      </c>
      <c r="F66" s="744" t="s">
        <v>394</v>
      </c>
      <c r="G66" s="30" t="s">
        <v>395</v>
      </c>
      <c r="H66" s="744" t="s">
        <v>92</v>
      </c>
      <c r="I66" s="744" t="s">
        <v>407</v>
      </c>
      <c r="J66" s="751" t="s">
        <v>433</v>
      </c>
      <c r="K66" s="783" t="s">
        <v>546</v>
      </c>
      <c r="L66" s="79" t="s">
        <v>462</v>
      </c>
      <c r="M66" s="80" t="s">
        <v>53</v>
      </c>
      <c r="N66" s="49"/>
      <c r="O66" s="49" t="s">
        <v>94</v>
      </c>
      <c r="P66" s="49"/>
      <c r="Q66" s="49" t="s">
        <v>190</v>
      </c>
      <c r="R66" s="49" t="s">
        <v>476</v>
      </c>
      <c r="S66" s="126" t="s">
        <v>548</v>
      </c>
      <c r="T66" s="171" t="s">
        <v>482</v>
      </c>
      <c r="U66" s="79"/>
      <c r="V66" s="80" t="s">
        <v>53</v>
      </c>
      <c r="W66" s="714"/>
      <c r="X66" s="49" t="s">
        <v>94</v>
      </c>
      <c r="Y66" s="103"/>
      <c r="Z66" s="104"/>
      <c r="AA66" s="716"/>
      <c r="AB66" s="121"/>
      <c r="AC66" s="717"/>
      <c r="AD66" s="370"/>
      <c r="AE66" s="371" t="s">
        <v>172</v>
      </c>
      <c r="AF66" s="372" t="s">
        <v>80</v>
      </c>
      <c r="AG66" s="385"/>
      <c r="AH66" s="386" t="s">
        <v>106</v>
      </c>
      <c r="AI66" s="385" t="s">
        <v>173</v>
      </c>
      <c r="AJ66" s="371" t="s">
        <v>108</v>
      </c>
    </row>
    <row r="67" spans="1:39" s="234" customFormat="1" ht="21" thickBot="1">
      <c r="A67" s="310" t="s">
        <v>125</v>
      </c>
      <c r="B67" s="826"/>
      <c r="C67" s="311"/>
      <c r="D67" s="291"/>
      <c r="E67" s="313"/>
      <c r="F67" s="314"/>
      <c r="G67" s="314"/>
      <c r="H67" s="314"/>
      <c r="I67" s="315"/>
      <c r="J67" s="315"/>
      <c r="K67" s="314"/>
      <c r="L67" s="2676"/>
      <c r="M67" s="350"/>
      <c r="N67" s="315"/>
      <c r="O67" s="315"/>
      <c r="P67" s="315"/>
      <c r="Q67" s="315"/>
      <c r="R67" s="315"/>
      <c r="S67" s="315"/>
      <c r="T67" s="477"/>
      <c r="U67" s="349"/>
      <c r="V67" s="350"/>
      <c r="W67" s="315"/>
      <c r="X67" s="315"/>
      <c r="Y67" s="315"/>
      <c r="Z67" s="315"/>
      <c r="AA67" s="315"/>
      <c r="AB67" s="315"/>
      <c r="AC67" s="378"/>
      <c r="AD67" s="349"/>
      <c r="AE67" s="379">
        <f t="shared" ref="AE67:AE84" si="11">SUM(E67:AC67)</f>
        <v>0</v>
      </c>
      <c r="AF67" s="379"/>
      <c r="AG67" s="404"/>
      <c r="AH67" s="405">
        <f t="shared" ref="AH67:AH84" si="12">AE67+AF67</f>
        <v>0</v>
      </c>
      <c r="AI67" s="406"/>
      <c r="AJ67" s="407">
        <f>AH67+AI67</f>
        <v>0</v>
      </c>
    </row>
    <row r="68" spans="1:39" s="234" customFormat="1" ht="21" thickBot="1">
      <c r="A68" s="316" t="s">
        <v>125</v>
      </c>
      <c r="B68" s="824"/>
      <c r="C68" s="317"/>
      <c r="D68" s="291"/>
      <c r="E68" s="319"/>
      <c r="F68" s="320"/>
      <c r="G68" s="320"/>
      <c r="H68" s="320"/>
      <c r="I68" s="321"/>
      <c r="J68" s="321"/>
      <c r="K68" s="320"/>
      <c r="L68" s="2677"/>
      <c r="M68" s="353"/>
      <c r="N68" s="320"/>
      <c r="O68" s="320"/>
      <c r="P68" s="321"/>
      <c r="Q68" s="321"/>
      <c r="R68" s="321"/>
      <c r="S68" s="320"/>
      <c r="T68" s="351"/>
      <c r="U68" s="352"/>
      <c r="V68" s="353"/>
      <c r="W68" s="321"/>
      <c r="X68" s="321"/>
      <c r="Y68" s="321"/>
      <c r="Z68" s="321"/>
      <c r="AA68" s="321"/>
      <c r="AB68" s="321"/>
      <c r="AC68" s="380"/>
      <c r="AD68" s="352"/>
      <c r="AE68" s="381">
        <f t="shared" si="11"/>
        <v>0</v>
      </c>
      <c r="AF68" s="381"/>
      <c r="AG68" s="408"/>
      <c r="AH68" s="409">
        <f t="shared" si="12"/>
        <v>0</v>
      </c>
      <c r="AI68" s="410"/>
      <c r="AJ68" s="411">
        <f>AH68+AI68</f>
        <v>0</v>
      </c>
    </row>
    <row r="69" spans="1:39" s="234" customFormat="1" ht="21" thickBot="1">
      <c r="A69" s="316" t="s">
        <v>125</v>
      </c>
      <c r="B69" s="822"/>
      <c r="C69" s="295"/>
      <c r="D69" s="291"/>
      <c r="E69" s="319"/>
      <c r="F69" s="320"/>
      <c r="G69" s="320"/>
      <c r="H69" s="320"/>
      <c r="I69" s="321"/>
      <c r="J69" s="321"/>
      <c r="K69" s="320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2687"/>
      <c r="Y69" s="321"/>
      <c r="Z69" s="321"/>
      <c r="AA69" s="321"/>
      <c r="AB69" s="320"/>
      <c r="AC69" s="380"/>
      <c r="AD69" s="352"/>
      <c r="AE69" s="381">
        <f t="shared" si="11"/>
        <v>0</v>
      </c>
      <c r="AF69" s="381"/>
      <c r="AG69" s="408"/>
      <c r="AH69" s="409">
        <f t="shared" si="12"/>
        <v>0</v>
      </c>
      <c r="AI69" s="410"/>
      <c r="AJ69" s="411">
        <f>AH69+AI69</f>
        <v>0</v>
      </c>
    </row>
    <row r="70" spans="1:39" s="234" customFormat="1" ht="21" thickBot="1">
      <c r="A70" s="316" t="s">
        <v>125</v>
      </c>
      <c r="B70" s="710"/>
      <c r="C70" s="295"/>
      <c r="D70" s="291"/>
      <c r="E70" s="319"/>
      <c r="F70" s="320"/>
      <c r="G70" s="320"/>
      <c r="H70" s="320"/>
      <c r="I70" s="321"/>
      <c r="J70" s="321"/>
      <c r="K70" s="320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11"/>
        <v>0</v>
      </c>
      <c r="AF70" s="381"/>
      <c r="AG70" s="408"/>
      <c r="AH70" s="409">
        <f t="shared" si="12"/>
        <v>0</v>
      </c>
      <c r="AI70" s="410"/>
      <c r="AJ70" s="411">
        <f>AH70+AI70</f>
        <v>0</v>
      </c>
    </row>
    <row r="71" spans="1:39" s="234" customFormat="1" ht="20.25">
      <c r="A71" s="316" t="s">
        <v>125</v>
      </c>
      <c r="B71" s="710"/>
      <c r="C71" s="295"/>
      <c r="D71" s="318"/>
      <c r="E71" s="319"/>
      <c r="F71" s="320"/>
      <c r="G71" s="320"/>
      <c r="H71" s="320"/>
      <c r="I71" s="321"/>
      <c r="J71" s="321"/>
      <c r="K71" s="320"/>
      <c r="L71" s="352"/>
      <c r="M71" s="353"/>
      <c r="N71" s="321"/>
      <c r="O71" s="321"/>
      <c r="P71" s="321"/>
      <c r="Q71" s="321"/>
      <c r="R71" s="321"/>
      <c r="S71" s="321"/>
      <c r="T71" s="351"/>
      <c r="U71" s="352"/>
      <c r="V71" s="319"/>
      <c r="W71" s="320"/>
      <c r="X71" s="320"/>
      <c r="Y71" s="321"/>
      <c r="Z71" s="321"/>
      <c r="AA71" s="321"/>
      <c r="AB71" s="320"/>
      <c r="AC71" s="380"/>
      <c r="AD71" s="352"/>
      <c r="AE71" s="381">
        <f t="shared" si="11"/>
        <v>0</v>
      </c>
      <c r="AF71" s="381"/>
      <c r="AG71" s="408"/>
      <c r="AH71" s="409">
        <f t="shared" si="12"/>
        <v>0</v>
      </c>
      <c r="AI71" s="410"/>
      <c r="AJ71" s="411">
        <f t="shared" ref="AJ71:AJ84" si="13">AH71+AI71</f>
        <v>0</v>
      </c>
    </row>
    <row r="72" spans="1:39" s="234" customFormat="1" ht="20.25">
      <c r="A72" s="316" t="s">
        <v>125</v>
      </c>
      <c r="B72" s="710"/>
      <c r="C72" s="295"/>
      <c r="D72" s="318"/>
      <c r="E72" s="319"/>
      <c r="F72" s="320"/>
      <c r="G72" s="320"/>
      <c r="H72" s="321"/>
      <c r="I72" s="321"/>
      <c r="J72" s="321"/>
      <c r="K72" s="320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11"/>
        <v>0</v>
      </c>
      <c r="AF72" s="381"/>
      <c r="AG72" s="408"/>
      <c r="AH72" s="409">
        <f t="shared" si="12"/>
        <v>0</v>
      </c>
      <c r="AI72" s="410"/>
      <c r="AJ72" s="411">
        <f t="shared" si="13"/>
        <v>0</v>
      </c>
    </row>
    <row r="73" spans="1:39" s="234" customFormat="1" ht="20.25">
      <c r="A73" s="316" t="s">
        <v>125</v>
      </c>
      <c r="B73" s="710"/>
      <c r="C73" s="295"/>
      <c r="D73" s="318"/>
      <c r="E73" s="319"/>
      <c r="F73" s="320"/>
      <c r="G73" s="320"/>
      <c r="H73" s="320"/>
      <c r="I73" s="321"/>
      <c r="J73" s="321"/>
      <c r="K73" s="320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11"/>
        <v>0</v>
      </c>
      <c r="AF73" s="381"/>
      <c r="AG73" s="408"/>
      <c r="AH73" s="409">
        <f t="shared" si="12"/>
        <v>0</v>
      </c>
      <c r="AI73" s="410"/>
      <c r="AJ73" s="411">
        <f t="shared" si="13"/>
        <v>0</v>
      </c>
    </row>
    <row r="74" spans="1:39" s="234" customFormat="1" ht="20.25">
      <c r="A74" s="316" t="s">
        <v>125</v>
      </c>
      <c r="B74" s="710"/>
      <c r="C74" s="295"/>
      <c r="D74" s="318"/>
      <c r="E74" s="319"/>
      <c r="F74" s="320"/>
      <c r="G74" s="320"/>
      <c r="H74" s="320"/>
      <c r="I74" s="321"/>
      <c r="J74" s="321"/>
      <c r="K74" s="741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si="11"/>
        <v>0</v>
      </c>
      <c r="AF74" s="381"/>
      <c r="AG74" s="408"/>
      <c r="AH74" s="409">
        <f t="shared" si="12"/>
        <v>0</v>
      </c>
      <c r="AI74" s="410"/>
      <c r="AJ74" s="411">
        <f t="shared" si="13"/>
        <v>0</v>
      </c>
    </row>
    <row r="75" spans="1:39" s="234" customFormat="1" ht="20.25">
      <c r="A75" s="316" t="s">
        <v>125</v>
      </c>
      <c r="B75" s="710"/>
      <c r="C75" s="295"/>
      <c r="D75" s="318"/>
      <c r="E75" s="319"/>
      <c r="F75" s="320"/>
      <c r="G75" s="320"/>
      <c r="H75" s="320"/>
      <c r="I75" s="321"/>
      <c r="J75" s="321"/>
      <c r="K75" s="741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11"/>
        <v>0</v>
      </c>
      <c r="AF75" s="381"/>
      <c r="AG75" s="408"/>
      <c r="AH75" s="409">
        <f t="shared" si="12"/>
        <v>0</v>
      </c>
      <c r="AI75" s="410"/>
      <c r="AJ75" s="411">
        <f t="shared" si="13"/>
        <v>0</v>
      </c>
    </row>
    <row r="76" spans="1:39" s="234" customFormat="1" ht="20.25">
      <c r="A76" s="316" t="s">
        <v>125</v>
      </c>
      <c r="B76" s="710"/>
      <c r="C76" s="295"/>
      <c r="D76" s="318"/>
      <c r="E76" s="319"/>
      <c r="F76" s="320"/>
      <c r="G76" s="320"/>
      <c r="H76" s="320"/>
      <c r="I76" s="321"/>
      <c r="J76" s="321"/>
      <c r="K76" s="320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11"/>
        <v>0</v>
      </c>
      <c r="AF76" s="381"/>
      <c r="AG76" s="408"/>
      <c r="AH76" s="409">
        <f t="shared" si="12"/>
        <v>0</v>
      </c>
      <c r="AI76" s="410"/>
      <c r="AJ76" s="411">
        <f t="shared" si="13"/>
        <v>0</v>
      </c>
    </row>
    <row r="77" spans="1:39" s="234" customFormat="1" ht="20.25">
      <c r="A77" s="316" t="s">
        <v>125</v>
      </c>
      <c r="B77" s="822"/>
      <c r="C77" s="295"/>
      <c r="D77" s="318"/>
      <c r="E77" s="319"/>
      <c r="F77" s="320"/>
      <c r="G77" s="320"/>
      <c r="H77" s="320"/>
      <c r="I77" s="321"/>
      <c r="J77" s="321"/>
      <c r="K77" s="320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11"/>
        <v>0</v>
      </c>
      <c r="AF77" s="381"/>
      <c r="AG77" s="408"/>
      <c r="AH77" s="409">
        <f t="shared" si="12"/>
        <v>0</v>
      </c>
      <c r="AI77" s="410"/>
      <c r="AJ77" s="411">
        <f t="shared" si="13"/>
        <v>0</v>
      </c>
    </row>
    <row r="78" spans="1:39" s="234" customFormat="1" ht="20.25">
      <c r="A78" s="316" t="s">
        <v>125</v>
      </c>
      <c r="B78" s="822"/>
      <c r="C78" s="295"/>
      <c r="D78" s="318"/>
      <c r="E78" s="319"/>
      <c r="F78" s="320"/>
      <c r="G78" s="320"/>
      <c r="H78" s="320"/>
      <c r="I78" s="321"/>
      <c r="J78" s="321"/>
      <c r="K78" s="320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" si="14">SUM(E78:AC78)</f>
        <v>0</v>
      </c>
      <c r="AF78" s="381"/>
      <c r="AG78" s="408"/>
      <c r="AH78" s="409">
        <f t="shared" si="12"/>
        <v>0</v>
      </c>
      <c r="AI78" s="410"/>
      <c r="AJ78" s="411">
        <f t="shared" si="13"/>
        <v>0</v>
      </c>
    </row>
    <row r="79" spans="1:39" s="234" customFormat="1" ht="21" thickBot="1">
      <c r="A79" s="316" t="s">
        <v>125</v>
      </c>
      <c r="B79" s="822"/>
      <c r="C79" s="295"/>
      <c r="D79" s="318"/>
      <c r="E79" s="319"/>
      <c r="F79" s="320"/>
      <c r="G79" s="320"/>
      <c r="H79" s="320"/>
      <c r="I79" s="321"/>
      <c r="J79" s="321"/>
      <c r="K79" s="320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11"/>
        <v>0</v>
      </c>
      <c r="AF79" s="381"/>
      <c r="AG79" s="408"/>
      <c r="AH79" s="409">
        <f t="shared" si="12"/>
        <v>0</v>
      </c>
      <c r="AI79" s="410"/>
      <c r="AJ79" s="411">
        <f t="shared" si="13"/>
        <v>0</v>
      </c>
    </row>
    <row r="80" spans="1:39" s="283" customFormat="1" ht="21" thickBot="1">
      <c r="A80" s="316" t="s">
        <v>125</v>
      </c>
      <c r="B80" s="827"/>
      <c r="C80" s="323"/>
      <c r="D80" s="324"/>
      <c r="E80" s="325"/>
      <c r="F80" s="297"/>
      <c r="G80" s="297"/>
      <c r="H80" s="297"/>
      <c r="I80" s="298"/>
      <c r="J80" s="298"/>
      <c r="K80" s="297"/>
      <c r="L80" s="355"/>
      <c r="M80" s="343"/>
      <c r="N80" s="298"/>
      <c r="O80" s="298"/>
      <c r="P80" s="298"/>
      <c r="Q80" s="298"/>
      <c r="R80" s="298"/>
      <c r="S80" s="298"/>
      <c r="T80" s="367"/>
      <c r="U80" s="355"/>
      <c r="V80" s="325"/>
      <c r="W80" s="297"/>
      <c r="X80" s="297"/>
      <c r="Y80" s="298"/>
      <c r="Z80" s="298"/>
      <c r="AA80" s="298"/>
      <c r="AB80" s="297"/>
      <c r="AC80" s="375"/>
      <c r="AD80" s="355"/>
      <c r="AE80" s="376">
        <f t="shared" ref="AE80:AE83" si="15">SUM(E80:AC80)</f>
        <v>0</v>
      </c>
      <c r="AF80" s="377"/>
      <c r="AG80" s="390"/>
      <c r="AH80" s="391">
        <f t="shared" si="12"/>
        <v>0</v>
      </c>
      <c r="AI80" s="412"/>
      <c r="AJ80" s="413">
        <f t="shared" si="13"/>
        <v>0</v>
      </c>
      <c r="AK80" s="414" t="s">
        <v>8</v>
      </c>
      <c r="AL80" s="397" t="s">
        <v>23</v>
      </c>
      <c r="AM80" s="415" t="s">
        <v>174</v>
      </c>
    </row>
    <row r="81" spans="1:39" s="283" customFormat="1" ht="21" thickBot="1">
      <c r="A81" s="316" t="s">
        <v>125</v>
      </c>
      <c r="B81" s="827"/>
      <c r="C81" s="323"/>
      <c r="D81" s="324"/>
      <c r="E81" s="325"/>
      <c r="F81" s="297"/>
      <c r="G81" s="297"/>
      <c r="H81" s="297"/>
      <c r="I81" s="298"/>
      <c r="J81" s="298"/>
      <c r="K81" s="297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15"/>
        <v>0</v>
      </c>
      <c r="AF81" s="377"/>
      <c r="AG81" s="390"/>
      <c r="AH81" s="391">
        <f t="shared" si="12"/>
        <v>0</v>
      </c>
      <c r="AI81" s="412"/>
      <c r="AJ81" s="413">
        <f t="shared" si="13"/>
        <v>0</v>
      </c>
      <c r="AK81" s="414" t="s">
        <v>8</v>
      </c>
      <c r="AL81" s="397" t="s">
        <v>23</v>
      </c>
      <c r="AM81" s="415" t="s">
        <v>174</v>
      </c>
    </row>
    <row r="82" spans="1:39" s="283" customFormat="1" ht="21" thickBot="1">
      <c r="A82" s="316" t="s">
        <v>125</v>
      </c>
      <c r="B82" s="827"/>
      <c r="C82" s="323"/>
      <c r="D82" s="324"/>
      <c r="E82" s="325"/>
      <c r="F82" s="297"/>
      <c r="G82" s="297"/>
      <c r="H82" s="297"/>
      <c r="I82" s="298"/>
      <c r="J82" s="298"/>
      <c r="K82" s="297"/>
      <c r="L82" s="355"/>
      <c r="M82" s="343"/>
      <c r="N82" s="298"/>
      <c r="O82" s="298"/>
      <c r="P82" s="298"/>
      <c r="Q82" s="298"/>
      <c r="R82" s="298"/>
      <c r="S82" s="298"/>
      <c r="T82" s="367"/>
      <c r="U82" s="355"/>
      <c r="V82" s="325"/>
      <c r="W82" s="297"/>
      <c r="X82" s="297"/>
      <c r="Y82" s="298"/>
      <c r="Z82" s="298"/>
      <c r="AA82" s="298"/>
      <c r="AB82" s="297"/>
      <c r="AC82" s="375"/>
      <c r="AD82" s="355"/>
      <c r="AE82" s="376">
        <f t="shared" si="15"/>
        <v>0</v>
      </c>
      <c r="AF82" s="377"/>
      <c r="AG82" s="390"/>
      <c r="AH82" s="391">
        <f t="shared" si="12"/>
        <v>0</v>
      </c>
      <c r="AI82" s="412"/>
      <c r="AJ82" s="413">
        <f t="shared" si="13"/>
        <v>0</v>
      </c>
      <c r="AK82" s="414" t="s">
        <v>8</v>
      </c>
      <c r="AL82" s="397" t="s">
        <v>23</v>
      </c>
      <c r="AM82" s="415" t="s">
        <v>174</v>
      </c>
    </row>
    <row r="83" spans="1:39" s="283" customFormat="1" ht="21" thickBot="1">
      <c r="A83" s="316" t="s">
        <v>125</v>
      </c>
      <c r="B83" s="827"/>
      <c r="C83" s="323"/>
      <c r="D83" s="324"/>
      <c r="E83" s="325"/>
      <c r="F83" s="297"/>
      <c r="G83" s="297"/>
      <c r="H83" s="297"/>
      <c r="I83" s="298"/>
      <c r="J83" s="298"/>
      <c r="K83" s="297"/>
      <c r="L83" s="355"/>
      <c r="M83" s="343"/>
      <c r="N83" s="298"/>
      <c r="O83" s="298"/>
      <c r="P83" s="298"/>
      <c r="Q83" s="298"/>
      <c r="R83" s="298"/>
      <c r="S83" s="298"/>
      <c r="T83" s="367"/>
      <c r="U83" s="355"/>
      <c r="V83" s="325"/>
      <c r="W83" s="297"/>
      <c r="X83" s="297"/>
      <c r="Y83" s="298"/>
      <c r="Z83" s="298"/>
      <c r="AA83" s="298"/>
      <c r="AB83" s="297"/>
      <c r="AC83" s="375"/>
      <c r="AD83" s="355"/>
      <c r="AE83" s="376">
        <f t="shared" si="15"/>
        <v>0</v>
      </c>
      <c r="AF83" s="377"/>
      <c r="AG83" s="390"/>
      <c r="AH83" s="391">
        <f t="shared" si="12"/>
        <v>0</v>
      </c>
      <c r="AI83" s="412"/>
      <c r="AJ83" s="413">
        <f t="shared" si="13"/>
        <v>0</v>
      </c>
      <c r="AK83" s="414" t="s">
        <v>8</v>
      </c>
      <c r="AL83" s="397" t="s">
        <v>23</v>
      </c>
      <c r="AM83" s="415" t="s">
        <v>174</v>
      </c>
    </row>
    <row r="84" spans="1:39" s="283" customFormat="1" ht="21" thickBot="1">
      <c r="A84" s="316" t="s">
        <v>125</v>
      </c>
      <c r="B84" s="827"/>
      <c r="C84" s="323"/>
      <c r="D84" s="324"/>
      <c r="E84" s="325"/>
      <c r="F84" s="297"/>
      <c r="G84" s="297"/>
      <c r="H84" s="297"/>
      <c r="I84" s="298"/>
      <c r="J84" s="298"/>
      <c r="K84" s="297"/>
      <c r="L84" s="355"/>
      <c r="M84" s="343"/>
      <c r="N84" s="298"/>
      <c r="O84" s="298"/>
      <c r="P84" s="298"/>
      <c r="Q84" s="298"/>
      <c r="R84" s="298"/>
      <c r="S84" s="298"/>
      <c r="T84" s="367"/>
      <c r="U84" s="355"/>
      <c r="V84" s="325"/>
      <c r="W84" s="297"/>
      <c r="X84" s="297"/>
      <c r="Y84" s="298"/>
      <c r="Z84" s="298"/>
      <c r="AA84" s="298"/>
      <c r="AB84" s="297"/>
      <c r="AC84" s="375"/>
      <c r="AD84" s="355"/>
      <c r="AE84" s="376">
        <f t="shared" si="11"/>
        <v>0</v>
      </c>
      <c r="AF84" s="377"/>
      <c r="AG84" s="390"/>
      <c r="AH84" s="391">
        <f t="shared" si="12"/>
        <v>0</v>
      </c>
      <c r="AI84" s="412"/>
      <c r="AJ84" s="413">
        <f t="shared" si="13"/>
        <v>0</v>
      </c>
      <c r="AK84" s="414" t="s">
        <v>8</v>
      </c>
      <c r="AL84" s="397" t="s">
        <v>23</v>
      </c>
      <c r="AM84" s="415" t="s">
        <v>174</v>
      </c>
    </row>
    <row r="85" spans="1:39" s="284" customFormat="1" ht="19.5" thickBot="1">
      <c r="A85" s="326" t="s">
        <v>126</v>
      </c>
      <c r="B85" s="327"/>
      <c r="C85" s="327"/>
      <c r="D85" s="328"/>
      <c r="E85" s="329"/>
      <c r="F85" s="330"/>
      <c r="G85" s="330"/>
      <c r="H85" s="330"/>
      <c r="I85" s="330"/>
      <c r="J85" s="330"/>
      <c r="K85" s="330"/>
      <c r="L85" s="330"/>
      <c r="M85" s="358"/>
      <c r="N85" s="358"/>
      <c r="O85" s="358"/>
      <c r="P85" s="358"/>
      <c r="Q85" s="358"/>
      <c r="R85" s="358"/>
      <c r="S85" s="358"/>
      <c r="T85" s="358"/>
      <c r="U85" s="357"/>
      <c r="V85" s="358"/>
      <c r="W85" s="359"/>
      <c r="X85" s="359"/>
      <c r="Y85" s="359"/>
      <c r="Z85" s="359"/>
      <c r="AA85" s="359"/>
      <c r="AB85" s="359"/>
      <c r="AC85" s="369"/>
      <c r="AD85" s="357"/>
      <c r="AE85" s="382">
        <f>SUM(AE67:AE84)</f>
        <v>0</v>
      </c>
      <c r="AF85" s="382">
        <f t="shared" ref="AF85:AJ85" si="16">SUM(AF67:AF84)</f>
        <v>0</v>
      </c>
      <c r="AG85" s="416">
        <f t="shared" si="16"/>
        <v>0</v>
      </c>
      <c r="AH85" s="417">
        <f t="shared" si="16"/>
        <v>0</v>
      </c>
      <c r="AI85" s="382">
        <f t="shared" si="16"/>
        <v>0</v>
      </c>
      <c r="AJ85" s="418">
        <f t="shared" si="16"/>
        <v>0</v>
      </c>
      <c r="AK85" s="399">
        <f>'BIG CHAIR'!CL91</f>
        <v>0</v>
      </c>
      <c r="AL85" s="400">
        <f>'Tea Table'!X181</f>
        <v>0</v>
      </c>
      <c r="AM85" s="401">
        <f>AH85+AK85+AL85</f>
        <v>0</v>
      </c>
    </row>
    <row r="86" spans="1:39" ht="24" thickBot="1">
      <c r="A86" s="721" t="s">
        <v>127</v>
      </c>
      <c r="B86" s="287" t="s">
        <v>68</v>
      </c>
      <c r="C86" s="287" t="s">
        <v>69</v>
      </c>
      <c r="D86" s="288" t="s">
        <v>70</v>
      </c>
      <c r="E86" s="88" t="s">
        <v>250</v>
      </c>
      <c r="F86" s="744" t="s">
        <v>394</v>
      </c>
      <c r="G86" s="30" t="s">
        <v>395</v>
      </c>
      <c r="H86" s="744" t="s">
        <v>92</v>
      </c>
      <c r="I86" s="744" t="s">
        <v>407</v>
      </c>
      <c r="J86" s="751" t="s">
        <v>433</v>
      </c>
      <c r="K86" s="783" t="s">
        <v>546</v>
      </c>
      <c r="L86" s="79" t="s">
        <v>462</v>
      </c>
      <c r="M86" s="80" t="s">
        <v>53</v>
      </c>
      <c r="N86" s="49"/>
      <c r="O86" s="49" t="s">
        <v>94</v>
      </c>
      <c r="P86" s="49"/>
      <c r="Q86" s="49" t="s">
        <v>190</v>
      </c>
      <c r="R86" s="49" t="s">
        <v>476</v>
      </c>
      <c r="S86" s="126" t="s">
        <v>548</v>
      </c>
      <c r="T86" s="171" t="s">
        <v>482</v>
      </c>
      <c r="U86" s="79"/>
      <c r="V86" s="80" t="s">
        <v>53</v>
      </c>
      <c r="W86" s="714"/>
      <c r="X86" s="49" t="s">
        <v>94</v>
      </c>
      <c r="Y86" s="103"/>
      <c r="Z86" s="104"/>
      <c r="AA86" s="716"/>
      <c r="AB86" s="121"/>
      <c r="AC86" s="717"/>
      <c r="AD86" s="370"/>
      <c r="AE86" s="371" t="s">
        <v>172</v>
      </c>
      <c r="AF86" s="372" t="s">
        <v>80</v>
      </c>
      <c r="AG86" s="385"/>
      <c r="AH86" s="386" t="s">
        <v>106</v>
      </c>
      <c r="AI86" s="385" t="s">
        <v>173</v>
      </c>
      <c r="AJ86" s="371" t="s">
        <v>108</v>
      </c>
      <c r="AK86" s="282"/>
      <c r="AL86" s="282"/>
      <c r="AM86" s="282"/>
    </row>
    <row r="87" spans="1:39" ht="21" thickBot="1">
      <c r="A87" s="792" t="s">
        <v>128</v>
      </c>
      <c r="B87" s="826"/>
      <c r="C87" s="311"/>
      <c r="D87" s="291"/>
      <c r="E87" s="313"/>
      <c r="F87" s="314"/>
      <c r="G87" s="314"/>
      <c r="H87" s="314"/>
      <c r="I87" s="315"/>
      <c r="J87" s="315"/>
      <c r="K87" s="314"/>
      <c r="L87" s="349"/>
      <c r="M87" s="350"/>
      <c r="N87" s="315"/>
      <c r="O87" s="315"/>
      <c r="P87" s="315"/>
      <c r="Q87" s="315"/>
      <c r="R87" s="315"/>
      <c r="S87" s="315"/>
      <c r="T87" s="477"/>
      <c r="U87" s="349"/>
      <c r="V87" s="350"/>
      <c r="W87" s="315"/>
      <c r="X87" s="315"/>
      <c r="Y87" s="315"/>
      <c r="Z87" s="315"/>
      <c r="AA87" s="315"/>
      <c r="AB87" s="315"/>
      <c r="AC87" s="378"/>
      <c r="AD87" s="349"/>
      <c r="AE87" s="379">
        <f t="shared" ref="AE87:AE102" si="17">SUM(E87:AC87)</f>
        <v>0</v>
      </c>
      <c r="AF87" s="379"/>
      <c r="AG87" s="404"/>
      <c r="AH87" s="405">
        <f t="shared" ref="AH87:AH112" si="18">AE87+AF87</f>
        <v>0</v>
      </c>
      <c r="AI87" s="406"/>
      <c r="AJ87" s="407">
        <f>AH87+AI87</f>
        <v>0</v>
      </c>
      <c r="AK87" s="234"/>
      <c r="AL87" s="234"/>
      <c r="AM87" s="234"/>
    </row>
    <row r="88" spans="1:39" ht="21" thickBot="1">
      <c r="A88" s="424" t="s">
        <v>128</v>
      </c>
      <c r="B88" s="826"/>
      <c r="C88" s="311"/>
      <c r="D88" s="806"/>
      <c r="E88" s="313"/>
      <c r="F88" s="314"/>
      <c r="G88" s="314"/>
      <c r="H88" s="314"/>
      <c r="I88" s="315"/>
      <c r="J88" s="315"/>
      <c r="K88" s="314"/>
      <c r="L88" s="349"/>
      <c r="M88" s="350"/>
      <c r="N88" s="315"/>
      <c r="O88" s="315"/>
      <c r="P88" s="315"/>
      <c r="Q88" s="315"/>
      <c r="R88" s="315"/>
      <c r="S88" s="315"/>
      <c r="T88" s="477"/>
      <c r="U88" s="352"/>
      <c r="V88" s="353"/>
      <c r="W88" s="321"/>
      <c r="X88" s="321"/>
      <c r="Y88" s="321"/>
      <c r="Z88" s="321"/>
      <c r="AA88" s="321"/>
      <c r="AB88" s="321"/>
      <c r="AC88" s="380"/>
      <c r="AD88" s="352"/>
      <c r="AE88" s="381">
        <f t="shared" si="17"/>
        <v>0</v>
      </c>
      <c r="AF88" s="381"/>
      <c r="AG88" s="408"/>
      <c r="AH88" s="409">
        <f t="shared" si="18"/>
        <v>0</v>
      </c>
      <c r="AI88" s="410"/>
      <c r="AJ88" s="411">
        <f>AH88+AI88</f>
        <v>0</v>
      </c>
      <c r="AK88" s="234"/>
      <c r="AL88" s="234"/>
      <c r="AM88" s="234"/>
    </row>
    <row r="89" spans="1:39" ht="21" thickBot="1">
      <c r="A89" s="424" t="s">
        <v>128</v>
      </c>
      <c r="B89" s="822"/>
      <c r="C89" s="295"/>
      <c r="D89" s="291"/>
      <c r="E89" s="319"/>
      <c r="F89" s="320"/>
      <c r="G89" s="320"/>
      <c r="H89" s="320"/>
      <c r="I89" s="321"/>
      <c r="J89" s="321"/>
      <c r="K89" s="320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17"/>
        <v>0</v>
      </c>
      <c r="AF89" s="381"/>
      <c r="AG89" s="408"/>
      <c r="AH89" s="409">
        <f t="shared" si="18"/>
        <v>0</v>
      </c>
      <c r="AI89" s="410"/>
      <c r="AJ89" s="411">
        <f>AH89+AI89</f>
        <v>0</v>
      </c>
      <c r="AK89" s="234"/>
      <c r="AL89" s="234"/>
      <c r="AM89" s="234"/>
    </row>
    <row r="90" spans="1:39" ht="21" thickBot="1">
      <c r="A90" s="424" t="s">
        <v>128</v>
      </c>
      <c r="B90" s="710"/>
      <c r="C90" s="295"/>
      <c r="D90" s="291"/>
      <c r="E90" s="319"/>
      <c r="F90" s="320"/>
      <c r="G90" s="320"/>
      <c r="H90" s="320"/>
      <c r="I90" s="321"/>
      <c r="J90" s="321"/>
      <c r="K90" s="320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17"/>
        <v>0</v>
      </c>
      <c r="AF90" s="381"/>
      <c r="AG90" s="408"/>
      <c r="AH90" s="409">
        <f t="shared" si="18"/>
        <v>0</v>
      </c>
      <c r="AI90" s="410"/>
      <c r="AJ90" s="411">
        <f>AH90+AI90</f>
        <v>0</v>
      </c>
      <c r="AK90" s="234"/>
      <c r="AL90" s="234"/>
      <c r="AM90" s="234"/>
    </row>
    <row r="91" spans="1:39" ht="21" thickBot="1">
      <c r="A91" s="424" t="s">
        <v>128</v>
      </c>
      <c r="B91" s="710"/>
      <c r="C91" s="295"/>
      <c r="D91" s="291"/>
      <c r="E91" s="319"/>
      <c r="F91" s="320"/>
      <c r="G91" s="320"/>
      <c r="H91" s="320"/>
      <c r="I91" s="321"/>
      <c r="J91" s="321"/>
      <c r="K91" s="320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17"/>
        <v>0</v>
      </c>
      <c r="AF91" s="381"/>
      <c r="AG91" s="408"/>
      <c r="AH91" s="409">
        <f t="shared" si="18"/>
        <v>0</v>
      </c>
      <c r="AI91" s="410"/>
      <c r="AJ91" s="411">
        <f t="shared" ref="AJ91:AJ112" si="19">AH91+AI91</f>
        <v>0</v>
      </c>
      <c r="AK91" s="234"/>
      <c r="AL91" s="234"/>
      <c r="AM91" s="234"/>
    </row>
    <row r="92" spans="1:39" ht="21" thickBot="1">
      <c r="A92" s="424" t="s">
        <v>128</v>
      </c>
      <c r="B92" s="710"/>
      <c r="C92" s="295"/>
      <c r="D92" s="291"/>
      <c r="E92" s="319"/>
      <c r="F92" s="320"/>
      <c r="G92" s="320"/>
      <c r="H92" s="321"/>
      <c r="I92" s="234"/>
      <c r="J92" s="321"/>
      <c r="K92" s="320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17"/>
        <v>0</v>
      </c>
      <c r="AF92" s="381"/>
      <c r="AG92" s="408"/>
      <c r="AH92" s="409">
        <f t="shared" si="18"/>
        <v>0</v>
      </c>
      <c r="AI92" s="410"/>
      <c r="AJ92" s="411">
        <f t="shared" si="19"/>
        <v>0</v>
      </c>
      <c r="AK92" s="234"/>
      <c r="AL92" s="234"/>
      <c r="AM92" s="234"/>
    </row>
    <row r="93" spans="1:39" ht="21" thickBot="1">
      <c r="A93" s="424" t="s">
        <v>128</v>
      </c>
      <c r="B93" s="710"/>
      <c r="C93" s="295"/>
      <c r="D93" s="291"/>
      <c r="E93" s="319"/>
      <c r="F93" s="320"/>
      <c r="G93" s="320"/>
      <c r="H93" s="320"/>
      <c r="I93" s="321"/>
      <c r="J93" s="321"/>
      <c r="K93" s="320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17"/>
        <v>0</v>
      </c>
      <c r="AF93" s="381"/>
      <c r="AG93" s="408"/>
      <c r="AH93" s="409">
        <f t="shared" si="18"/>
        <v>0</v>
      </c>
      <c r="AI93" s="410"/>
      <c r="AJ93" s="411">
        <f t="shared" si="19"/>
        <v>0</v>
      </c>
      <c r="AK93" s="234"/>
      <c r="AL93" s="234"/>
      <c r="AM93" s="234"/>
    </row>
    <row r="94" spans="1:39" ht="21" thickBot="1">
      <c r="A94" s="424" t="s">
        <v>128</v>
      </c>
      <c r="B94" s="822"/>
      <c r="C94" s="295"/>
      <c r="D94" s="291"/>
      <c r="E94" s="319"/>
      <c r="F94" s="320"/>
      <c r="G94" s="320"/>
      <c r="H94" s="320"/>
      <c r="I94" s="321"/>
      <c r="J94" s="321"/>
      <c r="K94" s="741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17"/>
        <v>0</v>
      </c>
      <c r="AF94" s="381"/>
      <c r="AG94" s="408"/>
      <c r="AH94" s="409">
        <f t="shared" si="18"/>
        <v>0</v>
      </c>
      <c r="AI94" s="410"/>
      <c r="AJ94" s="411">
        <f t="shared" si="19"/>
        <v>0</v>
      </c>
      <c r="AK94" s="234"/>
      <c r="AL94" s="234"/>
      <c r="AM94" s="234"/>
    </row>
    <row r="95" spans="1:39" ht="21" thickBot="1">
      <c r="A95" s="424" t="s">
        <v>128</v>
      </c>
      <c r="B95" s="822"/>
      <c r="C95" s="295"/>
      <c r="D95" s="291"/>
      <c r="E95" s="319"/>
      <c r="F95" s="320"/>
      <c r="G95" s="320"/>
      <c r="H95" s="320"/>
      <c r="I95" s="321"/>
      <c r="J95" s="321"/>
      <c r="K95" s="741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17"/>
        <v>0</v>
      </c>
      <c r="AF95" s="381"/>
      <c r="AG95" s="408"/>
      <c r="AH95" s="409">
        <f t="shared" si="18"/>
        <v>0</v>
      </c>
      <c r="AI95" s="410"/>
      <c r="AJ95" s="411">
        <f t="shared" si="19"/>
        <v>0</v>
      </c>
      <c r="AK95" s="234"/>
      <c r="AL95" s="234"/>
      <c r="AM95" s="234"/>
    </row>
    <row r="96" spans="1:39" ht="21" thickBot="1">
      <c r="A96" s="424" t="s">
        <v>128</v>
      </c>
      <c r="B96" s="822"/>
      <c r="C96" s="295"/>
      <c r="D96" s="291"/>
      <c r="E96" s="319"/>
      <c r="F96" s="320"/>
      <c r="G96" s="320"/>
      <c r="H96" s="320"/>
      <c r="I96" s="321"/>
      <c r="J96" s="321"/>
      <c r="K96" s="320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17"/>
        <v>0</v>
      </c>
      <c r="AF96" s="381"/>
      <c r="AG96" s="408"/>
      <c r="AH96" s="409">
        <f t="shared" si="18"/>
        <v>0</v>
      </c>
      <c r="AI96" s="410"/>
      <c r="AJ96" s="411">
        <f t="shared" si="19"/>
        <v>0</v>
      </c>
      <c r="AK96" s="234"/>
      <c r="AL96" s="234"/>
      <c r="AM96" s="234"/>
    </row>
    <row r="97" spans="1:39" ht="21" thickBot="1">
      <c r="A97" s="424" t="s">
        <v>128</v>
      </c>
      <c r="B97" s="822"/>
      <c r="C97" s="295"/>
      <c r="D97" s="291"/>
      <c r="E97" s="319"/>
      <c r="F97" s="320"/>
      <c r="G97" s="320"/>
      <c r="H97" s="320"/>
      <c r="I97" s="321"/>
      <c r="J97" s="321"/>
      <c r="K97" s="320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17"/>
        <v>0</v>
      </c>
      <c r="AF97" s="381"/>
      <c r="AG97" s="408"/>
      <c r="AH97" s="409">
        <f t="shared" si="18"/>
        <v>0</v>
      </c>
      <c r="AI97" s="410"/>
      <c r="AJ97" s="411">
        <f t="shared" si="19"/>
        <v>0</v>
      </c>
      <c r="AK97" s="234"/>
      <c r="AL97" s="234"/>
      <c r="AM97" s="234"/>
    </row>
    <row r="98" spans="1:39" ht="21" thickBot="1">
      <c r="A98" s="424" t="s">
        <v>128</v>
      </c>
      <c r="B98" s="822"/>
      <c r="C98" s="295"/>
      <c r="D98" s="291"/>
      <c r="E98" s="319"/>
      <c r="F98" s="320"/>
      <c r="G98" s="320"/>
      <c r="H98" s="320"/>
      <c r="I98" s="321"/>
      <c r="J98" s="321"/>
      <c r="K98" s="320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17"/>
        <v>0</v>
      </c>
      <c r="AF98" s="381"/>
      <c r="AG98" s="408"/>
      <c r="AH98" s="409">
        <f t="shared" si="18"/>
        <v>0</v>
      </c>
      <c r="AI98" s="410"/>
      <c r="AJ98" s="411">
        <f t="shared" si="19"/>
        <v>0</v>
      </c>
      <c r="AK98" s="234"/>
      <c r="AL98" s="234"/>
      <c r="AM98" s="234"/>
    </row>
    <row r="99" spans="1:39" ht="21" thickBot="1">
      <c r="A99" s="424" t="s">
        <v>128</v>
      </c>
      <c r="B99" s="822"/>
      <c r="C99" s="295"/>
      <c r="D99" s="291"/>
      <c r="E99" s="319"/>
      <c r="F99" s="320"/>
      <c r="G99" s="320"/>
      <c r="H99" s="320"/>
      <c r="I99" s="321"/>
      <c r="J99" s="321"/>
      <c r="K99" s="320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17"/>
        <v>0</v>
      </c>
      <c r="AF99" s="381"/>
      <c r="AG99" s="408"/>
      <c r="AH99" s="409">
        <f t="shared" si="18"/>
        <v>0</v>
      </c>
      <c r="AI99" s="410"/>
      <c r="AJ99" s="411">
        <f t="shared" si="19"/>
        <v>0</v>
      </c>
      <c r="AK99" s="234"/>
      <c r="AL99" s="234"/>
      <c r="AM99" s="234"/>
    </row>
    <row r="100" spans="1:39" ht="21" thickBot="1">
      <c r="A100" s="424" t="s">
        <v>128</v>
      </c>
      <c r="B100" s="827"/>
      <c r="C100" s="323"/>
      <c r="D100" s="291"/>
      <c r="E100" s="325"/>
      <c r="F100" s="297"/>
      <c r="G100" s="297"/>
      <c r="H100" s="297"/>
      <c r="I100" s="298"/>
      <c r="J100" s="298"/>
      <c r="K100" s="297"/>
      <c r="L100" s="355"/>
      <c r="M100" s="343"/>
      <c r="N100" s="298"/>
      <c r="O100" s="298"/>
      <c r="P100" s="298"/>
      <c r="Q100" s="298"/>
      <c r="R100" s="298"/>
      <c r="S100" s="298"/>
      <c r="T100" s="367"/>
      <c r="U100" s="355"/>
      <c r="V100" s="325"/>
      <c r="W100" s="297"/>
      <c r="X100" s="297"/>
      <c r="Y100" s="298"/>
      <c r="Z100" s="298"/>
      <c r="AA100" s="298"/>
      <c r="AB100" s="297"/>
      <c r="AC100" s="375"/>
      <c r="AD100" s="355"/>
      <c r="AE100" s="376">
        <f t="shared" si="17"/>
        <v>0</v>
      </c>
      <c r="AF100" s="377"/>
      <c r="AG100" s="390"/>
      <c r="AH100" s="391">
        <f t="shared" si="18"/>
        <v>0</v>
      </c>
      <c r="AI100" s="412"/>
      <c r="AJ100" s="413">
        <f t="shared" si="19"/>
        <v>0</v>
      </c>
      <c r="AK100" s="414" t="s">
        <v>8</v>
      </c>
      <c r="AL100" s="397" t="s">
        <v>23</v>
      </c>
      <c r="AM100" s="415" t="s">
        <v>174</v>
      </c>
    </row>
    <row r="101" spans="1:39" ht="21" thickBot="1">
      <c r="A101" s="424" t="s">
        <v>128</v>
      </c>
      <c r="B101" s="827"/>
      <c r="C101" s="323"/>
      <c r="D101" s="291"/>
      <c r="E101" s="325"/>
      <c r="F101" s="297"/>
      <c r="G101" s="297"/>
      <c r="H101" s="297"/>
      <c r="I101" s="298"/>
      <c r="J101" s="298"/>
      <c r="K101" s="297"/>
      <c r="L101" s="355"/>
      <c r="M101" s="343"/>
      <c r="N101" s="298"/>
      <c r="O101" s="298"/>
      <c r="P101" s="298"/>
      <c r="Q101" s="298"/>
      <c r="R101" s="298"/>
      <c r="S101" s="298"/>
      <c r="T101" s="367"/>
      <c r="U101" s="355"/>
      <c r="V101" s="325"/>
      <c r="W101" s="297"/>
      <c r="X101" s="297"/>
      <c r="Y101" s="298"/>
      <c r="Z101" s="298"/>
      <c r="AA101" s="298"/>
      <c r="AB101" s="297"/>
      <c r="AC101" s="375"/>
      <c r="AD101" s="355"/>
      <c r="AE101" s="376">
        <f t="shared" si="17"/>
        <v>0</v>
      </c>
      <c r="AF101" s="377"/>
      <c r="AG101" s="390"/>
      <c r="AH101" s="391">
        <f t="shared" si="18"/>
        <v>0</v>
      </c>
      <c r="AI101" s="412"/>
      <c r="AJ101" s="413">
        <f t="shared" si="19"/>
        <v>0</v>
      </c>
      <c r="AK101" s="414" t="s">
        <v>8</v>
      </c>
      <c r="AL101" s="397" t="s">
        <v>23</v>
      </c>
      <c r="AM101" s="415" t="s">
        <v>174</v>
      </c>
    </row>
    <row r="102" spans="1:39" ht="21" thickBot="1">
      <c r="A102" s="424" t="s">
        <v>128</v>
      </c>
      <c r="B102" s="827"/>
      <c r="C102" s="323"/>
      <c r="D102" s="291"/>
      <c r="E102" s="325"/>
      <c r="F102" s="297"/>
      <c r="G102" s="297"/>
      <c r="H102" s="297"/>
      <c r="I102" s="298"/>
      <c r="J102" s="298"/>
      <c r="K102" s="297"/>
      <c r="L102" s="355"/>
      <c r="M102" s="343"/>
      <c r="N102" s="298"/>
      <c r="O102" s="298"/>
      <c r="P102" s="298"/>
      <c r="Q102" s="298"/>
      <c r="R102" s="298"/>
      <c r="S102" s="298"/>
      <c r="T102" s="367"/>
      <c r="U102" s="355"/>
      <c r="V102" s="325"/>
      <c r="W102" s="297"/>
      <c r="X102" s="297"/>
      <c r="Y102" s="298"/>
      <c r="Z102" s="298"/>
      <c r="AA102" s="298"/>
      <c r="AB102" s="297"/>
      <c r="AC102" s="375"/>
      <c r="AD102" s="355"/>
      <c r="AE102" s="376">
        <f t="shared" si="17"/>
        <v>0</v>
      </c>
      <c r="AF102" s="377"/>
      <c r="AG102" s="390"/>
      <c r="AH102" s="391">
        <f t="shared" si="18"/>
        <v>0</v>
      </c>
      <c r="AI102" s="412"/>
      <c r="AJ102" s="413">
        <f t="shared" si="19"/>
        <v>0</v>
      </c>
      <c r="AK102" s="414" t="s">
        <v>8</v>
      </c>
      <c r="AL102" s="397" t="s">
        <v>23</v>
      </c>
      <c r="AM102" s="415" t="s">
        <v>174</v>
      </c>
    </row>
    <row r="103" spans="1:39" ht="21" thickBot="1">
      <c r="A103" s="424" t="s">
        <v>128</v>
      </c>
      <c r="B103" s="827"/>
      <c r="C103" s="323"/>
      <c r="D103" s="291"/>
      <c r="E103" s="325"/>
      <c r="F103" s="297"/>
      <c r="G103" s="297"/>
      <c r="H103" s="297"/>
      <c r="I103" s="298"/>
      <c r="J103" s="298"/>
      <c r="K103" s="297"/>
      <c r="L103" s="355"/>
      <c r="M103" s="343"/>
      <c r="N103" s="298"/>
      <c r="O103" s="298"/>
      <c r="P103" s="298"/>
      <c r="Q103" s="298"/>
      <c r="R103" s="298"/>
      <c r="S103" s="298"/>
      <c r="T103" s="367"/>
      <c r="U103" s="355"/>
      <c r="V103" s="325"/>
      <c r="W103" s="297"/>
      <c r="X103" s="297"/>
      <c r="Y103" s="298"/>
      <c r="Z103" s="298"/>
      <c r="AA103" s="298"/>
      <c r="AB103" s="297"/>
      <c r="AC103" s="375"/>
      <c r="AD103" s="355"/>
      <c r="AE103" s="376">
        <f t="shared" ref="AE103:AE112" si="20">SUM(E103:AC103)</f>
        <v>0</v>
      </c>
      <c r="AF103" s="377"/>
      <c r="AG103" s="390"/>
      <c r="AH103" s="391">
        <f t="shared" si="18"/>
        <v>0</v>
      </c>
      <c r="AI103" s="412"/>
      <c r="AJ103" s="413">
        <f t="shared" si="19"/>
        <v>0</v>
      </c>
      <c r="AK103" s="414" t="s">
        <v>8</v>
      </c>
      <c r="AL103" s="397" t="s">
        <v>23</v>
      </c>
      <c r="AM103" s="415" t="s">
        <v>174</v>
      </c>
    </row>
    <row r="104" spans="1:39" ht="21" thickBot="1">
      <c r="A104" s="424" t="s">
        <v>128</v>
      </c>
      <c r="B104" s="827"/>
      <c r="C104" s="323"/>
      <c r="D104" s="291"/>
      <c r="E104" s="325"/>
      <c r="F104" s="297"/>
      <c r="G104" s="297"/>
      <c r="H104" s="297"/>
      <c r="I104" s="298"/>
      <c r="J104" s="298"/>
      <c r="K104" s="297"/>
      <c r="L104" s="355"/>
      <c r="M104" s="343"/>
      <c r="N104" s="298"/>
      <c r="O104" s="298"/>
      <c r="P104" s="298"/>
      <c r="Q104" s="298"/>
      <c r="R104" s="298"/>
      <c r="S104" s="298"/>
      <c r="T104" s="367"/>
      <c r="U104" s="355"/>
      <c r="V104" s="325"/>
      <c r="W104" s="297"/>
      <c r="X104" s="297"/>
      <c r="Y104" s="298"/>
      <c r="Z104" s="298"/>
      <c r="AA104" s="298"/>
      <c r="AB104" s="297"/>
      <c r="AC104" s="375"/>
      <c r="AD104" s="355"/>
      <c r="AE104" s="376">
        <f t="shared" si="20"/>
        <v>0</v>
      </c>
      <c r="AF104" s="377"/>
      <c r="AG104" s="390"/>
      <c r="AH104" s="391">
        <f t="shared" si="18"/>
        <v>0</v>
      </c>
      <c r="AI104" s="412"/>
      <c r="AJ104" s="413">
        <f t="shared" si="19"/>
        <v>0</v>
      </c>
      <c r="AK104" s="414" t="s">
        <v>8</v>
      </c>
      <c r="AL104" s="397" t="s">
        <v>23</v>
      </c>
      <c r="AM104" s="415" t="s">
        <v>174</v>
      </c>
    </row>
    <row r="105" spans="1:39" ht="21" thickBot="1">
      <c r="A105" s="424" t="s">
        <v>128</v>
      </c>
      <c r="B105" s="827"/>
      <c r="C105" s="323"/>
      <c r="D105" s="291"/>
      <c r="E105" s="325"/>
      <c r="F105" s="297"/>
      <c r="G105" s="297"/>
      <c r="H105" s="297"/>
      <c r="I105" s="298"/>
      <c r="J105" s="298"/>
      <c r="K105" s="297"/>
      <c r="L105" s="355"/>
      <c r="M105" s="343"/>
      <c r="N105" s="298"/>
      <c r="O105" s="298"/>
      <c r="P105" s="298"/>
      <c r="Q105" s="298"/>
      <c r="R105" s="298"/>
      <c r="S105" s="298"/>
      <c r="T105" s="367"/>
      <c r="U105" s="355"/>
      <c r="V105" s="325"/>
      <c r="W105" s="297"/>
      <c r="X105" s="297"/>
      <c r="Y105" s="298"/>
      <c r="Z105" s="298"/>
      <c r="AA105" s="298"/>
      <c r="AB105" s="297"/>
      <c r="AC105" s="375"/>
      <c r="AD105" s="355"/>
      <c r="AE105" s="376">
        <f t="shared" si="20"/>
        <v>0</v>
      </c>
      <c r="AF105" s="377"/>
      <c r="AG105" s="390"/>
      <c r="AH105" s="391">
        <f t="shared" si="18"/>
        <v>0</v>
      </c>
      <c r="AI105" s="412"/>
      <c r="AJ105" s="413">
        <f t="shared" si="19"/>
        <v>0</v>
      </c>
      <c r="AK105" s="414" t="s">
        <v>8</v>
      </c>
      <c r="AL105" s="397" t="s">
        <v>23</v>
      </c>
      <c r="AM105" s="415" t="s">
        <v>174</v>
      </c>
    </row>
    <row r="106" spans="1:39" ht="21" thickBot="1">
      <c r="A106" s="424" t="s">
        <v>128</v>
      </c>
      <c r="B106" s="827"/>
      <c r="C106" s="323"/>
      <c r="D106" s="291"/>
      <c r="E106" s="325"/>
      <c r="F106" s="297"/>
      <c r="G106" s="297"/>
      <c r="H106" s="297"/>
      <c r="I106" s="298"/>
      <c r="J106" s="298"/>
      <c r="K106" s="297"/>
      <c r="L106" s="355"/>
      <c r="M106" s="343"/>
      <c r="N106" s="298"/>
      <c r="O106" s="298"/>
      <c r="P106" s="298"/>
      <c r="Q106" s="298"/>
      <c r="R106" s="298"/>
      <c r="S106" s="298"/>
      <c r="T106" s="367"/>
      <c r="U106" s="355"/>
      <c r="V106" s="325"/>
      <c r="W106" s="297"/>
      <c r="X106" s="297"/>
      <c r="Y106" s="298"/>
      <c r="Z106" s="298"/>
      <c r="AA106" s="298"/>
      <c r="AB106" s="297"/>
      <c r="AC106" s="375"/>
      <c r="AD106" s="355"/>
      <c r="AE106" s="376">
        <f t="shared" si="20"/>
        <v>0</v>
      </c>
      <c r="AF106" s="377"/>
      <c r="AG106" s="390"/>
      <c r="AH106" s="391">
        <f t="shared" si="18"/>
        <v>0</v>
      </c>
      <c r="AI106" s="412"/>
      <c r="AJ106" s="413">
        <f t="shared" si="19"/>
        <v>0</v>
      </c>
      <c r="AK106" s="414" t="s">
        <v>8</v>
      </c>
      <c r="AL106" s="397" t="s">
        <v>23</v>
      </c>
      <c r="AM106" s="415" t="s">
        <v>174</v>
      </c>
    </row>
    <row r="107" spans="1:39" ht="21" thickBot="1">
      <c r="A107" s="424" t="s">
        <v>128</v>
      </c>
      <c r="B107" s="827"/>
      <c r="C107" s="323"/>
      <c r="D107" s="291"/>
      <c r="E107" s="325"/>
      <c r="F107" s="297"/>
      <c r="G107" s="297"/>
      <c r="H107" s="297"/>
      <c r="I107" s="298"/>
      <c r="J107" s="298"/>
      <c r="K107" s="297"/>
      <c r="L107" s="355"/>
      <c r="M107" s="343"/>
      <c r="N107" s="298"/>
      <c r="O107" s="298"/>
      <c r="P107" s="298"/>
      <c r="Q107" s="298"/>
      <c r="R107" s="298"/>
      <c r="S107" s="298"/>
      <c r="T107" s="367"/>
      <c r="U107" s="355"/>
      <c r="V107" s="325"/>
      <c r="W107" s="297"/>
      <c r="X107" s="297"/>
      <c r="Y107" s="298"/>
      <c r="Z107" s="298"/>
      <c r="AA107" s="298"/>
      <c r="AB107" s="297"/>
      <c r="AC107" s="375"/>
      <c r="AD107" s="355"/>
      <c r="AE107" s="376">
        <f t="shared" si="20"/>
        <v>0</v>
      </c>
      <c r="AF107" s="377"/>
      <c r="AG107" s="390"/>
      <c r="AH107" s="391">
        <f t="shared" si="18"/>
        <v>0</v>
      </c>
      <c r="AI107" s="412"/>
      <c r="AJ107" s="413">
        <f t="shared" si="19"/>
        <v>0</v>
      </c>
      <c r="AK107" s="414" t="s">
        <v>8</v>
      </c>
      <c r="AL107" s="397" t="s">
        <v>23</v>
      </c>
      <c r="AM107" s="415" t="s">
        <v>174</v>
      </c>
    </row>
    <row r="108" spans="1:39" ht="21" thickBot="1">
      <c r="A108" s="424" t="s">
        <v>128</v>
      </c>
      <c r="B108" s="827"/>
      <c r="C108" s="323"/>
      <c r="D108" s="291"/>
      <c r="E108" s="325"/>
      <c r="F108" s="297"/>
      <c r="G108" s="297"/>
      <c r="H108" s="297"/>
      <c r="I108" s="298"/>
      <c r="J108" s="298"/>
      <c r="K108" s="297"/>
      <c r="L108" s="355"/>
      <c r="M108" s="343"/>
      <c r="N108" s="298"/>
      <c r="O108" s="298"/>
      <c r="P108" s="298"/>
      <c r="Q108" s="298"/>
      <c r="R108" s="298"/>
      <c r="S108" s="298"/>
      <c r="T108" s="367"/>
      <c r="U108" s="355"/>
      <c r="V108" s="325"/>
      <c r="W108" s="297"/>
      <c r="X108" s="297"/>
      <c r="Y108" s="298"/>
      <c r="Z108" s="298"/>
      <c r="AA108" s="298"/>
      <c r="AB108" s="297"/>
      <c r="AC108" s="375"/>
      <c r="AD108" s="355"/>
      <c r="AE108" s="376">
        <f t="shared" si="20"/>
        <v>0</v>
      </c>
      <c r="AF108" s="377"/>
      <c r="AG108" s="390"/>
      <c r="AH108" s="391">
        <f t="shared" si="18"/>
        <v>0</v>
      </c>
      <c r="AI108" s="412"/>
      <c r="AJ108" s="413">
        <f t="shared" si="19"/>
        <v>0</v>
      </c>
      <c r="AK108" s="414" t="s">
        <v>8</v>
      </c>
      <c r="AL108" s="397" t="s">
        <v>23</v>
      </c>
      <c r="AM108" s="415" t="s">
        <v>174</v>
      </c>
    </row>
    <row r="109" spans="1:39" ht="21" thickBot="1">
      <c r="A109" s="424" t="s">
        <v>128</v>
      </c>
      <c r="B109" s="827"/>
      <c r="C109" s="323"/>
      <c r="D109" s="291"/>
      <c r="E109" s="325"/>
      <c r="F109" s="297"/>
      <c r="G109" s="297"/>
      <c r="H109" s="297"/>
      <c r="I109" s="298"/>
      <c r="J109" s="298"/>
      <c r="K109" s="297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si="20"/>
        <v>0</v>
      </c>
      <c r="AF109" s="377"/>
      <c r="AG109" s="390"/>
      <c r="AH109" s="391">
        <f t="shared" si="18"/>
        <v>0</v>
      </c>
      <c r="AI109" s="412"/>
      <c r="AJ109" s="413">
        <f t="shared" si="19"/>
        <v>0</v>
      </c>
      <c r="AK109" s="414" t="s">
        <v>8</v>
      </c>
      <c r="AL109" s="397" t="s">
        <v>23</v>
      </c>
      <c r="AM109" s="415" t="s">
        <v>174</v>
      </c>
    </row>
    <row r="110" spans="1:39" ht="21" thickBot="1">
      <c r="A110" s="424" t="s">
        <v>128</v>
      </c>
      <c r="B110" s="827"/>
      <c r="C110" s="323"/>
      <c r="D110" s="291"/>
      <c r="E110" s="325"/>
      <c r="F110" s="297"/>
      <c r="G110" s="297"/>
      <c r="H110" s="297"/>
      <c r="I110" s="298"/>
      <c r="J110" s="298"/>
      <c r="K110" s="297"/>
      <c r="L110" s="355"/>
      <c r="M110" s="343"/>
      <c r="N110" s="298"/>
      <c r="O110" s="298"/>
      <c r="P110" s="298"/>
      <c r="Q110" s="298"/>
      <c r="R110" s="298"/>
      <c r="S110" s="298"/>
      <c r="T110" s="367"/>
      <c r="U110" s="355"/>
      <c r="V110" s="325"/>
      <c r="W110" s="297"/>
      <c r="X110" s="297"/>
      <c r="Y110" s="298"/>
      <c r="Z110" s="298"/>
      <c r="AA110" s="298"/>
      <c r="AB110" s="297"/>
      <c r="AC110" s="375"/>
      <c r="AD110" s="355"/>
      <c r="AE110" s="376">
        <f t="shared" si="20"/>
        <v>0</v>
      </c>
      <c r="AF110" s="377"/>
      <c r="AG110" s="390"/>
      <c r="AH110" s="391">
        <f t="shared" si="18"/>
        <v>0</v>
      </c>
      <c r="AI110" s="412"/>
      <c r="AJ110" s="413">
        <f t="shared" si="19"/>
        <v>0</v>
      </c>
      <c r="AK110" s="414" t="s">
        <v>8</v>
      </c>
      <c r="AL110" s="397" t="s">
        <v>23</v>
      </c>
      <c r="AM110" s="415" t="s">
        <v>174</v>
      </c>
    </row>
    <row r="111" spans="1:39" ht="21" thickBot="1">
      <c r="A111" s="424" t="s">
        <v>128</v>
      </c>
      <c r="B111" s="827"/>
      <c r="C111" s="323"/>
      <c r="D111" s="291"/>
      <c r="E111" s="325"/>
      <c r="F111" s="297"/>
      <c r="G111" s="297"/>
      <c r="H111" s="297"/>
      <c r="I111" s="298"/>
      <c r="J111" s="298"/>
      <c r="K111" s="297"/>
      <c r="L111" s="355"/>
      <c r="M111" s="343"/>
      <c r="N111" s="298"/>
      <c r="O111" s="298"/>
      <c r="P111" s="298"/>
      <c r="Q111" s="298"/>
      <c r="R111" s="298"/>
      <c r="S111" s="298"/>
      <c r="T111" s="367"/>
      <c r="U111" s="355"/>
      <c r="V111" s="325"/>
      <c r="W111" s="297"/>
      <c r="X111" s="297"/>
      <c r="Y111" s="298"/>
      <c r="Z111" s="298"/>
      <c r="AA111" s="298"/>
      <c r="AB111" s="297"/>
      <c r="AC111" s="375"/>
      <c r="AD111" s="355"/>
      <c r="AE111" s="376">
        <f t="shared" si="20"/>
        <v>0</v>
      </c>
      <c r="AF111" s="377"/>
      <c r="AG111" s="390"/>
      <c r="AH111" s="391">
        <f t="shared" si="18"/>
        <v>0</v>
      </c>
      <c r="AI111" s="412"/>
      <c r="AJ111" s="413">
        <f t="shared" si="19"/>
        <v>0</v>
      </c>
      <c r="AK111" s="414" t="s">
        <v>8</v>
      </c>
      <c r="AL111" s="397" t="s">
        <v>23</v>
      </c>
      <c r="AM111" s="415" t="s">
        <v>174</v>
      </c>
    </row>
    <row r="112" spans="1:39" ht="21" thickBot="1">
      <c r="A112" s="424" t="s">
        <v>128</v>
      </c>
      <c r="B112" s="827"/>
      <c r="C112" s="323"/>
      <c r="D112" s="291"/>
      <c r="E112" s="325"/>
      <c r="F112" s="297"/>
      <c r="G112" s="297"/>
      <c r="H112" s="297"/>
      <c r="I112" s="298"/>
      <c r="J112" s="298"/>
      <c r="K112" s="297"/>
      <c r="L112" s="355"/>
      <c r="M112" s="343"/>
      <c r="N112" s="298"/>
      <c r="O112" s="298"/>
      <c r="P112" s="298"/>
      <c r="Q112" s="298"/>
      <c r="R112" s="298"/>
      <c r="S112" s="298"/>
      <c r="T112" s="367"/>
      <c r="U112" s="355"/>
      <c r="V112" s="325"/>
      <c r="W112" s="297"/>
      <c r="X112" s="297"/>
      <c r="Y112" s="298"/>
      <c r="Z112" s="298"/>
      <c r="AA112" s="298"/>
      <c r="AB112" s="297"/>
      <c r="AC112" s="375"/>
      <c r="AD112" s="355"/>
      <c r="AE112" s="376">
        <f t="shared" si="20"/>
        <v>0</v>
      </c>
      <c r="AF112" s="377"/>
      <c r="AG112" s="390"/>
      <c r="AH112" s="391">
        <f t="shared" si="18"/>
        <v>0</v>
      </c>
      <c r="AI112" s="412"/>
      <c r="AJ112" s="413">
        <f t="shared" si="19"/>
        <v>0</v>
      </c>
      <c r="AK112" s="414" t="s">
        <v>8</v>
      </c>
      <c r="AL112" s="397" t="s">
        <v>23</v>
      </c>
      <c r="AM112" s="415" t="s">
        <v>174</v>
      </c>
    </row>
    <row r="113" spans="1:39" ht="19.5" thickBot="1">
      <c r="A113" s="828" t="s">
        <v>129</v>
      </c>
      <c r="B113" s="327"/>
      <c r="C113" s="327"/>
      <c r="D113" s="328"/>
      <c r="E113" s="329">
        <f>SUM(E87:E112)</f>
        <v>0</v>
      </c>
      <c r="F113" s="329">
        <f t="shared" ref="F113:L113" si="21">SUM(F87:F112)</f>
        <v>0</v>
      </c>
      <c r="G113" s="329">
        <f t="shared" si="21"/>
        <v>0</v>
      </c>
      <c r="H113" s="329">
        <f t="shared" si="21"/>
        <v>0</v>
      </c>
      <c r="I113" s="329">
        <f t="shared" si="21"/>
        <v>0</v>
      </c>
      <c r="J113" s="329">
        <f t="shared" si="21"/>
        <v>0</v>
      </c>
      <c r="K113" s="329">
        <f t="shared" si="21"/>
        <v>0</v>
      </c>
      <c r="L113" s="329">
        <f t="shared" si="21"/>
        <v>0</v>
      </c>
      <c r="M113" s="358">
        <f>SUM(M87:M112)</f>
        <v>0</v>
      </c>
      <c r="N113" s="358">
        <f t="shared" ref="N113:T113" si="22">SUM(N87:N112)</f>
        <v>0</v>
      </c>
      <c r="O113" s="358">
        <f t="shared" si="22"/>
        <v>0</v>
      </c>
      <c r="P113" s="358">
        <f t="shared" si="22"/>
        <v>0</v>
      </c>
      <c r="Q113" s="358">
        <f t="shared" si="22"/>
        <v>0</v>
      </c>
      <c r="R113" s="358">
        <f t="shared" si="22"/>
        <v>0</v>
      </c>
      <c r="S113" s="358">
        <f t="shared" si="22"/>
        <v>0</v>
      </c>
      <c r="T113" s="358">
        <f t="shared" si="22"/>
        <v>0</v>
      </c>
      <c r="U113" s="357"/>
      <c r="V113" s="358">
        <f>SUM(V87:V112)</f>
        <v>0</v>
      </c>
      <c r="W113" s="358">
        <f t="shared" ref="W113:AC113" si="23">SUM(W87:W112)</f>
        <v>0</v>
      </c>
      <c r="X113" s="358">
        <f t="shared" si="23"/>
        <v>0</v>
      </c>
      <c r="Y113" s="358">
        <f t="shared" si="23"/>
        <v>0</v>
      </c>
      <c r="Z113" s="358">
        <f t="shared" si="23"/>
        <v>0</v>
      </c>
      <c r="AA113" s="358">
        <f t="shared" si="23"/>
        <v>0</v>
      </c>
      <c r="AB113" s="358">
        <f t="shared" si="23"/>
        <v>0</v>
      </c>
      <c r="AC113" s="358">
        <f t="shared" si="23"/>
        <v>0</v>
      </c>
      <c r="AD113" s="357"/>
      <c r="AE113" s="382">
        <f>SUM(AE87:AE112)</f>
        <v>0</v>
      </c>
      <c r="AF113" s="382">
        <f t="shared" ref="AF113:AJ113" si="24">SUM(AF87:AF112)</f>
        <v>0</v>
      </c>
      <c r="AG113" s="382">
        <f t="shared" si="24"/>
        <v>0</v>
      </c>
      <c r="AH113" s="382">
        <f t="shared" si="24"/>
        <v>0</v>
      </c>
      <c r="AI113" s="382">
        <f t="shared" si="24"/>
        <v>0</v>
      </c>
      <c r="AJ113" s="418">
        <f t="shared" si="24"/>
        <v>0</v>
      </c>
      <c r="AK113" s="399">
        <f>'BIG CHAIR'!CL111</f>
        <v>0</v>
      </c>
      <c r="AL113" s="400">
        <f>'Tea Table'!X201</f>
        <v>577.41666666666663</v>
      </c>
      <c r="AM113" s="401">
        <f>AH113+AK113+AL113</f>
        <v>577.41666666666663</v>
      </c>
    </row>
    <row r="114" spans="1:39" ht="24" thickBot="1">
      <c r="A114" s="721" t="s">
        <v>130</v>
      </c>
      <c r="B114" s="722" t="s">
        <v>68</v>
      </c>
      <c r="C114" s="287" t="s">
        <v>69</v>
      </c>
      <c r="D114" s="288" t="s">
        <v>70</v>
      </c>
      <c r="E114" s="88" t="s">
        <v>250</v>
      </c>
      <c r="F114" s="744" t="s">
        <v>394</v>
      </c>
      <c r="G114" s="30" t="s">
        <v>395</v>
      </c>
      <c r="H114" s="744" t="s">
        <v>92</v>
      </c>
      <c r="I114" s="744" t="s">
        <v>407</v>
      </c>
      <c r="J114" s="751" t="s">
        <v>433</v>
      </c>
      <c r="K114" s="783" t="s">
        <v>546</v>
      </c>
      <c r="L114" s="79" t="s">
        <v>462</v>
      </c>
      <c r="M114" s="80" t="s">
        <v>53</v>
      </c>
      <c r="N114" s="49"/>
      <c r="O114" s="49" t="s">
        <v>94</v>
      </c>
      <c r="P114" s="49"/>
      <c r="Q114" s="49" t="s">
        <v>190</v>
      </c>
      <c r="R114" s="49" t="s">
        <v>476</v>
      </c>
      <c r="S114" s="126" t="s">
        <v>548</v>
      </c>
      <c r="T114" s="171" t="s">
        <v>482</v>
      </c>
      <c r="U114" s="79"/>
      <c r="V114" s="80" t="s">
        <v>53</v>
      </c>
      <c r="W114" s="714"/>
      <c r="X114" s="49" t="s">
        <v>94</v>
      </c>
      <c r="Y114" s="103"/>
      <c r="Z114" s="104"/>
      <c r="AA114" s="716"/>
      <c r="AB114" s="121"/>
      <c r="AC114" s="717"/>
      <c r="AD114" s="370"/>
      <c r="AE114" s="371" t="s">
        <v>172</v>
      </c>
      <c r="AF114" s="372" t="s">
        <v>80</v>
      </c>
      <c r="AG114" s="385"/>
      <c r="AH114" s="386" t="s">
        <v>106</v>
      </c>
      <c r="AI114" s="385" t="s">
        <v>173</v>
      </c>
      <c r="AJ114" s="371" t="s">
        <v>108</v>
      </c>
      <c r="AK114" s="282"/>
      <c r="AL114" s="282"/>
      <c r="AM114" s="282"/>
    </row>
    <row r="115" spans="1:39" ht="20.25">
      <c r="A115" s="792" t="s">
        <v>131</v>
      </c>
      <c r="B115" s="826"/>
      <c r="C115" s="311"/>
      <c r="D115" s="806"/>
      <c r="E115" s="313"/>
      <c r="F115" s="314"/>
      <c r="G115" s="314"/>
      <c r="H115" s="314"/>
      <c r="I115" s="315"/>
      <c r="J115" s="315"/>
      <c r="K115" s="314"/>
      <c r="L115" s="349"/>
      <c r="M115" s="350"/>
      <c r="N115" s="315"/>
      <c r="O115" s="315"/>
      <c r="P115" s="315"/>
      <c r="Q115" s="315"/>
      <c r="R115" s="315"/>
      <c r="S115" s="315"/>
      <c r="T115" s="477"/>
      <c r="U115" s="349"/>
      <c r="V115" s="350"/>
      <c r="W115" s="315"/>
      <c r="X115" s="315"/>
      <c r="Y115" s="315"/>
      <c r="Z115" s="315"/>
      <c r="AA115" s="315"/>
      <c r="AB115" s="315"/>
      <c r="AC115" s="378"/>
      <c r="AD115" s="349"/>
      <c r="AE115" s="379">
        <f t="shared" ref="AE115:AE126" si="25">SUM(E115:AC115)</f>
        <v>0</v>
      </c>
      <c r="AF115" s="379"/>
      <c r="AG115" s="404"/>
      <c r="AH115" s="405">
        <f t="shared" ref="AH115:AH145" si="26">AE115+AF115</f>
        <v>0</v>
      </c>
      <c r="AI115" s="406"/>
      <c r="AJ115" s="407">
        <f>AH115+AI115</f>
        <v>0</v>
      </c>
      <c r="AK115" s="234"/>
      <c r="AL115" s="234"/>
      <c r="AM115" s="234"/>
    </row>
    <row r="116" spans="1:39" ht="20.25">
      <c r="A116" s="792" t="s">
        <v>131</v>
      </c>
      <c r="B116" s="822"/>
      <c r="C116" s="295"/>
      <c r="D116" s="807"/>
      <c r="E116" s="319"/>
      <c r="F116" s="320"/>
      <c r="G116" s="320"/>
      <c r="H116" s="320"/>
      <c r="I116" s="321"/>
      <c r="J116" s="321"/>
      <c r="K116" s="320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ref="AE116" si="27">SUM(E116:AC116)</f>
        <v>0</v>
      </c>
      <c r="AF116" s="381"/>
      <c r="AG116" s="408"/>
      <c r="AH116" s="409">
        <f t="shared" si="26"/>
        <v>0</v>
      </c>
      <c r="AI116" s="410"/>
      <c r="AJ116" s="411">
        <f>AH116+AI116</f>
        <v>0</v>
      </c>
      <c r="AK116" s="234"/>
      <c r="AL116" s="234"/>
      <c r="AM116" s="234"/>
    </row>
    <row r="117" spans="1:39" ht="20.25">
      <c r="A117" s="792" t="s">
        <v>131</v>
      </c>
      <c r="B117" s="824"/>
      <c r="C117" s="317"/>
      <c r="D117" s="807"/>
      <c r="E117" s="319"/>
      <c r="F117" s="320"/>
      <c r="G117" s="320"/>
      <c r="H117" s="320"/>
      <c r="I117" s="321"/>
      <c r="J117" s="3365"/>
      <c r="K117" s="234"/>
      <c r="L117" s="352"/>
      <c r="M117" s="353"/>
      <c r="N117" s="320"/>
      <c r="O117" s="320"/>
      <c r="P117" s="321"/>
      <c r="Q117" s="321"/>
      <c r="R117" s="321"/>
      <c r="S117" s="320"/>
      <c r="T117" s="351"/>
      <c r="U117" s="352"/>
      <c r="V117" s="353"/>
      <c r="W117" s="321"/>
      <c r="X117" s="321"/>
      <c r="Y117" s="321"/>
      <c r="Z117" s="321"/>
      <c r="AA117" s="321"/>
      <c r="AB117" s="321"/>
      <c r="AC117" s="380"/>
      <c r="AD117" s="352"/>
      <c r="AE117" s="381">
        <f t="shared" si="25"/>
        <v>0</v>
      </c>
      <c r="AF117" s="381"/>
      <c r="AG117" s="408"/>
      <c r="AH117" s="409">
        <f t="shared" si="26"/>
        <v>0</v>
      </c>
      <c r="AI117" s="410"/>
      <c r="AJ117" s="411">
        <f>AH117+AI117</f>
        <v>0</v>
      </c>
      <c r="AK117" s="234"/>
      <c r="AL117" s="234"/>
      <c r="AM117" s="234"/>
    </row>
    <row r="118" spans="1:39" ht="20.25">
      <c r="A118" s="792" t="s">
        <v>131</v>
      </c>
      <c r="B118" s="822"/>
      <c r="C118" s="295"/>
      <c r="D118" s="807"/>
      <c r="E118" s="319"/>
      <c r="F118" s="320"/>
      <c r="G118" s="320"/>
      <c r="H118" s="320"/>
      <c r="I118" s="321"/>
      <c r="J118" s="321"/>
      <c r="K118" s="320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si="25"/>
        <v>0</v>
      </c>
      <c r="AF118" s="381"/>
      <c r="AG118" s="408"/>
      <c r="AH118" s="409">
        <f t="shared" si="26"/>
        <v>0</v>
      </c>
      <c r="AI118" s="410"/>
      <c r="AJ118" s="411">
        <f>AH118+AI118</f>
        <v>0</v>
      </c>
      <c r="AK118" s="234"/>
      <c r="AL118" s="234"/>
      <c r="AM118" s="234"/>
    </row>
    <row r="119" spans="1:39" ht="20.25">
      <c r="A119" s="792" t="s">
        <v>131</v>
      </c>
      <c r="B119" s="710"/>
      <c r="C119" s="295"/>
      <c r="D119" s="807"/>
      <c r="E119" s="319"/>
      <c r="F119" s="320"/>
      <c r="G119" s="320"/>
      <c r="H119" s="320"/>
      <c r="I119" s="321"/>
      <c r="J119" s="321"/>
      <c r="K119" s="320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25"/>
        <v>0</v>
      </c>
      <c r="AF119" s="381"/>
      <c r="AG119" s="408"/>
      <c r="AH119" s="409">
        <f t="shared" si="26"/>
        <v>0</v>
      </c>
      <c r="AI119" s="410"/>
      <c r="AJ119" s="411">
        <f t="shared" ref="AJ119:AJ145" si="28">AH119+AI119</f>
        <v>0</v>
      </c>
      <c r="AK119" s="234"/>
      <c r="AL119" s="234"/>
      <c r="AM119" s="234"/>
    </row>
    <row r="120" spans="1:39" ht="21">
      <c r="A120" s="792" t="s">
        <v>131</v>
      </c>
      <c r="B120" s="710"/>
      <c r="C120" s="295"/>
      <c r="D120" s="807"/>
      <c r="E120" s="319"/>
      <c r="F120" s="320"/>
      <c r="G120" s="320"/>
      <c r="H120" s="321"/>
      <c r="I120" s="3164"/>
      <c r="J120" s="321"/>
      <c r="K120" s="320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25"/>
        <v>0</v>
      </c>
      <c r="AF120" s="381"/>
      <c r="AG120" s="408"/>
      <c r="AH120" s="409">
        <f t="shared" si="26"/>
        <v>0</v>
      </c>
      <c r="AI120" s="410"/>
      <c r="AJ120" s="411">
        <f t="shared" si="28"/>
        <v>0</v>
      </c>
      <c r="AK120" s="234"/>
      <c r="AL120" s="234"/>
      <c r="AM120" s="234"/>
    </row>
    <row r="121" spans="1:39" ht="20.25">
      <c r="A121" s="792" t="s">
        <v>131</v>
      </c>
      <c r="B121" s="822"/>
      <c r="C121" s="295"/>
      <c r="D121" s="807"/>
      <c r="E121" s="319"/>
      <c r="F121" s="320"/>
      <c r="G121" s="320"/>
      <c r="H121" s="320"/>
      <c r="I121" s="321"/>
      <c r="J121" s="321"/>
      <c r="K121" s="741"/>
      <c r="L121" s="352"/>
      <c r="M121" s="353"/>
      <c r="N121" s="321"/>
      <c r="O121" s="321"/>
      <c r="P121" s="321"/>
      <c r="Q121" s="321"/>
      <c r="R121" s="321"/>
      <c r="S121" s="321"/>
      <c r="T121" s="832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ref="AE121" si="29">SUM(E121:AC121)</f>
        <v>0</v>
      </c>
      <c r="AF121" s="381"/>
      <c r="AG121" s="408"/>
      <c r="AH121" s="409">
        <f t="shared" si="26"/>
        <v>0</v>
      </c>
      <c r="AI121" s="410"/>
      <c r="AJ121" s="411">
        <f t="shared" si="28"/>
        <v>0</v>
      </c>
      <c r="AK121" s="234"/>
      <c r="AL121" s="234"/>
      <c r="AM121" s="234"/>
    </row>
    <row r="122" spans="1:39" ht="20.25">
      <c r="A122" s="792" t="s">
        <v>131</v>
      </c>
      <c r="B122" s="710"/>
      <c r="C122" s="295"/>
      <c r="D122" s="807"/>
      <c r="E122" s="319"/>
      <c r="F122" s="320"/>
      <c r="G122" s="320"/>
      <c r="H122" s="320"/>
      <c r="I122" s="321"/>
      <c r="J122" s="321"/>
      <c r="K122" s="320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25"/>
        <v>0</v>
      </c>
      <c r="AF122" s="381"/>
      <c r="AG122" s="408"/>
      <c r="AH122" s="409">
        <f t="shared" si="26"/>
        <v>0</v>
      </c>
      <c r="AI122" s="410"/>
      <c r="AJ122" s="411">
        <f t="shared" si="28"/>
        <v>0</v>
      </c>
      <c r="AK122" s="234"/>
      <c r="AL122" s="234"/>
      <c r="AM122" s="234"/>
    </row>
    <row r="123" spans="1:39" ht="20.25">
      <c r="A123" s="792" t="s">
        <v>131</v>
      </c>
      <c r="B123" s="822"/>
      <c r="C123" s="295"/>
      <c r="D123" s="807"/>
      <c r="E123" s="319"/>
      <c r="F123" s="320"/>
      <c r="G123" s="320"/>
      <c r="H123" s="320"/>
      <c r="I123" s="321"/>
      <c r="J123" s="321"/>
      <c r="K123" s="741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25"/>
        <v>0</v>
      </c>
      <c r="AF123" s="381"/>
      <c r="AG123" s="408"/>
      <c r="AH123" s="409">
        <f t="shared" si="26"/>
        <v>0</v>
      </c>
      <c r="AI123" s="410"/>
      <c r="AJ123" s="411">
        <f t="shared" si="28"/>
        <v>0</v>
      </c>
      <c r="AK123" s="234"/>
      <c r="AL123" s="234"/>
      <c r="AM123" s="234"/>
    </row>
    <row r="124" spans="1:39" ht="20.25">
      <c r="A124" s="792" t="s">
        <v>131</v>
      </c>
      <c r="B124" s="822"/>
      <c r="C124" s="295"/>
      <c r="D124" s="807"/>
      <c r="E124" s="319"/>
      <c r="F124" s="320"/>
      <c r="G124" s="320"/>
      <c r="H124" s="320"/>
      <c r="I124" s="321"/>
      <c r="J124" s="321"/>
      <c r="K124" s="741"/>
      <c r="L124" s="352"/>
      <c r="M124" s="353"/>
      <c r="N124" s="321"/>
      <c r="O124" s="321"/>
      <c r="P124" s="321"/>
      <c r="Q124" s="321"/>
      <c r="R124" s="582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25"/>
        <v>0</v>
      </c>
      <c r="AF124" s="381"/>
      <c r="AG124" s="408"/>
      <c r="AH124" s="409">
        <f t="shared" si="26"/>
        <v>0</v>
      </c>
      <c r="AI124" s="410"/>
      <c r="AJ124" s="411">
        <f t="shared" si="28"/>
        <v>0</v>
      </c>
      <c r="AK124" s="234"/>
      <c r="AL124" s="234"/>
      <c r="AM124" s="234"/>
    </row>
    <row r="125" spans="1:39" ht="20.25">
      <c r="A125" s="792" t="s">
        <v>131</v>
      </c>
      <c r="B125" s="822"/>
      <c r="C125" s="295"/>
      <c r="D125" s="807"/>
      <c r="E125" s="829"/>
      <c r="F125" s="741"/>
      <c r="G125" s="741"/>
      <c r="H125" s="741"/>
      <c r="I125" s="582"/>
      <c r="J125" s="582"/>
      <c r="K125" s="741"/>
      <c r="L125" s="830"/>
      <c r="M125" s="831"/>
      <c r="N125" s="582"/>
      <c r="O125" s="582"/>
      <c r="P125" s="582"/>
      <c r="Q125" s="582"/>
      <c r="R125" s="582"/>
      <c r="S125" s="582"/>
      <c r="T125" s="832"/>
      <c r="U125" s="830"/>
      <c r="V125" s="829"/>
      <c r="W125" s="741"/>
      <c r="X125" s="741"/>
      <c r="Y125" s="582"/>
      <c r="Z125" s="582"/>
      <c r="AA125" s="582"/>
      <c r="AB125" s="741"/>
      <c r="AC125" s="833"/>
      <c r="AD125" s="352"/>
      <c r="AE125" s="381">
        <f t="shared" si="25"/>
        <v>0</v>
      </c>
      <c r="AF125" s="381"/>
      <c r="AG125" s="408"/>
      <c r="AH125" s="409">
        <f t="shared" si="26"/>
        <v>0</v>
      </c>
      <c r="AI125" s="410"/>
      <c r="AJ125" s="411">
        <f t="shared" si="28"/>
        <v>0</v>
      </c>
      <c r="AK125" s="234"/>
      <c r="AL125" s="234"/>
      <c r="AM125" s="234"/>
    </row>
    <row r="126" spans="1:39" ht="20.25">
      <c r="A126" s="792" t="s">
        <v>131</v>
      </c>
      <c r="B126" s="822"/>
      <c r="C126" s="295"/>
      <c r="D126" s="807"/>
      <c r="E126" s="829"/>
      <c r="F126" s="741"/>
      <c r="G126" s="741"/>
      <c r="H126" s="741"/>
      <c r="I126" s="582"/>
      <c r="J126" s="582"/>
      <c r="K126" s="741"/>
      <c r="L126" s="830"/>
      <c r="M126" s="831"/>
      <c r="N126" s="582"/>
      <c r="O126" s="582"/>
      <c r="P126" s="582"/>
      <c r="Q126" s="582"/>
      <c r="R126" s="582"/>
      <c r="S126" s="582"/>
      <c r="T126" s="832"/>
      <c r="U126" s="830"/>
      <c r="V126" s="829"/>
      <c r="W126" s="741"/>
      <c r="X126" s="741"/>
      <c r="Y126" s="582"/>
      <c r="Z126" s="582"/>
      <c r="AA126" s="582"/>
      <c r="AB126" s="741"/>
      <c r="AC126" s="833"/>
      <c r="AD126" s="352"/>
      <c r="AE126" s="381">
        <f t="shared" si="25"/>
        <v>0</v>
      </c>
      <c r="AF126" s="381"/>
      <c r="AG126" s="408"/>
      <c r="AH126" s="409">
        <f t="shared" si="26"/>
        <v>0</v>
      </c>
      <c r="AI126" s="410"/>
      <c r="AJ126" s="411">
        <f t="shared" si="28"/>
        <v>0</v>
      </c>
      <c r="AK126" s="234"/>
      <c r="AL126" s="234"/>
      <c r="AM126" s="234"/>
    </row>
    <row r="127" spans="1:39" ht="20.25">
      <c r="A127" s="792" t="s">
        <v>131</v>
      </c>
      <c r="B127" s="822"/>
      <c r="C127" s="295"/>
      <c r="D127" s="807"/>
      <c r="E127" s="829"/>
      <c r="F127" s="741"/>
      <c r="G127" s="741"/>
      <c r="H127" s="741"/>
      <c r="I127" s="582"/>
      <c r="J127" s="582"/>
      <c r="K127" s="741"/>
      <c r="L127" s="830"/>
      <c r="M127" s="831"/>
      <c r="N127" s="582"/>
      <c r="O127" s="582"/>
      <c r="P127" s="582"/>
      <c r="Q127" s="582"/>
      <c r="R127" s="582"/>
      <c r="S127" s="582"/>
      <c r="T127" s="832"/>
      <c r="U127" s="830"/>
      <c r="V127" s="829"/>
      <c r="W127" s="741"/>
      <c r="X127" s="741"/>
      <c r="Y127" s="582"/>
      <c r="Z127" s="582"/>
      <c r="AA127" s="582"/>
      <c r="AB127" s="741"/>
      <c r="AC127" s="833"/>
      <c r="AD127" s="352"/>
      <c r="AE127" s="381">
        <f t="shared" ref="AE127:AE145" si="30">SUM(E127:AC127)</f>
        <v>0</v>
      </c>
      <c r="AF127" s="381"/>
      <c r="AG127" s="408"/>
      <c r="AH127" s="409">
        <f t="shared" si="26"/>
        <v>0</v>
      </c>
      <c r="AI127" s="410"/>
      <c r="AJ127" s="411">
        <f t="shared" si="28"/>
        <v>0</v>
      </c>
      <c r="AK127" s="234"/>
      <c r="AL127" s="234"/>
      <c r="AM127" s="234"/>
    </row>
    <row r="128" spans="1:39" ht="21" thickBot="1">
      <c r="A128" s="792" t="s">
        <v>131</v>
      </c>
      <c r="B128" s="822"/>
      <c r="C128" s="295"/>
      <c r="D128" s="807"/>
      <c r="E128" s="829"/>
      <c r="F128" s="741"/>
      <c r="G128" s="741"/>
      <c r="H128" s="741"/>
      <c r="I128" s="582"/>
      <c r="J128" s="582"/>
      <c r="K128" s="741"/>
      <c r="L128" s="830"/>
      <c r="M128" s="831"/>
      <c r="N128" s="582"/>
      <c r="O128" s="582"/>
      <c r="P128" s="582"/>
      <c r="Q128" s="582"/>
      <c r="R128" s="582"/>
      <c r="S128" s="582"/>
      <c r="T128" s="832"/>
      <c r="U128" s="830"/>
      <c r="V128" s="829"/>
      <c r="W128" s="741"/>
      <c r="X128" s="741"/>
      <c r="Y128" s="582"/>
      <c r="Z128" s="582"/>
      <c r="AA128" s="582"/>
      <c r="AB128" s="741"/>
      <c r="AC128" s="833"/>
      <c r="AD128" s="352"/>
      <c r="AE128" s="381">
        <f t="shared" si="30"/>
        <v>0</v>
      </c>
      <c r="AF128" s="381"/>
      <c r="AG128" s="408"/>
      <c r="AH128" s="409">
        <f t="shared" si="26"/>
        <v>0</v>
      </c>
      <c r="AI128" s="410"/>
      <c r="AJ128" s="411">
        <f t="shared" si="28"/>
        <v>0</v>
      </c>
      <c r="AK128" s="234"/>
      <c r="AL128" s="234"/>
      <c r="AM128" s="234"/>
    </row>
    <row r="129" spans="1:39" ht="21" thickBot="1">
      <c r="A129" s="792" t="s">
        <v>131</v>
      </c>
      <c r="B129" s="827"/>
      <c r="C129" s="323"/>
      <c r="D129" s="808"/>
      <c r="E129" s="325"/>
      <c r="F129" s="297"/>
      <c r="G129" s="297"/>
      <c r="H129" s="297"/>
      <c r="I129" s="298"/>
      <c r="J129" s="298"/>
      <c r="K129" s="297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1193">
        <f t="shared" si="30"/>
        <v>0</v>
      </c>
      <c r="AF129" s="1194"/>
      <c r="AG129" s="1195"/>
      <c r="AH129" s="1196">
        <f t="shared" si="26"/>
        <v>0</v>
      </c>
      <c r="AI129" s="1197"/>
      <c r="AJ129" s="1198">
        <f t="shared" si="28"/>
        <v>0</v>
      </c>
      <c r="AK129" s="414" t="s">
        <v>8</v>
      </c>
      <c r="AL129" s="397" t="s">
        <v>23</v>
      </c>
      <c r="AM129" s="415" t="s">
        <v>174</v>
      </c>
    </row>
    <row r="130" spans="1:39" ht="21" thickBot="1">
      <c r="A130" s="792" t="s">
        <v>131</v>
      </c>
      <c r="B130" s="827"/>
      <c r="C130" s="323"/>
      <c r="D130" s="808"/>
      <c r="E130" s="325"/>
      <c r="F130" s="297"/>
      <c r="G130" s="297"/>
      <c r="H130" s="297"/>
      <c r="I130" s="298"/>
      <c r="J130" s="298"/>
      <c r="K130" s="297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30"/>
        <v>0</v>
      </c>
      <c r="AF130" s="377"/>
      <c r="AG130" s="390"/>
      <c r="AH130" s="391">
        <f t="shared" si="26"/>
        <v>0</v>
      </c>
      <c r="AI130" s="412"/>
      <c r="AJ130" s="413">
        <f t="shared" si="28"/>
        <v>0</v>
      </c>
      <c r="AK130" s="414" t="s">
        <v>8</v>
      </c>
      <c r="AL130" s="397" t="s">
        <v>23</v>
      </c>
      <c r="AM130" s="415" t="s">
        <v>174</v>
      </c>
    </row>
    <row r="131" spans="1:39" ht="21" thickBot="1">
      <c r="A131" s="792" t="s">
        <v>131</v>
      </c>
      <c r="B131" s="827"/>
      <c r="C131" s="323"/>
      <c r="D131" s="808"/>
      <c r="E131" s="325"/>
      <c r="F131" s="297"/>
      <c r="G131" s="297"/>
      <c r="H131" s="297"/>
      <c r="I131" s="298"/>
      <c r="J131" s="298"/>
      <c r="K131" s="297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si="30"/>
        <v>0</v>
      </c>
      <c r="AF131" s="377"/>
      <c r="AG131" s="390"/>
      <c r="AH131" s="391">
        <f t="shared" si="26"/>
        <v>0</v>
      </c>
      <c r="AI131" s="412"/>
      <c r="AJ131" s="413">
        <f t="shared" si="28"/>
        <v>0</v>
      </c>
      <c r="AK131" s="414" t="s">
        <v>8</v>
      </c>
      <c r="AL131" s="397" t="s">
        <v>23</v>
      </c>
      <c r="AM131" s="415" t="s">
        <v>174</v>
      </c>
    </row>
    <row r="132" spans="1:39" ht="21" thickBot="1">
      <c r="A132" s="792" t="s">
        <v>131</v>
      </c>
      <c r="B132" s="827"/>
      <c r="C132" s="323"/>
      <c r="D132" s="808"/>
      <c r="E132" s="325"/>
      <c r="F132" s="297"/>
      <c r="G132" s="297"/>
      <c r="H132" s="297"/>
      <c r="I132" s="298"/>
      <c r="J132" s="298"/>
      <c r="K132" s="297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30"/>
        <v>0</v>
      </c>
      <c r="AF132" s="377"/>
      <c r="AG132" s="390"/>
      <c r="AH132" s="391">
        <f t="shared" si="26"/>
        <v>0</v>
      </c>
      <c r="AI132" s="412"/>
      <c r="AJ132" s="413">
        <f t="shared" si="28"/>
        <v>0</v>
      </c>
      <c r="AK132" s="414" t="s">
        <v>8</v>
      </c>
      <c r="AL132" s="397" t="s">
        <v>23</v>
      </c>
      <c r="AM132" s="415" t="s">
        <v>174</v>
      </c>
    </row>
    <row r="133" spans="1:39" ht="21" thickBot="1">
      <c r="A133" s="792" t="s">
        <v>131</v>
      </c>
      <c r="B133" s="827"/>
      <c r="C133" s="323"/>
      <c r="D133" s="808"/>
      <c r="E133" s="325"/>
      <c r="F133" s="297"/>
      <c r="G133" s="297"/>
      <c r="H133" s="297"/>
      <c r="I133" s="298"/>
      <c r="J133" s="298"/>
      <c r="K133" s="297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30"/>
        <v>0</v>
      </c>
      <c r="AF133" s="377"/>
      <c r="AG133" s="390"/>
      <c r="AH133" s="391">
        <f t="shared" si="26"/>
        <v>0</v>
      </c>
      <c r="AI133" s="412"/>
      <c r="AJ133" s="413">
        <f t="shared" si="28"/>
        <v>0</v>
      </c>
      <c r="AK133" s="414" t="s">
        <v>8</v>
      </c>
      <c r="AL133" s="397" t="s">
        <v>23</v>
      </c>
      <c r="AM133" s="415" t="s">
        <v>174</v>
      </c>
    </row>
    <row r="134" spans="1:39" ht="21" thickBot="1">
      <c r="A134" s="792" t="s">
        <v>131</v>
      </c>
      <c r="B134" s="827"/>
      <c r="C134" s="323"/>
      <c r="D134" s="808"/>
      <c r="E134" s="325"/>
      <c r="F134" s="297"/>
      <c r="G134" s="297"/>
      <c r="H134" s="297"/>
      <c r="I134" s="298"/>
      <c r="J134" s="298"/>
      <c r="K134" s="29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30"/>
        <v>0</v>
      </c>
      <c r="AF134" s="377"/>
      <c r="AG134" s="390"/>
      <c r="AH134" s="391">
        <f t="shared" si="26"/>
        <v>0</v>
      </c>
      <c r="AI134" s="412"/>
      <c r="AJ134" s="413">
        <f t="shared" si="28"/>
        <v>0</v>
      </c>
      <c r="AK134" s="414" t="s">
        <v>8</v>
      </c>
      <c r="AL134" s="397" t="s">
        <v>23</v>
      </c>
      <c r="AM134" s="415" t="s">
        <v>174</v>
      </c>
    </row>
    <row r="135" spans="1:39" ht="21" thickBot="1">
      <c r="A135" s="792" t="s">
        <v>131</v>
      </c>
      <c r="B135" s="827"/>
      <c r="C135" s="323"/>
      <c r="D135" s="808"/>
      <c r="E135" s="325"/>
      <c r="F135" s="297"/>
      <c r="G135" s="297"/>
      <c r="H135" s="297"/>
      <c r="I135" s="298"/>
      <c r="J135" s="298"/>
      <c r="K135" s="297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30"/>
        <v>0</v>
      </c>
      <c r="AF135" s="377"/>
      <c r="AG135" s="390"/>
      <c r="AH135" s="391">
        <f t="shared" si="26"/>
        <v>0</v>
      </c>
      <c r="AI135" s="412"/>
      <c r="AJ135" s="413">
        <f t="shared" si="28"/>
        <v>0</v>
      </c>
      <c r="AK135" s="414" t="s">
        <v>8</v>
      </c>
      <c r="AL135" s="397" t="s">
        <v>23</v>
      </c>
      <c r="AM135" s="415" t="s">
        <v>174</v>
      </c>
    </row>
    <row r="136" spans="1:39" ht="21" thickBot="1">
      <c r="A136" s="792" t="s">
        <v>131</v>
      </c>
      <c r="B136" s="827"/>
      <c r="C136" s="323"/>
      <c r="D136" s="808"/>
      <c r="E136" s="325"/>
      <c r="F136" s="297"/>
      <c r="G136" s="297"/>
      <c r="H136" s="297"/>
      <c r="I136" s="298"/>
      <c r="J136" s="298"/>
      <c r="K136" s="297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6">
        <f t="shared" si="30"/>
        <v>0</v>
      </c>
      <c r="AF136" s="377"/>
      <c r="AG136" s="390"/>
      <c r="AH136" s="391">
        <f t="shared" si="26"/>
        <v>0</v>
      </c>
      <c r="AI136" s="412"/>
      <c r="AJ136" s="413">
        <f t="shared" si="28"/>
        <v>0</v>
      </c>
      <c r="AK136" s="414" t="s">
        <v>8</v>
      </c>
      <c r="AL136" s="397" t="s">
        <v>23</v>
      </c>
      <c r="AM136" s="415" t="s">
        <v>174</v>
      </c>
    </row>
    <row r="137" spans="1:39" ht="21" thickBot="1">
      <c r="A137" s="792" t="s">
        <v>131</v>
      </c>
      <c r="B137" s="827"/>
      <c r="C137" s="323"/>
      <c r="D137" s="808"/>
      <c r="E137" s="325"/>
      <c r="F137" s="297"/>
      <c r="G137" s="297"/>
      <c r="H137" s="297"/>
      <c r="I137" s="298"/>
      <c r="J137" s="298"/>
      <c r="K137" s="297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6">
        <f t="shared" si="30"/>
        <v>0</v>
      </c>
      <c r="AF137" s="377"/>
      <c r="AG137" s="390"/>
      <c r="AH137" s="391">
        <f t="shared" si="26"/>
        <v>0</v>
      </c>
      <c r="AI137" s="412"/>
      <c r="AJ137" s="413">
        <f t="shared" si="28"/>
        <v>0</v>
      </c>
      <c r="AK137" s="414" t="s">
        <v>8</v>
      </c>
      <c r="AL137" s="397" t="s">
        <v>23</v>
      </c>
      <c r="AM137" s="415" t="s">
        <v>174</v>
      </c>
    </row>
    <row r="138" spans="1:39" ht="21" thickBot="1">
      <c r="A138" s="792" t="s">
        <v>131</v>
      </c>
      <c r="B138" s="827"/>
      <c r="C138" s="323"/>
      <c r="D138" s="808"/>
      <c r="E138" s="325"/>
      <c r="F138" s="297"/>
      <c r="G138" s="297"/>
      <c r="H138" s="297"/>
      <c r="I138" s="298"/>
      <c r="J138" s="298"/>
      <c r="K138" s="297"/>
      <c r="L138" s="355"/>
      <c r="M138" s="343"/>
      <c r="N138" s="298"/>
      <c r="O138" s="298"/>
      <c r="P138" s="298"/>
      <c r="Q138" s="298"/>
      <c r="R138" s="298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6">
        <f t="shared" si="30"/>
        <v>0</v>
      </c>
      <c r="AF138" s="377"/>
      <c r="AG138" s="390"/>
      <c r="AH138" s="391">
        <f t="shared" si="26"/>
        <v>0</v>
      </c>
      <c r="AI138" s="412"/>
      <c r="AJ138" s="413">
        <f t="shared" si="28"/>
        <v>0</v>
      </c>
      <c r="AK138" s="414" t="s">
        <v>8</v>
      </c>
      <c r="AL138" s="397" t="s">
        <v>23</v>
      </c>
      <c r="AM138" s="415" t="s">
        <v>174</v>
      </c>
    </row>
    <row r="139" spans="1:39" ht="21" thickBot="1">
      <c r="A139" s="792" t="s">
        <v>131</v>
      </c>
      <c r="B139" s="827"/>
      <c r="C139" s="323"/>
      <c r="D139" s="808"/>
      <c r="E139" s="325"/>
      <c r="F139" s="297"/>
      <c r="G139" s="297"/>
      <c r="H139" s="297"/>
      <c r="I139" s="298"/>
      <c r="J139" s="298"/>
      <c r="K139" s="297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6">
        <f t="shared" si="30"/>
        <v>0</v>
      </c>
      <c r="AF139" s="377"/>
      <c r="AG139" s="390"/>
      <c r="AH139" s="391">
        <f t="shared" si="26"/>
        <v>0</v>
      </c>
      <c r="AI139" s="412"/>
      <c r="AJ139" s="413">
        <f t="shared" si="28"/>
        <v>0</v>
      </c>
      <c r="AK139" s="414" t="s">
        <v>8</v>
      </c>
      <c r="AL139" s="397" t="s">
        <v>23</v>
      </c>
      <c r="AM139" s="415" t="s">
        <v>174</v>
      </c>
    </row>
    <row r="140" spans="1:39" ht="21" thickBot="1">
      <c r="A140" s="792" t="s">
        <v>131</v>
      </c>
      <c r="B140" s="827"/>
      <c r="C140" s="323"/>
      <c r="D140" s="808"/>
      <c r="E140" s="325"/>
      <c r="F140" s="297"/>
      <c r="G140" s="297"/>
      <c r="H140" s="297"/>
      <c r="I140" s="298"/>
      <c r="J140" s="298"/>
      <c r="K140" s="297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30"/>
        <v>0</v>
      </c>
      <c r="AF140" s="377"/>
      <c r="AG140" s="390"/>
      <c r="AH140" s="391">
        <f t="shared" si="26"/>
        <v>0</v>
      </c>
      <c r="AI140" s="412"/>
      <c r="AJ140" s="413">
        <f t="shared" si="28"/>
        <v>0</v>
      </c>
      <c r="AK140" s="414" t="s">
        <v>8</v>
      </c>
      <c r="AL140" s="397" t="s">
        <v>23</v>
      </c>
      <c r="AM140" s="415" t="s">
        <v>174</v>
      </c>
    </row>
    <row r="141" spans="1:39" ht="21" thickBot="1">
      <c r="A141" s="792" t="s">
        <v>131</v>
      </c>
      <c r="B141" s="827"/>
      <c r="C141" s="323"/>
      <c r="D141" s="808"/>
      <c r="E141" s="325"/>
      <c r="F141" s="297"/>
      <c r="G141" s="297"/>
      <c r="H141" s="297"/>
      <c r="I141" s="298"/>
      <c r="J141" s="298"/>
      <c r="K141" s="297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si="30"/>
        <v>0</v>
      </c>
      <c r="AF141" s="377"/>
      <c r="AG141" s="390"/>
      <c r="AH141" s="391">
        <f t="shared" si="26"/>
        <v>0</v>
      </c>
      <c r="AI141" s="412"/>
      <c r="AJ141" s="413">
        <f t="shared" si="28"/>
        <v>0</v>
      </c>
      <c r="AK141" s="414" t="s">
        <v>8</v>
      </c>
      <c r="AL141" s="397" t="s">
        <v>23</v>
      </c>
      <c r="AM141" s="415" t="s">
        <v>174</v>
      </c>
    </row>
    <row r="142" spans="1:39" ht="21" thickBot="1">
      <c r="A142" s="792" t="s">
        <v>131</v>
      </c>
      <c r="B142" s="827"/>
      <c r="C142" s="323"/>
      <c r="D142" s="324"/>
      <c r="E142" s="325"/>
      <c r="F142" s="297"/>
      <c r="G142" s="297"/>
      <c r="H142" s="297"/>
      <c r="I142" s="298"/>
      <c r="J142" s="298"/>
      <c r="K142" s="297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6">
        <f t="shared" si="30"/>
        <v>0</v>
      </c>
      <c r="AF142" s="377"/>
      <c r="AG142" s="390"/>
      <c r="AH142" s="391">
        <f t="shared" si="26"/>
        <v>0</v>
      </c>
      <c r="AI142" s="412"/>
      <c r="AJ142" s="413">
        <f t="shared" si="28"/>
        <v>0</v>
      </c>
      <c r="AK142" s="414" t="s">
        <v>8</v>
      </c>
      <c r="AL142" s="397" t="s">
        <v>23</v>
      </c>
      <c r="AM142" s="415" t="s">
        <v>174</v>
      </c>
    </row>
    <row r="143" spans="1:39" ht="20.25" customHeight="1" thickBot="1">
      <c r="A143" s="792" t="s">
        <v>131</v>
      </c>
      <c r="B143" s="827"/>
      <c r="C143" s="323"/>
      <c r="D143" s="324"/>
      <c r="E143" s="325"/>
      <c r="F143" s="297"/>
      <c r="G143" s="297"/>
      <c r="H143" s="297"/>
      <c r="I143" s="298"/>
      <c r="J143" s="298"/>
      <c r="K143" s="297"/>
      <c r="L143" s="355"/>
      <c r="M143" s="343"/>
      <c r="N143" s="298"/>
      <c r="O143" s="298"/>
      <c r="P143" s="298"/>
      <c r="Q143" s="298"/>
      <c r="R143" s="298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6">
        <f t="shared" si="30"/>
        <v>0</v>
      </c>
      <c r="AF143" s="377"/>
      <c r="AG143" s="390"/>
      <c r="AH143" s="391">
        <f t="shared" si="26"/>
        <v>0</v>
      </c>
      <c r="AI143" s="412"/>
      <c r="AJ143" s="413">
        <f t="shared" si="28"/>
        <v>0</v>
      </c>
      <c r="AK143" s="414" t="s">
        <v>8</v>
      </c>
      <c r="AL143" s="397" t="s">
        <v>23</v>
      </c>
      <c r="AM143" s="415" t="s">
        <v>174</v>
      </c>
    </row>
    <row r="144" spans="1:39" ht="20.25" customHeight="1" thickBot="1">
      <c r="A144" s="792" t="s">
        <v>131</v>
      </c>
      <c r="B144" s="827"/>
      <c r="C144" s="323"/>
      <c r="D144" s="324"/>
      <c r="E144" s="325"/>
      <c r="F144" s="297"/>
      <c r="G144" s="297"/>
      <c r="H144" s="297"/>
      <c r="I144" s="298"/>
      <c r="J144" s="298"/>
      <c r="K144" s="297"/>
      <c r="L144" s="355"/>
      <c r="M144" s="343"/>
      <c r="N144" s="298"/>
      <c r="O144" s="298"/>
      <c r="P144" s="298"/>
      <c r="Q144" s="298"/>
      <c r="R144" s="298"/>
      <c r="S144" s="298"/>
      <c r="T144" s="367"/>
      <c r="U144" s="355"/>
      <c r="V144" s="325"/>
      <c r="W144" s="297"/>
      <c r="X144" s="297"/>
      <c r="Y144" s="298"/>
      <c r="Z144" s="298"/>
      <c r="AA144" s="298"/>
      <c r="AB144" s="297"/>
      <c r="AC144" s="375"/>
      <c r="AD144" s="355"/>
      <c r="AE144" s="376">
        <f t="shared" si="30"/>
        <v>0</v>
      </c>
      <c r="AF144" s="377"/>
      <c r="AG144" s="390"/>
      <c r="AH144" s="391">
        <f t="shared" si="26"/>
        <v>0</v>
      </c>
      <c r="AI144" s="412"/>
      <c r="AJ144" s="413">
        <f t="shared" si="28"/>
        <v>0</v>
      </c>
      <c r="AK144" s="414" t="s">
        <v>8</v>
      </c>
      <c r="AL144" s="397" t="s">
        <v>23</v>
      </c>
      <c r="AM144" s="415" t="s">
        <v>174</v>
      </c>
    </row>
    <row r="145" spans="1:39" ht="21" thickBot="1">
      <c r="A145" s="792" t="s">
        <v>131</v>
      </c>
      <c r="B145" s="827"/>
      <c r="C145" s="323"/>
      <c r="D145" s="324"/>
      <c r="E145" s="325"/>
      <c r="F145" s="297"/>
      <c r="G145" s="297"/>
      <c r="H145" s="297"/>
      <c r="I145" s="298"/>
      <c r="J145" s="298"/>
      <c r="K145" s="297"/>
      <c r="L145" s="355"/>
      <c r="M145" s="343"/>
      <c r="N145" s="298"/>
      <c r="O145" s="298"/>
      <c r="P145" s="298"/>
      <c r="Q145" s="298"/>
      <c r="R145" s="298"/>
      <c r="S145" s="298"/>
      <c r="T145" s="367"/>
      <c r="U145" s="355"/>
      <c r="V145" s="325"/>
      <c r="W145" s="297"/>
      <c r="X145" s="297"/>
      <c r="Y145" s="298"/>
      <c r="Z145" s="298"/>
      <c r="AA145" s="298"/>
      <c r="AB145" s="297"/>
      <c r="AC145" s="375"/>
      <c r="AD145" s="355"/>
      <c r="AE145" s="376">
        <f t="shared" si="30"/>
        <v>0</v>
      </c>
      <c r="AF145" s="377"/>
      <c r="AG145" s="390"/>
      <c r="AH145" s="391">
        <f t="shared" si="26"/>
        <v>0</v>
      </c>
      <c r="AI145" s="412"/>
      <c r="AJ145" s="413">
        <f t="shared" si="28"/>
        <v>0</v>
      </c>
      <c r="AK145" s="414" t="s">
        <v>8</v>
      </c>
      <c r="AL145" s="397" t="s">
        <v>23</v>
      </c>
      <c r="AM145" s="415" t="s">
        <v>174</v>
      </c>
    </row>
    <row r="146" spans="1:39" ht="19.5" thickBot="1">
      <c r="A146" s="828" t="s">
        <v>132</v>
      </c>
      <c r="B146" s="327"/>
      <c r="C146" s="327"/>
      <c r="D146" s="328"/>
      <c r="E146" s="329">
        <f>SUM(E115:E145)</f>
        <v>0</v>
      </c>
      <c r="F146" s="329">
        <f t="shared" ref="F146:AJ146" si="31">SUM(F115:F145)</f>
        <v>0</v>
      </c>
      <c r="G146" s="329">
        <f t="shared" si="31"/>
        <v>0</v>
      </c>
      <c r="H146" s="329">
        <f t="shared" si="31"/>
        <v>0</v>
      </c>
      <c r="I146" s="329">
        <f t="shared" si="31"/>
        <v>0</v>
      </c>
      <c r="J146" s="329">
        <f t="shared" si="31"/>
        <v>0</v>
      </c>
      <c r="K146" s="329">
        <f t="shared" si="31"/>
        <v>0</v>
      </c>
      <c r="L146" s="329">
        <f t="shared" si="31"/>
        <v>0</v>
      </c>
      <c r="M146" s="329">
        <f t="shared" si="31"/>
        <v>0</v>
      </c>
      <c r="N146" s="329">
        <f t="shared" si="31"/>
        <v>0</v>
      </c>
      <c r="O146" s="329">
        <f t="shared" si="31"/>
        <v>0</v>
      </c>
      <c r="P146" s="329">
        <f t="shared" si="31"/>
        <v>0</v>
      </c>
      <c r="Q146" s="329">
        <f t="shared" si="31"/>
        <v>0</v>
      </c>
      <c r="R146" s="329">
        <f t="shared" si="31"/>
        <v>0</v>
      </c>
      <c r="S146" s="329">
        <f t="shared" si="31"/>
        <v>0</v>
      </c>
      <c r="T146" s="329">
        <f t="shared" si="31"/>
        <v>0</v>
      </c>
      <c r="U146" s="329">
        <f t="shared" si="31"/>
        <v>0</v>
      </c>
      <c r="V146" s="329">
        <f t="shared" si="31"/>
        <v>0</v>
      </c>
      <c r="W146" s="329">
        <f t="shared" si="31"/>
        <v>0</v>
      </c>
      <c r="X146" s="329">
        <f t="shared" si="31"/>
        <v>0</v>
      </c>
      <c r="Y146" s="329">
        <f t="shared" si="31"/>
        <v>0</v>
      </c>
      <c r="Z146" s="329">
        <f t="shared" si="31"/>
        <v>0</v>
      </c>
      <c r="AA146" s="329">
        <f t="shared" si="31"/>
        <v>0</v>
      </c>
      <c r="AB146" s="329">
        <f t="shared" si="31"/>
        <v>0</v>
      </c>
      <c r="AC146" s="329">
        <f t="shared" si="31"/>
        <v>0</v>
      </c>
      <c r="AD146" s="329">
        <f t="shared" si="31"/>
        <v>0</v>
      </c>
      <c r="AE146" s="329">
        <f t="shared" si="31"/>
        <v>0</v>
      </c>
      <c r="AF146" s="329">
        <f t="shared" si="31"/>
        <v>0</v>
      </c>
      <c r="AG146" s="329">
        <f t="shared" si="31"/>
        <v>0</v>
      </c>
      <c r="AH146" s="329">
        <f t="shared" si="31"/>
        <v>0</v>
      </c>
      <c r="AI146" s="329">
        <f t="shared" si="31"/>
        <v>0</v>
      </c>
      <c r="AJ146" s="329">
        <f t="shared" si="31"/>
        <v>0</v>
      </c>
      <c r="AK146" s="399">
        <f>'BIG CHAIR'!CL132</f>
        <v>0</v>
      </c>
      <c r="AL146" s="400">
        <f>'Tea Table'!X224</f>
        <v>120</v>
      </c>
      <c r="AM146" s="401">
        <f>AH146+AK146+AL146</f>
        <v>120</v>
      </c>
    </row>
    <row r="147" spans="1:39" ht="24" thickBot="1">
      <c r="A147" s="721" t="s">
        <v>393</v>
      </c>
      <c r="B147" s="722" t="s">
        <v>68</v>
      </c>
      <c r="C147" s="287" t="s">
        <v>69</v>
      </c>
      <c r="D147" s="288" t="s">
        <v>70</v>
      </c>
      <c r="E147" s="88" t="s">
        <v>250</v>
      </c>
      <c r="F147" s="744" t="s">
        <v>394</v>
      </c>
      <c r="G147" s="30" t="s">
        <v>395</v>
      </c>
      <c r="H147" s="744" t="s">
        <v>92</v>
      </c>
      <c r="I147" s="744" t="s">
        <v>407</v>
      </c>
      <c r="J147" s="751" t="s">
        <v>433</v>
      </c>
      <c r="K147" s="783" t="s">
        <v>546</v>
      </c>
      <c r="L147" s="79" t="s">
        <v>462</v>
      </c>
      <c r="M147" s="80" t="s">
        <v>53</v>
      </c>
      <c r="N147" s="49"/>
      <c r="O147" s="49" t="s">
        <v>94</v>
      </c>
      <c r="P147" s="49"/>
      <c r="Q147" s="49" t="s">
        <v>190</v>
      </c>
      <c r="R147" s="49" t="s">
        <v>476</v>
      </c>
      <c r="S147" s="126" t="s">
        <v>548</v>
      </c>
      <c r="T147" s="171" t="s">
        <v>482</v>
      </c>
      <c r="U147" s="79"/>
      <c r="V147" s="80" t="s">
        <v>53</v>
      </c>
      <c r="W147" s="714"/>
      <c r="X147" s="49" t="s">
        <v>94</v>
      </c>
      <c r="Y147" s="103"/>
      <c r="Z147" s="104"/>
      <c r="AA147" s="716"/>
      <c r="AB147" s="121"/>
      <c r="AC147" s="717"/>
      <c r="AD147" s="370"/>
      <c r="AE147" s="371" t="s">
        <v>172</v>
      </c>
      <c r="AF147" s="372" t="s">
        <v>80</v>
      </c>
      <c r="AG147" s="385"/>
      <c r="AH147" s="386" t="s">
        <v>106</v>
      </c>
      <c r="AI147" s="385" t="s">
        <v>173</v>
      </c>
      <c r="AJ147" s="371" t="s">
        <v>108</v>
      </c>
      <c r="AK147" s="282"/>
      <c r="AL147" s="282"/>
      <c r="AM147" s="282"/>
    </row>
    <row r="148" spans="1:39" ht="20.25">
      <c r="A148" s="792" t="s">
        <v>392</v>
      </c>
      <c r="B148" s="826"/>
      <c r="C148" s="311"/>
      <c r="D148" s="806"/>
      <c r="E148" s="313"/>
      <c r="F148" s="314"/>
      <c r="G148" s="314"/>
      <c r="H148" s="314"/>
      <c r="I148" s="315"/>
      <c r="J148" s="315"/>
      <c r="K148" s="314"/>
      <c r="L148" s="349"/>
      <c r="M148" s="350"/>
      <c r="N148" s="315"/>
      <c r="O148" s="315"/>
      <c r="P148" s="315"/>
      <c r="Q148" s="315"/>
      <c r="R148" s="315"/>
      <c r="S148" s="315"/>
      <c r="T148" s="477"/>
      <c r="U148" s="349"/>
      <c r="V148" s="350"/>
      <c r="W148" s="315"/>
      <c r="X148" s="315"/>
      <c r="Y148" s="315"/>
      <c r="Z148" s="315"/>
      <c r="AA148" s="315"/>
      <c r="AB148" s="315"/>
      <c r="AC148" s="378"/>
      <c r="AD148" s="349"/>
      <c r="AE148" s="379">
        <f t="shared" ref="AE148" si="32">SUM(E148:AC148)</f>
        <v>0</v>
      </c>
      <c r="AF148" s="379"/>
      <c r="AG148" s="404"/>
      <c r="AH148" s="405">
        <f t="shared" ref="AH148:AH178" si="33">AE148+AF148</f>
        <v>0</v>
      </c>
      <c r="AI148" s="406"/>
      <c r="AJ148" s="407">
        <f>AH148+AI148</f>
        <v>0</v>
      </c>
      <c r="AK148" s="234"/>
      <c r="AL148" s="234"/>
      <c r="AM148" s="234"/>
    </row>
    <row r="149" spans="1:39" ht="20.25">
      <c r="A149" s="792" t="s">
        <v>392</v>
      </c>
      <c r="B149" s="822"/>
      <c r="C149" s="295"/>
      <c r="D149" s="807"/>
      <c r="E149" s="319"/>
      <c r="F149" s="320"/>
      <c r="G149" s="320"/>
      <c r="H149" s="320"/>
      <c r="I149" s="321"/>
      <c r="J149" s="321"/>
      <c r="K149" s="320"/>
      <c r="L149" s="352"/>
      <c r="M149" s="353"/>
      <c r="N149" s="321"/>
      <c r="O149" s="321"/>
      <c r="P149" s="321"/>
      <c r="Q149" s="321"/>
      <c r="R149" s="321"/>
      <c r="S149" s="321"/>
      <c r="T149" s="351"/>
      <c r="U149" s="352"/>
      <c r="V149" s="319"/>
      <c r="W149" s="320"/>
      <c r="X149" s="320"/>
      <c r="Y149" s="321"/>
      <c r="Z149" s="321"/>
      <c r="AA149" s="321"/>
      <c r="AB149" s="320"/>
      <c r="AC149" s="380"/>
      <c r="AD149" s="352"/>
      <c r="AE149" s="381">
        <f t="shared" ref="AE149" si="34">SUM(E149:AC149)</f>
        <v>0</v>
      </c>
      <c r="AF149" s="381"/>
      <c r="AG149" s="408"/>
      <c r="AH149" s="409">
        <f t="shared" si="33"/>
        <v>0</v>
      </c>
      <c r="AI149" s="410"/>
      <c r="AJ149" s="411">
        <f>AH149+AI149</f>
        <v>0</v>
      </c>
      <c r="AK149" s="234"/>
      <c r="AL149" s="234"/>
      <c r="AM149" s="234"/>
    </row>
    <row r="150" spans="1:39" ht="20.25">
      <c r="A150" s="792" t="s">
        <v>392</v>
      </c>
      <c r="B150" s="824"/>
      <c r="C150" s="317"/>
      <c r="D150" s="807"/>
      <c r="E150" s="319"/>
      <c r="F150" s="320"/>
      <c r="G150" s="320"/>
      <c r="H150" s="320"/>
      <c r="I150" s="321"/>
      <c r="J150" s="234"/>
      <c r="K150" s="234"/>
      <c r="L150" s="352"/>
      <c r="M150" s="353"/>
      <c r="N150" s="320"/>
      <c r="O150" s="320"/>
      <c r="P150" s="321"/>
      <c r="Q150" s="321"/>
      <c r="R150" s="321"/>
      <c r="S150" s="320"/>
      <c r="T150" s="351"/>
      <c r="U150" s="352"/>
      <c r="V150" s="353"/>
      <c r="W150" s="321"/>
      <c r="X150" s="321"/>
      <c r="Y150" s="321"/>
      <c r="Z150" s="321"/>
      <c r="AA150" s="321"/>
      <c r="AB150" s="321"/>
      <c r="AC150" s="380"/>
      <c r="AD150" s="352"/>
      <c r="AE150" s="381">
        <f t="shared" ref="AE150:AE153" si="35">SUM(E150:AC150)</f>
        <v>0</v>
      </c>
      <c r="AF150" s="381"/>
      <c r="AG150" s="408"/>
      <c r="AH150" s="409">
        <f t="shared" si="33"/>
        <v>0</v>
      </c>
      <c r="AI150" s="410"/>
      <c r="AJ150" s="411">
        <f>AH150+AI150</f>
        <v>0</v>
      </c>
      <c r="AK150" s="234"/>
      <c r="AL150" s="234"/>
      <c r="AM150" s="234"/>
    </row>
    <row r="151" spans="1:39" ht="20.25">
      <c r="A151" s="792" t="s">
        <v>392</v>
      </c>
      <c r="B151" s="822"/>
      <c r="C151" s="295"/>
      <c r="D151" s="807"/>
      <c r="E151" s="319"/>
      <c r="F151" s="320"/>
      <c r="G151" s="320"/>
      <c r="H151" s="320"/>
      <c r="I151" s="321"/>
      <c r="J151" s="321"/>
      <c r="K151" s="320"/>
      <c r="L151" s="352"/>
      <c r="M151" s="353"/>
      <c r="N151" s="321"/>
      <c r="O151" s="321"/>
      <c r="P151" s="321"/>
      <c r="Q151" s="321"/>
      <c r="R151" s="321"/>
      <c r="S151" s="321"/>
      <c r="T151" s="351"/>
      <c r="U151" s="352"/>
      <c r="V151" s="319"/>
      <c r="W151" s="320"/>
      <c r="X151" s="320"/>
      <c r="Y151" s="321"/>
      <c r="Z151" s="321"/>
      <c r="AA151" s="321"/>
      <c r="AB151" s="320"/>
      <c r="AC151" s="380"/>
      <c r="AD151" s="352"/>
      <c r="AE151" s="381">
        <f t="shared" si="35"/>
        <v>0</v>
      </c>
      <c r="AF151" s="381"/>
      <c r="AG151" s="408"/>
      <c r="AH151" s="409">
        <f t="shared" si="33"/>
        <v>0</v>
      </c>
      <c r="AI151" s="410"/>
      <c r="AJ151" s="411">
        <f>AH151+AI151</f>
        <v>0</v>
      </c>
      <c r="AK151" s="234"/>
      <c r="AL151" s="234"/>
      <c r="AM151" s="234"/>
    </row>
    <row r="152" spans="1:39" ht="20.25">
      <c r="A152" s="792" t="s">
        <v>392</v>
      </c>
      <c r="B152" s="710"/>
      <c r="C152" s="295"/>
      <c r="D152" s="807"/>
      <c r="E152" s="319"/>
      <c r="F152" s="320"/>
      <c r="G152" s="320"/>
      <c r="H152" s="320"/>
      <c r="I152" s="321"/>
      <c r="J152" s="321"/>
      <c r="K152" s="320"/>
      <c r="L152" s="352"/>
      <c r="M152" s="353"/>
      <c r="N152" s="321"/>
      <c r="O152" s="321"/>
      <c r="P152" s="321"/>
      <c r="Q152" s="321"/>
      <c r="R152" s="321"/>
      <c r="S152" s="321"/>
      <c r="T152" s="351"/>
      <c r="U152" s="352"/>
      <c r="V152" s="319"/>
      <c r="W152" s="320"/>
      <c r="X152" s="320"/>
      <c r="Y152" s="321"/>
      <c r="Z152" s="321"/>
      <c r="AA152" s="321"/>
      <c r="AB152" s="320"/>
      <c r="AC152" s="380"/>
      <c r="AD152" s="352"/>
      <c r="AE152" s="381">
        <f t="shared" si="35"/>
        <v>0</v>
      </c>
      <c r="AF152" s="381"/>
      <c r="AG152" s="408"/>
      <c r="AH152" s="409">
        <f t="shared" si="33"/>
        <v>0</v>
      </c>
      <c r="AI152" s="410"/>
      <c r="AJ152" s="411">
        <f t="shared" ref="AJ152:AJ178" si="36">AH152+AI152</f>
        <v>0</v>
      </c>
      <c r="AK152" s="234"/>
      <c r="AL152" s="234"/>
      <c r="AM152" s="234"/>
    </row>
    <row r="153" spans="1:39" ht="20.25">
      <c r="A153" s="792" t="s">
        <v>392</v>
      </c>
      <c r="B153" s="710"/>
      <c r="C153" s="295"/>
      <c r="D153" s="807"/>
      <c r="E153" s="319"/>
      <c r="F153" s="320"/>
      <c r="G153" s="320"/>
      <c r="H153" s="321"/>
      <c r="I153" s="234"/>
      <c r="J153" s="321"/>
      <c r="K153" s="320"/>
      <c r="L153" s="352"/>
      <c r="M153" s="353"/>
      <c r="N153" s="321"/>
      <c r="O153" s="321"/>
      <c r="P153" s="321"/>
      <c r="Q153" s="321"/>
      <c r="R153" s="321"/>
      <c r="S153" s="321"/>
      <c r="T153" s="351"/>
      <c r="U153" s="352"/>
      <c r="V153" s="319"/>
      <c r="W153" s="320"/>
      <c r="X153" s="320"/>
      <c r="Y153" s="321"/>
      <c r="Z153" s="321"/>
      <c r="AA153" s="321"/>
      <c r="AB153" s="320"/>
      <c r="AC153" s="380"/>
      <c r="AD153" s="352"/>
      <c r="AE153" s="381">
        <f t="shared" si="35"/>
        <v>0</v>
      </c>
      <c r="AF153" s="381"/>
      <c r="AG153" s="408"/>
      <c r="AH153" s="409">
        <f t="shared" si="33"/>
        <v>0</v>
      </c>
      <c r="AI153" s="410"/>
      <c r="AJ153" s="411">
        <f t="shared" si="36"/>
        <v>0</v>
      </c>
      <c r="AK153" s="234"/>
      <c r="AL153" s="234"/>
      <c r="AM153" s="234"/>
    </row>
    <row r="154" spans="1:39" ht="20.25">
      <c r="A154" s="792" t="s">
        <v>392</v>
      </c>
      <c r="B154" s="822"/>
      <c r="C154" s="295"/>
      <c r="D154" s="807"/>
      <c r="E154" s="319"/>
      <c r="F154" s="320"/>
      <c r="G154" s="320"/>
      <c r="H154" s="320"/>
      <c r="I154" s="321"/>
      <c r="J154" s="321"/>
      <c r="K154" s="741"/>
      <c r="L154" s="352"/>
      <c r="M154" s="353"/>
      <c r="N154" s="321"/>
      <c r="O154" s="321"/>
      <c r="P154" s="321"/>
      <c r="Q154" s="321"/>
      <c r="R154" s="321"/>
      <c r="S154" s="321"/>
      <c r="T154" s="832"/>
      <c r="U154" s="352"/>
      <c r="V154" s="319"/>
      <c r="W154" s="320"/>
      <c r="X154" s="320"/>
      <c r="Y154" s="321"/>
      <c r="Z154" s="321"/>
      <c r="AA154" s="321"/>
      <c r="AB154" s="320"/>
      <c r="AC154" s="380"/>
      <c r="AD154" s="352"/>
      <c r="AE154" s="381">
        <f t="shared" ref="AE154" si="37">SUM(E154:AC154)</f>
        <v>0</v>
      </c>
      <c r="AF154" s="381"/>
      <c r="AG154" s="408"/>
      <c r="AH154" s="409">
        <f t="shared" si="33"/>
        <v>0</v>
      </c>
      <c r="AI154" s="410"/>
      <c r="AJ154" s="411">
        <f t="shared" si="36"/>
        <v>0</v>
      </c>
      <c r="AK154" s="234"/>
      <c r="AL154" s="234"/>
      <c r="AM154" s="234"/>
    </row>
    <row r="155" spans="1:39" ht="20.25">
      <c r="A155" s="792" t="s">
        <v>392</v>
      </c>
      <c r="B155" s="710"/>
      <c r="C155" s="295"/>
      <c r="D155" s="807"/>
      <c r="E155" s="319"/>
      <c r="F155" s="320"/>
      <c r="G155" s="320"/>
      <c r="H155" s="320"/>
      <c r="I155" s="321"/>
      <c r="J155" s="321"/>
      <c r="K155" s="320"/>
      <c r="L155" s="352"/>
      <c r="M155" s="353"/>
      <c r="N155" s="321"/>
      <c r="O155" s="321"/>
      <c r="P155" s="321"/>
      <c r="Q155" s="321"/>
      <c r="R155" s="321"/>
      <c r="S155" s="321"/>
      <c r="T155" s="351"/>
      <c r="U155" s="352"/>
      <c r="V155" s="319"/>
      <c r="W155" s="320"/>
      <c r="X155" s="320"/>
      <c r="Y155" s="321"/>
      <c r="Z155" s="321"/>
      <c r="AA155" s="321"/>
      <c r="AB155" s="320"/>
      <c r="AC155" s="380"/>
      <c r="AD155" s="352"/>
      <c r="AE155" s="381">
        <f t="shared" ref="AE155:AE159" si="38">SUM(E155:AC155)</f>
        <v>0</v>
      </c>
      <c r="AF155" s="381"/>
      <c r="AG155" s="408"/>
      <c r="AH155" s="409">
        <f t="shared" si="33"/>
        <v>0</v>
      </c>
      <c r="AI155" s="410"/>
      <c r="AJ155" s="411">
        <f t="shared" si="36"/>
        <v>0</v>
      </c>
      <c r="AK155" s="234"/>
      <c r="AL155" s="234"/>
      <c r="AM155" s="234"/>
    </row>
    <row r="156" spans="1:39" ht="20.25">
      <c r="A156" s="792" t="s">
        <v>392</v>
      </c>
      <c r="B156" s="822"/>
      <c r="C156" s="295"/>
      <c r="D156" s="807"/>
      <c r="E156" s="319"/>
      <c r="F156" s="320"/>
      <c r="G156" s="320"/>
      <c r="H156" s="320"/>
      <c r="I156" s="321"/>
      <c r="J156" s="321"/>
      <c r="K156" s="741"/>
      <c r="L156" s="352"/>
      <c r="M156" s="353"/>
      <c r="N156" s="321"/>
      <c r="O156" s="321"/>
      <c r="P156" s="321"/>
      <c r="Q156" s="321"/>
      <c r="R156" s="321"/>
      <c r="S156" s="321"/>
      <c r="T156" s="351"/>
      <c r="U156" s="352"/>
      <c r="V156" s="319"/>
      <c r="W156" s="320"/>
      <c r="X156" s="320"/>
      <c r="Y156" s="321"/>
      <c r="Z156" s="321"/>
      <c r="AA156" s="321"/>
      <c r="AB156" s="320"/>
      <c r="AC156" s="380"/>
      <c r="AD156" s="352"/>
      <c r="AE156" s="381">
        <f t="shared" si="38"/>
        <v>0</v>
      </c>
      <c r="AF156" s="381"/>
      <c r="AG156" s="408"/>
      <c r="AH156" s="409">
        <f t="shared" si="33"/>
        <v>0</v>
      </c>
      <c r="AI156" s="410"/>
      <c r="AJ156" s="411">
        <f t="shared" si="36"/>
        <v>0</v>
      </c>
      <c r="AK156" s="234"/>
      <c r="AL156" s="234"/>
      <c r="AM156" s="234"/>
    </row>
    <row r="157" spans="1:39" ht="20.25">
      <c r="A157" s="792" t="s">
        <v>392</v>
      </c>
      <c r="B157" s="822"/>
      <c r="C157" s="295"/>
      <c r="D157" s="807"/>
      <c r="E157" s="319"/>
      <c r="F157" s="320"/>
      <c r="G157" s="320"/>
      <c r="H157" s="320"/>
      <c r="I157" s="321"/>
      <c r="J157" s="321"/>
      <c r="K157" s="741"/>
      <c r="L157" s="352"/>
      <c r="M157" s="353"/>
      <c r="N157" s="321"/>
      <c r="O157" s="321"/>
      <c r="P157" s="321"/>
      <c r="Q157" s="321"/>
      <c r="R157" s="582"/>
      <c r="S157" s="321"/>
      <c r="T157" s="351"/>
      <c r="U157" s="352"/>
      <c r="V157" s="319"/>
      <c r="W157" s="320"/>
      <c r="X157" s="320"/>
      <c r="Y157" s="321"/>
      <c r="Z157" s="321"/>
      <c r="AA157" s="321"/>
      <c r="AB157" s="320"/>
      <c r="AC157" s="380"/>
      <c r="AD157" s="352"/>
      <c r="AE157" s="381">
        <f t="shared" si="38"/>
        <v>0</v>
      </c>
      <c r="AF157" s="381"/>
      <c r="AG157" s="408"/>
      <c r="AH157" s="409">
        <f t="shared" si="33"/>
        <v>0</v>
      </c>
      <c r="AI157" s="410"/>
      <c r="AJ157" s="411">
        <f t="shared" si="36"/>
        <v>0</v>
      </c>
      <c r="AK157" s="234"/>
      <c r="AL157" s="234"/>
      <c r="AM157" s="234"/>
    </row>
    <row r="158" spans="1:39" ht="20.25">
      <c r="A158" s="792" t="s">
        <v>392</v>
      </c>
      <c r="B158" s="822"/>
      <c r="C158" s="295"/>
      <c r="D158" s="807"/>
      <c r="E158" s="829"/>
      <c r="F158" s="741"/>
      <c r="G158" s="741"/>
      <c r="H158" s="741"/>
      <c r="I158" s="582"/>
      <c r="J158" s="582"/>
      <c r="K158" s="741"/>
      <c r="L158" s="830"/>
      <c r="M158" s="831"/>
      <c r="N158" s="582"/>
      <c r="O158" s="582"/>
      <c r="P158" s="582"/>
      <c r="Q158" s="582"/>
      <c r="R158" s="582"/>
      <c r="S158" s="582"/>
      <c r="T158" s="832"/>
      <c r="U158" s="830"/>
      <c r="V158" s="829"/>
      <c r="W158" s="741"/>
      <c r="X158" s="741"/>
      <c r="Y158" s="582"/>
      <c r="Z158" s="582"/>
      <c r="AA158" s="582"/>
      <c r="AB158" s="741"/>
      <c r="AC158" s="833"/>
      <c r="AD158" s="352"/>
      <c r="AE158" s="381">
        <f t="shared" si="38"/>
        <v>0</v>
      </c>
      <c r="AF158" s="381"/>
      <c r="AG158" s="408"/>
      <c r="AH158" s="409">
        <f t="shared" si="33"/>
        <v>0</v>
      </c>
      <c r="AI158" s="410"/>
      <c r="AJ158" s="411">
        <f t="shared" si="36"/>
        <v>0</v>
      </c>
      <c r="AK158" s="234"/>
      <c r="AL158" s="234"/>
      <c r="AM158" s="234"/>
    </row>
    <row r="159" spans="1:39" ht="20.25">
      <c r="A159" s="792" t="s">
        <v>392</v>
      </c>
      <c r="B159" s="822"/>
      <c r="C159" s="295"/>
      <c r="D159" s="807"/>
      <c r="E159" s="829"/>
      <c r="F159" s="741"/>
      <c r="G159" s="741"/>
      <c r="H159" s="741"/>
      <c r="I159" s="582"/>
      <c r="J159" s="582"/>
      <c r="K159" s="741"/>
      <c r="L159" s="830"/>
      <c r="M159" s="831"/>
      <c r="N159" s="582"/>
      <c r="O159" s="582"/>
      <c r="P159" s="582"/>
      <c r="Q159" s="582"/>
      <c r="R159" s="582"/>
      <c r="S159" s="582"/>
      <c r="T159" s="832"/>
      <c r="U159" s="830"/>
      <c r="V159" s="829"/>
      <c r="W159" s="741"/>
      <c r="X159" s="741"/>
      <c r="Y159" s="582"/>
      <c r="Z159" s="582"/>
      <c r="AA159" s="582"/>
      <c r="AB159" s="741"/>
      <c r="AC159" s="833"/>
      <c r="AD159" s="352"/>
      <c r="AE159" s="381">
        <f t="shared" si="38"/>
        <v>0</v>
      </c>
      <c r="AF159" s="381"/>
      <c r="AG159" s="408"/>
      <c r="AH159" s="409">
        <f t="shared" si="33"/>
        <v>0</v>
      </c>
      <c r="AI159" s="410"/>
      <c r="AJ159" s="411">
        <f t="shared" si="36"/>
        <v>0</v>
      </c>
      <c r="AK159" s="234"/>
      <c r="AL159" s="234"/>
      <c r="AM159" s="234"/>
    </row>
    <row r="160" spans="1:39" ht="20.25">
      <c r="A160" s="792" t="s">
        <v>392</v>
      </c>
      <c r="B160" s="822"/>
      <c r="C160" s="295"/>
      <c r="D160" s="807"/>
      <c r="E160" s="829"/>
      <c r="F160" s="741"/>
      <c r="G160" s="741"/>
      <c r="H160" s="741"/>
      <c r="I160" s="582"/>
      <c r="J160" s="582"/>
      <c r="K160" s="741"/>
      <c r="L160" s="830"/>
      <c r="M160" s="831"/>
      <c r="N160" s="582"/>
      <c r="O160" s="582"/>
      <c r="P160" s="582"/>
      <c r="Q160" s="582"/>
      <c r="R160" s="582"/>
      <c r="S160" s="582"/>
      <c r="T160" s="832"/>
      <c r="U160" s="830"/>
      <c r="V160" s="829"/>
      <c r="W160" s="741"/>
      <c r="X160" s="741"/>
      <c r="Y160" s="582"/>
      <c r="Z160" s="582"/>
      <c r="AA160" s="582"/>
      <c r="AB160" s="741"/>
      <c r="AC160" s="833"/>
      <c r="AD160" s="352"/>
      <c r="AE160" s="381">
        <f t="shared" ref="AE160:AE178" si="39">SUM(E160:AC160)</f>
        <v>0</v>
      </c>
      <c r="AF160" s="381"/>
      <c r="AG160" s="408"/>
      <c r="AH160" s="409">
        <f t="shared" si="33"/>
        <v>0</v>
      </c>
      <c r="AI160" s="410"/>
      <c r="AJ160" s="411">
        <f t="shared" si="36"/>
        <v>0</v>
      </c>
      <c r="AK160" s="234"/>
      <c r="AL160" s="234"/>
      <c r="AM160" s="234"/>
    </row>
    <row r="161" spans="1:39" ht="21" thickBot="1">
      <c r="A161" s="792" t="s">
        <v>392</v>
      </c>
      <c r="B161" s="822"/>
      <c r="C161" s="295"/>
      <c r="D161" s="807"/>
      <c r="E161" s="829"/>
      <c r="F161" s="741"/>
      <c r="G161" s="741"/>
      <c r="H161" s="741"/>
      <c r="I161" s="582"/>
      <c r="J161" s="582"/>
      <c r="K161" s="741"/>
      <c r="L161" s="830"/>
      <c r="M161" s="831"/>
      <c r="N161" s="582"/>
      <c r="O161" s="582"/>
      <c r="P161" s="582"/>
      <c r="Q161" s="582"/>
      <c r="R161" s="582"/>
      <c r="S161" s="582"/>
      <c r="T161" s="832"/>
      <c r="U161" s="830"/>
      <c r="V161" s="829"/>
      <c r="W161" s="741"/>
      <c r="X161" s="741"/>
      <c r="Y161" s="582"/>
      <c r="Z161" s="582"/>
      <c r="AA161" s="582"/>
      <c r="AB161" s="741"/>
      <c r="AC161" s="833"/>
      <c r="AD161" s="352"/>
      <c r="AE161" s="381">
        <f t="shared" si="39"/>
        <v>0</v>
      </c>
      <c r="AF161" s="381"/>
      <c r="AG161" s="408"/>
      <c r="AH161" s="409">
        <f t="shared" si="33"/>
        <v>0</v>
      </c>
      <c r="AI161" s="410"/>
      <c r="AJ161" s="411">
        <f t="shared" si="36"/>
        <v>0</v>
      </c>
      <c r="AK161" s="234"/>
      <c r="AL161" s="234"/>
      <c r="AM161" s="234"/>
    </row>
    <row r="162" spans="1:39" ht="21" thickBot="1">
      <c r="A162" s="792" t="s">
        <v>392</v>
      </c>
      <c r="B162" s="827"/>
      <c r="C162" s="323"/>
      <c r="D162" s="808"/>
      <c r="E162" s="325"/>
      <c r="F162" s="297"/>
      <c r="G162" s="297"/>
      <c r="H162" s="297"/>
      <c r="I162" s="298"/>
      <c r="J162" s="298"/>
      <c r="K162" s="297"/>
      <c r="L162" s="355"/>
      <c r="M162" s="343"/>
      <c r="N162" s="298"/>
      <c r="O162" s="298"/>
      <c r="P162" s="298"/>
      <c r="Q162" s="298"/>
      <c r="R162" s="298"/>
      <c r="S162" s="298"/>
      <c r="T162" s="367"/>
      <c r="U162" s="355"/>
      <c r="V162" s="325"/>
      <c r="W162" s="297"/>
      <c r="X162" s="297"/>
      <c r="Y162" s="298"/>
      <c r="Z162" s="298"/>
      <c r="AA162" s="298"/>
      <c r="AB162" s="297"/>
      <c r="AC162" s="375"/>
      <c r="AD162" s="355"/>
      <c r="AE162" s="1193">
        <f t="shared" si="39"/>
        <v>0</v>
      </c>
      <c r="AF162" s="1194"/>
      <c r="AG162" s="1195"/>
      <c r="AH162" s="1196">
        <f t="shared" si="33"/>
        <v>0</v>
      </c>
      <c r="AI162" s="1197"/>
      <c r="AJ162" s="1198">
        <f t="shared" si="36"/>
        <v>0</v>
      </c>
      <c r="AK162" s="414" t="s">
        <v>8</v>
      </c>
      <c r="AL162" s="397" t="s">
        <v>23</v>
      </c>
      <c r="AM162" s="415" t="s">
        <v>174</v>
      </c>
    </row>
    <row r="163" spans="1:39" ht="21" thickBot="1">
      <c r="A163" s="792" t="s">
        <v>392</v>
      </c>
      <c r="B163" s="827"/>
      <c r="C163" s="323"/>
      <c r="D163" s="808"/>
      <c r="E163" s="325"/>
      <c r="F163" s="297"/>
      <c r="G163" s="297"/>
      <c r="H163" s="297"/>
      <c r="I163" s="298"/>
      <c r="J163" s="298"/>
      <c r="K163" s="297"/>
      <c r="L163" s="355"/>
      <c r="M163" s="343"/>
      <c r="N163" s="298"/>
      <c r="O163" s="298"/>
      <c r="P163" s="298"/>
      <c r="Q163" s="298"/>
      <c r="R163" s="298"/>
      <c r="S163" s="298"/>
      <c r="T163" s="367"/>
      <c r="U163" s="355"/>
      <c r="V163" s="325"/>
      <c r="W163" s="297"/>
      <c r="X163" s="297"/>
      <c r="Y163" s="298"/>
      <c r="Z163" s="298"/>
      <c r="AA163" s="298"/>
      <c r="AB163" s="297"/>
      <c r="AC163" s="375"/>
      <c r="AD163" s="355"/>
      <c r="AE163" s="376">
        <f t="shared" si="39"/>
        <v>0</v>
      </c>
      <c r="AF163" s="377"/>
      <c r="AG163" s="390"/>
      <c r="AH163" s="391">
        <f t="shared" si="33"/>
        <v>0</v>
      </c>
      <c r="AI163" s="412"/>
      <c r="AJ163" s="413">
        <f t="shared" si="36"/>
        <v>0</v>
      </c>
      <c r="AK163" s="414" t="s">
        <v>8</v>
      </c>
      <c r="AL163" s="397" t="s">
        <v>23</v>
      </c>
      <c r="AM163" s="415" t="s">
        <v>174</v>
      </c>
    </row>
    <row r="164" spans="1:39" ht="21" thickBot="1">
      <c r="A164" s="792" t="s">
        <v>392</v>
      </c>
      <c r="B164" s="827"/>
      <c r="C164" s="323"/>
      <c r="D164" s="808"/>
      <c r="E164" s="325"/>
      <c r="F164" s="297"/>
      <c r="G164" s="297"/>
      <c r="H164" s="297"/>
      <c r="I164" s="298"/>
      <c r="J164" s="298"/>
      <c r="K164" s="297"/>
      <c r="L164" s="355"/>
      <c r="M164" s="343"/>
      <c r="N164" s="298"/>
      <c r="O164" s="298"/>
      <c r="P164" s="298"/>
      <c r="Q164" s="298"/>
      <c r="R164" s="298"/>
      <c r="S164" s="298"/>
      <c r="T164" s="367"/>
      <c r="U164" s="355"/>
      <c r="V164" s="325"/>
      <c r="W164" s="297"/>
      <c r="X164" s="297"/>
      <c r="Y164" s="298"/>
      <c r="Z164" s="298"/>
      <c r="AA164" s="298"/>
      <c r="AB164" s="297"/>
      <c r="AC164" s="375"/>
      <c r="AD164" s="355"/>
      <c r="AE164" s="376">
        <f t="shared" si="39"/>
        <v>0</v>
      </c>
      <c r="AF164" s="377"/>
      <c r="AG164" s="390"/>
      <c r="AH164" s="391">
        <f t="shared" si="33"/>
        <v>0</v>
      </c>
      <c r="AI164" s="412"/>
      <c r="AJ164" s="413">
        <f t="shared" si="36"/>
        <v>0</v>
      </c>
      <c r="AK164" s="414" t="s">
        <v>8</v>
      </c>
      <c r="AL164" s="397" t="s">
        <v>23</v>
      </c>
      <c r="AM164" s="415" t="s">
        <v>174</v>
      </c>
    </row>
    <row r="165" spans="1:39" ht="21" thickBot="1">
      <c r="A165" s="792" t="s">
        <v>392</v>
      </c>
      <c r="B165" s="827"/>
      <c r="C165" s="323"/>
      <c r="D165" s="808"/>
      <c r="E165" s="325"/>
      <c r="F165" s="297"/>
      <c r="G165" s="297"/>
      <c r="H165" s="297"/>
      <c r="I165" s="298"/>
      <c r="J165" s="298"/>
      <c r="K165" s="297"/>
      <c r="L165" s="355"/>
      <c r="M165" s="343"/>
      <c r="N165" s="298"/>
      <c r="O165" s="298"/>
      <c r="P165" s="298"/>
      <c r="Q165" s="298"/>
      <c r="R165" s="298"/>
      <c r="S165" s="298"/>
      <c r="T165" s="367"/>
      <c r="U165" s="355"/>
      <c r="V165" s="325"/>
      <c r="W165" s="297"/>
      <c r="X165" s="297"/>
      <c r="Y165" s="298"/>
      <c r="Z165" s="298"/>
      <c r="AA165" s="298"/>
      <c r="AB165" s="297"/>
      <c r="AC165" s="375"/>
      <c r="AD165" s="355"/>
      <c r="AE165" s="376">
        <f t="shared" si="39"/>
        <v>0</v>
      </c>
      <c r="AF165" s="377"/>
      <c r="AG165" s="390"/>
      <c r="AH165" s="391">
        <f t="shared" si="33"/>
        <v>0</v>
      </c>
      <c r="AI165" s="412"/>
      <c r="AJ165" s="413">
        <f t="shared" si="36"/>
        <v>0</v>
      </c>
      <c r="AK165" s="414" t="s">
        <v>8</v>
      </c>
      <c r="AL165" s="397" t="s">
        <v>23</v>
      </c>
      <c r="AM165" s="415" t="s">
        <v>174</v>
      </c>
    </row>
    <row r="166" spans="1:39" ht="21" thickBot="1">
      <c r="A166" s="792" t="s">
        <v>392</v>
      </c>
      <c r="B166" s="827"/>
      <c r="C166" s="323"/>
      <c r="D166" s="808"/>
      <c r="E166" s="325"/>
      <c r="F166" s="297"/>
      <c r="G166" s="297"/>
      <c r="H166" s="297"/>
      <c r="I166" s="298"/>
      <c r="J166" s="298"/>
      <c r="K166" s="297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6">
        <f t="shared" si="39"/>
        <v>0</v>
      </c>
      <c r="AF166" s="377"/>
      <c r="AG166" s="390"/>
      <c r="AH166" s="391">
        <f t="shared" si="33"/>
        <v>0</v>
      </c>
      <c r="AI166" s="412"/>
      <c r="AJ166" s="413">
        <f t="shared" si="36"/>
        <v>0</v>
      </c>
      <c r="AK166" s="414" t="s">
        <v>8</v>
      </c>
      <c r="AL166" s="397" t="s">
        <v>23</v>
      </c>
      <c r="AM166" s="415" t="s">
        <v>174</v>
      </c>
    </row>
    <row r="167" spans="1:39" ht="21" thickBot="1">
      <c r="A167" s="792" t="s">
        <v>392</v>
      </c>
      <c r="B167" s="827"/>
      <c r="C167" s="323"/>
      <c r="D167" s="808"/>
      <c r="E167" s="325"/>
      <c r="F167" s="297"/>
      <c r="G167" s="297"/>
      <c r="H167" s="297"/>
      <c r="I167" s="298"/>
      <c r="J167" s="298"/>
      <c r="K167" s="297"/>
      <c r="L167" s="355"/>
      <c r="M167" s="343"/>
      <c r="N167" s="298"/>
      <c r="O167" s="298"/>
      <c r="P167" s="298"/>
      <c r="Q167" s="298"/>
      <c r="R167" s="298"/>
      <c r="S167" s="298"/>
      <c r="T167" s="367"/>
      <c r="U167" s="355"/>
      <c r="V167" s="325"/>
      <c r="W167" s="297"/>
      <c r="X167" s="297"/>
      <c r="Y167" s="298"/>
      <c r="Z167" s="298"/>
      <c r="AA167" s="298"/>
      <c r="AB167" s="297"/>
      <c r="AC167" s="375"/>
      <c r="AD167" s="355"/>
      <c r="AE167" s="376">
        <f t="shared" si="39"/>
        <v>0</v>
      </c>
      <c r="AF167" s="377"/>
      <c r="AG167" s="390"/>
      <c r="AH167" s="391">
        <f t="shared" si="33"/>
        <v>0</v>
      </c>
      <c r="AI167" s="412"/>
      <c r="AJ167" s="413">
        <f t="shared" si="36"/>
        <v>0</v>
      </c>
      <c r="AK167" s="414" t="s">
        <v>8</v>
      </c>
      <c r="AL167" s="397" t="s">
        <v>23</v>
      </c>
      <c r="AM167" s="415" t="s">
        <v>174</v>
      </c>
    </row>
    <row r="168" spans="1:39" ht="21" thickBot="1">
      <c r="A168" s="792" t="s">
        <v>392</v>
      </c>
      <c r="B168" s="827"/>
      <c r="C168" s="323"/>
      <c r="D168" s="808"/>
      <c r="E168" s="325"/>
      <c r="F168" s="297"/>
      <c r="G168" s="297"/>
      <c r="H168" s="297"/>
      <c r="I168" s="298"/>
      <c r="J168" s="298"/>
      <c r="K168" s="297"/>
      <c r="L168" s="355"/>
      <c r="M168" s="343"/>
      <c r="N168" s="298"/>
      <c r="O168" s="298"/>
      <c r="P168" s="298"/>
      <c r="Q168" s="298"/>
      <c r="R168" s="298"/>
      <c r="S168" s="298"/>
      <c r="T168" s="367"/>
      <c r="U168" s="355"/>
      <c r="V168" s="325"/>
      <c r="W168" s="297"/>
      <c r="X168" s="297"/>
      <c r="Y168" s="298"/>
      <c r="Z168" s="298"/>
      <c r="AA168" s="298"/>
      <c r="AB168" s="297"/>
      <c r="AC168" s="375"/>
      <c r="AD168" s="355"/>
      <c r="AE168" s="376">
        <f t="shared" si="39"/>
        <v>0</v>
      </c>
      <c r="AF168" s="377"/>
      <c r="AG168" s="390"/>
      <c r="AH168" s="391">
        <f t="shared" si="33"/>
        <v>0</v>
      </c>
      <c r="AI168" s="412"/>
      <c r="AJ168" s="413">
        <f t="shared" si="36"/>
        <v>0</v>
      </c>
      <c r="AK168" s="414" t="s">
        <v>8</v>
      </c>
      <c r="AL168" s="397" t="s">
        <v>23</v>
      </c>
      <c r="AM168" s="415" t="s">
        <v>174</v>
      </c>
    </row>
    <row r="169" spans="1:39" ht="21" thickBot="1">
      <c r="A169" s="792" t="s">
        <v>392</v>
      </c>
      <c r="B169" s="827"/>
      <c r="C169" s="323"/>
      <c r="D169" s="808"/>
      <c r="E169" s="325"/>
      <c r="F169" s="297"/>
      <c r="G169" s="297"/>
      <c r="H169" s="297"/>
      <c r="I169" s="298"/>
      <c r="J169" s="298"/>
      <c r="K169" s="297"/>
      <c r="L169" s="355"/>
      <c r="M169" s="343"/>
      <c r="N169" s="298"/>
      <c r="O169" s="298"/>
      <c r="P169" s="298"/>
      <c r="Q169" s="298"/>
      <c r="R169" s="298"/>
      <c r="S169" s="298"/>
      <c r="T169" s="367"/>
      <c r="U169" s="355"/>
      <c r="V169" s="325"/>
      <c r="W169" s="297"/>
      <c r="X169" s="297"/>
      <c r="Y169" s="298"/>
      <c r="Z169" s="298"/>
      <c r="AA169" s="298"/>
      <c r="AB169" s="297"/>
      <c r="AC169" s="375"/>
      <c r="AD169" s="355"/>
      <c r="AE169" s="376">
        <f t="shared" si="39"/>
        <v>0</v>
      </c>
      <c r="AF169" s="377"/>
      <c r="AG169" s="390"/>
      <c r="AH169" s="391">
        <f t="shared" si="33"/>
        <v>0</v>
      </c>
      <c r="AI169" s="412"/>
      <c r="AJ169" s="413">
        <f t="shared" si="36"/>
        <v>0</v>
      </c>
      <c r="AK169" s="414" t="s">
        <v>8</v>
      </c>
      <c r="AL169" s="397" t="s">
        <v>23</v>
      </c>
      <c r="AM169" s="415" t="s">
        <v>174</v>
      </c>
    </row>
    <row r="170" spans="1:39" ht="21" thickBot="1">
      <c r="A170" s="792" t="s">
        <v>392</v>
      </c>
      <c r="B170" s="827"/>
      <c r="C170" s="323"/>
      <c r="D170" s="808"/>
      <c r="E170" s="325"/>
      <c r="F170" s="297"/>
      <c r="G170" s="297"/>
      <c r="H170" s="297"/>
      <c r="I170" s="298"/>
      <c r="J170" s="298"/>
      <c r="K170" s="297"/>
      <c r="L170" s="355"/>
      <c r="M170" s="343"/>
      <c r="N170" s="298"/>
      <c r="O170" s="298"/>
      <c r="P170" s="298"/>
      <c r="Q170" s="298"/>
      <c r="R170" s="298"/>
      <c r="S170" s="298"/>
      <c r="T170" s="367"/>
      <c r="U170" s="355"/>
      <c r="V170" s="325"/>
      <c r="W170" s="297"/>
      <c r="X170" s="297"/>
      <c r="Y170" s="298"/>
      <c r="Z170" s="298"/>
      <c r="AA170" s="298"/>
      <c r="AB170" s="297"/>
      <c r="AC170" s="375"/>
      <c r="AD170" s="355"/>
      <c r="AE170" s="376">
        <f t="shared" si="39"/>
        <v>0</v>
      </c>
      <c r="AF170" s="377"/>
      <c r="AG170" s="390"/>
      <c r="AH170" s="391">
        <f t="shared" si="33"/>
        <v>0</v>
      </c>
      <c r="AI170" s="412"/>
      <c r="AJ170" s="413">
        <f t="shared" si="36"/>
        <v>0</v>
      </c>
      <c r="AK170" s="414" t="s">
        <v>8</v>
      </c>
      <c r="AL170" s="397" t="s">
        <v>23</v>
      </c>
      <c r="AM170" s="415" t="s">
        <v>174</v>
      </c>
    </row>
    <row r="171" spans="1:39" ht="21" thickBot="1">
      <c r="A171" s="792" t="s">
        <v>392</v>
      </c>
      <c r="B171" s="827"/>
      <c r="C171" s="323"/>
      <c r="D171" s="808"/>
      <c r="E171" s="325"/>
      <c r="F171" s="297"/>
      <c r="G171" s="297"/>
      <c r="H171" s="297"/>
      <c r="I171" s="298"/>
      <c r="J171" s="298"/>
      <c r="K171" s="297"/>
      <c r="L171" s="355"/>
      <c r="M171" s="343"/>
      <c r="N171" s="298"/>
      <c r="O171" s="298"/>
      <c r="P171" s="298"/>
      <c r="Q171" s="298"/>
      <c r="R171" s="298"/>
      <c r="S171" s="298"/>
      <c r="T171" s="367"/>
      <c r="U171" s="355"/>
      <c r="V171" s="325"/>
      <c r="W171" s="297"/>
      <c r="X171" s="297"/>
      <c r="Y171" s="298"/>
      <c r="Z171" s="298"/>
      <c r="AA171" s="298"/>
      <c r="AB171" s="297"/>
      <c r="AC171" s="375"/>
      <c r="AD171" s="355"/>
      <c r="AE171" s="376">
        <f t="shared" si="39"/>
        <v>0</v>
      </c>
      <c r="AF171" s="377"/>
      <c r="AG171" s="390"/>
      <c r="AH171" s="391">
        <f t="shared" si="33"/>
        <v>0</v>
      </c>
      <c r="AI171" s="412"/>
      <c r="AJ171" s="413">
        <f t="shared" si="36"/>
        <v>0</v>
      </c>
      <c r="AK171" s="414" t="s">
        <v>8</v>
      </c>
      <c r="AL171" s="397" t="s">
        <v>23</v>
      </c>
      <c r="AM171" s="415" t="s">
        <v>174</v>
      </c>
    </row>
    <row r="172" spans="1:39" ht="21" thickBot="1">
      <c r="A172" s="792" t="s">
        <v>392</v>
      </c>
      <c r="B172" s="827"/>
      <c r="C172" s="323"/>
      <c r="D172" s="808"/>
      <c r="E172" s="325"/>
      <c r="F172" s="297"/>
      <c r="G172" s="297"/>
      <c r="H172" s="297"/>
      <c r="I172" s="298"/>
      <c r="J172" s="298"/>
      <c r="K172" s="297"/>
      <c r="L172" s="355"/>
      <c r="M172" s="343"/>
      <c r="N172" s="298"/>
      <c r="O172" s="298"/>
      <c r="P172" s="298"/>
      <c r="Q172" s="298"/>
      <c r="R172" s="298"/>
      <c r="S172" s="298"/>
      <c r="T172" s="367"/>
      <c r="U172" s="355"/>
      <c r="V172" s="325"/>
      <c r="W172" s="297"/>
      <c r="X172" s="297"/>
      <c r="Y172" s="298"/>
      <c r="Z172" s="298"/>
      <c r="AA172" s="298"/>
      <c r="AB172" s="297"/>
      <c r="AC172" s="375"/>
      <c r="AD172" s="355"/>
      <c r="AE172" s="376">
        <f t="shared" si="39"/>
        <v>0</v>
      </c>
      <c r="AF172" s="377"/>
      <c r="AG172" s="390"/>
      <c r="AH172" s="391">
        <f t="shared" si="33"/>
        <v>0</v>
      </c>
      <c r="AI172" s="412"/>
      <c r="AJ172" s="413">
        <f t="shared" si="36"/>
        <v>0</v>
      </c>
      <c r="AK172" s="414" t="s">
        <v>8</v>
      </c>
      <c r="AL172" s="397" t="s">
        <v>23</v>
      </c>
      <c r="AM172" s="415" t="s">
        <v>174</v>
      </c>
    </row>
    <row r="173" spans="1:39" ht="21" thickBot="1">
      <c r="A173" s="792" t="s">
        <v>392</v>
      </c>
      <c r="B173" s="827"/>
      <c r="C173" s="323"/>
      <c r="D173" s="808"/>
      <c r="E173" s="325"/>
      <c r="F173" s="297"/>
      <c r="G173" s="297"/>
      <c r="H173" s="297"/>
      <c r="I173" s="298"/>
      <c r="J173" s="298"/>
      <c r="K173" s="297"/>
      <c r="L173" s="355"/>
      <c r="M173" s="343"/>
      <c r="N173" s="298"/>
      <c r="O173" s="298"/>
      <c r="P173" s="298"/>
      <c r="Q173" s="298"/>
      <c r="R173" s="298"/>
      <c r="S173" s="298"/>
      <c r="T173" s="367"/>
      <c r="U173" s="355"/>
      <c r="V173" s="325"/>
      <c r="W173" s="297"/>
      <c r="X173" s="297"/>
      <c r="Y173" s="298"/>
      <c r="Z173" s="298"/>
      <c r="AA173" s="298"/>
      <c r="AB173" s="297"/>
      <c r="AC173" s="375"/>
      <c r="AD173" s="355"/>
      <c r="AE173" s="376">
        <f t="shared" si="39"/>
        <v>0</v>
      </c>
      <c r="AF173" s="377"/>
      <c r="AG173" s="390"/>
      <c r="AH173" s="391">
        <f t="shared" si="33"/>
        <v>0</v>
      </c>
      <c r="AI173" s="412"/>
      <c r="AJ173" s="413">
        <f t="shared" si="36"/>
        <v>0</v>
      </c>
      <c r="AK173" s="414" t="s">
        <v>8</v>
      </c>
      <c r="AL173" s="397" t="s">
        <v>23</v>
      </c>
      <c r="AM173" s="415" t="s">
        <v>174</v>
      </c>
    </row>
    <row r="174" spans="1:39" ht="21" thickBot="1">
      <c r="A174" s="792" t="s">
        <v>392</v>
      </c>
      <c r="B174" s="827"/>
      <c r="C174" s="323"/>
      <c r="D174" s="808"/>
      <c r="E174" s="325"/>
      <c r="F174" s="297"/>
      <c r="G174" s="297"/>
      <c r="H174" s="297"/>
      <c r="I174" s="298"/>
      <c r="J174" s="298"/>
      <c r="K174" s="297"/>
      <c r="L174" s="355"/>
      <c r="M174" s="343"/>
      <c r="N174" s="298"/>
      <c r="O174" s="298"/>
      <c r="P174" s="298"/>
      <c r="Q174" s="298"/>
      <c r="R174" s="298"/>
      <c r="S174" s="298"/>
      <c r="T174" s="367"/>
      <c r="U174" s="355"/>
      <c r="V174" s="325"/>
      <c r="W174" s="297"/>
      <c r="X174" s="297"/>
      <c r="Y174" s="298"/>
      <c r="Z174" s="298"/>
      <c r="AA174" s="298"/>
      <c r="AB174" s="297"/>
      <c r="AC174" s="375"/>
      <c r="AD174" s="355"/>
      <c r="AE174" s="376">
        <f t="shared" si="39"/>
        <v>0</v>
      </c>
      <c r="AF174" s="377"/>
      <c r="AG174" s="390"/>
      <c r="AH174" s="391">
        <f t="shared" si="33"/>
        <v>0</v>
      </c>
      <c r="AI174" s="412"/>
      <c r="AJ174" s="413">
        <f t="shared" si="36"/>
        <v>0</v>
      </c>
      <c r="AK174" s="414" t="s">
        <v>8</v>
      </c>
      <c r="AL174" s="397" t="s">
        <v>23</v>
      </c>
      <c r="AM174" s="415" t="s">
        <v>174</v>
      </c>
    </row>
    <row r="175" spans="1:39" ht="21" thickBot="1">
      <c r="A175" s="792" t="s">
        <v>392</v>
      </c>
      <c r="B175" s="827"/>
      <c r="C175" s="323"/>
      <c r="D175" s="324"/>
      <c r="E175" s="325"/>
      <c r="F175" s="297"/>
      <c r="G175" s="297"/>
      <c r="H175" s="297"/>
      <c r="I175" s="298"/>
      <c r="J175" s="298"/>
      <c r="K175" s="297"/>
      <c r="L175" s="355"/>
      <c r="M175" s="343"/>
      <c r="N175" s="298"/>
      <c r="O175" s="298"/>
      <c r="P175" s="298"/>
      <c r="Q175" s="298"/>
      <c r="R175" s="298"/>
      <c r="S175" s="298"/>
      <c r="T175" s="367"/>
      <c r="U175" s="355"/>
      <c r="V175" s="325"/>
      <c r="W175" s="297"/>
      <c r="X175" s="297"/>
      <c r="Y175" s="298"/>
      <c r="Z175" s="298"/>
      <c r="AA175" s="298"/>
      <c r="AB175" s="297"/>
      <c r="AC175" s="375"/>
      <c r="AD175" s="355"/>
      <c r="AE175" s="376">
        <f t="shared" si="39"/>
        <v>0</v>
      </c>
      <c r="AF175" s="377"/>
      <c r="AG175" s="390"/>
      <c r="AH175" s="391">
        <f t="shared" si="33"/>
        <v>0</v>
      </c>
      <c r="AI175" s="412"/>
      <c r="AJ175" s="413">
        <f t="shared" si="36"/>
        <v>0</v>
      </c>
      <c r="AK175" s="414" t="s">
        <v>8</v>
      </c>
      <c r="AL175" s="397" t="s">
        <v>23</v>
      </c>
      <c r="AM175" s="415" t="s">
        <v>174</v>
      </c>
    </row>
    <row r="176" spans="1:39" ht="20.25" customHeight="1" thickBot="1">
      <c r="A176" s="792" t="s">
        <v>392</v>
      </c>
      <c r="B176" s="827"/>
      <c r="C176" s="323"/>
      <c r="D176" s="324"/>
      <c r="E176" s="325"/>
      <c r="F176" s="297"/>
      <c r="G176" s="297"/>
      <c r="H176" s="297"/>
      <c r="I176" s="298"/>
      <c r="J176" s="298"/>
      <c r="K176" s="297"/>
      <c r="L176" s="355"/>
      <c r="M176" s="343"/>
      <c r="N176" s="298"/>
      <c r="O176" s="298"/>
      <c r="P176" s="298"/>
      <c r="Q176" s="298"/>
      <c r="R176" s="298"/>
      <c r="S176" s="298"/>
      <c r="T176" s="367"/>
      <c r="U176" s="355"/>
      <c r="V176" s="325"/>
      <c r="W176" s="297"/>
      <c r="X176" s="297"/>
      <c r="Y176" s="298"/>
      <c r="Z176" s="298"/>
      <c r="AA176" s="298"/>
      <c r="AB176" s="297"/>
      <c r="AC176" s="375"/>
      <c r="AD176" s="355"/>
      <c r="AE176" s="376">
        <f t="shared" si="39"/>
        <v>0</v>
      </c>
      <c r="AF176" s="377"/>
      <c r="AG176" s="390"/>
      <c r="AH176" s="391">
        <f t="shared" si="33"/>
        <v>0</v>
      </c>
      <c r="AI176" s="412"/>
      <c r="AJ176" s="413">
        <f t="shared" si="36"/>
        <v>0</v>
      </c>
      <c r="AK176" s="414" t="s">
        <v>8</v>
      </c>
      <c r="AL176" s="397" t="s">
        <v>23</v>
      </c>
      <c r="AM176" s="415" t="s">
        <v>174</v>
      </c>
    </row>
    <row r="177" spans="1:39" ht="20.25" customHeight="1" thickBot="1">
      <c r="A177" s="792" t="s">
        <v>392</v>
      </c>
      <c r="B177" s="827"/>
      <c r="C177" s="323"/>
      <c r="D177" s="324"/>
      <c r="E177" s="325"/>
      <c r="F177" s="297"/>
      <c r="G177" s="297"/>
      <c r="H177" s="297"/>
      <c r="I177" s="298"/>
      <c r="J177" s="298"/>
      <c r="K177" s="297"/>
      <c r="L177" s="355"/>
      <c r="M177" s="343"/>
      <c r="N177" s="298"/>
      <c r="O177" s="298"/>
      <c r="P177" s="298"/>
      <c r="Q177" s="298"/>
      <c r="R177" s="298"/>
      <c r="S177" s="298"/>
      <c r="T177" s="367"/>
      <c r="U177" s="355"/>
      <c r="V177" s="325"/>
      <c r="W177" s="297"/>
      <c r="X177" s="297"/>
      <c r="Y177" s="298"/>
      <c r="Z177" s="298"/>
      <c r="AA177" s="298"/>
      <c r="AB177" s="297"/>
      <c r="AC177" s="375"/>
      <c r="AD177" s="355"/>
      <c r="AE177" s="376">
        <f t="shared" si="39"/>
        <v>0</v>
      </c>
      <c r="AF177" s="377"/>
      <c r="AG177" s="390"/>
      <c r="AH177" s="391">
        <f t="shared" si="33"/>
        <v>0</v>
      </c>
      <c r="AI177" s="412"/>
      <c r="AJ177" s="413">
        <f t="shared" si="36"/>
        <v>0</v>
      </c>
      <c r="AK177" s="414" t="s">
        <v>8</v>
      </c>
      <c r="AL177" s="397" t="s">
        <v>23</v>
      </c>
      <c r="AM177" s="415" t="s">
        <v>174</v>
      </c>
    </row>
    <row r="178" spans="1:39" ht="21" thickBot="1">
      <c r="A178" s="792" t="s">
        <v>392</v>
      </c>
      <c r="B178" s="827"/>
      <c r="C178" s="323"/>
      <c r="D178" s="324"/>
      <c r="E178" s="325"/>
      <c r="F178" s="297"/>
      <c r="G178" s="297"/>
      <c r="H178" s="297"/>
      <c r="I178" s="298"/>
      <c r="J178" s="298"/>
      <c r="K178" s="297"/>
      <c r="L178" s="355"/>
      <c r="M178" s="343"/>
      <c r="N178" s="298"/>
      <c r="O178" s="298"/>
      <c r="P178" s="298"/>
      <c r="Q178" s="298"/>
      <c r="R178" s="298"/>
      <c r="S178" s="298"/>
      <c r="T178" s="367"/>
      <c r="U178" s="355"/>
      <c r="V178" s="325"/>
      <c r="W178" s="297"/>
      <c r="X178" s="297"/>
      <c r="Y178" s="298"/>
      <c r="Z178" s="298"/>
      <c r="AA178" s="298"/>
      <c r="AB178" s="297"/>
      <c r="AC178" s="375"/>
      <c r="AD178" s="355"/>
      <c r="AE178" s="376">
        <f t="shared" si="39"/>
        <v>0</v>
      </c>
      <c r="AF178" s="377"/>
      <c r="AG178" s="390"/>
      <c r="AH178" s="391">
        <f t="shared" si="33"/>
        <v>0</v>
      </c>
      <c r="AI178" s="412"/>
      <c r="AJ178" s="413">
        <f t="shared" si="36"/>
        <v>0</v>
      </c>
      <c r="AK178" s="414" t="s">
        <v>8</v>
      </c>
      <c r="AL178" s="397" t="s">
        <v>23</v>
      </c>
      <c r="AM178" s="415" t="s">
        <v>174</v>
      </c>
    </row>
    <row r="179" spans="1:39" ht="19.5" thickBot="1">
      <c r="A179" s="828" t="s">
        <v>132</v>
      </c>
      <c r="B179" s="327"/>
      <c r="C179" s="327"/>
      <c r="D179" s="328"/>
      <c r="E179" s="329">
        <f>SUM(E148:E178)</f>
        <v>0</v>
      </c>
      <c r="F179" s="329">
        <f t="shared" ref="F179:AJ179" si="40">SUM(F148:F178)</f>
        <v>0</v>
      </c>
      <c r="G179" s="329">
        <f t="shared" si="40"/>
        <v>0</v>
      </c>
      <c r="H179" s="329">
        <f t="shared" si="40"/>
        <v>0</v>
      </c>
      <c r="I179" s="329">
        <f t="shared" si="40"/>
        <v>0</v>
      </c>
      <c r="J179" s="329">
        <f t="shared" si="40"/>
        <v>0</v>
      </c>
      <c r="K179" s="329">
        <f t="shared" si="40"/>
        <v>0</v>
      </c>
      <c r="L179" s="329">
        <f t="shared" si="40"/>
        <v>0</v>
      </c>
      <c r="M179" s="329">
        <f t="shared" si="40"/>
        <v>0</v>
      </c>
      <c r="N179" s="329">
        <f t="shared" si="40"/>
        <v>0</v>
      </c>
      <c r="O179" s="329">
        <f t="shared" si="40"/>
        <v>0</v>
      </c>
      <c r="P179" s="329">
        <f t="shared" si="40"/>
        <v>0</v>
      </c>
      <c r="Q179" s="329">
        <f t="shared" si="40"/>
        <v>0</v>
      </c>
      <c r="R179" s="329">
        <f t="shared" si="40"/>
        <v>0</v>
      </c>
      <c r="S179" s="329">
        <f t="shared" si="40"/>
        <v>0</v>
      </c>
      <c r="T179" s="329">
        <f t="shared" si="40"/>
        <v>0</v>
      </c>
      <c r="U179" s="329">
        <f t="shared" si="40"/>
        <v>0</v>
      </c>
      <c r="V179" s="329">
        <f t="shared" si="40"/>
        <v>0</v>
      </c>
      <c r="W179" s="329">
        <f t="shared" si="40"/>
        <v>0</v>
      </c>
      <c r="X179" s="329">
        <f t="shared" si="40"/>
        <v>0</v>
      </c>
      <c r="Y179" s="329">
        <f t="shared" si="40"/>
        <v>0</v>
      </c>
      <c r="Z179" s="329">
        <f t="shared" si="40"/>
        <v>0</v>
      </c>
      <c r="AA179" s="329">
        <f t="shared" si="40"/>
        <v>0</v>
      </c>
      <c r="AB179" s="329">
        <f t="shared" si="40"/>
        <v>0</v>
      </c>
      <c r="AC179" s="329">
        <f t="shared" si="40"/>
        <v>0</v>
      </c>
      <c r="AD179" s="329">
        <f t="shared" si="40"/>
        <v>0</v>
      </c>
      <c r="AE179" s="329">
        <f t="shared" si="40"/>
        <v>0</v>
      </c>
      <c r="AF179" s="329">
        <f t="shared" si="40"/>
        <v>0</v>
      </c>
      <c r="AG179" s="329">
        <f t="shared" si="40"/>
        <v>0</v>
      </c>
      <c r="AH179" s="329">
        <f t="shared" si="40"/>
        <v>0</v>
      </c>
      <c r="AI179" s="329">
        <f t="shared" si="40"/>
        <v>0</v>
      </c>
      <c r="AJ179" s="329">
        <f t="shared" si="40"/>
        <v>0</v>
      </c>
      <c r="AK179" s="399">
        <f>'BIG CHAIR'!CL165</f>
        <v>0</v>
      </c>
      <c r="AL179" s="400">
        <f>'Tea Table'!X257</f>
        <v>0</v>
      </c>
      <c r="AM179" s="401">
        <f>AH179+AK179+AL179</f>
        <v>0</v>
      </c>
    </row>
    <row r="180" spans="1:39" s="284" customFormat="1" ht="14.25" customHeight="1" thickBot="1">
      <c r="A180" s="425"/>
      <c r="B180" s="426"/>
      <c r="C180" s="426"/>
      <c r="D180" s="427"/>
      <c r="E180" s="428"/>
      <c r="F180" s="428"/>
      <c r="G180" s="428"/>
      <c r="H180" s="428"/>
      <c r="I180" s="428"/>
      <c r="J180" s="428"/>
      <c r="K180" s="428"/>
      <c r="L180" s="478"/>
      <c r="M180" s="479"/>
      <c r="N180" s="479"/>
      <c r="O180" s="479"/>
      <c r="P180" s="479"/>
      <c r="Q180" s="479"/>
      <c r="R180" s="479"/>
      <c r="S180" s="479"/>
      <c r="T180" s="479"/>
      <c r="U180" s="478"/>
      <c r="V180" s="479"/>
      <c r="W180" s="479"/>
      <c r="X180" s="479"/>
      <c r="Y180" s="479"/>
      <c r="Z180" s="479"/>
      <c r="AA180" s="479"/>
      <c r="AB180" s="479"/>
      <c r="AC180" s="479"/>
      <c r="AD180" s="478"/>
      <c r="AE180" s="479"/>
      <c r="AF180" s="479"/>
      <c r="AG180" s="479"/>
      <c r="AH180" s="479"/>
      <c r="AI180" s="479"/>
      <c r="AJ180" s="506"/>
      <c r="AK180" s="403"/>
      <c r="AL180" s="403"/>
      <c r="AM180" s="403"/>
    </row>
    <row r="181" spans="1:39" s="282" customFormat="1" ht="16.5" thickBot="1">
      <c r="A181" s="429" t="s">
        <v>179</v>
      </c>
      <c r="B181" s="287" t="s">
        <v>68</v>
      </c>
      <c r="C181" s="287" t="s">
        <v>69</v>
      </c>
      <c r="D181" s="288" t="s">
        <v>70</v>
      </c>
      <c r="E181" s="88" t="s">
        <v>250</v>
      </c>
      <c r="F181" s="744" t="s">
        <v>394</v>
      </c>
      <c r="G181" s="30" t="s">
        <v>395</v>
      </c>
      <c r="H181" s="744" t="s">
        <v>92</v>
      </c>
      <c r="I181" s="744" t="s">
        <v>407</v>
      </c>
      <c r="J181" s="751" t="s">
        <v>433</v>
      </c>
      <c r="K181" s="783" t="s">
        <v>546</v>
      </c>
      <c r="L181" s="79" t="s">
        <v>462</v>
      </c>
      <c r="M181" s="80" t="s">
        <v>53</v>
      </c>
      <c r="N181" s="49"/>
      <c r="O181" s="49" t="s">
        <v>94</v>
      </c>
      <c r="P181" s="49"/>
      <c r="Q181" s="49" t="s">
        <v>190</v>
      </c>
      <c r="R181" s="49" t="s">
        <v>476</v>
      </c>
      <c r="S181" s="126" t="s">
        <v>548</v>
      </c>
      <c r="T181" s="171" t="s">
        <v>482</v>
      </c>
      <c r="U181" s="79"/>
      <c r="V181" s="80" t="s">
        <v>53</v>
      </c>
      <c r="W181" s="714"/>
      <c r="X181" s="49" t="s">
        <v>94</v>
      </c>
      <c r="Y181" s="103"/>
      <c r="Z181" s="104"/>
      <c r="AA181" s="716"/>
      <c r="AB181" s="121"/>
      <c r="AC181" s="717"/>
      <c r="AD181" s="79"/>
      <c r="AE181" s="371" t="s">
        <v>172</v>
      </c>
      <c r="AF181" s="372" t="s">
        <v>80</v>
      </c>
      <c r="AG181" s="385"/>
      <c r="AH181" s="386" t="s">
        <v>106</v>
      </c>
      <c r="AI181" s="385" t="s">
        <v>173</v>
      </c>
      <c r="AJ181" s="371" t="s">
        <v>108</v>
      </c>
    </row>
    <row r="182" spans="1:39" s="283" customFormat="1" ht="20.25">
      <c r="A182" s="430"/>
      <c r="B182" s="431"/>
      <c r="C182" s="431"/>
      <c r="D182" s="432"/>
      <c r="E182" s="325"/>
      <c r="F182" s="297"/>
      <c r="G182" s="297"/>
      <c r="H182" s="297"/>
      <c r="I182" s="298"/>
      <c r="J182" s="298"/>
      <c r="K182" s="297"/>
      <c r="L182" s="355"/>
      <c r="M182" s="343"/>
      <c r="N182" s="298"/>
      <c r="O182" s="435"/>
      <c r="P182" s="298"/>
      <c r="Q182" s="298"/>
      <c r="R182" s="435"/>
      <c r="S182" s="298"/>
      <c r="T182" s="367"/>
      <c r="U182" s="355"/>
      <c r="V182" s="325"/>
      <c r="W182" s="297"/>
      <c r="X182" s="297"/>
      <c r="Y182" s="298"/>
      <c r="Z182" s="298"/>
      <c r="AA182" s="298"/>
      <c r="AB182" s="297"/>
      <c r="AC182" s="375"/>
      <c r="AD182" s="355"/>
      <c r="AE182" s="377">
        <f>SUM(E182:AC182)</f>
        <v>0</v>
      </c>
      <c r="AF182" s="377"/>
      <c r="AG182" s="390"/>
      <c r="AH182" s="507">
        <f>AE182+AF182</f>
        <v>0</v>
      </c>
      <c r="AI182" s="412"/>
      <c r="AJ182" s="508">
        <f>AH182+AI182</f>
        <v>0</v>
      </c>
    </row>
    <row r="183" spans="1:39" s="283" customFormat="1" ht="20.25">
      <c r="A183" s="430"/>
      <c r="B183" s="431"/>
      <c r="C183" s="431"/>
      <c r="D183" s="432"/>
      <c r="E183" s="325"/>
      <c r="F183" s="297"/>
      <c r="G183" s="297"/>
      <c r="H183" s="297"/>
      <c r="I183" s="298"/>
      <c r="J183" s="298"/>
      <c r="K183" s="297"/>
      <c r="L183" s="355"/>
      <c r="M183" s="343"/>
      <c r="N183" s="298"/>
      <c r="O183" s="298"/>
      <c r="P183" s="298"/>
      <c r="Q183" s="298"/>
      <c r="R183" s="298"/>
      <c r="S183" s="298"/>
      <c r="T183" s="367"/>
      <c r="U183" s="355"/>
      <c r="V183" s="325"/>
      <c r="W183" s="297"/>
      <c r="X183" s="297"/>
      <c r="Y183" s="298"/>
      <c r="Z183" s="298"/>
      <c r="AA183" s="298"/>
      <c r="AB183" s="297"/>
      <c r="AC183" s="375"/>
      <c r="AD183" s="355"/>
      <c r="AE183" s="377">
        <f>SUM(E183:AC183)</f>
        <v>0</v>
      </c>
      <c r="AF183" s="377"/>
      <c r="AG183" s="390"/>
      <c r="AH183" s="507">
        <f>AE183+AF183</f>
        <v>0</v>
      </c>
      <c r="AI183" s="412"/>
      <c r="AJ183" s="508">
        <f>AH183+AI183</f>
        <v>0</v>
      </c>
    </row>
    <row r="184" spans="1:39" s="283" customFormat="1" ht="20.25">
      <c r="A184" s="322"/>
      <c r="B184" s="323"/>
      <c r="C184" s="323"/>
      <c r="D184" s="324"/>
      <c r="E184" s="325"/>
      <c r="F184" s="297"/>
      <c r="G184" s="297"/>
      <c r="H184" s="297"/>
      <c r="I184" s="298"/>
      <c r="J184" s="298"/>
      <c r="K184" s="297"/>
      <c r="L184" s="355"/>
      <c r="M184" s="343"/>
      <c r="N184" s="298"/>
      <c r="O184" s="298"/>
      <c r="P184" s="298"/>
      <c r="Q184" s="298"/>
      <c r="R184" s="298"/>
      <c r="S184" s="298"/>
      <c r="T184" s="367"/>
      <c r="U184" s="355"/>
      <c r="V184" s="325"/>
      <c r="W184" s="297"/>
      <c r="X184" s="297"/>
      <c r="Y184" s="298"/>
      <c r="Z184" s="298"/>
      <c r="AA184" s="298"/>
      <c r="AB184" s="297"/>
      <c r="AC184" s="375"/>
      <c r="AD184" s="355"/>
      <c r="AE184" s="377">
        <f>SUM(E184:AC184)</f>
        <v>0</v>
      </c>
      <c r="AF184" s="377"/>
      <c r="AG184" s="390"/>
      <c r="AH184" s="507">
        <f>AE184+AF184</f>
        <v>0</v>
      </c>
      <c r="AI184" s="412"/>
      <c r="AJ184" s="508">
        <f>AH184+AI184</f>
        <v>0</v>
      </c>
    </row>
    <row r="185" spans="1:39" s="283" customFormat="1" ht="20.25">
      <c r="A185" s="322"/>
      <c r="B185" s="323"/>
      <c r="C185" s="323"/>
      <c r="D185" s="324"/>
      <c r="E185" s="325"/>
      <c r="F185" s="297"/>
      <c r="G185" s="297"/>
      <c r="H185" s="297"/>
      <c r="I185" s="298"/>
      <c r="J185" s="298"/>
      <c r="K185" s="297"/>
      <c r="L185" s="355"/>
      <c r="M185" s="343"/>
      <c r="N185" s="298"/>
      <c r="O185" s="298"/>
      <c r="P185" s="298"/>
      <c r="Q185" s="298"/>
      <c r="R185" s="298"/>
      <c r="S185" s="298"/>
      <c r="T185" s="367"/>
      <c r="U185" s="355"/>
      <c r="V185" s="325"/>
      <c r="W185" s="297"/>
      <c r="X185" s="297"/>
      <c r="Y185" s="298"/>
      <c r="Z185" s="298"/>
      <c r="AA185" s="298"/>
      <c r="AB185" s="297"/>
      <c r="AC185" s="375"/>
      <c r="AD185" s="355"/>
      <c r="AE185" s="377">
        <f>SUM(E185:AC185)</f>
        <v>0</v>
      </c>
      <c r="AF185" s="377"/>
      <c r="AG185" s="390"/>
      <c r="AH185" s="507">
        <f>AE185+AF185</f>
        <v>0</v>
      </c>
      <c r="AI185" s="412"/>
      <c r="AJ185" s="508">
        <f>AH185+AI185</f>
        <v>0</v>
      </c>
    </row>
    <row r="186" spans="1:39" s="283" customFormat="1" ht="21" thickBot="1">
      <c r="A186" s="322"/>
      <c r="B186" s="323"/>
      <c r="C186" s="323"/>
      <c r="D186" s="324"/>
      <c r="E186" s="325"/>
      <c r="F186" s="297"/>
      <c r="G186" s="297"/>
      <c r="H186" s="297"/>
      <c r="I186" s="298"/>
      <c r="J186" s="298"/>
      <c r="K186" s="297"/>
      <c r="L186" s="355"/>
      <c r="M186" s="343"/>
      <c r="N186" s="298"/>
      <c r="O186" s="298"/>
      <c r="P186" s="298"/>
      <c r="Q186" s="298"/>
      <c r="R186" s="298"/>
      <c r="S186" s="298"/>
      <c r="T186" s="367"/>
      <c r="U186" s="355"/>
      <c r="V186" s="325"/>
      <c r="W186" s="297"/>
      <c r="X186" s="297"/>
      <c r="Y186" s="298"/>
      <c r="Z186" s="298"/>
      <c r="AA186" s="298"/>
      <c r="AB186" s="297"/>
      <c r="AC186" s="375"/>
      <c r="AD186" s="355"/>
      <c r="AE186" s="377">
        <f>SUM(E186:AC186)</f>
        <v>0</v>
      </c>
      <c r="AF186" s="377"/>
      <c r="AG186" s="390"/>
      <c r="AH186" s="507">
        <f>AE186+AF186</f>
        <v>0</v>
      </c>
      <c r="AI186" s="412"/>
      <c r="AJ186" s="508">
        <f t="shared" ref="AJ186" si="41">AH186+AI186</f>
        <v>0</v>
      </c>
    </row>
    <row r="187" spans="1:39" s="283" customFormat="1" ht="21" thickBot="1">
      <c r="A187" s="436"/>
      <c r="B187" s="437"/>
      <c r="C187" s="437"/>
      <c r="D187" s="438"/>
      <c r="E187" s="439">
        <f>SUM(E182:E186)</f>
        <v>0</v>
      </c>
      <c r="F187" s="440">
        <f t="shared" ref="F187:T187" si="42">SUM(F182:F186)</f>
        <v>0</v>
      </c>
      <c r="G187" s="440">
        <f t="shared" si="42"/>
        <v>0</v>
      </c>
      <c r="H187" s="440">
        <f t="shared" si="42"/>
        <v>0</v>
      </c>
      <c r="I187" s="440">
        <f t="shared" si="42"/>
        <v>0</v>
      </c>
      <c r="J187" s="440">
        <f t="shared" si="42"/>
        <v>0</v>
      </c>
      <c r="K187" s="440">
        <f t="shared" si="42"/>
        <v>0</v>
      </c>
      <c r="L187" s="440">
        <f t="shared" si="42"/>
        <v>0</v>
      </c>
      <c r="M187" s="439">
        <f t="shared" si="42"/>
        <v>0</v>
      </c>
      <c r="N187" s="440">
        <f t="shared" si="42"/>
        <v>0</v>
      </c>
      <c r="O187" s="440">
        <f t="shared" si="42"/>
        <v>0</v>
      </c>
      <c r="P187" s="440">
        <f t="shared" si="42"/>
        <v>0</v>
      </c>
      <c r="Q187" s="440">
        <f t="shared" si="42"/>
        <v>0</v>
      </c>
      <c r="R187" s="440">
        <f t="shared" si="42"/>
        <v>0</v>
      </c>
      <c r="S187" s="440">
        <f t="shared" si="42"/>
        <v>0</v>
      </c>
      <c r="T187" s="481">
        <f t="shared" si="42"/>
        <v>0</v>
      </c>
      <c r="U187" s="482"/>
      <c r="V187" s="439">
        <f t="shared" ref="V187:AC187" si="43">SUM(V182:V186)</f>
        <v>0</v>
      </c>
      <c r="W187" s="440">
        <f t="shared" si="43"/>
        <v>0</v>
      </c>
      <c r="X187" s="440">
        <f t="shared" si="43"/>
        <v>0</v>
      </c>
      <c r="Y187" s="440">
        <f t="shared" si="43"/>
        <v>0</v>
      </c>
      <c r="Z187" s="440">
        <f t="shared" si="43"/>
        <v>0</v>
      </c>
      <c r="AA187" s="440">
        <f t="shared" si="43"/>
        <v>0</v>
      </c>
      <c r="AB187" s="440">
        <f t="shared" si="43"/>
        <v>0</v>
      </c>
      <c r="AC187" s="481">
        <f t="shared" si="43"/>
        <v>0</v>
      </c>
      <c r="AD187" s="482"/>
      <c r="AE187" s="494">
        <f>SUM(AE182:AE186)</f>
        <v>0</v>
      </c>
      <c r="AF187" s="494">
        <f t="shared" ref="AF187:AJ187" si="44">SUM(AF182:AF186)</f>
        <v>0</v>
      </c>
      <c r="AG187" s="494">
        <f t="shared" si="44"/>
        <v>0</v>
      </c>
      <c r="AH187" s="509">
        <f t="shared" si="44"/>
        <v>0</v>
      </c>
      <c r="AI187" s="494">
        <f t="shared" si="44"/>
        <v>0</v>
      </c>
      <c r="AJ187" s="515">
        <f t="shared" si="44"/>
        <v>0</v>
      </c>
    </row>
    <row r="188" spans="1:39" s="284" customFormat="1" ht="8.25" customHeight="1" thickBot="1">
      <c r="A188" s="425"/>
      <c r="B188" s="426"/>
      <c r="C188" s="426"/>
      <c r="D188" s="427"/>
      <c r="E188" s="428"/>
      <c r="F188" s="428"/>
      <c r="G188" s="428"/>
      <c r="H188" s="428"/>
      <c r="I188" s="428"/>
      <c r="J188" s="428"/>
      <c r="K188" s="428"/>
      <c r="L188" s="478"/>
      <c r="M188" s="479"/>
      <c r="N188" s="479"/>
      <c r="O188" s="479"/>
      <c r="P188" s="479"/>
      <c r="Q188" s="479"/>
      <c r="R188" s="479"/>
      <c r="S188" s="479"/>
      <c r="T188" s="479"/>
      <c r="U188" s="478"/>
      <c r="V188" s="479"/>
      <c r="W188" s="479"/>
      <c r="X188" s="479"/>
      <c r="Y188" s="479"/>
      <c r="Z188" s="479"/>
      <c r="AA188" s="479"/>
      <c r="AB188" s="479"/>
      <c r="AC188" s="479"/>
      <c r="AD188" s="478"/>
      <c r="AE188" s="479"/>
      <c r="AF188" s="479"/>
      <c r="AG188" s="479"/>
      <c r="AH188" s="479"/>
      <c r="AI188" s="479"/>
      <c r="AJ188" s="506"/>
      <c r="AK188" s="403"/>
      <c r="AL188" s="403"/>
      <c r="AM188" s="403"/>
    </row>
    <row r="189" spans="1:39" s="282" customFormat="1" ht="18.75" thickBot="1">
      <c r="A189" s="2969"/>
      <c r="B189" s="2568"/>
      <c r="C189" s="2568"/>
      <c r="D189" s="2569"/>
      <c r="E189" s="88" t="s">
        <v>250</v>
      </c>
      <c r="F189" s="744" t="s">
        <v>394</v>
      </c>
      <c r="G189" s="30" t="s">
        <v>395</v>
      </c>
      <c r="H189" s="744" t="s">
        <v>92</v>
      </c>
      <c r="I189" s="744" t="s">
        <v>407</v>
      </c>
      <c r="J189" s="751" t="s">
        <v>433</v>
      </c>
      <c r="K189" s="783" t="s">
        <v>546</v>
      </c>
      <c r="L189" s="79" t="s">
        <v>462</v>
      </c>
      <c r="M189" s="80" t="s">
        <v>53</v>
      </c>
      <c r="N189" s="49"/>
      <c r="O189" s="49" t="s">
        <v>94</v>
      </c>
      <c r="P189" s="49"/>
      <c r="Q189" s="49" t="s">
        <v>190</v>
      </c>
      <c r="R189" s="49" t="s">
        <v>476</v>
      </c>
      <c r="S189" s="126" t="s">
        <v>548</v>
      </c>
      <c r="T189" s="171" t="s">
        <v>482</v>
      </c>
      <c r="U189" s="79"/>
      <c r="V189" s="80" t="s">
        <v>53</v>
      </c>
      <c r="W189" s="714"/>
      <c r="X189" s="49" t="s">
        <v>94</v>
      </c>
      <c r="Y189" s="103"/>
      <c r="Z189" s="104"/>
      <c r="AA189" s="716"/>
      <c r="AB189" s="121"/>
      <c r="AC189" s="717"/>
      <c r="AD189" s="79"/>
      <c r="AE189" s="371" t="s">
        <v>172</v>
      </c>
      <c r="AF189" s="372" t="s">
        <v>80</v>
      </c>
      <c r="AG189" s="385"/>
      <c r="AH189" s="386" t="s">
        <v>106</v>
      </c>
      <c r="AI189" s="385" t="s">
        <v>173</v>
      </c>
      <c r="AJ189" s="371" t="s">
        <v>108</v>
      </c>
    </row>
    <row r="190" spans="1:39" s="283" customFormat="1" ht="20.25">
      <c r="A190" s="2968"/>
      <c r="B190" s="2965"/>
      <c r="C190" s="2626"/>
      <c r="D190" s="444"/>
      <c r="E190" s="433"/>
      <c r="F190" s="434"/>
      <c r="G190" s="434"/>
      <c r="H190" s="434"/>
      <c r="I190" s="435"/>
      <c r="J190" s="435"/>
      <c r="K190" s="434"/>
      <c r="L190" s="483"/>
      <c r="M190" s="484"/>
      <c r="N190" s="435"/>
      <c r="O190" s="435"/>
      <c r="P190" s="435"/>
      <c r="Q190" s="435"/>
      <c r="R190" s="435"/>
      <c r="S190" s="435"/>
      <c r="T190" s="492"/>
      <c r="U190" s="483"/>
      <c r="V190" s="433"/>
      <c r="W190" s="434"/>
      <c r="X190" s="434"/>
      <c r="Y190" s="435"/>
      <c r="Z190" s="435"/>
      <c r="AA190" s="435"/>
      <c r="AB190" s="434"/>
      <c r="AC190" s="495"/>
      <c r="AD190" s="483"/>
      <c r="AE190" s="496">
        <f>SUM(E190:AC190)</f>
        <v>0</v>
      </c>
      <c r="AF190" s="497"/>
      <c r="AG190" s="510"/>
      <c r="AH190" s="511">
        <f>AE190+AF190</f>
        <v>0</v>
      </c>
      <c r="AI190" s="512"/>
      <c r="AJ190" s="513">
        <f>AH190+AI190</f>
        <v>0</v>
      </c>
    </row>
    <row r="191" spans="1:39" s="283" customFormat="1" ht="20.25">
      <c r="A191" s="445"/>
      <c r="B191" s="2966"/>
      <c r="C191" s="732"/>
      <c r="D191" s="324"/>
      <c r="E191" s="325"/>
      <c r="F191" s="297"/>
      <c r="G191" s="297"/>
      <c r="H191" s="297"/>
      <c r="I191" s="298"/>
      <c r="J191" s="298"/>
      <c r="K191" s="297"/>
      <c r="L191" s="355"/>
      <c r="M191" s="343"/>
      <c r="N191" s="298"/>
      <c r="O191" s="298"/>
      <c r="P191" s="298"/>
      <c r="Q191" s="298"/>
      <c r="R191" s="298"/>
      <c r="S191" s="298"/>
      <c r="T191" s="367"/>
      <c r="U191" s="355"/>
      <c r="V191" s="325"/>
      <c r="W191" s="297"/>
      <c r="X191" s="297"/>
      <c r="Y191" s="298"/>
      <c r="Z191" s="298"/>
      <c r="AA191" s="298"/>
      <c r="AB191" s="297"/>
      <c r="AC191" s="375"/>
      <c r="AD191" s="355"/>
      <c r="AE191" s="376">
        <f>SUM(E191:AC191)</f>
        <v>0</v>
      </c>
      <c r="AF191" s="377"/>
      <c r="AG191" s="390"/>
      <c r="AH191" s="391">
        <f>AE191+AF191</f>
        <v>0</v>
      </c>
      <c r="AI191" s="412"/>
      <c r="AJ191" s="413">
        <f t="shared" ref="AJ191:AJ193" si="45">AH191+AI191</f>
        <v>0</v>
      </c>
    </row>
    <row r="192" spans="1:39" s="283" customFormat="1" ht="20.25">
      <c r="A192" s="445"/>
      <c r="B192" s="2966"/>
      <c r="C192" s="732"/>
      <c r="D192" s="324"/>
      <c r="E192" s="325"/>
      <c r="F192" s="297"/>
      <c r="G192" s="297"/>
      <c r="H192" s="297"/>
      <c r="I192" s="298"/>
      <c r="J192" s="298"/>
      <c r="K192" s="297"/>
      <c r="L192" s="355"/>
      <c r="M192" s="343"/>
      <c r="N192" s="298"/>
      <c r="O192" s="298"/>
      <c r="P192" s="298"/>
      <c r="Q192" s="298"/>
      <c r="R192" s="298"/>
      <c r="S192" s="298"/>
      <c r="T192" s="367"/>
      <c r="U192" s="355"/>
      <c r="V192" s="325"/>
      <c r="W192" s="297"/>
      <c r="X192" s="297"/>
      <c r="Y192" s="298"/>
      <c r="Z192" s="298"/>
      <c r="AA192" s="298"/>
      <c r="AB192" s="297"/>
      <c r="AC192" s="375"/>
      <c r="AD192" s="355"/>
      <c r="AE192" s="376">
        <f>SUM(E192:AC192)</f>
        <v>0</v>
      </c>
      <c r="AF192" s="377"/>
      <c r="AG192" s="390"/>
      <c r="AH192" s="391">
        <f>AE192+AF192</f>
        <v>0</v>
      </c>
      <c r="AI192" s="412"/>
      <c r="AJ192" s="413">
        <f t="shared" si="45"/>
        <v>0</v>
      </c>
    </row>
    <row r="193" spans="1:39" s="283" customFormat="1" ht="21" thickBot="1">
      <c r="A193" s="322"/>
      <c r="B193" s="2966"/>
      <c r="C193" s="732"/>
      <c r="D193" s="324"/>
      <c r="E193" s="325"/>
      <c r="F193" s="297"/>
      <c r="G193" s="297"/>
      <c r="H193" s="297"/>
      <c r="I193" s="298"/>
      <c r="J193" s="298"/>
      <c r="K193" s="297"/>
      <c r="L193" s="355"/>
      <c r="M193" s="343"/>
      <c r="N193" s="298"/>
      <c r="O193" s="298"/>
      <c r="P193" s="298"/>
      <c r="Q193" s="298"/>
      <c r="R193" s="298"/>
      <c r="S193" s="298"/>
      <c r="T193" s="367"/>
      <c r="U193" s="355"/>
      <c r="V193" s="325"/>
      <c r="W193" s="297"/>
      <c r="X193" s="297"/>
      <c r="Y193" s="298"/>
      <c r="Z193" s="298"/>
      <c r="AA193" s="298"/>
      <c r="AB193" s="297"/>
      <c r="AC193" s="375"/>
      <c r="AD193" s="355"/>
      <c r="AE193" s="377">
        <f>SUM(E193:AC193)</f>
        <v>0</v>
      </c>
      <c r="AF193" s="377"/>
      <c r="AG193" s="390"/>
      <c r="AH193" s="507">
        <f>AE193+AF193</f>
        <v>0</v>
      </c>
      <c r="AI193" s="412"/>
      <c r="AJ193" s="508">
        <f t="shared" si="45"/>
        <v>0</v>
      </c>
    </row>
    <row r="194" spans="1:39" s="283" customFormat="1" ht="21" thickBot="1">
      <c r="A194" s="436"/>
      <c r="B194" s="2967"/>
      <c r="C194" s="2621"/>
      <c r="D194" s="438"/>
      <c r="E194" s="439">
        <f>SUM(E190:E193)</f>
        <v>0</v>
      </c>
      <c r="F194" s="439">
        <f t="shared" ref="F194:T194" si="46">SUM(F190:F193)</f>
        <v>0</v>
      </c>
      <c r="G194" s="439">
        <f t="shared" si="46"/>
        <v>0</v>
      </c>
      <c r="H194" s="439">
        <f t="shared" si="46"/>
        <v>0</v>
      </c>
      <c r="I194" s="439">
        <f t="shared" si="46"/>
        <v>0</v>
      </c>
      <c r="J194" s="439">
        <f t="shared" si="46"/>
        <v>0</v>
      </c>
      <c r="K194" s="439">
        <f t="shared" si="46"/>
        <v>0</v>
      </c>
      <c r="L194" s="439">
        <f t="shared" si="46"/>
        <v>0</v>
      </c>
      <c r="M194" s="439">
        <f t="shared" si="46"/>
        <v>0</v>
      </c>
      <c r="N194" s="439">
        <f t="shared" si="46"/>
        <v>0</v>
      </c>
      <c r="O194" s="439">
        <f t="shared" si="46"/>
        <v>0</v>
      </c>
      <c r="P194" s="439">
        <f t="shared" si="46"/>
        <v>0</v>
      </c>
      <c r="Q194" s="439">
        <f t="shared" si="46"/>
        <v>0</v>
      </c>
      <c r="R194" s="439">
        <f t="shared" si="46"/>
        <v>0</v>
      </c>
      <c r="S194" s="439">
        <f t="shared" si="46"/>
        <v>0</v>
      </c>
      <c r="T194" s="439">
        <f t="shared" si="46"/>
        <v>0</v>
      </c>
      <c r="U194" s="482"/>
      <c r="V194" s="439">
        <f>SUM(V190:V193)</f>
        <v>0</v>
      </c>
      <c r="W194" s="439">
        <f t="shared" ref="W194:AC194" si="47">SUM(W190:W193)</f>
        <v>0</v>
      </c>
      <c r="X194" s="439">
        <f t="shared" si="47"/>
        <v>0</v>
      </c>
      <c r="Y194" s="439">
        <f t="shared" si="47"/>
        <v>0</v>
      </c>
      <c r="Z194" s="439">
        <f t="shared" si="47"/>
        <v>0</v>
      </c>
      <c r="AA194" s="439">
        <f t="shared" si="47"/>
        <v>0</v>
      </c>
      <c r="AB194" s="439">
        <f t="shared" si="47"/>
        <v>0</v>
      </c>
      <c r="AC194" s="439">
        <f t="shared" si="47"/>
        <v>0</v>
      </c>
      <c r="AD194" s="482"/>
      <c r="AE194" s="494">
        <f>SUM(AE190:AE193)</f>
        <v>0</v>
      </c>
      <c r="AF194" s="494">
        <f>SUM(AF190:AF193)</f>
        <v>0</v>
      </c>
      <c r="AG194" s="509"/>
      <c r="AH194" s="514">
        <f>SUM(AH190:AH193)</f>
        <v>0</v>
      </c>
      <c r="AI194" s="494">
        <f>SUM(AI190:AI193)</f>
        <v>0</v>
      </c>
      <c r="AJ194" s="515">
        <f>SUM(AJ190:AJ193)</f>
        <v>0</v>
      </c>
    </row>
    <row r="195" spans="1:39" s="284" customFormat="1" ht="8.25" customHeight="1" thickBot="1">
      <c r="A195" s="425"/>
      <c r="B195" s="426"/>
      <c r="C195" s="426"/>
      <c r="D195" s="427"/>
      <c r="E195" s="428"/>
      <c r="F195" s="428"/>
      <c r="G195" s="428"/>
      <c r="H195" s="428"/>
      <c r="I195" s="428"/>
      <c r="J195" s="428"/>
      <c r="K195" s="428"/>
      <c r="L195" s="478"/>
      <c r="M195" s="479"/>
      <c r="N195" s="479"/>
      <c r="O195" s="479"/>
      <c r="P195" s="479"/>
      <c r="Q195" s="479"/>
      <c r="R195" s="479"/>
      <c r="S195" s="479"/>
      <c r="T195" s="479"/>
      <c r="U195" s="478"/>
      <c r="V195" s="479"/>
      <c r="W195" s="479"/>
      <c r="X195" s="479"/>
      <c r="Y195" s="479"/>
      <c r="Z195" s="479"/>
      <c r="AA195" s="479"/>
      <c r="AB195" s="479"/>
      <c r="AC195" s="479"/>
      <c r="AD195" s="478"/>
      <c r="AE195" s="479"/>
      <c r="AF195" s="479"/>
      <c r="AG195" s="479"/>
      <c r="AH195" s="479"/>
      <c r="AI195" s="479"/>
      <c r="AJ195" s="506"/>
      <c r="AK195" s="403"/>
      <c r="AL195" s="403"/>
      <c r="AM195" s="403"/>
    </row>
    <row r="196" spans="1:39" s="282" customFormat="1" ht="16.5" thickBot="1">
      <c r="A196" s="446" t="s">
        <v>140</v>
      </c>
      <c r="B196" s="287" t="s">
        <v>68</v>
      </c>
      <c r="C196" s="447" t="s">
        <v>69</v>
      </c>
      <c r="D196" s="448" t="s">
        <v>70</v>
      </c>
      <c r="E196" s="88" t="s">
        <v>250</v>
      </c>
      <c r="F196" s="744" t="s">
        <v>394</v>
      </c>
      <c r="G196" s="30" t="s">
        <v>395</v>
      </c>
      <c r="H196" s="744" t="s">
        <v>92</v>
      </c>
      <c r="I196" s="744" t="s">
        <v>407</v>
      </c>
      <c r="J196" s="751" t="s">
        <v>433</v>
      </c>
      <c r="K196" s="783" t="s">
        <v>546</v>
      </c>
      <c r="L196" s="79" t="s">
        <v>381</v>
      </c>
      <c r="M196" s="80" t="s">
        <v>53</v>
      </c>
      <c r="N196" s="49"/>
      <c r="O196" s="49" t="s">
        <v>94</v>
      </c>
      <c r="P196" s="49"/>
      <c r="Q196" s="49" t="s">
        <v>190</v>
      </c>
      <c r="R196" s="49" t="s">
        <v>476</v>
      </c>
      <c r="S196" s="126" t="s">
        <v>548</v>
      </c>
      <c r="T196" s="171" t="s">
        <v>482</v>
      </c>
      <c r="U196" s="79"/>
      <c r="V196" s="80" t="s">
        <v>53</v>
      </c>
      <c r="W196" s="714"/>
      <c r="X196" s="49" t="s">
        <v>94</v>
      </c>
      <c r="Y196" s="103"/>
      <c r="Z196" s="104"/>
      <c r="AA196" s="716"/>
      <c r="AB196" s="121"/>
      <c r="AC196" s="717"/>
      <c r="AD196" s="79"/>
      <c r="AE196" s="371" t="s">
        <v>172</v>
      </c>
      <c r="AF196" s="498" t="s">
        <v>80</v>
      </c>
      <c r="AG196" s="385"/>
      <c r="AH196" s="386" t="s">
        <v>106</v>
      </c>
      <c r="AI196" s="385" t="s">
        <v>173</v>
      </c>
      <c r="AJ196" s="371" t="s">
        <v>108</v>
      </c>
    </row>
    <row r="197" spans="1:39" s="283" customFormat="1" ht="20.25">
      <c r="A197" s="449" t="s">
        <v>180</v>
      </c>
      <c r="B197" s="450"/>
      <c r="C197" s="450"/>
      <c r="D197" s="451"/>
      <c r="E197" s="452"/>
      <c r="F197" s="453"/>
      <c r="G197" s="453"/>
      <c r="H197" s="453"/>
      <c r="I197" s="454"/>
      <c r="J197" s="454"/>
      <c r="K197" s="453"/>
      <c r="L197" s="355"/>
      <c r="M197" s="343"/>
      <c r="N197" s="298"/>
      <c r="O197" s="435"/>
      <c r="P197" s="298"/>
      <c r="Q197" s="298"/>
      <c r="R197" s="435"/>
      <c r="S197" s="298"/>
      <c r="T197" s="367"/>
      <c r="U197" s="355"/>
      <c r="V197" s="325"/>
      <c r="W197" s="297"/>
      <c r="X197" s="297"/>
      <c r="Y197" s="298"/>
      <c r="Z197" s="298"/>
      <c r="AA197" s="298"/>
      <c r="AB197" s="297"/>
      <c r="AC197" s="375"/>
      <c r="AD197" s="355"/>
      <c r="AE197" s="376">
        <f t="shared" ref="AE197:AE202" si="48">SUM(E197:AC197)</f>
        <v>0</v>
      </c>
      <c r="AF197" s="499"/>
      <c r="AG197" s="516"/>
      <c r="AH197" s="391">
        <f t="shared" ref="AH197:AH202" si="49">AE197+AF197</f>
        <v>0</v>
      </c>
      <c r="AI197" s="412"/>
      <c r="AJ197" s="413">
        <f>AH197+AI197</f>
        <v>0</v>
      </c>
    </row>
    <row r="198" spans="1:39" s="283" customFormat="1" ht="20.25">
      <c r="A198" s="445"/>
      <c r="B198" s="455"/>
      <c r="C198" s="455"/>
      <c r="D198" s="456"/>
      <c r="E198" s="457"/>
      <c r="F198" s="458"/>
      <c r="G198" s="458"/>
      <c r="H198" s="458"/>
      <c r="I198" s="459"/>
      <c r="J198" s="459"/>
      <c r="K198" s="458"/>
      <c r="L198" s="355"/>
      <c r="M198" s="756"/>
      <c r="N198" s="459"/>
      <c r="O198" s="459"/>
      <c r="P198" s="459"/>
      <c r="Q198" s="459"/>
      <c r="R198" s="459"/>
      <c r="S198" s="459"/>
      <c r="T198" s="761"/>
      <c r="U198" s="355"/>
      <c r="V198" s="458"/>
      <c r="W198" s="458"/>
      <c r="X198" s="458"/>
      <c r="Y198" s="459"/>
      <c r="Z198" s="459"/>
      <c r="AA198" s="459"/>
      <c r="AB198" s="458"/>
      <c r="AC198" s="458"/>
      <c r="AD198" s="355"/>
      <c r="AE198" s="376">
        <f t="shared" si="48"/>
        <v>0</v>
      </c>
      <c r="AF198" s="500"/>
      <c r="AG198" s="516"/>
      <c r="AH198" s="391">
        <f t="shared" si="49"/>
        <v>0</v>
      </c>
      <c r="AI198" s="412"/>
      <c r="AJ198" s="413">
        <f t="shared" ref="AJ198:AJ202" si="50">AH198+AI198</f>
        <v>0</v>
      </c>
    </row>
    <row r="199" spans="1:39" s="283" customFormat="1" ht="20.25">
      <c r="A199" s="442"/>
      <c r="B199" s="455"/>
      <c r="C199" s="455"/>
      <c r="D199" s="456"/>
      <c r="E199" s="457"/>
      <c r="F199" s="458"/>
      <c r="G199" s="458"/>
      <c r="H199" s="458"/>
      <c r="I199" s="459"/>
      <c r="J199" s="459"/>
      <c r="K199" s="458"/>
      <c r="L199" s="483"/>
      <c r="M199" s="484"/>
      <c r="N199" s="435"/>
      <c r="O199" s="435"/>
      <c r="P199" s="435"/>
      <c r="Q199" s="435"/>
      <c r="R199" s="435"/>
      <c r="S199" s="435"/>
      <c r="T199" s="492"/>
      <c r="U199" s="483"/>
      <c r="V199" s="458"/>
      <c r="W199" s="458"/>
      <c r="X199" s="458"/>
      <c r="Y199" s="459"/>
      <c r="Z199" s="459"/>
      <c r="AA199" s="459"/>
      <c r="AB199" s="458"/>
      <c r="AC199" s="458"/>
      <c r="AD199" s="483"/>
      <c r="AE199" s="496">
        <f t="shared" si="48"/>
        <v>0</v>
      </c>
      <c r="AF199" s="500"/>
      <c r="AG199" s="517"/>
      <c r="AH199" s="511">
        <f t="shared" si="49"/>
        <v>0</v>
      </c>
      <c r="AI199" s="512"/>
      <c r="AJ199" s="513">
        <f t="shared" si="50"/>
        <v>0</v>
      </c>
    </row>
    <row r="200" spans="1:39" s="283" customFormat="1" ht="20.25">
      <c r="A200" s="445"/>
      <c r="B200" s="455"/>
      <c r="C200" s="455"/>
      <c r="D200" s="456"/>
      <c r="E200" s="457"/>
      <c r="F200" s="458"/>
      <c r="G200" s="458"/>
      <c r="H200" s="458"/>
      <c r="I200" s="459"/>
      <c r="J200" s="459"/>
      <c r="K200" s="458"/>
      <c r="L200" s="355"/>
      <c r="M200" s="343"/>
      <c r="N200" s="298"/>
      <c r="O200" s="298"/>
      <c r="P200" s="298"/>
      <c r="Q200" s="298"/>
      <c r="R200" s="298"/>
      <c r="S200" s="298"/>
      <c r="T200" s="367"/>
      <c r="U200" s="355"/>
      <c r="V200" s="325"/>
      <c r="W200" s="297"/>
      <c r="X200" s="297"/>
      <c r="Y200" s="298"/>
      <c r="Z200" s="298"/>
      <c r="AA200" s="298"/>
      <c r="AB200" s="297"/>
      <c r="AC200" s="375"/>
      <c r="AD200" s="355"/>
      <c r="AE200" s="376">
        <f t="shared" si="48"/>
        <v>0</v>
      </c>
      <c r="AF200" s="500"/>
      <c r="AG200" s="516"/>
      <c r="AH200" s="391">
        <f t="shared" si="49"/>
        <v>0</v>
      </c>
      <c r="AI200" s="412"/>
      <c r="AJ200" s="413">
        <f t="shared" si="50"/>
        <v>0</v>
      </c>
    </row>
    <row r="201" spans="1:39" s="283" customFormat="1" ht="20.25">
      <c r="A201" s="445"/>
      <c r="B201" s="455"/>
      <c r="C201" s="455"/>
      <c r="D201" s="456"/>
      <c r="E201" s="457"/>
      <c r="F201" s="458"/>
      <c r="G201" s="458"/>
      <c r="H201" s="458"/>
      <c r="I201" s="459"/>
      <c r="J201" s="459"/>
      <c r="K201" s="458"/>
      <c r="L201" s="355"/>
      <c r="M201" s="343"/>
      <c r="N201" s="298"/>
      <c r="O201" s="298"/>
      <c r="P201" s="298"/>
      <c r="Q201" s="298"/>
      <c r="R201" s="298"/>
      <c r="S201" s="298"/>
      <c r="T201" s="367"/>
      <c r="U201" s="355"/>
      <c r="V201" s="325"/>
      <c r="W201" s="297"/>
      <c r="X201" s="297"/>
      <c r="Y201" s="298"/>
      <c r="Z201" s="298"/>
      <c r="AA201" s="298"/>
      <c r="AB201" s="297"/>
      <c r="AC201" s="375"/>
      <c r="AD201" s="355"/>
      <c r="AE201" s="376">
        <f t="shared" si="48"/>
        <v>0</v>
      </c>
      <c r="AF201" s="500"/>
      <c r="AG201" s="516"/>
      <c r="AH201" s="391">
        <f t="shared" si="49"/>
        <v>0</v>
      </c>
      <c r="AI201" s="412"/>
      <c r="AJ201" s="413">
        <f t="shared" si="50"/>
        <v>0</v>
      </c>
    </row>
    <row r="202" spans="1:39" s="283" customFormat="1" ht="21" thickBot="1">
      <c r="A202" s="460"/>
      <c r="B202" s="461"/>
      <c r="C202" s="461"/>
      <c r="D202" s="462"/>
      <c r="E202" s="463"/>
      <c r="F202" s="464"/>
      <c r="G202" s="464"/>
      <c r="H202" s="464"/>
      <c r="I202" s="465"/>
      <c r="J202" s="465"/>
      <c r="K202" s="464"/>
      <c r="L202" s="355"/>
      <c r="M202" s="343"/>
      <c r="N202" s="298"/>
      <c r="O202" s="298"/>
      <c r="P202" s="298"/>
      <c r="Q202" s="298"/>
      <c r="R202" s="298"/>
      <c r="S202" s="298"/>
      <c r="T202" s="367"/>
      <c r="U202" s="355"/>
      <c r="V202" s="325"/>
      <c r="W202" s="297"/>
      <c r="X202" s="297"/>
      <c r="Y202" s="298"/>
      <c r="Z202" s="298"/>
      <c r="AA202" s="298"/>
      <c r="AB202" s="297"/>
      <c r="AC202" s="375"/>
      <c r="AD202" s="355"/>
      <c r="AE202" s="377">
        <f t="shared" si="48"/>
        <v>0</v>
      </c>
      <c r="AF202" s="501"/>
      <c r="AG202" s="516"/>
      <c r="AH202" s="507">
        <f t="shared" si="49"/>
        <v>0</v>
      </c>
      <c r="AI202" s="412"/>
      <c r="AJ202" s="508">
        <f t="shared" si="50"/>
        <v>0</v>
      </c>
    </row>
    <row r="203" spans="1:39" s="283" customFormat="1" ht="21" thickBot="1">
      <c r="A203" s="466"/>
      <c r="B203" s="467"/>
      <c r="C203" s="467"/>
      <c r="D203" s="468"/>
      <c r="E203" s="469">
        <f>SUM(E197:E202)</f>
        <v>0</v>
      </c>
      <c r="F203" s="469">
        <f t="shared" ref="F203:L203" si="51">SUM(F197:F202)</f>
        <v>0</v>
      </c>
      <c r="G203" s="469">
        <f t="shared" si="51"/>
        <v>0</v>
      </c>
      <c r="H203" s="469">
        <f t="shared" si="51"/>
        <v>0</v>
      </c>
      <c r="I203" s="469">
        <f t="shared" si="51"/>
        <v>0</v>
      </c>
      <c r="J203" s="469">
        <f t="shared" si="51"/>
        <v>0</v>
      </c>
      <c r="K203" s="469">
        <f t="shared" si="51"/>
        <v>0</v>
      </c>
      <c r="L203" s="469">
        <f t="shared" si="51"/>
        <v>0</v>
      </c>
      <c r="M203" s="439">
        <f>SUM(M197:M202)</f>
        <v>0</v>
      </c>
      <c r="N203" s="439">
        <f t="shared" ref="N203:T203" si="52">SUM(N197:N202)</f>
        <v>0</v>
      </c>
      <c r="O203" s="439">
        <f t="shared" si="52"/>
        <v>0</v>
      </c>
      <c r="P203" s="439">
        <f t="shared" si="52"/>
        <v>0</v>
      </c>
      <c r="Q203" s="439">
        <f t="shared" si="52"/>
        <v>0</v>
      </c>
      <c r="R203" s="439">
        <f t="shared" si="52"/>
        <v>0</v>
      </c>
      <c r="S203" s="439">
        <f t="shared" si="52"/>
        <v>0</v>
      </c>
      <c r="T203" s="439">
        <f t="shared" si="52"/>
        <v>0</v>
      </c>
      <c r="U203" s="482"/>
      <c r="V203" s="439">
        <f>SUM(V197:V202)</f>
        <v>0</v>
      </c>
      <c r="W203" s="439">
        <f t="shared" ref="W203:AC203" si="53">SUM(W197:W202)</f>
        <v>0</v>
      </c>
      <c r="X203" s="439">
        <f t="shared" si="53"/>
        <v>0</v>
      </c>
      <c r="Y203" s="439">
        <f t="shared" si="53"/>
        <v>0</v>
      </c>
      <c r="Z203" s="439">
        <f t="shared" si="53"/>
        <v>0</v>
      </c>
      <c r="AA203" s="439">
        <f t="shared" si="53"/>
        <v>0</v>
      </c>
      <c r="AB203" s="439">
        <f t="shared" si="53"/>
        <v>0</v>
      </c>
      <c r="AC203" s="439">
        <f t="shared" si="53"/>
        <v>0</v>
      </c>
      <c r="AD203" s="482"/>
      <c r="AE203" s="494">
        <f>SUM(AE197:AE202)</f>
        <v>0</v>
      </c>
      <c r="AF203" s="502">
        <f>SUM(AF197:AF202)</f>
        <v>0</v>
      </c>
      <c r="AG203" s="509"/>
      <c r="AH203" s="514">
        <f>SUM(AH197:AH202)</f>
        <v>0</v>
      </c>
      <c r="AI203" s="494">
        <f>SUM(AI197:AI202)</f>
        <v>0</v>
      </c>
      <c r="AJ203" s="515">
        <f>SUM(AJ197:AJ202)</f>
        <v>0</v>
      </c>
    </row>
    <row r="204" spans="1:39" s="284" customFormat="1" ht="8.25" customHeight="1" thickBot="1">
      <c r="A204" s="425"/>
      <c r="B204" s="426"/>
      <c r="C204" s="426"/>
      <c r="D204" s="427"/>
      <c r="E204" s="428"/>
      <c r="F204" s="428"/>
      <c r="G204" s="428"/>
      <c r="H204" s="428"/>
      <c r="I204" s="428"/>
      <c r="J204" s="428"/>
      <c r="K204" s="428"/>
      <c r="L204" s="478"/>
      <c r="M204" s="479"/>
      <c r="N204" s="479"/>
      <c r="O204" s="479"/>
      <c r="P204" s="479"/>
      <c r="Q204" s="479"/>
      <c r="R204" s="479"/>
      <c r="S204" s="479"/>
      <c r="T204" s="479"/>
      <c r="U204" s="478"/>
      <c r="V204" s="479"/>
      <c r="W204" s="479"/>
      <c r="X204" s="479"/>
      <c r="Y204" s="479"/>
      <c r="Z204" s="479"/>
      <c r="AA204" s="479"/>
      <c r="AB204" s="479"/>
      <c r="AC204" s="479"/>
      <c r="AD204" s="478"/>
      <c r="AE204" s="479"/>
      <c r="AF204" s="479"/>
      <c r="AG204" s="479"/>
      <c r="AH204" s="479"/>
      <c r="AI204" s="479"/>
      <c r="AJ204" s="506"/>
      <c r="AK204" s="403"/>
      <c r="AL204" s="403"/>
      <c r="AM204" s="403"/>
    </row>
    <row r="205" spans="1:39" s="282" customFormat="1" ht="18.75" thickBot="1">
      <c r="A205" s="441" t="s">
        <v>143</v>
      </c>
      <c r="B205" s="287" t="s">
        <v>68</v>
      </c>
      <c r="C205" s="287" t="s">
        <v>69</v>
      </c>
      <c r="D205" s="288" t="s">
        <v>70</v>
      </c>
      <c r="E205" s="88" t="s">
        <v>250</v>
      </c>
      <c r="F205" s="744" t="s">
        <v>394</v>
      </c>
      <c r="G205" s="30" t="s">
        <v>395</v>
      </c>
      <c r="H205" s="744" t="s">
        <v>92</v>
      </c>
      <c r="I205" s="744" t="s">
        <v>407</v>
      </c>
      <c r="J205" s="751" t="s">
        <v>433</v>
      </c>
      <c r="K205" s="783" t="s">
        <v>414</v>
      </c>
      <c r="L205" s="79" t="s">
        <v>462</v>
      </c>
      <c r="M205" s="80" t="s">
        <v>53</v>
      </c>
      <c r="N205" s="49"/>
      <c r="O205" s="49" t="s">
        <v>94</v>
      </c>
      <c r="P205" s="49"/>
      <c r="Q205" s="49" t="s">
        <v>190</v>
      </c>
      <c r="R205" s="49" t="s">
        <v>476</v>
      </c>
      <c r="S205" s="126" t="s">
        <v>548</v>
      </c>
      <c r="T205" s="171" t="s">
        <v>482</v>
      </c>
      <c r="U205" s="79"/>
      <c r="V205" s="80" t="s">
        <v>53</v>
      </c>
      <c r="W205" s="714"/>
      <c r="X205" s="49" t="s">
        <v>94</v>
      </c>
      <c r="Y205" s="103"/>
      <c r="Z205" s="104"/>
      <c r="AA205" s="716"/>
      <c r="AB205" s="121"/>
      <c r="AC205" s="717"/>
      <c r="AD205" s="79"/>
      <c r="AE205" s="371" t="s">
        <v>172</v>
      </c>
      <c r="AF205" s="372" t="s">
        <v>80</v>
      </c>
      <c r="AG205" s="385"/>
      <c r="AH205" s="386" t="s">
        <v>106</v>
      </c>
      <c r="AI205" s="385" t="s">
        <v>173</v>
      </c>
      <c r="AJ205" s="371" t="s">
        <v>108</v>
      </c>
    </row>
    <row r="206" spans="1:39" s="283" customFormat="1" ht="20.25">
      <c r="A206" s="471" t="s">
        <v>181</v>
      </c>
      <c r="B206" s="472"/>
      <c r="C206" s="472"/>
      <c r="D206" s="473"/>
      <c r="E206" s="474"/>
      <c r="F206" s="475"/>
      <c r="G206" s="475"/>
      <c r="H206" s="475"/>
      <c r="I206" s="476"/>
      <c r="J206" s="476"/>
      <c r="K206" s="475"/>
      <c r="L206" s="490"/>
      <c r="M206" s="491"/>
      <c r="N206" s="476"/>
      <c r="O206" s="476"/>
      <c r="P206" s="476"/>
      <c r="Q206" s="476"/>
      <c r="R206" s="476"/>
      <c r="S206" s="476"/>
      <c r="T206" s="493"/>
      <c r="U206" s="490"/>
      <c r="V206" s="474"/>
      <c r="W206" s="475"/>
      <c r="X206" s="475"/>
      <c r="Y206" s="476"/>
      <c r="Z206" s="476"/>
      <c r="AA206" s="476"/>
      <c r="AB206" s="475"/>
      <c r="AC206" s="503"/>
      <c r="AD206" s="490"/>
      <c r="AE206" s="504">
        <f>SUM(E206:AC206)</f>
        <v>0</v>
      </c>
      <c r="AF206" s="505"/>
      <c r="AG206" s="518"/>
      <c r="AH206" s="519">
        <f>AE206+AF206</f>
        <v>0</v>
      </c>
      <c r="AI206" s="520"/>
      <c r="AJ206" s="521">
        <f>AH206+AI206</f>
        <v>0</v>
      </c>
    </row>
    <row r="207" spans="1:39" s="283" customFormat="1" ht="20.25">
      <c r="A207" s="445"/>
      <c r="B207" s="323"/>
      <c r="C207" s="323"/>
      <c r="D207" s="324"/>
      <c r="E207" s="325"/>
      <c r="F207" s="297"/>
      <c r="G207" s="297"/>
      <c r="H207" s="297"/>
      <c r="I207" s="298"/>
      <c r="J207" s="298"/>
      <c r="K207" s="297"/>
      <c r="L207" s="355"/>
      <c r="M207" s="343"/>
      <c r="N207" s="298"/>
      <c r="O207" s="298"/>
      <c r="P207" s="298"/>
      <c r="Q207" s="298"/>
      <c r="R207" s="298"/>
      <c r="S207" s="298"/>
      <c r="T207" s="367"/>
      <c r="U207" s="355"/>
      <c r="V207" s="325"/>
      <c r="W207" s="297"/>
      <c r="X207" s="297"/>
      <c r="Y207" s="298"/>
      <c r="Z207" s="298"/>
      <c r="AA207" s="298"/>
      <c r="AB207" s="297"/>
      <c r="AC207" s="375"/>
      <c r="AD207" s="355"/>
      <c r="AE207" s="376">
        <f>SUM(E207:AC207)</f>
        <v>0</v>
      </c>
      <c r="AF207" s="377"/>
      <c r="AG207" s="390"/>
      <c r="AH207" s="391">
        <f>AE207+AF207</f>
        <v>0</v>
      </c>
      <c r="AI207" s="412"/>
      <c r="AJ207" s="413">
        <f t="shared" ref="AJ207:AJ210" si="54">AH207+AI207</f>
        <v>0</v>
      </c>
    </row>
    <row r="208" spans="1:39" s="283" customFormat="1" ht="20.25">
      <c r="A208" s="445"/>
      <c r="B208" s="323"/>
      <c r="C208" s="323"/>
      <c r="D208" s="324"/>
      <c r="E208" s="325"/>
      <c r="F208" s="297"/>
      <c r="G208" s="297"/>
      <c r="H208" s="297"/>
      <c r="I208" s="298"/>
      <c r="J208" s="298"/>
      <c r="K208" s="297"/>
      <c r="L208" s="355"/>
      <c r="M208" s="343"/>
      <c r="N208" s="298"/>
      <c r="O208" s="298"/>
      <c r="P208" s="298"/>
      <c r="Q208" s="298"/>
      <c r="R208" s="298"/>
      <c r="S208" s="298"/>
      <c r="T208" s="367"/>
      <c r="U208" s="355"/>
      <c r="V208" s="325"/>
      <c r="W208" s="297"/>
      <c r="X208" s="297"/>
      <c r="Y208" s="298"/>
      <c r="Z208" s="298"/>
      <c r="AA208" s="298"/>
      <c r="AB208" s="297"/>
      <c r="AC208" s="375"/>
      <c r="AD208" s="355"/>
      <c r="AE208" s="376">
        <f>SUM(E208:AC208)</f>
        <v>0</v>
      </c>
      <c r="AF208" s="377"/>
      <c r="AG208" s="390"/>
      <c r="AH208" s="391">
        <f>AE208+AF208</f>
        <v>0</v>
      </c>
      <c r="AI208" s="412"/>
      <c r="AJ208" s="413">
        <f t="shared" si="54"/>
        <v>0</v>
      </c>
    </row>
    <row r="209" spans="1:39" s="283" customFormat="1" ht="20.25">
      <c r="A209" s="445"/>
      <c r="B209" s="323"/>
      <c r="C209" s="323"/>
      <c r="D209" s="324"/>
      <c r="E209" s="325"/>
      <c r="F209" s="297"/>
      <c r="G209" s="297"/>
      <c r="H209" s="297"/>
      <c r="I209" s="298"/>
      <c r="J209" s="298"/>
      <c r="K209" s="297"/>
      <c r="L209" s="355"/>
      <c r="M209" s="343"/>
      <c r="N209" s="298"/>
      <c r="O209" s="298"/>
      <c r="P209" s="298"/>
      <c r="Q209" s="298"/>
      <c r="R209" s="298"/>
      <c r="S209" s="298"/>
      <c r="T209" s="367"/>
      <c r="U209" s="355"/>
      <c r="V209" s="325"/>
      <c r="W209" s="297"/>
      <c r="X209" s="297"/>
      <c r="Y209" s="298"/>
      <c r="Z209" s="298"/>
      <c r="AA209" s="298"/>
      <c r="AB209" s="297"/>
      <c r="AC209" s="375"/>
      <c r="AD209" s="355"/>
      <c r="AE209" s="376">
        <f>SUM(E209:AC209)</f>
        <v>0</v>
      </c>
      <c r="AF209" s="377"/>
      <c r="AG209" s="390"/>
      <c r="AH209" s="391">
        <f>AE209+AF209</f>
        <v>0</v>
      </c>
      <c r="AI209" s="412"/>
      <c r="AJ209" s="413">
        <f t="shared" si="54"/>
        <v>0</v>
      </c>
    </row>
    <row r="210" spans="1:39" s="283" customFormat="1" ht="21" thickBot="1">
      <c r="A210" s="322"/>
      <c r="B210" s="323"/>
      <c r="C210" s="323"/>
      <c r="D210" s="324"/>
      <c r="E210" s="325"/>
      <c r="F210" s="297"/>
      <c r="G210" s="297"/>
      <c r="H210" s="297"/>
      <c r="I210" s="298"/>
      <c r="J210" s="298"/>
      <c r="K210" s="297"/>
      <c r="L210" s="355"/>
      <c r="M210" s="343"/>
      <c r="N210" s="298"/>
      <c r="O210" s="298"/>
      <c r="P210" s="298"/>
      <c r="Q210" s="298"/>
      <c r="R210" s="298"/>
      <c r="S210" s="298"/>
      <c r="T210" s="367"/>
      <c r="U210" s="355"/>
      <c r="V210" s="325"/>
      <c r="W210" s="297"/>
      <c r="X210" s="297"/>
      <c r="Y210" s="298"/>
      <c r="Z210" s="298"/>
      <c r="AA210" s="298"/>
      <c r="AB210" s="297"/>
      <c r="AC210" s="375"/>
      <c r="AD210" s="355"/>
      <c r="AE210" s="377">
        <f>SUM(E210:AC210)</f>
        <v>0</v>
      </c>
      <c r="AF210" s="377"/>
      <c r="AG210" s="390"/>
      <c r="AH210" s="507">
        <f>AE210+AF210</f>
        <v>0</v>
      </c>
      <c r="AI210" s="412"/>
      <c r="AJ210" s="508">
        <f t="shared" si="54"/>
        <v>0</v>
      </c>
    </row>
    <row r="211" spans="1:39" s="283" customFormat="1" ht="21" thickBot="1">
      <c r="A211" s="436"/>
      <c r="B211" s="437"/>
      <c r="C211" s="437"/>
      <c r="D211" s="438"/>
      <c r="E211" s="439">
        <f>SUM(E206:E210)</f>
        <v>0</v>
      </c>
      <c r="F211" s="439">
        <f t="shared" ref="F211:L211" si="55">SUM(F206:F210)</f>
        <v>0</v>
      </c>
      <c r="G211" s="439">
        <f t="shared" si="55"/>
        <v>0</v>
      </c>
      <c r="H211" s="439">
        <f t="shared" si="55"/>
        <v>0</v>
      </c>
      <c r="I211" s="439">
        <f t="shared" si="55"/>
        <v>0</v>
      </c>
      <c r="J211" s="439">
        <f t="shared" si="55"/>
        <v>0</v>
      </c>
      <c r="K211" s="439">
        <f t="shared" si="55"/>
        <v>0</v>
      </c>
      <c r="L211" s="439">
        <f t="shared" si="55"/>
        <v>0</v>
      </c>
      <c r="M211" s="439">
        <f t="shared" ref="M211:T211" si="56">SUM(M206:M210)</f>
        <v>0</v>
      </c>
      <c r="N211" s="439">
        <f t="shared" si="56"/>
        <v>0</v>
      </c>
      <c r="O211" s="439">
        <f t="shared" si="56"/>
        <v>0</v>
      </c>
      <c r="P211" s="439">
        <f t="shared" si="56"/>
        <v>0</v>
      </c>
      <c r="Q211" s="439">
        <f t="shared" si="56"/>
        <v>0</v>
      </c>
      <c r="R211" s="439">
        <f t="shared" si="56"/>
        <v>0</v>
      </c>
      <c r="S211" s="439">
        <f t="shared" si="56"/>
        <v>0</v>
      </c>
      <c r="T211" s="439">
        <f t="shared" si="56"/>
        <v>0</v>
      </c>
      <c r="U211" s="482"/>
      <c r="V211" s="440">
        <f>SUM(V206:V210)</f>
        <v>0</v>
      </c>
      <c r="W211" s="440">
        <f t="shared" ref="W211:AC211" si="57">SUM(W206:W210)</f>
        <v>0</v>
      </c>
      <c r="X211" s="440">
        <f t="shared" si="57"/>
        <v>0</v>
      </c>
      <c r="Y211" s="440">
        <f t="shared" si="57"/>
        <v>0</v>
      </c>
      <c r="Z211" s="440">
        <f t="shared" si="57"/>
        <v>0</v>
      </c>
      <c r="AA211" s="440">
        <f t="shared" si="57"/>
        <v>0</v>
      </c>
      <c r="AB211" s="440">
        <f t="shared" si="57"/>
        <v>0</v>
      </c>
      <c r="AC211" s="440">
        <f t="shared" si="57"/>
        <v>0</v>
      </c>
      <c r="AD211" s="482"/>
      <c r="AE211" s="494">
        <f>SUM(AE206:AE210)</f>
        <v>0</v>
      </c>
      <c r="AF211" s="494">
        <f>SUM(AF206:AF210)</f>
        <v>0</v>
      </c>
      <c r="AG211" s="509"/>
      <c r="AH211" s="514">
        <f>SUM(AH206:AH210)</f>
        <v>0</v>
      </c>
      <c r="AI211" s="494">
        <f>SUM(AI206:AI210)</f>
        <v>0</v>
      </c>
      <c r="AJ211" s="515">
        <f>SUM(AJ206:AJ210)</f>
        <v>0</v>
      </c>
    </row>
    <row r="212" spans="1:39" s="284" customFormat="1" ht="8.25" customHeight="1" thickBot="1">
      <c r="A212" s="522"/>
      <c r="B212" s="523"/>
      <c r="C212" s="523"/>
      <c r="D212" s="524"/>
      <c r="E212" s="525"/>
      <c r="F212" s="525"/>
      <c r="G212" s="525"/>
      <c r="H212" s="525"/>
      <c r="I212" s="525"/>
      <c r="J212" s="525"/>
      <c r="K212" s="525"/>
      <c r="L212" s="572"/>
      <c r="M212" s="573"/>
      <c r="N212" s="573"/>
      <c r="O212" s="573"/>
      <c r="P212" s="573"/>
      <c r="Q212" s="573"/>
      <c r="R212" s="573"/>
      <c r="S212" s="573"/>
      <c r="T212" s="573"/>
      <c r="U212" s="572"/>
      <c r="V212" s="573"/>
      <c r="W212" s="573"/>
      <c r="X212" s="573"/>
      <c r="Y212" s="573"/>
      <c r="Z212" s="573"/>
      <c r="AA212" s="573"/>
      <c r="AB212" s="573"/>
      <c r="AC212" s="573"/>
      <c r="AD212" s="572"/>
      <c r="AE212" s="573"/>
      <c r="AF212" s="573"/>
      <c r="AG212" s="599"/>
      <c r="AH212" s="573"/>
      <c r="AI212" s="573"/>
      <c r="AJ212" s="600"/>
      <c r="AK212" s="403"/>
      <c r="AL212" s="403"/>
      <c r="AM212" s="403"/>
    </row>
    <row r="213" spans="1:39" ht="21" thickBot="1">
      <c r="A213" s="526" t="s">
        <v>145</v>
      </c>
      <c r="B213" s="527"/>
      <c r="C213" s="527"/>
      <c r="D213" s="528"/>
      <c r="E213" s="529">
        <f t="shared" ref="E213:L213" si="58">E4+E39+E64+E85+E113+E146+E187+E194+E203+E211+E179</f>
        <v>0</v>
      </c>
      <c r="F213" s="529">
        <f t="shared" si="58"/>
        <v>288</v>
      </c>
      <c r="G213" s="529">
        <f t="shared" si="58"/>
        <v>0</v>
      </c>
      <c r="H213" s="529">
        <f t="shared" si="58"/>
        <v>0</v>
      </c>
      <c r="I213" s="529">
        <f t="shared" si="58"/>
        <v>0</v>
      </c>
      <c r="J213" s="529">
        <f t="shared" si="58"/>
        <v>336</v>
      </c>
      <c r="K213" s="529">
        <f t="shared" si="58"/>
        <v>0</v>
      </c>
      <c r="L213" s="529">
        <f t="shared" si="58"/>
        <v>0</v>
      </c>
      <c r="M213" s="529">
        <f t="shared" ref="M213:T213" si="59">M4+M39+M64+M85+M113+M146+M187+M194+M203+M211++M179</f>
        <v>16</v>
      </c>
      <c r="N213" s="529">
        <f t="shared" si="59"/>
        <v>0</v>
      </c>
      <c r="O213" s="529">
        <f t="shared" si="59"/>
        <v>176</v>
      </c>
      <c r="P213" s="529">
        <f t="shared" si="59"/>
        <v>192</v>
      </c>
      <c r="Q213" s="529">
        <f t="shared" si="59"/>
        <v>560</v>
      </c>
      <c r="R213" s="529">
        <f t="shared" si="59"/>
        <v>0</v>
      </c>
      <c r="S213" s="529">
        <f t="shared" si="59"/>
        <v>944</v>
      </c>
      <c r="T213" s="529">
        <f t="shared" si="59"/>
        <v>688</v>
      </c>
      <c r="U213" s="574"/>
      <c r="V213" s="529">
        <f t="shared" ref="V213:AC213" si="60">V4+V39+V64+V85+V113+V146+V187+V194+V203+V211+V179</f>
        <v>0</v>
      </c>
      <c r="W213" s="529">
        <f t="shared" si="60"/>
        <v>0</v>
      </c>
      <c r="X213" s="529">
        <f t="shared" si="60"/>
        <v>0</v>
      </c>
      <c r="Y213" s="529">
        <f t="shared" si="60"/>
        <v>0</v>
      </c>
      <c r="Z213" s="529">
        <f t="shared" si="60"/>
        <v>0</v>
      </c>
      <c r="AA213" s="529">
        <f t="shared" si="60"/>
        <v>0</v>
      </c>
      <c r="AB213" s="529">
        <f t="shared" si="60"/>
        <v>0</v>
      </c>
      <c r="AC213" s="529">
        <f t="shared" si="60"/>
        <v>0</v>
      </c>
      <c r="AD213" s="574"/>
      <c r="AE213" s="529">
        <f t="shared" ref="AE213:AJ213" si="61">AE4+AE39+AE64+AE85+AE113+AE146+AE187+AE194+AE203+AE211+AE179</f>
        <v>3200</v>
      </c>
      <c r="AF213" s="529">
        <f t="shared" si="61"/>
        <v>0</v>
      </c>
      <c r="AG213" s="529">
        <f t="shared" si="61"/>
        <v>0</v>
      </c>
      <c r="AH213" s="529">
        <f t="shared" si="61"/>
        <v>3200</v>
      </c>
      <c r="AI213" s="529">
        <f t="shared" si="61"/>
        <v>0</v>
      </c>
      <c r="AJ213" s="529">
        <f t="shared" si="61"/>
        <v>3200</v>
      </c>
    </row>
    <row r="214" spans="1:39" ht="21" thickBot="1">
      <c r="A214" s="530" t="s">
        <v>152</v>
      </c>
      <c r="B214" s="531"/>
      <c r="C214" s="531"/>
      <c r="D214" s="532"/>
      <c r="E214" s="533">
        <f>E213/16</f>
        <v>0</v>
      </c>
      <c r="F214" s="533">
        <f>F213/16</f>
        <v>18</v>
      </c>
      <c r="G214" s="533">
        <f t="shared" ref="G214:AJ214" si="62">G213/16</f>
        <v>0</v>
      </c>
      <c r="H214" s="533">
        <f t="shared" si="62"/>
        <v>0</v>
      </c>
      <c r="I214" s="533">
        <f t="shared" si="62"/>
        <v>0</v>
      </c>
      <c r="J214" s="533">
        <f t="shared" si="62"/>
        <v>21</v>
      </c>
      <c r="K214" s="533">
        <f t="shared" si="62"/>
        <v>0</v>
      </c>
      <c r="L214" s="533">
        <f t="shared" si="62"/>
        <v>0</v>
      </c>
      <c r="M214" s="533">
        <f t="shared" si="62"/>
        <v>1</v>
      </c>
      <c r="N214" s="533">
        <f t="shared" si="62"/>
        <v>0</v>
      </c>
      <c r="O214" s="533">
        <f t="shared" si="62"/>
        <v>11</v>
      </c>
      <c r="P214" s="533">
        <f t="shared" si="62"/>
        <v>12</v>
      </c>
      <c r="Q214" s="533">
        <f t="shared" si="62"/>
        <v>35</v>
      </c>
      <c r="R214" s="533">
        <f t="shared" si="62"/>
        <v>0</v>
      </c>
      <c r="S214" s="533">
        <f t="shared" si="62"/>
        <v>59</v>
      </c>
      <c r="T214" s="533">
        <f t="shared" si="62"/>
        <v>43</v>
      </c>
      <c r="U214" s="533"/>
      <c r="V214" s="533">
        <f t="shared" si="62"/>
        <v>0</v>
      </c>
      <c r="W214" s="533">
        <f t="shared" si="62"/>
        <v>0</v>
      </c>
      <c r="X214" s="533">
        <f t="shared" si="62"/>
        <v>0</v>
      </c>
      <c r="Y214" s="533">
        <f t="shared" si="62"/>
        <v>0</v>
      </c>
      <c r="Z214" s="533">
        <f t="shared" si="62"/>
        <v>0</v>
      </c>
      <c r="AA214" s="533">
        <f t="shared" si="62"/>
        <v>0</v>
      </c>
      <c r="AB214" s="533">
        <f t="shared" si="62"/>
        <v>0</v>
      </c>
      <c r="AC214" s="533">
        <f t="shared" si="62"/>
        <v>0</v>
      </c>
      <c r="AD214" s="533"/>
      <c r="AE214" s="533">
        <f t="shared" si="62"/>
        <v>200</v>
      </c>
      <c r="AF214" s="533">
        <f t="shared" si="62"/>
        <v>0</v>
      </c>
      <c r="AG214" s="533">
        <f t="shared" si="62"/>
        <v>0</v>
      </c>
      <c r="AH214" s="533">
        <f t="shared" si="62"/>
        <v>200</v>
      </c>
      <c r="AI214" s="533">
        <f t="shared" si="62"/>
        <v>0</v>
      </c>
      <c r="AJ214" s="533">
        <f t="shared" si="62"/>
        <v>200</v>
      </c>
    </row>
    <row r="215" spans="1:39" s="1" customFormat="1" ht="21" customHeight="1" thickBot="1">
      <c r="A215" s="3755" t="s">
        <v>147</v>
      </c>
      <c r="B215" s="3755"/>
      <c r="C215" s="3755"/>
      <c r="D215" s="3755"/>
      <c r="E215" s="3756"/>
      <c r="F215" s="3756"/>
      <c r="G215" s="3756"/>
      <c r="H215" s="3756"/>
      <c r="I215" s="3756"/>
      <c r="J215" s="3756"/>
      <c r="K215" s="3756"/>
      <c r="L215" s="3755"/>
      <c r="M215" s="3755"/>
      <c r="N215" s="3755"/>
      <c r="O215" s="3755"/>
      <c r="P215" s="3755"/>
      <c r="Q215" s="3755"/>
      <c r="R215" s="3755"/>
      <c r="S215" s="3755"/>
      <c r="T215" s="3755"/>
      <c r="U215" s="3755"/>
      <c r="V215" s="3755"/>
      <c r="W215" s="3755"/>
      <c r="X215" s="3755"/>
      <c r="Y215" s="3755"/>
      <c r="Z215" s="3755"/>
      <c r="AA215" s="3755"/>
      <c r="AB215" s="3755"/>
      <c r="AC215" s="3755"/>
      <c r="AD215" s="3755"/>
      <c r="AE215" s="3755"/>
      <c r="AF215" s="3755"/>
      <c r="AG215" s="3755"/>
      <c r="AH215" s="3755"/>
      <c r="AI215" s="3755"/>
      <c r="AJ215" s="3755"/>
    </row>
    <row r="216" spans="1:39" ht="24" thickBot="1">
      <c r="A216" s="3888" t="s">
        <v>4</v>
      </c>
      <c r="B216" s="3889"/>
      <c r="C216" s="3889"/>
      <c r="D216" s="3890"/>
      <c r="E216" s="3891">
        <v>201</v>
      </c>
      <c r="F216" s="3892"/>
      <c r="G216" s="3892"/>
      <c r="H216" s="3892"/>
      <c r="I216" s="3892"/>
      <c r="J216" s="3892"/>
      <c r="K216" s="3892"/>
      <c r="L216" s="336"/>
      <c r="M216" s="3893">
        <v>202</v>
      </c>
      <c r="N216" s="3894"/>
      <c r="O216" s="3892"/>
      <c r="P216" s="3894"/>
      <c r="Q216" s="3894"/>
      <c r="R216" s="3894"/>
      <c r="S216" s="3894"/>
      <c r="T216" s="3895"/>
      <c r="U216" s="364"/>
      <c r="V216" s="3893">
        <v>203</v>
      </c>
      <c r="W216" s="3894"/>
      <c r="X216" s="3894"/>
      <c r="Y216" s="3894"/>
      <c r="Z216" s="3894"/>
      <c r="AA216" s="3894"/>
      <c r="AB216" s="3894"/>
      <c r="AC216" s="3895"/>
      <c r="AD216" s="364"/>
      <c r="AE216" s="3893"/>
      <c r="AF216" s="3894"/>
      <c r="AG216" s="3894"/>
      <c r="AH216" s="3894"/>
      <c r="AI216" s="3894"/>
      <c r="AJ216" s="3895"/>
    </row>
    <row r="217" spans="1:39" s="276" customFormat="1" ht="30.75" thickBot="1">
      <c r="A217" s="535" t="s">
        <v>148</v>
      </c>
      <c r="B217" s="749" t="s">
        <v>68</v>
      </c>
      <c r="C217" s="536" t="s">
        <v>69</v>
      </c>
      <c r="D217" s="536" t="s">
        <v>70</v>
      </c>
      <c r="E217" s="88" t="s">
        <v>250</v>
      </c>
      <c r="F217" s="744" t="s">
        <v>394</v>
      </c>
      <c r="G217" s="30" t="s">
        <v>395</v>
      </c>
      <c r="H217" s="744" t="s">
        <v>92</v>
      </c>
      <c r="I217" s="744" t="s">
        <v>407</v>
      </c>
      <c r="J217" s="751" t="s">
        <v>433</v>
      </c>
      <c r="K217" s="783" t="s">
        <v>546</v>
      </c>
      <c r="L217" s="79" t="s">
        <v>462</v>
      </c>
      <c r="M217" s="80" t="s">
        <v>53</v>
      </c>
      <c r="N217" s="49"/>
      <c r="O217" s="49" t="s">
        <v>94</v>
      </c>
      <c r="P217" s="49" t="s">
        <v>577</v>
      </c>
      <c r="Q217" s="49" t="s">
        <v>190</v>
      </c>
      <c r="R217" s="49" t="s">
        <v>476</v>
      </c>
      <c r="S217" s="126" t="s">
        <v>548</v>
      </c>
      <c r="T217" s="171" t="s">
        <v>482</v>
      </c>
      <c r="U217" s="79"/>
      <c r="V217" s="80" t="s">
        <v>53</v>
      </c>
      <c r="W217" s="714"/>
      <c r="X217" s="49" t="s">
        <v>94</v>
      </c>
      <c r="Y217" s="103"/>
      <c r="Z217" s="104"/>
      <c r="AA217" s="716"/>
      <c r="AB217" s="121"/>
      <c r="AC217" s="717"/>
      <c r="AD217" s="589"/>
      <c r="AE217" s="590" t="s">
        <v>172</v>
      </c>
      <c r="AF217" s="591" t="s">
        <v>80</v>
      </c>
      <c r="AG217" s="602" t="s">
        <v>150</v>
      </c>
      <c r="AH217" s="603" t="s">
        <v>106</v>
      </c>
      <c r="AI217" s="602" t="s">
        <v>173</v>
      </c>
      <c r="AJ217" s="604" t="s">
        <v>108</v>
      </c>
    </row>
    <row r="218" spans="1:39" s="234" customFormat="1" ht="20.25">
      <c r="A218" s="537" t="s">
        <v>619</v>
      </c>
      <c r="B218" s="545"/>
      <c r="C218" s="539"/>
      <c r="D218" s="544">
        <v>46116</v>
      </c>
      <c r="E218" s="313"/>
      <c r="F218" s="314"/>
      <c r="G218" s="314"/>
      <c r="H218" s="314"/>
      <c r="I218" s="315"/>
      <c r="J218" s="315"/>
      <c r="K218" s="378"/>
      <c r="L218" s="352"/>
      <c r="M218" s="353"/>
      <c r="N218" s="321"/>
      <c r="O218" s="321"/>
      <c r="P218" s="321"/>
      <c r="Q218" s="321"/>
      <c r="R218" s="321"/>
      <c r="S218" s="321"/>
      <c r="T218" s="363">
        <f>3*16</f>
        <v>48</v>
      </c>
      <c r="U218" s="352"/>
      <c r="V218" s="353"/>
      <c r="W218" s="321"/>
      <c r="X218" s="321"/>
      <c r="Y218" s="321"/>
      <c r="Z218" s="321"/>
      <c r="AA218" s="321"/>
      <c r="AB218" s="321"/>
      <c r="AC218" s="380"/>
      <c r="AD218" s="352"/>
      <c r="AE218" s="404">
        <f t="shared" ref="AE218:AE237" si="63">SUM(E218:AC218)</f>
        <v>48</v>
      </c>
      <c r="AF218" s="409"/>
      <c r="AG218" s="379"/>
      <c r="AH218" s="404">
        <f t="shared" ref="AH218:AH286" si="64">AE218+AF218+AG218</f>
        <v>48</v>
      </c>
      <c r="AI218" s="835"/>
      <c r="AJ218" s="719">
        <f t="shared" ref="AJ218:AJ286" si="65">AH218+AI218</f>
        <v>48</v>
      </c>
    </row>
    <row r="219" spans="1:39" s="276" customFormat="1" ht="20.25">
      <c r="A219" s="537" t="s">
        <v>622</v>
      </c>
      <c r="B219" s="545"/>
      <c r="C219" s="539"/>
      <c r="D219" s="544">
        <v>46119</v>
      </c>
      <c r="E219" s="1199"/>
      <c r="F219" s="320"/>
      <c r="G219" s="320"/>
      <c r="H219" s="320"/>
      <c r="I219" s="321"/>
      <c r="J219" s="321"/>
      <c r="K219" s="380"/>
      <c r="L219" s="352"/>
      <c r="M219" s="353"/>
      <c r="N219" s="321"/>
      <c r="O219" s="321"/>
      <c r="P219" s="321"/>
      <c r="Q219" s="321">
        <f>2*16</f>
        <v>32</v>
      </c>
      <c r="R219" s="321"/>
      <c r="S219" s="321">
        <f>4*16</f>
        <v>64</v>
      </c>
      <c r="T219" s="363"/>
      <c r="U219" s="580"/>
      <c r="V219" s="581"/>
      <c r="W219" s="543"/>
      <c r="X219" s="543"/>
      <c r="Y219" s="543"/>
      <c r="Z219" s="543"/>
      <c r="AA219" s="543"/>
      <c r="AB219" s="543"/>
      <c r="AC219" s="592"/>
      <c r="AD219" s="580"/>
      <c r="AE219" s="593">
        <f t="shared" ref="AE219" si="66">SUM(E219:AC219)</f>
        <v>96</v>
      </c>
      <c r="AF219" s="594"/>
      <c r="AG219" s="1200"/>
      <c r="AH219" s="593">
        <f t="shared" si="64"/>
        <v>96</v>
      </c>
      <c r="AI219" s="836"/>
      <c r="AJ219" s="837">
        <f t="shared" si="65"/>
        <v>96</v>
      </c>
    </row>
    <row r="220" spans="1:39" s="276" customFormat="1" ht="20.25">
      <c r="A220" s="537" t="s">
        <v>625</v>
      </c>
      <c r="B220" s="545"/>
      <c r="C220" s="539"/>
      <c r="D220" s="544">
        <v>46121</v>
      </c>
      <c r="E220" s="319"/>
      <c r="F220" s="320"/>
      <c r="G220" s="320"/>
      <c r="H220" s="320"/>
      <c r="I220" s="321"/>
      <c r="J220" s="321"/>
      <c r="K220" s="380"/>
      <c r="L220" s="352"/>
      <c r="M220" s="353"/>
      <c r="N220" s="321"/>
      <c r="O220" s="321"/>
      <c r="P220" s="321"/>
      <c r="Q220" s="321"/>
      <c r="R220" s="321"/>
      <c r="S220" s="321">
        <f>6*16</f>
        <v>96</v>
      </c>
      <c r="T220" s="363"/>
      <c r="U220" s="580"/>
      <c r="V220" s="581"/>
      <c r="W220" s="543"/>
      <c r="X220" s="543"/>
      <c r="Y220" s="543"/>
      <c r="Z220" s="543"/>
      <c r="AA220" s="543"/>
      <c r="AB220" s="543"/>
      <c r="AC220" s="592"/>
      <c r="AD220" s="580"/>
      <c r="AE220" s="593">
        <f t="shared" si="63"/>
        <v>96</v>
      </c>
      <c r="AF220" s="594"/>
      <c r="AG220" s="1200"/>
      <c r="AH220" s="593">
        <f t="shared" si="64"/>
        <v>96</v>
      </c>
      <c r="AI220" s="836"/>
      <c r="AJ220" s="837">
        <f t="shared" si="65"/>
        <v>96</v>
      </c>
    </row>
    <row r="221" spans="1:39" s="276" customFormat="1" ht="20.25">
      <c r="A221" s="537" t="s">
        <v>633</v>
      </c>
      <c r="B221" s="548"/>
      <c r="C221" s="549"/>
      <c r="D221" s="544">
        <v>46124</v>
      </c>
      <c r="E221" s="541">
        <f>2*16</f>
        <v>32</v>
      </c>
      <c r="F221" s="542"/>
      <c r="G221" s="542"/>
      <c r="H221" s="542"/>
      <c r="I221" s="543">
        <f>1*16</f>
        <v>16</v>
      </c>
      <c r="J221" s="543">
        <f>1*16</f>
        <v>16</v>
      </c>
      <c r="K221" s="592"/>
      <c r="L221" s="580"/>
      <c r="M221" s="581"/>
      <c r="N221" s="543"/>
      <c r="O221" s="543"/>
      <c r="P221" s="543"/>
      <c r="Q221" s="543"/>
      <c r="R221" s="543"/>
      <c r="S221" s="543"/>
      <c r="T221" s="767"/>
      <c r="U221" s="580"/>
      <c r="V221" s="581"/>
      <c r="W221" s="543"/>
      <c r="X221" s="543"/>
      <c r="Y221" s="543"/>
      <c r="Z221" s="543"/>
      <c r="AA221" s="543"/>
      <c r="AB221" s="543"/>
      <c r="AC221" s="592"/>
      <c r="AD221" s="580"/>
      <c r="AE221" s="593">
        <f t="shared" si="63"/>
        <v>64</v>
      </c>
      <c r="AF221" s="594"/>
      <c r="AG221" s="1200"/>
      <c r="AH221" s="593">
        <f t="shared" si="64"/>
        <v>64</v>
      </c>
      <c r="AI221" s="836"/>
      <c r="AJ221" s="837">
        <f t="shared" si="65"/>
        <v>64</v>
      </c>
    </row>
    <row r="222" spans="1:39" s="234" customFormat="1" ht="20.25">
      <c r="A222" s="537" t="s">
        <v>634</v>
      </c>
      <c r="B222" s="563"/>
      <c r="C222" s="553"/>
      <c r="D222" s="544">
        <v>45759</v>
      </c>
      <c r="E222" s="541"/>
      <c r="F222" s="542"/>
      <c r="G222" s="542"/>
      <c r="H222" s="542"/>
      <c r="I222" s="543"/>
      <c r="J222" s="543"/>
      <c r="K222" s="592"/>
      <c r="L222" s="580"/>
      <c r="M222" s="581"/>
      <c r="N222" s="543"/>
      <c r="O222" s="543"/>
      <c r="P222" s="543"/>
      <c r="Q222" s="543"/>
      <c r="R222" s="543"/>
      <c r="S222" s="543">
        <f>10*16</f>
        <v>160</v>
      </c>
      <c r="T222" s="767"/>
      <c r="U222" s="352"/>
      <c r="V222" s="353"/>
      <c r="W222" s="321"/>
      <c r="X222" s="321"/>
      <c r="Y222" s="321"/>
      <c r="Z222" s="321"/>
      <c r="AA222" s="321"/>
      <c r="AB222" s="321"/>
      <c r="AC222" s="380"/>
      <c r="AD222" s="352"/>
      <c r="AE222" s="593">
        <f t="shared" si="63"/>
        <v>160</v>
      </c>
      <c r="AF222" s="409"/>
      <c r="AG222" s="381"/>
      <c r="AH222" s="408">
        <f t="shared" si="64"/>
        <v>160</v>
      </c>
      <c r="AI222" s="835"/>
      <c r="AJ222" s="720">
        <f t="shared" si="65"/>
        <v>160</v>
      </c>
    </row>
    <row r="223" spans="1:39" s="276" customFormat="1" ht="20.25" customHeight="1">
      <c r="A223" s="561" t="s">
        <v>623</v>
      </c>
      <c r="B223" s="545"/>
      <c r="C223" s="539"/>
      <c r="D223" s="544">
        <v>46126</v>
      </c>
      <c r="E223" s="319"/>
      <c r="F223" s="320"/>
      <c r="G223" s="320"/>
      <c r="H223" s="320"/>
      <c r="I223" s="321"/>
      <c r="J223" s="321"/>
      <c r="K223" s="380"/>
      <c r="L223" s="352"/>
      <c r="M223" s="353">
        <f>1*16</f>
        <v>16</v>
      </c>
      <c r="N223" s="321"/>
      <c r="O223" s="321"/>
      <c r="P223" s="321"/>
      <c r="Q223" s="321"/>
      <c r="R223" s="321"/>
      <c r="S223" s="321"/>
      <c r="T223" s="363"/>
      <c r="U223" s="580"/>
      <c r="V223" s="581"/>
      <c r="W223" s="543"/>
      <c r="X223" s="543"/>
      <c r="Y223" s="543"/>
      <c r="Z223" s="543"/>
      <c r="AA223" s="543"/>
      <c r="AB223" s="543"/>
      <c r="AC223" s="592"/>
      <c r="AD223" s="580"/>
      <c r="AE223" s="593">
        <f t="shared" si="63"/>
        <v>16</v>
      </c>
      <c r="AF223" s="594"/>
      <c r="AG223" s="1200"/>
      <c r="AH223" s="593">
        <f t="shared" si="64"/>
        <v>16</v>
      </c>
      <c r="AI223" s="836"/>
      <c r="AJ223" s="837">
        <f t="shared" si="65"/>
        <v>16</v>
      </c>
    </row>
    <row r="224" spans="1:39" s="276" customFormat="1" ht="22.5" customHeight="1">
      <c r="A224" s="561" t="s">
        <v>619</v>
      </c>
      <c r="B224" s="545"/>
      <c r="C224" s="539"/>
      <c r="D224" s="544">
        <v>46130</v>
      </c>
      <c r="E224" s="541"/>
      <c r="F224" s="542"/>
      <c r="G224" s="542"/>
      <c r="H224" s="542"/>
      <c r="I224" s="543"/>
      <c r="J224" s="543"/>
      <c r="K224" s="592"/>
      <c r="L224" s="580"/>
      <c r="M224" s="581"/>
      <c r="N224" s="543"/>
      <c r="O224" s="543"/>
      <c r="P224" s="543"/>
      <c r="Q224" s="543"/>
      <c r="R224" s="543"/>
      <c r="S224" s="543"/>
      <c r="T224" s="767">
        <f>2*16</f>
        <v>32</v>
      </c>
      <c r="U224" s="580"/>
      <c r="V224" s="581"/>
      <c r="W224" s="543"/>
      <c r="X224" s="543"/>
      <c r="Y224" s="543"/>
      <c r="Z224" s="543"/>
      <c r="AA224" s="543"/>
      <c r="AB224" s="543"/>
      <c r="AC224" s="592"/>
      <c r="AD224" s="580"/>
      <c r="AE224" s="593">
        <f t="shared" si="63"/>
        <v>32</v>
      </c>
      <c r="AF224" s="594"/>
      <c r="AG224" s="1200"/>
      <c r="AH224" s="593">
        <f t="shared" si="64"/>
        <v>32</v>
      </c>
      <c r="AI224" s="836"/>
      <c r="AJ224" s="837">
        <f t="shared" si="65"/>
        <v>32</v>
      </c>
    </row>
    <row r="225" spans="1:36" s="276" customFormat="1" ht="20.25">
      <c r="A225" s="547" t="s">
        <v>653</v>
      </c>
      <c r="B225" s="796"/>
      <c r="C225" s="797"/>
      <c r="D225" s="544">
        <v>46130</v>
      </c>
      <c r="E225" s="1199"/>
      <c r="F225" s="320"/>
      <c r="G225" s="320"/>
      <c r="H225" s="320"/>
      <c r="I225" s="321"/>
      <c r="J225" s="321"/>
      <c r="K225" s="380"/>
      <c r="L225" s="352"/>
      <c r="M225" s="353"/>
      <c r="N225" s="321"/>
      <c r="O225" s="321"/>
      <c r="P225" s="321"/>
      <c r="Q225" s="321"/>
      <c r="R225" s="321"/>
      <c r="S225" s="321">
        <f>2*16</f>
        <v>32</v>
      </c>
      <c r="T225" s="363">
        <f>1*16</f>
        <v>16</v>
      </c>
      <c r="U225" s="580"/>
      <c r="V225" s="581"/>
      <c r="W225" s="543"/>
      <c r="X225" s="543"/>
      <c r="Y225" s="543"/>
      <c r="Z225" s="543"/>
      <c r="AA225" s="543"/>
      <c r="AB225" s="543"/>
      <c r="AC225" s="592"/>
      <c r="AD225" s="580"/>
      <c r="AE225" s="593">
        <f t="shared" si="63"/>
        <v>48</v>
      </c>
      <c r="AF225" s="594"/>
      <c r="AG225" s="1200"/>
      <c r="AH225" s="593">
        <f t="shared" si="64"/>
        <v>48</v>
      </c>
      <c r="AI225" s="836"/>
      <c r="AJ225" s="837">
        <f t="shared" si="65"/>
        <v>48</v>
      </c>
    </row>
    <row r="226" spans="1:36" s="276" customFormat="1" ht="20.25">
      <c r="A226" s="547" t="s">
        <v>634</v>
      </c>
      <c r="B226" s="552"/>
      <c r="C226" s="553"/>
      <c r="D226" s="544">
        <v>46131</v>
      </c>
      <c r="E226" s="541"/>
      <c r="F226" s="542"/>
      <c r="G226" s="542"/>
      <c r="H226" s="542"/>
      <c r="I226" s="543"/>
      <c r="J226" s="543"/>
      <c r="K226" s="592"/>
      <c r="L226" s="580"/>
      <c r="M226" s="581"/>
      <c r="N226" s="543"/>
      <c r="O226" s="543"/>
      <c r="P226" s="543"/>
      <c r="Q226" s="543"/>
      <c r="R226" s="543"/>
      <c r="S226" s="543">
        <f>6*16</f>
        <v>96</v>
      </c>
      <c r="T226" s="767"/>
      <c r="U226" s="580"/>
      <c r="V226" s="581"/>
      <c r="W226" s="543"/>
      <c r="X226" s="543"/>
      <c r="Y226" s="543"/>
      <c r="Z226" s="543"/>
      <c r="AA226" s="543"/>
      <c r="AB226" s="543"/>
      <c r="AC226" s="592"/>
      <c r="AD226" s="580"/>
      <c r="AE226" s="593">
        <f t="shared" si="63"/>
        <v>96</v>
      </c>
      <c r="AF226" s="594"/>
      <c r="AG226" s="1200"/>
      <c r="AH226" s="593">
        <f t="shared" si="64"/>
        <v>96</v>
      </c>
      <c r="AI226" s="836"/>
      <c r="AJ226" s="837">
        <f t="shared" si="65"/>
        <v>96</v>
      </c>
    </row>
    <row r="227" spans="1:36" s="276" customFormat="1" ht="21" thickBot="1">
      <c r="A227" s="547" t="s">
        <v>659</v>
      </c>
      <c r="B227" s="552"/>
      <c r="C227" s="553"/>
      <c r="D227" s="3371">
        <v>46132</v>
      </c>
      <c r="E227" s="3370"/>
      <c r="F227" s="618"/>
      <c r="G227" s="618"/>
      <c r="H227" s="618"/>
      <c r="I227" s="619"/>
      <c r="J227" s="619"/>
      <c r="K227" s="681"/>
      <c r="L227" s="657"/>
      <c r="M227" s="658"/>
      <c r="N227" s="619"/>
      <c r="O227" s="619"/>
      <c r="P227" s="619"/>
      <c r="Q227" s="619"/>
      <c r="R227" s="619"/>
      <c r="S227" s="619">
        <f>3*16</f>
        <v>48</v>
      </c>
      <c r="T227" s="769">
        <f>2*16</f>
        <v>32</v>
      </c>
      <c r="U227" s="657"/>
      <c r="V227" s="658"/>
      <c r="W227" s="619"/>
      <c r="X227" s="619"/>
      <c r="Y227" s="619"/>
      <c r="Z227" s="619"/>
      <c r="AA227" s="619"/>
      <c r="AB227" s="619"/>
      <c r="AC227" s="681"/>
      <c r="AD227" s="774"/>
      <c r="AE227" s="408">
        <f t="shared" ref="AE227:AE231" si="67">SUM(E227:AC227)</f>
        <v>80</v>
      </c>
      <c r="AF227" s="409"/>
      <c r="AG227" s="381"/>
      <c r="AH227" s="408">
        <f t="shared" ref="AH227:AH231" si="68">AE227+AF227+AG227</f>
        <v>80</v>
      </c>
      <c r="AI227" s="835"/>
      <c r="AJ227" s="720">
        <f t="shared" ref="AJ227:AJ231" si="69">AH227+AI227</f>
        <v>80</v>
      </c>
    </row>
    <row r="228" spans="1:36" s="234" customFormat="1" ht="20.25">
      <c r="A228" s="551" t="s">
        <v>634</v>
      </c>
      <c r="B228" s="552"/>
      <c r="C228" s="553"/>
      <c r="D228" s="544">
        <v>46133</v>
      </c>
      <c r="E228" s="581"/>
      <c r="F228" s="320"/>
      <c r="G228" s="320"/>
      <c r="H228" s="320"/>
      <c r="I228" s="321"/>
      <c r="J228" s="321"/>
      <c r="K228" s="380"/>
      <c r="L228" s="352"/>
      <c r="M228" s="353"/>
      <c r="N228" s="321"/>
      <c r="O228" s="321"/>
      <c r="P228" s="321"/>
      <c r="Q228" s="321"/>
      <c r="R228" s="321"/>
      <c r="S228" s="321">
        <f>4*16</f>
        <v>64</v>
      </c>
      <c r="T228" s="363">
        <f>2*16</f>
        <v>32</v>
      </c>
      <c r="U228" s="580"/>
      <c r="V228" s="581"/>
      <c r="W228" s="543"/>
      <c r="X228" s="543"/>
      <c r="Y228" s="543"/>
      <c r="Z228" s="543"/>
      <c r="AA228" s="543"/>
      <c r="AB228" s="543"/>
      <c r="AC228" s="592"/>
      <c r="AD228" s="580"/>
      <c r="AE228" s="593">
        <f t="shared" ref="AE228" si="70">SUM(E228:AC228)</f>
        <v>96</v>
      </c>
      <c r="AF228" s="594"/>
      <c r="AG228" s="1200"/>
      <c r="AH228" s="593">
        <f t="shared" si="68"/>
        <v>96</v>
      </c>
      <c r="AI228" s="836"/>
      <c r="AJ228" s="837">
        <f t="shared" si="69"/>
        <v>96</v>
      </c>
    </row>
    <row r="229" spans="1:36" s="234" customFormat="1" ht="21" thickBot="1">
      <c r="A229" s="537" t="s">
        <v>668</v>
      </c>
      <c r="B229" s="552"/>
      <c r="C229" s="553"/>
      <c r="D229" s="3371">
        <v>46135</v>
      </c>
      <c r="E229" s="3370"/>
      <c r="F229" s="618"/>
      <c r="G229" s="618"/>
      <c r="H229" s="618"/>
      <c r="I229" s="619"/>
      <c r="J229" s="619"/>
      <c r="K229" s="681"/>
      <c r="L229" s="657"/>
      <c r="M229" s="658"/>
      <c r="N229" s="619"/>
      <c r="O229" s="619"/>
      <c r="P229" s="619"/>
      <c r="Q229" s="619"/>
      <c r="R229" s="619"/>
      <c r="S229" s="619">
        <f>3*16</f>
        <v>48</v>
      </c>
      <c r="T229" s="769">
        <f>3*16</f>
        <v>48</v>
      </c>
      <c r="U229" s="657"/>
      <c r="V229" s="658"/>
      <c r="W229" s="619"/>
      <c r="X229" s="619"/>
      <c r="Y229" s="619"/>
      <c r="Z229" s="619"/>
      <c r="AA229" s="619"/>
      <c r="AB229" s="619"/>
      <c r="AC229" s="681"/>
      <c r="AD229" s="774"/>
      <c r="AE229" s="408">
        <f t="shared" si="67"/>
        <v>96</v>
      </c>
      <c r="AF229" s="409"/>
      <c r="AG229" s="381"/>
      <c r="AH229" s="408">
        <f t="shared" si="68"/>
        <v>96</v>
      </c>
      <c r="AI229" s="835"/>
      <c r="AJ229" s="720">
        <f t="shared" si="69"/>
        <v>96</v>
      </c>
    </row>
    <row r="230" spans="1:36" s="276" customFormat="1" ht="21" thickBot="1">
      <c r="A230" s="547" t="s">
        <v>676</v>
      </c>
      <c r="B230" s="552"/>
      <c r="C230" s="553"/>
      <c r="D230" s="2787">
        <v>46138</v>
      </c>
      <c r="E230" s="658"/>
      <c r="F230" s="618">
        <f>2*16</f>
        <v>32</v>
      </c>
      <c r="G230" s="618"/>
      <c r="H230" s="618"/>
      <c r="I230" s="619"/>
      <c r="J230" s="619"/>
      <c r="K230" s="681"/>
      <c r="L230" s="657"/>
      <c r="M230" s="658"/>
      <c r="N230" s="619"/>
      <c r="O230" s="619"/>
      <c r="P230" s="619"/>
      <c r="Q230" s="619"/>
      <c r="R230" s="619"/>
      <c r="S230" s="619"/>
      <c r="T230" s="769"/>
      <c r="U230" s="657"/>
      <c r="V230" s="658"/>
      <c r="W230" s="619"/>
      <c r="X230" s="619"/>
      <c r="Y230" s="619"/>
      <c r="Z230" s="619"/>
      <c r="AA230" s="619"/>
      <c r="AB230" s="619"/>
      <c r="AC230" s="681"/>
      <c r="AD230" s="774"/>
      <c r="AE230" s="408">
        <f t="shared" si="67"/>
        <v>32</v>
      </c>
      <c r="AF230" s="409"/>
      <c r="AG230" s="381"/>
      <c r="AH230" s="408">
        <f t="shared" si="68"/>
        <v>32</v>
      </c>
      <c r="AI230" s="835"/>
      <c r="AJ230" s="720">
        <f t="shared" si="69"/>
        <v>32</v>
      </c>
    </row>
    <row r="231" spans="1:36" s="234" customFormat="1" ht="21" thickBot="1">
      <c r="A231" s="551" t="s">
        <v>634</v>
      </c>
      <c r="B231" s="552"/>
      <c r="C231" s="553"/>
      <c r="D231" s="2787">
        <v>46138</v>
      </c>
      <c r="E231" s="658"/>
      <c r="F231" s="618"/>
      <c r="G231" s="618"/>
      <c r="H231" s="618"/>
      <c r="I231" s="619"/>
      <c r="J231" s="619"/>
      <c r="K231" s="681"/>
      <c r="L231" s="657"/>
      <c r="M231" s="658"/>
      <c r="N231" s="619"/>
      <c r="O231" s="619"/>
      <c r="P231" s="619"/>
      <c r="Q231" s="619"/>
      <c r="R231" s="619"/>
      <c r="S231" s="619">
        <f>4*16</f>
        <v>64</v>
      </c>
      <c r="T231" s="769"/>
      <c r="U231" s="657"/>
      <c r="V231" s="658"/>
      <c r="W231" s="619"/>
      <c r="X231" s="619"/>
      <c r="Y231" s="619"/>
      <c r="Z231" s="619"/>
      <c r="AA231" s="619"/>
      <c r="AB231" s="619"/>
      <c r="AC231" s="681"/>
      <c r="AD231" s="774"/>
      <c r="AE231" s="408">
        <f t="shared" si="67"/>
        <v>64</v>
      </c>
      <c r="AF231" s="409"/>
      <c r="AG231" s="381"/>
      <c r="AH231" s="408">
        <f t="shared" si="68"/>
        <v>64</v>
      </c>
      <c r="AI231" s="835"/>
      <c r="AJ231" s="720">
        <f t="shared" si="69"/>
        <v>64</v>
      </c>
    </row>
    <row r="232" spans="1:36" s="234" customFormat="1" ht="20.25">
      <c r="A232" s="547" t="s">
        <v>682</v>
      </c>
      <c r="B232" s="552"/>
      <c r="C232" s="553"/>
      <c r="D232" s="544">
        <v>46139</v>
      </c>
      <c r="E232" s="581"/>
      <c r="F232" s="320"/>
      <c r="G232" s="320"/>
      <c r="H232" s="320"/>
      <c r="I232" s="321"/>
      <c r="J232" s="321"/>
      <c r="K232" s="380"/>
      <c r="L232" s="352"/>
      <c r="M232" s="353"/>
      <c r="N232" s="321"/>
      <c r="O232" s="321"/>
      <c r="P232" s="321"/>
      <c r="Q232" s="321"/>
      <c r="R232" s="321"/>
      <c r="S232" s="321">
        <f>6*16</f>
        <v>96</v>
      </c>
      <c r="T232" s="363"/>
      <c r="U232" s="580"/>
      <c r="V232" s="581"/>
      <c r="W232" s="543"/>
      <c r="X232" s="543"/>
      <c r="Y232" s="543"/>
      <c r="Z232" s="543"/>
      <c r="AA232" s="543"/>
      <c r="AB232" s="543"/>
      <c r="AC232" s="592"/>
      <c r="AD232" s="580"/>
      <c r="AE232" s="593">
        <f t="shared" si="63"/>
        <v>96</v>
      </c>
      <c r="AF232" s="594"/>
      <c r="AG232" s="1200"/>
      <c r="AH232" s="593">
        <f t="shared" si="64"/>
        <v>96</v>
      </c>
      <c r="AI232" s="836"/>
      <c r="AJ232" s="837">
        <f t="shared" si="65"/>
        <v>96</v>
      </c>
    </row>
    <row r="233" spans="1:36" s="234" customFormat="1" ht="23.25" customHeight="1">
      <c r="A233" s="547" t="s">
        <v>683</v>
      </c>
      <c r="B233" s="552"/>
      <c r="C233" s="553"/>
      <c r="D233" s="3369">
        <v>46140</v>
      </c>
      <c r="E233" s="1177"/>
      <c r="F233" s="542"/>
      <c r="G233" s="542"/>
      <c r="H233" s="542"/>
      <c r="I233" s="543"/>
      <c r="J233" s="543"/>
      <c r="K233" s="592"/>
      <c r="L233" s="580"/>
      <c r="M233" s="581"/>
      <c r="N233" s="543"/>
      <c r="O233" s="543"/>
      <c r="P233" s="543"/>
      <c r="Q233" s="543"/>
      <c r="R233" s="543"/>
      <c r="S233" s="543"/>
      <c r="T233" s="767">
        <f>2*16</f>
        <v>32</v>
      </c>
      <c r="U233" s="352"/>
      <c r="V233" s="353"/>
      <c r="W233" s="321"/>
      <c r="X233" s="321"/>
      <c r="Y233" s="321"/>
      <c r="Z233" s="321"/>
      <c r="AA233" s="321"/>
      <c r="AB233" s="321"/>
      <c r="AC233" s="380"/>
      <c r="AD233" s="352"/>
      <c r="AE233" s="408">
        <f t="shared" si="63"/>
        <v>32</v>
      </c>
      <c r="AF233" s="409"/>
      <c r="AG233" s="381"/>
      <c r="AH233" s="408">
        <f t="shared" si="64"/>
        <v>32</v>
      </c>
      <c r="AI233" s="835"/>
      <c r="AJ233" s="720">
        <f t="shared" si="65"/>
        <v>32</v>
      </c>
    </row>
    <row r="234" spans="1:36" s="234" customFormat="1" ht="21" thickBot="1">
      <c r="A234" s="537" t="s">
        <v>687</v>
      </c>
      <c r="B234" s="552"/>
      <c r="C234" s="553"/>
      <c r="D234" s="2787">
        <v>46141</v>
      </c>
      <c r="E234" s="658"/>
      <c r="F234" s="618"/>
      <c r="G234" s="618"/>
      <c r="H234" s="618"/>
      <c r="I234" s="619"/>
      <c r="J234" s="619"/>
      <c r="K234" s="681"/>
      <c r="L234" s="657"/>
      <c r="M234" s="658"/>
      <c r="N234" s="619"/>
      <c r="O234" s="619"/>
      <c r="P234" s="619"/>
      <c r="Q234" s="619"/>
      <c r="R234" s="619"/>
      <c r="S234" s="619">
        <f>1*16</f>
        <v>16</v>
      </c>
      <c r="T234" s="769"/>
      <c r="U234" s="657"/>
      <c r="V234" s="658"/>
      <c r="W234" s="619"/>
      <c r="X234" s="619"/>
      <c r="Y234" s="619"/>
      <c r="Z234" s="619"/>
      <c r="AA234" s="619"/>
      <c r="AB234" s="619"/>
      <c r="AC234" s="681"/>
      <c r="AD234" s="774"/>
      <c r="AE234" s="408">
        <f t="shared" ref="AE234" si="71">SUM(E234:AC234)</f>
        <v>16</v>
      </c>
      <c r="AF234" s="409"/>
      <c r="AG234" s="381"/>
      <c r="AH234" s="408">
        <f t="shared" si="64"/>
        <v>16</v>
      </c>
      <c r="AI234" s="835"/>
      <c r="AJ234" s="720">
        <f t="shared" si="65"/>
        <v>16</v>
      </c>
    </row>
    <row r="235" spans="1:36" s="234" customFormat="1" ht="20.25">
      <c r="A235" s="551" t="s">
        <v>619</v>
      </c>
      <c r="B235" s="552"/>
      <c r="C235" s="553"/>
      <c r="D235" s="544">
        <v>46142</v>
      </c>
      <c r="E235" s="319"/>
      <c r="F235" s="320"/>
      <c r="G235" s="320"/>
      <c r="H235" s="320"/>
      <c r="I235" s="321"/>
      <c r="J235" s="321"/>
      <c r="K235" s="380"/>
      <c r="L235" s="352"/>
      <c r="M235" s="353"/>
      <c r="N235" s="321"/>
      <c r="O235" s="321"/>
      <c r="P235" s="321"/>
      <c r="Q235" s="321"/>
      <c r="R235" s="321"/>
      <c r="S235" s="321">
        <f>1*16</f>
        <v>16</v>
      </c>
      <c r="T235" s="363">
        <f>2*16</f>
        <v>32</v>
      </c>
      <c r="U235" s="580"/>
      <c r="V235" s="581"/>
      <c r="W235" s="543"/>
      <c r="X235" s="543"/>
      <c r="Y235" s="543"/>
      <c r="Z235" s="543"/>
      <c r="AA235" s="543"/>
      <c r="AB235" s="543"/>
      <c r="AC235" s="592"/>
      <c r="AD235" s="580"/>
      <c r="AE235" s="593">
        <f t="shared" si="63"/>
        <v>48</v>
      </c>
      <c r="AF235" s="594"/>
      <c r="AG235" s="1200"/>
      <c r="AH235" s="593">
        <f t="shared" si="64"/>
        <v>48</v>
      </c>
      <c r="AI235" s="836"/>
      <c r="AJ235" s="837">
        <f t="shared" si="65"/>
        <v>48</v>
      </c>
    </row>
    <row r="236" spans="1:36" s="234" customFormat="1" ht="20.25">
      <c r="A236" s="547"/>
      <c r="B236" s="552"/>
      <c r="C236" s="553"/>
      <c r="D236" s="544"/>
      <c r="E236" s="541"/>
      <c r="F236" s="542"/>
      <c r="G236" s="542"/>
      <c r="H236" s="542"/>
      <c r="I236" s="543"/>
      <c r="J236" s="543"/>
      <c r="K236" s="592"/>
      <c r="L236" s="580"/>
      <c r="M236" s="581"/>
      <c r="N236" s="543"/>
      <c r="O236" s="543"/>
      <c r="P236" s="543"/>
      <c r="Q236" s="543"/>
      <c r="R236" s="543"/>
      <c r="S236" s="543"/>
      <c r="T236" s="767"/>
      <c r="U236" s="352"/>
      <c r="V236" s="353"/>
      <c r="W236" s="321"/>
      <c r="X236" s="321"/>
      <c r="Y236" s="321"/>
      <c r="Z236" s="321"/>
      <c r="AA236" s="321"/>
      <c r="AB236" s="321"/>
      <c r="AC236" s="380"/>
      <c r="AD236" s="352"/>
      <c r="AE236" s="408">
        <f t="shared" si="63"/>
        <v>0</v>
      </c>
      <c r="AF236" s="409"/>
      <c r="AG236" s="381"/>
      <c r="AH236" s="408">
        <f t="shared" si="64"/>
        <v>0</v>
      </c>
      <c r="AI236" s="835"/>
      <c r="AJ236" s="720">
        <f t="shared" si="65"/>
        <v>0</v>
      </c>
    </row>
    <row r="237" spans="1:36" s="234" customFormat="1" ht="20.25">
      <c r="A237" s="551"/>
      <c r="B237" s="552"/>
      <c r="C237" s="553"/>
      <c r="D237" s="544"/>
      <c r="E237" s="319"/>
      <c r="F237" s="320"/>
      <c r="G237" s="320"/>
      <c r="H237" s="320"/>
      <c r="I237" s="321"/>
      <c r="J237" s="321"/>
      <c r="K237" s="380"/>
      <c r="L237" s="352"/>
      <c r="M237" s="353"/>
      <c r="N237" s="321"/>
      <c r="O237" s="321"/>
      <c r="P237" s="321"/>
      <c r="Q237" s="321"/>
      <c r="R237" s="582"/>
      <c r="S237" s="321"/>
      <c r="T237" s="834"/>
      <c r="U237" s="352"/>
      <c r="V237" s="353"/>
      <c r="W237" s="321"/>
      <c r="X237" s="321"/>
      <c r="Y237" s="321"/>
      <c r="Z237" s="321"/>
      <c r="AA237" s="321"/>
      <c r="AB237" s="321"/>
      <c r="AC237" s="380"/>
      <c r="AD237" s="352"/>
      <c r="AE237" s="408">
        <f t="shared" si="63"/>
        <v>0</v>
      </c>
      <c r="AF237" s="409"/>
      <c r="AG237" s="381"/>
      <c r="AH237" s="408">
        <f t="shared" si="64"/>
        <v>0</v>
      </c>
      <c r="AI237" s="835"/>
      <c r="AJ237" s="720">
        <f t="shared" si="65"/>
        <v>0</v>
      </c>
    </row>
    <row r="238" spans="1:36" s="234" customFormat="1" ht="20.25">
      <c r="A238" s="547"/>
      <c r="B238" s="552"/>
      <c r="C238" s="553"/>
      <c r="D238" s="544"/>
      <c r="E238" s="319"/>
      <c r="F238" s="320"/>
      <c r="G238" s="320"/>
      <c r="H238" s="320"/>
      <c r="I238" s="321"/>
      <c r="J238" s="321"/>
      <c r="K238" s="380"/>
      <c r="L238" s="352"/>
      <c r="M238" s="353"/>
      <c r="N238" s="321"/>
      <c r="O238" s="321"/>
      <c r="P238" s="321"/>
      <c r="Q238" s="321"/>
      <c r="R238" s="321"/>
      <c r="S238" s="321"/>
      <c r="T238" s="363"/>
      <c r="U238" s="352"/>
      <c r="V238" s="353"/>
      <c r="W238" s="321"/>
      <c r="X238" s="321"/>
      <c r="Y238" s="321"/>
      <c r="Z238" s="321"/>
      <c r="AA238" s="321"/>
      <c r="AB238" s="321"/>
      <c r="AC238" s="380"/>
      <c r="AD238" s="352"/>
      <c r="AE238" s="408">
        <f t="shared" ref="AE238:AE293" si="72">SUM(E238:AC238)</f>
        <v>0</v>
      </c>
      <c r="AF238" s="409"/>
      <c r="AG238" s="381"/>
      <c r="AH238" s="408">
        <f t="shared" si="64"/>
        <v>0</v>
      </c>
      <c r="AI238" s="835"/>
      <c r="AJ238" s="720">
        <f t="shared" si="65"/>
        <v>0</v>
      </c>
    </row>
    <row r="239" spans="1:36" s="234" customFormat="1" ht="20.25">
      <c r="A239" s="537"/>
      <c r="B239" s="552"/>
      <c r="C239" s="553"/>
      <c r="D239" s="544"/>
      <c r="E239" s="319"/>
      <c r="F239" s="320"/>
      <c r="G239" s="320"/>
      <c r="H239" s="320"/>
      <c r="I239" s="321"/>
      <c r="J239" s="321"/>
      <c r="K239" s="380"/>
      <c r="L239" s="352"/>
      <c r="M239" s="353"/>
      <c r="N239" s="321"/>
      <c r="O239" s="321"/>
      <c r="P239" s="321"/>
      <c r="Q239" s="582"/>
      <c r="R239" s="582"/>
      <c r="S239" s="321"/>
      <c r="T239" s="363"/>
      <c r="U239" s="352"/>
      <c r="V239" s="353"/>
      <c r="W239" s="321"/>
      <c r="X239" s="321"/>
      <c r="Y239" s="321"/>
      <c r="Z239" s="321"/>
      <c r="AA239" s="321"/>
      <c r="AB239" s="321"/>
      <c r="AC239" s="380"/>
      <c r="AD239" s="352"/>
      <c r="AE239" s="408">
        <f t="shared" si="72"/>
        <v>0</v>
      </c>
      <c r="AF239" s="409"/>
      <c r="AG239" s="381"/>
      <c r="AH239" s="408">
        <f t="shared" si="64"/>
        <v>0</v>
      </c>
      <c r="AI239" s="835"/>
      <c r="AJ239" s="720">
        <f t="shared" si="65"/>
        <v>0</v>
      </c>
    </row>
    <row r="240" spans="1:36" s="234" customFormat="1" ht="20.25">
      <c r="A240" s="537"/>
      <c r="B240" s="552"/>
      <c r="C240" s="553"/>
      <c r="D240" s="544"/>
      <c r="E240" s="319"/>
      <c r="F240" s="320"/>
      <c r="G240" s="320"/>
      <c r="H240" s="320"/>
      <c r="I240" s="321"/>
      <c r="J240" s="321"/>
      <c r="K240" s="380"/>
      <c r="L240" s="352"/>
      <c r="M240" s="353"/>
      <c r="N240" s="321"/>
      <c r="O240" s="321"/>
      <c r="P240" s="321"/>
      <c r="Q240" s="321"/>
      <c r="R240" s="321"/>
      <c r="S240" s="321"/>
      <c r="T240" s="363"/>
      <c r="U240" s="352"/>
      <c r="V240" s="353"/>
      <c r="W240" s="321"/>
      <c r="X240" s="321"/>
      <c r="Y240" s="321"/>
      <c r="Z240" s="321"/>
      <c r="AA240" s="321"/>
      <c r="AB240" s="321"/>
      <c r="AC240" s="380"/>
      <c r="AD240" s="352"/>
      <c r="AE240" s="408">
        <f t="shared" si="72"/>
        <v>0</v>
      </c>
      <c r="AF240" s="409"/>
      <c r="AG240" s="381"/>
      <c r="AH240" s="408">
        <f t="shared" si="64"/>
        <v>0</v>
      </c>
      <c r="AI240" s="835"/>
      <c r="AJ240" s="720">
        <f t="shared" si="65"/>
        <v>0</v>
      </c>
    </row>
    <row r="241" spans="1:36" s="234" customFormat="1" ht="20.25">
      <c r="A241" s="547"/>
      <c r="B241" s="563"/>
      <c r="C241" s="553"/>
      <c r="D241" s="544"/>
      <c r="E241" s="319"/>
      <c r="F241" s="320"/>
      <c r="G241" s="320"/>
      <c r="H241" s="320"/>
      <c r="I241" s="321"/>
      <c r="J241" s="321"/>
      <c r="K241" s="380"/>
      <c r="L241" s="352"/>
      <c r="M241" s="353"/>
      <c r="N241" s="321"/>
      <c r="O241" s="321"/>
      <c r="P241" s="321"/>
      <c r="Q241" s="321"/>
      <c r="R241" s="321"/>
      <c r="S241" s="321"/>
      <c r="T241" s="363"/>
      <c r="U241" s="352"/>
      <c r="V241" s="353"/>
      <c r="W241" s="321"/>
      <c r="X241" s="321"/>
      <c r="Y241" s="321"/>
      <c r="Z241" s="321"/>
      <c r="AA241" s="321"/>
      <c r="AB241" s="321"/>
      <c r="AC241" s="380"/>
      <c r="AD241" s="352"/>
      <c r="AE241" s="408">
        <f t="shared" si="72"/>
        <v>0</v>
      </c>
      <c r="AF241" s="409"/>
      <c r="AG241" s="381"/>
      <c r="AH241" s="408">
        <f t="shared" si="64"/>
        <v>0</v>
      </c>
      <c r="AI241" s="835"/>
      <c r="AJ241" s="720">
        <f t="shared" si="65"/>
        <v>0</v>
      </c>
    </row>
    <row r="242" spans="1:36" s="234" customFormat="1" ht="20.25">
      <c r="A242" s="551"/>
      <c r="B242" s="552"/>
      <c r="C242" s="553"/>
      <c r="D242" s="544"/>
      <c r="E242" s="319"/>
      <c r="F242" s="320"/>
      <c r="G242" s="320"/>
      <c r="H242" s="320"/>
      <c r="I242" s="321"/>
      <c r="J242" s="321"/>
      <c r="K242" s="380"/>
      <c r="L242" s="352"/>
      <c r="M242" s="353"/>
      <c r="N242" s="321"/>
      <c r="O242" s="321"/>
      <c r="P242" s="321"/>
      <c r="Q242" s="321"/>
      <c r="R242" s="321"/>
      <c r="S242" s="321"/>
      <c r="T242" s="363"/>
      <c r="U242" s="352"/>
      <c r="V242" s="353"/>
      <c r="W242" s="321"/>
      <c r="X242" s="321"/>
      <c r="Y242" s="321"/>
      <c r="Z242" s="321"/>
      <c r="AA242" s="321"/>
      <c r="AB242" s="321"/>
      <c r="AC242" s="380"/>
      <c r="AD242" s="352"/>
      <c r="AE242" s="408">
        <f t="shared" si="72"/>
        <v>0</v>
      </c>
      <c r="AF242" s="409"/>
      <c r="AG242" s="381"/>
      <c r="AH242" s="408">
        <f t="shared" si="64"/>
        <v>0</v>
      </c>
      <c r="AI242" s="835"/>
      <c r="AJ242" s="720">
        <f t="shared" si="65"/>
        <v>0</v>
      </c>
    </row>
    <row r="243" spans="1:36" s="234" customFormat="1" ht="20.25">
      <c r="A243" s="551"/>
      <c r="B243" s="552"/>
      <c r="C243" s="553"/>
      <c r="D243" s="544"/>
      <c r="E243" s="319"/>
      <c r="F243" s="320"/>
      <c r="G243" s="320"/>
      <c r="H243" s="320"/>
      <c r="I243" s="321"/>
      <c r="J243" s="321"/>
      <c r="K243" s="380"/>
      <c r="L243" s="352"/>
      <c r="M243" s="353"/>
      <c r="N243" s="321"/>
      <c r="O243" s="321"/>
      <c r="P243" s="321"/>
      <c r="Q243" s="321"/>
      <c r="R243" s="321"/>
      <c r="S243" s="321"/>
      <c r="T243" s="363"/>
      <c r="U243" s="654"/>
      <c r="V243" s="321"/>
      <c r="W243" s="321"/>
      <c r="X243" s="321"/>
      <c r="Y243" s="321"/>
      <c r="Z243" s="321"/>
      <c r="AA243" s="321"/>
      <c r="AB243" s="321"/>
      <c r="AC243" s="320"/>
      <c r="AD243" s="842"/>
      <c r="AE243" s="321">
        <f t="shared" si="72"/>
        <v>0</v>
      </c>
      <c r="AF243" s="321"/>
      <c r="AG243" s="1178"/>
      <c r="AH243" s="408">
        <f t="shared" si="64"/>
        <v>0</v>
      </c>
      <c r="AI243" s="1204"/>
      <c r="AJ243" s="846">
        <f t="shared" si="65"/>
        <v>0</v>
      </c>
    </row>
    <row r="244" spans="1:36" s="234" customFormat="1" ht="20.25">
      <c r="A244" s="537"/>
      <c r="B244" s="538"/>
      <c r="C244" s="3079"/>
      <c r="D244" s="544"/>
      <c r="E244" s="319"/>
      <c r="F244" s="612"/>
      <c r="G244" s="612"/>
      <c r="H244" s="612"/>
      <c r="I244" s="613"/>
      <c r="J244" s="613"/>
      <c r="K244" s="678"/>
      <c r="L244" s="654"/>
      <c r="M244" s="655"/>
      <c r="N244" s="613"/>
      <c r="O244" s="613"/>
      <c r="P244" s="613"/>
      <c r="Q244" s="613"/>
      <c r="R244" s="613"/>
      <c r="S244" s="613"/>
      <c r="T244" s="768"/>
      <c r="U244" s="657"/>
      <c r="V244" s="658"/>
      <c r="W244" s="619"/>
      <c r="X244" s="619"/>
      <c r="Y244" s="619"/>
      <c r="Z244" s="619"/>
      <c r="AA244" s="619"/>
      <c r="AB244" s="619"/>
      <c r="AC244" s="681"/>
      <c r="AD244" s="657"/>
      <c r="AE244" s="682">
        <f t="shared" si="72"/>
        <v>0</v>
      </c>
      <c r="AF244" s="683"/>
      <c r="AG244" s="1205"/>
      <c r="AH244" s="682">
        <f t="shared" si="64"/>
        <v>0</v>
      </c>
      <c r="AI244" s="847"/>
      <c r="AJ244" s="848">
        <f t="shared" si="65"/>
        <v>0</v>
      </c>
    </row>
    <row r="245" spans="1:36" s="234" customFormat="1" ht="20.25">
      <c r="A245" s="537"/>
      <c r="B245" s="552"/>
      <c r="C245" s="553"/>
      <c r="D245" s="544"/>
      <c r="E245" s="861"/>
      <c r="F245" s="618"/>
      <c r="G245" s="618"/>
      <c r="H245" s="618"/>
      <c r="I245" s="619"/>
      <c r="J245" s="619"/>
      <c r="K245" s="681"/>
      <c r="L245" s="657"/>
      <c r="M245" s="658"/>
      <c r="N245" s="619"/>
      <c r="O245" s="619"/>
      <c r="P245" s="619"/>
      <c r="Q245" s="619"/>
      <c r="R245" s="619"/>
      <c r="S245" s="619"/>
      <c r="T245" s="769"/>
      <c r="U245" s="657"/>
      <c r="V245" s="658"/>
      <c r="W245" s="619"/>
      <c r="X245" s="619"/>
      <c r="Y245" s="619"/>
      <c r="Z245" s="619"/>
      <c r="AA245" s="619"/>
      <c r="AB245" s="619"/>
      <c r="AC245" s="681"/>
      <c r="AD245" s="843"/>
      <c r="AE245" s="408">
        <f t="shared" si="72"/>
        <v>0</v>
      </c>
      <c r="AF245" s="409"/>
      <c r="AG245" s="381"/>
      <c r="AH245" s="408">
        <f t="shared" si="64"/>
        <v>0</v>
      </c>
      <c r="AI245" s="835"/>
      <c r="AJ245" s="720">
        <f t="shared" si="65"/>
        <v>0</v>
      </c>
    </row>
    <row r="246" spans="1:36" s="234" customFormat="1" ht="20.25">
      <c r="A246" s="537"/>
      <c r="B246" s="538"/>
      <c r="C246" s="539"/>
      <c r="D246" s="544"/>
      <c r="E246" s="617"/>
      <c r="F246" s="618"/>
      <c r="G246" s="618"/>
      <c r="H246" s="618"/>
      <c r="I246" s="619"/>
      <c r="J246" s="619"/>
      <c r="K246" s="681"/>
      <c r="L246" s="657"/>
      <c r="M246" s="658"/>
      <c r="N246" s="619"/>
      <c r="O246" s="619"/>
      <c r="P246" s="619"/>
      <c r="Q246" s="619"/>
      <c r="R246" s="619"/>
      <c r="S246" s="619"/>
      <c r="T246" s="769"/>
      <c r="U246" s="657"/>
      <c r="V246" s="658"/>
      <c r="W246" s="619"/>
      <c r="X246" s="619"/>
      <c r="Y246" s="619"/>
      <c r="Z246" s="619"/>
      <c r="AA246" s="619"/>
      <c r="AB246" s="619"/>
      <c r="AC246" s="681"/>
      <c r="AD246" s="843"/>
      <c r="AE246" s="408">
        <f t="shared" si="72"/>
        <v>0</v>
      </c>
      <c r="AF246" s="409"/>
      <c r="AG246" s="381"/>
      <c r="AH246" s="408">
        <f t="shared" si="64"/>
        <v>0</v>
      </c>
      <c r="AI246" s="835"/>
      <c r="AJ246" s="720">
        <f t="shared" si="65"/>
        <v>0</v>
      </c>
    </row>
    <row r="247" spans="1:36" s="234" customFormat="1" ht="20.25">
      <c r="A247" s="537"/>
      <c r="B247" s="1112"/>
      <c r="C247" s="1113"/>
      <c r="D247" s="1114"/>
      <c r="E247" s="617"/>
      <c r="F247" s="618"/>
      <c r="G247" s="320"/>
      <c r="H247" s="320"/>
      <c r="I247" s="619"/>
      <c r="J247" s="619"/>
      <c r="K247" s="681"/>
      <c r="L247" s="657"/>
      <c r="M247" s="658"/>
      <c r="N247" s="619"/>
      <c r="O247" s="619"/>
      <c r="P247" s="619"/>
      <c r="Q247" s="619"/>
      <c r="R247" s="619"/>
      <c r="S247" s="619"/>
      <c r="T247" s="769"/>
      <c r="U247" s="657"/>
      <c r="V247" s="658"/>
      <c r="W247" s="619"/>
      <c r="X247" s="619"/>
      <c r="Y247" s="619"/>
      <c r="Z247" s="619"/>
      <c r="AA247" s="619"/>
      <c r="AB247" s="619"/>
      <c r="AC247" s="681"/>
      <c r="AD247" s="843"/>
      <c r="AE247" s="408">
        <f t="shared" si="72"/>
        <v>0</v>
      </c>
      <c r="AF247" s="409"/>
      <c r="AG247" s="381"/>
      <c r="AH247" s="408">
        <f t="shared" si="64"/>
        <v>0</v>
      </c>
      <c r="AI247" s="835"/>
      <c r="AJ247" s="720">
        <f t="shared" si="65"/>
        <v>0</v>
      </c>
    </row>
    <row r="248" spans="1:36" s="234" customFormat="1" ht="20.25">
      <c r="A248" s="537"/>
      <c r="B248" s="552"/>
      <c r="C248" s="553"/>
      <c r="D248" s="544"/>
      <c r="E248" s="617"/>
      <c r="F248" s="618"/>
      <c r="G248" s="618"/>
      <c r="H248" s="618"/>
      <c r="I248" s="619"/>
      <c r="J248" s="619"/>
      <c r="K248" s="681"/>
      <c r="L248" s="657"/>
      <c r="M248" s="658"/>
      <c r="N248" s="619"/>
      <c r="O248" s="619"/>
      <c r="P248" s="619"/>
      <c r="Q248" s="619"/>
      <c r="R248" s="619"/>
      <c r="S248" s="619"/>
      <c r="T248" s="769"/>
      <c r="U248" s="657"/>
      <c r="V248" s="658"/>
      <c r="W248" s="619"/>
      <c r="X248" s="619"/>
      <c r="Y248" s="619"/>
      <c r="Z248" s="619"/>
      <c r="AA248" s="619"/>
      <c r="AB248" s="619"/>
      <c r="AC248" s="681"/>
      <c r="AD248" s="775"/>
      <c r="AE248" s="419">
        <f t="shared" si="72"/>
        <v>0</v>
      </c>
      <c r="AF248" s="420"/>
      <c r="AG248" s="384"/>
      <c r="AH248" s="419">
        <f t="shared" si="64"/>
        <v>0</v>
      </c>
      <c r="AI248" s="849"/>
      <c r="AJ248" s="850">
        <f t="shared" si="65"/>
        <v>0</v>
      </c>
    </row>
    <row r="249" spans="1:36" s="234" customFormat="1" ht="21" thickBot="1">
      <c r="A249" s="537"/>
      <c r="B249" s="552"/>
      <c r="C249" s="553"/>
      <c r="D249" s="544"/>
      <c r="E249" s="617"/>
      <c r="F249" s="618"/>
      <c r="G249" s="618"/>
      <c r="H249" s="618"/>
      <c r="I249" s="619"/>
      <c r="J249" s="619"/>
      <c r="K249" s="681"/>
      <c r="L249" s="657"/>
      <c r="M249" s="658"/>
      <c r="N249" s="619"/>
      <c r="O249" s="619"/>
      <c r="P249" s="619"/>
      <c r="Q249" s="619"/>
      <c r="R249" s="619"/>
      <c r="S249" s="619"/>
      <c r="T249" s="769"/>
      <c r="U249" s="657"/>
      <c r="V249" s="658"/>
      <c r="W249" s="619"/>
      <c r="X249" s="619"/>
      <c r="Y249" s="619"/>
      <c r="Z249" s="619"/>
      <c r="AA249" s="619"/>
      <c r="AB249" s="619"/>
      <c r="AC249" s="681"/>
      <c r="AD249" s="774"/>
      <c r="AE249" s="408">
        <f t="shared" si="72"/>
        <v>0</v>
      </c>
      <c r="AF249" s="409"/>
      <c r="AG249" s="381"/>
      <c r="AH249" s="408">
        <f t="shared" si="64"/>
        <v>0</v>
      </c>
      <c r="AI249" s="835"/>
      <c r="AJ249" s="720">
        <f t="shared" si="65"/>
        <v>0</v>
      </c>
    </row>
    <row r="250" spans="1:36" s="234" customFormat="1" ht="21" thickBot="1">
      <c r="A250" s="537"/>
      <c r="B250" s="550"/>
      <c r="C250" s="549"/>
      <c r="D250" s="544"/>
      <c r="E250" s="617"/>
      <c r="F250" s="618"/>
      <c r="G250" s="618"/>
      <c r="H250" s="618"/>
      <c r="I250" s="619"/>
      <c r="J250" s="619"/>
      <c r="K250" s="681"/>
      <c r="L250" s="657"/>
      <c r="M250" s="658"/>
      <c r="N250" s="619"/>
      <c r="O250" s="619"/>
      <c r="P250" s="619"/>
      <c r="Q250" s="619"/>
      <c r="R250" s="619"/>
      <c r="S250" s="619"/>
      <c r="T250" s="769"/>
      <c r="U250" s="657"/>
      <c r="V250" s="658"/>
      <c r="W250" s="619"/>
      <c r="X250" s="619"/>
      <c r="Y250" s="619"/>
      <c r="Z250" s="619"/>
      <c r="AA250" s="619"/>
      <c r="AB250" s="619"/>
      <c r="AC250" s="681"/>
      <c r="AD250" s="774"/>
      <c r="AE250" s="408">
        <f t="shared" si="72"/>
        <v>0</v>
      </c>
      <c r="AF250" s="409"/>
      <c r="AG250" s="381"/>
      <c r="AH250" s="408">
        <f t="shared" si="64"/>
        <v>0</v>
      </c>
      <c r="AI250" s="835"/>
      <c r="AJ250" s="720">
        <f t="shared" si="65"/>
        <v>0</v>
      </c>
    </row>
    <row r="251" spans="1:36" s="234" customFormat="1" ht="21" thickBot="1">
      <c r="A251" s="537"/>
      <c r="B251" s="550"/>
      <c r="C251" s="549"/>
      <c r="D251" s="544"/>
      <c r="E251" s="617"/>
      <c r="F251" s="618"/>
      <c r="G251" s="618"/>
      <c r="H251" s="618"/>
      <c r="I251" s="619"/>
      <c r="J251" s="619"/>
      <c r="K251" s="681"/>
      <c r="L251" s="657"/>
      <c r="M251" s="658"/>
      <c r="N251" s="619"/>
      <c r="O251" s="619"/>
      <c r="P251" s="619"/>
      <c r="Q251" s="619"/>
      <c r="R251" s="619"/>
      <c r="S251" s="619"/>
      <c r="T251" s="769"/>
      <c r="U251" s="657"/>
      <c r="V251" s="658"/>
      <c r="W251" s="619"/>
      <c r="X251" s="619"/>
      <c r="Y251" s="619"/>
      <c r="Z251" s="619"/>
      <c r="AA251" s="619"/>
      <c r="AB251" s="619"/>
      <c r="AC251" s="681"/>
      <c r="AD251" s="774"/>
      <c r="AE251" s="419">
        <f t="shared" si="72"/>
        <v>0</v>
      </c>
      <c r="AF251" s="420"/>
      <c r="AG251" s="384"/>
      <c r="AH251" s="419">
        <f t="shared" si="64"/>
        <v>0</v>
      </c>
      <c r="AI251" s="849"/>
      <c r="AJ251" s="850">
        <f t="shared" si="65"/>
        <v>0</v>
      </c>
    </row>
    <row r="252" spans="1:36" s="234" customFormat="1" ht="21" thickBot="1">
      <c r="A252" s="537"/>
      <c r="B252" s="550"/>
      <c r="C252" s="549"/>
      <c r="D252" s="544"/>
      <c r="E252" s="617"/>
      <c r="F252" s="618"/>
      <c r="G252" s="618"/>
      <c r="H252" s="618"/>
      <c r="I252" s="619"/>
      <c r="J252" s="619"/>
      <c r="K252" s="681"/>
      <c r="L252" s="657"/>
      <c r="M252" s="658"/>
      <c r="N252" s="619"/>
      <c r="O252" s="619"/>
      <c r="P252" s="619"/>
      <c r="Q252" s="619"/>
      <c r="R252" s="619"/>
      <c r="S252" s="619"/>
      <c r="T252" s="769"/>
      <c r="U252" s="657"/>
      <c r="V252" s="658"/>
      <c r="W252" s="619"/>
      <c r="X252" s="619"/>
      <c r="Y252" s="619"/>
      <c r="Z252" s="619"/>
      <c r="AA252" s="619"/>
      <c r="AB252" s="619"/>
      <c r="AC252" s="681"/>
      <c r="AD252" s="774"/>
      <c r="AE252" s="408">
        <f t="shared" si="72"/>
        <v>0</v>
      </c>
      <c r="AF252" s="409"/>
      <c r="AG252" s="381"/>
      <c r="AH252" s="408">
        <f t="shared" si="64"/>
        <v>0</v>
      </c>
      <c r="AI252" s="835"/>
      <c r="AJ252" s="720">
        <f t="shared" si="65"/>
        <v>0</v>
      </c>
    </row>
    <row r="253" spans="1:36" s="234" customFormat="1" ht="21" thickBot="1">
      <c r="A253" s="537"/>
      <c r="B253" s="552"/>
      <c r="C253" s="553"/>
      <c r="D253" s="544"/>
      <c r="E253" s="617"/>
      <c r="F253" s="618"/>
      <c r="G253" s="618"/>
      <c r="H253" s="618"/>
      <c r="I253" s="619"/>
      <c r="J253" s="619"/>
      <c r="K253" s="681"/>
      <c r="L253" s="657"/>
      <c r="M253" s="658"/>
      <c r="N253" s="619"/>
      <c r="O253" s="619"/>
      <c r="P253" s="619"/>
      <c r="Q253" s="619"/>
      <c r="R253" s="619"/>
      <c r="S253" s="619"/>
      <c r="T253" s="769"/>
      <c r="U253" s="657"/>
      <c r="V253" s="658"/>
      <c r="W253" s="619"/>
      <c r="X253" s="619"/>
      <c r="Y253" s="619"/>
      <c r="Z253" s="619"/>
      <c r="AA253" s="619"/>
      <c r="AB253" s="619"/>
      <c r="AC253" s="681"/>
      <c r="AD253" s="774"/>
      <c r="AE253" s="408">
        <f>SUM(E253:AC253)</f>
        <v>0</v>
      </c>
      <c r="AF253" s="409"/>
      <c r="AG253" s="381"/>
      <c r="AH253" s="408">
        <f t="shared" si="64"/>
        <v>0</v>
      </c>
      <c r="AI253" s="835"/>
      <c r="AJ253" s="720">
        <f t="shared" si="65"/>
        <v>0</v>
      </c>
    </row>
    <row r="254" spans="1:36" s="234" customFormat="1" ht="21" thickBot="1">
      <c r="A254" s="547"/>
      <c r="B254" s="550"/>
      <c r="C254" s="549"/>
      <c r="D254" s="544"/>
      <c r="E254" s="313"/>
      <c r="F254" s="314"/>
      <c r="G254" s="314"/>
      <c r="H254" s="314"/>
      <c r="I254" s="315"/>
      <c r="J254" s="315"/>
      <c r="K254" s="378"/>
      <c r="L254" s="352"/>
      <c r="M254" s="353"/>
      <c r="N254" s="321"/>
      <c r="O254" s="321"/>
      <c r="P254" s="321"/>
      <c r="Q254" s="321"/>
      <c r="R254" s="321"/>
      <c r="S254" s="321"/>
      <c r="T254" s="363"/>
      <c r="U254" s="352"/>
      <c r="V254" s="353"/>
      <c r="W254" s="321"/>
      <c r="X254" s="321"/>
      <c r="Y254" s="321"/>
      <c r="Z254" s="321"/>
      <c r="AA254" s="321"/>
      <c r="AB254" s="321"/>
      <c r="AC254" s="380"/>
      <c r="AD254" s="774"/>
      <c r="AE254" s="408">
        <f t="shared" ref="AE254:AE284" si="73">SUM(E254:AC254)</f>
        <v>0</v>
      </c>
      <c r="AF254" s="409"/>
      <c r="AG254" s="381"/>
      <c r="AH254" s="408">
        <f t="shared" si="64"/>
        <v>0</v>
      </c>
      <c r="AI254" s="835"/>
      <c r="AJ254" s="720">
        <f t="shared" si="65"/>
        <v>0</v>
      </c>
    </row>
    <row r="255" spans="1:36" s="234" customFormat="1" ht="21" thickBot="1">
      <c r="A255" s="537"/>
      <c r="B255" s="550"/>
      <c r="C255" s="549"/>
      <c r="D255" s="544"/>
      <c r="E255" s="319"/>
      <c r="F255" s="320"/>
      <c r="G255" s="320"/>
      <c r="H255" s="320"/>
      <c r="I255" s="321"/>
      <c r="J255" s="321"/>
      <c r="K255" s="380"/>
      <c r="L255" s="352"/>
      <c r="M255" s="353"/>
      <c r="N255" s="321"/>
      <c r="O255" s="321"/>
      <c r="P255" s="321"/>
      <c r="Q255" s="321"/>
      <c r="R255" s="321"/>
      <c r="S255" s="321"/>
      <c r="T255" s="363"/>
      <c r="U255" s="580"/>
      <c r="V255" s="581"/>
      <c r="W255" s="543"/>
      <c r="X255" s="543"/>
      <c r="Y255" s="543"/>
      <c r="Z255" s="543"/>
      <c r="AA255" s="543"/>
      <c r="AB255" s="543"/>
      <c r="AC255" s="592"/>
      <c r="AD255" s="774"/>
      <c r="AE255" s="408">
        <f t="shared" si="73"/>
        <v>0</v>
      </c>
      <c r="AF255" s="409"/>
      <c r="AG255" s="381"/>
      <c r="AH255" s="408">
        <f t="shared" si="64"/>
        <v>0</v>
      </c>
      <c r="AI255" s="835"/>
      <c r="AJ255" s="720">
        <f t="shared" si="65"/>
        <v>0</v>
      </c>
    </row>
    <row r="256" spans="1:36" s="234" customFormat="1" ht="21" thickBot="1">
      <c r="A256" s="551"/>
      <c r="B256" s="550"/>
      <c r="C256" s="549"/>
      <c r="D256" s="544"/>
      <c r="E256" s="319"/>
      <c r="F256" s="320"/>
      <c r="G256" s="320"/>
      <c r="H256" s="320"/>
      <c r="I256" s="321"/>
      <c r="J256" s="321"/>
      <c r="K256" s="380"/>
      <c r="L256" s="352"/>
      <c r="M256" s="353"/>
      <c r="N256" s="321"/>
      <c r="O256" s="321"/>
      <c r="P256" s="321"/>
      <c r="Q256" s="321"/>
      <c r="R256" s="321"/>
      <c r="S256" s="321"/>
      <c r="T256" s="363"/>
      <c r="U256" s="580"/>
      <c r="V256" s="581"/>
      <c r="W256" s="543"/>
      <c r="X256" s="543"/>
      <c r="Y256" s="543"/>
      <c r="Z256" s="543"/>
      <c r="AA256" s="543"/>
      <c r="AB256" s="543"/>
      <c r="AC256" s="592"/>
      <c r="AD256" s="774"/>
      <c r="AE256" s="408">
        <f t="shared" si="73"/>
        <v>0</v>
      </c>
      <c r="AF256" s="409"/>
      <c r="AG256" s="381"/>
      <c r="AH256" s="408">
        <f t="shared" si="64"/>
        <v>0</v>
      </c>
      <c r="AI256" s="835"/>
      <c r="AJ256" s="720">
        <f t="shared" si="65"/>
        <v>0</v>
      </c>
    </row>
    <row r="257" spans="1:36" s="234" customFormat="1" ht="21" thickBot="1">
      <c r="A257" s="537"/>
      <c r="B257" s="550"/>
      <c r="C257" s="549"/>
      <c r="D257" s="544"/>
      <c r="E257" s="541"/>
      <c r="F257" s="542"/>
      <c r="G257" s="542"/>
      <c r="H257" s="542"/>
      <c r="I257" s="543"/>
      <c r="J257" s="543"/>
      <c r="K257" s="592"/>
      <c r="L257" s="580"/>
      <c r="M257" s="581"/>
      <c r="N257" s="543"/>
      <c r="O257" s="543"/>
      <c r="P257" s="543"/>
      <c r="Q257" s="543"/>
      <c r="R257" s="543"/>
      <c r="S257" s="543"/>
      <c r="T257" s="767"/>
      <c r="U257" s="580"/>
      <c r="V257" s="581"/>
      <c r="W257" s="543"/>
      <c r="X257" s="543"/>
      <c r="Y257" s="543"/>
      <c r="Z257" s="543"/>
      <c r="AA257" s="543"/>
      <c r="AB257" s="543"/>
      <c r="AC257" s="592"/>
      <c r="AD257" s="774"/>
      <c r="AE257" s="408">
        <f t="shared" si="73"/>
        <v>0</v>
      </c>
      <c r="AF257" s="409"/>
      <c r="AG257" s="381"/>
      <c r="AH257" s="408">
        <f t="shared" si="64"/>
        <v>0</v>
      </c>
      <c r="AI257" s="835"/>
      <c r="AJ257" s="720">
        <f t="shared" si="65"/>
        <v>0</v>
      </c>
    </row>
    <row r="258" spans="1:36" s="234" customFormat="1" ht="21" thickBot="1">
      <c r="A258" s="537"/>
      <c r="B258" s="550"/>
      <c r="C258" s="549"/>
      <c r="D258" s="544"/>
      <c r="E258" s="541"/>
      <c r="F258" s="542"/>
      <c r="G258" s="542"/>
      <c r="H258" s="542"/>
      <c r="I258" s="543"/>
      <c r="J258" s="543"/>
      <c r="K258" s="592"/>
      <c r="L258" s="580"/>
      <c r="M258" s="581"/>
      <c r="N258" s="543"/>
      <c r="O258" s="543"/>
      <c r="P258" s="543"/>
      <c r="Q258" s="543"/>
      <c r="R258" s="543"/>
      <c r="S258" s="543"/>
      <c r="T258" s="767"/>
      <c r="U258" s="352"/>
      <c r="V258" s="353"/>
      <c r="W258" s="321"/>
      <c r="X258" s="321"/>
      <c r="Y258" s="321"/>
      <c r="Z258" s="321"/>
      <c r="AA258" s="321"/>
      <c r="AB258" s="321"/>
      <c r="AC258" s="380"/>
      <c r="AD258" s="774"/>
      <c r="AE258" s="408">
        <f t="shared" si="73"/>
        <v>0</v>
      </c>
      <c r="AF258" s="409"/>
      <c r="AG258" s="381"/>
      <c r="AH258" s="408">
        <f t="shared" si="64"/>
        <v>0</v>
      </c>
      <c r="AI258" s="835"/>
      <c r="AJ258" s="720">
        <f t="shared" si="65"/>
        <v>0</v>
      </c>
    </row>
    <row r="259" spans="1:36" s="234" customFormat="1" ht="21" thickBot="1">
      <c r="A259" s="561"/>
      <c r="B259" s="550"/>
      <c r="C259" s="549"/>
      <c r="D259" s="544"/>
      <c r="E259" s="319"/>
      <c r="F259" s="320"/>
      <c r="G259" s="320"/>
      <c r="H259" s="320"/>
      <c r="I259" s="321"/>
      <c r="J259" s="321"/>
      <c r="K259" s="380"/>
      <c r="L259" s="352"/>
      <c r="M259" s="353"/>
      <c r="N259" s="321"/>
      <c r="O259" s="321"/>
      <c r="P259" s="321"/>
      <c r="Q259" s="321"/>
      <c r="R259" s="321"/>
      <c r="S259" s="321"/>
      <c r="T259" s="363"/>
      <c r="U259" s="580"/>
      <c r="V259" s="581"/>
      <c r="W259" s="543"/>
      <c r="X259" s="543"/>
      <c r="Y259" s="543"/>
      <c r="Z259" s="543"/>
      <c r="AA259" s="543"/>
      <c r="AB259" s="543"/>
      <c r="AC259" s="592"/>
      <c r="AD259" s="774"/>
      <c r="AE259" s="408">
        <f t="shared" si="73"/>
        <v>0</v>
      </c>
      <c r="AF259" s="409"/>
      <c r="AG259" s="381"/>
      <c r="AH259" s="408">
        <f t="shared" si="64"/>
        <v>0</v>
      </c>
      <c r="AI259" s="835"/>
      <c r="AJ259" s="720">
        <f t="shared" si="65"/>
        <v>0</v>
      </c>
    </row>
    <row r="260" spans="1:36" s="234" customFormat="1" ht="21" thickBot="1">
      <c r="A260" s="537"/>
      <c r="B260" s="552"/>
      <c r="C260" s="553"/>
      <c r="D260" s="544"/>
      <c r="E260" s="541"/>
      <c r="F260" s="542"/>
      <c r="G260" s="542"/>
      <c r="H260" s="542"/>
      <c r="I260" s="543"/>
      <c r="J260" s="543"/>
      <c r="K260" s="592"/>
      <c r="L260" s="580"/>
      <c r="M260" s="581"/>
      <c r="N260" s="543"/>
      <c r="O260" s="543"/>
      <c r="P260" s="543"/>
      <c r="Q260" s="543"/>
      <c r="R260" s="543"/>
      <c r="S260" s="543"/>
      <c r="T260" s="767"/>
      <c r="U260" s="580"/>
      <c r="V260" s="581"/>
      <c r="W260" s="543"/>
      <c r="X260" s="543"/>
      <c r="Y260" s="543"/>
      <c r="Z260" s="543"/>
      <c r="AA260" s="543"/>
      <c r="AB260" s="543"/>
      <c r="AC260" s="592"/>
      <c r="AD260" s="774"/>
      <c r="AE260" s="408">
        <f t="shared" si="73"/>
        <v>0</v>
      </c>
      <c r="AF260" s="409"/>
      <c r="AG260" s="381"/>
      <c r="AH260" s="408">
        <f t="shared" si="64"/>
        <v>0</v>
      </c>
      <c r="AI260" s="835"/>
      <c r="AJ260" s="720">
        <f t="shared" si="65"/>
        <v>0</v>
      </c>
    </row>
    <row r="261" spans="1:36" s="234" customFormat="1" ht="21" thickBot="1">
      <c r="A261" s="537"/>
      <c r="B261" s="550"/>
      <c r="C261" s="549"/>
      <c r="D261" s="544"/>
      <c r="E261" s="617"/>
      <c r="F261" s="618"/>
      <c r="G261" s="618"/>
      <c r="H261" s="618"/>
      <c r="I261" s="619"/>
      <c r="J261" s="619"/>
      <c r="K261" s="681"/>
      <c r="L261" s="657"/>
      <c r="M261" s="658"/>
      <c r="N261" s="619"/>
      <c r="O261" s="619"/>
      <c r="P261" s="619"/>
      <c r="Q261" s="619"/>
      <c r="R261" s="619"/>
      <c r="S261" s="619"/>
      <c r="T261" s="769"/>
      <c r="U261" s="657"/>
      <c r="V261" s="658"/>
      <c r="W261" s="619"/>
      <c r="X261" s="619"/>
      <c r="Y261" s="619"/>
      <c r="Z261" s="619"/>
      <c r="AA261" s="619"/>
      <c r="AB261" s="619"/>
      <c r="AC261" s="681"/>
      <c r="AD261" s="774"/>
      <c r="AE261" s="408">
        <f t="shared" si="73"/>
        <v>0</v>
      </c>
      <c r="AF261" s="409"/>
      <c r="AG261" s="381"/>
      <c r="AH261" s="408">
        <f t="shared" si="64"/>
        <v>0</v>
      </c>
      <c r="AI261" s="835"/>
      <c r="AJ261" s="720">
        <f t="shared" si="65"/>
        <v>0</v>
      </c>
    </row>
    <row r="262" spans="1:36" s="234" customFormat="1" ht="21" thickBot="1">
      <c r="A262" s="537"/>
      <c r="B262" s="550"/>
      <c r="C262" s="549"/>
      <c r="D262" s="544"/>
      <c r="E262" s="617"/>
      <c r="F262" s="618"/>
      <c r="G262" s="618"/>
      <c r="H262" s="618"/>
      <c r="I262" s="619"/>
      <c r="J262" s="619"/>
      <c r="K262" s="681"/>
      <c r="L262" s="657"/>
      <c r="M262" s="658"/>
      <c r="N262" s="619"/>
      <c r="O262" s="619"/>
      <c r="P262" s="619"/>
      <c r="Q262" s="619"/>
      <c r="R262" s="619"/>
      <c r="S262" s="619"/>
      <c r="T262" s="769"/>
      <c r="U262" s="657"/>
      <c r="V262" s="658"/>
      <c r="W262" s="619"/>
      <c r="X262" s="619"/>
      <c r="Y262" s="619"/>
      <c r="Z262" s="619"/>
      <c r="AA262" s="619"/>
      <c r="AB262" s="619"/>
      <c r="AC262" s="681"/>
      <c r="AD262" s="774"/>
      <c r="AE262" s="408">
        <f t="shared" si="73"/>
        <v>0</v>
      </c>
      <c r="AF262" s="409"/>
      <c r="AG262" s="381"/>
      <c r="AH262" s="408">
        <f t="shared" si="64"/>
        <v>0</v>
      </c>
      <c r="AI262" s="835"/>
      <c r="AJ262" s="720">
        <f t="shared" si="65"/>
        <v>0</v>
      </c>
    </row>
    <row r="263" spans="1:36" s="234" customFormat="1" ht="21" thickBot="1">
      <c r="A263" s="537"/>
      <c r="B263" s="550"/>
      <c r="C263" s="549"/>
      <c r="D263" s="544"/>
      <c r="E263" s="617"/>
      <c r="F263" s="618"/>
      <c r="G263" s="618"/>
      <c r="H263" s="618"/>
      <c r="I263" s="619"/>
      <c r="J263" s="619"/>
      <c r="K263" s="681"/>
      <c r="L263" s="657"/>
      <c r="M263" s="658"/>
      <c r="N263" s="619"/>
      <c r="O263" s="619"/>
      <c r="P263" s="619"/>
      <c r="Q263" s="619"/>
      <c r="R263" s="619"/>
      <c r="S263" s="619"/>
      <c r="T263" s="769"/>
      <c r="U263" s="657"/>
      <c r="V263" s="658"/>
      <c r="W263" s="619"/>
      <c r="X263" s="619"/>
      <c r="Y263" s="619"/>
      <c r="Z263" s="619"/>
      <c r="AA263" s="619"/>
      <c r="AB263" s="619"/>
      <c r="AC263" s="681"/>
      <c r="AD263" s="774"/>
      <c r="AE263" s="408">
        <f t="shared" si="73"/>
        <v>0</v>
      </c>
      <c r="AF263" s="409"/>
      <c r="AG263" s="381"/>
      <c r="AH263" s="408">
        <f t="shared" si="64"/>
        <v>0</v>
      </c>
      <c r="AI263" s="835"/>
      <c r="AJ263" s="720">
        <f t="shared" si="65"/>
        <v>0</v>
      </c>
    </row>
    <row r="264" spans="1:36" s="234" customFormat="1" ht="21" thickBot="1">
      <c r="A264" s="537"/>
      <c r="B264" s="550"/>
      <c r="C264" s="549"/>
      <c r="D264" s="544"/>
      <c r="E264" s="617"/>
      <c r="F264" s="618"/>
      <c r="G264" s="618"/>
      <c r="H264" s="618"/>
      <c r="I264" s="619"/>
      <c r="J264" s="619"/>
      <c r="K264" s="681"/>
      <c r="L264" s="657"/>
      <c r="M264" s="658"/>
      <c r="N264" s="619"/>
      <c r="O264" s="619"/>
      <c r="P264" s="619"/>
      <c r="Q264" s="619"/>
      <c r="R264" s="619"/>
      <c r="S264" s="619"/>
      <c r="T264" s="769"/>
      <c r="U264" s="657"/>
      <c r="V264" s="658"/>
      <c r="W264" s="619"/>
      <c r="X264" s="619"/>
      <c r="Y264" s="619"/>
      <c r="Z264" s="619"/>
      <c r="AA264" s="619"/>
      <c r="AB264" s="619"/>
      <c r="AC264" s="681"/>
      <c r="AD264" s="774"/>
      <c r="AE264" s="408">
        <f t="shared" si="73"/>
        <v>0</v>
      </c>
      <c r="AF264" s="409"/>
      <c r="AG264" s="381"/>
      <c r="AH264" s="408">
        <f t="shared" si="64"/>
        <v>0</v>
      </c>
      <c r="AI264" s="835"/>
      <c r="AJ264" s="720">
        <f t="shared" si="65"/>
        <v>0</v>
      </c>
    </row>
    <row r="265" spans="1:36" s="234" customFormat="1" ht="21" thickBot="1">
      <c r="A265" s="537"/>
      <c r="B265" s="550"/>
      <c r="C265" s="549"/>
      <c r="D265" s="544"/>
      <c r="E265" s="617"/>
      <c r="F265" s="618"/>
      <c r="G265" s="618"/>
      <c r="H265" s="618"/>
      <c r="I265" s="619"/>
      <c r="J265" s="619"/>
      <c r="K265" s="681"/>
      <c r="L265" s="657"/>
      <c r="M265" s="658"/>
      <c r="N265" s="619"/>
      <c r="O265" s="619"/>
      <c r="P265" s="619"/>
      <c r="Q265" s="619"/>
      <c r="R265" s="619"/>
      <c r="S265" s="619"/>
      <c r="T265" s="769"/>
      <c r="U265" s="657"/>
      <c r="V265" s="658"/>
      <c r="W265" s="619"/>
      <c r="X265" s="619"/>
      <c r="Y265" s="619"/>
      <c r="Z265" s="619"/>
      <c r="AA265" s="619"/>
      <c r="AB265" s="619"/>
      <c r="AC265" s="681"/>
      <c r="AD265" s="774"/>
      <c r="AE265" s="408">
        <f t="shared" si="73"/>
        <v>0</v>
      </c>
      <c r="AF265" s="409"/>
      <c r="AG265" s="381"/>
      <c r="AH265" s="408">
        <f t="shared" si="64"/>
        <v>0</v>
      </c>
      <c r="AI265" s="835"/>
      <c r="AJ265" s="720">
        <f t="shared" si="65"/>
        <v>0</v>
      </c>
    </row>
    <row r="266" spans="1:36" s="234" customFormat="1" ht="21" thickBot="1">
      <c r="A266" s="537"/>
      <c r="B266" s="550"/>
      <c r="C266" s="549"/>
      <c r="D266" s="544"/>
      <c r="E266" s="617"/>
      <c r="F266" s="618"/>
      <c r="G266" s="618"/>
      <c r="H266" s="618"/>
      <c r="I266" s="619"/>
      <c r="J266" s="619"/>
      <c r="K266" s="681"/>
      <c r="L266" s="657"/>
      <c r="M266" s="658"/>
      <c r="N266" s="619"/>
      <c r="O266" s="619"/>
      <c r="P266" s="619"/>
      <c r="Q266" s="619"/>
      <c r="R266" s="619"/>
      <c r="S266" s="619"/>
      <c r="T266" s="769"/>
      <c r="U266" s="657"/>
      <c r="V266" s="658"/>
      <c r="W266" s="619"/>
      <c r="X266" s="619"/>
      <c r="Y266" s="619"/>
      <c r="Z266" s="619"/>
      <c r="AA266" s="619"/>
      <c r="AB266" s="619"/>
      <c r="AC266" s="681"/>
      <c r="AD266" s="774"/>
      <c r="AE266" s="408">
        <f t="shared" si="73"/>
        <v>0</v>
      </c>
      <c r="AF266" s="409"/>
      <c r="AG266" s="381"/>
      <c r="AH266" s="408">
        <f t="shared" si="64"/>
        <v>0</v>
      </c>
      <c r="AI266" s="835"/>
      <c r="AJ266" s="720">
        <f t="shared" si="65"/>
        <v>0</v>
      </c>
    </row>
    <row r="267" spans="1:36" s="234" customFormat="1" ht="20.25">
      <c r="A267" s="551"/>
      <c r="B267" s="550"/>
      <c r="C267" s="549"/>
      <c r="D267" s="544"/>
      <c r="E267" s="617"/>
      <c r="F267" s="618"/>
      <c r="G267" s="618"/>
      <c r="H267" s="618"/>
      <c r="I267" s="619"/>
      <c r="J267" s="619"/>
      <c r="K267" s="681"/>
      <c r="L267" s="657"/>
      <c r="M267" s="658"/>
      <c r="N267" s="619"/>
      <c r="O267" s="619"/>
      <c r="P267" s="619"/>
      <c r="Q267" s="619"/>
      <c r="R267" s="619"/>
      <c r="S267" s="619"/>
      <c r="T267" s="769"/>
      <c r="U267" s="657"/>
      <c r="V267" s="658"/>
      <c r="W267" s="619"/>
      <c r="X267" s="619"/>
      <c r="Y267" s="619"/>
      <c r="Z267" s="619"/>
      <c r="AA267" s="619"/>
      <c r="AB267" s="619"/>
      <c r="AC267" s="681"/>
      <c r="AD267" s="775"/>
      <c r="AE267" s="419">
        <f t="shared" si="73"/>
        <v>0</v>
      </c>
      <c r="AF267" s="409"/>
      <c r="AG267" s="384"/>
      <c r="AH267" s="419">
        <f t="shared" si="64"/>
        <v>0</v>
      </c>
      <c r="AI267" s="849"/>
      <c r="AJ267" s="850">
        <f t="shared" si="65"/>
        <v>0</v>
      </c>
    </row>
    <row r="268" spans="1:36" s="234" customFormat="1" ht="21" thickBot="1">
      <c r="A268" s="1111"/>
      <c r="B268" s="1112"/>
      <c r="C268" s="1113"/>
      <c r="D268" s="1114"/>
      <c r="E268" s="617"/>
      <c r="F268" s="618"/>
      <c r="G268" s="618"/>
      <c r="H268" s="618"/>
      <c r="I268" s="619"/>
      <c r="J268" s="619"/>
      <c r="K268" s="681"/>
      <c r="L268" s="657"/>
      <c r="M268" s="658"/>
      <c r="N268" s="619"/>
      <c r="O268" s="619"/>
      <c r="P268" s="619"/>
      <c r="Q268" s="619"/>
      <c r="R268" s="619"/>
      <c r="S268" s="619"/>
      <c r="T268" s="769"/>
      <c r="U268" s="657"/>
      <c r="V268" s="658"/>
      <c r="W268" s="619"/>
      <c r="X268" s="619"/>
      <c r="Y268" s="619"/>
      <c r="Z268" s="619"/>
      <c r="AA268" s="619"/>
      <c r="AB268" s="619"/>
      <c r="AC268" s="681"/>
      <c r="AD268" s="774"/>
      <c r="AE268" s="408">
        <f t="shared" si="73"/>
        <v>0</v>
      </c>
      <c r="AF268" s="409"/>
      <c r="AG268" s="381"/>
      <c r="AH268" s="408">
        <f t="shared" si="64"/>
        <v>0</v>
      </c>
      <c r="AI268" s="835"/>
      <c r="AJ268" s="720">
        <f t="shared" si="65"/>
        <v>0</v>
      </c>
    </row>
    <row r="269" spans="1:36" s="234" customFormat="1" ht="21" thickBot="1">
      <c r="A269" s="1111"/>
      <c r="B269" s="1112"/>
      <c r="C269" s="1113"/>
      <c r="D269" s="1114"/>
      <c r="E269" s="617"/>
      <c r="F269" s="618"/>
      <c r="G269" s="618"/>
      <c r="H269" s="618"/>
      <c r="I269" s="619"/>
      <c r="J269" s="619"/>
      <c r="K269" s="681"/>
      <c r="L269" s="657"/>
      <c r="M269" s="658"/>
      <c r="N269" s="619"/>
      <c r="O269" s="619"/>
      <c r="P269" s="619"/>
      <c r="Q269" s="619"/>
      <c r="R269" s="619"/>
      <c r="S269" s="619"/>
      <c r="T269" s="769"/>
      <c r="U269" s="657"/>
      <c r="V269" s="658"/>
      <c r="W269" s="619"/>
      <c r="X269" s="619"/>
      <c r="Y269" s="619"/>
      <c r="Z269" s="619"/>
      <c r="AA269" s="619"/>
      <c r="AB269" s="619"/>
      <c r="AC269" s="681"/>
      <c r="AD269" s="774"/>
      <c r="AE269" s="408">
        <f t="shared" si="73"/>
        <v>0</v>
      </c>
      <c r="AF269" s="409"/>
      <c r="AG269" s="381"/>
      <c r="AH269" s="408">
        <f t="shared" si="64"/>
        <v>0</v>
      </c>
      <c r="AI269" s="835"/>
      <c r="AJ269" s="720">
        <f t="shared" si="65"/>
        <v>0</v>
      </c>
    </row>
    <row r="270" spans="1:36" s="234" customFormat="1" ht="21" thickBot="1">
      <c r="A270" s="537"/>
      <c r="B270" s="550"/>
      <c r="C270" s="549"/>
      <c r="D270" s="544"/>
      <c r="E270" s="617"/>
      <c r="F270" s="618"/>
      <c r="G270" s="618"/>
      <c r="H270" s="618"/>
      <c r="I270" s="619"/>
      <c r="J270" s="619"/>
      <c r="K270" s="681"/>
      <c r="L270" s="657"/>
      <c r="M270" s="658"/>
      <c r="N270" s="619"/>
      <c r="O270" s="619"/>
      <c r="P270" s="619"/>
      <c r="Q270" s="619"/>
      <c r="R270" s="619"/>
      <c r="S270" s="619"/>
      <c r="T270" s="769"/>
      <c r="U270" s="657"/>
      <c r="V270" s="658"/>
      <c r="W270" s="619"/>
      <c r="X270" s="619"/>
      <c r="Y270" s="619"/>
      <c r="Z270" s="619"/>
      <c r="AA270" s="619"/>
      <c r="AB270" s="619"/>
      <c r="AC270" s="681"/>
      <c r="AD270" s="774"/>
      <c r="AE270" s="408">
        <f t="shared" si="73"/>
        <v>0</v>
      </c>
      <c r="AF270" s="409"/>
      <c r="AG270" s="381"/>
      <c r="AH270" s="408">
        <f t="shared" si="64"/>
        <v>0</v>
      </c>
      <c r="AI270" s="835"/>
      <c r="AJ270" s="720">
        <f t="shared" si="65"/>
        <v>0</v>
      </c>
    </row>
    <row r="271" spans="1:36" s="234" customFormat="1" ht="21" thickBot="1">
      <c r="A271" s="537"/>
      <c r="B271" s="550"/>
      <c r="C271" s="549"/>
      <c r="D271" s="544"/>
      <c r="E271" s="617"/>
      <c r="F271" s="618"/>
      <c r="G271" s="618"/>
      <c r="H271" s="618"/>
      <c r="I271" s="619"/>
      <c r="J271" s="619"/>
      <c r="K271" s="681"/>
      <c r="L271" s="657"/>
      <c r="M271" s="658"/>
      <c r="N271" s="619"/>
      <c r="O271" s="619"/>
      <c r="P271" s="619"/>
      <c r="Q271" s="619"/>
      <c r="R271" s="619"/>
      <c r="S271" s="619"/>
      <c r="T271" s="769"/>
      <c r="U271" s="657"/>
      <c r="V271" s="658"/>
      <c r="W271" s="619"/>
      <c r="X271" s="619"/>
      <c r="Y271" s="619"/>
      <c r="Z271" s="619"/>
      <c r="AA271" s="619"/>
      <c r="AB271" s="619"/>
      <c r="AC271" s="681"/>
      <c r="AD271" s="774"/>
      <c r="AE271" s="408">
        <f t="shared" si="73"/>
        <v>0</v>
      </c>
      <c r="AF271" s="409"/>
      <c r="AG271" s="381"/>
      <c r="AH271" s="408">
        <f t="shared" si="64"/>
        <v>0</v>
      </c>
      <c r="AI271" s="835"/>
      <c r="AJ271" s="720">
        <f t="shared" si="65"/>
        <v>0</v>
      </c>
    </row>
    <row r="272" spans="1:36" s="234" customFormat="1" ht="21" thickBot="1">
      <c r="A272" s="537"/>
      <c r="B272" s="550"/>
      <c r="C272" s="549"/>
      <c r="D272" s="544"/>
      <c r="E272" s="617"/>
      <c r="F272" s="618"/>
      <c r="G272" s="618"/>
      <c r="H272" s="618"/>
      <c r="I272" s="619"/>
      <c r="J272" s="619"/>
      <c r="K272" s="681"/>
      <c r="L272" s="657"/>
      <c r="M272" s="658"/>
      <c r="N272" s="619"/>
      <c r="O272" s="619"/>
      <c r="P272" s="619"/>
      <c r="Q272" s="619"/>
      <c r="R272" s="619"/>
      <c r="S272" s="619"/>
      <c r="T272" s="769"/>
      <c r="U272" s="657"/>
      <c r="V272" s="658"/>
      <c r="W272" s="619"/>
      <c r="X272" s="619"/>
      <c r="Y272" s="619"/>
      <c r="Z272" s="619"/>
      <c r="AA272" s="619"/>
      <c r="AB272" s="619"/>
      <c r="AC272" s="681"/>
      <c r="AD272" s="774"/>
      <c r="AE272" s="408">
        <f t="shared" si="73"/>
        <v>0</v>
      </c>
      <c r="AF272" s="409"/>
      <c r="AG272" s="381"/>
      <c r="AH272" s="408">
        <f t="shared" si="64"/>
        <v>0</v>
      </c>
      <c r="AI272" s="835"/>
      <c r="AJ272" s="720">
        <f t="shared" si="65"/>
        <v>0</v>
      </c>
    </row>
    <row r="273" spans="1:36" s="234" customFormat="1" ht="21" thickBot="1">
      <c r="A273" s="537"/>
      <c r="B273" s="550"/>
      <c r="C273" s="549"/>
      <c r="D273" s="544"/>
      <c r="E273" s="617"/>
      <c r="F273" s="618"/>
      <c r="G273" s="618"/>
      <c r="H273" s="618"/>
      <c r="I273" s="619"/>
      <c r="J273" s="619"/>
      <c r="K273" s="681"/>
      <c r="L273" s="657"/>
      <c r="M273" s="658"/>
      <c r="N273" s="619"/>
      <c r="O273" s="619"/>
      <c r="P273" s="619"/>
      <c r="Q273" s="619"/>
      <c r="R273" s="619"/>
      <c r="S273" s="619"/>
      <c r="T273" s="769"/>
      <c r="U273" s="657"/>
      <c r="V273" s="658"/>
      <c r="W273" s="619"/>
      <c r="X273" s="619"/>
      <c r="Y273" s="619"/>
      <c r="Z273" s="619"/>
      <c r="AA273" s="619"/>
      <c r="AB273" s="619"/>
      <c r="AC273" s="681"/>
      <c r="AD273" s="774"/>
      <c r="AE273" s="408">
        <f t="shared" si="73"/>
        <v>0</v>
      </c>
      <c r="AF273" s="409"/>
      <c r="AG273" s="381"/>
      <c r="AH273" s="408">
        <f t="shared" si="64"/>
        <v>0</v>
      </c>
      <c r="AI273" s="835"/>
      <c r="AJ273" s="720">
        <f t="shared" si="65"/>
        <v>0</v>
      </c>
    </row>
    <row r="274" spans="1:36" s="234" customFormat="1" ht="21" thickBot="1">
      <c r="A274" s="537"/>
      <c r="B274" s="550"/>
      <c r="C274" s="549"/>
      <c r="D274" s="544"/>
      <c r="E274" s="617"/>
      <c r="F274" s="618"/>
      <c r="G274" s="618"/>
      <c r="H274" s="618"/>
      <c r="I274" s="619"/>
      <c r="J274" s="619"/>
      <c r="K274" s="681"/>
      <c r="L274" s="657"/>
      <c r="M274" s="658"/>
      <c r="N274" s="619"/>
      <c r="O274" s="619"/>
      <c r="P274" s="619"/>
      <c r="Q274" s="619"/>
      <c r="R274" s="619"/>
      <c r="S274" s="619"/>
      <c r="T274" s="769"/>
      <c r="U274" s="657"/>
      <c r="V274" s="658"/>
      <c r="W274" s="619"/>
      <c r="X274" s="619"/>
      <c r="Y274" s="619"/>
      <c r="Z274" s="619"/>
      <c r="AA274" s="619"/>
      <c r="AB274" s="619"/>
      <c r="AC274" s="681"/>
      <c r="AD274" s="774"/>
      <c r="AE274" s="408">
        <f t="shared" si="73"/>
        <v>0</v>
      </c>
      <c r="AF274" s="409"/>
      <c r="AG274" s="381"/>
      <c r="AH274" s="408">
        <f t="shared" si="64"/>
        <v>0</v>
      </c>
      <c r="AI274" s="835"/>
      <c r="AJ274" s="720">
        <f t="shared" si="65"/>
        <v>0</v>
      </c>
    </row>
    <row r="275" spans="1:36" s="234" customFormat="1" ht="21" thickBot="1">
      <c r="A275" s="537"/>
      <c r="B275" s="550"/>
      <c r="C275" s="549"/>
      <c r="D275" s="544"/>
      <c r="E275" s="617"/>
      <c r="F275" s="618"/>
      <c r="G275" s="618"/>
      <c r="H275" s="618"/>
      <c r="I275" s="619"/>
      <c r="J275" s="619"/>
      <c r="K275" s="681"/>
      <c r="L275" s="657"/>
      <c r="M275" s="658"/>
      <c r="N275" s="619"/>
      <c r="O275" s="619"/>
      <c r="P275" s="619"/>
      <c r="Q275" s="619"/>
      <c r="R275" s="619"/>
      <c r="S275" s="619"/>
      <c r="T275" s="769"/>
      <c r="U275" s="657"/>
      <c r="V275" s="658"/>
      <c r="W275" s="619"/>
      <c r="X275" s="619"/>
      <c r="Y275" s="619"/>
      <c r="Z275" s="619"/>
      <c r="AA275" s="619"/>
      <c r="AB275" s="619"/>
      <c r="AC275" s="681"/>
      <c r="AD275" s="774"/>
      <c r="AE275" s="408">
        <f t="shared" si="73"/>
        <v>0</v>
      </c>
      <c r="AF275" s="409"/>
      <c r="AG275" s="381"/>
      <c r="AH275" s="408">
        <f t="shared" si="64"/>
        <v>0</v>
      </c>
      <c r="AI275" s="835"/>
      <c r="AJ275" s="720">
        <f t="shared" si="65"/>
        <v>0</v>
      </c>
    </row>
    <row r="276" spans="1:36" s="234" customFormat="1" ht="21" thickBot="1">
      <c r="A276" s="537"/>
      <c r="B276" s="550"/>
      <c r="C276" s="549"/>
      <c r="D276" s="544"/>
      <c r="E276" s="617"/>
      <c r="F276" s="618"/>
      <c r="G276" s="618"/>
      <c r="H276" s="618"/>
      <c r="I276" s="619"/>
      <c r="J276" s="619"/>
      <c r="K276" s="681"/>
      <c r="L276" s="657"/>
      <c r="M276" s="658"/>
      <c r="N276" s="619"/>
      <c r="O276" s="619"/>
      <c r="P276" s="619"/>
      <c r="Q276" s="619"/>
      <c r="R276" s="619"/>
      <c r="S276" s="619"/>
      <c r="T276" s="769"/>
      <c r="U276" s="657"/>
      <c r="V276" s="658"/>
      <c r="W276" s="619"/>
      <c r="X276" s="619"/>
      <c r="Y276" s="619"/>
      <c r="Z276" s="619"/>
      <c r="AA276" s="619"/>
      <c r="AB276" s="619"/>
      <c r="AC276" s="681"/>
      <c r="AD276" s="774"/>
      <c r="AE276" s="682">
        <f t="shared" si="73"/>
        <v>0</v>
      </c>
      <c r="AF276" s="683"/>
      <c r="AG276" s="1206"/>
      <c r="AH276" s="682">
        <f t="shared" si="64"/>
        <v>0</v>
      </c>
      <c r="AI276" s="847"/>
      <c r="AJ276" s="848">
        <f t="shared" si="65"/>
        <v>0</v>
      </c>
    </row>
    <row r="277" spans="1:36" s="234" customFormat="1" ht="21" thickBot="1">
      <c r="A277" s="537"/>
      <c r="B277" s="550"/>
      <c r="C277" s="549"/>
      <c r="D277" s="544"/>
      <c r="E277" s="617"/>
      <c r="F277" s="618"/>
      <c r="G277" s="618"/>
      <c r="H277" s="618"/>
      <c r="I277" s="619"/>
      <c r="J277" s="619"/>
      <c r="K277" s="681"/>
      <c r="L277" s="657"/>
      <c r="M277" s="658"/>
      <c r="N277" s="619"/>
      <c r="O277" s="619"/>
      <c r="P277" s="619"/>
      <c r="Q277" s="619"/>
      <c r="R277" s="619"/>
      <c r="S277" s="619"/>
      <c r="T277" s="769"/>
      <c r="U277" s="657"/>
      <c r="V277" s="658"/>
      <c r="W277" s="619"/>
      <c r="X277" s="619"/>
      <c r="Y277" s="619"/>
      <c r="Z277" s="619"/>
      <c r="AA277" s="619"/>
      <c r="AB277" s="619"/>
      <c r="AC277" s="681"/>
      <c r="AD277" s="774"/>
      <c r="AE277" s="682">
        <f t="shared" si="73"/>
        <v>0</v>
      </c>
      <c r="AF277" s="683"/>
      <c r="AG277" s="1206"/>
      <c r="AH277" s="682">
        <f t="shared" si="64"/>
        <v>0</v>
      </c>
      <c r="AI277" s="847"/>
      <c r="AJ277" s="848">
        <f t="shared" si="65"/>
        <v>0</v>
      </c>
    </row>
    <row r="278" spans="1:36" s="234" customFormat="1" ht="21" thickBot="1">
      <c r="A278" s="537"/>
      <c r="B278" s="550"/>
      <c r="C278" s="549"/>
      <c r="D278" s="544"/>
      <c r="E278" s="617"/>
      <c r="F278" s="618"/>
      <c r="G278" s="618"/>
      <c r="H278" s="618"/>
      <c r="I278" s="619"/>
      <c r="J278" s="619"/>
      <c r="K278" s="681"/>
      <c r="L278" s="657"/>
      <c r="M278" s="658"/>
      <c r="N278" s="619"/>
      <c r="O278" s="619"/>
      <c r="P278" s="619"/>
      <c r="Q278" s="619"/>
      <c r="R278" s="619"/>
      <c r="S278" s="619"/>
      <c r="T278" s="769"/>
      <c r="U278" s="657"/>
      <c r="V278" s="658"/>
      <c r="W278" s="619"/>
      <c r="X278" s="619"/>
      <c r="Y278" s="619"/>
      <c r="Z278" s="619"/>
      <c r="AA278" s="619"/>
      <c r="AB278" s="619"/>
      <c r="AC278" s="681"/>
      <c r="AD278" s="774"/>
      <c r="AE278" s="682">
        <f t="shared" si="73"/>
        <v>0</v>
      </c>
      <c r="AF278" s="683"/>
      <c r="AG278" s="1206"/>
      <c r="AH278" s="682">
        <f t="shared" si="64"/>
        <v>0</v>
      </c>
      <c r="AI278" s="847"/>
      <c r="AJ278" s="848">
        <f t="shared" si="65"/>
        <v>0</v>
      </c>
    </row>
    <row r="279" spans="1:36" s="234" customFormat="1" ht="21" thickBot="1">
      <c r="A279" s="537"/>
      <c r="B279" s="550"/>
      <c r="C279" s="549"/>
      <c r="D279" s="544"/>
      <c r="E279" s="617"/>
      <c r="F279" s="618"/>
      <c r="G279" s="618"/>
      <c r="H279" s="618"/>
      <c r="I279" s="619"/>
      <c r="J279" s="619"/>
      <c r="K279" s="681"/>
      <c r="L279" s="657"/>
      <c r="M279" s="658"/>
      <c r="N279" s="619"/>
      <c r="O279" s="619"/>
      <c r="P279" s="619"/>
      <c r="Q279" s="619"/>
      <c r="R279" s="619"/>
      <c r="S279" s="619"/>
      <c r="T279" s="769"/>
      <c r="U279" s="657"/>
      <c r="V279" s="658"/>
      <c r="W279" s="619"/>
      <c r="X279" s="619"/>
      <c r="Y279" s="619"/>
      <c r="Z279" s="619"/>
      <c r="AA279" s="619"/>
      <c r="AB279" s="619"/>
      <c r="AC279" s="681"/>
      <c r="AD279" s="774"/>
      <c r="AE279" s="682">
        <f t="shared" si="73"/>
        <v>0</v>
      </c>
      <c r="AF279" s="683"/>
      <c r="AG279" s="1206"/>
      <c r="AH279" s="682">
        <f t="shared" si="64"/>
        <v>0</v>
      </c>
      <c r="AI279" s="847"/>
      <c r="AJ279" s="848">
        <f t="shared" si="65"/>
        <v>0</v>
      </c>
    </row>
    <row r="280" spans="1:36" s="234" customFormat="1" ht="21" thickBot="1">
      <c r="A280" s="537"/>
      <c r="B280" s="550"/>
      <c r="C280" s="549"/>
      <c r="D280" s="544"/>
      <c r="E280" s="617"/>
      <c r="F280" s="618"/>
      <c r="G280" s="618"/>
      <c r="H280" s="618"/>
      <c r="I280" s="619"/>
      <c r="J280" s="619"/>
      <c r="K280" s="681"/>
      <c r="L280" s="657"/>
      <c r="M280" s="658"/>
      <c r="N280" s="619"/>
      <c r="O280" s="619"/>
      <c r="P280" s="619"/>
      <c r="Q280" s="619"/>
      <c r="R280" s="619"/>
      <c r="S280" s="619"/>
      <c r="T280" s="769"/>
      <c r="U280" s="657"/>
      <c r="V280" s="658"/>
      <c r="W280" s="619"/>
      <c r="X280" s="619"/>
      <c r="Y280" s="619"/>
      <c r="Z280" s="619"/>
      <c r="AA280" s="619"/>
      <c r="AB280" s="619"/>
      <c r="AC280" s="681"/>
      <c r="AD280" s="774"/>
      <c r="AE280" s="682">
        <f t="shared" si="73"/>
        <v>0</v>
      </c>
      <c r="AF280" s="683"/>
      <c r="AG280" s="1206"/>
      <c r="AH280" s="682">
        <f t="shared" si="64"/>
        <v>0</v>
      </c>
      <c r="AI280" s="847"/>
      <c r="AJ280" s="848">
        <f t="shared" si="65"/>
        <v>0</v>
      </c>
    </row>
    <row r="281" spans="1:36" s="234" customFormat="1" ht="21" thickBot="1">
      <c r="A281" s="537"/>
      <c r="B281" s="550"/>
      <c r="C281" s="549"/>
      <c r="D281" s="544"/>
      <c r="E281" s="617"/>
      <c r="F281" s="618"/>
      <c r="G281" s="618"/>
      <c r="H281" s="618"/>
      <c r="I281" s="619"/>
      <c r="J281" s="619"/>
      <c r="K281" s="681"/>
      <c r="L281" s="657"/>
      <c r="M281" s="658"/>
      <c r="N281" s="619"/>
      <c r="O281" s="619"/>
      <c r="P281" s="619"/>
      <c r="Q281" s="619"/>
      <c r="R281" s="619"/>
      <c r="S281" s="619"/>
      <c r="T281" s="769"/>
      <c r="U281" s="657"/>
      <c r="V281" s="658"/>
      <c r="W281" s="619"/>
      <c r="X281" s="619"/>
      <c r="Y281" s="619"/>
      <c r="Z281" s="619"/>
      <c r="AA281" s="619"/>
      <c r="AB281" s="619"/>
      <c r="AC281" s="681"/>
      <c r="AD281" s="774"/>
      <c r="AE281" s="682">
        <f t="shared" si="73"/>
        <v>0</v>
      </c>
      <c r="AF281" s="683"/>
      <c r="AG281" s="1206"/>
      <c r="AH281" s="682">
        <f t="shared" si="64"/>
        <v>0</v>
      </c>
      <c r="AI281" s="847"/>
      <c r="AJ281" s="848">
        <f t="shared" si="65"/>
        <v>0</v>
      </c>
    </row>
    <row r="282" spans="1:36" s="234" customFormat="1" ht="21" thickBot="1">
      <c r="A282" s="537"/>
      <c r="B282" s="550"/>
      <c r="C282" s="549"/>
      <c r="D282" s="544"/>
      <c r="E282" s="617"/>
      <c r="F282" s="618"/>
      <c r="G282" s="618"/>
      <c r="H282" s="618"/>
      <c r="I282" s="619"/>
      <c r="J282" s="619"/>
      <c r="K282" s="681"/>
      <c r="L282" s="657"/>
      <c r="M282" s="658"/>
      <c r="N282" s="619"/>
      <c r="O282" s="619"/>
      <c r="P282" s="619"/>
      <c r="Q282" s="619"/>
      <c r="R282" s="619"/>
      <c r="S282" s="619"/>
      <c r="T282" s="769"/>
      <c r="U282" s="657"/>
      <c r="V282" s="658"/>
      <c r="W282" s="619"/>
      <c r="X282" s="619"/>
      <c r="Y282" s="619"/>
      <c r="Z282" s="619"/>
      <c r="AA282" s="619"/>
      <c r="AB282" s="619"/>
      <c r="AC282" s="681"/>
      <c r="AD282" s="774"/>
      <c r="AE282" s="682">
        <f t="shared" si="73"/>
        <v>0</v>
      </c>
      <c r="AF282" s="683"/>
      <c r="AG282" s="1206"/>
      <c r="AH282" s="682">
        <f t="shared" si="64"/>
        <v>0</v>
      </c>
      <c r="AI282" s="847"/>
      <c r="AJ282" s="848">
        <f t="shared" si="65"/>
        <v>0</v>
      </c>
    </row>
    <row r="283" spans="1:36" s="234" customFormat="1" ht="21" thickBot="1">
      <c r="A283" s="537"/>
      <c r="B283" s="550"/>
      <c r="C283" s="549"/>
      <c r="D283" s="544"/>
      <c r="E283" s="617"/>
      <c r="F283" s="618"/>
      <c r="G283" s="618"/>
      <c r="H283" s="618"/>
      <c r="I283" s="619"/>
      <c r="J283" s="619"/>
      <c r="K283" s="681"/>
      <c r="L283" s="657"/>
      <c r="M283" s="658"/>
      <c r="N283" s="619"/>
      <c r="O283" s="619"/>
      <c r="P283" s="619"/>
      <c r="Q283" s="619"/>
      <c r="R283" s="619"/>
      <c r="S283" s="619"/>
      <c r="T283" s="769"/>
      <c r="U283" s="657"/>
      <c r="V283" s="658"/>
      <c r="W283" s="619"/>
      <c r="X283" s="619"/>
      <c r="Y283" s="619"/>
      <c r="Z283" s="619"/>
      <c r="AA283" s="619"/>
      <c r="AB283" s="619"/>
      <c r="AC283" s="681"/>
      <c r="AD283" s="774"/>
      <c r="AE283" s="682">
        <f t="shared" si="73"/>
        <v>0</v>
      </c>
      <c r="AF283" s="683"/>
      <c r="AG283" s="1206"/>
      <c r="AH283" s="682">
        <f t="shared" si="64"/>
        <v>0</v>
      </c>
      <c r="AI283" s="847"/>
      <c r="AJ283" s="848">
        <f t="shared" si="65"/>
        <v>0</v>
      </c>
    </row>
    <row r="284" spans="1:36" s="234" customFormat="1" ht="21" thickBot="1">
      <c r="A284" s="537"/>
      <c r="B284" s="550"/>
      <c r="C284" s="549"/>
      <c r="D284" s="544"/>
      <c r="E284" s="617"/>
      <c r="F284" s="618"/>
      <c r="G284" s="618"/>
      <c r="H284" s="618"/>
      <c r="I284" s="619"/>
      <c r="J284" s="619"/>
      <c r="K284" s="681"/>
      <c r="L284" s="657"/>
      <c r="M284" s="658"/>
      <c r="N284" s="619"/>
      <c r="O284" s="619"/>
      <c r="P284" s="619"/>
      <c r="Q284" s="619"/>
      <c r="R284" s="619"/>
      <c r="S284" s="619"/>
      <c r="T284" s="769"/>
      <c r="U284" s="657"/>
      <c r="V284" s="658"/>
      <c r="W284" s="619"/>
      <c r="X284" s="619"/>
      <c r="Y284" s="619"/>
      <c r="Z284" s="619"/>
      <c r="AA284" s="619"/>
      <c r="AB284" s="619"/>
      <c r="AC284" s="681"/>
      <c r="AD284" s="774"/>
      <c r="AE284" s="682">
        <f t="shared" si="73"/>
        <v>0</v>
      </c>
      <c r="AF284" s="683"/>
      <c r="AG284" s="1206"/>
      <c r="AH284" s="682">
        <f t="shared" si="64"/>
        <v>0</v>
      </c>
      <c r="AI284" s="847"/>
      <c r="AJ284" s="848">
        <f t="shared" si="65"/>
        <v>0</v>
      </c>
    </row>
    <row r="285" spans="1:36" s="234" customFormat="1" ht="21" thickBot="1">
      <c r="A285" s="537"/>
      <c r="B285" s="550"/>
      <c r="C285" s="549"/>
      <c r="D285" s="544"/>
      <c r="E285" s="617"/>
      <c r="F285" s="618"/>
      <c r="G285" s="618"/>
      <c r="H285" s="618"/>
      <c r="I285" s="619"/>
      <c r="J285" s="619"/>
      <c r="K285" s="681"/>
      <c r="L285" s="657"/>
      <c r="M285" s="658"/>
      <c r="N285" s="619"/>
      <c r="O285" s="619"/>
      <c r="P285" s="619"/>
      <c r="Q285" s="619"/>
      <c r="R285" s="619"/>
      <c r="S285" s="619"/>
      <c r="T285" s="769"/>
      <c r="U285" s="657"/>
      <c r="V285" s="658"/>
      <c r="W285" s="619"/>
      <c r="X285" s="619"/>
      <c r="Y285" s="619"/>
      <c r="Z285" s="619"/>
      <c r="AA285" s="619"/>
      <c r="AB285" s="619"/>
      <c r="AC285" s="681"/>
      <c r="AD285" s="774"/>
      <c r="AE285" s="682">
        <f t="shared" si="72"/>
        <v>0</v>
      </c>
      <c r="AF285" s="683"/>
      <c r="AG285" s="1206"/>
      <c r="AH285" s="682">
        <f t="shared" si="64"/>
        <v>0</v>
      </c>
      <c r="AI285" s="847"/>
      <c r="AJ285" s="848">
        <f t="shared" si="65"/>
        <v>0</v>
      </c>
    </row>
    <row r="286" spans="1:36" s="234" customFormat="1" ht="21" thickBot="1">
      <c r="A286" s="537"/>
      <c r="B286" s="550"/>
      <c r="C286" s="549"/>
      <c r="D286" s="544"/>
      <c r="E286" s="320"/>
      <c r="F286" s="320"/>
      <c r="G286" s="320"/>
      <c r="H286" s="320"/>
      <c r="I286" s="321"/>
      <c r="J286" s="321"/>
      <c r="K286" s="320"/>
      <c r="L286" s="657"/>
      <c r="M286" s="658"/>
      <c r="N286" s="619"/>
      <c r="O286" s="619"/>
      <c r="P286" s="619"/>
      <c r="Q286" s="619"/>
      <c r="R286" s="619"/>
      <c r="S286" s="619"/>
      <c r="T286" s="769"/>
      <c r="U286" s="657"/>
      <c r="V286" s="658"/>
      <c r="W286" s="619"/>
      <c r="X286" s="619"/>
      <c r="Y286" s="619"/>
      <c r="Z286" s="619"/>
      <c r="AA286" s="619"/>
      <c r="AB286" s="619"/>
      <c r="AC286" s="681"/>
      <c r="AD286" s="774"/>
      <c r="AE286" s="682">
        <f t="shared" si="72"/>
        <v>0</v>
      </c>
      <c r="AF286" s="683"/>
      <c r="AG286" s="1206"/>
      <c r="AH286" s="682">
        <f t="shared" si="64"/>
        <v>0</v>
      </c>
      <c r="AI286" s="847"/>
      <c r="AJ286" s="848">
        <f t="shared" si="65"/>
        <v>0</v>
      </c>
    </row>
    <row r="287" spans="1:36" s="234" customFormat="1" ht="21" thickBot="1">
      <c r="A287" s="537"/>
      <c r="B287" s="550"/>
      <c r="C287" s="549"/>
      <c r="D287" s="544"/>
      <c r="E287" s="320"/>
      <c r="F287" s="320"/>
      <c r="G287" s="320"/>
      <c r="H287" s="320"/>
      <c r="I287" s="321"/>
      <c r="J287" s="321"/>
      <c r="K287" s="320"/>
      <c r="L287" s="657"/>
      <c r="M287" s="658"/>
      <c r="N287" s="619"/>
      <c r="O287" s="619"/>
      <c r="P287" s="619"/>
      <c r="Q287" s="619"/>
      <c r="R287" s="619"/>
      <c r="S287" s="619"/>
      <c r="T287" s="769"/>
      <c r="U287" s="657"/>
      <c r="V287" s="658"/>
      <c r="W287" s="619"/>
      <c r="X287" s="619"/>
      <c r="Y287" s="619"/>
      <c r="Z287" s="619"/>
      <c r="AA287" s="619"/>
      <c r="AB287" s="619"/>
      <c r="AC287" s="681"/>
      <c r="AD287" s="774"/>
      <c r="AE287" s="682">
        <f t="shared" si="72"/>
        <v>0</v>
      </c>
      <c r="AF287" s="683"/>
      <c r="AG287" s="1206"/>
      <c r="AH287" s="682">
        <f t="shared" ref="AH287:AH293" si="74">AE287+AF287+AG287</f>
        <v>0</v>
      </c>
      <c r="AI287" s="847"/>
      <c r="AJ287" s="848">
        <f t="shared" ref="AJ287:AJ293" si="75">AH287+AI287</f>
        <v>0</v>
      </c>
    </row>
    <row r="288" spans="1:36" s="234" customFormat="1" ht="21" thickBot="1">
      <c r="A288" s="537"/>
      <c r="B288" s="550"/>
      <c r="C288" s="549"/>
      <c r="D288" s="544"/>
      <c r="E288" s="320"/>
      <c r="F288" s="320"/>
      <c r="G288" s="320"/>
      <c r="H288" s="320"/>
      <c r="I288" s="321"/>
      <c r="J288" s="321"/>
      <c r="K288" s="320"/>
      <c r="L288" s="657"/>
      <c r="M288" s="658"/>
      <c r="N288" s="619"/>
      <c r="O288" s="619"/>
      <c r="P288" s="619"/>
      <c r="Q288" s="619"/>
      <c r="R288" s="619"/>
      <c r="S288" s="619"/>
      <c r="T288" s="769"/>
      <c r="U288" s="657"/>
      <c r="V288" s="658"/>
      <c r="W288" s="619"/>
      <c r="X288" s="619"/>
      <c r="Y288" s="619"/>
      <c r="Z288" s="619"/>
      <c r="AA288" s="619"/>
      <c r="AB288" s="619"/>
      <c r="AC288" s="681"/>
      <c r="AD288" s="774"/>
      <c r="AE288" s="682">
        <f t="shared" si="72"/>
        <v>0</v>
      </c>
      <c r="AF288" s="683"/>
      <c r="AG288" s="1206"/>
      <c r="AH288" s="682">
        <f t="shared" si="74"/>
        <v>0</v>
      </c>
      <c r="AI288" s="847"/>
      <c r="AJ288" s="848">
        <f t="shared" si="75"/>
        <v>0</v>
      </c>
    </row>
    <row r="289" spans="1:39" ht="21" thickBot="1">
      <c r="A289" s="537"/>
      <c r="B289" s="550"/>
      <c r="C289" s="549"/>
      <c r="D289" s="544"/>
      <c r="E289" s="320"/>
      <c r="F289" s="320"/>
      <c r="G289" s="320"/>
      <c r="H289" s="320"/>
      <c r="I289" s="321"/>
      <c r="J289" s="321"/>
      <c r="K289" s="320"/>
      <c r="L289" s="657"/>
      <c r="M289" s="658"/>
      <c r="N289" s="619"/>
      <c r="O289" s="619"/>
      <c r="P289" s="619"/>
      <c r="Q289" s="619"/>
      <c r="R289" s="619"/>
      <c r="S289" s="619"/>
      <c r="T289" s="769"/>
      <c r="U289" s="657"/>
      <c r="V289" s="658"/>
      <c r="W289" s="619"/>
      <c r="X289" s="619"/>
      <c r="Y289" s="619"/>
      <c r="Z289" s="619"/>
      <c r="AA289" s="619"/>
      <c r="AB289" s="619"/>
      <c r="AC289" s="681"/>
      <c r="AD289" s="774"/>
      <c r="AE289" s="682">
        <f t="shared" si="72"/>
        <v>0</v>
      </c>
      <c r="AF289" s="683"/>
      <c r="AG289" s="1206"/>
      <c r="AH289" s="682">
        <f t="shared" si="74"/>
        <v>0</v>
      </c>
      <c r="AI289" s="847"/>
      <c r="AJ289" s="848">
        <f t="shared" si="75"/>
        <v>0</v>
      </c>
    </row>
    <row r="290" spans="1:39" ht="21" thickBot="1">
      <c r="A290" s="537"/>
      <c r="B290" s="550"/>
      <c r="C290" s="549"/>
      <c r="D290" s="544"/>
      <c r="E290" s="320"/>
      <c r="F290" s="320"/>
      <c r="G290" s="320"/>
      <c r="H290" s="320"/>
      <c r="I290" s="321"/>
      <c r="J290" s="321"/>
      <c r="K290" s="320"/>
      <c r="L290" s="657"/>
      <c r="M290" s="658"/>
      <c r="N290" s="619"/>
      <c r="O290" s="619"/>
      <c r="P290" s="619"/>
      <c r="Q290" s="619"/>
      <c r="R290" s="619"/>
      <c r="S290" s="619"/>
      <c r="T290" s="769"/>
      <c r="U290" s="657"/>
      <c r="V290" s="658"/>
      <c r="W290" s="619"/>
      <c r="X290" s="619"/>
      <c r="Y290" s="619"/>
      <c r="Z290" s="619"/>
      <c r="AA290" s="619"/>
      <c r="AB290" s="619"/>
      <c r="AC290" s="681"/>
      <c r="AD290" s="774"/>
      <c r="AE290" s="682">
        <f t="shared" si="72"/>
        <v>0</v>
      </c>
      <c r="AF290" s="683"/>
      <c r="AG290" s="1206"/>
      <c r="AH290" s="682">
        <f t="shared" si="74"/>
        <v>0</v>
      </c>
      <c r="AI290" s="847"/>
      <c r="AJ290" s="848">
        <f t="shared" si="75"/>
        <v>0</v>
      </c>
    </row>
    <row r="291" spans="1:39" s="284" customFormat="1" ht="21" thickBot="1">
      <c r="A291" s="551"/>
      <c r="B291" s="567"/>
      <c r="C291" s="553"/>
      <c r="D291" s="838"/>
      <c r="E291" s="320"/>
      <c r="F291" s="320"/>
      <c r="G291" s="320"/>
      <c r="H291" s="320"/>
      <c r="I291" s="321"/>
      <c r="J291" s="321"/>
      <c r="K291" s="320"/>
      <c r="L291" s="657"/>
      <c r="M291" s="658"/>
      <c r="N291" s="619"/>
      <c r="O291" s="619"/>
      <c r="P291" s="619"/>
      <c r="Q291" s="619"/>
      <c r="R291" s="619"/>
      <c r="S291" s="619"/>
      <c r="T291" s="769"/>
      <c r="U291" s="657"/>
      <c r="V291" s="658"/>
      <c r="W291" s="619"/>
      <c r="X291" s="619"/>
      <c r="Y291" s="619"/>
      <c r="Z291" s="619"/>
      <c r="AA291" s="619"/>
      <c r="AB291" s="619"/>
      <c r="AC291" s="681"/>
      <c r="AD291" s="774"/>
      <c r="AE291" s="682">
        <f t="shared" si="72"/>
        <v>0</v>
      </c>
      <c r="AF291" s="683"/>
      <c r="AG291" s="1206"/>
      <c r="AH291" s="682">
        <f t="shared" si="74"/>
        <v>0</v>
      </c>
      <c r="AI291" s="847"/>
      <c r="AJ291" s="848">
        <f t="shared" si="75"/>
        <v>0</v>
      </c>
      <c r="AK291" s="403"/>
      <c r="AL291" s="403"/>
      <c r="AM291" s="403"/>
    </row>
    <row r="292" spans="1:39" s="282" customFormat="1" ht="21" thickBot="1">
      <c r="A292" s="551"/>
      <c r="B292" s="567"/>
      <c r="C292" s="553"/>
      <c r="D292" s="838"/>
      <c r="E292" s="320"/>
      <c r="F292" s="320"/>
      <c r="G292" s="320"/>
      <c r="H292" s="320"/>
      <c r="I292" s="321"/>
      <c r="J292" s="321"/>
      <c r="K292" s="320"/>
      <c r="L292" s="657"/>
      <c r="M292" s="658"/>
      <c r="N292" s="619"/>
      <c r="O292" s="619"/>
      <c r="P292" s="619"/>
      <c r="Q292" s="619"/>
      <c r="R292" s="619"/>
      <c r="S292" s="619"/>
      <c r="T292" s="769"/>
      <c r="U292" s="657"/>
      <c r="V292" s="658"/>
      <c r="W292" s="619"/>
      <c r="X292" s="619"/>
      <c r="Y292" s="619"/>
      <c r="Z292" s="619"/>
      <c r="AA292" s="619"/>
      <c r="AB292" s="619"/>
      <c r="AC292" s="681"/>
      <c r="AD292" s="774"/>
      <c r="AE292" s="682">
        <f t="shared" si="72"/>
        <v>0</v>
      </c>
      <c r="AF292" s="683"/>
      <c r="AG292" s="1206"/>
      <c r="AH292" s="682">
        <f t="shared" si="74"/>
        <v>0</v>
      </c>
      <c r="AI292" s="847"/>
      <c r="AJ292" s="848">
        <f t="shared" si="75"/>
        <v>0</v>
      </c>
    </row>
    <row r="293" spans="1:39" s="283" customFormat="1" ht="21" thickBot="1">
      <c r="A293" s="551"/>
      <c r="B293" s="567"/>
      <c r="C293" s="553"/>
      <c r="D293" s="838"/>
      <c r="E293" s="618"/>
      <c r="F293" s="618"/>
      <c r="G293" s="618"/>
      <c r="H293" s="618"/>
      <c r="I293" s="619"/>
      <c r="J293" s="619"/>
      <c r="K293" s="618"/>
      <c r="L293" s="657"/>
      <c r="M293" s="658"/>
      <c r="N293" s="619"/>
      <c r="O293" s="619"/>
      <c r="P293" s="619"/>
      <c r="Q293" s="619"/>
      <c r="R293" s="619"/>
      <c r="S293" s="619"/>
      <c r="T293" s="769"/>
      <c r="U293" s="657"/>
      <c r="V293" s="658"/>
      <c r="W293" s="619"/>
      <c r="X293" s="619"/>
      <c r="Y293" s="619"/>
      <c r="Z293" s="619"/>
      <c r="AA293" s="619"/>
      <c r="AB293" s="619"/>
      <c r="AC293" s="681"/>
      <c r="AD293" s="774"/>
      <c r="AE293" s="682">
        <f t="shared" si="72"/>
        <v>0</v>
      </c>
      <c r="AF293" s="683"/>
      <c r="AG293" s="1206"/>
      <c r="AH293" s="685">
        <f t="shared" si="74"/>
        <v>0</v>
      </c>
      <c r="AI293" s="847"/>
      <c r="AJ293" s="848">
        <f t="shared" si="75"/>
        <v>0</v>
      </c>
    </row>
    <row r="294" spans="1:39" s="283" customFormat="1" ht="21" thickBot="1">
      <c r="A294" s="526" t="s">
        <v>151</v>
      </c>
      <c r="B294" s="840"/>
      <c r="C294" s="840"/>
      <c r="D294" s="528"/>
      <c r="E294" s="529">
        <f t="shared" ref="E294:T294" si="76">SUM(E218:E293)</f>
        <v>32</v>
      </c>
      <c r="F294" s="529">
        <f t="shared" si="76"/>
        <v>32</v>
      </c>
      <c r="G294" s="529">
        <f t="shared" si="76"/>
        <v>0</v>
      </c>
      <c r="H294" s="529">
        <f t="shared" si="76"/>
        <v>0</v>
      </c>
      <c r="I294" s="529">
        <f t="shared" si="76"/>
        <v>16</v>
      </c>
      <c r="J294" s="529">
        <f t="shared" si="76"/>
        <v>16</v>
      </c>
      <c r="K294" s="529">
        <f t="shared" si="76"/>
        <v>0</v>
      </c>
      <c r="L294" s="529">
        <f t="shared" si="76"/>
        <v>0</v>
      </c>
      <c r="M294" s="529">
        <f t="shared" si="76"/>
        <v>16</v>
      </c>
      <c r="N294" s="529">
        <f t="shared" si="76"/>
        <v>0</v>
      </c>
      <c r="O294" s="529">
        <f t="shared" si="76"/>
        <v>0</v>
      </c>
      <c r="P294" s="529">
        <f t="shared" si="76"/>
        <v>0</v>
      </c>
      <c r="Q294" s="529">
        <f t="shared" si="76"/>
        <v>32</v>
      </c>
      <c r="R294" s="529">
        <f t="shared" si="76"/>
        <v>0</v>
      </c>
      <c r="S294" s="529">
        <f t="shared" si="76"/>
        <v>800</v>
      </c>
      <c r="T294" s="529">
        <f t="shared" si="76"/>
        <v>272</v>
      </c>
      <c r="U294" s="529"/>
      <c r="V294" s="529">
        <f t="shared" ref="V294:AC294" si="77">SUM(V218:V293)</f>
        <v>0</v>
      </c>
      <c r="W294" s="529">
        <f t="shared" si="77"/>
        <v>0</v>
      </c>
      <c r="X294" s="529">
        <f t="shared" si="77"/>
        <v>0</v>
      </c>
      <c r="Y294" s="529">
        <f t="shared" si="77"/>
        <v>0</v>
      </c>
      <c r="Z294" s="529">
        <f t="shared" si="77"/>
        <v>0</v>
      </c>
      <c r="AA294" s="529">
        <f t="shared" si="77"/>
        <v>0</v>
      </c>
      <c r="AB294" s="529">
        <f t="shared" si="77"/>
        <v>0</v>
      </c>
      <c r="AC294" s="529">
        <f t="shared" si="77"/>
        <v>0</v>
      </c>
      <c r="AD294" s="529"/>
      <c r="AE294" s="529">
        <f t="shared" ref="AE294:AJ294" si="78">SUM(AE218:AE293)</f>
        <v>1216</v>
      </c>
      <c r="AF294" s="529">
        <f t="shared" si="78"/>
        <v>0</v>
      </c>
      <c r="AG294" s="529">
        <f t="shared" si="78"/>
        <v>0</v>
      </c>
      <c r="AH294" s="529">
        <f t="shared" si="78"/>
        <v>1216</v>
      </c>
      <c r="AI294" s="529">
        <f t="shared" si="78"/>
        <v>0</v>
      </c>
      <c r="AJ294" s="529">
        <f t="shared" si="78"/>
        <v>1216</v>
      </c>
    </row>
    <row r="295" spans="1:39" s="283" customFormat="1" ht="19.5" customHeight="1" thickBot="1">
      <c r="A295" s="530" t="s">
        <v>152</v>
      </c>
      <c r="B295" s="531"/>
      <c r="C295" s="531"/>
      <c r="D295" s="630"/>
      <c r="E295" s="533">
        <f>E294/16</f>
        <v>2</v>
      </c>
      <c r="F295" s="533">
        <f t="shared" ref="F295:AJ295" si="79">F294/16</f>
        <v>2</v>
      </c>
      <c r="G295" s="533">
        <f t="shared" si="79"/>
        <v>0</v>
      </c>
      <c r="H295" s="533">
        <f t="shared" si="79"/>
        <v>0</v>
      </c>
      <c r="I295" s="533">
        <f t="shared" si="79"/>
        <v>1</v>
      </c>
      <c r="J295" s="533">
        <f t="shared" si="79"/>
        <v>1</v>
      </c>
      <c r="K295" s="533">
        <f t="shared" si="79"/>
        <v>0</v>
      </c>
      <c r="L295" s="533">
        <f t="shared" si="79"/>
        <v>0</v>
      </c>
      <c r="M295" s="533">
        <f t="shared" si="79"/>
        <v>1</v>
      </c>
      <c r="N295" s="533">
        <f t="shared" si="79"/>
        <v>0</v>
      </c>
      <c r="O295" s="533">
        <f t="shared" si="79"/>
        <v>0</v>
      </c>
      <c r="P295" s="533">
        <f t="shared" si="79"/>
        <v>0</v>
      </c>
      <c r="Q295" s="533">
        <f t="shared" si="79"/>
        <v>2</v>
      </c>
      <c r="R295" s="533">
        <f t="shared" si="79"/>
        <v>0</v>
      </c>
      <c r="S295" s="533">
        <f t="shared" si="79"/>
        <v>50</v>
      </c>
      <c r="T295" s="533">
        <f t="shared" si="79"/>
        <v>17</v>
      </c>
      <c r="U295" s="533"/>
      <c r="V295" s="533">
        <f t="shared" si="79"/>
        <v>0</v>
      </c>
      <c r="W295" s="533">
        <f t="shared" si="79"/>
        <v>0</v>
      </c>
      <c r="X295" s="533">
        <f t="shared" si="79"/>
        <v>0</v>
      </c>
      <c r="Y295" s="533">
        <f t="shared" si="79"/>
        <v>0</v>
      </c>
      <c r="Z295" s="533">
        <f t="shared" si="79"/>
        <v>0</v>
      </c>
      <c r="AA295" s="533">
        <f t="shared" si="79"/>
        <v>0</v>
      </c>
      <c r="AB295" s="533">
        <f t="shared" si="79"/>
        <v>0</v>
      </c>
      <c r="AC295" s="687">
        <f t="shared" si="79"/>
        <v>0</v>
      </c>
      <c r="AD295" s="533"/>
      <c r="AE295" s="533">
        <f t="shared" si="79"/>
        <v>76</v>
      </c>
      <c r="AF295" s="533">
        <f t="shared" si="79"/>
        <v>0</v>
      </c>
      <c r="AG295" s="533">
        <f t="shared" si="79"/>
        <v>0</v>
      </c>
      <c r="AH295" s="533">
        <f t="shared" si="79"/>
        <v>76</v>
      </c>
      <c r="AI295" s="533">
        <f t="shared" si="79"/>
        <v>0</v>
      </c>
      <c r="AJ295" s="533">
        <f t="shared" si="79"/>
        <v>76</v>
      </c>
    </row>
    <row r="296" spans="1:39" s="284" customFormat="1" ht="24.75" customHeight="1" thickBot="1">
      <c r="A296" s="1202"/>
      <c r="B296" s="1203"/>
      <c r="C296" s="307"/>
      <c r="D296" s="308"/>
      <c r="U296" s="346"/>
      <c r="V296" s="347"/>
      <c r="W296" s="347"/>
      <c r="X296" s="347"/>
      <c r="Y296" s="347"/>
      <c r="Z296" s="347"/>
      <c r="AA296" s="347"/>
      <c r="AB296" s="347"/>
      <c r="AC296" s="347"/>
      <c r="AD296" s="346"/>
      <c r="AE296" s="347"/>
      <c r="AF296" s="347"/>
      <c r="AG296" s="347"/>
      <c r="AH296" s="347"/>
      <c r="AI296" s="347"/>
      <c r="AJ296" s="402"/>
      <c r="AK296" s="403"/>
      <c r="AL296" s="403"/>
      <c r="AM296" s="403"/>
    </row>
    <row r="297" spans="1:39" ht="16.5" thickBot="1">
      <c r="A297" s="3881" t="s">
        <v>183</v>
      </c>
      <c r="B297" s="3882"/>
      <c r="C297" s="3883"/>
      <c r="D297" s="288" t="s">
        <v>70</v>
      </c>
      <c r="E297" s="88" t="s">
        <v>250</v>
      </c>
      <c r="F297" s="30" t="s">
        <v>394</v>
      </c>
      <c r="G297" s="30" t="s">
        <v>395</v>
      </c>
      <c r="H297" s="30" t="s">
        <v>92</v>
      </c>
      <c r="I297" s="30" t="s">
        <v>407</v>
      </c>
      <c r="J297" s="30" t="s">
        <v>433</v>
      </c>
      <c r="K297" s="2556" t="s">
        <v>414</v>
      </c>
      <c r="L297" s="98" t="s">
        <v>462</v>
      </c>
      <c r="M297" s="88" t="s">
        <v>53</v>
      </c>
      <c r="N297" s="30"/>
      <c r="O297" s="30" t="s">
        <v>94</v>
      </c>
      <c r="P297" s="30"/>
      <c r="Q297" s="49" t="s">
        <v>190</v>
      </c>
      <c r="R297" s="30"/>
      <c r="S297" s="2683"/>
      <c r="T297" s="3303"/>
      <c r="U297" s="79"/>
      <c r="V297" s="88" t="s">
        <v>53</v>
      </c>
      <c r="W297" s="3304"/>
      <c r="X297" s="30" t="s">
        <v>94</v>
      </c>
      <c r="Y297" s="2504"/>
      <c r="Z297" s="3305"/>
      <c r="AA297" s="3306"/>
      <c r="AB297" s="3307"/>
      <c r="AC297" s="3308"/>
      <c r="AD297" s="98"/>
      <c r="AE297" s="3156" t="s">
        <v>172</v>
      </c>
      <c r="AF297" s="3157" t="s">
        <v>80</v>
      </c>
      <c r="AG297" s="3158"/>
      <c r="AH297" s="3159" t="s">
        <v>106</v>
      </c>
      <c r="AI297" s="3158" t="s">
        <v>173</v>
      </c>
      <c r="AJ297" s="3156" t="s">
        <v>108</v>
      </c>
    </row>
    <row r="298" spans="1:39" ht="20.25">
      <c r="A298" s="631"/>
      <c r="B298" s="443"/>
      <c r="C298" s="443"/>
      <c r="D298" s="444"/>
      <c r="E298" s="433"/>
      <c r="F298" s="434"/>
      <c r="G298" s="434"/>
      <c r="H298" s="434"/>
      <c r="I298" s="435"/>
      <c r="J298" s="435"/>
      <c r="K298" s="434"/>
      <c r="L298" s="483"/>
      <c r="M298" s="484"/>
      <c r="N298" s="435"/>
      <c r="O298" s="435"/>
      <c r="P298" s="435"/>
      <c r="Q298" s="435"/>
      <c r="R298" s="435"/>
      <c r="S298" s="435"/>
      <c r="T298" s="492"/>
      <c r="U298" s="483"/>
      <c r="V298" s="433"/>
      <c r="W298" s="434"/>
      <c r="X298" s="434"/>
      <c r="Y298" s="435"/>
      <c r="Z298" s="435"/>
      <c r="AA298" s="435"/>
      <c r="AB298" s="434"/>
      <c r="AC298" s="495"/>
      <c r="AD298" s="483"/>
      <c r="AE298" s="496">
        <f>SUM(E298:AC298)</f>
        <v>0</v>
      </c>
      <c r="AF298" s="497"/>
      <c r="AG298" s="510"/>
      <c r="AH298" s="511">
        <f>AE298+AF298</f>
        <v>0</v>
      </c>
      <c r="AI298" s="512"/>
      <c r="AJ298" s="703">
        <f>AH298+AI298</f>
        <v>0</v>
      </c>
    </row>
    <row r="299" spans="1:39" ht="21" thickBot="1">
      <c r="A299" s="322"/>
      <c r="B299" s="323"/>
      <c r="C299" s="323"/>
      <c r="D299" s="324"/>
      <c r="E299" s="325"/>
      <c r="F299" s="297"/>
      <c r="G299" s="297"/>
      <c r="H299" s="297"/>
      <c r="I299" s="298"/>
      <c r="J299" s="298"/>
      <c r="K299" s="297"/>
      <c r="L299" s="355"/>
      <c r="M299" s="343"/>
      <c r="N299" s="298"/>
      <c r="O299" s="298"/>
      <c r="P299" s="298"/>
      <c r="Q299" s="298"/>
      <c r="R299" s="298"/>
      <c r="S299" s="298"/>
      <c r="T299" s="367"/>
      <c r="U299" s="355"/>
      <c r="V299" s="325"/>
      <c r="W299" s="297"/>
      <c r="X299" s="297"/>
      <c r="Y299" s="298"/>
      <c r="Z299" s="298"/>
      <c r="AA299" s="298"/>
      <c r="AB299" s="297"/>
      <c r="AC299" s="375"/>
      <c r="AD299" s="355"/>
      <c r="AE299" s="377">
        <f>SUM(E299:AC299)</f>
        <v>0</v>
      </c>
      <c r="AF299" s="377"/>
      <c r="AG299" s="390"/>
      <c r="AH299" s="507">
        <f>AE299+AF299</f>
        <v>0</v>
      </c>
      <c r="AI299" s="412"/>
      <c r="AJ299" s="508">
        <f t="shared" ref="AJ299" si="80">AH299+AI299</f>
        <v>0</v>
      </c>
      <c r="AK299" s="1"/>
    </row>
    <row r="300" spans="1:39" ht="21" thickBot="1">
      <c r="A300" s="436"/>
      <c r="B300" s="437"/>
      <c r="C300" s="437"/>
      <c r="D300" s="438"/>
      <c r="E300" s="439">
        <f>SUM(E298:E299)</f>
        <v>0</v>
      </c>
      <c r="F300" s="439">
        <f t="shared" ref="F300:T300" si="81">SUM(F298:F299)</f>
        <v>0</v>
      </c>
      <c r="G300" s="439">
        <f t="shared" si="81"/>
        <v>0</v>
      </c>
      <c r="H300" s="439">
        <f t="shared" si="81"/>
        <v>0</v>
      </c>
      <c r="I300" s="439">
        <f t="shared" si="81"/>
        <v>0</v>
      </c>
      <c r="J300" s="439">
        <f t="shared" si="81"/>
        <v>0</v>
      </c>
      <c r="K300" s="439">
        <f t="shared" si="81"/>
        <v>0</v>
      </c>
      <c r="L300" s="439"/>
      <c r="M300" s="439">
        <f t="shared" si="81"/>
        <v>0</v>
      </c>
      <c r="N300" s="439">
        <f t="shared" si="81"/>
        <v>0</v>
      </c>
      <c r="O300" s="439">
        <f t="shared" si="81"/>
        <v>0</v>
      </c>
      <c r="P300" s="439">
        <f t="shared" si="81"/>
        <v>0</v>
      </c>
      <c r="Q300" s="439">
        <f t="shared" si="81"/>
        <v>0</v>
      </c>
      <c r="R300" s="439">
        <f t="shared" si="81"/>
        <v>0</v>
      </c>
      <c r="S300" s="439">
        <f t="shared" si="81"/>
        <v>0</v>
      </c>
      <c r="T300" s="439">
        <f t="shared" si="81"/>
        <v>0</v>
      </c>
      <c r="U300" s="482"/>
      <c r="V300" s="439">
        <f t="shared" ref="V300:AC300" si="82">SUM(V298:V299)</f>
        <v>0</v>
      </c>
      <c r="W300" s="439">
        <f t="shared" si="82"/>
        <v>0</v>
      </c>
      <c r="X300" s="439">
        <f t="shared" si="82"/>
        <v>0</v>
      </c>
      <c r="Y300" s="439">
        <f t="shared" si="82"/>
        <v>0</v>
      </c>
      <c r="Z300" s="439">
        <f t="shared" si="82"/>
        <v>0</v>
      </c>
      <c r="AA300" s="439">
        <f t="shared" si="82"/>
        <v>0</v>
      </c>
      <c r="AB300" s="439">
        <f t="shared" si="82"/>
        <v>0</v>
      </c>
      <c r="AC300" s="439">
        <f t="shared" si="82"/>
        <v>0</v>
      </c>
      <c r="AD300" s="482"/>
      <c r="AE300" s="494">
        <f>SUM(AE298:AE299)</f>
        <v>0</v>
      </c>
      <c r="AF300" s="494">
        <f>SUM(AF298:AF299)</f>
        <v>0</v>
      </c>
      <c r="AG300" s="509"/>
      <c r="AH300" s="514">
        <f>SUM(AH298:AH299)</f>
        <v>0</v>
      </c>
      <c r="AI300" s="494">
        <f>SUM(AI298:AI299)</f>
        <v>0</v>
      </c>
      <c r="AJ300" s="515">
        <f>SUM(AJ298:AJ299)</f>
        <v>0</v>
      </c>
    </row>
    <row r="301" spans="1:39" ht="19.5" thickBot="1">
      <c r="A301" s="522"/>
      <c r="B301" s="523"/>
      <c r="C301" s="523"/>
      <c r="D301" s="524"/>
      <c r="E301" s="88" t="s">
        <v>250</v>
      </c>
      <c r="F301" s="30" t="s">
        <v>394</v>
      </c>
      <c r="G301" s="30" t="s">
        <v>395</v>
      </c>
      <c r="H301" s="30" t="s">
        <v>92</v>
      </c>
      <c r="I301" s="30" t="s">
        <v>407</v>
      </c>
      <c r="J301" s="30" t="s">
        <v>433</v>
      </c>
      <c r="K301" s="2556" t="s">
        <v>414</v>
      </c>
      <c r="L301" s="79" t="s">
        <v>462</v>
      </c>
      <c r="M301" s="40" t="s">
        <v>53</v>
      </c>
      <c r="N301" s="41"/>
      <c r="O301" s="41" t="s">
        <v>94</v>
      </c>
      <c r="P301" s="41"/>
      <c r="Q301" s="49" t="s">
        <v>190</v>
      </c>
      <c r="R301" s="41"/>
      <c r="S301" s="81"/>
      <c r="T301" s="90"/>
      <c r="U301" s="79"/>
      <c r="V301" s="40" t="s">
        <v>53</v>
      </c>
      <c r="W301" s="2711"/>
      <c r="X301" s="41" t="s">
        <v>94</v>
      </c>
      <c r="Y301" s="95"/>
      <c r="Z301" s="169"/>
      <c r="AA301" s="97"/>
      <c r="AB301" s="177"/>
      <c r="AC301" s="178"/>
      <c r="AD301" s="3160"/>
      <c r="AE301" s="3161"/>
      <c r="AF301" s="3161"/>
      <c r="AG301" s="3162"/>
      <c r="AH301" s="3161"/>
      <c r="AI301" s="3161"/>
      <c r="AJ301" s="3163"/>
    </row>
    <row r="302" spans="1:39" ht="21" thickBot="1">
      <c r="A302" s="636" t="s">
        <v>185</v>
      </c>
      <c r="B302" s="637"/>
      <c r="C302" s="637"/>
      <c r="D302" s="638"/>
      <c r="E302" s="529">
        <f t="shared" ref="E302:T302" si="83">E213-E294+E300</f>
        <v>-32</v>
      </c>
      <c r="F302" s="639">
        <f t="shared" si="83"/>
        <v>256</v>
      </c>
      <c r="G302" s="639">
        <f t="shared" si="83"/>
        <v>0</v>
      </c>
      <c r="H302" s="639">
        <f t="shared" si="83"/>
        <v>0</v>
      </c>
      <c r="I302" s="639">
        <f t="shared" si="83"/>
        <v>-16</v>
      </c>
      <c r="J302" s="639">
        <f t="shared" si="83"/>
        <v>320</v>
      </c>
      <c r="K302" s="639">
        <f t="shared" si="83"/>
        <v>0</v>
      </c>
      <c r="L302" s="639">
        <f t="shared" si="83"/>
        <v>0</v>
      </c>
      <c r="M302" s="665">
        <f t="shared" si="83"/>
        <v>0</v>
      </c>
      <c r="N302" s="666">
        <f t="shared" si="83"/>
        <v>0</v>
      </c>
      <c r="O302" s="666">
        <f t="shared" si="83"/>
        <v>176</v>
      </c>
      <c r="P302" s="666">
        <f t="shared" si="83"/>
        <v>192</v>
      </c>
      <c r="Q302" s="666">
        <f t="shared" si="83"/>
        <v>528</v>
      </c>
      <c r="R302" s="666">
        <f t="shared" si="83"/>
        <v>0</v>
      </c>
      <c r="S302" s="666">
        <f t="shared" si="83"/>
        <v>144</v>
      </c>
      <c r="T302" s="674">
        <f t="shared" si="83"/>
        <v>416</v>
      </c>
      <c r="U302" s="574"/>
      <c r="V302" s="665">
        <f t="shared" ref="V302:AC302" si="84">V213-V294+V300</f>
        <v>0</v>
      </c>
      <c r="W302" s="666">
        <f t="shared" si="84"/>
        <v>0</v>
      </c>
      <c r="X302" s="666">
        <f t="shared" si="84"/>
        <v>0</v>
      </c>
      <c r="Y302" s="666">
        <f t="shared" si="84"/>
        <v>0</v>
      </c>
      <c r="Z302" s="666">
        <f t="shared" si="84"/>
        <v>0</v>
      </c>
      <c r="AA302" s="666">
        <f t="shared" si="84"/>
        <v>0</v>
      </c>
      <c r="AB302" s="666">
        <f t="shared" si="84"/>
        <v>0</v>
      </c>
      <c r="AC302" s="674">
        <f t="shared" si="84"/>
        <v>0</v>
      </c>
      <c r="AD302" s="691"/>
      <c r="AE302" s="529">
        <f>AE213-AE294+AE300</f>
        <v>1984</v>
      </c>
      <c r="AF302" s="3775">
        <f>AF213-AF294-AG294+AF300</f>
        <v>0</v>
      </c>
      <c r="AG302" s="3884"/>
      <c r="AH302" s="529">
        <f>AH213-AH294+AH300</f>
        <v>1984</v>
      </c>
      <c r="AI302" s="529">
        <f>AI213-AI294+AI300</f>
        <v>0</v>
      </c>
      <c r="AJ302" s="693">
        <f>AJ213-AJ294+AJ300</f>
        <v>1984</v>
      </c>
    </row>
    <row r="303" spans="1:39" ht="21" thickBot="1">
      <c r="A303" s="640" t="s">
        <v>186</v>
      </c>
      <c r="B303" s="641"/>
      <c r="C303" s="641"/>
      <c r="D303" s="642"/>
      <c r="E303" s="529">
        <f t="shared" ref="E303:AC303" si="85">E302/16</f>
        <v>-2</v>
      </c>
      <c r="F303" s="529">
        <f t="shared" si="85"/>
        <v>16</v>
      </c>
      <c r="G303" s="529">
        <f t="shared" si="85"/>
        <v>0</v>
      </c>
      <c r="H303" s="529">
        <f t="shared" si="85"/>
        <v>0</v>
      </c>
      <c r="I303" s="529">
        <f t="shared" si="85"/>
        <v>-1</v>
      </c>
      <c r="J303" s="529">
        <f t="shared" si="85"/>
        <v>20</v>
      </c>
      <c r="K303" s="529">
        <f t="shared" si="85"/>
        <v>0</v>
      </c>
      <c r="L303" s="529">
        <f t="shared" si="85"/>
        <v>0</v>
      </c>
      <c r="M303" s="529">
        <f t="shared" si="85"/>
        <v>0</v>
      </c>
      <c r="N303" s="529">
        <f t="shared" si="85"/>
        <v>0</v>
      </c>
      <c r="O303" s="529">
        <f t="shared" si="85"/>
        <v>11</v>
      </c>
      <c r="P303" s="529">
        <f t="shared" si="85"/>
        <v>12</v>
      </c>
      <c r="Q303" s="529">
        <f t="shared" si="85"/>
        <v>33</v>
      </c>
      <c r="R303" s="529">
        <f t="shared" si="85"/>
        <v>0</v>
      </c>
      <c r="S303" s="529">
        <f t="shared" si="85"/>
        <v>9</v>
      </c>
      <c r="T303" s="529">
        <f t="shared" si="85"/>
        <v>26</v>
      </c>
      <c r="U303" s="529"/>
      <c r="V303" s="529">
        <f t="shared" si="85"/>
        <v>0</v>
      </c>
      <c r="W303" s="529">
        <f t="shared" si="85"/>
        <v>0</v>
      </c>
      <c r="X303" s="529">
        <f t="shared" si="85"/>
        <v>0</v>
      </c>
      <c r="Y303" s="529">
        <f t="shared" si="85"/>
        <v>0</v>
      </c>
      <c r="Z303" s="529">
        <f t="shared" si="85"/>
        <v>0</v>
      </c>
      <c r="AA303" s="529">
        <f t="shared" si="85"/>
        <v>0</v>
      </c>
      <c r="AB303" s="529">
        <f t="shared" si="85"/>
        <v>0</v>
      </c>
      <c r="AC303" s="529">
        <f t="shared" si="85"/>
        <v>0</v>
      </c>
      <c r="AD303" s="692"/>
      <c r="AE303" s="693">
        <f>AE302/16</f>
        <v>124</v>
      </c>
      <c r="AF303" s="3775">
        <f>AF302/16</f>
        <v>0</v>
      </c>
      <c r="AG303" s="3884"/>
      <c r="AH303" s="693">
        <f>AH302/16</f>
        <v>124</v>
      </c>
      <c r="AI303" s="693">
        <f t="shared" ref="AI303:AJ303" si="86">AI302/16</f>
        <v>0</v>
      </c>
      <c r="AJ303" s="693">
        <f t="shared" si="86"/>
        <v>124</v>
      </c>
    </row>
    <row r="304" spans="1:39" ht="21" thickBot="1">
      <c r="A304" s="643" t="s">
        <v>156</v>
      </c>
      <c r="B304" s="644"/>
      <c r="C304" s="644"/>
      <c r="D304" s="645"/>
      <c r="E304" s="3885">
        <f>SUM(E303:K303)</f>
        <v>33</v>
      </c>
      <c r="F304" s="3886"/>
      <c r="G304" s="3886"/>
      <c r="H304" s="3886"/>
      <c r="I304" s="3886"/>
      <c r="J304" s="3886"/>
      <c r="K304" s="3886"/>
      <c r="L304" s="667"/>
      <c r="M304" s="3775">
        <f>SUM(M303:T303)</f>
        <v>91</v>
      </c>
      <c r="N304" s="3887"/>
      <c r="O304" s="3887"/>
      <c r="P304" s="3887"/>
      <c r="Q304" s="3887"/>
      <c r="R304" s="3887"/>
      <c r="S304" s="3887"/>
      <c r="T304" s="3884"/>
      <c r="U304" s="675"/>
      <c r="V304" s="3778">
        <f>SUM(V303:AC303)</f>
        <v>0</v>
      </c>
      <c r="W304" s="3779"/>
      <c r="X304" s="3779"/>
      <c r="Y304" s="3779"/>
      <c r="Z304" s="3779"/>
      <c r="AA304" s="3779"/>
      <c r="AB304" s="3779"/>
      <c r="AC304" s="3780"/>
      <c r="AD304" s="694"/>
      <c r="AE304" s="694"/>
      <c r="AF304" s="694"/>
      <c r="AG304" s="694"/>
      <c r="AH304" s="694"/>
      <c r="AI304" s="694"/>
      <c r="AJ304" s="707"/>
    </row>
    <row r="305" spans="1:36" ht="21" thickBot="1">
      <c r="A305" s="646" t="s">
        <v>157</v>
      </c>
      <c r="B305" s="647"/>
      <c r="C305" s="647"/>
      <c r="D305" s="648"/>
      <c r="E305" s="3875">
        <f>SUM(E302:K302)</f>
        <v>528</v>
      </c>
      <c r="F305" s="3876"/>
      <c r="G305" s="3876"/>
      <c r="H305" s="3876"/>
      <c r="I305" s="3876"/>
      <c r="J305" s="3876"/>
      <c r="K305" s="3876"/>
      <c r="L305" s="669"/>
      <c r="M305" s="3877">
        <f>SUM(M302:T302)</f>
        <v>1456</v>
      </c>
      <c r="N305" s="3878"/>
      <c r="O305" s="3878"/>
      <c r="P305" s="3878"/>
      <c r="Q305" s="3878"/>
      <c r="R305" s="3878"/>
      <c r="S305" s="3878"/>
      <c r="T305" s="3879"/>
      <c r="U305" s="676"/>
      <c r="V305" s="3781">
        <f>SUM(V302:AC302)</f>
        <v>0</v>
      </c>
      <c r="W305" s="3788"/>
      <c r="X305" s="3788"/>
      <c r="Y305" s="3788"/>
      <c r="Z305" s="3788"/>
      <c r="AA305" s="3788"/>
      <c r="AB305" s="3788"/>
      <c r="AC305" s="3880"/>
      <c r="AD305" s="688"/>
      <c r="AE305" s="689"/>
      <c r="AF305" s="673"/>
      <c r="AG305" s="673"/>
      <c r="AH305" s="689"/>
      <c r="AI305" s="689"/>
      <c r="AJ305" s="704"/>
    </row>
    <row r="306" spans="1:36">
      <c r="A306" s="634"/>
      <c r="B306" s="635"/>
      <c r="C306" s="635"/>
      <c r="D306" s="649"/>
      <c r="U306" s="634"/>
      <c r="V306" s="634"/>
      <c r="W306" s="634"/>
      <c r="X306" s="634"/>
      <c r="Y306" s="634"/>
      <c r="Z306" s="634"/>
      <c r="AA306" s="634"/>
      <c r="AB306" s="690"/>
      <c r="AC306" s="690"/>
      <c r="AD306" s="690"/>
      <c r="AE306" s="690"/>
      <c r="AF306" s="634"/>
      <c r="AG306" s="634"/>
      <c r="AH306" s="634"/>
      <c r="AI306" s="634"/>
      <c r="AJ306" s="634"/>
    </row>
    <row r="307" spans="1:36" ht="21" thickBot="1">
      <c r="A307" s="650"/>
      <c r="B307" s="651"/>
      <c r="C307" s="651"/>
      <c r="D307" s="650"/>
      <c r="E307" s="634"/>
      <c r="F307" s="634"/>
      <c r="G307" s="634"/>
      <c r="H307" s="634"/>
      <c r="I307" s="634"/>
      <c r="J307" s="634"/>
      <c r="K307" s="634"/>
      <c r="L307" s="634"/>
      <c r="M307" s="634"/>
      <c r="N307" s="634"/>
      <c r="O307" s="634"/>
      <c r="P307" s="634"/>
      <c r="Q307" s="634"/>
      <c r="R307" s="634"/>
      <c r="S307" s="634"/>
      <c r="T307" s="634"/>
      <c r="U307" s="650"/>
      <c r="V307" s="650"/>
      <c r="W307" s="650"/>
      <c r="X307" s="650"/>
      <c r="Y307" s="650"/>
      <c r="Z307" s="650"/>
      <c r="AA307" s="650"/>
      <c r="AB307" s="650"/>
      <c r="AC307" s="650"/>
      <c r="AD307" s="650"/>
      <c r="AE307" s="650"/>
      <c r="AF307" s="650"/>
      <c r="AG307" s="650"/>
      <c r="AH307" s="650"/>
      <c r="AI307" s="650"/>
      <c r="AJ307" s="650"/>
    </row>
    <row r="308" spans="1:36" ht="27.75" thickBot="1">
      <c r="A308" s="634"/>
      <c r="B308" s="635"/>
      <c r="C308" s="635"/>
      <c r="D308" s="634"/>
      <c r="E308" s="650"/>
      <c r="F308" s="650"/>
      <c r="G308" s="650"/>
      <c r="H308" s="650"/>
      <c r="I308" s="650"/>
      <c r="J308" s="650"/>
      <c r="K308" s="650"/>
      <c r="L308" s="650"/>
      <c r="M308" s="650"/>
      <c r="N308" s="650"/>
      <c r="O308" s="650"/>
      <c r="P308" s="650"/>
      <c r="Q308" s="650"/>
      <c r="R308" s="650"/>
      <c r="S308" s="650"/>
      <c r="T308" s="650"/>
      <c r="U308" s="634"/>
      <c r="V308" s="634"/>
      <c r="W308" s="677"/>
      <c r="X308" s="3857" t="s">
        <v>158</v>
      </c>
      <c r="Y308" s="3858"/>
      <c r="Z308" s="3858"/>
      <c r="AA308" s="3858"/>
      <c r="AB308" s="3859"/>
      <c r="AC308" s="3802">
        <f>'BIG CHAIR'!CI325</f>
        <v>0</v>
      </c>
      <c r="AD308" s="3803"/>
      <c r="AE308" s="3804"/>
      <c r="AF308" s="634"/>
      <c r="AG308" s="634"/>
      <c r="AH308" s="634"/>
      <c r="AI308" s="634"/>
      <c r="AJ308" s="634"/>
    </row>
    <row r="309" spans="1:36" ht="27.75" thickBot="1">
      <c r="A309" s="634"/>
      <c r="B309" s="635"/>
      <c r="C309" s="635"/>
      <c r="D309" s="634"/>
      <c r="E309" s="634"/>
      <c r="F309" s="634"/>
      <c r="G309" s="634"/>
      <c r="H309" s="634"/>
      <c r="I309" s="634"/>
      <c r="J309" s="634"/>
      <c r="K309" s="634"/>
      <c r="L309" s="634"/>
      <c r="M309" s="634"/>
      <c r="N309" s="634"/>
      <c r="O309" s="634"/>
      <c r="P309" s="634"/>
      <c r="Q309" s="634"/>
      <c r="R309" s="634"/>
      <c r="S309" s="634"/>
      <c r="T309" s="634"/>
      <c r="U309" s="634"/>
      <c r="V309" s="634"/>
      <c r="W309" s="677"/>
      <c r="X309" s="3857" t="s">
        <v>159</v>
      </c>
      <c r="Y309" s="3858"/>
      <c r="Z309" s="3858"/>
      <c r="AA309" s="3858"/>
      <c r="AB309" s="3859"/>
      <c r="AC309" s="3872">
        <f>AE302</f>
        <v>1984</v>
      </c>
      <c r="AD309" s="3873"/>
      <c r="AE309" s="3874"/>
      <c r="AF309" s="634"/>
      <c r="AG309" s="634"/>
      <c r="AH309" s="634"/>
      <c r="AI309" s="634"/>
      <c r="AJ309" s="708"/>
    </row>
    <row r="310" spans="1:36" ht="27.75" thickBot="1">
      <c r="A310" s="634"/>
      <c r="B310" s="635"/>
      <c r="C310" s="635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4"/>
      <c r="P310" s="634"/>
      <c r="Q310" s="634"/>
      <c r="R310" s="634"/>
      <c r="S310" s="634"/>
      <c r="T310" s="634"/>
      <c r="U310" s="634"/>
      <c r="V310" s="634"/>
      <c r="W310" s="677"/>
      <c r="X310" s="3857" t="s">
        <v>160</v>
      </c>
      <c r="Y310" s="3858"/>
      <c r="Z310" s="3858"/>
      <c r="AA310" s="3858"/>
      <c r="AB310" s="3859"/>
      <c r="AC310" s="3802">
        <f>'BIG CHAIR'!CJ325</f>
        <v>0</v>
      </c>
      <c r="AD310" s="3803"/>
      <c r="AE310" s="3804"/>
      <c r="AF310" s="634"/>
      <c r="AG310" s="634"/>
      <c r="AH310" s="634"/>
      <c r="AI310" s="634"/>
      <c r="AJ310" s="634"/>
    </row>
    <row r="311" spans="1:36" ht="27.75" thickBot="1">
      <c r="A311" s="634"/>
      <c r="B311" s="635"/>
      <c r="C311" s="635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4"/>
      <c r="P311" s="634"/>
      <c r="Q311" s="634"/>
      <c r="R311" s="634"/>
      <c r="S311" s="634"/>
      <c r="T311" s="634"/>
      <c r="U311" s="634"/>
      <c r="V311" s="634"/>
      <c r="W311" s="677"/>
      <c r="X311" s="3857" t="s">
        <v>161</v>
      </c>
      <c r="Y311" s="3858"/>
      <c r="Z311" s="3858"/>
      <c r="AA311" s="3858"/>
      <c r="AB311" s="3858"/>
      <c r="AC311" s="3872">
        <f>AF302</f>
        <v>0</v>
      </c>
      <c r="AD311" s="3803"/>
      <c r="AE311" s="3804"/>
      <c r="AF311" s="634"/>
      <c r="AG311" s="634"/>
      <c r="AH311" s="634"/>
      <c r="AI311" s="634"/>
      <c r="AJ311" s="634"/>
    </row>
    <row r="312" spans="1:36" ht="27.75" thickBot="1">
      <c r="A312" s="634"/>
      <c r="B312" s="635"/>
      <c r="C312" s="635"/>
      <c r="D312" s="634"/>
      <c r="E312" s="634"/>
      <c r="F312" s="634"/>
      <c r="G312" s="634"/>
      <c r="H312" s="634"/>
      <c r="I312" s="634"/>
      <c r="J312" s="634"/>
      <c r="K312" s="634"/>
      <c r="L312" s="634"/>
      <c r="M312" s="634"/>
      <c r="N312" s="634"/>
      <c r="O312" s="634"/>
      <c r="P312" s="634"/>
      <c r="Q312" s="634"/>
      <c r="R312" s="634"/>
      <c r="S312" s="634"/>
      <c r="T312" s="634"/>
      <c r="U312" s="634"/>
      <c r="V312" s="634"/>
      <c r="W312" s="677"/>
      <c r="X312" s="3857" t="s">
        <v>162</v>
      </c>
      <c r="Y312" s="3858"/>
      <c r="Z312" s="3858"/>
      <c r="AA312" s="3858"/>
      <c r="AB312" s="3859"/>
      <c r="AC312" s="3802">
        <f>'Tea Table'!U285</f>
        <v>2676</v>
      </c>
      <c r="AD312" s="3803"/>
      <c r="AE312" s="3804"/>
      <c r="AF312" s="634"/>
      <c r="AG312" s="634"/>
      <c r="AH312" s="634"/>
      <c r="AI312" s="634"/>
      <c r="AJ312" s="634"/>
    </row>
    <row r="313" spans="1:36" ht="27.75" thickBot="1">
      <c r="A313" s="634"/>
      <c r="B313" s="635"/>
      <c r="C313" s="635"/>
      <c r="D313" s="634"/>
      <c r="E313" s="634"/>
      <c r="F313" s="634"/>
      <c r="G313" s="634"/>
      <c r="H313" s="634"/>
      <c r="I313" s="634"/>
      <c r="J313" s="634"/>
      <c r="K313" s="634"/>
      <c r="L313" s="634"/>
      <c r="M313" s="634"/>
      <c r="N313" s="634"/>
      <c r="O313" s="634"/>
      <c r="P313" s="634"/>
      <c r="Q313" s="634"/>
      <c r="R313" s="634"/>
      <c r="S313" s="634"/>
      <c r="T313" s="634"/>
      <c r="U313" s="634"/>
      <c r="V313" s="634"/>
      <c r="W313" s="677"/>
      <c r="X313" s="3860" t="s">
        <v>163</v>
      </c>
      <c r="Y313" s="3861"/>
      <c r="Z313" s="3861"/>
      <c r="AA313" s="3861"/>
      <c r="AB313" s="3862"/>
      <c r="AC313" s="3863">
        <f>'Tea Table'!V285</f>
        <v>29</v>
      </c>
      <c r="AD313" s="3864"/>
      <c r="AE313" s="3865"/>
      <c r="AF313" s="634"/>
      <c r="AG313" s="634"/>
      <c r="AH313" s="634"/>
      <c r="AI313" s="634"/>
      <c r="AJ313" s="634"/>
    </row>
    <row r="314" spans="1:36" ht="28.5" thickTop="1" thickBot="1">
      <c r="A314" s="634"/>
      <c r="B314" s="635"/>
      <c r="C314" s="635"/>
      <c r="D314" s="634"/>
      <c r="E314" s="634"/>
      <c r="F314" s="634"/>
      <c r="G314" s="634"/>
      <c r="H314" s="634"/>
      <c r="I314" s="634"/>
      <c r="J314" s="634"/>
      <c r="K314" s="634"/>
      <c r="L314" s="634"/>
      <c r="M314" s="634"/>
      <c r="N314" s="634"/>
      <c r="O314" s="634"/>
      <c r="P314" s="634"/>
      <c r="Q314" s="634"/>
      <c r="R314" s="634"/>
      <c r="S314" s="634"/>
      <c r="T314" s="634"/>
      <c r="U314" s="634"/>
      <c r="V314" s="634"/>
      <c r="W314" s="677"/>
      <c r="X314" s="3866"/>
      <c r="Y314" s="3867"/>
      <c r="Z314" s="3867"/>
      <c r="AA314" s="3867"/>
      <c r="AB314" s="3868"/>
      <c r="AC314" s="3869"/>
      <c r="AD314" s="3870"/>
      <c r="AE314" s="3871"/>
      <c r="AF314" s="634"/>
      <c r="AG314" s="634"/>
      <c r="AH314" s="634"/>
      <c r="AI314" s="634"/>
      <c r="AJ314" s="634"/>
    </row>
    <row r="315" spans="1:36" ht="27.75" thickBot="1">
      <c r="A315" s="634"/>
      <c r="B315" s="635"/>
      <c r="C315" s="635"/>
      <c r="D315" s="634"/>
      <c r="E315" s="634"/>
      <c r="F315" s="634"/>
      <c r="G315" s="634"/>
      <c r="H315" s="634"/>
      <c r="I315" s="634"/>
      <c r="J315" s="634"/>
      <c r="K315" s="634"/>
      <c r="L315" s="634"/>
      <c r="M315" s="634"/>
      <c r="N315" s="634"/>
      <c r="O315" s="634"/>
      <c r="P315" s="634"/>
      <c r="Q315" s="634"/>
      <c r="R315" s="634"/>
      <c r="S315" s="634"/>
      <c r="T315" s="634"/>
      <c r="U315" s="634"/>
      <c r="V315" s="634"/>
      <c r="W315" s="677"/>
      <c r="X315" s="3857" t="s">
        <v>164</v>
      </c>
      <c r="Y315" s="3858"/>
      <c r="Z315" s="3858"/>
      <c r="AA315" s="3858"/>
      <c r="AB315" s="3859"/>
      <c r="AC315" s="3796">
        <f>SUM(AC308:AE314)</f>
        <v>4689</v>
      </c>
      <c r="AD315" s="3797"/>
      <c r="AE315" s="3798"/>
      <c r="AF315" s="634"/>
      <c r="AG315" s="634"/>
      <c r="AH315" s="634"/>
      <c r="AI315" s="634"/>
      <c r="AJ315" s="634"/>
    </row>
    <row r="316" spans="1:36" ht="27.75" thickBot="1">
      <c r="A316" s="634"/>
      <c r="B316" s="635"/>
      <c r="C316" s="635"/>
      <c r="D316" s="634"/>
      <c r="E316" s="634"/>
      <c r="F316" s="634"/>
      <c r="G316" s="634"/>
      <c r="H316" s="634"/>
      <c r="I316" s="634"/>
      <c r="J316" s="634"/>
      <c r="K316" s="634"/>
      <c r="L316" s="634"/>
      <c r="M316" s="634"/>
      <c r="N316" s="634"/>
      <c r="O316" s="634"/>
      <c r="P316" s="634"/>
      <c r="Q316" s="634"/>
      <c r="R316" s="634"/>
      <c r="S316" s="634"/>
      <c r="T316" s="634"/>
      <c r="U316" s="634"/>
      <c r="V316" s="634"/>
      <c r="W316" s="677"/>
      <c r="X316" s="3857" t="s">
        <v>165</v>
      </c>
      <c r="Y316" s="3858"/>
      <c r="Z316" s="3858"/>
      <c r="AA316" s="3858"/>
      <c r="AB316" s="3859"/>
      <c r="AC316" s="3796">
        <f>AE303+'BIG CHAIR'!CI326+'Tea Table'!U286</f>
        <v>347</v>
      </c>
      <c r="AD316" s="3797"/>
      <c r="AE316" s="3798"/>
      <c r="AF316" s="695"/>
      <c r="AG316" s="695"/>
      <c r="AH316" s="695"/>
      <c r="AI316" s="634"/>
      <c r="AJ316" s="634"/>
    </row>
    <row r="317" spans="1:36">
      <c r="B317" s="652"/>
      <c r="C317" s="652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4"/>
      <c r="P317" s="634"/>
      <c r="Q317" s="634"/>
      <c r="R317" s="634"/>
      <c r="S317" s="634"/>
      <c r="T317" s="634"/>
      <c r="AB317" s="696"/>
      <c r="AC317" s="696"/>
      <c r="AD317" s="696"/>
      <c r="AE317" s="696"/>
    </row>
    <row r="318" spans="1:36">
      <c r="B318" s="652"/>
      <c r="C318" s="652"/>
      <c r="AB318" s="696"/>
      <c r="AC318" s="696"/>
      <c r="AD318" s="696"/>
      <c r="AE318" s="696"/>
    </row>
    <row r="319" spans="1:36">
      <c r="B319" s="652"/>
      <c r="C319" s="652"/>
      <c r="AB319" s="696"/>
      <c r="AC319" s="696"/>
      <c r="AD319" s="696"/>
      <c r="AE319" s="696"/>
    </row>
    <row r="320" spans="1:36">
      <c r="B320" s="652"/>
      <c r="C320" s="652"/>
      <c r="AB320" s="696"/>
      <c r="AC320" s="696"/>
      <c r="AD320" s="696"/>
      <c r="AE320" s="696"/>
    </row>
    <row r="321" spans="2:31">
      <c r="B321" s="652"/>
      <c r="C321" s="652"/>
      <c r="AB321" s="696"/>
      <c r="AC321" s="696"/>
      <c r="AD321" s="696"/>
      <c r="AE321" s="696"/>
    </row>
    <row r="322" spans="2:31">
      <c r="B322" s="652"/>
      <c r="C322" s="652"/>
      <c r="AB322" s="696"/>
      <c r="AC322" s="696"/>
      <c r="AD322" s="696"/>
      <c r="AE322" s="696"/>
    </row>
    <row r="323" spans="2:31">
      <c r="B323" s="652"/>
      <c r="C323" s="652"/>
      <c r="AB323" s="696"/>
      <c r="AC323" s="696"/>
      <c r="AD323" s="696"/>
      <c r="AE323" s="696"/>
    </row>
    <row r="324" spans="2:31">
      <c r="B324" s="652"/>
      <c r="C324" s="652"/>
      <c r="AB324" s="696"/>
      <c r="AC324" s="696"/>
      <c r="AD324" s="696"/>
      <c r="AE324" s="696"/>
    </row>
    <row r="325" spans="2:31">
      <c r="B325" s="652"/>
      <c r="C325" s="652"/>
      <c r="AB325" s="696"/>
      <c r="AC325" s="696"/>
      <c r="AD325" s="696"/>
      <c r="AE325" s="696"/>
    </row>
    <row r="326" spans="2:31">
      <c r="B326" s="652"/>
      <c r="C326" s="652"/>
      <c r="AB326" s="696"/>
      <c r="AC326" s="696"/>
      <c r="AD326" s="696"/>
      <c r="AE326" s="696"/>
    </row>
    <row r="327" spans="2:31">
      <c r="B327" s="652"/>
      <c r="C327" s="652"/>
      <c r="AB327" s="696"/>
      <c r="AC327" s="696"/>
      <c r="AD327" s="696"/>
      <c r="AE327" s="696"/>
    </row>
    <row r="328" spans="2:31">
      <c r="B328" s="652"/>
      <c r="C328" s="652"/>
      <c r="AB328" s="696"/>
      <c r="AC328" s="696"/>
      <c r="AD328" s="696"/>
      <c r="AE328" s="696"/>
    </row>
    <row r="329" spans="2:31">
      <c r="B329" s="652"/>
      <c r="C329" s="652"/>
      <c r="AB329" s="696"/>
      <c r="AC329" s="696"/>
      <c r="AD329" s="696"/>
      <c r="AE329" s="696"/>
    </row>
    <row r="330" spans="2:31">
      <c r="B330" s="652"/>
      <c r="C330" s="652"/>
      <c r="AB330" s="696"/>
      <c r="AC330" s="696"/>
      <c r="AD330" s="696"/>
      <c r="AE330" s="696"/>
    </row>
    <row r="331" spans="2:31">
      <c r="B331" s="652"/>
      <c r="C331" s="652"/>
      <c r="AB331" s="696"/>
      <c r="AC331" s="696"/>
      <c r="AD331" s="696"/>
      <c r="AE331" s="696"/>
    </row>
    <row r="332" spans="2:31">
      <c r="B332" s="652"/>
      <c r="C332" s="652"/>
      <c r="AB332" s="696"/>
      <c r="AC332" s="696"/>
      <c r="AD332" s="696"/>
      <c r="AE332" s="696"/>
    </row>
    <row r="333" spans="2:31">
      <c r="B333" s="652"/>
      <c r="C333" s="652"/>
      <c r="AB333" s="696"/>
      <c r="AC333" s="696"/>
      <c r="AD333" s="696"/>
      <c r="AE333" s="696"/>
    </row>
    <row r="334" spans="2:31">
      <c r="B334" s="652"/>
      <c r="C334" s="652"/>
      <c r="AB334" s="696"/>
      <c r="AC334" s="696"/>
      <c r="AD334" s="696"/>
      <c r="AE334" s="696"/>
    </row>
  </sheetData>
  <mergeCells count="38">
    <mergeCell ref="AE216:AJ216"/>
    <mergeCell ref="A297:C297"/>
    <mergeCell ref="A2:D2"/>
    <mergeCell ref="E2:K2"/>
    <mergeCell ref="M2:T2"/>
    <mergeCell ref="V2:AC2"/>
    <mergeCell ref="AE2:AJ2"/>
    <mergeCell ref="A215:AJ215"/>
    <mergeCell ref="E305:K305"/>
    <mergeCell ref="M305:T305"/>
    <mergeCell ref="V305:AC305"/>
    <mergeCell ref="A216:D216"/>
    <mergeCell ref="E216:K216"/>
    <mergeCell ref="M216:T216"/>
    <mergeCell ref="V216:AC216"/>
    <mergeCell ref="AF302:AG302"/>
    <mergeCell ref="AF303:AG303"/>
    <mergeCell ref="E304:K304"/>
    <mergeCell ref="M304:T304"/>
    <mergeCell ref="V304:AC304"/>
    <mergeCell ref="X308:AB308"/>
    <mergeCell ref="AC308:AE308"/>
    <mergeCell ref="X309:AB309"/>
    <mergeCell ref="AC309:AE309"/>
    <mergeCell ref="X310:AB310"/>
    <mergeCell ref="AC310:AE310"/>
    <mergeCell ref="X311:AB311"/>
    <mergeCell ref="AC311:AE311"/>
    <mergeCell ref="X312:AB312"/>
    <mergeCell ref="AC312:AE312"/>
    <mergeCell ref="X313:AB313"/>
    <mergeCell ref="AC313:AE313"/>
    <mergeCell ref="X314:AB314"/>
    <mergeCell ref="AC314:AE314"/>
    <mergeCell ref="X315:AB315"/>
    <mergeCell ref="AC315:AE315"/>
    <mergeCell ref="X316:AB316"/>
    <mergeCell ref="AC316:AE316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384"/>
  <sheetViews>
    <sheetView topLeftCell="B1" workbookViewId="0">
      <pane ySplit="4" topLeftCell="A299" activePane="bottomLeft" state="frozen"/>
      <selection activeCell="A181" sqref="A181"/>
      <selection pane="bottomLeft" activeCell="L309" sqref="L309"/>
    </sheetView>
  </sheetViews>
  <sheetFormatPr defaultColWidth="9" defaultRowHeight="15"/>
  <cols>
    <col min="1" max="1" width="53.7109375" customWidth="1"/>
    <col min="2" max="2" width="16.28515625" style="276" bestFit="1" customWidth="1"/>
    <col min="3" max="3" width="14.140625" style="276" customWidth="1"/>
    <col min="4" max="4" width="21.85546875" customWidth="1"/>
    <col min="5" max="5" width="15.7109375" customWidth="1"/>
    <col min="6" max="7" width="11.5703125" customWidth="1"/>
    <col min="8" max="8" width="12.7109375" bestFit="1" customWidth="1"/>
    <col min="9" max="9" width="13" bestFit="1" customWidth="1"/>
    <col min="10" max="10" width="15" customWidth="1"/>
    <col min="11" max="11" width="22" customWidth="1"/>
    <col min="12" max="12" width="19.85546875" customWidth="1"/>
    <col min="13" max="13" width="1.42578125" customWidth="1"/>
    <col min="14" max="15" width="13.7109375" customWidth="1"/>
    <col min="16" max="20" width="11.5703125" customWidth="1"/>
    <col min="21" max="21" width="15" customWidth="1"/>
    <col min="22" max="22" width="1.5703125" customWidth="1"/>
    <col min="23" max="25" width="11.5703125" customWidth="1"/>
    <col min="26" max="26" width="14.5703125" customWidth="1"/>
    <col min="27" max="27" width="11.5703125" customWidth="1"/>
    <col min="28" max="28" width="13.7109375" customWidth="1"/>
    <col min="29" max="29" width="13.7109375" bestFit="1" customWidth="1"/>
    <col min="30" max="30" width="11.5703125" customWidth="1"/>
    <col min="31" max="31" width="2" customWidth="1"/>
    <col min="32" max="32" width="13.7109375" customWidth="1"/>
    <col min="33" max="33" width="11.5703125" customWidth="1"/>
    <col min="34" max="34" width="8.5703125" customWidth="1"/>
    <col min="35" max="35" width="13.7109375" customWidth="1"/>
    <col min="36" max="36" width="11.5703125" customWidth="1"/>
    <col min="37" max="37" width="13.7109375" customWidth="1"/>
    <col min="38" max="256" width="10" customWidth="1"/>
  </cols>
  <sheetData>
    <row r="1" spans="1:40" ht="26.25">
      <c r="A1" s="285" t="s">
        <v>224</v>
      </c>
      <c r="B1" s="285"/>
      <c r="C1" s="285"/>
      <c r="D1" s="285"/>
      <c r="E1" s="285"/>
      <c r="F1" s="285"/>
      <c r="G1" s="285"/>
      <c r="H1" s="285"/>
      <c r="I1" s="335">
        <f>'BIG CHAIR'!H1</f>
        <v>1</v>
      </c>
      <c r="J1" s="335">
        <v>4</v>
      </c>
      <c r="K1" s="335">
        <v>2026</v>
      </c>
      <c r="L1" s="1079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</row>
    <row r="2" spans="1:40" ht="24" thickBot="1">
      <c r="A2" s="3888" t="s">
        <v>4</v>
      </c>
      <c r="B2" s="3889"/>
      <c r="C2" s="3889"/>
      <c r="D2" s="3896"/>
      <c r="E2" s="3891" t="s">
        <v>225</v>
      </c>
      <c r="F2" s="3892"/>
      <c r="G2" s="3892"/>
      <c r="H2" s="3892"/>
      <c r="I2" s="3892"/>
      <c r="J2" s="3892"/>
      <c r="K2" s="3892"/>
      <c r="L2" s="3904"/>
      <c r="M2" s="336"/>
      <c r="N2" s="3893" t="s">
        <v>226</v>
      </c>
      <c r="O2" s="3894"/>
      <c r="P2" s="3894"/>
      <c r="Q2" s="3894"/>
      <c r="R2" s="3894"/>
      <c r="S2" s="3894"/>
      <c r="T2" s="3894"/>
      <c r="U2" s="3895"/>
      <c r="V2" s="364"/>
      <c r="W2" s="3893" t="s">
        <v>227</v>
      </c>
      <c r="X2" s="3894"/>
      <c r="Y2" s="3894"/>
      <c r="Z2" s="3894"/>
      <c r="AA2" s="3894"/>
      <c r="AB2" s="3894"/>
      <c r="AC2" s="3894"/>
      <c r="AD2" s="3895"/>
      <c r="AE2" s="364"/>
      <c r="AF2" s="3893"/>
      <c r="AG2" s="3894"/>
      <c r="AH2" s="3894"/>
      <c r="AI2" s="3894"/>
      <c r="AJ2" s="3894"/>
      <c r="AK2" s="3895"/>
    </row>
    <row r="3" spans="1:40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3519" t="s">
        <v>96</v>
      </c>
      <c r="F3" s="3517" t="s">
        <v>527</v>
      </c>
      <c r="G3" s="744" t="s">
        <v>228</v>
      </c>
      <c r="H3" s="744" t="s">
        <v>149</v>
      </c>
      <c r="I3" s="744" t="s">
        <v>470</v>
      </c>
      <c r="J3" s="3517" t="s">
        <v>92</v>
      </c>
      <c r="K3" s="3518" t="s">
        <v>479</v>
      </c>
      <c r="L3" s="3516" t="s">
        <v>123</v>
      </c>
      <c r="M3" s="79"/>
      <c r="N3" s="80" t="s">
        <v>71</v>
      </c>
      <c r="O3" s="49" t="s">
        <v>53</v>
      </c>
      <c r="P3" s="49" t="s">
        <v>595</v>
      </c>
      <c r="Q3" s="49" t="s">
        <v>74</v>
      </c>
      <c r="R3" s="49" t="s">
        <v>75</v>
      </c>
      <c r="S3" s="49" t="s">
        <v>94</v>
      </c>
      <c r="T3" s="126" t="s">
        <v>77</v>
      </c>
      <c r="U3" s="171" t="s">
        <v>101</v>
      </c>
      <c r="V3" s="79"/>
      <c r="W3" s="80" t="s">
        <v>482</v>
      </c>
      <c r="X3" s="49" t="s">
        <v>96</v>
      </c>
      <c r="Y3" s="49" t="s">
        <v>118</v>
      </c>
      <c r="Z3" s="744" t="s">
        <v>496</v>
      </c>
      <c r="AA3" s="49" t="s">
        <v>75</v>
      </c>
      <c r="AB3" s="49" t="s">
        <v>53</v>
      </c>
      <c r="AC3" s="126" t="s">
        <v>230</v>
      </c>
      <c r="AD3" s="171" t="s">
        <v>95</v>
      </c>
      <c r="AE3" s="370"/>
      <c r="AF3" s="371" t="s">
        <v>172</v>
      </c>
      <c r="AG3" s="372" t="s">
        <v>80</v>
      </c>
      <c r="AH3" s="385"/>
      <c r="AI3" s="386" t="s">
        <v>106</v>
      </c>
      <c r="AJ3" s="385" t="s">
        <v>173</v>
      </c>
      <c r="AK3" s="371" t="s">
        <v>108</v>
      </c>
    </row>
    <row r="4" spans="1:40" s="276" customFormat="1" ht="21" thickBot="1">
      <c r="A4" s="289" t="str">
        <f>'Tea Table'!A4</f>
        <v xml:space="preserve">Opening Stock as on </v>
      </c>
      <c r="B4" s="1064" t="s">
        <v>471</v>
      </c>
      <c r="C4" s="290"/>
      <c r="D4" s="1065"/>
      <c r="E4" s="340"/>
      <c r="F4" s="293"/>
      <c r="G4" s="293"/>
      <c r="H4" s="293"/>
      <c r="I4" s="337">
        <f>1*20</f>
        <v>20</v>
      </c>
      <c r="J4" s="337"/>
      <c r="K4" s="338">
        <f>100*20+70*20</f>
        <v>3400</v>
      </c>
      <c r="L4" s="338">
        <f>12*20</f>
        <v>240</v>
      </c>
      <c r="M4" s="339"/>
      <c r="N4" s="340"/>
      <c r="O4" s="293">
        <f>65*20</f>
        <v>1300</v>
      </c>
      <c r="P4" s="337"/>
      <c r="Q4" s="337"/>
      <c r="R4" s="337">
        <f>40*20</f>
        <v>800</v>
      </c>
      <c r="S4" s="337">
        <f>44*20</f>
        <v>880</v>
      </c>
      <c r="T4" s="365"/>
      <c r="U4" s="338"/>
      <c r="V4" s="339"/>
      <c r="W4" s="366"/>
      <c r="X4" s="293"/>
      <c r="Y4" s="293"/>
      <c r="Z4" s="337"/>
      <c r="AA4" s="337"/>
      <c r="AB4" s="337"/>
      <c r="AC4" s="293"/>
      <c r="AD4" s="338"/>
      <c r="AE4" s="339"/>
      <c r="AF4" s="373">
        <f>SUM(E4:AD4)</f>
        <v>6640</v>
      </c>
      <c r="AG4" s="374"/>
      <c r="AH4" s="373"/>
      <c r="AI4" s="387">
        <f>AF4+AG4</f>
        <v>6640</v>
      </c>
      <c r="AJ4" s="388"/>
      <c r="AK4" s="389">
        <f>AI4+AJ4</f>
        <v>6640</v>
      </c>
    </row>
    <row r="5" spans="1:40" s="283" customFormat="1" ht="20.25">
      <c r="A5" s="294" t="s">
        <v>110</v>
      </c>
      <c r="B5" s="299"/>
      <c r="C5" s="299"/>
      <c r="D5" s="1066"/>
      <c r="E5" s="1067"/>
      <c r="F5" s="1068"/>
      <c r="G5" s="1068"/>
      <c r="H5" s="1069"/>
      <c r="I5" s="1069"/>
      <c r="J5" s="1068"/>
      <c r="K5" s="1080"/>
      <c r="L5" s="1081"/>
      <c r="M5" s="1082"/>
      <c r="N5" s="343"/>
      <c r="O5" s="298"/>
      <c r="P5" s="298"/>
      <c r="Q5" s="298"/>
      <c r="R5" s="298"/>
      <c r="S5" s="298"/>
      <c r="T5" s="298"/>
      <c r="U5" s="367"/>
      <c r="V5" s="355"/>
      <c r="W5" s="325"/>
      <c r="X5" s="297"/>
      <c r="Y5" s="297"/>
      <c r="Z5" s="298"/>
      <c r="AA5" s="298"/>
      <c r="AB5" s="298"/>
      <c r="AC5" s="297"/>
      <c r="AD5" s="375"/>
      <c r="AE5" s="355"/>
      <c r="AF5" s="376">
        <f>SUM(E5:AD5)</f>
        <v>0</v>
      </c>
      <c r="AG5" s="377"/>
      <c r="AH5" s="390"/>
      <c r="AI5" s="391">
        <f>AF5+AG5</f>
        <v>0</v>
      </c>
      <c r="AJ5" s="392"/>
      <c r="AK5" s="393">
        <f>AI5+AJ5</f>
        <v>0</v>
      </c>
      <c r="AL5" s="394"/>
      <c r="AM5" s="54"/>
      <c r="AN5" s="394"/>
    </row>
    <row r="6" spans="1:40" s="283" customFormat="1" ht="20.25">
      <c r="A6" s="294" t="s">
        <v>110</v>
      </c>
      <c r="B6" s="299"/>
      <c r="C6" s="299"/>
      <c r="D6" s="1066"/>
      <c r="E6" s="457"/>
      <c r="F6" s="458"/>
      <c r="G6" s="458"/>
      <c r="H6" s="459"/>
      <c r="I6" s="459"/>
      <c r="J6" s="458"/>
      <c r="K6" s="1083"/>
      <c r="L6" s="761"/>
      <c r="M6" s="1082"/>
      <c r="N6" s="343"/>
      <c r="O6" s="298"/>
      <c r="P6" s="298"/>
      <c r="Q6" s="298"/>
      <c r="R6" s="298"/>
      <c r="S6" s="298"/>
      <c r="T6" s="298"/>
      <c r="U6" s="367"/>
      <c r="V6" s="355"/>
      <c r="W6" s="325"/>
      <c r="X6" s="297"/>
      <c r="Y6" s="297"/>
      <c r="Z6" s="298"/>
      <c r="AA6" s="298"/>
      <c r="AB6" s="298"/>
      <c r="AC6" s="297"/>
      <c r="AD6" s="375"/>
      <c r="AE6" s="355"/>
      <c r="AF6" s="376">
        <f t="shared" ref="AF6:AF12" si="0">SUM(E6:AD6)</f>
        <v>0</v>
      </c>
      <c r="AG6" s="377"/>
      <c r="AH6" s="390"/>
      <c r="AI6" s="391">
        <f t="shared" ref="AI6:AI11" si="1">AF6+AG6</f>
        <v>0</v>
      </c>
      <c r="AJ6" s="392"/>
      <c r="AK6" s="393">
        <f t="shared" ref="AK6:AK11" si="2">AI6+AJ6</f>
        <v>0</v>
      </c>
      <c r="AL6" s="394"/>
      <c r="AM6" s="54"/>
      <c r="AN6" s="394"/>
    </row>
    <row r="7" spans="1:40" s="283" customFormat="1" ht="20.25">
      <c r="A7" s="294" t="s">
        <v>110</v>
      </c>
      <c r="B7" s="299"/>
      <c r="C7" s="299"/>
      <c r="D7" s="1066"/>
      <c r="E7" s="457"/>
      <c r="F7" s="458"/>
      <c r="G7" s="458"/>
      <c r="H7" s="459"/>
      <c r="I7" s="459"/>
      <c r="J7" s="458"/>
      <c r="K7" s="1083"/>
      <c r="L7" s="761"/>
      <c r="M7" s="1082"/>
      <c r="N7" s="343"/>
      <c r="O7" s="298"/>
      <c r="P7" s="298"/>
      <c r="Q7" s="298"/>
      <c r="R7" s="298"/>
      <c r="S7" s="298"/>
      <c r="T7" s="298"/>
      <c r="U7" s="367"/>
      <c r="V7" s="355"/>
      <c r="W7" s="325"/>
      <c r="X7" s="297"/>
      <c r="Y7" s="297"/>
      <c r="Z7" s="298"/>
      <c r="AA7" s="298"/>
      <c r="AB7" s="298"/>
      <c r="AC7" s="297"/>
      <c r="AD7" s="375"/>
      <c r="AE7" s="355"/>
      <c r="AF7" s="376">
        <f t="shared" si="0"/>
        <v>0</v>
      </c>
      <c r="AG7" s="377"/>
      <c r="AH7" s="390"/>
      <c r="AI7" s="391">
        <f t="shared" si="1"/>
        <v>0</v>
      </c>
      <c r="AJ7" s="392"/>
      <c r="AK7" s="393">
        <f t="shared" si="2"/>
        <v>0</v>
      </c>
      <c r="AL7" s="394"/>
      <c r="AM7" s="54"/>
      <c r="AN7" s="394"/>
    </row>
    <row r="8" spans="1:40" s="283" customFormat="1" ht="20.25">
      <c r="A8" s="294" t="s">
        <v>110</v>
      </c>
      <c r="B8" s="299"/>
      <c r="C8" s="299"/>
      <c r="D8" s="1066"/>
      <c r="E8" s="457"/>
      <c r="F8" s="458"/>
      <c r="G8" s="458"/>
      <c r="H8" s="459"/>
      <c r="I8" s="459"/>
      <c r="J8" s="458"/>
      <c r="K8" s="1083"/>
      <c r="L8" s="761"/>
      <c r="M8" s="1082"/>
      <c r="N8" s="343"/>
      <c r="O8" s="298"/>
      <c r="P8" s="298"/>
      <c r="Q8" s="298"/>
      <c r="R8" s="298"/>
      <c r="S8" s="298"/>
      <c r="T8" s="298"/>
      <c r="U8" s="367"/>
      <c r="V8" s="355"/>
      <c r="W8" s="325"/>
      <c r="X8" s="297"/>
      <c r="Y8" s="297"/>
      <c r="Z8" s="298"/>
      <c r="AA8" s="298"/>
      <c r="AB8" s="298"/>
      <c r="AC8" s="297"/>
      <c r="AD8" s="375"/>
      <c r="AE8" s="355"/>
      <c r="AF8" s="376">
        <f t="shared" si="0"/>
        <v>0</v>
      </c>
      <c r="AG8" s="377"/>
      <c r="AH8" s="390"/>
      <c r="AI8" s="391">
        <f t="shared" si="1"/>
        <v>0</v>
      </c>
      <c r="AJ8" s="392"/>
      <c r="AK8" s="393">
        <f t="shared" si="2"/>
        <v>0</v>
      </c>
      <c r="AL8" s="394"/>
      <c r="AM8" s="54"/>
      <c r="AN8" s="394"/>
    </row>
    <row r="9" spans="1:40" s="283" customFormat="1" ht="20.25">
      <c r="A9" s="294" t="s">
        <v>110</v>
      </c>
      <c r="B9" s="299"/>
      <c r="C9" s="299"/>
      <c r="D9" s="1066"/>
      <c r="E9" s="457"/>
      <c r="F9" s="458"/>
      <c r="G9" s="458"/>
      <c r="H9" s="459"/>
      <c r="I9" s="459"/>
      <c r="J9" s="458"/>
      <c r="K9" s="1083"/>
      <c r="L9" s="761"/>
      <c r="M9" s="1082"/>
      <c r="N9" s="343"/>
      <c r="O9" s="298"/>
      <c r="P9" s="298"/>
      <c r="Q9" s="298"/>
      <c r="R9" s="298"/>
      <c r="S9" s="298"/>
      <c r="T9" s="298"/>
      <c r="U9" s="367"/>
      <c r="V9" s="355"/>
      <c r="W9" s="325"/>
      <c r="X9" s="297"/>
      <c r="Y9" s="297"/>
      <c r="Z9" s="298"/>
      <c r="AA9" s="298"/>
      <c r="AB9" s="298"/>
      <c r="AC9" s="297"/>
      <c r="AD9" s="375"/>
      <c r="AE9" s="355"/>
      <c r="AF9" s="376">
        <f t="shared" si="0"/>
        <v>0</v>
      </c>
      <c r="AG9" s="377"/>
      <c r="AH9" s="390"/>
      <c r="AI9" s="391">
        <f t="shared" si="1"/>
        <v>0</v>
      </c>
      <c r="AJ9" s="392"/>
      <c r="AK9" s="393">
        <f t="shared" si="2"/>
        <v>0</v>
      </c>
      <c r="AL9" s="394"/>
      <c r="AM9" s="54"/>
      <c r="AN9" s="394"/>
    </row>
    <row r="10" spans="1:40" s="283" customFormat="1" ht="20.25">
      <c r="A10" s="294" t="s">
        <v>110</v>
      </c>
      <c r="B10" s="299"/>
      <c r="C10" s="299"/>
      <c r="D10" s="1066"/>
      <c r="E10" s="457"/>
      <c r="F10" s="458"/>
      <c r="G10" s="458"/>
      <c r="H10" s="459"/>
      <c r="I10" s="459"/>
      <c r="J10" s="458"/>
      <c r="K10" s="1083"/>
      <c r="L10" s="761"/>
      <c r="M10" s="1082"/>
      <c r="N10" s="343"/>
      <c r="O10" s="298"/>
      <c r="P10" s="298"/>
      <c r="Q10" s="298"/>
      <c r="R10" s="298"/>
      <c r="S10" s="298"/>
      <c r="T10" s="298"/>
      <c r="U10" s="367"/>
      <c r="V10" s="355"/>
      <c r="W10" s="325"/>
      <c r="X10" s="297"/>
      <c r="Y10" s="297"/>
      <c r="Z10" s="298"/>
      <c r="AA10" s="298"/>
      <c r="AB10" s="298"/>
      <c r="AC10" s="297"/>
      <c r="AD10" s="375"/>
      <c r="AE10" s="355"/>
      <c r="AF10" s="376">
        <f t="shared" si="0"/>
        <v>0</v>
      </c>
      <c r="AG10" s="377"/>
      <c r="AH10" s="390"/>
      <c r="AI10" s="391">
        <f t="shared" si="1"/>
        <v>0</v>
      </c>
      <c r="AJ10" s="392"/>
      <c r="AK10" s="393">
        <f t="shared" si="2"/>
        <v>0</v>
      </c>
      <c r="AL10" s="394"/>
      <c r="AM10" s="54"/>
      <c r="AN10" s="394"/>
    </row>
    <row r="11" spans="1:40" s="283" customFormat="1" ht="20.25">
      <c r="A11" s="294" t="s">
        <v>110</v>
      </c>
      <c r="B11" s="299"/>
      <c r="C11" s="299"/>
      <c r="D11" s="1066"/>
      <c r="E11" s="457"/>
      <c r="F11" s="458"/>
      <c r="G11" s="458"/>
      <c r="H11" s="459"/>
      <c r="I11" s="459"/>
      <c r="J11" s="458"/>
      <c r="K11" s="1083"/>
      <c r="L11" s="761"/>
      <c r="M11" s="1082"/>
      <c r="N11" s="343"/>
      <c r="O11" s="298"/>
      <c r="P11" s="298"/>
      <c r="Q11" s="298"/>
      <c r="R11" s="298"/>
      <c r="S11" s="298"/>
      <c r="T11" s="298"/>
      <c r="U11" s="367"/>
      <c r="V11" s="355"/>
      <c r="W11" s="325"/>
      <c r="X11" s="297"/>
      <c r="Y11" s="297"/>
      <c r="Z11" s="298"/>
      <c r="AA11" s="298"/>
      <c r="AB11" s="298"/>
      <c r="AC11" s="297"/>
      <c r="AD11" s="375"/>
      <c r="AE11" s="355"/>
      <c r="AF11" s="376">
        <f t="shared" si="0"/>
        <v>0</v>
      </c>
      <c r="AG11" s="377"/>
      <c r="AH11" s="390"/>
      <c r="AI11" s="391">
        <f t="shared" si="1"/>
        <v>0</v>
      </c>
      <c r="AJ11" s="392"/>
      <c r="AK11" s="393">
        <f t="shared" si="2"/>
        <v>0</v>
      </c>
      <c r="AL11" s="394"/>
      <c r="AM11" s="54"/>
      <c r="AN11" s="394"/>
    </row>
    <row r="12" spans="1:40" s="283" customFormat="1" ht="20.25">
      <c r="A12" s="294" t="s">
        <v>110</v>
      </c>
      <c r="B12" s="299"/>
      <c r="C12" s="299"/>
      <c r="D12" s="1066"/>
      <c r="E12" s="457"/>
      <c r="F12" s="458"/>
      <c r="G12" s="458"/>
      <c r="H12" s="459"/>
      <c r="I12" s="459"/>
      <c r="J12" s="458"/>
      <c r="K12" s="1083"/>
      <c r="L12" s="761"/>
      <c r="M12" s="1082"/>
      <c r="N12" s="343"/>
      <c r="O12" s="298"/>
      <c r="P12" s="298"/>
      <c r="Q12" s="298"/>
      <c r="R12" s="298"/>
      <c r="S12" s="298"/>
      <c r="T12" s="298"/>
      <c r="U12" s="367"/>
      <c r="V12" s="355"/>
      <c r="W12" s="325"/>
      <c r="X12" s="297"/>
      <c r="Y12" s="297"/>
      <c r="Z12" s="298"/>
      <c r="AA12" s="298"/>
      <c r="AB12" s="298"/>
      <c r="AC12" s="297"/>
      <c r="AD12" s="375"/>
      <c r="AE12" s="355"/>
      <c r="AF12" s="376">
        <f t="shared" si="0"/>
        <v>0</v>
      </c>
      <c r="AG12" s="377"/>
      <c r="AH12" s="390"/>
      <c r="AI12" s="391">
        <f t="shared" ref="AI12:AI20" si="3">AF12+AG12</f>
        <v>0</v>
      </c>
      <c r="AJ12" s="392"/>
      <c r="AK12" s="393">
        <f t="shared" ref="AK12:AK16" si="4">AI12+AJ12</f>
        <v>0</v>
      </c>
      <c r="AL12" s="394"/>
      <c r="AM12" s="54"/>
      <c r="AN12" s="394"/>
    </row>
    <row r="13" spans="1:40" s="283" customFormat="1" ht="20.25">
      <c r="A13" s="294" t="s">
        <v>110</v>
      </c>
      <c r="B13" s="299"/>
      <c r="C13" s="299"/>
      <c r="D13" s="1066"/>
      <c r="E13" s="457"/>
      <c r="F13" s="458"/>
      <c r="G13" s="458"/>
      <c r="H13" s="459"/>
      <c r="I13" s="459"/>
      <c r="J13" s="458"/>
      <c r="K13" s="1083"/>
      <c r="L13" s="761"/>
      <c r="M13" s="1082"/>
      <c r="N13" s="343"/>
      <c r="O13" s="298"/>
      <c r="P13" s="298"/>
      <c r="Q13" s="298"/>
      <c r="R13" s="298"/>
      <c r="S13" s="298"/>
      <c r="T13" s="298"/>
      <c r="U13" s="367"/>
      <c r="V13" s="355"/>
      <c r="W13" s="325"/>
      <c r="X13" s="297"/>
      <c r="Y13" s="297"/>
      <c r="Z13" s="298"/>
      <c r="AA13" s="298"/>
      <c r="AB13" s="298"/>
      <c r="AC13" s="297"/>
      <c r="AD13" s="375"/>
      <c r="AE13" s="355"/>
      <c r="AF13" s="376">
        <f t="shared" ref="AF13:AF14" si="5">SUM(E13:AD13)</f>
        <v>0</v>
      </c>
      <c r="AG13" s="377"/>
      <c r="AH13" s="390"/>
      <c r="AI13" s="391">
        <f t="shared" ref="AI13:AI14" si="6">AF13+AG13</f>
        <v>0</v>
      </c>
      <c r="AJ13" s="392"/>
      <c r="AK13" s="393">
        <f t="shared" si="4"/>
        <v>0</v>
      </c>
      <c r="AL13" s="394"/>
      <c r="AM13" s="54"/>
      <c r="AN13" s="394"/>
    </row>
    <row r="14" spans="1:40" s="283" customFormat="1" ht="20.25">
      <c r="A14" s="294" t="s">
        <v>110</v>
      </c>
      <c r="B14" s="299"/>
      <c r="C14" s="299"/>
      <c r="D14" s="1066"/>
      <c r="E14" s="457"/>
      <c r="F14" s="458"/>
      <c r="G14" s="458"/>
      <c r="H14" s="459"/>
      <c r="I14" s="459"/>
      <c r="J14" s="458"/>
      <c r="K14" s="1083"/>
      <c r="L14" s="761"/>
      <c r="M14" s="1082"/>
      <c r="N14" s="343"/>
      <c r="O14" s="298"/>
      <c r="P14" s="298"/>
      <c r="Q14" s="298"/>
      <c r="R14" s="298"/>
      <c r="S14" s="298"/>
      <c r="T14" s="298"/>
      <c r="U14" s="367"/>
      <c r="V14" s="355"/>
      <c r="W14" s="325"/>
      <c r="X14" s="297"/>
      <c r="Y14" s="297"/>
      <c r="Z14" s="298"/>
      <c r="AA14" s="298"/>
      <c r="AB14" s="298"/>
      <c r="AC14" s="297"/>
      <c r="AD14" s="375"/>
      <c r="AE14" s="355"/>
      <c r="AF14" s="376">
        <f t="shared" si="5"/>
        <v>0</v>
      </c>
      <c r="AG14" s="377"/>
      <c r="AH14" s="390"/>
      <c r="AI14" s="391">
        <f t="shared" si="6"/>
        <v>0</v>
      </c>
      <c r="AJ14" s="392"/>
      <c r="AK14" s="393">
        <f t="shared" ref="AK14" si="7">AI14+AJ14</f>
        <v>0</v>
      </c>
      <c r="AL14" s="394"/>
      <c r="AM14" s="54"/>
      <c r="AN14" s="394"/>
    </row>
    <row r="15" spans="1:40" s="283" customFormat="1" ht="20.25">
      <c r="A15" s="294" t="s">
        <v>110</v>
      </c>
      <c r="B15" s="299"/>
      <c r="C15" s="299"/>
      <c r="D15" s="1066"/>
      <c r="E15" s="457"/>
      <c r="F15" s="458"/>
      <c r="G15" s="458"/>
      <c r="H15" s="459"/>
      <c r="I15" s="459"/>
      <c r="J15" s="458"/>
      <c r="K15" s="1083"/>
      <c r="L15" s="761"/>
      <c r="M15" s="1082"/>
      <c r="N15" s="343"/>
      <c r="O15" s="298"/>
      <c r="P15" s="298"/>
      <c r="Q15" s="298"/>
      <c r="R15" s="298"/>
      <c r="S15" s="298"/>
      <c r="T15" s="298"/>
      <c r="U15" s="367"/>
      <c r="V15" s="355"/>
      <c r="W15" s="325"/>
      <c r="X15" s="297"/>
      <c r="Y15" s="297"/>
      <c r="Z15" s="298"/>
      <c r="AA15" s="298"/>
      <c r="AB15" s="298"/>
      <c r="AC15" s="297"/>
      <c r="AD15" s="375"/>
      <c r="AE15" s="355"/>
      <c r="AF15" s="376">
        <f t="shared" ref="AF15:AF20" si="8">SUM(E15:AD15)</f>
        <v>0</v>
      </c>
      <c r="AG15" s="377"/>
      <c r="AH15" s="390"/>
      <c r="AI15" s="391">
        <f t="shared" si="3"/>
        <v>0</v>
      </c>
      <c r="AJ15" s="392"/>
      <c r="AK15" s="393">
        <f t="shared" si="4"/>
        <v>0</v>
      </c>
      <c r="AL15" s="394"/>
      <c r="AM15" s="54"/>
      <c r="AN15" s="394"/>
    </row>
    <row r="16" spans="1:40" s="283" customFormat="1" ht="20.25">
      <c r="A16" s="294" t="s">
        <v>110</v>
      </c>
      <c r="B16" s="299"/>
      <c r="C16" s="299"/>
      <c r="D16" s="1070"/>
      <c r="E16" s="457"/>
      <c r="F16" s="458"/>
      <c r="G16" s="458"/>
      <c r="H16" s="459"/>
      <c r="I16" s="459"/>
      <c r="J16" s="458"/>
      <c r="K16" s="1084"/>
      <c r="L16" s="761"/>
      <c r="M16" s="1082"/>
      <c r="N16" s="343"/>
      <c r="O16" s="298"/>
      <c r="P16" s="298"/>
      <c r="Q16" s="298"/>
      <c r="R16" s="298"/>
      <c r="S16" s="298"/>
      <c r="T16" s="298"/>
      <c r="U16" s="367"/>
      <c r="V16" s="355"/>
      <c r="W16" s="325"/>
      <c r="X16" s="297"/>
      <c r="Y16" s="297"/>
      <c r="Z16" s="298"/>
      <c r="AA16" s="298"/>
      <c r="AB16" s="298"/>
      <c r="AC16" s="297"/>
      <c r="AD16" s="375"/>
      <c r="AE16" s="355"/>
      <c r="AF16" s="376">
        <f t="shared" si="8"/>
        <v>0</v>
      </c>
      <c r="AG16" s="377"/>
      <c r="AH16" s="390"/>
      <c r="AI16" s="391">
        <f t="shared" si="3"/>
        <v>0</v>
      </c>
      <c r="AJ16" s="392"/>
      <c r="AK16" s="393">
        <f t="shared" si="4"/>
        <v>0</v>
      </c>
      <c r="AL16" s="394"/>
      <c r="AM16" s="54"/>
      <c r="AN16" s="394"/>
    </row>
    <row r="17" spans="1:40" s="283" customFormat="1" ht="20.25">
      <c r="A17" s="294" t="s">
        <v>110</v>
      </c>
      <c r="B17" s="299"/>
      <c r="C17" s="299"/>
      <c r="D17" s="1070"/>
      <c r="E17" s="457"/>
      <c r="F17" s="458"/>
      <c r="G17" s="458"/>
      <c r="H17" s="459"/>
      <c r="I17" s="459"/>
      <c r="J17" s="458"/>
      <c r="K17" s="1084"/>
      <c r="L17" s="761"/>
      <c r="M17" s="1082"/>
      <c r="N17" s="343"/>
      <c r="O17" s="298"/>
      <c r="P17" s="298"/>
      <c r="Q17" s="298"/>
      <c r="R17" s="298"/>
      <c r="S17" s="298"/>
      <c r="T17" s="298"/>
      <c r="U17" s="367"/>
      <c r="V17" s="355"/>
      <c r="W17" s="325"/>
      <c r="X17" s="297"/>
      <c r="Y17" s="297"/>
      <c r="Z17" s="298"/>
      <c r="AA17" s="298"/>
      <c r="AB17" s="298"/>
      <c r="AC17" s="297"/>
      <c r="AD17" s="375"/>
      <c r="AE17" s="355"/>
      <c r="AF17" s="376">
        <f t="shared" si="8"/>
        <v>0</v>
      </c>
      <c r="AG17" s="377"/>
      <c r="AH17" s="390"/>
      <c r="AI17" s="391">
        <f t="shared" si="3"/>
        <v>0</v>
      </c>
      <c r="AJ17" s="392"/>
      <c r="AK17" s="393">
        <f t="shared" ref="AK17:AK19" si="9">AI17+AJ17</f>
        <v>0</v>
      </c>
      <c r="AL17" s="394"/>
      <c r="AM17" s="54"/>
      <c r="AN17" s="394"/>
    </row>
    <row r="18" spans="1:40" s="283" customFormat="1" ht="20.25">
      <c r="A18" s="294" t="s">
        <v>110</v>
      </c>
      <c r="B18" s="299"/>
      <c r="C18" s="299"/>
      <c r="D18" s="1070"/>
      <c r="E18" s="457"/>
      <c r="F18" s="458"/>
      <c r="G18" s="458"/>
      <c r="H18" s="459"/>
      <c r="I18" s="459"/>
      <c r="J18" s="458"/>
      <c r="K18" s="1085"/>
      <c r="L18" s="761"/>
      <c r="M18" s="1082"/>
      <c r="N18" s="343"/>
      <c r="O18" s="298"/>
      <c r="P18" s="298"/>
      <c r="Q18" s="298"/>
      <c r="R18" s="298"/>
      <c r="S18" s="298"/>
      <c r="T18" s="298"/>
      <c r="U18" s="367"/>
      <c r="V18" s="355"/>
      <c r="W18" s="325"/>
      <c r="X18" s="297"/>
      <c r="Y18" s="297"/>
      <c r="Z18" s="298"/>
      <c r="AA18" s="298"/>
      <c r="AB18" s="298"/>
      <c r="AC18" s="297"/>
      <c r="AD18" s="375"/>
      <c r="AE18" s="355"/>
      <c r="AF18" s="376">
        <f t="shared" ref="AF18:AF19" si="10">SUM(E18:AD18)</f>
        <v>0</v>
      </c>
      <c r="AG18" s="377"/>
      <c r="AH18" s="390"/>
      <c r="AI18" s="391">
        <f t="shared" ref="AI18:AI19" si="11">AF18+AG18</f>
        <v>0</v>
      </c>
      <c r="AJ18" s="392"/>
      <c r="AK18" s="393">
        <f t="shared" si="9"/>
        <v>0</v>
      </c>
      <c r="AL18" s="394"/>
      <c r="AM18" s="54"/>
      <c r="AN18" s="394"/>
    </row>
    <row r="19" spans="1:40" s="283" customFormat="1" ht="20.25">
      <c r="A19" s="294" t="s">
        <v>110</v>
      </c>
      <c r="B19" s="299"/>
      <c r="C19" s="299"/>
      <c r="D19" s="1070"/>
      <c r="E19" s="457"/>
      <c r="F19" s="458"/>
      <c r="G19" s="458"/>
      <c r="H19" s="459"/>
      <c r="I19" s="459"/>
      <c r="J19" s="458"/>
      <c r="K19" s="1085"/>
      <c r="L19" s="761"/>
      <c r="M19" s="1082"/>
      <c r="N19" s="343"/>
      <c r="O19" s="298"/>
      <c r="P19" s="298"/>
      <c r="Q19" s="298"/>
      <c r="R19" s="298"/>
      <c r="S19" s="298"/>
      <c r="T19" s="298"/>
      <c r="U19" s="367"/>
      <c r="V19" s="355"/>
      <c r="W19" s="325"/>
      <c r="X19" s="297"/>
      <c r="Y19" s="297"/>
      <c r="Z19" s="298"/>
      <c r="AA19" s="298"/>
      <c r="AB19" s="298"/>
      <c r="AC19" s="297"/>
      <c r="AD19" s="375"/>
      <c r="AE19" s="355"/>
      <c r="AF19" s="376">
        <f t="shared" si="10"/>
        <v>0</v>
      </c>
      <c r="AG19" s="377"/>
      <c r="AH19" s="390"/>
      <c r="AI19" s="391">
        <f t="shared" si="11"/>
        <v>0</v>
      </c>
      <c r="AJ19" s="392"/>
      <c r="AK19" s="393">
        <f t="shared" si="9"/>
        <v>0</v>
      </c>
      <c r="AL19" s="394"/>
      <c r="AM19" s="54"/>
      <c r="AN19" s="394"/>
    </row>
    <row r="20" spans="1:40" s="283" customFormat="1" ht="20.25">
      <c r="A20" s="294" t="s">
        <v>110</v>
      </c>
      <c r="B20" s="299"/>
      <c r="C20" s="299"/>
      <c r="D20" s="1070"/>
      <c r="E20" s="457"/>
      <c r="F20" s="458"/>
      <c r="G20" s="458"/>
      <c r="H20" s="459"/>
      <c r="I20" s="459"/>
      <c r="J20" s="458"/>
      <c r="K20" s="1085"/>
      <c r="L20" s="761"/>
      <c r="M20" s="1082"/>
      <c r="N20" s="343"/>
      <c r="O20" s="298"/>
      <c r="P20" s="298"/>
      <c r="Q20" s="298"/>
      <c r="R20" s="298"/>
      <c r="S20" s="298"/>
      <c r="T20" s="298"/>
      <c r="U20" s="367"/>
      <c r="V20" s="355"/>
      <c r="W20" s="325"/>
      <c r="X20" s="297"/>
      <c r="Y20" s="297"/>
      <c r="Z20" s="298"/>
      <c r="AA20" s="298"/>
      <c r="AB20" s="298"/>
      <c r="AC20" s="297"/>
      <c r="AD20" s="375"/>
      <c r="AE20" s="355"/>
      <c r="AF20" s="376">
        <f t="shared" si="8"/>
        <v>0</v>
      </c>
      <c r="AG20" s="377"/>
      <c r="AH20" s="390"/>
      <c r="AI20" s="391">
        <f t="shared" si="3"/>
        <v>0</v>
      </c>
      <c r="AJ20" s="392"/>
      <c r="AK20" s="393">
        <f t="shared" ref="AK20:AK22" si="12">AI20+AJ20</f>
        <v>0</v>
      </c>
      <c r="AL20" s="394"/>
      <c r="AM20" s="54"/>
      <c r="AN20" s="394"/>
    </row>
    <row r="21" spans="1:40" s="283" customFormat="1" ht="20.25">
      <c r="A21" s="294" t="s">
        <v>110</v>
      </c>
      <c r="B21" s="299"/>
      <c r="C21" s="299"/>
      <c r="D21" s="1070"/>
      <c r="E21" s="457"/>
      <c r="F21" s="458"/>
      <c r="G21" s="458"/>
      <c r="H21" s="459"/>
      <c r="I21" s="459"/>
      <c r="J21" s="458"/>
      <c r="K21" s="1085"/>
      <c r="L21" s="761"/>
      <c r="M21" s="1082"/>
      <c r="N21" s="343"/>
      <c r="O21" s="298"/>
      <c r="P21" s="298"/>
      <c r="Q21" s="298"/>
      <c r="R21" s="298"/>
      <c r="S21" s="298"/>
      <c r="T21" s="298"/>
      <c r="U21" s="367"/>
      <c r="V21" s="355"/>
      <c r="W21" s="325"/>
      <c r="X21" s="297"/>
      <c r="Y21" s="297"/>
      <c r="Z21" s="298"/>
      <c r="AA21" s="298"/>
      <c r="AB21" s="298"/>
      <c r="AC21" s="297"/>
      <c r="AD21" s="375"/>
      <c r="AE21" s="355"/>
      <c r="AF21" s="376">
        <f t="shared" ref="AF21" si="13">SUM(E21:AD21)</f>
        <v>0</v>
      </c>
      <c r="AG21" s="377"/>
      <c r="AH21" s="390"/>
      <c r="AI21" s="391">
        <f t="shared" ref="AI21" si="14">AF21+AG21</f>
        <v>0</v>
      </c>
      <c r="AJ21" s="392"/>
      <c r="AK21" s="393">
        <f t="shared" si="12"/>
        <v>0</v>
      </c>
      <c r="AL21" s="394"/>
      <c r="AM21" s="54"/>
      <c r="AN21" s="394"/>
    </row>
    <row r="22" spans="1:40" s="283" customFormat="1" ht="21" thickBot="1">
      <c r="A22" s="294" t="s">
        <v>110</v>
      </c>
      <c r="B22" s="299"/>
      <c r="C22" s="299"/>
      <c r="D22" s="1070"/>
      <c r="E22" s="457"/>
      <c r="F22" s="458"/>
      <c r="G22" s="458"/>
      <c r="H22" s="459"/>
      <c r="I22" s="459"/>
      <c r="J22" s="458"/>
      <c r="K22" s="1085"/>
      <c r="L22" s="761"/>
      <c r="M22" s="1082"/>
      <c r="N22" s="343"/>
      <c r="O22" s="298"/>
      <c r="P22" s="298"/>
      <c r="Q22" s="298"/>
      <c r="R22" s="298"/>
      <c r="S22" s="298"/>
      <c r="T22" s="298"/>
      <c r="U22" s="367"/>
      <c r="V22" s="355"/>
      <c r="W22" s="325"/>
      <c r="X22" s="297"/>
      <c r="Y22" s="297"/>
      <c r="Z22" s="298"/>
      <c r="AA22" s="298"/>
      <c r="AB22" s="298"/>
      <c r="AC22" s="297"/>
      <c r="AD22" s="375"/>
      <c r="AE22" s="355"/>
      <c r="AF22" s="376">
        <f t="shared" ref="AF22:AF23" si="15">SUM(E22:AD22)</f>
        <v>0</v>
      </c>
      <c r="AG22" s="377"/>
      <c r="AH22" s="390"/>
      <c r="AI22" s="391">
        <f t="shared" ref="AI22:AI23" si="16">AF22+AG22</f>
        <v>0</v>
      </c>
      <c r="AJ22" s="392"/>
      <c r="AK22" s="393">
        <f t="shared" si="12"/>
        <v>0</v>
      </c>
      <c r="AL22" s="394"/>
      <c r="AM22" s="54"/>
      <c r="AN22" s="394"/>
    </row>
    <row r="23" spans="1:40" s="283" customFormat="1" ht="21" thickBot="1">
      <c r="A23" s="294" t="s">
        <v>110</v>
      </c>
      <c r="B23" s="299"/>
      <c r="C23" s="299"/>
      <c r="D23" s="1070"/>
      <c r="E23" s="457"/>
      <c r="F23" s="458"/>
      <c r="G23" s="458"/>
      <c r="H23" s="459"/>
      <c r="I23" s="459"/>
      <c r="J23" s="458"/>
      <c r="K23" s="1085"/>
      <c r="L23" s="761"/>
      <c r="M23" s="1082"/>
      <c r="N23" s="343"/>
      <c r="O23" s="298"/>
      <c r="P23" s="298"/>
      <c r="Q23" s="298"/>
      <c r="R23" s="298"/>
      <c r="S23" s="298"/>
      <c r="T23" s="298"/>
      <c r="U23" s="367"/>
      <c r="V23" s="355"/>
      <c r="W23" s="325"/>
      <c r="X23" s="297"/>
      <c r="Y23" s="297"/>
      <c r="Z23" s="298"/>
      <c r="AA23" s="298"/>
      <c r="AB23" s="298"/>
      <c r="AC23" s="297"/>
      <c r="AD23" s="375"/>
      <c r="AE23" s="355"/>
      <c r="AF23" s="376">
        <f t="shared" si="15"/>
        <v>0</v>
      </c>
      <c r="AG23" s="377"/>
      <c r="AH23" s="390"/>
      <c r="AI23" s="391">
        <f t="shared" si="16"/>
        <v>0</v>
      </c>
      <c r="AJ23" s="392"/>
      <c r="AK23" s="393">
        <f t="shared" ref="AK23:AK24" si="17">AI23+AJ23</f>
        <v>0</v>
      </c>
      <c r="AL23" s="394"/>
      <c r="AM23" s="54"/>
      <c r="AN23" s="394"/>
    </row>
    <row r="24" spans="1:40" s="283" customFormat="1" ht="21" thickBot="1">
      <c r="A24" s="294" t="s">
        <v>110</v>
      </c>
      <c r="B24" s="299"/>
      <c r="C24" s="299"/>
      <c r="D24" s="1070"/>
      <c r="E24" s="457"/>
      <c r="F24" s="458"/>
      <c r="G24" s="458"/>
      <c r="H24" s="459"/>
      <c r="I24" s="459"/>
      <c r="J24" s="458"/>
      <c r="K24" s="3473"/>
      <c r="L24" s="761"/>
      <c r="M24" s="1082"/>
      <c r="N24" s="343"/>
      <c r="O24" s="298"/>
      <c r="P24" s="298"/>
      <c r="Q24" s="298"/>
      <c r="R24" s="298"/>
      <c r="S24" s="298"/>
      <c r="T24" s="298"/>
      <c r="U24" s="367"/>
      <c r="V24" s="355"/>
      <c r="W24" s="325"/>
      <c r="X24" s="297"/>
      <c r="Y24" s="297"/>
      <c r="Z24" s="298"/>
      <c r="AA24" s="298"/>
      <c r="AB24" s="298"/>
      <c r="AC24" s="297"/>
      <c r="AD24" s="375"/>
      <c r="AE24" s="355"/>
      <c r="AF24" s="376">
        <f t="shared" ref="AF24" si="18">SUM(E24:AD24)</f>
        <v>0</v>
      </c>
      <c r="AG24" s="377"/>
      <c r="AH24" s="390"/>
      <c r="AI24" s="391">
        <f t="shared" ref="AI24" si="19">AF24+AG24</f>
        <v>0</v>
      </c>
      <c r="AJ24" s="392"/>
      <c r="AK24" s="393">
        <f t="shared" si="17"/>
        <v>0</v>
      </c>
      <c r="AL24" s="394"/>
      <c r="AM24" s="54"/>
      <c r="AN24" s="394"/>
    </row>
    <row r="25" spans="1:40" s="283" customFormat="1" ht="21" thickBot="1">
      <c r="A25" s="294" t="s">
        <v>110</v>
      </c>
      <c r="B25" s="299"/>
      <c r="C25" s="299"/>
      <c r="D25" s="1070"/>
      <c r="E25" s="457"/>
      <c r="F25" s="458"/>
      <c r="G25" s="458"/>
      <c r="H25" s="459"/>
      <c r="I25" s="459"/>
      <c r="J25" s="458"/>
      <c r="K25" s="1085"/>
      <c r="L25" s="761"/>
      <c r="M25" s="1082"/>
      <c r="N25" s="343"/>
      <c r="O25" s="298"/>
      <c r="P25" s="298"/>
      <c r="Q25" s="298"/>
      <c r="R25" s="298"/>
      <c r="S25" s="298"/>
      <c r="T25" s="298"/>
      <c r="U25" s="367"/>
      <c r="V25" s="355"/>
      <c r="W25" s="325"/>
      <c r="X25" s="297"/>
      <c r="Y25" s="297"/>
      <c r="Z25" s="298"/>
      <c r="AA25" s="298"/>
      <c r="AB25" s="298"/>
      <c r="AC25" s="297"/>
      <c r="AD25" s="375"/>
      <c r="AE25" s="355"/>
      <c r="AF25" s="376">
        <f t="shared" ref="AF25" si="20">SUM(E25:AD25)</f>
        <v>0</v>
      </c>
      <c r="AG25" s="377"/>
      <c r="AH25" s="390"/>
      <c r="AI25" s="391">
        <f t="shared" ref="AI25" si="21">AF25+AG25</f>
        <v>0</v>
      </c>
      <c r="AJ25" s="392"/>
      <c r="AK25" s="393">
        <f t="shared" ref="AK25" si="22">AI25+AJ25</f>
        <v>0</v>
      </c>
      <c r="AL25" s="394"/>
      <c r="AM25" s="54"/>
      <c r="AN25" s="394"/>
    </row>
    <row r="26" spans="1:40" s="283" customFormat="1" ht="21" thickBot="1">
      <c r="A26" s="294" t="s">
        <v>110</v>
      </c>
      <c r="B26" s="299"/>
      <c r="C26" s="299"/>
      <c r="D26" s="1070"/>
      <c r="E26" s="457"/>
      <c r="F26" s="458"/>
      <c r="G26" s="458"/>
      <c r="H26" s="459"/>
      <c r="I26" s="459"/>
      <c r="J26" s="458"/>
      <c r="K26" s="1085"/>
      <c r="L26" s="761"/>
      <c r="M26" s="1082"/>
      <c r="N26" s="343"/>
      <c r="O26" s="298"/>
      <c r="P26" s="298"/>
      <c r="Q26" s="298"/>
      <c r="R26" s="298"/>
      <c r="S26" s="298"/>
      <c r="T26" s="298"/>
      <c r="U26" s="367"/>
      <c r="V26" s="355"/>
      <c r="W26" s="325"/>
      <c r="X26" s="297"/>
      <c r="Y26" s="297"/>
      <c r="Z26" s="298"/>
      <c r="AA26" s="298"/>
      <c r="AB26" s="298"/>
      <c r="AC26" s="297"/>
      <c r="AD26" s="375"/>
      <c r="AE26" s="355"/>
      <c r="AF26" s="376">
        <f t="shared" ref="AF26" si="23">SUM(E26:AD26)</f>
        <v>0</v>
      </c>
      <c r="AG26" s="377"/>
      <c r="AH26" s="390"/>
      <c r="AI26" s="391">
        <f t="shared" ref="AI26" si="24">AF26+AG26</f>
        <v>0</v>
      </c>
      <c r="AJ26" s="392"/>
      <c r="AK26" s="393">
        <f t="shared" ref="AK26" si="25">AI26+AJ26</f>
        <v>0</v>
      </c>
      <c r="AL26" s="394"/>
      <c r="AM26" s="54"/>
      <c r="AN26" s="394"/>
    </row>
    <row r="27" spans="1:40" s="283" customFormat="1" ht="21" thickBot="1">
      <c r="A27" s="294" t="s">
        <v>110</v>
      </c>
      <c r="B27" s="299"/>
      <c r="C27" s="299"/>
      <c r="D27" s="1070"/>
      <c r="E27" s="457"/>
      <c r="F27" s="458"/>
      <c r="G27" s="458"/>
      <c r="H27" s="459"/>
      <c r="I27" s="459"/>
      <c r="J27" s="458"/>
      <c r="K27" s="1085"/>
      <c r="L27" s="761"/>
      <c r="M27" s="1082"/>
      <c r="N27" s="343"/>
      <c r="O27" s="298"/>
      <c r="P27" s="298"/>
      <c r="Q27" s="298"/>
      <c r="R27" s="298"/>
      <c r="S27" s="298"/>
      <c r="T27" s="298"/>
      <c r="U27" s="367"/>
      <c r="V27" s="355"/>
      <c r="W27" s="325"/>
      <c r="X27" s="297"/>
      <c r="Y27" s="297"/>
      <c r="Z27" s="298"/>
      <c r="AA27" s="298"/>
      <c r="AB27" s="298"/>
      <c r="AC27" s="297"/>
      <c r="AD27" s="375"/>
      <c r="AE27" s="355"/>
      <c r="AF27" s="376">
        <f t="shared" ref="AF27:AF28" si="26">SUM(E27:AD27)</f>
        <v>0</v>
      </c>
      <c r="AG27" s="377"/>
      <c r="AH27" s="390"/>
      <c r="AI27" s="391">
        <f t="shared" ref="AI27:AI28" si="27">AF27+AG27</f>
        <v>0</v>
      </c>
      <c r="AJ27" s="392"/>
      <c r="AK27" s="393">
        <f t="shared" ref="AK27:AK28" si="28">AI27+AJ27</f>
        <v>0</v>
      </c>
      <c r="AL27" s="394"/>
      <c r="AM27" s="54"/>
      <c r="AN27" s="394"/>
    </row>
    <row r="28" spans="1:40" s="283" customFormat="1" ht="21" thickBot="1">
      <c r="A28" s="294" t="s">
        <v>110</v>
      </c>
      <c r="B28" s="299"/>
      <c r="C28" s="299"/>
      <c r="D28" s="1070"/>
      <c r="E28" s="457"/>
      <c r="F28" s="458"/>
      <c r="G28" s="458"/>
      <c r="H28" s="459"/>
      <c r="I28" s="459"/>
      <c r="J28" s="458"/>
      <c r="K28" s="1085"/>
      <c r="L28" s="761"/>
      <c r="M28" s="1082"/>
      <c r="N28" s="343"/>
      <c r="O28" s="298"/>
      <c r="P28" s="298"/>
      <c r="Q28" s="298"/>
      <c r="R28" s="298"/>
      <c r="S28" s="298"/>
      <c r="T28" s="298"/>
      <c r="U28" s="367"/>
      <c r="V28" s="355"/>
      <c r="W28" s="325"/>
      <c r="X28" s="297"/>
      <c r="Y28" s="297"/>
      <c r="Z28" s="298"/>
      <c r="AA28" s="298"/>
      <c r="AB28" s="298"/>
      <c r="AC28" s="297"/>
      <c r="AD28" s="375"/>
      <c r="AE28" s="355"/>
      <c r="AF28" s="376">
        <f t="shared" si="26"/>
        <v>0</v>
      </c>
      <c r="AG28" s="377"/>
      <c r="AH28" s="390"/>
      <c r="AI28" s="391">
        <f t="shared" si="27"/>
        <v>0</v>
      </c>
      <c r="AJ28" s="392"/>
      <c r="AK28" s="393">
        <f t="shared" si="28"/>
        <v>0</v>
      </c>
      <c r="AL28" s="394"/>
      <c r="AM28" s="54"/>
      <c r="AN28" s="394"/>
    </row>
    <row r="29" spans="1:40" s="283" customFormat="1" ht="21" thickBot="1">
      <c r="A29" s="294" t="s">
        <v>110</v>
      </c>
      <c r="B29" s="299"/>
      <c r="C29" s="299"/>
      <c r="D29" s="1070"/>
      <c r="E29" s="457"/>
      <c r="F29" s="458"/>
      <c r="G29" s="458"/>
      <c r="H29" s="459"/>
      <c r="I29" s="459"/>
      <c r="J29" s="458"/>
      <c r="K29" s="1085"/>
      <c r="L29" s="761"/>
      <c r="M29" s="1082"/>
      <c r="N29" s="343"/>
      <c r="O29" s="298"/>
      <c r="P29" s="298"/>
      <c r="Q29" s="298"/>
      <c r="R29" s="298"/>
      <c r="S29" s="298"/>
      <c r="T29" s="298"/>
      <c r="U29" s="367"/>
      <c r="V29" s="355"/>
      <c r="W29" s="325"/>
      <c r="X29" s="297"/>
      <c r="Y29" s="297"/>
      <c r="Z29" s="298"/>
      <c r="AA29" s="298"/>
      <c r="AB29" s="298"/>
      <c r="AC29" s="297"/>
      <c r="AD29" s="375"/>
      <c r="AE29" s="355"/>
      <c r="AF29" s="376">
        <f t="shared" ref="AF29" si="29">SUM(E29:AD29)</f>
        <v>0</v>
      </c>
      <c r="AG29" s="377"/>
      <c r="AH29" s="390"/>
      <c r="AI29" s="391">
        <f t="shared" ref="AI29" si="30">AF29+AG29</f>
        <v>0</v>
      </c>
      <c r="AJ29" s="392"/>
      <c r="AK29" s="393">
        <f t="shared" ref="AK29" si="31">AI29+AJ29</f>
        <v>0</v>
      </c>
      <c r="AL29" s="394"/>
      <c r="AM29" s="54"/>
      <c r="AN29" s="394"/>
    </row>
    <row r="30" spans="1:40" s="283" customFormat="1" ht="21" thickBot="1">
      <c r="A30" s="294" t="s">
        <v>110</v>
      </c>
      <c r="B30" s="299"/>
      <c r="C30" s="299"/>
      <c r="D30" s="1070"/>
      <c r="E30" s="457"/>
      <c r="F30" s="458"/>
      <c r="G30" s="458"/>
      <c r="H30" s="459"/>
      <c r="I30" s="459"/>
      <c r="J30" s="458"/>
      <c r="K30" s="1085"/>
      <c r="L30" s="761"/>
      <c r="M30" s="1082"/>
      <c r="N30" s="343"/>
      <c r="O30" s="298"/>
      <c r="P30" s="298"/>
      <c r="Q30" s="298"/>
      <c r="R30" s="298"/>
      <c r="S30" s="298"/>
      <c r="T30" s="298"/>
      <c r="U30" s="367"/>
      <c r="V30" s="355"/>
      <c r="W30" s="325"/>
      <c r="X30" s="297"/>
      <c r="Y30" s="297"/>
      <c r="Z30" s="298"/>
      <c r="AA30" s="298"/>
      <c r="AB30" s="298"/>
      <c r="AC30" s="297"/>
      <c r="AD30" s="375"/>
      <c r="AE30" s="355"/>
      <c r="AF30" s="376">
        <f t="shared" ref="AF30" si="32">SUM(E30:AD30)</f>
        <v>0</v>
      </c>
      <c r="AG30" s="377"/>
      <c r="AH30" s="390"/>
      <c r="AI30" s="391">
        <f t="shared" ref="AI30" si="33">AF30+AG30</f>
        <v>0</v>
      </c>
      <c r="AJ30" s="392"/>
      <c r="AK30" s="393">
        <f t="shared" ref="AK30" si="34">AI30+AJ30</f>
        <v>0</v>
      </c>
      <c r="AL30" s="394"/>
      <c r="AM30" s="54"/>
      <c r="AN30" s="394"/>
    </row>
    <row r="31" spans="1:40" s="283" customFormat="1" ht="21" thickBot="1">
      <c r="A31" s="294" t="s">
        <v>110</v>
      </c>
      <c r="B31" s="299"/>
      <c r="C31" s="299"/>
      <c r="D31" s="1070"/>
      <c r="E31" s="457"/>
      <c r="F31" s="458"/>
      <c r="G31" s="458"/>
      <c r="H31" s="459"/>
      <c r="I31" s="459"/>
      <c r="J31" s="458"/>
      <c r="K31" s="1085"/>
      <c r="L31" s="761"/>
      <c r="M31" s="1082"/>
      <c r="N31" s="343"/>
      <c r="O31" s="298"/>
      <c r="P31" s="298"/>
      <c r="Q31" s="298"/>
      <c r="R31" s="298"/>
      <c r="S31" s="298"/>
      <c r="T31" s="298"/>
      <c r="U31" s="367"/>
      <c r="V31" s="355"/>
      <c r="W31" s="325"/>
      <c r="X31" s="297"/>
      <c r="Y31" s="297"/>
      <c r="Z31" s="298"/>
      <c r="AA31" s="298"/>
      <c r="AB31" s="298"/>
      <c r="AC31" s="297"/>
      <c r="AD31" s="375"/>
      <c r="AE31" s="355"/>
      <c r="AF31" s="376">
        <f t="shared" ref="AF31" si="35">SUM(E31:AD31)</f>
        <v>0</v>
      </c>
      <c r="AG31" s="377"/>
      <c r="AH31" s="390"/>
      <c r="AI31" s="391">
        <f t="shared" ref="AI31" si="36">AF31+AG31</f>
        <v>0</v>
      </c>
      <c r="AJ31" s="392"/>
      <c r="AK31" s="393">
        <f t="shared" ref="AK31" si="37">AI31+AJ31</f>
        <v>0</v>
      </c>
      <c r="AL31" s="396" t="s">
        <v>8</v>
      </c>
      <c r="AM31" s="397" t="s">
        <v>23</v>
      </c>
      <c r="AN31" s="398" t="s">
        <v>174</v>
      </c>
    </row>
    <row r="32" spans="1:40" s="284" customFormat="1" ht="21" thickBot="1">
      <c r="A32" s="294" t="s">
        <v>110</v>
      </c>
      <c r="B32" s="299"/>
      <c r="C32" s="299"/>
      <c r="D32" s="1070"/>
      <c r="E32" s="457"/>
      <c r="F32" s="458"/>
      <c r="G32" s="458"/>
      <c r="H32" s="459"/>
      <c r="I32" s="459"/>
      <c r="J32" s="458"/>
      <c r="K32" s="1085"/>
      <c r="L32" s="761"/>
      <c r="M32" s="1082"/>
      <c r="N32" s="343"/>
      <c r="O32" s="298"/>
      <c r="P32" s="298"/>
      <c r="Q32" s="298"/>
      <c r="R32" s="298"/>
      <c r="S32" s="298"/>
      <c r="T32" s="298"/>
      <c r="U32" s="367"/>
      <c r="V32" s="355"/>
      <c r="W32" s="325"/>
      <c r="X32" s="297"/>
      <c r="Y32" s="297"/>
      <c r="Z32" s="298"/>
      <c r="AA32" s="298"/>
      <c r="AB32" s="298"/>
      <c r="AC32" s="297"/>
      <c r="AD32" s="375"/>
      <c r="AE32" s="355"/>
      <c r="AF32" s="376">
        <f t="shared" ref="AF32" si="38">SUM(E32:AD32)</f>
        <v>0</v>
      </c>
      <c r="AG32" s="377"/>
      <c r="AH32" s="390"/>
      <c r="AI32" s="391">
        <f t="shared" ref="AI32" si="39">AF32+AG32</f>
        <v>0</v>
      </c>
      <c r="AJ32" s="392"/>
      <c r="AK32" s="393">
        <f t="shared" ref="AK32" si="40">AI32+AJ32</f>
        <v>0</v>
      </c>
      <c r="AL32" s="399">
        <f>'BIG CHAIR'!CL36</f>
        <v>0</v>
      </c>
      <c r="AM32" s="400">
        <f>'Tea Table'!X29</f>
        <v>0</v>
      </c>
      <c r="AN32" s="401">
        <f>AI35+AL32+AM32</f>
        <v>0</v>
      </c>
    </row>
    <row r="33" spans="1:40" s="284" customFormat="1" ht="21" thickBot="1">
      <c r="A33" s="294" t="s">
        <v>110</v>
      </c>
      <c r="B33" s="299"/>
      <c r="C33" s="299"/>
      <c r="D33" s="1070"/>
      <c r="E33" s="457"/>
      <c r="F33" s="458"/>
      <c r="G33" s="458"/>
      <c r="H33" s="459"/>
      <c r="I33" s="459"/>
      <c r="J33" s="458"/>
      <c r="K33" s="1085"/>
      <c r="L33" s="761"/>
      <c r="M33" s="1082"/>
      <c r="N33" s="343"/>
      <c r="O33" s="298"/>
      <c r="P33" s="298"/>
      <c r="Q33" s="298"/>
      <c r="R33" s="298"/>
      <c r="S33" s="298"/>
      <c r="T33" s="298"/>
      <c r="U33" s="367"/>
      <c r="V33" s="355"/>
      <c r="W33" s="325"/>
      <c r="X33" s="297"/>
      <c r="Y33" s="297"/>
      <c r="Z33" s="298"/>
      <c r="AA33" s="298"/>
      <c r="AB33" s="298"/>
      <c r="AC33" s="297"/>
      <c r="AD33" s="375"/>
      <c r="AE33" s="355"/>
      <c r="AF33" s="376">
        <f t="shared" ref="AF33:AF34" si="41">SUM(E33:AD33)</f>
        <v>0</v>
      </c>
      <c r="AG33" s="377"/>
      <c r="AH33" s="390"/>
      <c r="AI33" s="391">
        <f t="shared" ref="AI33:AI34" si="42">AF33+AG33</f>
        <v>0</v>
      </c>
      <c r="AJ33" s="392"/>
      <c r="AK33" s="393">
        <f t="shared" ref="AK33:AK34" si="43">AI33+AJ33</f>
        <v>0</v>
      </c>
      <c r="AL33" s="403"/>
      <c r="AM33" s="403"/>
      <c r="AN33" s="403"/>
    </row>
    <row r="34" spans="1:40" s="282" customFormat="1" ht="21" thickBot="1">
      <c r="A34" s="294" t="s">
        <v>110</v>
      </c>
      <c r="B34" s="299"/>
      <c r="C34" s="299"/>
      <c r="D34" s="462"/>
      <c r="E34" s="325"/>
      <c r="F34" s="297"/>
      <c r="G34" s="297"/>
      <c r="H34" s="298"/>
      <c r="I34" s="298"/>
      <c r="J34" s="297"/>
      <c r="K34" s="1086"/>
      <c r="L34" s="367"/>
      <c r="M34" s="1082"/>
      <c r="N34" s="343"/>
      <c r="O34" s="298"/>
      <c r="P34" s="298"/>
      <c r="Q34" s="298"/>
      <c r="R34" s="298"/>
      <c r="S34" s="298"/>
      <c r="T34" s="298"/>
      <c r="U34" s="367"/>
      <c r="V34" s="355"/>
      <c r="W34" s="325"/>
      <c r="X34" s="297"/>
      <c r="Y34" s="297"/>
      <c r="Z34" s="298"/>
      <c r="AA34" s="298"/>
      <c r="AB34" s="298"/>
      <c r="AC34" s="297"/>
      <c r="AD34" s="375"/>
      <c r="AE34" s="355"/>
      <c r="AF34" s="376">
        <f t="shared" si="41"/>
        <v>0</v>
      </c>
      <c r="AG34" s="377"/>
      <c r="AH34" s="390"/>
      <c r="AI34" s="391">
        <f t="shared" si="42"/>
        <v>0</v>
      </c>
      <c r="AJ34" s="392"/>
      <c r="AK34" s="395">
        <f t="shared" si="43"/>
        <v>0</v>
      </c>
    </row>
    <row r="35" spans="1:40" s="234" customFormat="1" ht="19.5" thickBot="1">
      <c r="A35" s="302" t="s">
        <v>175</v>
      </c>
      <c r="B35" s="303"/>
      <c r="C35" s="303"/>
      <c r="D35" s="1071"/>
      <c r="E35" s="305">
        <f t="shared" ref="E35:AK35" si="44">SUM(E5:E34)</f>
        <v>0</v>
      </c>
      <c r="F35" s="1072">
        <f t="shared" si="44"/>
        <v>0</v>
      </c>
      <c r="G35" s="1072">
        <f t="shared" si="44"/>
        <v>0</v>
      </c>
      <c r="H35" s="1072">
        <f t="shared" si="44"/>
        <v>0</v>
      </c>
      <c r="I35" s="1072">
        <f t="shared" si="44"/>
        <v>0</v>
      </c>
      <c r="J35" s="1072">
        <f t="shared" si="44"/>
        <v>0</v>
      </c>
      <c r="K35" s="1072">
        <f t="shared" si="44"/>
        <v>0</v>
      </c>
      <c r="L35" s="1087">
        <f t="shared" si="44"/>
        <v>0</v>
      </c>
      <c r="M35" s="1088">
        <f t="shared" si="44"/>
        <v>0</v>
      </c>
      <c r="N35" s="305">
        <f t="shared" si="44"/>
        <v>0</v>
      </c>
      <c r="O35" s="305">
        <f t="shared" si="44"/>
        <v>0</v>
      </c>
      <c r="P35" s="305">
        <f t="shared" si="44"/>
        <v>0</v>
      </c>
      <c r="Q35" s="305">
        <f t="shared" si="44"/>
        <v>0</v>
      </c>
      <c r="R35" s="305">
        <f t="shared" si="44"/>
        <v>0</v>
      </c>
      <c r="S35" s="305">
        <f t="shared" si="44"/>
        <v>0</v>
      </c>
      <c r="T35" s="305">
        <f t="shared" si="44"/>
        <v>0</v>
      </c>
      <c r="U35" s="812">
        <f t="shared" si="44"/>
        <v>0</v>
      </c>
      <c r="V35" s="305">
        <f t="shared" si="44"/>
        <v>0</v>
      </c>
      <c r="W35" s="305">
        <f t="shared" si="44"/>
        <v>0</v>
      </c>
      <c r="X35" s="305">
        <f t="shared" si="44"/>
        <v>0</v>
      </c>
      <c r="Y35" s="305">
        <f t="shared" si="44"/>
        <v>0</v>
      </c>
      <c r="Z35" s="305">
        <f t="shared" si="44"/>
        <v>0</v>
      </c>
      <c r="AA35" s="305">
        <f t="shared" si="44"/>
        <v>0</v>
      </c>
      <c r="AB35" s="305">
        <f t="shared" si="44"/>
        <v>0</v>
      </c>
      <c r="AC35" s="305">
        <f t="shared" si="44"/>
        <v>0</v>
      </c>
      <c r="AD35" s="305">
        <f t="shared" si="44"/>
        <v>0</v>
      </c>
      <c r="AE35" s="305">
        <f t="shared" si="44"/>
        <v>0</v>
      </c>
      <c r="AF35" s="305">
        <f t="shared" si="44"/>
        <v>0</v>
      </c>
      <c r="AG35" s="305">
        <f t="shared" si="44"/>
        <v>0</v>
      </c>
      <c r="AH35" s="305">
        <f t="shared" si="44"/>
        <v>0</v>
      </c>
      <c r="AI35" s="305">
        <f t="shared" si="44"/>
        <v>0</v>
      </c>
      <c r="AJ35" s="305">
        <f t="shared" si="44"/>
        <v>0</v>
      </c>
      <c r="AK35" s="305">
        <f t="shared" si="44"/>
        <v>0</v>
      </c>
    </row>
    <row r="36" spans="1:40" s="234" customFormat="1" ht="19.5" thickBot="1">
      <c r="A36" s="306"/>
      <c r="B36" s="307"/>
      <c r="C36" s="307"/>
      <c r="D36" s="308"/>
      <c r="E36" s="309"/>
      <c r="F36" s="309"/>
      <c r="G36" s="309"/>
      <c r="H36" s="309"/>
      <c r="I36" s="309"/>
      <c r="J36" s="309"/>
      <c r="K36" s="309"/>
      <c r="L36" s="309"/>
      <c r="M36" s="346"/>
      <c r="N36" s="347"/>
      <c r="O36" s="347"/>
      <c r="P36" s="347"/>
      <c r="Q36" s="347"/>
      <c r="R36" s="347"/>
      <c r="S36" s="347"/>
      <c r="T36" s="347"/>
      <c r="U36" s="347"/>
      <c r="V36" s="346"/>
      <c r="W36" s="347"/>
      <c r="X36" s="347"/>
      <c r="Y36" s="347"/>
      <c r="Z36" s="347"/>
      <c r="AA36" s="347"/>
      <c r="AB36" s="347"/>
      <c r="AC36" s="347"/>
      <c r="AD36" s="347"/>
      <c r="AE36" s="346"/>
      <c r="AF36" s="347"/>
      <c r="AG36" s="347"/>
      <c r="AH36" s="347"/>
      <c r="AI36" s="347"/>
      <c r="AJ36" s="347"/>
      <c r="AK36" s="402"/>
    </row>
    <row r="37" spans="1:40" s="234" customFormat="1" ht="24" thickBot="1">
      <c r="A37" s="286" t="s">
        <v>117</v>
      </c>
      <c r="B37" s="287" t="s">
        <v>68</v>
      </c>
      <c r="C37" s="287" t="s">
        <v>69</v>
      </c>
      <c r="D37" s="1073" t="s">
        <v>70</v>
      </c>
      <c r="E37" s="743" t="s">
        <v>96</v>
      </c>
      <c r="F37" s="744" t="s">
        <v>124</v>
      </c>
      <c r="G37" s="744" t="s">
        <v>228</v>
      </c>
      <c r="H37" s="744" t="s">
        <v>149</v>
      </c>
      <c r="I37" s="744" t="s">
        <v>470</v>
      </c>
      <c r="J37" s="744" t="s">
        <v>92</v>
      </c>
      <c r="K37" s="50" t="s">
        <v>479</v>
      </c>
      <c r="L37" s="783" t="s">
        <v>123</v>
      </c>
      <c r="M37" s="1089"/>
      <c r="N37" s="80" t="s">
        <v>71</v>
      </c>
      <c r="O37" s="49" t="s">
        <v>53</v>
      </c>
      <c r="P37" s="49" t="s">
        <v>118</v>
      </c>
      <c r="Q37" s="49" t="s">
        <v>74</v>
      </c>
      <c r="R37" s="49" t="s">
        <v>75</v>
      </c>
      <c r="S37" s="49" t="s">
        <v>94</v>
      </c>
      <c r="T37" s="126" t="s">
        <v>77</v>
      </c>
      <c r="U37" s="171" t="s">
        <v>101</v>
      </c>
      <c r="V37" s="79"/>
      <c r="W37" s="80" t="s">
        <v>482</v>
      </c>
      <c r="X37" s="49" t="s">
        <v>96</v>
      </c>
      <c r="Y37" s="49" t="s">
        <v>118</v>
      </c>
      <c r="Z37" s="49" t="s">
        <v>231</v>
      </c>
      <c r="AA37" s="49" t="s">
        <v>75</v>
      </c>
      <c r="AB37" s="49" t="s">
        <v>53</v>
      </c>
      <c r="AC37" s="126" t="s">
        <v>230</v>
      </c>
      <c r="AD37" s="171" t="s">
        <v>95</v>
      </c>
      <c r="AE37" s="370"/>
      <c r="AF37" s="371" t="s">
        <v>172</v>
      </c>
      <c r="AG37" s="372" t="s">
        <v>80</v>
      </c>
      <c r="AH37" s="385"/>
      <c r="AI37" s="386" t="s">
        <v>106</v>
      </c>
      <c r="AJ37" s="385" t="s">
        <v>173</v>
      </c>
      <c r="AK37" s="371" t="s">
        <v>108</v>
      </c>
    </row>
    <row r="38" spans="1:40" s="234" customFormat="1" ht="20.25">
      <c r="A38" s="316" t="s">
        <v>120</v>
      </c>
      <c r="B38" s="299"/>
      <c r="C38" s="299"/>
      <c r="D38" s="1066"/>
      <c r="E38" s="1067"/>
      <c r="F38" s="1068"/>
      <c r="G38" s="1068"/>
      <c r="H38" s="1069"/>
      <c r="I38" s="1069"/>
      <c r="J38" s="1068"/>
      <c r="K38" s="1080"/>
      <c r="L38" s="351"/>
      <c r="M38" s="352"/>
      <c r="N38" s="353"/>
      <c r="O38" s="321"/>
      <c r="P38" s="321"/>
      <c r="Q38" s="321"/>
      <c r="R38" s="321"/>
      <c r="S38" s="321"/>
      <c r="T38" s="321"/>
      <c r="U38" s="351"/>
      <c r="V38" s="352"/>
      <c r="W38" s="319"/>
      <c r="X38" s="320"/>
      <c r="Y38" s="320"/>
      <c r="Z38" s="321"/>
      <c r="AA38" s="321"/>
      <c r="AB38" s="321"/>
      <c r="AC38" s="320"/>
      <c r="AD38" s="380"/>
      <c r="AE38" s="352"/>
      <c r="AF38" s="376">
        <f>SUM(E38:AD38)</f>
        <v>0</v>
      </c>
      <c r="AG38" s="381"/>
      <c r="AH38" s="408"/>
      <c r="AI38" s="409">
        <f>AF38+AG38</f>
        <v>0</v>
      </c>
      <c r="AJ38" s="410"/>
      <c r="AK38" s="411">
        <f>AI38+AJ38</f>
        <v>0</v>
      </c>
    </row>
    <row r="39" spans="1:40" s="234" customFormat="1" ht="20.25">
      <c r="A39" s="316" t="s">
        <v>120</v>
      </c>
      <c r="B39" s="317"/>
      <c r="C39" s="317"/>
      <c r="D39" s="1074"/>
      <c r="E39" s="319"/>
      <c r="F39" s="320"/>
      <c r="G39" s="320"/>
      <c r="H39" s="321"/>
      <c r="I39" s="321"/>
      <c r="J39" s="320"/>
      <c r="K39" s="321"/>
      <c r="L39" s="351"/>
      <c r="M39" s="352"/>
      <c r="N39" s="353"/>
      <c r="O39" s="320"/>
      <c r="P39" s="320"/>
      <c r="Q39" s="321"/>
      <c r="R39" s="321"/>
      <c r="S39" s="321"/>
      <c r="T39" s="320"/>
      <c r="U39" s="351"/>
      <c r="V39" s="352"/>
      <c r="W39" s="353"/>
      <c r="X39" s="321"/>
      <c r="Y39" s="321"/>
      <c r="Z39" s="321"/>
      <c r="AA39" s="321"/>
      <c r="AB39" s="321"/>
      <c r="AC39" s="321"/>
      <c r="AD39" s="380"/>
      <c r="AE39" s="352"/>
      <c r="AF39" s="376">
        <f t="shared" ref="AF39:AF42" si="45">SUM(E39:AD39)</f>
        <v>0</v>
      </c>
      <c r="AG39" s="381"/>
      <c r="AH39" s="408"/>
      <c r="AI39" s="409">
        <f>AF39+AG39</f>
        <v>0</v>
      </c>
      <c r="AJ39" s="410"/>
      <c r="AK39" s="411">
        <f>AI39+AJ39</f>
        <v>0</v>
      </c>
    </row>
    <row r="40" spans="1:40" s="234" customFormat="1" ht="20.25">
      <c r="A40" s="316" t="s">
        <v>120</v>
      </c>
      <c r="B40" s="295"/>
      <c r="C40" s="295"/>
      <c r="D40" s="1074"/>
      <c r="E40" s="319"/>
      <c r="F40" s="320"/>
      <c r="G40" s="320"/>
      <c r="H40" s="321"/>
      <c r="I40" s="321"/>
      <c r="J40" s="320"/>
      <c r="K40" s="1090"/>
      <c r="L40" s="351"/>
      <c r="M40" s="352"/>
      <c r="N40" s="353"/>
      <c r="O40" s="321"/>
      <c r="P40" s="321"/>
      <c r="Q40" s="321"/>
      <c r="R40" s="321"/>
      <c r="S40" s="321"/>
      <c r="T40" s="321"/>
      <c r="U40" s="351"/>
      <c r="V40" s="352"/>
      <c r="W40" s="319"/>
      <c r="X40" s="320"/>
      <c r="Y40" s="320"/>
      <c r="Z40" s="321"/>
      <c r="AA40" s="321"/>
      <c r="AB40" s="321"/>
      <c r="AC40" s="320"/>
      <c r="AD40" s="380"/>
      <c r="AE40" s="352"/>
      <c r="AF40" s="376">
        <f t="shared" si="45"/>
        <v>0</v>
      </c>
      <c r="AG40" s="381"/>
      <c r="AH40" s="408"/>
      <c r="AI40" s="409">
        <f>AF40+AG40</f>
        <v>0</v>
      </c>
      <c r="AJ40" s="410"/>
      <c r="AK40" s="411">
        <f>AI40+AJ40</f>
        <v>0</v>
      </c>
    </row>
    <row r="41" spans="1:40" s="234" customFormat="1" ht="20.25">
      <c r="A41" s="316" t="s">
        <v>120</v>
      </c>
      <c r="B41" s="317"/>
      <c r="C41" s="295"/>
      <c r="D41" s="1074"/>
      <c r="E41" s="319"/>
      <c r="F41" s="320"/>
      <c r="G41" s="320"/>
      <c r="H41" s="321"/>
      <c r="I41" s="321"/>
      <c r="J41" s="320"/>
      <c r="K41" s="1091"/>
      <c r="L41" s="351"/>
      <c r="M41" s="352"/>
      <c r="N41" s="353"/>
      <c r="O41" s="321"/>
      <c r="P41" s="321"/>
      <c r="Q41" s="321"/>
      <c r="R41" s="321"/>
      <c r="S41" s="321"/>
      <c r="T41" s="321"/>
      <c r="U41" s="351"/>
      <c r="V41" s="352"/>
      <c r="W41" s="319"/>
      <c r="X41" s="320"/>
      <c r="Y41" s="320"/>
      <c r="Z41" s="321"/>
      <c r="AA41" s="321"/>
      <c r="AB41" s="321"/>
      <c r="AC41" s="320"/>
      <c r="AD41" s="380"/>
      <c r="AE41" s="352"/>
      <c r="AF41" s="376">
        <f t="shared" si="45"/>
        <v>0</v>
      </c>
      <c r="AG41" s="381"/>
      <c r="AH41" s="408"/>
      <c r="AI41" s="409">
        <f>AF41+AG41</f>
        <v>0</v>
      </c>
      <c r="AJ41" s="410"/>
      <c r="AK41" s="411">
        <f>AI41+AJ41</f>
        <v>0</v>
      </c>
    </row>
    <row r="42" spans="1:40" s="234" customFormat="1" ht="20.25">
      <c r="A42" s="316" t="s">
        <v>120</v>
      </c>
      <c r="B42" s="295"/>
      <c r="C42" s="295"/>
      <c r="D42" s="1074"/>
      <c r="E42" s="319"/>
      <c r="F42" s="320"/>
      <c r="G42" s="320"/>
      <c r="H42" s="321"/>
      <c r="I42" s="321"/>
      <c r="J42" s="320"/>
      <c r="K42" s="1090"/>
      <c r="L42" s="351"/>
      <c r="M42" s="352"/>
      <c r="N42" s="353"/>
      <c r="O42" s="321"/>
      <c r="P42" s="321"/>
      <c r="Q42" s="321"/>
      <c r="R42" s="321"/>
      <c r="S42" s="321"/>
      <c r="T42" s="321"/>
      <c r="U42" s="351"/>
      <c r="V42" s="352"/>
      <c r="W42" s="319"/>
      <c r="X42" s="320"/>
      <c r="Y42" s="320"/>
      <c r="Z42" s="321"/>
      <c r="AA42" s="321"/>
      <c r="AB42" s="321"/>
      <c r="AC42" s="320"/>
      <c r="AD42" s="380"/>
      <c r="AE42" s="352"/>
      <c r="AF42" s="376">
        <f t="shared" si="45"/>
        <v>0</v>
      </c>
      <c r="AG42" s="381"/>
      <c r="AH42" s="408"/>
      <c r="AI42" s="409">
        <f>AF42+AG42</f>
        <v>0</v>
      </c>
      <c r="AJ42" s="410"/>
      <c r="AK42" s="411">
        <f>AI42+AJ42</f>
        <v>0</v>
      </c>
    </row>
    <row r="43" spans="1:40" s="234" customFormat="1" ht="20.25">
      <c r="A43" s="316" t="s">
        <v>120</v>
      </c>
      <c r="B43" s="295"/>
      <c r="C43" s="295"/>
      <c r="D43" s="1074"/>
      <c r="E43" s="319"/>
      <c r="F43" s="320"/>
      <c r="G43" s="320"/>
      <c r="H43" s="321"/>
      <c r="I43" s="321"/>
      <c r="J43" s="320"/>
      <c r="K43" s="1090"/>
      <c r="L43" s="351"/>
      <c r="M43" s="352"/>
      <c r="N43" s="353"/>
      <c r="O43" s="321"/>
      <c r="P43" s="321"/>
      <c r="Q43" s="321"/>
      <c r="R43" s="321"/>
      <c r="S43" s="321"/>
      <c r="T43" s="321"/>
      <c r="U43" s="351"/>
      <c r="V43" s="352"/>
      <c r="W43" s="319"/>
      <c r="X43" s="320"/>
      <c r="Y43" s="320"/>
      <c r="Z43" s="321"/>
      <c r="AA43" s="321"/>
      <c r="AB43" s="321"/>
      <c r="AC43" s="320"/>
      <c r="AD43" s="380"/>
      <c r="AE43" s="352"/>
      <c r="AF43" s="376">
        <f t="shared" ref="AF43:AF54" si="46">SUM(E43:AD43)</f>
        <v>0</v>
      </c>
      <c r="AG43" s="381"/>
      <c r="AH43" s="408"/>
      <c r="AI43" s="409">
        <f t="shared" ref="AI43:AI70" si="47">AF43+AG43</f>
        <v>0</v>
      </c>
      <c r="AJ43" s="410"/>
      <c r="AK43" s="411">
        <f t="shared" ref="AK43:AK45" si="48">AI43+AJ43</f>
        <v>0</v>
      </c>
    </row>
    <row r="44" spans="1:40" s="234" customFormat="1" ht="20.25">
      <c r="A44" s="316" t="s">
        <v>120</v>
      </c>
      <c r="B44" s="295"/>
      <c r="C44" s="295"/>
      <c r="D44" s="1074"/>
      <c r="E44" s="319"/>
      <c r="F44" s="320"/>
      <c r="G44" s="320"/>
      <c r="H44" s="321"/>
      <c r="I44" s="321"/>
      <c r="J44" s="320"/>
      <c r="K44" s="1090"/>
      <c r="L44" s="351"/>
      <c r="M44" s="352"/>
      <c r="N44" s="353"/>
      <c r="O44" s="321"/>
      <c r="P44" s="321"/>
      <c r="Q44" s="321"/>
      <c r="R44" s="321"/>
      <c r="S44" s="321"/>
      <c r="T44" s="321"/>
      <c r="U44" s="351"/>
      <c r="V44" s="352"/>
      <c r="W44" s="319"/>
      <c r="X44" s="320"/>
      <c r="Y44" s="320"/>
      <c r="Z44" s="321"/>
      <c r="AA44" s="321"/>
      <c r="AB44" s="321"/>
      <c r="AC44" s="320"/>
      <c r="AD44" s="380"/>
      <c r="AE44" s="352"/>
      <c r="AF44" s="376">
        <f t="shared" si="46"/>
        <v>0</v>
      </c>
      <c r="AG44" s="381"/>
      <c r="AH44" s="408"/>
      <c r="AI44" s="409">
        <f t="shared" si="47"/>
        <v>0</v>
      </c>
      <c r="AJ44" s="410"/>
      <c r="AK44" s="411">
        <f t="shared" si="48"/>
        <v>0</v>
      </c>
    </row>
    <row r="45" spans="1:40" s="234" customFormat="1" ht="20.25">
      <c r="A45" s="316" t="s">
        <v>120</v>
      </c>
      <c r="B45" s="295"/>
      <c r="C45" s="295"/>
      <c r="D45" s="1074"/>
      <c r="E45" s="319"/>
      <c r="F45" s="320"/>
      <c r="G45" s="320"/>
      <c r="H45" s="321"/>
      <c r="I45" s="321"/>
      <c r="J45" s="320"/>
      <c r="K45" s="1090"/>
      <c r="L45" s="351"/>
      <c r="M45" s="352"/>
      <c r="N45" s="353"/>
      <c r="O45" s="321"/>
      <c r="P45" s="321"/>
      <c r="Q45" s="321"/>
      <c r="R45" s="321"/>
      <c r="S45" s="321"/>
      <c r="T45" s="321"/>
      <c r="U45" s="351"/>
      <c r="V45" s="352"/>
      <c r="W45" s="319"/>
      <c r="X45" s="320"/>
      <c r="Y45" s="320"/>
      <c r="Z45" s="321"/>
      <c r="AA45" s="321"/>
      <c r="AB45" s="321"/>
      <c r="AC45" s="320"/>
      <c r="AD45" s="380"/>
      <c r="AE45" s="352"/>
      <c r="AF45" s="376">
        <f t="shared" si="46"/>
        <v>0</v>
      </c>
      <c r="AG45" s="381"/>
      <c r="AH45" s="408"/>
      <c r="AI45" s="409">
        <f t="shared" si="47"/>
        <v>0</v>
      </c>
      <c r="AJ45" s="410"/>
      <c r="AK45" s="411">
        <f t="shared" si="48"/>
        <v>0</v>
      </c>
    </row>
    <row r="46" spans="1:40" s="234" customFormat="1" ht="20.25">
      <c r="A46" s="316" t="s">
        <v>120</v>
      </c>
      <c r="B46" s="295"/>
      <c r="C46" s="295"/>
      <c r="D46" s="1075"/>
      <c r="E46" s="319"/>
      <c r="F46" s="320"/>
      <c r="G46" s="320"/>
      <c r="H46" s="321"/>
      <c r="I46" s="321"/>
      <c r="J46" s="320"/>
      <c r="K46" s="1090"/>
      <c r="L46" s="351"/>
      <c r="M46" s="352"/>
      <c r="N46" s="353"/>
      <c r="O46" s="321"/>
      <c r="P46" s="321"/>
      <c r="Q46" s="321"/>
      <c r="R46" s="321"/>
      <c r="S46" s="321"/>
      <c r="T46" s="321"/>
      <c r="U46" s="351"/>
      <c r="V46" s="352"/>
      <c r="W46" s="319"/>
      <c r="X46" s="320"/>
      <c r="Y46" s="320"/>
      <c r="Z46" s="321"/>
      <c r="AA46" s="321"/>
      <c r="AB46" s="321"/>
      <c r="AC46" s="320"/>
      <c r="AD46" s="380"/>
      <c r="AE46" s="352"/>
      <c r="AF46" s="376">
        <f t="shared" si="46"/>
        <v>0</v>
      </c>
      <c r="AG46" s="381"/>
      <c r="AH46" s="408"/>
      <c r="AI46" s="409">
        <f t="shared" si="47"/>
        <v>0</v>
      </c>
      <c r="AJ46" s="410"/>
      <c r="AK46" s="411">
        <f t="shared" ref="AK46:AK70" si="49">AI46+AJ46</f>
        <v>0</v>
      </c>
    </row>
    <row r="47" spans="1:40" s="234" customFormat="1" ht="20.25">
      <c r="A47" s="316" t="s">
        <v>120</v>
      </c>
      <c r="B47" s="295"/>
      <c r="C47" s="295"/>
      <c r="D47" s="1075"/>
      <c r="E47" s="319"/>
      <c r="F47" s="320"/>
      <c r="G47" s="320"/>
      <c r="H47" s="321"/>
      <c r="I47" s="321"/>
      <c r="J47" s="320"/>
      <c r="K47" s="1090"/>
      <c r="L47" s="351"/>
      <c r="M47" s="352"/>
      <c r="N47" s="353"/>
      <c r="O47" s="321"/>
      <c r="P47" s="321"/>
      <c r="Q47" s="321"/>
      <c r="R47" s="321"/>
      <c r="S47" s="321"/>
      <c r="T47" s="321"/>
      <c r="U47" s="351"/>
      <c r="V47" s="352"/>
      <c r="W47" s="319"/>
      <c r="X47" s="320"/>
      <c r="Y47" s="320"/>
      <c r="Z47" s="321"/>
      <c r="AA47" s="321"/>
      <c r="AB47" s="321"/>
      <c r="AC47" s="320"/>
      <c r="AD47" s="380"/>
      <c r="AE47" s="352"/>
      <c r="AF47" s="376">
        <f t="shared" si="46"/>
        <v>0</v>
      </c>
      <c r="AG47" s="381"/>
      <c r="AH47" s="408"/>
      <c r="AI47" s="409">
        <f t="shared" si="47"/>
        <v>0</v>
      </c>
      <c r="AJ47" s="410"/>
      <c r="AK47" s="411">
        <f t="shared" si="49"/>
        <v>0</v>
      </c>
    </row>
    <row r="48" spans="1:40" s="234" customFormat="1" ht="20.25">
      <c r="A48" s="316" t="s">
        <v>120</v>
      </c>
      <c r="B48" s="295"/>
      <c r="C48" s="295"/>
      <c r="D48" s="1075"/>
      <c r="E48" s="319"/>
      <c r="F48" s="320"/>
      <c r="G48" s="320"/>
      <c r="H48" s="321"/>
      <c r="I48" s="321"/>
      <c r="J48" s="320"/>
      <c r="K48" s="1090"/>
      <c r="L48" s="351"/>
      <c r="M48" s="352"/>
      <c r="N48" s="353"/>
      <c r="O48" s="321"/>
      <c r="P48" s="321"/>
      <c r="Q48" s="321"/>
      <c r="R48" s="321"/>
      <c r="S48" s="321"/>
      <c r="T48" s="321"/>
      <c r="U48" s="351"/>
      <c r="V48" s="352"/>
      <c r="W48" s="319"/>
      <c r="X48" s="320"/>
      <c r="Y48" s="320"/>
      <c r="Z48" s="321"/>
      <c r="AA48" s="321"/>
      <c r="AB48" s="321"/>
      <c r="AC48" s="320"/>
      <c r="AD48" s="380"/>
      <c r="AE48" s="352"/>
      <c r="AF48" s="376">
        <f t="shared" si="46"/>
        <v>0</v>
      </c>
      <c r="AG48" s="381"/>
      <c r="AH48" s="408"/>
      <c r="AI48" s="409">
        <f t="shared" ref="AI48:AI67" si="50">AF48+AG48</f>
        <v>0</v>
      </c>
      <c r="AJ48" s="410"/>
      <c r="AK48" s="411">
        <f t="shared" ref="AK48:AK67" si="51">AI48+AJ48</f>
        <v>0</v>
      </c>
    </row>
    <row r="49" spans="1:37" s="234" customFormat="1" ht="20.25">
      <c r="A49" s="316" t="s">
        <v>120</v>
      </c>
      <c r="B49" s="295"/>
      <c r="C49" s="295"/>
      <c r="D49" s="1075"/>
      <c r="E49" s="319"/>
      <c r="F49" s="320"/>
      <c r="G49" s="320"/>
      <c r="H49" s="321"/>
      <c r="I49" s="321"/>
      <c r="J49" s="320"/>
      <c r="K49" s="1090"/>
      <c r="L49" s="351"/>
      <c r="M49" s="352"/>
      <c r="N49" s="353"/>
      <c r="O49" s="321"/>
      <c r="P49" s="321"/>
      <c r="Q49" s="321"/>
      <c r="R49" s="321"/>
      <c r="S49" s="321"/>
      <c r="T49" s="321"/>
      <c r="U49" s="351"/>
      <c r="V49" s="352"/>
      <c r="W49" s="319"/>
      <c r="X49" s="320"/>
      <c r="Y49" s="320"/>
      <c r="Z49" s="321"/>
      <c r="AA49" s="321"/>
      <c r="AB49" s="321"/>
      <c r="AC49" s="320"/>
      <c r="AD49" s="380"/>
      <c r="AE49" s="352"/>
      <c r="AF49" s="376">
        <f t="shared" si="46"/>
        <v>0</v>
      </c>
      <c r="AG49" s="381"/>
      <c r="AH49" s="408"/>
      <c r="AI49" s="409">
        <f t="shared" si="50"/>
        <v>0</v>
      </c>
      <c r="AJ49" s="410"/>
      <c r="AK49" s="411">
        <f t="shared" si="51"/>
        <v>0</v>
      </c>
    </row>
    <row r="50" spans="1:37" s="234" customFormat="1" ht="20.25">
      <c r="A50" s="316" t="s">
        <v>120</v>
      </c>
      <c r="B50" s="295"/>
      <c r="C50" s="295"/>
      <c r="D50" s="1075"/>
      <c r="E50" s="319"/>
      <c r="F50" s="320"/>
      <c r="G50" s="320"/>
      <c r="H50" s="321"/>
      <c r="I50" s="321"/>
      <c r="J50" s="320"/>
      <c r="K50" s="1090"/>
      <c r="L50" s="351"/>
      <c r="M50" s="352"/>
      <c r="N50" s="353"/>
      <c r="O50" s="321"/>
      <c r="P50" s="321"/>
      <c r="Q50" s="321"/>
      <c r="R50" s="321"/>
      <c r="S50" s="321"/>
      <c r="T50" s="321"/>
      <c r="U50" s="351"/>
      <c r="V50" s="352"/>
      <c r="W50" s="319"/>
      <c r="X50" s="320"/>
      <c r="Y50" s="320"/>
      <c r="Z50" s="321"/>
      <c r="AA50" s="321"/>
      <c r="AB50" s="321"/>
      <c r="AC50" s="320"/>
      <c r="AD50" s="380"/>
      <c r="AE50" s="352"/>
      <c r="AF50" s="376">
        <f t="shared" si="46"/>
        <v>0</v>
      </c>
      <c r="AG50" s="381"/>
      <c r="AH50" s="408"/>
      <c r="AI50" s="409">
        <f t="shared" si="50"/>
        <v>0</v>
      </c>
      <c r="AJ50" s="410"/>
      <c r="AK50" s="411">
        <f t="shared" si="51"/>
        <v>0</v>
      </c>
    </row>
    <row r="51" spans="1:37" s="234" customFormat="1" ht="20.25">
      <c r="A51" s="316" t="s">
        <v>120</v>
      </c>
      <c r="B51" s="295"/>
      <c r="C51" s="295"/>
      <c r="D51" s="1075"/>
      <c r="E51" s="319"/>
      <c r="F51" s="320"/>
      <c r="G51" s="320"/>
      <c r="H51" s="321"/>
      <c r="I51" s="321"/>
      <c r="J51" s="320"/>
      <c r="K51" s="1090"/>
      <c r="L51" s="351"/>
      <c r="M51" s="352"/>
      <c r="N51" s="353"/>
      <c r="O51" s="321"/>
      <c r="P51" s="321"/>
      <c r="Q51" s="321"/>
      <c r="R51" s="321"/>
      <c r="S51" s="321"/>
      <c r="T51" s="321"/>
      <c r="U51" s="351"/>
      <c r="V51" s="352"/>
      <c r="W51" s="319"/>
      <c r="X51" s="320"/>
      <c r="Y51" s="320"/>
      <c r="Z51" s="321"/>
      <c r="AA51" s="321"/>
      <c r="AB51" s="321"/>
      <c r="AC51" s="320"/>
      <c r="AD51" s="380"/>
      <c r="AE51" s="352"/>
      <c r="AF51" s="376">
        <f t="shared" si="46"/>
        <v>0</v>
      </c>
      <c r="AG51" s="381"/>
      <c r="AH51" s="408"/>
      <c r="AI51" s="409">
        <f t="shared" si="50"/>
        <v>0</v>
      </c>
      <c r="AJ51" s="410"/>
      <c r="AK51" s="411">
        <f t="shared" si="51"/>
        <v>0</v>
      </c>
    </row>
    <row r="52" spans="1:37" s="234" customFormat="1" ht="20.25">
      <c r="A52" s="316" t="s">
        <v>120</v>
      </c>
      <c r="B52" s="295"/>
      <c r="C52" s="295"/>
      <c r="D52" s="1075"/>
      <c r="E52" s="319"/>
      <c r="F52" s="320"/>
      <c r="G52" s="320"/>
      <c r="H52" s="321"/>
      <c r="I52" s="321"/>
      <c r="J52" s="320"/>
      <c r="K52" s="1090"/>
      <c r="L52" s="351"/>
      <c r="M52" s="352"/>
      <c r="N52" s="353"/>
      <c r="O52" s="321"/>
      <c r="P52" s="321"/>
      <c r="Q52" s="321"/>
      <c r="R52" s="321"/>
      <c r="S52" s="321"/>
      <c r="T52" s="321"/>
      <c r="U52" s="351"/>
      <c r="V52" s="352"/>
      <c r="W52" s="319"/>
      <c r="X52" s="320"/>
      <c r="Y52" s="320"/>
      <c r="Z52" s="321"/>
      <c r="AA52" s="321"/>
      <c r="AB52" s="321"/>
      <c r="AC52" s="320"/>
      <c r="AD52" s="380"/>
      <c r="AE52" s="352"/>
      <c r="AF52" s="376">
        <f t="shared" si="46"/>
        <v>0</v>
      </c>
      <c r="AG52" s="381"/>
      <c r="AH52" s="408"/>
      <c r="AI52" s="409">
        <f t="shared" si="50"/>
        <v>0</v>
      </c>
      <c r="AJ52" s="410"/>
      <c r="AK52" s="411">
        <f t="shared" si="51"/>
        <v>0</v>
      </c>
    </row>
    <row r="53" spans="1:37" s="234" customFormat="1" ht="20.25">
      <c r="A53" s="316" t="s">
        <v>120</v>
      </c>
      <c r="B53" s="295"/>
      <c r="C53" s="295"/>
      <c r="D53" s="1075"/>
      <c r="E53" s="319"/>
      <c r="F53" s="320"/>
      <c r="G53" s="320"/>
      <c r="H53" s="321"/>
      <c r="I53" s="321"/>
      <c r="J53" s="320"/>
      <c r="K53" s="1090"/>
      <c r="L53" s="351"/>
      <c r="M53" s="352"/>
      <c r="N53" s="353"/>
      <c r="O53" s="321"/>
      <c r="P53" s="321"/>
      <c r="Q53" s="321"/>
      <c r="R53" s="321"/>
      <c r="S53" s="321"/>
      <c r="T53" s="321"/>
      <c r="U53" s="351"/>
      <c r="V53" s="352"/>
      <c r="W53" s="319"/>
      <c r="X53" s="320"/>
      <c r="Y53" s="320"/>
      <c r="Z53" s="321"/>
      <c r="AA53" s="321"/>
      <c r="AB53" s="321"/>
      <c r="AC53" s="320"/>
      <c r="AD53" s="380"/>
      <c r="AE53" s="352"/>
      <c r="AF53" s="376">
        <f t="shared" si="46"/>
        <v>0</v>
      </c>
      <c r="AG53" s="381"/>
      <c r="AH53" s="408"/>
      <c r="AI53" s="409">
        <f t="shared" si="50"/>
        <v>0</v>
      </c>
      <c r="AJ53" s="410"/>
      <c r="AK53" s="411">
        <f t="shared" si="51"/>
        <v>0</v>
      </c>
    </row>
    <row r="54" spans="1:37" s="234" customFormat="1" ht="20.25">
      <c r="A54" s="316" t="s">
        <v>120</v>
      </c>
      <c r="B54" s="295"/>
      <c r="C54" s="295"/>
      <c r="D54" s="1075"/>
      <c r="E54" s="319"/>
      <c r="F54" s="320"/>
      <c r="G54" s="320"/>
      <c r="H54" s="321"/>
      <c r="I54" s="321"/>
      <c r="J54" s="320"/>
      <c r="K54" s="1090"/>
      <c r="L54" s="351"/>
      <c r="M54" s="352"/>
      <c r="N54" s="353"/>
      <c r="O54" s="321"/>
      <c r="P54" s="321"/>
      <c r="Q54" s="321"/>
      <c r="R54" s="321"/>
      <c r="S54" s="321"/>
      <c r="T54" s="321"/>
      <c r="U54" s="351"/>
      <c r="V54" s="352"/>
      <c r="W54" s="319"/>
      <c r="X54" s="320"/>
      <c r="Y54" s="320"/>
      <c r="Z54" s="321"/>
      <c r="AA54" s="321"/>
      <c r="AB54" s="321"/>
      <c r="AC54" s="320"/>
      <c r="AD54" s="380"/>
      <c r="AE54" s="352"/>
      <c r="AF54" s="376">
        <f t="shared" si="46"/>
        <v>0</v>
      </c>
      <c r="AG54" s="381"/>
      <c r="AH54" s="408"/>
      <c r="AI54" s="409">
        <f t="shared" ref="AI54:AI62" si="52">AF54+AG54</f>
        <v>0</v>
      </c>
      <c r="AJ54" s="410"/>
      <c r="AK54" s="411">
        <f t="shared" ref="AK54:AK62" si="53">AI54+AJ54</f>
        <v>0</v>
      </c>
    </row>
    <row r="55" spans="1:37" s="234" customFormat="1" ht="20.25">
      <c r="A55" s="316" t="s">
        <v>120</v>
      </c>
      <c r="B55" s="295"/>
      <c r="C55" s="295"/>
      <c r="D55" s="1075"/>
      <c r="E55" s="319"/>
      <c r="F55" s="320"/>
      <c r="G55" s="320"/>
      <c r="H55" s="321"/>
      <c r="I55" s="321"/>
      <c r="J55" s="320"/>
      <c r="K55" s="1090"/>
      <c r="L55" s="351"/>
      <c r="M55" s="352"/>
      <c r="N55" s="353"/>
      <c r="O55" s="321"/>
      <c r="P55" s="321"/>
      <c r="Q55" s="321"/>
      <c r="R55" s="321"/>
      <c r="S55" s="321"/>
      <c r="T55" s="321"/>
      <c r="U55" s="351"/>
      <c r="V55" s="352"/>
      <c r="W55" s="319"/>
      <c r="X55" s="320"/>
      <c r="Y55" s="320"/>
      <c r="Z55" s="321"/>
      <c r="AA55" s="321"/>
      <c r="AB55" s="321"/>
      <c r="AC55" s="320"/>
      <c r="AD55" s="380"/>
      <c r="AE55" s="352"/>
      <c r="AF55" s="376">
        <f t="shared" ref="AF55:AF70" si="54">SUM(E55:AD55)</f>
        <v>0</v>
      </c>
      <c r="AG55" s="381"/>
      <c r="AH55" s="408"/>
      <c r="AI55" s="409">
        <f t="shared" si="52"/>
        <v>0</v>
      </c>
      <c r="AJ55" s="410"/>
      <c r="AK55" s="411">
        <f t="shared" si="53"/>
        <v>0</v>
      </c>
    </row>
    <row r="56" spans="1:37" s="234" customFormat="1" ht="20.25">
      <c r="A56" s="316" t="s">
        <v>120</v>
      </c>
      <c r="B56" s="295"/>
      <c r="C56" s="295"/>
      <c r="D56" s="1075"/>
      <c r="E56" s="319"/>
      <c r="F56" s="320"/>
      <c r="G56" s="320"/>
      <c r="H56" s="321"/>
      <c r="I56" s="321"/>
      <c r="J56" s="320"/>
      <c r="K56" s="842"/>
      <c r="L56" s="351"/>
      <c r="M56" s="352"/>
      <c r="N56" s="353"/>
      <c r="O56" s="321"/>
      <c r="P56" s="321"/>
      <c r="Q56" s="321"/>
      <c r="R56" s="321"/>
      <c r="S56" s="321"/>
      <c r="T56" s="321"/>
      <c r="U56" s="351"/>
      <c r="V56" s="352"/>
      <c r="W56" s="319"/>
      <c r="X56" s="320"/>
      <c r="Y56" s="320"/>
      <c r="Z56" s="321"/>
      <c r="AA56" s="321"/>
      <c r="AB56" s="321"/>
      <c r="AC56" s="320"/>
      <c r="AD56" s="380"/>
      <c r="AE56" s="352"/>
      <c r="AF56" s="376">
        <f t="shared" si="54"/>
        <v>0</v>
      </c>
      <c r="AG56" s="381"/>
      <c r="AH56" s="408"/>
      <c r="AI56" s="409">
        <f t="shared" si="52"/>
        <v>0</v>
      </c>
      <c r="AJ56" s="410"/>
      <c r="AK56" s="411">
        <f t="shared" si="53"/>
        <v>0</v>
      </c>
    </row>
    <row r="57" spans="1:37" s="234" customFormat="1" ht="20.25">
      <c r="A57" s="316" t="s">
        <v>120</v>
      </c>
      <c r="B57" s="295"/>
      <c r="C57" s="295"/>
      <c r="D57" s="1075"/>
      <c r="E57" s="319"/>
      <c r="F57" s="1076"/>
      <c r="G57" s="320"/>
      <c r="H57" s="321"/>
      <c r="I57" s="321"/>
      <c r="J57" s="320"/>
      <c r="K57" s="842"/>
      <c r="L57" s="351"/>
      <c r="M57" s="352"/>
      <c r="N57" s="353"/>
      <c r="O57" s="321"/>
      <c r="P57" s="321"/>
      <c r="Q57" s="321"/>
      <c r="R57" s="321"/>
      <c r="S57" s="321"/>
      <c r="T57" s="321"/>
      <c r="U57" s="351"/>
      <c r="V57" s="352"/>
      <c r="W57" s="319"/>
      <c r="X57" s="320"/>
      <c r="Y57" s="320"/>
      <c r="Z57" s="321"/>
      <c r="AA57" s="321"/>
      <c r="AB57" s="321"/>
      <c r="AC57" s="320"/>
      <c r="AD57" s="380"/>
      <c r="AE57" s="352"/>
      <c r="AF57" s="376">
        <f t="shared" si="54"/>
        <v>0</v>
      </c>
      <c r="AG57" s="381"/>
      <c r="AH57" s="408"/>
      <c r="AI57" s="409">
        <f t="shared" ref="AI57:AI58" si="55">AF57+AG57</f>
        <v>0</v>
      </c>
      <c r="AJ57" s="410"/>
      <c r="AK57" s="411">
        <f t="shared" ref="AK57:AK58" si="56">AI57+AJ57</f>
        <v>0</v>
      </c>
    </row>
    <row r="58" spans="1:37" s="234" customFormat="1" ht="20.25">
      <c r="A58" s="316" t="s">
        <v>120</v>
      </c>
      <c r="B58" s="295"/>
      <c r="C58" s="295"/>
      <c r="D58" s="1075"/>
      <c r="E58" s="319"/>
      <c r="F58" s="320"/>
      <c r="G58" s="320"/>
      <c r="H58" s="321"/>
      <c r="I58" s="321"/>
      <c r="J58" s="320"/>
      <c r="K58" s="842"/>
      <c r="L58" s="351"/>
      <c r="M58" s="352"/>
      <c r="N58" s="353"/>
      <c r="O58" s="321"/>
      <c r="P58" s="321"/>
      <c r="Q58" s="321"/>
      <c r="R58" s="321"/>
      <c r="S58" s="321"/>
      <c r="T58" s="321"/>
      <c r="U58" s="351"/>
      <c r="V58" s="352"/>
      <c r="W58" s="319"/>
      <c r="X58" s="320"/>
      <c r="Y58" s="320"/>
      <c r="Z58" s="321"/>
      <c r="AA58" s="321"/>
      <c r="AB58" s="321"/>
      <c r="AC58" s="320"/>
      <c r="AD58" s="380"/>
      <c r="AE58" s="352"/>
      <c r="AF58" s="376">
        <f t="shared" si="54"/>
        <v>0</v>
      </c>
      <c r="AG58" s="381"/>
      <c r="AH58" s="408"/>
      <c r="AI58" s="409">
        <f t="shared" si="55"/>
        <v>0</v>
      </c>
      <c r="AJ58" s="410"/>
      <c r="AK58" s="411">
        <f t="shared" si="56"/>
        <v>0</v>
      </c>
    </row>
    <row r="59" spans="1:37" s="234" customFormat="1" ht="20.25">
      <c r="A59" s="316" t="s">
        <v>120</v>
      </c>
      <c r="B59" s="295"/>
      <c r="C59" s="295"/>
      <c r="D59" s="1075"/>
      <c r="E59" s="319"/>
      <c r="F59" s="320"/>
      <c r="G59" s="320"/>
      <c r="H59" s="321"/>
      <c r="I59" s="321"/>
      <c r="J59" s="320"/>
      <c r="K59" s="842"/>
      <c r="L59" s="351"/>
      <c r="M59" s="352"/>
      <c r="N59" s="353"/>
      <c r="O59" s="321"/>
      <c r="P59" s="321"/>
      <c r="Q59" s="321"/>
      <c r="R59" s="321"/>
      <c r="S59" s="321"/>
      <c r="T59" s="321"/>
      <c r="U59" s="351"/>
      <c r="V59" s="352"/>
      <c r="W59" s="319"/>
      <c r="X59" s="320"/>
      <c r="Y59" s="320"/>
      <c r="Z59" s="321"/>
      <c r="AA59" s="321"/>
      <c r="AB59" s="321"/>
      <c r="AC59" s="320"/>
      <c r="AD59" s="380"/>
      <c r="AE59" s="352"/>
      <c r="AF59" s="376">
        <f t="shared" si="54"/>
        <v>0</v>
      </c>
      <c r="AG59" s="381"/>
      <c r="AH59" s="408"/>
      <c r="AI59" s="409">
        <f t="shared" si="52"/>
        <v>0</v>
      </c>
      <c r="AJ59" s="410"/>
      <c r="AK59" s="411">
        <f t="shared" si="53"/>
        <v>0</v>
      </c>
    </row>
    <row r="60" spans="1:37" s="234" customFormat="1" ht="20.25">
      <c r="A60" s="316" t="s">
        <v>120</v>
      </c>
      <c r="B60" s="295"/>
      <c r="C60" s="295"/>
      <c r="D60" s="1075"/>
      <c r="E60" s="319"/>
      <c r="F60" s="320"/>
      <c r="G60" s="320"/>
      <c r="H60" s="321"/>
      <c r="I60" s="321"/>
      <c r="J60" s="320"/>
      <c r="K60" s="842"/>
      <c r="L60" s="351"/>
      <c r="M60" s="352"/>
      <c r="N60" s="353"/>
      <c r="O60" s="321"/>
      <c r="P60" s="321"/>
      <c r="Q60" s="321"/>
      <c r="R60" s="321"/>
      <c r="S60" s="321"/>
      <c r="T60" s="321"/>
      <c r="U60" s="351"/>
      <c r="V60" s="352"/>
      <c r="W60" s="319"/>
      <c r="X60" s="320"/>
      <c r="Y60" s="320"/>
      <c r="Z60" s="321"/>
      <c r="AA60" s="321"/>
      <c r="AB60" s="321"/>
      <c r="AC60" s="320"/>
      <c r="AD60" s="380"/>
      <c r="AE60" s="352"/>
      <c r="AF60" s="376">
        <f t="shared" si="54"/>
        <v>0</v>
      </c>
      <c r="AG60" s="381"/>
      <c r="AH60" s="408"/>
      <c r="AI60" s="409">
        <f t="shared" si="52"/>
        <v>0</v>
      </c>
      <c r="AJ60" s="410"/>
      <c r="AK60" s="411">
        <f t="shared" si="53"/>
        <v>0</v>
      </c>
    </row>
    <row r="61" spans="1:37" s="234" customFormat="1" ht="20.25">
      <c r="A61" s="316" t="s">
        <v>120</v>
      </c>
      <c r="B61" s="295"/>
      <c r="C61" s="295"/>
      <c r="D61" s="1075"/>
      <c r="E61" s="319"/>
      <c r="F61" s="320"/>
      <c r="G61" s="320"/>
      <c r="H61" s="321"/>
      <c r="I61" s="321"/>
      <c r="J61" s="320"/>
      <c r="K61" s="842"/>
      <c r="L61" s="351"/>
      <c r="M61" s="352"/>
      <c r="N61" s="353"/>
      <c r="O61" s="321"/>
      <c r="P61" s="321"/>
      <c r="Q61" s="321"/>
      <c r="R61" s="321"/>
      <c r="S61" s="321"/>
      <c r="T61" s="321"/>
      <c r="U61" s="351"/>
      <c r="V61" s="352"/>
      <c r="W61" s="319"/>
      <c r="X61" s="320"/>
      <c r="Y61" s="320"/>
      <c r="Z61" s="321"/>
      <c r="AA61" s="321"/>
      <c r="AB61" s="321"/>
      <c r="AC61" s="320"/>
      <c r="AD61" s="380"/>
      <c r="AE61" s="352"/>
      <c r="AF61" s="376">
        <f t="shared" si="54"/>
        <v>0</v>
      </c>
      <c r="AG61" s="381"/>
      <c r="AH61" s="408"/>
      <c r="AI61" s="409">
        <f t="shared" si="52"/>
        <v>0</v>
      </c>
      <c r="AJ61" s="410"/>
      <c r="AK61" s="411">
        <f t="shared" si="53"/>
        <v>0</v>
      </c>
    </row>
    <row r="62" spans="1:37" s="234" customFormat="1" ht="20.25">
      <c r="A62" s="316" t="s">
        <v>120</v>
      </c>
      <c r="B62" s="295"/>
      <c r="C62" s="295"/>
      <c r="D62" s="1075"/>
      <c r="E62" s="319"/>
      <c r="F62" s="320"/>
      <c r="G62" s="320"/>
      <c r="H62" s="321"/>
      <c r="I62" s="321"/>
      <c r="J62" s="320"/>
      <c r="K62" s="842"/>
      <c r="L62" s="351"/>
      <c r="M62" s="352"/>
      <c r="N62" s="353"/>
      <c r="O62" s="321"/>
      <c r="P62" s="321"/>
      <c r="Q62" s="321"/>
      <c r="R62" s="321"/>
      <c r="S62" s="321"/>
      <c r="T62" s="321"/>
      <c r="U62" s="351"/>
      <c r="V62" s="352"/>
      <c r="W62" s="319"/>
      <c r="X62" s="320"/>
      <c r="Y62" s="320"/>
      <c r="Z62" s="321"/>
      <c r="AA62" s="321"/>
      <c r="AB62" s="321"/>
      <c r="AC62" s="320"/>
      <c r="AD62" s="380"/>
      <c r="AE62" s="352"/>
      <c r="AF62" s="376">
        <f t="shared" si="54"/>
        <v>0</v>
      </c>
      <c r="AG62" s="381"/>
      <c r="AH62" s="408"/>
      <c r="AI62" s="409">
        <f t="shared" si="52"/>
        <v>0</v>
      </c>
      <c r="AJ62" s="410"/>
      <c r="AK62" s="411">
        <f t="shared" si="53"/>
        <v>0</v>
      </c>
    </row>
    <row r="63" spans="1:37" s="234" customFormat="1" ht="20.25">
      <c r="A63" s="316" t="s">
        <v>120</v>
      </c>
      <c r="B63" s="295"/>
      <c r="C63" s="295"/>
      <c r="D63" s="1075"/>
      <c r="E63" s="319"/>
      <c r="F63" s="320"/>
      <c r="G63" s="320"/>
      <c r="H63" s="321"/>
      <c r="I63" s="321"/>
      <c r="J63" s="320"/>
      <c r="K63" s="842"/>
      <c r="L63" s="351"/>
      <c r="M63" s="352"/>
      <c r="N63" s="353"/>
      <c r="O63" s="321"/>
      <c r="P63" s="321"/>
      <c r="Q63" s="321"/>
      <c r="R63" s="321"/>
      <c r="S63" s="321"/>
      <c r="T63" s="321"/>
      <c r="U63" s="351"/>
      <c r="V63" s="352"/>
      <c r="W63" s="319"/>
      <c r="X63" s="320"/>
      <c r="Y63" s="320"/>
      <c r="Z63" s="321"/>
      <c r="AA63" s="321"/>
      <c r="AB63" s="321"/>
      <c r="AC63" s="320"/>
      <c r="AD63" s="380"/>
      <c r="AE63" s="352"/>
      <c r="AF63" s="376">
        <f t="shared" si="54"/>
        <v>0</v>
      </c>
      <c r="AG63" s="381"/>
      <c r="AH63" s="408"/>
      <c r="AI63" s="409">
        <f t="shared" ref="AI63:AI64" si="57">AF63+AG63</f>
        <v>0</v>
      </c>
      <c r="AJ63" s="410"/>
      <c r="AK63" s="411">
        <f t="shared" ref="AK63:AK64" si="58">AI63+AJ63</f>
        <v>0</v>
      </c>
    </row>
    <row r="64" spans="1:37" s="234" customFormat="1" ht="20.25">
      <c r="A64" s="316" t="s">
        <v>120</v>
      </c>
      <c r="B64" s="295"/>
      <c r="C64" s="295"/>
      <c r="D64" s="1075"/>
      <c r="E64" s="319"/>
      <c r="F64" s="320"/>
      <c r="G64" s="320"/>
      <c r="H64" s="321"/>
      <c r="I64" s="321"/>
      <c r="J64" s="320"/>
      <c r="K64" s="842"/>
      <c r="L64" s="351"/>
      <c r="M64" s="352"/>
      <c r="N64" s="353"/>
      <c r="O64" s="321"/>
      <c r="P64" s="321"/>
      <c r="Q64" s="321"/>
      <c r="R64" s="321"/>
      <c r="S64" s="321"/>
      <c r="T64" s="321"/>
      <c r="U64" s="351"/>
      <c r="V64" s="352"/>
      <c r="W64" s="319"/>
      <c r="X64" s="320"/>
      <c r="Y64" s="320"/>
      <c r="Z64" s="321"/>
      <c r="AA64" s="321"/>
      <c r="AB64" s="321"/>
      <c r="AC64" s="320"/>
      <c r="AD64" s="380"/>
      <c r="AE64" s="352"/>
      <c r="AF64" s="376">
        <f t="shared" si="54"/>
        <v>0</v>
      </c>
      <c r="AG64" s="381"/>
      <c r="AH64" s="408"/>
      <c r="AI64" s="409">
        <f t="shared" si="57"/>
        <v>0</v>
      </c>
      <c r="AJ64" s="410"/>
      <c r="AK64" s="411">
        <f t="shared" si="58"/>
        <v>0</v>
      </c>
    </row>
    <row r="65" spans="1:40" s="234" customFormat="1" ht="20.25">
      <c r="A65" s="316" t="s">
        <v>120</v>
      </c>
      <c r="B65" s="295"/>
      <c r="C65" s="295"/>
      <c r="D65" s="1075"/>
      <c r="E65" s="319"/>
      <c r="F65" s="320"/>
      <c r="G65" s="320"/>
      <c r="H65" s="321"/>
      <c r="I65" s="321"/>
      <c r="J65" s="320"/>
      <c r="K65" s="842"/>
      <c r="L65" s="351"/>
      <c r="M65" s="352"/>
      <c r="N65" s="353"/>
      <c r="O65" s="321"/>
      <c r="P65" s="321"/>
      <c r="Q65" s="321"/>
      <c r="R65" s="321"/>
      <c r="S65" s="321"/>
      <c r="T65" s="321"/>
      <c r="U65" s="351"/>
      <c r="V65" s="352"/>
      <c r="W65" s="319"/>
      <c r="X65" s="320"/>
      <c r="Y65" s="320"/>
      <c r="Z65" s="321"/>
      <c r="AA65" s="321"/>
      <c r="AB65" s="321"/>
      <c r="AC65" s="320"/>
      <c r="AD65" s="380"/>
      <c r="AE65" s="352"/>
      <c r="AF65" s="376">
        <f t="shared" si="54"/>
        <v>0</v>
      </c>
      <c r="AG65" s="381"/>
      <c r="AH65" s="408"/>
      <c r="AI65" s="409">
        <f t="shared" si="50"/>
        <v>0</v>
      </c>
      <c r="AJ65" s="410"/>
      <c r="AK65" s="411">
        <f t="shared" si="51"/>
        <v>0</v>
      </c>
    </row>
    <row r="66" spans="1:40" s="234" customFormat="1" ht="21" thickBot="1">
      <c r="A66" s="316" t="s">
        <v>120</v>
      </c>
      <c r="B66" s="295"/>
      <c r="C66" s="295"/>
      <c r="D66" s="1075"/>
      <c r="E66" s="319"/>
      <c r="F66" s="320"/>
      <c r="G66" s="320"/>
      <c r="H66" s="321"/>
      <c r="I66" s="321"/>
      <c r="J66" s="320"/>
      <c r="K66" s="842"/>
      <c r="L66" s="351"/>
      <c r="M66" s="352"/>
      <c r="N66" s="353"/>
      <c r="O66" s="321"/>
      <c r="P66" s="321"/>
      <c r="Q66" s="321"/>
      <c r="R66" s="321"/>
      <c r="S66" s="321"/>
      <c r="T66" s="321"/>
      <c r="U66" s="351"/>
      <c r="V66" s="352"/>
      <c r="W66" s="319"/>
      <c r="X66" s="320"/>
      <c r="Y66" s="320"/>
      <c r="Z66" s="321"/>
      <c r="AA66" s="321"/>
      <c r="AB66" s="321"/>
      <c r="AC66" s="320"/>
      <c r="AD66" s="380"/>
      <c r="AE66" s="352"/>
      <c r="AF66" s="376">
        <f t="shared" si="54"/>
        <v>0</v>
      </c>
      <c r="AG66" s="381"/>
      <c r="AH66" s="408"/>
      <c r="AI66" s="409">
        <f t="shared" si="50"/>
        <v>0</v>
      </c>
      <c r="AJ66" s="410"/>
      <c r="AK66" s="411">
        <f t="shared" si="51"/>
        <v>0</v>
      </c>
    </row>
    <row r="67" spans="1:40" s="283" customFormat="1" ht="21" thickBot="1">
      <c r="A67" s="316" t="s">
        <v>120</v>
      </c>
      <c r="B67" s="295"/>
      <c r="C67" s="295"/>
      <c r="D67" s="1075"/>
      <c r="E67" s="319"/>
      <c r="F67" s="320"/>
      <c r="G67" s="320"/>
      <c r="H67" s="321"/>
      <c r="I67" s="321"/>
      <c r="J67" s="320"/>
      <c r="K67" s="842"/>
      <c r="L67" s="351"/>
      <c r="M67" s="352"/>
      <c r="N67" s="353"/>
      <c r="O67" s="321"/>
      <c r="P67" s="321"/>
      <c r="Q67" s="321"/>
      <c r="R67" s="321"/>
      <c r="S67" s="321"/>
      <c r="T67" s="321"/>
      <c r="U67" s="351"/>
      <c r="V67" s="352"/>
      <c r="W67" s="319"/>
      <c r="X67" s="320"/>
      <c r="Y67" s="320"/>
      <c r="Z67" s="321"/>
      <c r="AA67" s="321"/>
      <c r="AB67" s="321"/>
      <c r="AC67" s="320"/>
      <c r="AD67" s="380"/>
      <c r="AE67" s="352"/>
      <c r="AF67" s="376">
        <f t="shared" si="54"/>
        <v>0</v>
      </c>
      <c r="AG67" s="381"/>
      <c r="AH67" s="408"/>
      <c r="AI67" s="409">
        <f t="shared" si="50"/>
        <v>0</v>
      </c>
      <c r="AJ67" s="410"/>
      <c r="AK67" s="411">
        <f t="shared" si="51"/>
        <v>0</v>
      </c>
      <c r="AL67" s="414" t="s">
        <v>8</v>
      </c>
      <c r="AM67" s="397" t="s">
        <v>23</v>
      </c>
      <c r="AN67" s="415" t="s">
        <v>174</v>
      </c>
    </row>
    <row r="68" spans="1:40" s="284" customFormat="1" ht="21" thickBot="1">
      <c r="A68" s="316" t="s">
        <v>120</v>
      </c>
      <c r="B68" s="295"/>
      <c r="C68" s="295"/>
      <c r="D68" s="1075"/>
      <c r="E68" s="319"/>
      <c r="F68" s="320"/>
      <c r="G68" s="320"/>
      <c r="H68" s="321"/>
      <c r="I68" s="321"/>
      <c r="J68" s="320"/>
      <c r="K68" s="842"/>
      <c r="L68" s="351"/>
      <c r="M68" s="352"/>
      <c r="N68" s="353"/>
      <c r="O68" s="321"/>
      <c r="P68" s="321"/>
      <c r="Q68" s="321"/>
      <c r="R68" s="321"/>
      <c r="S68" s="321"/>
      <c r="T68" s="321"/>
      <c r="U68" s="351"/>
      <c r="V68" s="352"/>
      <c r="W68" s="319"/>
      <c r="X68" s="320"/>
      <c r="Y68" s="320"/>
      <c r="Z68" s="321"/>
      <c r="AA68" s="321"/>
      <c r="AB68" s="321"/>
      <c r="AC68" s="320"/>
      <c r="AD68" s="380"/>
      <c r="AE68" s="352"/>
      <c r="AF68" s="376">
        <f t="shared" si="54"/>
        <v>0</v>
      </c>
      <c r="AG68" s="381"/>
      <c r="AH68" s="408"/>
      <c r="AI68" s="409">
        <f t="shared" ref="AI68" si="59">AF68+AG68</f>
        <v>0</v>
      </c>
      <c r="AJ68" s="410"/>
      <c r="AK68" s="411">
        <f t="shared" ref="AK68" si="60">AI68+AJ68</f>
        <v>0</v>
      </c>
      <c r="AL68" s="399">
        <f>'BIG CHAIR'!CL77</f>
        <v>14560</v>
      </c>
      <c r="AM68" s="400">
        <f>'Tea Table'!X85</f>
        <v>0</v>
      </c>
      <c r="AN68" s="401">
        <f>AI71+AL68+AM68</f>
        <v>14560</v>
      </c>
    </row>
    <row r="69" spans="1:40" s="284" customFormat="1" ht="20.25">
      <c r="A69" s="316" t="s">
        <v>120</v>
      </c>
      <c r="B69" s="295"/>
      <c r="C69" s="295"/>
      <c r="D69" s="1077"/>
      <c r="E69" s="319"/>
      <c r="F69" s="320"/>
      <c r="G69" s="320"/>
      <c r="H69" s="321"/>
      <c r="I69" s="321"/>
      <c r="J69" s="320"/>
      <c r="K69" s="842"/>
      <c r="L69" s="351"/>
      <c r="M69" s="352"/>
      <c r="N69" s="353"/>
      <c r="O69" s="321"/>
      <c r="P69" s="321"/>
      <c r="Q69" s="321"/>
      <c r="R69" s="321"/>
      <c r="S69" s="321"/>
      <c r="T69" s="321"/>
      <c r="U69" s="351"/>
      <c r="V69" s="352"/>
      <c r="W69" s="319"/>
      <c r="X69" s="320"/>
      <c r="Y69" s="320"/>
      <c r="Z69" s="321"/>
      <c r="AA69" s="321"/>
      <c r="AB69" s="321"/>
      <c r="AC69" s="320"/>
      <c r="AD69" s="380"/>
      <c r="AE69" s="352"/>
      <c r="AF69" s="376">
        <f t="shared" si="54"/>
        <v>0</v>
      </c>
      <c r="AG69" s="381"/>
      <c r="AH69" s="408"/>
      <c r="AI69" s="409">
        <f t="shared" si="47"/>
        <v>0</v>
      </c>
      <c r="AJ69" s="410"/>
      <c r="AK69" s="411">
        <f t="shared" si="49"/>
        <v>0</v>
      </c>
      <c r="AL69" s="403"/>
      <c r="AM69" s="403"/>
      <c r="AN69" s="403"/>
    </row>
    <row r="70" spans="1:40" s="282" customFormat="1" ht="21" thickBot="1">
      <c r="A70" s="322"/>
      <c r="B70" s="323"/>
      <c r="C70" s="323"/>
      <c r="D70" s="1078"/>
      <c r="E70" s="325"/>
      <c r="F70" s="297"/>
      <c r="G70" s="297"/>
      <c r="H70" s="298"/>
      <c r="I70" s="298"/>
      <c r="J70" s="297"/>
      <c r="K70" s="1086"/>
      <c r="L70" s="367"/>
      <c r="M70" s="355"/>
      <c r="N70" s="343"/>
      <c r="O70" s="298"/>
      <c r="P70" s="298"/>
      <c r="Q70" s="298"/>
      <c r="R70" s="298"/>
      <c r="S70" s="298"/>
      <c r="T70" s="298"/>
      <c r="U70" s="367"/>
      <c r="V70" s="355"/>
      <c r="W70" s="325"/>
      <c r="X70" s="297"/>
      <c r="Y70" s="297"/>
      <c r="Z70" s="298"/>
      <c r="AA70" s="298"/>
      <c r="AB70" s="298"/>
      <c r="AC70" s="297"/>
      <c r="AD70" s="375"/>
      <c r="AE70" s="355"/>
      <c r="AF70" s="376">
        <f t="shared" si="54"/>
        <v>0</v>
      </c>
      <c r="AG70" s="377"/>
      <c r="AH70" s="390"/>
      <c r="AI70" s="391">
        <f t="shared" si="47"/>
        <v>0</v>
      </c>
      <c r="AJ70" s="412"/>
      <c r="AK70" s="413">
        <f t="shared" si="49"/>
        <v>0</v>
      </c>
    </row>
    <row r="71" spans="1:40" s="234" customFormat="1" ht="19.5" thickBot="1">
      <c r="A71" s="326" t="s">
        <v>177</v>
      </c>
      <c r="B71" s="327"/>
      <c r="C71" s="327"/>
      <c r="D71" s="328"/>
      <c r="E71" s="329">
        <f>SUM(E38:E70)</f>
        <v>0</v>
      </c>
      <c r="F71" s="329">
        <f t="shared" ref="F71:L71" si="61">SUM(F38:F70)</f>
        <v>0</v>
      </c>
      <c r="G71" s="329">
        <f t="shared" si="61"/>
        <v>0</v>
      </c>
      <c r="H71" s="329">
        <f t="shared" si="61"/>
        <v>0</v>
      </c>
      <c r="I71" s="329">
        <f t="shared" si="61"/>
        <v>0</v>
      </c>
      <c r="J71" s="329">
        <f t="shared" si="61"/>
        <v>0</v>
      </c>
      <c r="K71" s="329">
        <f t="shared" si="61"/>
        <v>0</v>
      </c>
      <c r="L71" s="329">
        <f t="shared" si="61"/>
        <v>0</v>
      </c>
      <c r="M71" s="357"/>
      <c r="N71" s="358">
        <f>SUM(N38:N70)</f>
        <v>0</v>
      </c>
      <c r="O71" s="358">
        <f t="shared" ref="O71:U71" si="62">SUM(O38:O70)</f>
        <v>0</v>
      </c>
      <c r="P71" s="358">
        <f t="shared" si="62"/>
        <v>0</v>
      </c>
      <c r="Q71" s="358">
        <f t="shared" si="62"/>
        <v>0</v>
      </c>
      <c r="R71" s="358">
        <f t="shared" si="62"/>
        <v>0</v>
      </c>
      <c r="S71" s="358">
        <f t="shared" si="62"/>
        <v>0</v>
      </c>
      <c r="T71" s="358">
        <f t="shared" si="62"/>
        <v>0</v>
      </c>
      <c r="U71" s="358">
        <f t="shared" si="62"/>
        <v>0</v>
      </c>
      <c r="V71" s="357"/>
      <c r="W71" s="358">
        <f>SUM(W38:W70)</f>
        <v>0</v>
      </c>
      <c r="X71" s="358">
        <f t="shared" ref="X71:AD71" si="63">SUM(X38:X70)</f>
        <v>0</v>
      </c>
      <c r="Y71" s="358">
        <f t="shared" si="63"/>
        <v>0</v>
      </c>
      <c r="Z71" s="358">
        <f t="shared" si="63"/>
        <v>0</v>
      </c>
      <c r="AA71" s="358">
        <f t="shared" si="63"/>
        <v>0</v>
      </c>
      <c r="AB71" s="358">
        <f t="shared" si="63"/>
        <v>0</v>
      </c>
      <c r="AC71" s="358">
        <f t="shared" si="63"/>
        <v>0</v>
      </c>
      <c r="AD71" s="358">
        <f t="shared" si="63"/>
        <v>0</v>
      </c>
      <c r="AE71" s="357"/>
      <c r="AF71" s="382">
        <f>SUM(AF38:AF70)</f>
        <v>0</v>
      </c>
      <c r="AG71" s="382">
        <f>SUM(AG38:AG70)</f>
        <v>0</v>
      </c>
      <c r="AH71" s="416">
        <f t="shared" ref="AH71" si="64">SUM(AH39:AH70)</f>
        <v>0</v>
      </c>
      <c r="AI71" s="417">
        <f>SUM(AI38:AI70)</f>
        <v>0</v>
      </c>
      <c r="AJ71" s="382">
        <f>SUM(AJ38:AJ70)</f>
        <v>0</v>
      </c>
      <c r="AK71" s="418">
        <f>SUM(AK38:AK70)</f>
        <v>0</v>
      </c>
    </row>
    <row r="72" spans="1:40" s="234" customFormat="1" ht="19.5" thickBot="1">
      <c r="A72" s="306"/>
      <c r="B72" s="307"/>
      <c r="C72" s="307"/>
      <c r="D72" s="308"/>
      <c r="E72" s="309"/>
      <c r="F72" s="309"/>
      <c r="G72" s="309"/>
      <c r="H72" s="309"/>
      <c r="I72" s="309"/>
      <c r="J72" s="309"/>
      <c r="K72" s="309"/>
      <c r="L72" s="309"/>
      <c r="M72" s="346"/>
      <c r="N72" s="347"/>
      <c r="O72" s="347"/>
      <c r="P72" s="347"/>
      <c r="Q72" s="347"/>
      <c r="R72" s="347"/>
      <c r="S72" s="347"/>
      <c r="T72" s="347"/>
      <c r="U72" s="347"/>
      <c r="V72" s="346"/>
      <c r="W72" s="347"/>
      <c r="X72" s="347"/>
      <c r="Y72" s="347"/>
      <c r="Z72" s="347"/>
      <c r="AA72" s="347"/>
      <c r="AB72" s="347"/>
      <c r="AC72" s="347"/>
      <c r="AD72" s="347"/>
      <c r="AE72" s="346"/>
      <c r="AF72" s="347"/>
      <c r="AG72" s="347"/>
      <c r="AH72" s="347"/>
      <c r="AI72" s="347"/>
      <c r="AJ72" s="347"/>
      <c r="AK72" s="402"/>
    </row>
    <row r="73" spans="1:40" s="234" customFormat="1" ht="24" thickBot="1">
      <c r="A73" s="286" t="s">
        <v>122</v>
      </c>
      <c r="B73" s="287" t="s">
        <v>68</v>
      </c>
      <c r="C73" s="287" t="s">
        <v>69</v>
      </c>
      <c r="D73" s="1073" t="s">
        <v>70</v>
      </c>
      <c r="E73" s="743" t="s">
        <v>96</v>
      </c>
      <c r="F73" s="744" t="s">
        <v>124</v>
      </c>
      <c r="G73" s="744" t="s">
        <v>228</v>
      </c>
      <c r="H73" s="744" t="s">
        <v>149</v>
      </c>
      <c r="I73" s="744" t="s">
        <v>470</v>
      </c>
      <c r="J73" s="744" t="s">
        <v>92</v>
      </c>
      <c r="K73" s="50" t="s">
        <v>479</v>
      </c>
      <c r="L73" s="783" t="s">
        <v>123</v>
      </c>
      <c r="M73" s="1089"/>
      <c r="N73" s="80" t="s">
        <v>71</v>
      </c>
      <c r="O73" s="49" t="s">
        <v>53</v>
      </c>
      <c r="P73" s="49" t="s">
        <v>118</v>
      </c>
      <c r="Q73" s="49" t="s">
        <v>74</v>
      </c>
      <c r="R73" s="49" t="s">
        <v>75</v>
      </c>
      <c r="S73" s="49" t="s">
        <v>94</v>
      </c>
      <c r="T73" s="126" t="s">
        <v>77</v>
      </c>
      <c r="U73" s="171" t="s">
        <v>101</v>
      </c>
      <c r="V73" s="79"/>
      <c r="W73" s="80" t="s">
        <v>482</v>
      </c>
      <c r="X73" s="743" t="s">
        <v>96</v>
      </c>
      <c r="Y73" s="744" t="s">
        <v>118</v>
      </c>
      <c r="Z73" s="744" t="s">
        <v>548</v>
      </c>
      <c r="AA73" s="744" t="s">
        <v>75</v>
      </c>
      <c r="AB73" s="744" t="s">
        <v>53</v>
      </c>
      <c r="AC73" s="783" t="s">
        <v>230</v>
      </c>
      <c r="AD73" s="372" t="s">
        <v>95</v>
      </c>
      <c r="AE73" s="370"/>
      <c r="AF73" s="371" t="s">
        <v>172</v>
      </c>
      <c r="AG73" s="372" t="s">
        <v>80</v>
      </c>
      <c r="AH73" s="385"/>
      <c r="AI73" s="386" t="s">
        <v>106</v>
      </c>
      <c r="AJ73" s="385" t="s">
        <v>173</v>
      </c>
      <c r="AK73" s="371" t="s">
        <v>108</v>
      </c>
    </row>
    <row r="74" spans="1:40" s="234" customFormat="1" ht="20.25">
      <c r="A74" s="316" t="s">
        <v>125</v>
      </c>
      <c r="B74" s="317"/>
      <c r="C74" s="317"/>
      <c r="D74" s="1077"/>
      <c r="E74" s="319"/>
      <c r="F74" s="320"/>
      <c r="G74" s="320"/>
      <c r="H74" s="321"/>
      <c r="I74" s="321"/>
      <c r="J74" s="320"/>
      <c r="K74" s="1090"/>
      <c r="L74" s="363"/>
      <c r="M74" s="352"/>
      <c r="N74" s="353"/>
      <c r="O74" s="320"/>
      <c r="P74" s="320"/>
      <c r="Q74" s="321"/>
      <c r="R74" s="321"/>
      <c r="S74" s="321"/>
      <c r="T74" s="320"/>
      <c r="U74" s="351"/>
      <c r="V74" s="352"/>
      <c r="W74" s="362"/>
      <c r="X74" s="334"/>
      <c r="Y74" s="334"/>
      <c r="Z74" s="334"/>
      <c r="AA74" s="334"/>
      <c r="AB74" s="334"/>
      <c r="AC74" s="334"/>
      <c r="AD74" s="380"/>
      <c r="AE74" s="352"/>
      <c r="AF74" s="381">
        <f>SUM(E74:AD74)</f>
        <v>0</v>
      </c>
      <c r="AG74" s="381"/>
      <c r="AH74" s="408"/>
      <c r="AI74" s="409">
        <f>AF74+AG74</f>
        <v>0</v>
      </c>
      <c r="AJ74" s="410"/>
      <c r="AK74" s="411">
        <f>AI74+AJ74</f>
        <v>0</v>
      </c>
    </row>
    <row r="75" spans="1:40" s="234" customFormat="1" ht="20.25">
      <c r="A75" s="316" t="s">
        <v>125</v>
      </c>
      <c r="B75" s="295"/>
      <c r="C75" s="295"/>
      <c r="D75" s="1077"/>
      <c r="E75" s="319"/>
      <c r="F75" s="320"/>
      <c r="G75" s="320"/>
      <c r="H75" s="321"/>
      <c r="I75" s="321"/>
      <c r="J75" s="320"/>
      <c r="K75" s="1090"/>
      <c r="L75" s="363"/>
      <c r="M75" s="352"/>
      <c r="N75" s="353"/>
      <c r="O75" s="321"/>
      <c r="P75" s="321"/>
      <c r="Q75" s="321"/>
      <c r="R75" s="321"/>
      <c r="S75" s="321"/>
      <c r="T75" s="321"/>
      <c r="U75" s="351"/>
      <c r="V75" s="352"/>
      <c r="W75" s="319"/>
      <c r="X75" s="320"/>
      <c r="Y75" s="320"/>
      <c r="Z75" s="321"/>
      <c r="AA75" s="321"/>
      <c r="AB75" s="321"/>
      <c r="AC75" s="320"/>
      <c r="AD75" s="380"/>
      <c r="AE75" s="352"/>
      <c r="AF75" s="381">
        <f>SUM(E75:AD75)</f>
        <v>0</v>
      </c>
      <c r="AG75" s="381"/>
      <c r="AH75" s="408"/>
      <c r="AI75" s="409">
        <f>AF75+AG75</f>
        <v>0</v>
      </c>
      <c r="AJ75" s="410"/>
      <c r="AK75" s="411">
        <f>AI75+AJ75</f>
        <v>0</v>
      </c>
    </row>
    <row r="76" spans="1:40" s="234" customFormat="1" ht="20.25">
      <c r="A76" s="316" t="s">
        <v>125</v>
      </c>
      <c r="B76" s="295"/>
      <c r="C76" s="295"/>
      <c r="D76" s="1077"/>
      <c r="E76" s="319"/>
      <c r="F76" s="320"/>
      <c r="G76" s="320"/>
      <c r="H76" s="321"/>
      <c r="I76" s="321"/>
      <c r="J76" s="320"/>
      <c r="K76" s="1090"/>
      <c r="L76" s="363"/>
      <c r="M76" s="352"/>
      <c r="N76" s="353"/>
      <c r="O76" s="321"/>
      <c r="P76" s="321"/>
      <c r="Q76" s="321"/>
      <c r="R76" s="321"/>
      <c r="S76" s="321"/>
      <c r="T76" s="321"/>
      <c r="U76" s="351"/>
      <c r="V76" s="352"/>
      <c r="W76" s="319"/>
      <c r="X76" s="320"/>
      <c r="Y76" s="320"/>
      <c r="Z76" s="321"/>
      <c r="AA76" s="321"/>
      <c r="AB76" s="321"/>
      <c r="AC76" s="320"/>
      <c r="AD76" s="380"/>
      <c r="AE76" s="352"/>
      <c r="AF76" s="381">
        <f>SUM(E76:AD76)</f>
        <v>0</v>
      </c>
      <c r="AG76" s="381"/>
      <c r="AH76" s="408"/>
      <c r="AI76" s="409">
        <f>AF76+AG76</f>
        <v>0</v>
      </c>
      <c r="AJ76" s="410"/>
      <c r="AK76" s="411">
        <f>AI76+AJ76</f>
        <v>0</v>
      </c>
    </row>
    <row r="77" spans="1:40" s="234" customFormat="1" ht="20.25">
      <c r="A77" s="316" t="s">
        <v>125</v>
      </c>
      <c r="B77" s="295"/>
      <c r="C77" s="295"/>
      <c r="D77" s="1077"/>
      <c r="E77" s="319"/>
      <c r="F77" s="320"/>
      <c r="G77" s="320"/>
      <c r="H77" s="321"/>
      <c r="I77" s="321"/>
      <c r="J77" s="320"/>
      <c r="K77" s="1091"/>
      <c r="L77" s="363"/>
      <c r="M77" s="352"/>
      <c r="N77" s="353"/>
      <c r="O77" s="321"/>
      <c r="P77" s="321"/>
      <c r="Q77" s="321"/>
      <c r="R77" s="321"/>
      <c r="S77" s="321"/>
      <c r="T77" s="321"/>
      <c r="U77" s="351"/>
      <c r="V77" s="352"/>
      <c r="W77" s="319"/>
      <c r="X77" s="320"/>
      <c r="Y77" s="320"/>
      <c r="Z77" s="321"/>
      <c r="AA77" s="321"/>
      <c r="AB77" s="321"/>
      <c r="AC77" s="320"/>
      <c r="AD77" s="380"/>
      <c r="AE77" s="352"/>
      <c r="AF77" s="381">
        <f>SUM(E77:AD77)</f>
        <v>0</v>
      </c>
      <c r="AG77" s="381"/>
      <c r="AH77" s="408"/>
      <c r="AI77" s="409">
        <f>AF77+AG77</f>
        <v>0</v>
      </c>
      <c r="AJ77" s="410"/>
      <c r="AK77" s="411">
        <f>AI77+AJ77</f>
        <v>0</v>
      </c>
    </row>
    <row r="78" spans="1:40" s="234" customFormat="1" ht="20.25">
      <c r="A78" s="316" t="s">
        <v>125</v>
      </c>
      <c r="B78" s="295"/>
      <c r="C78" s="295"/>
      <c r="D78" s="1077"/>
      <c r="E78" s="319"/>
      <c r="F78" s="320"/>
      <c r="G78" s="320"/>
      <c r="H78" s="321"/>
      <c r="I78" s="321"/>
      <c r="J78" s="320"/>
      <c r="K78" s="1090"/>
      <c r="L78" s="363"/>
      <c r="M78" s="352"/>
      <c r="N78" s="353"/>
      <c r="O78" s="321"/>
      <c r="P78" s="321"/>
      <c r="Q78" s="321"/>
      <c r="R78" s="321"/>
      <c r="S78" s="321"/>
      <c r="T78" s="321"/>
      <c r="U78" s="351"/>
      <c r="V78" s="352"/>
      <c r="W78" s="319"/>
      <c r="X78" s="320"/>
      <c r="Y78" s="320"/>
      <c r="Z78" s="321"/>
      <c r="AA78" s="321"/>
      <c r="AB78" s="321"/>
      <c r="AC78" s="320"/>
      <c r="AD78" s="380"/>
      <c r="AE78" s="352"/>
      <c r="AF78" s="381">
        <f>SUM(E78:AD78)</f>
        <v>0</v>
      </c>
      <c r="AG78" s="381"/>
      <c r="AH78" s="408"/>
      <c r="AI78" s="409">
        <f>AF78+AG78</f>
        <v>0</v>
      </c>
      <c r="AJ78" s="410"/>
      <c r="AK78" s="411">
        <f>AI78+AJ78</f>
        <v>0</v>
      </c>
    </row>
    <row r="79" spans="1:40" s="234" customFormat="1" ht="20.25">
      <c r="A79" s="316" t="s">
        <v>125</v>
      </c>
      <c r="B79" s="295"/>
      <c r="C79" s="295"/>
      <c r="D79" s="1077"/>
      <c r="E79" s="319"/>
      <c r="F79" s="320"/>
      <c r="G79" s="320"/>
      <c r="H79" s="321"/>
      <c r="I79" s="321"/>
      <c r="J79" s="320"/>
      <c r="K79" s="1090"/>
      <c r="L79" s="363"/>
      <c r="M79" s="352"/>
      <c r="N79" s="353"/>
      <c r="O79" s="321"/>
      <c r="P79" s="321"/>
      <c r="Q79" s="321"/>
      <c r="R79" s="321"/>
      <c r="S79" s="321"/>
      <c r="T79" s="321"/>
      <c r="U79" s="351"/>
      <c r="V79" s="352"/>
      <c r="W79" s="319"/>
      <c r="X79" s="320"/>
      <c r="Y79" s="320"/>
      <c r="Z79" s="321"/>
      <c r="AA79" s="321"/>
      <c r="AB79" s="321"/>
      <c r="AC79" s="320"/>
      <c r="AD79" s="380"/>
      <c r="AE79" s="352"/>
      <c r="AF79" s="381">
        <f t="shared" ref="AF79:AF80" si="65">SUM(E79:AD79)</f>
        <v>0</v>
      </c>
      <c r="AG79" s="381"/>
      <c r="AH79" s="408"/>
      <c r="AI79" s="409">
        <f t="shared" ref="AI79:AI81" si="66">AF79+AG79</f>
        <v>0</v>
      </c>
      <c r="AJ79" s="410"/>
      <c r="AK79" s="411">
        <f t="shared" ref="AK79:AK81" si="67">AI79+AJ79</f>
        <v>0</v>
      </c>
    </row>
    <row r="80" spans="1:40" s="234" customFormat="1" ht="20.25">
      <c r="A80" s="316" t="s">
        <v>125</v>
      </c>
      <c r="B80" s="295"/>
      <c r="C80" s="295"/>
      <c r="D80" s="1077"/>
      <c r="E80" s="319"/>
      <c r="F80" s="320"/>
      <c r="G80" s="320"/>
      <c r="H80" s="321"/>
      <c r="I80" s="321"/>
      <c r="J80" s="320"/>
      <c r="K80" s="1090"/>
      <c r="L80" s="351"/>
      <c r="M80" s="352"/>
      <c r="N80" s="353"/>
      <c r="O80" s="321"/>
      <c r="P80" s="321"/>
      <c r="Q80" s="321"/>
      <c r="R80" s="321"/>
      <c r="S80" s="321"/>
      <c r="T80" s="321"/>
      <c r="U80" s="351"/>
      <c r="V80" s="352"/>
      <c r="W80" s="319"/>
      <c r="X80" s="320"/>
      <c r="Y80" s="320"/>
      <c r="Z80" s="321"/>
      <c r="AA80" s="321"/>
      <c r="AB80" s="321"/>
      <c r="AC80" s="320"/>
      <c r="AD80" s="380"/>
      <c r="AE80" s="352"/>
      <c r="AF80" s="381">
        <f t="shared" si="65"/>
        <v>0</v>
      </c>
      <c r="AG80" s="381"/>
      <c r="AH80" s="408"/>
      <c r="AI80" s="409">
        <f t="shared" si="66"/>
        <v>0</v>
      </c>
      <c r="AJ80" s="410"/>
      <c r="AK80" s="411">
        <f t="shared" si="67"/>
        <v>0</v>
      </c>
    </row>
    <row r="81" spans="1:37" s="234" customFormat="1" ht="20.25">
      <c r="A81" s="316" t="s">
        <v>125</v>
      </c>
      <c r="B81" s="295"/>
      <c r="C81" s="295"/>
      <c r="D81" s="1077"/>
      <c r="E81" s="319"/>
      <c r="F81" s="320"/>
      <c r="G81" s="320"/>
      <c r="H81" s="321"/>
      <c r="I81" s="321"/>
      <c r="J81" s="320"/>
      <c r="K81" s="1090"/>
      <c r="L81" s="351"/>
      <c r="M81" s="352"/>
      <c r="N81" s="353"/>
      <c r="O81" s="321"/>
      <c r="P81" s="321"/>
      <c r="Q81" s="321"/>
      <c r="R81" s="321"/>
      <c r="S81" s="321"/>
      <c r="T81" s="321"/>
      <c r="U81" s="351"/>
      <c r="V81" s="352"/>
      <c r="W81" s="319"/>
      <c r="X81" s="320"/>
      <c r="Y81" s="320"/>
      <c r="Z81" s="321"/>
      <c r="AA81" s="321"/>
      <c r="AB81" s="321"/>
      <c r="AC81" s="320"/>
      <c r="AD81" s="380"/>
      <c r="AE81" s="352"/>
      <c r="AF81" s="381">
        <f t="shared" ref="AF81:AF85" si="68">SUM(E81:AD81)</f>
        <v>0</v>
      </c>
      <c r="AG81" s="381"/>
      <c r="AH81" s="408"/>
      <c r="AI81" s="409">
        <f t="shared" si="66"/>
        <v>0</v>
      </c>
      <c r="AJ81" s="410"/>
      <c r="AK81" s="411">
        <f t="shared" si="67"/>
        <v>0</v>
      </c>
    </row>
    <row r="82" spans="1:37" s="234" customFormat="1" ht="20.25">
      <c r="A82" s="316" t="s">
        <v>125</v>
      </c>
      <c r="B82" s="295"/>
      <c r="C82" s="295"/>
      <c r="D82" s="1077"/>
      <c r="E82" s="319"/>
      <c r="F82" s="320"/>
      <c r="G82" s="320"/>
      <c r="H82" s="321"/>
      <c r="I82" s="321"/>
      <c r="J82" s="320"/>
      <c r="K82" s="1090"/>
      <c r="L82" s="351"/>
      <c r="M82" s="352"/>
      <c r="N82" s="353"/>
      <c r="O82" s="321"/>
      <c r="P82" s="321"/>
      <c r="Q82" s="321"/>
      <c r="R82" s="321"/>
      <c r="S82" s="321"/>
      <c r="T82" s="321"/>
      <c r="U82" s="351"/>
      <c r="V82" s="352"/>
      <c r="W82" s="319"/>
      <c r="X82" s="320"/>
      <c r="Y82" s="320"/>
      <c r="Z82" s="321"/>
      <c r="AA82" s="321"/>
      <c r="AB82" s="321"/>
      <c r="AC82" s="320"/>
      <c r="AD82" s="380"/>
      <c r="AE82" s="352"/>
      <c r="AF82" s="381">
        <f t="shared" si="68"/>
        <v>0</v>
      </c>
      <c r="AG82" s="381"/>
      <c r="AH82" s="408"/>
      <c r="AI82" s="409">
        <f t="shared" ref="AI82:AI89" si="69">AF82+AG82</f>
        <v>0</v>
      </c>
      <c r="AJ82" s="410"/>
      <c r="AK82" s="411">
        <f t="shared" ref="AK82:AK89" si="70">AI82+AJ82</f>
        <v>0</v>
      </c>
    </row>
    <row r="83" spans="1:37" s="234" customFormat="1" ht="20.25">
      <c r="A83" s="316" t="s">
        <v>125</v>
      </c>
      <c r="B83" s="295"/>
      <c r="C83" s="295"/>
      <c r="D83" s="1077"/>
      <c r="E83" s="319"/>
      <c r="F83" s="320"/>
      <c r="G83" s="320"/>
      <c r="H83" s="321"/>
      <c r="I83" s="321"/>
      <c r="J83" s="320"/>
      <c r="K83" s="1090"/>
      <c r="L83" s="351"/>
      <c r="M83" s="352"/>
      <c r="N83" s="353"/>
      <c r="O83" s="321"/>
      <c r="P83" s="321"/>
      <c r="Q83" s="321"/>
      <c r="R83" s="321"/>
      <c r="S83" s="321"/>
      <c r="T83" s="321"/>
      <c r="U83" s="351"/>
      <c r="V83" s="352"/>
      <c r="W83" s="319"/>
      <c r="X83" s="320"/>
      <c r="Y83" s="320"/>
      <c r="Z83" s="321"/>
      <c r="AA83" s="321"/>
      <c r="AB83" s="321"/>
      <c r="AC83" s="320"/>
      <c r="AD83" s="380"/>
      <c r="AE83" s="352"/>
      <c r="AF83" s="381">
        <f t="shared" si="68"/>
        <v>0</v>
      </c>
      <c r="AG83" s="381"/>
      <c r="AH83" s="408"/>
      <c r="AI83" s="409">
        <f t="shared" si="69"/>
        <v>0</v>
      </c>
      <c r="AJ83" s="410"/>
      <c r="AK83" s="411">
        <f t="shared" si="70"/>
        <v>0</v>
      </c>
    </row>
    <row r="84" spans="1:37" s="234" customFormat="1" ht="20.25">
      <c r="A84" s="316" t="s">
        <v>125</v>
      </c>
      <c r="B84" s="295"/>
      <c r="C84" s="295"/>
      <c r="D84" s="1077"/>
      <c r="E84" s="319"/>
      <c r="F84" s="320"/>
      <c r="G84" s="320"/>
      <c r="H84" s="321"/>
      <c r="I84" s="321"/>
      <c r="J84" s="320"/>
      <c r="K84" s="1090"/>
      <c r="L84" s="351"/>
      <c r="M84" s="352"/>
      <c r="N84" s="353"/>
      <c r="O84" s="321"/>
      <c r="P84" s="321"/>
      <c r="Q84" s="321"/>
      <c r="R84" s="321"/>
      <c r="S84" s="321"/>
      <c r="T84" s="321"/>
      <c r="U84" s="351"/>
      <c r="V84" s="352"/>
      <c r="W84" s="319"/>
      <c r="X84" s="320"/>
      <c r="Y84" s="320"/>
      <c r="Z84" s="321"/>
      <c r="AA84" s="321"/>
      <c r="AB84" s="321"/>
      <c r="AC84" s="320"/>
      <c r="AD84" s="380"/>
      <c r="AE84" s="352"/>
      <c r="AF84" s="381">
        <f t="shared" si="68"/>
        <v>0</v>
      </c>
      <c r="AG84" s="381"/>
      <c r="AH84" s="408"/>
      <c r="AI84" s="409">
        <f t="shared" si="69"/>
        <v>0</v>
      </c>
      <c r="AJ84" s="410"/>
      <c r="AK84" s="411">
        <f t="shared" si="70"/>
        <v>0</v>
      </c>
    </row>
    <row r="85" spans="1:37" s="234" customFormat="1" ht="20.25">
      <c r="A85" s="316" t="s">
        <v>125</v>
      </c>
      <c r="B85" s="295"/>
      <c r="C85" s="295"/>
      <c r="D85" s="1077"/>
      <c r="E85" s="319"/>
      <c r="F85" s="320"/>
      <c r="G85" s="320"/>
      <c r="H85" s="321"/>
      <c r="I85" s="321"/>
      <c r="J85" s="320"/>
      <c r="K85" s="1090"/>
      <c r="L85" s="351"/>
      <c r="M85" s="352"/>
      <c r="N85" s="353"/>
      <c r="O85" s="321"/>
      <c r="P85" s="321"/>
      <c r="Q85" s="321"/>
      <c r="R85" s="321"/>
      <c r="S85" s="321"/>
      <c r="T85" s="321"/>
      <c r="U85" s="351"/>
      <c r="V85" s="352"/>
      <c r="W85" s="319"/>
      <c r="X85" s="320"/>
      <c r="Y85" s="320"/>
      <c r="Z85" s="321"/>
      <c r="AA85" s="321"/>
      <c r="AB85" s="321"/>
      <c r="AC85" s="320"/>
      <c r="AD85" s="380"/>
      <c r="AE85" s="352"/>
      <c r="AF85" s="381">
        <f t="shared" si="68"/>
        <v>0</v>
      </c>
      <c r="AG85" s="381"/>
      <c r="AH85" s="408"/>
      <c r="AI85" s="409">
        <f t="shared" si="69"/>
        <v>0</v>
      </c>
      <c r="AJ85" s="410"/>
      <c r="AK85" s="411">
        <f t="shared" si="70"/>
        <v>0</v>
      </c>
    </row>
    <row r="86" spans="1:37" s="234" customFormat="1" ht="20.25">
      <c r="A86" s="316" t="s">
        <v>125</v>
      </c>
      <c r="B86" s="295"/>
      <c r="C86" s="295"/>
      <c r="D86" s="1077"/>
      <c r="E86" s="319"/>
      <c r="F86" s="320"/>
      <c r="G86" s="320"/>
      <c r="H86" s="321"/>
      <c r="I86" s="321"/>
      <c r="J86" s="320"/>
      <c r="K86" s="1090"/>
      <c r="L86" s="351"/>
      <c r="M86" s="352"/>
      <c r="N86" s="353"/>
      <c r="O86" s="321"/>
      <c r="P86" s="321"/>
      <c r="Q86" s="321"/>
      <c r="R86" s="321"/>
      <c r="S86" s="321"/>
      <c r="T86" s="321"/>
      <c r="U86" s="351"/>
      <c r="V86" s="352"/>
      <c r="W86" s="319"/>
      <c r="X86" s="320"/>
      <c r="Y86" s="320"/>
      <c r="Z86" s="321"/>
      <c r="AA86" s="321"/>
      <c r="AB86" s="321"/>
      <c r="AC86" s="320"/>
      <c r="AD86" s="380"/>
      <c r="AE86" s="352"/>
      <c r="AF86" s="381">
        <f t="shared" ref="AF86:AF89" si="71">SUM(E86:AD86)</f>
        <v>0</v>
      </c>
      <c r="AG86" s="381"/>
      <c r="AH86" s="408"/>
      <c r="AI86" s="409">
        <f t="shared" si="69"/>
        <v>0</v>
      </c>
      <c r="AJ86" s="410"/>
      <c r="AK86" s="411">
        <f t="shared" si="70"/>
        <v>0</v>
      </c>
    </row>
    <row r="87" spans="1:37" s="234" customFormat="1" ht="20.25">
      <c r="A87" s="316" t="s">
        <v>125</v>
      </c>
      <c r="B87" s="295"/>
      <c r="C87" s="295"/>
      <c r="D87" s="1077"/>
      <c r="E87" s="319"/>
      <c r="F87" s="320"/>
      <c r="G87" s="320"/>
      <c r="H87" s="321"/>
      <c r="I87" s="321"/>
      <c r="J87" s="320"/>
      <c r="K87" s="1090"/>
      <c r="L87" s="351"/>
      <c r="M87" s="352"/>
      <c r="N87" s="353"/>
      <c r="O87" s="321"/>
      <c r="P87" s="321"/>
      <c r="Q87" s="321"/>
      <c r="R87" s="321"/>
      <c r="S87" s="321"/>
      <c r="T87" s="321"/>
      <c r="U87" s="351"/>
      <c r="V87" s="352"/>
      <c r="W87" s="319"/>
      <c r="X87" s="320"/>
      <c r="Y87" s="320"/>
      <c r="Z87" s="321"/>
      <c r="AA87" s="321"/>
      <c r="AB87" s="321"/>
      <c r="AC87" s="320"/>
      <c r="AD87" s="380"/>
      <c r="AE87" s="352"/>
      <c r="AF87" s="381">
        <f t="shared" si="71"/>
        <v>0</v>
      </c>
      <c r="AG87" s="381"/>
      <c r="AH87" s="408"/>
      <c r="AI87" s="409">
        <f t="shared" si="69"/>
        <v>0</v>
      </c>
      <c r="AJ87" s="410"/>
      <c r="AK87" s="411">
        <f t="shared" si="70"/>
        <v>0</v>
      </c>
    </row>
    <row r="88" spans="1:37" s="234" customFormat="1" ht="20.25">
      <c r="A88" s="316" t="s">
        <v>125</v>
      </c>
      <c r="B88" s="295"/>
      <c r="C88" s="295"/>
      <c r="D88" s="1077"/>
      <c r="E88" s="319"/>
      <c r="F88" s="320"/>
      <c r="G88" s="320"/>
      <c r="H88" s="321"/>
      <c r="I88" s="321"/>
      <c r="J88" s="320"/>
      <c r="K88" s="1090"/>
      <c r="L88" s="351"/>
      <c r="M88" s="352"/>
      <c r="N88" s="353"/>
      <c r="O88" s="321"/>
      <c r="P88" s="321"/>
      <c r="Q88" s="321"/>
      <c r="R88" s="321"/>
      <c r="S88" s="321"/>
      <c r="T88" s="321"/>
      <c r="U88" s="351"/>
      <c r="V88" s="352"/>
      <c r="W88" s="319"/>
      <c r="X88" s="320"/>
      <c r="Y88" s="320"/>
      <c r="Z88" s="321"/>
      <c r="AA88" s="321"/>
      <c r="AB88" s="321"/>
      <c r="AC88" s="320"/>
      <c r="AD88" s="380"/>
      <c r="AE88" s="352"/>
      <c r="AF88" s="381">
        <f t="shared" si="71"/>
        <v>0</v>
      </c>
      <c r="AG88" s="381"/>
      <c r="AH88" s="408"/>
      <c r="AI88" s="409">
        <f t="shared" si="69"/>
        <v>0</v>
      </c>
      <c r="AJ88" s="410"/>
      <c r="AK88" s="411">
        <f t="shared" si="70"/>
        <v>0</v>
      </c>
    </row>
    <row r="89" spans="1:37" s="234" customFormat="1" ht="20.25">
      <c r="A89" s="316" t="s">
        <v>125</v>
      </c>
      <c r="B89" s="295"/>
      <c r="C89" s="295"/>
      <c r="D89" s="1077"/>
      <c r="E89" s="319"/>
      <c r="F89" s="320"/>
      <c r="G89" s="320"/>
      <c r="H89" s="321"/>
      <c r="I89" s="321"/>
      <c r="J89" s="320"/>
      <c r="K89" s="1090"/>
      <c r="L89" s="351"/>
      <c r="M89" s="352"/>
      <c r="N89" s="353"/>
      <c r="O89" s="321"/>
      <c r="P89" s="321"/>
      <c r="Q89" s="321"/>
      <c r="R89" s="321"/>
      <c r="S89" s="321"/>
      <c r="T89" s="321"/>
      <c r="U89" s="351"/>
      <c r="V89" s="352"/>
      <c r="W89" s="319"/>
      <c r="X89" s="320"/>
      <c r="Y89" s="320"/>
      <c r="Z89" s="321"/>
      <c r="AA89" s="321"/>
      <c r="AB89" s="321"/>
      <c r="AC89" s="320"/>
      <c r="AD89" s="380"/>
      <c r="AE89" s="352"/>
      <c r="AF89" s="381">
        <f t="shared" si="71"/>
        <v>0</v>
      </c>
      <c r="AG89" s="381"/>
      <c r="AH89" s="408"/>
      <c r="AI89" s="409">
        <f t="shared" si="69"/>
        <v>0</v>
      </c>
      <c r="AJ89" s="410"/>
      <c r="AK89" s="411">
        <f t="shared" si="70"/>
        <v>0</v>
      </c>
    </row>
    <row r="90" spans="1:37" s="234" customFormat="1" ht="20.25">
      <c r="A90" s="316" t="s">
        <v>125</v>
      </c>
      <c r="B90" s="295"/>
      <c r="C90" s="295"/>
      <c r="D90" s="1077"/>
      <c r="E90" s="319"/>
      <c r="F90" s="320"/>
      <c r="G90" s="320"/>
      <c r="H90" s="321"/>
      <c r="I90" s="321"/>
      <c r="J90" s="320"/>
      <c r="K90" s="1090"/>
      <c r="L90" s="351"/>
      <c r="M90" s="352"/>
      <c r="N90" s="353"/>
      <c r="O90" s="321"/>
      <c r="P90" s="321"/>
      <c r="Q90" s="321"/>
      <c r="R90" s="321"/>
      <c r="S90" s="321"/>
      <c r="T90" s="321"/>
      <c r="U90" s="351"/>
      <c r="V90" s="352"/>
      <c r="W90" s="319"/>
      <c r="X90" s="320"/>
      <c r="Y90" s="320"/>
      <c r="Z90" s="321"/>
      <c r="AA90" s="321"/>
      <c r="AB90" s="321"/>
      <c r="AC90" s="320"/>
      <c r="AD90" s="380"/>
      <c r="AE90" s="352"/>
      <c r="AF90" s="381">
        <f t="shared" ref="AF90:AF97" si="72">SUM(E90:AD90)</f>
        <v>0</v>
      </c>
      <c r="AG90" s="381"/>
      <c r="AH90" s="408"/>
      <c r="AI90" s="409">
        <f t="shared" ref="AI90:AI106" si="73">AF90+AG90</f>
        <v>0</v>
      </c>
      <c r="AJ90" s="410"/>
      <c r="AK90" s="411">
        <f t="shared" ref="AK90:AK94" si="74">AI90+AJ90</f>
        <v>0</v>
      </c>
    </row>
    <row r="91" spans="1:37" s="234" customFormat="1" ht="20.25">
      <c r="A91" s="316" t="s">
        <v>125</v>
      </c>
      <c r="B91" s="295"/>
      <c r="C91" s="295"/>
      <c r="D91" s="1077"/>
      <c r="E91" s="319"/>
      <c r="F91" s="320"/>
      <c r="G91" s="320"/>
      <c r="H91" s="321"/>
      <c r="I91" s="321"/>
      <c r="J91" s="320"/>
      <c r="K91" s="1090"/>
      <c r="L91" s="351"/>
      <c r="M91" s="352"/>
      <c r="N91" s="353"/>
      <c r="O91" s="321"/>
      <c r="P91" s="321"/>
      <c r="Q91" s="321"/>
      <c r="R91" s="321"/>
      <c r="S91" s="321"/>
      <c r="T91" s="321"/>
      <c r="U91" s="351"/>
      <c r="V91" s="352"/>
      <c r="W91" s="319"/>
      <c r="X91" s="320"/>
      <c r="Y91" s="320"/>
      <c r="Z91" s="321"/>
      <c r="AA91" s="321"/>
      <c r="AB91" s="321"/>
      <c r="AC91" s="320"/>
      <c r="AD91" s="380"/>
      <c r="AE91" s="352"/>
      <c r="AF91" s="381">
        <f t="shared" si="72"/>
        <v>0</v>
      </c>
      <c r="AG91" s="381"/>
      <c r="AH91" s="408"/>
      <c r="AI91" s="409">
        <f t="shared" si="73"/>
        <v>0</v>
      </c>
      <c r="AJ91" s="410"/>
      <c r="AK91" s="411">
        <f t="shared" si="74"/>
        <v>0</v>
      </c>
    </row>
    <row r="92" spans="1:37" s="234" customFormat="1" ht="20.25">
      <c r="A92" s="316" t="s">
        <v>125</v>
      </c>
      <c r="B92" s="295"/>
      <c r="C92" s="295"/>
      <c r="D92" s="1077"/>
      <c r="E92" s="319"/>
      <c r="F92" s="320"/>
      <c r="G92" s="320"/>
      <c r="H92" s="321"/>
      <c r="I92" s="321"/>
      <c r="J92" s="320"/>
      <c r="K92" s="842"/>
      <c r="L92" s="351"/>
      <c r="M92" s="352"/>
      <c r="N92" s="353"/>
      <c r="O92" s="321"/>
      <c r="P92" s="321"/>
      <c r="Q92" s="321"/>
      <c r="R92" s="321"/>
      <c r="S92" s="321"/>
      <c r="T92" s="321"/>
      <c r="U92" s="351"/>
      <c r="V92" s="352"/>
      <c r="W92" s="319"/>
      <c r="X92" s="320"/>
      <c r="Y92" s="320"/>
      <c r="Z92" s="321"/>
      <c r="AA92" s="321"/>
      <c r="AB92" s="321"/>
      <c r="AC92" s="320"/>
      <c r="AD92" s="380"/>
      <c r="AE92" s="352"/>
      <c r="AF92" s="381">
        <f t="shared" si="72"/>
        <v>0</v>
      </c>
      <c r="AG92" s="381"/>
      <c r="AH92" s="408"/>
      <c r="AI92" s="409">
        <f t="shared" si="73"/>
        <v>0</v>
      </c>
      <c r="AJ92" s="410"/>
      <c r="AK92" s="411">
        <f t="shared" si="74"/>
        <v>0</v>
      </c>
    </row>
    <row r="93" spans="1:37" s="234" customFormat="1" ht="20.25">
      <c r="A93" s="316" t="s">
        <v>125</v>
      </c>
      <c r="B93" s="295"/>
      <c r="C93" s="295"/>
      <c r="D93" s="1077"/>
      <c r="E93" s="319"/>
      <c r="F93" s="320"/>
      <c r="G93" s="320"/>
      <c r="H93" s="321"/>
      <c r="I93" s="321"/>
      <c r="J93" s="320"/>
      <c r="K93" s="842"/>
      <c r="L93" s="351"/>
      <c r="M93" s="352"/>
      <c r="N93" s="353"/>
      <c r="O93" s="321"/>
      <c r="P93" s="321"/>
      <c r="Q93" s="321"/>
      <c r="R93" s="321"/>
      <c r="S93" s="321"/>
      <c r="T93" s="321"/>
      <c r="U93" s="351"/>
      <c r="V93" s="352"/>
      <c r="W93" s="319"/>
      <c r="X93" s="320"/>
      <c r="Y93" s="320"/>
      <c r="Z93" s="321"/>
      <c r="AA93" s="321"/>
      <c r="AB93" s="321"/>
      <c r="AC93" s="320"/>
      <c r="AD93" s="380"/>
      <c r="AE93" s="352"/>
      <c r="AF93" s="381">
        <f t="shared" si="72"/>
        <v>0</v>
      </c>
      <c r="AG93" s="381"/>
      <c r="AH93" s="408"/>
      <c r="AI93" s="409">
        <f t="shared" si="73"/>
        <v>0</v>
      </c>
      <c r="AJ93" s="410"/>
      <c r="AK93" s="411">
        <f t="shared" si="74"/>
        <v>0</v>
      </c>
    </row>
    <row r="94" spans="1:37" s="234" customFormat="1" ht="20.25">
      <c r="A94" s="316" t="s">
        <v>125</v>
      </c>
      <c r="B94" s="295"/>
      <c r="C94" s="295"/>
      <c r="D94" s="1077"/>
      <c r="E94" s="319"/>
      <c r="F94" s="320"/>
      <c r="G94" s="320"/>
      <c r="H94" s="321"/>
      <c r="I94" s="321"/>
      <c r="J94" s="320"/>
      <c r="K94" s="842"/>
      <c r="L94" s="351"/>
      <c r="M94" s="352"/>
      <c r="N94" s="353"/>
      <c r="O94" s="321"/>
      <c r="P94" s="321"/>
      <c r="Q94" s="321"/>
      <c r="R94" s="321"/>
      <c r="S94" s="321"/>
      <c r="T94" s="321"/>
      <c r="U94" s="351"/>
      <c r="V94" s="352"/>
      <c r="W94" s="319"/>
      <c r="X94" s="320"/>
      <c r="Y94" s="320"/>
      <c r="Z94" s="321"/>
      <c r="AA94" s="321"/>
      <c r="AB94" s="321"/>
      <c r="AC94" s="320"/>
      <c r="AD94" s="380"/>
      <c r="AE94" s="352"/>
      <c r="AF94" s="381">
        <f t="shared" si="72"/>
        <v>0</v>
      </c>
      <c r="AG94" s="381"/>
      <c r="AH94" s="408"/>
      <c r="AI94" s="409">
        <f t="shared" si="73"/>
        <v>0</v>
      </c>
      <c r="AJ94" s="410"/>
      <c r="AK94" s="411">
        <f t="shared" si="74"/>
        <v>0</v>
      </c>
    </row>
    <row r="95" spans="1:37" s="234" customFormat="1" ht="20.25">
      <c r="A95" s="316" t="s">
        <v>125</v>
      </c>
      <c r="B95" s="295"/>
      <c r="C95" s="295"/>
      <c r="D95" s="1077"/>
      <c r="E95" s="319"/>
      <c r="F95" s="320"/>
      <c r="G95" s="320"/>
      <c r="H95" s="321"/>
      <c r="I95" s="321"/>
      <c r="J95" s="320"/>
      <c r="K95" s="842"/>
      <c r="L95" s="351"/>
      <c r="M95" s="352"/>
      <c r="N95" s="353"/>
      <c r="O95" s="321"/>
      <c r="P95" s="321"/>
      <c r="Q95" s="321"/>
      <c r="R95" s="321"/>
      <c r="S95" s="321"/>
      <c r="T95" s="321"/>
      <c r="U95" s="351"/>
      <c r="V95" s="352"/>
      <c r="W95" s="319"/>
      <c r="X95" s="320"/>
      <c r="Y95" s="320"/>
      <c r="Z95" s="321"/>
      <c r="AA95" s="321"/>
      <c r="AB95" s="321"/>
      <c r="AC95" s="320"/>
      <c r="AD95" s="380"/>
      <c r="AE95" s="352"/>
      <c r="AF95" s="381">
        <f t="shared" si="72"/>
        <v>0</v>
      </c>
      <c r="AG95" s="381"/>
      <c r="AH95" s="408"/>
      <c r="AI95" s="409">
        <f t="shared" si="73"/>
        <v>0</v>
      </c>
      <c r="AJ95" s="410"/>
      <c r="AK95" s="411">
        <f t="shared" ref="AK95:AK106" si="75">AI95+AJ95</f>
        <v>0</v>
      </c>
    </row>
    <row r="96" spans="1:37" s="234" customFormat="1" ht="20.25">
      <c r="A96" s="316" t="s">
        <v>125</v>
      </c>
      <c r="B96" s="295"/>
      <c r="C96" s="295"/>
      <c r="D96" s="1077"/>
      <c r="E96" s="319"/>
      <c r="F96" s="320"/>
      <c r="G96" s="320"/>
      <c r="H96" s="321"/>
      <c r="I96" s="321"/>
      <c r="J96" s="320"/>
      <c r="K96" s="842"/>
      <c r="L96" s="351"/>
      <c r="M96" s="352"/>
      <c r="N96" s="353"/>
      <c r="O96" s="321"/>
      <c r="P96" s="321"/>
      <c r="Q96" s="321"/>
      <c r="R96" s="321"/>
      <c r="S96" s="321"/>
      <c r="T96" s="321"/>
      <c r="U96" s="351"/>
      <c r="V96" s="352"/>
      <c r="W96" s="319"/>
      <c r="X96" s="320"/>
      <c r="Y96" s="320"/>
      <c r="Z96" s="321"/>
      <c r="AA96" s="321"/>
      <c r="AB96" s="321"/>
      <c r="AC96" s="320"/>
      <c r="AD96" s="380"/>
      <c r="AE96" s="352"/>
      <c r="AF96" s="381">
        <f t="shared" si="72"/>
        <v>0</v>
      </c>
      <c r="AG96" s="381"/>
      <c r="AH96" s="408"/>
      <c r="AI96" s="409">
        <f t="shared" si="73"/>
        <v>0</v>
      </c>
      <c r="AJ96" s="410"/>
      <c r="AK96" s="411">
        <f t="shared" si="75"/>
        <v>0</v>
      </c>
    </row>
    <row r="97" spans="1:40" s="234" customFormat="1" ht="20.25">
      <c r="A97" s="316" t="s">
        <v>125</v>
      </c>
      <c r="B97" s="295"/>
      <c r="C97" s="295"/>
      <c r="D97" s="1077"/>
      <c r="E97" s="319"/>
      <c r="F97" s="320"/>
      <c r="G97" s="320"/>
      <c r="H97" s="321"/>
      <c r="I97" s="321"/>
      <c r="J97" s="320"/>
      <c r="K97" s="842"/>
      <c r="L97" s="351"/>
      <c r="M97" s="352"/>
      <c r="N97" s="353"/>
      <c r="O97" s="321"/>
      <c r="P97" s="321"/>
      <c r="Q97" s="321"/>
      <c r="R97" s="321"/>
      <c r="S97" s="321"/>
      <c r="T97" s="321"/>
      <c r="U97" s="351"/>
      <c r="V97" s="352"/>
      <c r="W97" s="319"/>
      <c r="X97" s="320"/>
      <c r="Y97" s="320"/>
      <c r="Z97" s="321"/>
      <c r="AA97" s="321"/>
      <c r="AB97" s="321"/>
      <c r="AC97" s="320"/>
      <c r="AD97" s="380"/>
      <c r="AE97" s="352"/>
      <c r="AF97" s="381">
        <f t="shared" si="72"/>
        <v>0</v>
      </c>
      <c r="AG97" s="381"/>
      <c r="AH97" s="408"/>
      <c r="AI97" s="409">
        <f t="shared" si="73"/>
        <v>0</v>
      </c>
      <c r="AJ97" s="410"/>
      <c r="AK97" s="411">
        <f t="shared" si="75"/>
        <v>0</v>
      </c>
    </row>
    <row r="98" spans="1:40" s="234" customFormat="1" ht="20.25">
      <c r="A98" s="316" t="s">
        <v>125</v>
      </c>
      <c r="B98" s="295"/>
      <c r="C98" s="295"/>
      <c r="D98" s="1077"/>
      <c r="E98" s="319"/>
      <c r="F98" s="320"/>
      <c r="G98" s="320"/>
      <c r="H98" s="321"/>
      <c r="I98" s="321"/>
      <c r="J98" s="320"/>
      <c r="K98" s="842"/>
      <c r="L98" s="351"/>
      <c r="M98" s="352"/>
      <c r="N98" s="353"/>
      <c r="O98" s="321"/>
      <c r="P98" s="321"/>
      <c r="Q98" s="321"/>
      <c r="R98" s="321"/>
      <c r="S98" s="321"/>
      <c r="T98" s="321"/>
      <c r="U98" s="351"/>
      <c r="V98" s="352"/>
      <c r="W98" s="319"/>
      <c r="X98" s="320"/>
      <c r="Y98" s="320"/>
      <c r="Z98" s="321"/>
      <c r="AA98" s="321"/>
      <c r="AB98" s="321"/>
      <c r="AC98" s="320"/>
      <c r="AD98" s="380"/>
      <c r="AE98" s="352"/>
      <c r="AF98" s="381">
        <f t="shared" ref="AF98:AF106" si="76">SUM(E98:AD98)</f>
        <v>0</v>
      </c>
      <c r="AG98" s="381"/>
      <c r="AH98" s="408"/>
      <c r="AI98" s="409">
        <f t="shared" si="73"/>
        <v>0</v>
      </c>
      <c r="AJ98" s="410"/>
      <c r="AK98" s="411">
        <f t="shared" si="75"/>
        <v>0</v>
      </c>
    </row>
    <row r="99" spans="1:40" s="234" customFormat="1" ht="20.25">
      <c r="A99" s="316" t="s">
        <v>125</v>
      </c>
      <c r="B99" s="295"/>
      <c r="C99" s="295"/>
      <c r="D99" s="1077"/>
      <c r="E99" s="319"/>
      <c r="F99" s="320"/>
      <c r="G99" s="320"/>
      <c r="H99" s="321"/>
      <c r="I99" s="321"/>
      <c r="J99" s="320"/>
      <c r="K99" s="842"/>
      <c r="L99" s="351"/>
      <c r="M99" s="352"/>
      <c r="N99" s="353"/>
      <c r="O99" s="321"/>
      <c r="P99" s="321"/>
      <c r="Q99" s="321"/>
      <c r="R99" s="321"/>
      <c r="S99" s="321"/>
      <c r="T99" s="321"/>
      <c r="U99" s="351"/>
      <c r="V99" s="352"/>
      <c r="W99" s="319"/>
      <c r="X99" s="320"/>
      <c r="Y99" s="320"/>
      <c r="Z99" s="321"/>
      <c r="AA99" s="321"/>
      <c r="AB99" s="321"/>
      <c r="AC99" s="320"/>
      <c r="AD99" s="380"/>
      <c r="AE99" s="352"/>
      <c r="AF99" s="381">
        <f t="shared" si="76"/>
        <v>0</v>
      </c>
      <c r="AG99" s="381"/>
      <c r="AH99" s="408"/>
      <c r="AI99" s="409">
        <f t="shared" si="73"/>
        <v>0</v>
      </c>
      <c r="AJ99" s="410"/>
      <c r="AK99" s="411">
        <f t="shared" si="75"/>
        <v>0</v>
      </c>
    </row>
    <row r="100" spans="1:40" s="234" customFormat="1" ht="20.25">
      <c r="A100" s="316" t="s">
        <v>125</v>
      </c>
      <c r="B100" s="295"/>
      <c r="C100" s="295"/>
      <c r="D100" s="1077"/>
      <c r="E100" s="319"/>
      <c r="F100" s="320"/>
      <c r="G100" s="320"/>
      <c r="H100" s="321"/>
      <c r="I100" s="321"/>
      <c r="J100" s="320"/>
      <c r="K100" s="842"/>
      <c r="L100" s="351"/>
      <c r="M100" s="352"/>
      <c r="N100" s="353"/>
      <c r="O100" s="321"/>
      <c r="P100" s="321"/>
      <c r="Q100" s="321"/>
      <c r="R100" s="321"/>
      <c r="S100" s="321"/>
      <c r="T100" s="321"/>
      <c r="U100" s="351"/>
      <c r="V100" s="352"/>
      <c r="W100" s="319"/>
      <c r="X100" s="320"/>
      <c r="Y100" s="320"/>
      <c r="Z100" s="321"/>
      <c r="AA100" s="321"/>
      <c r="AB100" s="321"/>
      <c r="AC100" s="320"/>
      <c r="AD100" s="380"/>
      <c r="AE100" s="352"/>
      <c r="AF100" s="381">
        <f t="shared" si="76"/>
        <v>0</v>
      </c>
      <c r="AG100" s="381"/>
      <c r="AH100" s="408"/>
      <c r="AI100" s="409">
        <f t="shared" si="73"/>
        <v>0</v>
      </c>
      <c r="AJ100" s="410"/>
      <c r="AK100" s="411">
        <f t="shared" si="75"/>
        <v>0</v>
      </c>
    </row>
    <row r="101" spans="1:40" s="234" customFormat="1" ht="20.25">
      <c r="A101" s="316" t="s">
        <v>125</v>
      </c>
      <c r="B101" s="295"/>
      <c r="C101" s="295"/>
      <c r="D101" s="1077"/>
      <c r="E101" s="319"/>
      <c r="F101" s="320"/>
      <c r="G101" s="320"/>
      <c r="H101" s="321"/>
      <c r="I101" s="321"/>
      <c r="J101" s="320"/>
      <c r="K101" s="842"/>
      <c r="L101" s="351"/>
      <c r="M101" s="352"/>
      <c r="N101" s="353"/>
      <c r="O101" s="321"/>
      <c r="P101" s="321"/>
      <c r="Q101" s="321"/>
      <c r="R101" s="321"/>
      <c r="S101" s="321"/>
      <c r="T101" s="321"/>
      <c r="U101" s="351"/>
      <c r="V101" s="352"/>
      <c r="W101" s="319"/>
      <c r="X101" s="320"/>
      <c r="Y101" s="320"/>
      <c r="Z101" s="321"/>
      <c r="AA101" s="321"/>
      <c r="AB101" s="321"/>
      <c r="AC101" s="320"/>
      <c r="AD101" s="380"/>
      <c r="AE101" s="352"/>
      <c r="AF101" s="381">
        <f t="shared" si="76"/>
        <v>0</v>
      </c>
      <c r="AG101" s="381"/>
      <c r="AH101" s="408"/>
      <c r="AI101" s="409">
        <f t="shared" si="73"/>
        <v>0</v>
      </c>
      <c r="AJ101" s="410"/>
      <c r="AK101" s="411">
        <f t="shared" si="75"/>
        <v>0</v>
      </c>
    </row>
    <row r="102" spans="1:40" s="234" customFormat="1" ht="21" thickBot="1">
      <c r="A102" s="316" t="s">
        <v>125</v>
      </c>
      <c r="B102" s="295"/>
      <c r="C102" s="295"/>
      <c r="D102" s="1077"/>
      <c r="E102" s="319"/>
      <c r="F102" s="320"/>
      <c r="G102" s="320"/>
      <c r="H102" s="321"/>
      <c r="I102" s="321"/>
      <c r="J102" s="320"/>
      <c r="K102" s="842"/>
      <c r="L102" s="351"/>
      <c r="M102" s="352"/>
      <c r="N102" s="353"/>
      <c r="O102" s="321"/>
      <c r="P102" s="321"/>
      <c r="Q102" s="321"/>
      <c r="R102" s="321"/>
      <c r="S102" s="321"/>
      <c r="T102" s="321"/>
      <c r="U102" s="351"/>
      <c r="V102" s="352"/>
      <c r="W102" s="319"/>
      <c r="X102" s="320"/>
      <c r="Y102" s="320"/>
      <c r="Z102" s="321"/>
      <c r="AA102" s="321"/>
      <c r="AB102" s="321"/>
      <c r="AC102" s="320"/>
      <c r="AD102" s="380"/>
      <c r="AE102" s="352"/>
      <c r="AF102" s="381">
        <f t="shared" si="76"/>
        <v>0</v>
      </c>
      <c r="AG102" s="381"/>
      <c r="AH102" s="408"/>
      <c r="AI102" s="409">
        <f t="shared" si="73"/>
        <v>0</v>
      </c>
      <c r="AJ102" s="410"/>
      <c r="AK102" s="411">
        <f t="shared" si="75"/>
        <v>0</v>
      </c>
    </row>
    <row r="103" spans="1:40" s="283" customFormat="1" ht="21" thickBot="1">
      <c r="A103" s="316" t="s">
        <v>125</v>
      </c>
      <c r="B103" s="295"/>
      <c r="C103" s="295"/>
      <c r="D103" s="1077"/>
      <c r="E103" s="319"/>
      <c r="F103" s="320"/>
      <c r="G103" s="320"/>
      <c r="H103" s="321"/>
      <c r="I103" s="321"/>
      <c r="J103" s="320"/>
      <c r="K103" s="842"/>
      <c r="L103" s="351"/>
      <c r="M103" s="352"/>
      <c r="N103" s="353"/>
      <c r="O103" s="321"/>
      <c r="P103" s="321"/>
      <c r="Q103" s="321"/>
      <c r="R103" s="321"/>
      <c r="S103" s="321"/>
      <c r="T103" s="321"/>
      <c r="U103" s="351"/>
      <c r="V103" s="352"/>
      <c r="W103" s="319"/>
      <c r="X103" s="320"/>
      <c r="Y103" s="320"/>
      <c r="Z103" s="321"/>
      <c r="AA103" s="321"/>
      <c r="AB103" s="321"/>
      <c r="AC103" s="320"/>
      <c r="AD103" s="380"/>
      <c r="AE103" s="352"/>
      <c r="AF103" s="381">
        <f t="shared" si="76"/>
        <v>0</v>
      </c>
      <c r="AG103" s="381"/>
      <c r="AH103" s="408"/>
      <c r="AI103" s="409">
        <f t="shared" si="73"/>
        <v>0</v>
      </c>
      <c r="AJ103" s="410"/>
      <c r="AK103" s="411">
        <f t="shared" si="75"/>
        <v>0</v>
      </c>
      <c r="AL103" s="414" t="s">
        <v>8</v>
      </c>
      <c r="AM103" s="397" t="s">
        <v>23</v>
      </c>
      <c r="AN103" s="415" t="s">
        <v>174</v>
      </c>
    </row>
    <row r="104" spans="1:40" s="284" customFormat="1" ht="21" thickBot="1">
      <c r="A104" s="316" t="s">
        <v>125</v>
      </c>
      <c r="B104" s="295"/>
      <c r="C104" s="295"/>
      <c r="D104" s="1077"/>
      <c r="E104" s="319"/>
      <c r="F104" s="320"/>
      <c r="G104" s="320"/>
      <c r="H104" s="321"/>
      <c r="I104" s="321"/>
      <c r="J104" s="320"/>
      <c r="K104" s="842"/>
      <c r="L104" s="351"/>
      <c r="M104" s="352"/>
      <c r="N104" s="353"/>
      <c r="O104" s="321"/>
      <c r="P104" s="321"/>
      <c r="Q104" s="321"/>
      <c r="R104" s="321"/>
      <c r="S104" s="321"/>
      <c r="T104" s="321"/>
      <c r="U104" s="351"/>
      <c r="V104" s="352"/>
      <c r="W104" s="319"/>
      <c r="X104" s="320"/>
      <c r="Y104" s="320"/>
      <c r="Z104" s="321"/>
      <c r="AA104" s="321"/>
      <c r="AB104" s="321"/>
      <c r="AC104" s="320"/>
      <c r="AD104" s="380"/>
      <c r="AE104" s="352"/>
      <c r="AF104" s="381">
        <f t="shared" si="76"/>
        <v>0</v>
      </c>
      <c r="AG104" s="381"/>
      <c r="AH104" s="408"/>
      <c r="AI104" s="409">
        <f t="shared" si="73"/>
        <v>0</v>
      </c>
      <c r="AJ104" s="410"/>
      <c r="AK104" s="411">
        <f t="shared" si="75"/>
        <v>0</v>
      </c>
      <c r="AL104" s="399">
        <f>'BIG CHAIR'!CL146</f>
        <v>0</v>
      </c>
      <c r="AM104" s="400">
        <f>'Tea Table'!X202</f>
        <v>0</v>
      </c>
      <c r="AN104" s="401">
        <f>AI107+AL104+AM104</f>
        <v>0</v>
      </c>
    </row>
    <row r="105" spans="1:40" ht="20.25">
      <c r="A105" s="316" t="s">
        <v>125</v>
      </c>
      <c r="B105" s="295"/>
      <c r="C105" s="295"/>
      <c r="D105" s="1077"/>
      <c r="E105" s="319"/>
      <c r="F105" s="320"/>
      <c r="G105" s="320"/>
      <c r="H105" s="321"/>
      <c r="I105" s="321"/>
      <c r="J105" s="320"/>
      <c r="K105" s="842"/>
      <c r="L105" s="351"/>
      <c r="M105" s="352"/>
      <c r="N105" s="353"/>
      <c r="O105" s="321"/>
      <c r="P105" s="321"/>
      <c r="Q105" s="321"/>
      <c r="R105" s="321"/>
      <c r="S105" s="321"/>
      <c r="T105" s="321"/>
      <c r="U105" s="351"/>
      <c r="V105" s="352"/>
      <c r="W105" s="319"/>
      <c r="X105" s="320"/>
      <c r="Y105" s="320"/>
      <c r="Z105" s="321"/>
      <c r="AA105" s="321"/>
      <c r="AB105" s="321"/>
      <c r="AC105" s="320"/>
      <c r="AD105" s="380"/>
      <c r="AE105" s="352"/>
      <c r="AF105" s="381">
        <f t="shared" si="76"/>
        <v>0</v>
      </c>
      <c r="AG105" s="381"/>
      <c r="AH105" s="408"/>
      <c r="AI105" s="409">
        <f t="shared" si="73"/>
        <v>0</v>
      </c>
      <c r="AJ105" s="410"/>
      <c r="AK105" s="411">
        <f t="shared" si="75"/>
        <v>0</v>
      </c>
      <c r="AL105" s="282"/>
      <c r="AM105" s="282"/>
      <c r="AN105" s="282"/>
    </row>
    <row r="106" spans="1:40" ht="21" thickBot="1">
      <c r="A106" s="322"/>
      <c r="B106" s="323"/>
      <c r="C106" s="323"/>
      <c r="D106" s="1078"/>
      <c r="E106" s="325"/>
      <c r="F106" s="297"/>
      <c r="G106" s="297"/>
      <c r="H106" s="298"/>
      <c r="I106" s="298"/>
      <c r="J106" s="297"/>
      <c r="K106" s="1086"/>
      <c r="L106" s="367"/>
      <c r="M106" s="355"/>
      <c r="N106" s="343"/>
      <c r="O106" s="298"/>
      <c r="P106" s="298"/>
      <c r="Q106" s="298"/>
      <c r="R106" s="298"/>
      <c r="S106" s="298"/>
      <c r="T106" s="298"/>
      <c r="U106" s="367"/>
      <c r="V106" s="355"/>
      <c r="W106" s="325"/>
      <c r="X106" s="297"/>
      <c r="Y106" s="297"/>
      <c r="Z106" s="298"/>
      <c r="AA106" s="298"/>
      <c r="AB106" s="298"/>
      <c r="AC106" s="297"/>
      <c r="AD106" s="375"/>
      <c r="AE106" s="355"/>
      <c r="AF106" s="376">
        <f t="shared" si="76"/>
        <v>0</v>
      </c>
      <c r="AG106" s="377"/>
      <c r="AH106" s="390"/>
      <c r="AI106" s="391">
        <f t="shared" si="73"/>
        <v>0</v>
      </c>
      <c r="AJ106" s="412"/>
      <c r="AK106" s="413">
        <f t="shared" si="75"/>
        <v>0</v>
      </c>
      <c r="AL106" s="234"/>
      <c r="AM106" s="234"/>
      <c r="AN106" s="234"/>
    </row>
    <row r="107" spans="1:40" ht="19.5" thickBot="1">
      <c r="A107" s="326" t="s">
        <v>126</v>
      </c>
      <c r="B107" s="327"/>
      <c r="C107" s="327"/>
      <c r="D107" s="328"/>
      <c r="E107" s="329">
        <f t="shared" ref="E107:L107" si="77">SUM(E74:E106)</f>
        <v>0</v>
      </c>
      <c r="F107" s="330">
        <f t="shared" si="77"/>
        <v>0</v>
      </c>
      <c r="G107" s="330">
        <f t="shared" si="77"/>
        <v>0</v>
      </c>
      <c r="H107" s="330">
        <f t="shared" si="77"/>
        <v>0</v>
      </c>
      <c r="I107" s="330">
        <f t="shared" si="77"/>
        <v>0</v>
      </c>
      <c r="J107" s="330">
        <f t="shared" si="77"/>
        <v>0</v>
      </c>
      <c r="K107" s="330">
        <f t="shared" si="77"/>
        <v>0</v>
      </c>
      <c r="L107" s="356">
        <f t="shared" si="77"/>
        <v>0</v>
      </c>
      <c r="M107" s="357"/>
      <c r="N107" s="358">
        <f t="shared" ref="N107:U107" si="78">SUM(N74:N106)</f>
        <v>0</v>
      </c>
      <c r="O107" s="359">
        <f t="shared" si="78"/>
        <v>0</v>
      </c>
      <c r="P107" s="359">
        <f t="shared" si="78"/>
        <v>0</v>
      </c>
      <c r="Q107" s="359">
        <f t="shared" si="78"/>
        <v>0</v>
      </c>
      <c r="R107" s="359">
        <f t="shared" si="78"/>
        <v>0</v>
      </c>
      <c r="S107" s="359">
        <f t="shared" si="78"/>
        <v>0</v>
      </c>
      <c r="T107" s="359">
        <f t="shared" si="78"/>
        <v>0</v>
      </c>
      <c r="U107" s="369">
        <f t="shared" si="78"/>
        <v>0</v>
      </c>
      <c r="V107" s="357"/>
      <c r="W107" s="358">
        <f>SUM(W74:W106)</f>
        <v>0</v>
      </c>
      <c r="X107" s="359">
        <f>SUM(X74:X106)</f>
        <v>0</v>
      </c>
      <c r="Y107" s="359">
        <f t="shared" ref="Y107:Z107" si="79">SUM(Y74:Y106)</f>
        <v>0</v>
      </c>
      <c r="Z107" s="359">
        <f t="shared" si="79"/>
        <v>0</v>
      </c>
      <c r="AA107" s="359">
        <f t="shared" ref="AA107:AC107" si="80">SUM(AA74:AA106)</f>
        <v>0</v>
      </c>
      <c r="AB107" s="359">
        <f t="shared" si="80"/>
        <v>0</v>
      </c>
      <c r="AC107" s="359">
        <f t="shared" si="80"/>
        <v>0</v>
      </c>
      <c r="AD107" s="369">
        <f t="shared" ref="AD107" si="81">SUM(AD74:AD106)</f>
        <v>0</v>
      </c>
      <c r="AE107" s="357"/>
      <c r="AF107" s="382">
        <f t="shared" ref="AF107:AK107" si="82">SUM(AF74:AF106)</f>
        <v>0</v>
      </c>
      <c r="AG107" s="382">
        <f t="shared" si="82"/>
        <v>0</v>
      </c>
      <c r="AH107" s="416">
        <f t="shared" si="82"/>
        <v>0</v>
      </c>
      <c r="AI107" s="417">
        <f t="shared" si="82"/>
        <v>0</v>
      </c>
      <c r="AJ107" s="382">
        <f t="shared" si="82"/>
        <v>0</v>
      </c>
      <c r="AK107" s="418">
        <f t="shared" si="82"/>
        <v>0</v>
      </c>
      <c r="AL107" s="234"/>
      <c r="AM107" s="234"/>
      <c r="AN107" s="234"/>
    </row>
    <row r="108" spans="1:40" ht="24" thickBot="1">
      <c r="A108" s="286" t="s">
        <v>127</v>
      </c>
      <c r="B108" s="287" t="s">
        <v>68</v>
      </c>
      <c r="C108" s="287" t="s">
        <v>69</v>
      </c>
      <c r="D108" s="1073" t="s">
        <v>70</v>
      </c>
      <c r="E108" s="743" t="s">
        <v>96</v>
      </c>
      <c r="F108" s="744" t="s">
        <v>124</v>
      </c>
      <c r="G108" s="744" t="s">
        <v>228</v>
      </c>
      <c r="H108" s="744" t="s">
        <v>149</v>
      </c>
      <c r="I108" s="744" t="s">
        <v>470</v>
      </c>
      <c r="J108" s="744" t="s">
        <v>92</v>
      </c>
      <c r="K108" s="50" t="s">
        <v>479</v>
      </c>
      <c r="L108" s="783" t="s">
        <v>123</v>
      </c>
      <c r="M108" s="1089"/>
      <c r="N108" s="80" t="s">
        <v>71</v>
      </c>
      <c r="O108" s="49" t="s">
        <v>53</v>
      </c>
      <c r="P108" s="49" t="s">
        <v>118</v>
      </c>
      <c r="Q108" s="49" t="s">
        <v>74</v>
      </c>
      <c r="R108" s="49" t="s">
        <v>75</v>
      </c>
      <c r="S108" s="49" t="s">
        <v>94</v>
      </c>
      <c r="T108" s="126" t="s">
        <v>77</v>
      </c>
      <c r="U108" s="171" t="s">
        <v>101</v>
      </c>
      <c r="V108" s="79"/>
      <c r="W108" s="80" t="s">
        <v>482</v>
      </c>
      <c r="X108" s="743" t="s">
        <v>96</v>
      </c>
      <c r="Y108" s="744" t="s">
        <v>118</v>
      </c>
      <c r="Z108" s="49" t="s">
        <v>229</v>
      </c>
      <c r="AA108" s="744" t="s">
        <v>75</v>
      </c>
      <c r="AB108" s="744" t="s">
        <v>53</v>
      </c>
      <c r="AC108" s="126" t="s">
        <v>230</v>
      </c>
      <c r="AD108" s="372" t="s">
        <v>380</v>
      </c>
      <c r="AE108" s="370"/>
      <c r="AF108" s="371" t="s">
        <v>172</v>
      </c>
      <c r="AG108" s="372" t="s">
        <v>80</v>
      </c>
      <c r="AH108" s="385"/>
      <c r="AI108" s="386" t="s">
        <v>106</v>
      </c>
      <c r="AJ108" s="385" t="s">
        <v>173</v>
      </c>
      <c r="AK108" s="371" t="s">
        <v>108</v>
      </c>
      <c r="AL108" s="234"/>
      <c r="AM108" s="234"/>
      <c r="AN108" s="234"/>
    </row>
    <row r="109" spans="1:40" ht="20.25">
      <c r="A109" s="316" t="s">
        <v>128</v>
      </c>
      <c r="B109" s="822" t="s">
        <v>471</v>
      </c>
      <c r="C109" s="295"/>
      <c r="D109" s="1077"/>
      <c r="E109" s="319"/>
      <c r="F109" s="320"/>
      <c r="G109" s="320"/>
      <c r="H109" s="321"/>
      <c r="I109" s="321"/>
      <c r="J109" s="320"/>
      <c r="K109" s="320"/>
      <c r="L109" s="363"/>
      <c r="M109" s="352"/>
      <c r="N109" s="353"/>
      <c r="O109" s="321"/>
      <c r="P109" s="321"/>
      <c r="Q109" s="321"/>
      <c r="R109" s="321"/>
      <c r="S109" s="321"/>
      <c r="T109" s="321"/>
      <c r="U109" s="351"/>
      <c r="V109" s="352"/>
      <c r="W109" s="319"/>
      <c r="X109" s="320"/>
      <c r="Y109" s="320"/>
      <c r="Z109" s="321"/>
      <c r="AA109" s="321"/>
      <c r="AB109" s="321"/>
      <c r="AC109" s="320"/>
      <c r="AD109" s="380"/>
      <c r="AE109" s="352"/>
      <c r="AF109" s="381">
        <f>SUM(E109:AD109)</f>
        <v>0</v>
      </c>
      <c r="AG109" s="381"/>
      <c r="AH109" s="408"/>
      <c r="AI109" s="409">
        <f>AF109+AG109</f>
        <v>0</v>
      </c>
      <c r="AJ109" s="410"/>
      <c r="AK109" s="411">
        <f>AI109+AJ109</f>
        <v>0</v>
      </c>
      <c r="AL109" s="234"/>
      <c r="AM109" s="234"/>
      <c r="AN109" s="234"/>
    </row>
    <row r="110" spans="1:40" ht="20.25">
      <c r="A110" s="316" t="s">
        <v>128</v>
      </c>
      <c r="B110" s="822"/>
      <c r="C110" s="295"/>
      <c r="D110" s="1077"/>
      <c r="E110" s="319"/>
      <c r="F110" s="320"/>
      <c r="G110" s="320"/>
      <c r="H110" s="321"/>
      <c r="I110" s="321"/>
      <c r="J110" s="320"/>
      <c r="K110" s="320"/>
      <c r="L110" s="363"/>
      <c r="M110" s="352"/>
      <c r="N110" s="353"/>
      <c r="O110" s="321"/>
      <c r="P110" s="321"/>
      <c r="Q110" s="321"/>
      <c r="R110" s="321"/>
      <c r="S110" s="321"/>
      <c r="T110" s="321"/>
      <c r="U110" s="351"/>
      <c r="V110" s="352"/>
      <c r="W110" s="319"/>
      <c r="X110" s="320"/>
      <c r="Y110" s="320"/>
      <c r="Z110" s="321"/>
      <c r="AA110" s="321"/>
      <c r="AB110" s="321"/>
      <c r="AC110" s="320"/>
      <c r="AD110" s="380"/>
      <c r="AE110" s="352"/>
      <c r="AF110" s="381">
        <f>SUM(E110:AD110)</f>
        <v>0</v>
      </c>
      <c r="AG110" s="381"/>
      <c r="AH110" s="408"/>
      <c r="AI110" s="409">
        <f>AF110+AG110</f>
        <v>0</v>
      </c>
      <c r="AJ110" s="410"/>
      <c r="AK110" s="411">
        <f>AI110+AJ110</f>
        <v>0</v>
      </c>
      <c r="AL110" s="234"/>
      <c r="AM110" s="234"/>
      <c r="AN110" s="234"/>
    </row>
    <row r="111" spans="1:40" ht="20.25">
      <c r="A111" s="316" t="s">
        <v>128</v>
      </c>
      <c r="B111" s="822"/>
      <c r="C111" s="295"/>
      <c r="D111" s="1077"/>
      <c r="E111" s="319"/>
      <c r="F111" s="320"/>
      <c r="G111" s="320"/>
      <c r="H111" s="321"/>
      <c r="I111" s="321"/>
      <c r="J111" s="320"/>
      <c r="K111" s="320"/>
      <c r="L111" s="363"/>
      <c r="M111" s="352"/>
      <c r="N111" s="353"/>
      <c r="O111" s="321"/>
      <c r="P111" s="321"/>
      <c r="Q111" s="321"/>
      <c r="R111" s="321"/>
      <c r="S111" s="321"/>
      <c r="T111" s="321"/>
      <c r="U111" s="351"/>
      <c r="V111" s="352"/>
      <c r="W111" s="319"/>
      <c r="X111" s="320"/>
      <c r="Y111" s="320"/>
      <c r="Z111" s="321"/>
      <c r="AA111" s="321"/>
      <c r="AB111" s="321"/>
      <c r="AC111" s="320"/>
      <c r="AD111" s="380"/>
      <c r="AE111" s="352"/>
      <c r="AF111" s="381">
        <f>SUM(E111:AD111)</f>
        <v>0</v>
      </c>
      <c r="AG111" s="381"/>
      <c r="AH111" s="408"/>
      <c r="AI111" s="409">
        <f>AF111+AG111</f>
        <v>0</v>
      </c>
      <c r="AJ111" s="410"/>
      <c r="AK111" s="411">
        <f>AI111+AJ111</f>
        <v>0</v>
      </c>
      <c r="AL111" s="234"/>
      <c r="AM111" s="234"/>
      <c r="AN111" s="234"/>
    </row>
    <row r="112" spans="1:40" ht="20.25">
      <c r="A112" s="316" t="s">
        <v>128</v>
      </c>
      <c r="B112" s="822"/>
      <c r="C112" s="295"/>
      <c r="D112" s="1077"/>
      <c r="E112" s="319"/>
      <c r="F112" s="320"/>
      <c r="G112" s="320"/>
      <c r="H112" s="321"/>
      <c r="I112" s="321"/>
      <c r="J112" s="320"/>
      <c r="K112" s="1090"/>
      <c r="L112" s="363"/>
      <c r="M112" s="352"/>
      <c r="N112" s="353"/>
      <c r="O112" s="321"/>
      <c r="P112" s="321"/>
      <c r="Q112" s="321"/>
      <c r="R112" s="321"/>
      <c r="S112" s="321"/>
      <c r="T112" s="321"/>
      <c r="U112" s="351"/>
      <c r="V112" s="352"/>
      <c r="W112" s="319"/>
      <c r="X112" s="320"/>
      <c r="Y112" s="320"/>
      <c r="Z112" s="321"/>
      <c r="AA112" s="321"/>
      <c r="AB112" s="321"/>
      <c r="AC112" s="320"/>
      <c r="AD112" s="380"/>
      <c r="AE112" s="352"/>
      <c r="AF112" s="381">
        <f t="shared" ref="AF112:AF113" si="83">SUM(E112:AD112)</f>
        <v>0</v>
      </c>
      <c r="AG112" s="381"/>
      <c r="AH112" s="408"/>
      <c r="AI112" s="409">
        <f t="shared" ref="AI112:AI114" si="84">AF112+AG112</f>
        <v>0</v>
      </c>
      <c r="AJ112" s="410"/>
      <c r="AK112" s="411">
        <f t="shared" ref="AK112:AK114" si="85">AI112+AJ112</f>
        <v>0</v>
      </c>
      <c r="AL112" s="234"/>
      <c r="AM112" s="234"/>
      <c r="AN112" s="234"/>
    </row>
    <row r="113" spans="1:40" ht="20.25">
      <c r="A113" s="316" t="s">
        <v>128</v>
      </c>
      <c r="B113" s="710"/>
      <c r="C113" s="295"/>
      <c r="D113" s="1077"/>
      <c r="E113" s="319"/>
      <c r="F113" s="320"/>
      <c r="G113" s="320"/>
      <c r="H113" s="321"/>
      <c r="I113" s="321"/>
      <c r="J113" s="320"/>
      <c r="K113" s="1090"/>
      <c r="L113" s="351"/>
      <c r="M113" s="352"/>
      <c r="N113" s="353"/>
      <c r="O113" s="321"/>
      <c r="P113" s="321"/>
      <c r="Q113" s="321"/>
      <c r="R113" s="321"/>
      <c r="S113" s="321"/>
      <c r="T113" s="321"/>
      <c r="U113" s="351"/>
      <c r="V113" s="352"/>
      <c r="W113" s="319"/>
      <c r="X113" s="320"/>
      <c r="Y113" s="320"/>
      <c r="Z113" s="321"/>
      <c r="AA113" s="321"/>
      <c r="AB113" s="321"/>
      <c r="AC113" s="320"/>
      <c r="AD113" s="380"/>
      <c r="AE113" s="352"/>
      <c r="AF113" s="381">
        <f t="shared" si="83"/>
        <v>0</v>
      </c>
      <c r="AG113" s="381"/>
      <c r="AH113" s="408"/>
      <c r="AI113" s="409">
        <f t="shared" si="84"/>
        <v>0</v>
      </c>
      <c r="AJ113" s="410"/>
      <c r="AK113" s="411">
        <f t="shared" si="85"/>
        <v>0</v>
      </c>
      <c r="AL113" s="234"/>
      <c r="AM113" s="234"/>
      <c r="AN113" s="234"/>
    </row>
    <row r="114" spans="1:40" ht="20.25">
      <c r="A114" s="316" t="s">
        <v>128</v>
      </c>
      <c r="B114" s="710"/>
      <c r="C114" s="295"/>
      <c r="D114" s="1077"/>
      <c r="E114" s="319"/>
      <c r="F114" s="320"/>
      <c r="G114" s="320"/>
      <c r="H114" s="321"/>
      <c r="I114" s="321"/>
      <c r="J114" s="320"/>
      <c r="K114" s="1090"/>
      <c r="L114" s="351"/>
      <c r="M114" s="352"/>
      <c r="N114" s="353"/>
      <c r="O114" s="321"/>
      <c r="P114" s="321"/>
      <c r="Q114" s="321"/>
      <c r="R114" s="321"/>
      <c r="S114" s="321"/>
      <c r="T114" s="321"/>
      <c r="U114" s="351"/>
      <c r="V114" s="352"/>
      <c r="W114" s="319"/>
      <c r="X114" s="320"/>
      <c r="Y114" s="320"/>
      <c r="Z114" s="321"/>
      <c r="AA114" s="321"/>
      <c r="AB114" s="321"/>
      <c r="AC114" s="320"/>
      <c r="AD114" s="380"/>
      <c r="AE114" s="352"/>
      <c r="AF114" s="381">
        <f t="shared" ref="AF114:AF118" si="86">SUM(E114:AD114)</f>
        <v>0</v>
      </c>
      <c r="AG114" s="381"/>
      <c r="AH114" s="408"/>
      <c r="AI114" s="409">
        <f t="shared" si="84"/>
        <v>0</v>
      </c>
      <c r="AJ114" s="410"/>
      <c r="AK114" s="411">
        <f t="shared" si="85"/>
        <v>0</v>
      </c>
      <c r="AL114" s="234"/>
      <c r="AM114" s="234"/>
      <c r="AN114" s="234"/>
    </row>
    <row r="115" spans="1:40" ht="20.25">
      <c r="A115" s="316" t="s">
        <v>128</v>
      </c>
      <c r="B115" s="710"/>
      <c r="C115" s="295"/>
      <c r="D115" s="1077"/>
      <c r="E115" s="319"/>
      <c r="F115" s="320"/>
      <c r="G115" s="320"/>
      <c r="H115" s="321"/>
      <c r="I115" s="321"/>
      <c r="J115" s="320"/>
      <c r="K115" s="1090"/>
      <c r="L115" s="351"/>
      <c r="M115" s="352"/>
      <c r="N115" s="353"/>
      <c r="O115" s="321"/>
      <c r="P115" s="321"/>
      <c r="Q115" s="321"/>
      <c r="R115" s="321"/>
      <c r="S115" s="321"/>
      <c r="T115" s="321"/>
      <c r="U115" s="351"/>
      <c r="V115" s="352"/>
      <c r="W115" s="319"/>
      <c r="X115" s="320"/>
      <c r="Y115" s="320"/>
      <c r="Z115" s="321"/>
      <c r="AA115" s="321"/>
      <c r="AB115" s="321"/>
      <c r="AC115" s="320"/>
      <c r="AD115" s="380"/>
      <c r="AE115" s="352"/>
      <c r="AF115" s="381">
        <f t="shared" si="86"/>
        <v>0</v>
      </c>
      <c r="AG115" s="381"/>
      <c r="AH115" s="408"/>
      <c r="AI115" s="409">
        <f t="shared" ref="AI115:AI122" si="87">AF115+AG115</f>
        <v>0</v>
      </c>
      <c r="AJ115" s="410"/>
      <c r="AK115" s="411">
        <f t="shared" ref="AK115:AK122" si="88">AI115+AJ115</f>
        <v>0</v>
      </c>
      <c r="AL115" s="234"/>
      <c r="AM115" s="234"/>
      <c r="AN115" s="234"/>
    </row>
    <row r="116" spans="1:40" ht="20.25">
      <c r="A116" s="316" t="s">
        <v>128</v>
      </c>
      <c r="B116" s="710"/>
      <c r="C116" s="295"/>
      <c r="D116" s="1077"/>
      <c r="E116" s="319"/>
      <c r="F116" s="320"/>
      <c r="G116" s="320"/>
      <c r="H116" s="321"/>
      <c r="I116" s="321"/>
      <c r="J116" s="320"/>
      <c r="K116" s="1090"/>
      <c r="L116" s="351"/>
      <c r="M116" s="352"/>
      <c r="N116" s="353"/>
      <c r="O116" s="321"/>
      <c r="P116" s="321"/>
      <c r="Q116" s="321"/>
      <c r="R116" s="321"/>
      <c r="S116" s="321"/>
      <c r="T116" s="321"/>
      <c r="U116" s="351"/>
      <c r="V116" s="352"/>
      <c r="W116" s="319"/>
      <c r="X116" s="320"/>
      <c r="Y116" s="320"/>
      <c r="Z116" s="321"/>
      <c r="AA116" s="321"/>
      <c r="AB116" s="321"/>
      <c r="AC116" s="320"/>
      <c r="AD116" s="380"/>
      <c r="AE116" s="352"/>
      <c r="AF116" s="381">
        <f t="shared" si="86"/>
        <v>0</v>
      </c>
      <c r="AG116" s="381"/>
      <c r="AH116" s="408"/>
      <c r="AI116" s="409">
        <f t="shared" si="87"/>
        <v>0</v>
      </c>
      <c r="AJ116" s="410"/>
      <c r="AK116" s="411">
        <f t="shared" si="88"/>
        <v>0</v>
      </c>
      <c r="AL116" s="234"/>
      <c r="AM116" s="234"/>
      <c r="AN116" s="234"/>
    </row>
    <row r="117" spans="1:40" ht="20.25">
      <c r="A117" s="316" t="s">
        <v>128</v>
      </c>
      <c r="B117" s="710"/>
      <c r="C117" s="295"/>
      <c r="D117" s="1077"/>
      <c r="E117" s="319"/>
      <c r="F117" s="320"/>
      <c r="G117" s="320"/>
      <c r="H117" s="321"/>
      <c r="I117" s="321"/>
      <c r="J117" s="320"/>
      <c r="K117" s="1090"/>
      <c r="L117" s="351"/>
      <c r="M117" s="352"/>
      <c r="N117" s="353"/>
      <c r="O117" s="321"/>
      <c r="P117" s="321"/>
      <c r="Q117" s="321"/>
      <c r="R117" s="321"/>
      <c r="S117" s="321"/>
      <c r="T117" s="321"/>
      <c r="U117" s="351"/>
      <c r="V117" s="352"/>
      <c r="W117" s="319"/>
      <c r="X117" s="320"/>
      <c r="Y117" s="320"/>
      <c r="Z117" s="321"/>
      <c r="AA117" s="321"/>
      <c r="AB117" s="321"/>
      <c r="AC117" s="320"/>
      <c r="AD117" s="380"/>
      <c r="AE117" s="352"/>
      <c r="AF117" s="381">
        <f t="shared" si="86"/>
        <v>0</v>
      </c>
      <c r="AG117" s="381"/>
      <c r="AH117" s="408"/>
      <c r="AI117" s="409">
        <f t="shared" si="87"/>
        <v>0</v>
      </c>
      <c r="AJ117" s="410"/>
      <c r="AK117" s="411">
        <f t="shared" si="88"/>
        <v>0</v>
      </c>
      <c r="AL117" s="234"/>
      <c r="AM117" s="234"/>
      <c r="AN117" s="234"/>
    </row>
    <row r="118" spans="1:40" ht="20.25">
      <c r="A118" s="316" t="s">
        <v>128</v>
      </c>
      <c r="B118" s="710"/>
      <c r="C118" s="295"/>
      <c r="D118" s="1077"/>
      <c r="E118" s="319"/>
      <c r="F118" s="320"/>
      <c r="G118" s="320"/>
      <c r="H118" s="321"/>
      <c r="I118" s="321"/>
      <c r="J118" s="320"/>
      <c r="K118" s="1090"/>
      <c r="L118" s="351"/>
      <c r="M118" s="352"/>
      <c r="N118" s="353"/>
      <c r="O118" s="321"/>
      <c r="P118" s="321"/>
      <c r="Q118" s="321"/>
      <c r="R118" s="321"/>
      <c r="S118" s="321"/>
      <c r="T118" s="321"/>
      <c r="U118" s="351"/>
      <c r="V118" s="352"/>
      <c r="W118" s="319"/>
      <c r="X118" s="320"/>
      <c r="Y118" s="320"/>
      <c r="Z118" s="321"/>
      <c r="AA118" s="321"/>
      <c r="AB118" s="321"/>
      <c r="AC118" s="320"/>
      <c r="AD118" s="380"/>
      <c r="AE118" s="352"/>
      <c r="AF118" s="381">
        <f t="shared" si="86"/>
        <v>0</v>
      </c>
      <c r="AG118" s="381"/>
      <c r="AH118" s="408"/>
      <c r="AI118" s="409">
        <f t="shared" si="87"/>
        <v>0</v>
      </c>
      <c r="AJ118" s="410"/>
      <c r="AK118" s="411">
        <f t="shared" si="88"/>
        <v>0</v>
      </c>
      <c r="AL118" s="234"/>
      <c r="AM118" s="234"/>
      <c r="AN118" s="234"/>
    </row>
    <row r="119" spans="1:40" ht="20.25">
      <c r="A119" s="316" t="s">
        <v>128</v>
      </c>
      <c r="B119" s="822"/>
      <c r="C119" s="295"/>
      <c r="D119" s="1077"/>
      <c r="E119" s="319"/>
      <c r="F119" s="320"/>
      <c r="G119" s="320"/>
      <c r="H119" s="321"/>
      <c r="I119" s="321"/>
      <c r="J119" s="320"/>
      <c r="K119" s="1090"/>
      <c r="L119" s="351"/>
      <c r="M119" s="352"/>
      <c r="N119" s="353"/>
      <c r="O119" s="321"/>
      <c r="P119" s="321"/>
      <c r="Q119" s="321"/>
      <c r="R119" s="321"/>
      <c r="S119" s="321"/>
      <c r="T119" s="321"/>
      <c r="U119" s="351"/>
      <c r="V119" s="352"/>
      <c r="W119" s="319"/>
      <c r="X119" s="320"/>
      <c r="Y119" s="320"/>
      <c r="Z119" s="321"/>
      <c r="AA119" s="321"/>
      <c r="AB119" s="321"/>
      <c r="AC119" s="320"/>
      <c r="AD119" s="380"/>
      <c r="AE119" s="352"/>
      <c r="AF119" s="381">
        <f t="shared" ref="AF119:AF122" si="89">SUM(E119:AD119)</f>
        <v>0</v>
      </c>
      <c r="AG119" s="381"/>
      <c r="AH119" s="408"/>
      <c r="AI119" s="409">
        <f t="shared" si="87"/>
        <v>0</v>
      </c>
      <c r="AJ119" s="410"/>
      <c r="AK119" s="411">
        <f t="shared" si="88"/>
        <v>0</v>
      </c>
      <c r="AL119" s="234"/>
      <c r="AM119" s="234"/>
      <c r="AN119" s="234"/>
    </row>
    <row r="120" spans="1:40" ht="20.25">
      <c r="A120" s="316" t="s">
        <v>128</v>
      </c>
      <c r="B120" s="710"/>
      <c r="C120" s="295"/>
      <c r="D120" s="1077"/>
      <c r="E120" s="319"/>
      <c r="F120" s="320"/>
      <c r="G120" s="320"/>
      <c r="H120" s="321"/>
      <c r="I120" s="321"/>
      <c r="J120" s="320"/>
      <c r="K120" s="1090"/>
      <c r="L120" s="351"/>
      <c r="M120" s="352"/>
      <c r="N120" s="353"/>
      <c r="O120" s="321"/>
      <c r="P120" s="321"/>
      <c r="Q120" s="321"/>
      <c r="R120" s="321"/>
      <c r="S120" s="321"/>
      <c r="T120" s="321"/>
      <c r="U120" s="351"/>
      <c r="V120" s="352"/>
      <c r="W120" s="319"/>
      <c r="X120" s="320"/>
      <c r="Y120" s="320"/>
      <c r="Z120" s="321"/>
      <c r="AA120" s="321"/>
      <c r="AB120" s="321"/>
      <c r="AC120" s="320"/>
      <c r="AD120" s="380"/>
      <c r="AE120" s="352"/>
      <c r="AF120" s="381">
        <f t="shared" si="89"/>
        <v>0</v>
      </c>
      <c r="AG120" s="381"/>
      <c r="AH120" s="408"/>
      <c r="AI120" s="409">
        <f t="shared" si="87"/>
        <v>0</v>
      </c>
      <c r="AJ120" s="410"/>
      <c r="AK120" s="411">
        <f t="shared" si="88"/>
        <v>0</v>
      </c>
      <c r="AL120" s="234"/>
      <c r="AM120" s="234"/>
      <c r="AN120" s="234"/>
    </row>
    <row r="121" spans="1:40" ht="20.25">
      <c r="A121" s="316" t="s">
        <v>128</v>
      </c>
      <c r="B121" s="295"/>
      <c r="C121" s="295"/>
      <c r="D121" s="1077"/>
      <c r="E121" s="319"/>
      <c r="F121" s="320"/>
      <c r="G121" s="320"/>
      <c r="H121" s="321"/>
      <c r="I121" s="321"/>
      <c r="J121" s="320"/>
      <c r="K121" s="1090"/>
      <c r="L121" s="351"/>
      <c r="M121" s="352"/>
      <c r="N121" s="353"/>
      <c r="O121" s="321"/>
      <c r="P121" s="321"/>
      <c r="Q121" s="321"/>
      <c r="R121" s="321"/>
      <c r="S121" s="321"/>
      <c r="T121" s="321"/>
      <c r="U121" s="351"/>
      <c r="V121" s="352"/>
      <c r="W121" s="319"/>
      <c r="X121" s="320"/>
      <c r="Y121" s="320"/>
      <c r="Z121" s="321"/>
      <c r="AA121" s="321"/>
      <c r="AB121" s="321"/>
      <c r="AC121" s="320"/>
      <c r="AD121" s="380"/>
      <c r="AE121" s="352"/>
      <c r="AF121" s="381">
        <f t="shared" si="89"/>
        <v>0</v>
      </c>
      <c r="AG121" s="381"/>
      <c r="AH121" s="408"/>
      <c r="AI121" s="409">
        <f t="shared" si="87"/>
        <v>0</v>
      </c>
      <c r="AJ121" s="410"/>
      <c r="AK121" s="411">
        <f t="shared" si="88"/>
        <v>0</v>
      </c>
      <c r="AL121" s="234"/>
      <c r="AM121" s="234"/>
      <c r="AN121" s="234"/>
    </row>
    <row r="122" spans="1:40" ht="20.25">
      <c r="A122" s="316" t="s">
        <v>128</v>
      </c>
      <c r="B122" s="295"/>
      <c r="C122" s="295"/>
      <c r="D122" s="1077"/>
      <c r="E122" s="319"/>
      <c r="F122" s="320"/>
      <c r="G122" s="320"/>
      <c r="H122" s="321"/>
      <c r="I122" s="321"/>
      <c r="J122" s="320"/>
      <c r="K122" s="1090"/>
      <c r="L122" s="351"/>
      <c r="M122" s="352"/>
      <c r="N122" s="353"/>
      <c r="O122" s="321"/>
      <c r="P122" s="321"/>
      <c r="Q122" s="321"/>
      <c r="R122" s="321"/>
      <c r="S122" s="321"/>
      <c r="T122" s="321"/>
      <c r="U122" s="351"/>
      <c r="V122" s="352"/>
      <c r="W122" s="319"/>
      <c r="X122" s="320"/>
      <c r="Y122" s="320"/>
      <c r="Z122" s="321"/>
      <c r="AA122" s="321"/>
      <c r="AB122" s="321"/>
      <c r="AC122" s="320"/>
      <c r="AD122" s="380"/>
      <c r="AE122" s="352"/>
      <c r="AF122" s="381">
        <f t="shared" si="89"/>
        <v>0</v>
      </c>
      <c r="AG122" s="381"/>
      <c r="AH122" s="408"/>
      <c r="AI122" s="409">
        <f t="shared" si="87"/>
        <v>0</v>
      </c>
      <c r="AJ122" s="410"/>
      <c r="AK122" s="411">
        <f t="shared" si="88"/>
        <v>0</v>
      </c>
      <c r="AL122" s="234"/>
      <c r="AM122" s="234"/>
      <c r="AN122" s="234"/>
    </row>
    <row r="123" spans="1:40" ht="20.25">
      <c r="A123" s="316" t="s">
        <v>128</v>
      </c>
      <c r="B123" s="295"/>
      <c r="C123" s="295"/>
      <c r="D123" s="1077"/>
      <c r="E123" s="319"/>
      <c r="F123" s="320"/>
      <c r="G123" s="320"/>
      <c r="H123" s="321"/>
      <c r="I123" s="321"/>
      <c r="J123" s="320"/>
      <c r="K123" s="1090"/>
      <c r="L123" s="351"/>
      <c r="M123" s="352"/>
      <c r="N123" s="353"/>
      <c r="O123" s="321"/>
      <c r="P123" s="321"/>
      <c r="Q123" s="321"/>
      <c r="R123" s="321"/>
      <c r="S123" s="321"/>
      <c r="T123" s="321"/>
      <c r="U123" s="351"/>
      <c r="V123" s="352"/>
      <c r="W123" s="319"/>
      <c r="X123" s="320"/>
      <c r="Y123" s="320"/>
      <c r="Z123" s="321"/>
      <c r="AA123" s="321"/>
      <c r="AB123" s="321"/>
      <c r="AC123" s="320"/>
      <c r="AD123" s="380"/>
      <c r="AE123" s="352"/>
      <c r="AF123" s="381">
        <f t="shared" ref="AF123:AF130" si="90">SUM(E123:AD123)</f>
        <v>0</v>
      </c>
      <c r="AG123" s="381"/>
      <c r="AH123" s="408"/>
      <c r="AI123" s="409">
        <f t="shared" ref="AI123:AI139" si="91">AF123+AG123</f>
        <v>0</v>
      </c>
      <c r="AJ123" s="410"/>
      <c r="AK123" s="411">
        <f t="shared" ref="AK123:AK127" si="92">AI123+AJ123</f>
        <v>0</v>
      </c>
      <c r="AL123" s="234"/>
      <c r="AM123" s="234"/>
      <c r="AN123" s="234"/>
    </row>
    <row r="124" spans="1:40" ht="20.25">
      <c r="A124" s="316" t="s">
        <v>128</v>
      </c>
      <c r="B124" s="295"/>
      <c r="C124" s="295"/>
      <c r="D124" s="1077"/>
      <c r="E124" s="319"/>
      <c r="F124" s="320"/>
      <c r="G124" s="320"/>
      <c r="H124" s="321"/>
      <c r="I124" s="321"/>
      <c r="J124" s="320"/>
      <c r="K124" s="1090"/>
      <c r="L124" s="351"/>
      <c r="M124" s="352"/>
      <c r="N124" s="353"/>
      <c r="O124" s="321"/>
      <c r="P124" s="321"/>
      <c r="Q124" s="321"/>
      <c r="R124" s="321"/>
      <c r="S124" s="321"/>
      <c r="T124" s="321"/>
      <c r="U124" s="351"/>
      <c r="V124" s="352"/>
      <c r="W124" s="319"/>
      <c r="X124" s="320"/>
      <c r="Y124" s="320"/>
      <c r="Z124" s="321"/>
      <c r="AA124" s="321"/>
      <c r="AB124" s="321"/>
      <c r="AC124" s="320"/>
      <c r="AD124" s="380"/>
      <c r="AE124" s="352"/>
      <c r="AF124" s="381">
        <f t="shared" si="90"/>
        <v>0</v>
      </c>
      <c r="AG124" s="381"/>
      <c r="AH124" s="408"/>
      <c r="AI124" s="409">
        <f t="shared" si="91"/>
        <v>0</v>
      </c>
      <c r="AJ124" s="410"/>
      <c r="AK124" s="411">
        <f t="shared" si="92"/>
        <v>0</v>
      </c>
      <c r="AL124" s="234"/>
      <c r="AM124" s="234"/>
      <c r="AN124" s="234"/>
    </row>
    <row r="125" spans="1:40" ht="20.25">
      <c r="A125" s="316" t="s">
        <v>128</v>
      </c>
      <c r="B125" s="295"/>
      <c r="C125" s="295"/>
      <c r="D125" s="1077"/>
      <c r="E125" s="319"/>
      <c r="F125" s="320"/>
      <c r="G125" s="320"/>
      <c r="H125" s="321"/>
      <c r="I125" s="321"/>
      <c r="J125" s="320"/>
      <c r="K125" s="842"/>
      <c r="L125" s="351"/>
      <c r="M125" s="352"/>
      <c r="N125" s="353"/>
      <c r="O125" s="321"/>
      <c r="P125" s="321"/>
      <c r="Q125" s="321"/>
      <c r="R125" s="321"/>
      <c r="S125" s="321"/>
      <c r="T125" s="321"/>
      <c r="U125" s="351"/>
      <c r="V125" s="352"/>
      <c r="W125" s="319"/>
      <c r="X125" s="320"/>
      <c r="Y125" s="320"/>
      <c r="Z125" s="321"/>
      <c r="AA125" s="321"/>
      <c r="AB125" s="321"/>
      <c r="AC125" s="320"/>
      <c r="AD125" s="380"/>
      <c r="AE125" s="352"/>
      <c r="AF125" s="381">
        <f t="shared" si="90"/>
        <v>0</v>
      </c>
      <c r="AG125" s="381"/>
      <c r="AH125" s="408"/>
      <c r="AI125" s="409">
        <f t="shared" si="91"/>
        <v>0</v>
      </c>
      <c r="AJ125" s="410"/>
      <c r="AK125" s="411">
        <f t="shared" si="92"/>
        <v>0</v>
      </c>
      <c r="AL125" s="234"/>
      <c r="AM125" s="234"/>
      <c r="AN125" s="234"/>
    </row>
    <row r="126" spans="1:40" ht="20.25">
      <c r="A126" s="316" t="s">
        <v>128</v>
      </c>
      <c r="B126" s="295"/>
      <c r="C126" s="295"/>
      <c r="D126" s="1077"/>
      <c r="E126" s="319"/>
      <c r="F126" s="320"/>
      <c r="G126" s="320"/>
      <c r="H126" s="321"/>
      <c r="I126" s="321"/>
      <c r="J126" s="320"/>
      <c r="K126" s="842"/>
      <c r="L126" s="351"/>
      <c r="M126" s="352"/>
      <c r="N126" s="353"/>
      <c r="O126" s="321"/>
      <c r="P126" s="321"/>
      <c r="Q126" s="321"/>
      <c r="R126" s="321"/>
      <c r="S126" s="321"/>
      <c r="T126" s="321"/>
      <c r="U126" s="351"/>
      <c r="V126" s="352"/>
      <c r="W126" s="319"/>
      <c r="X126" s="320"/>
      <c r="Y126" s="320"/>
      <c r="Z126" s="321"/>
      <c r="AA126" s="321"/>
      <c r="AB126" s="321"/>
      <c r="AC126" s="320"/>
      <c r="AD126" s="380"/>
      <c r="AE126" s="352"/>
      <c r="AF126" s="381">
        <f t="shared" si="90"/>
        <v>0</v>
      </c>
      <c r="AG126" s="381"/>
      <c r="AH126" s="408"/>
      <c r="AI126" s="409">
        <f t="shared" si="91"/>
        <v>0</v>
      </c>
      <c r="AJ126" s="410"/>
      <c r="AK126" s="411">
        <f t="shared" si="92"/>
        <v>0</v>
      </c>
      <c r="AL126" s="234"/>
      <c r="AM126" s="234"/>
      <c r="AN126" s="234"/>
    </row>
    <row r="127" spans="1:40" ht="20.25">
      <c r="A127" s="316" t="s">
        <v>128</v>
      </c>
      <c r="B127" s="295"/>
      <c r="C127" s="295"/>
      <c r="D127" s="1077"/>
      <c r="E127" s="319"/>
      <c r="F127" s="320"/>
      <c r="G127" s="320"/>
      <c r="H127" s="321"/>
      <c r="I127" s="321"/>
      <c r="J127" s="320"/>
      <c r="K127" s="842"/>
      <c r="L127" s="351"/>
      <c r="M127" s="352"/>
      <c r="N127" s="353"/>
      <c r="O127" s="321"/>
      <c r="P127" s="321"/>
      <c r="Q127" s="321"/>
      <c r="R127" s="321"/>
      <c r="S127" s="321"/>
      <c r="T127" s="321"/>
      <c r="U127" s="351"/>
      <c r="V127" s="352"/>
      <c r="W127" s="319"/>
      <c r="X127" s="320"/>
      <c r="Y127" s="320"/>
      <c r="Z127" s="321"/>
      <c r="AA127" s="321"/>
      <c r="AB127" s="321"/>
      <c r="AC127" s="320"/>
      <c r="AD127" s="380"/>
      <c r="AE127" s="352"/>
      <c r="AF127" s="381">
        <f t="shared" si="90"/>
        <v>0</v>
      </c>
      <c r="AG127" s="381"/>
      <c r="AH127" s="408"/>
      <c r="AI127" s="409">
        <f t="shared" si="91"/>
        <v>0</v>
      </c>
      <c r="AJ127" s="410"/>
      <c r="AK127" s="411">
        <f t="shared" si="92"/>
        <v>0</v>
      </c>
      <c r="AL127" s="234"/>
      <c r="AM127" s="234"/>
      <c r="AN127" s="234"/>
    </row>
    <row r="128" spans="1:40" ht="20.25">
      <c r="A128" s="316" t="s">
        <v>128</v>
      </c>
      <c r="B128" s="295"/>
      <c r="C128" s="295"/>
      <c r="D128" s="1077"/>
      <c r="E128" s="319"/>
      <c r="F128" s="320"/>
      <c r="G128" s="320"/>
      <c r="H128" s="321"/>
      <c r="I128" s="321"/>
      <c r="J128" s="320"/>
      <c r="K128" s="842"/>
      <c r="L128" s="351"/>
      <c r="M128" s="352"/>
      <c r="N128" s="353"/>
      <c r="O128" s="321"/>
      <c r="P128" s="321"/>
      <c r="Q128" s="321"/>
      <c r="R128" s="321"/>
      <c r="S128" s="321"/>
      <c r="T128" s="321"/>
      <c r="U128" s="351"/>
      <c r="V128" s="352"/>
      <c r="W128" s="319"/>
      <c r="X128" s="320"/>
      <c r="Y128" s="320"/>
      <c r="Z128" s="321"/>
      <c r="AA128" s="321"/>
      <c r="AB128" s="321"/>
      <c r="AC128" s="320"/>
      <c r="AD128" s="380"/>
      <c r="AE128" s="352"/>
      <c r="AF128" s="381">
        <f t="shared" si="90"/>
        <v>0</v>
      </c>
      <c r="AG128" s="381"/>
      <c r="AH128" s="408"/>
      <c r="AI128" s="409">
        <f t="shared" si="91"/>
        <v>0</v>
      </c>
      <c r="AJ128" s="410"/>
      <c r="AK128" s="411">
        <f t="shared" ref="AK128:AK139" si="93">AI128+AJ128</f>
        <v>0</v>
      </c>
      <c r="AL128" s="234"/>
      <c r="AM128" s="234"/>
      <c r="AN128" s="234"/>
    </row>
    <row r="129" spans="1:40" ht="20.25">
      <c r="A129" s="316" t="s">
        <v>128</v>
      </c>
      <c r="B129" s="295"/>
      <c r="C129" s="295"/>
      <c r="D129" s="1077"/>
      <c r="E129" s="319"/>
      <c r="F129" s="320"/>
      <c r="G129" s="320"/>
      <c r="H129" s="321"/>
      <c r="I129" s="321"/>
      <c r="J129" s="320"/>
      <c r="K129" s="842"/>
      <c r="L129" s="351"/>
      <c r="M129" s="352"/>
      <c r="N129" s="353"/>
      <c r="O129" s="321"/>
      <c r="P129" s="321"/>
      <c r="Q129" s="321"/>
      <c r="R129" s="321"/>
      <c r="S129" s="321"/>
      <c r="T129" s="321"/>
      <c r="U129" s="351"/>
      <c r="V129" s="352"/>
      <c r="W129" s="319"/>
      <c r="X129" s="320"/>
      <c r="Y129" s="320"/>
      <c r="Z129" s="321"/>
      <c r="AA129" s="321"/>
      <c r="AB129" s="321"/>
      <c r="AC129" s="320"/>
      <c r="AD129" s="380"/>
      <c r="AE129" s="352"/>
      <c r="AF129" s="381">
        <f t="shared" si="90"/>
        <v>0</v>
      </c>
      <c r="AG129" s="381"/>
      <c r="AH129" s="408"/>
      <c r="AI129" s="409">
        <f t="shared" si="91"/>
        <v>0</v>
      </c>
      <c r="AJ129" s="410"/>
      <c r="AK129" s="411">
        <f t="shared" si="93"/>
        <v>0</v>
      </c>
      <c r="AL129" s="234"/>
      <c r="AM129" s="234"/>
      <c r="AN129" s="234"/>
    </row>
    <row r="130" spans="1:40" ht="20.25">
      <c r="A130" s="316" t="s">
        <v>128</v>
      </c>
      <c r="B130" s="295"/>
      <c r="C130" s="295"/>
      <c r="D130" s="1077"/>
      <c r="E130" s="319"/>
      <c r="F130" s="320"/>
      <c r="G130" s="320"/>
      <c r="H130" s="321"/>
      <c r="I130" s="321"/>
      <c r="J130" s="320"/>
      <c r="K130" s="842"/>
      <c r="L130" s="351"/>
      <c r="M130" s="352"/>
      <c r="N130" s="353"/>
      <c r="O130" s="321"/>
      <c r="P130" s="321"/>
      <c r="Q130" s="321"/>
      <c r="R130" s="321"/>
      <c r="S130" s="321"/>
      <c r="T130" s="321"/>
      <c r="U130" s="351"/>
      <c r="V130" s="352"/>
      <c r="W130" s="319"/>
      <c r="X130" s="320"/>
      <c r="Y130" s="320"/>
      <c r="Z130" s="321"/>
      <c r="AA130" s="321"/>
      <c r="AB130" s="321"/>
      <c r="AC130" s="320"/>
      <c r="AD130" s="380"/>
      <c r="AE130" s="352"/>
      <c r="AF130" s="381">
        <f t="shared" si="90"/>
        <v>0</v>
      </c>
      <c r="AG130" s="381"/>
      <c r="AH130" s="408"/>
      <c r="AI130" s="409">
        <f t="shared" si="91"/>
        <v>0</v>
      </c>
      <c r="AJ130" s="410"/>
      <c r="AK130" s="411">
        <f t="shared" si="93"/>
        <v>0</v>
      </c>
      <c r="AL130" s="234"/>
      <c r="AM130" s="234"/>
      <c r="AN130" s="234"/>
    </row>
    <row r="131" spans="1:40" ht="20.25">
      <c r="A131" s="316" t="s">
        <v>128</v>
      </c>
      <c r="B131" s="295"/>
      <c r="C131" s="295"/>
      <c r="D131" s="1077"/>
      <c r="E131" s="319"/>
      <c r="F131" s="320"/>
      <c r="G131" s="320"/>
      <c r="H131" s="321"/>
      <c r="I131" s="321"/>
      <c r="J131" s="320"/>
      <c r="K131" s="842"/>
      <c r="L131" s="351"/>
      <c r="M131" s="352"/>
      <c r="N131" s="353"/>
      <c r="O131" s="321"/>
      <c r="P131" s="321"/>
      <c r="Q131" s="321"/>
      <c r="R131" s="321"/>
      <c r="S131" s="321"/>
      <c r="T131" s="321"/>
      <c r="U131" s="351"/>
      <c r="V131" s="352"/>
      <c r="W131" s="319"/>
      <c r="X131" s="320"/>
      <c r="Y131" s="320"/>
      <c r="Z131" s="321"/>
      <c r="AA131" s="321"/>
      <c r="AB131" s="321"/>
      <c r="AC131" s="320"/>
      <c r="AD131" s="380"/>
      <c r="AE131" s="352"/>
      <c r="AF131" s="381">
        <f t="shared" ref="AF131:AF139" si="94">SUM(E131:AD131)</f>
        <v>0</v>
      </c>
      <c r="AG131" s="381"/>
      <c r="AH131" s="408"/>
      <c r="AI131" s="409">
        <f t="shared" si="91"/>
        <v>0</v>
      </c>
      <c r="AJ131" s="410"/>
      <c r="AK131" s="411">
        <f t="shared" si="93"/>
        <v>0</v>
      </c>
      <c r="AL131" s="234"/>
      <c r="AM131" s="234"/>
      <c r="AN131" s="234"/>
    </row>
    <row r="132" spans="1:40" ht="20.25">
      <c r="A132" s="316" t="s">
        <v>128</v>
      </c>
      <c r="B132" s="295"/>
      <c r="C132" s="295"/>
      <c r="D132" s="1077"/>
      <c r="E132" s="319"/>
      <c r="F132" s="320"/>
      <c r="G132" s="320"/>
      <c r="H132" s="321"/>
      <c r="I132" s="321"/>
      <c r="J132" s="320"/>
      <c r="K132" s="842"/>
      <c r="L132" s="351"/>
      <c r="M132" s="352"/>
      <c r="N132" s="353"/>
      <c r="O132" s="321"/>
      <c r="P132" s="321"/>
      <c r="Q132" s="321"/>
      <c r="R132" s="321"/>
      <c r="S132" s="321"/>
      <c r="T132" s="321"/>
      <c r="U132" s="351"/>
      <c r="V132" s="352"/>
      <c r="W132" s="319"/>
      <c r="X132" s="320"/>
      <c r="Y132" s="320"/>
      <c r="Z132" s="321"/>
      <c r="AA132" s="321"/>
      <c r="AB132" s="321"/>
      <c r="AC132" s="320"/>
      <c r="AD132" s="380"/>
      <c r="AE132" s="352"/>
      <c r="AF132" s="381">
        <f t="shared" si="94"/>
        <v>0</v>
      </c>
      <c r="AG132" s="381"/>
      <c r="AH132" s="408"/>
      <c r="AI132" s="409">
        <f t="shared" si="91"/>
        <v>0</v>
      </c>
      <c r="AJ132" s="410"/>
      <c r="AK132" s="411">
        <f t="shared" si="93"/>
        <v>0</v>
      </c>
      <c r="AL132" s="234"/>
      <c r="AM132" s="234"/>
      <c r="AN132" s="234"/>
    </row>
    <row r="133" spans="1:40" ht="20.25">
      <c r="A133" s="316" t="s">
        <v>128</v>
      </c>
      <c r="B133" s="295"/>
      <c r="C133" s="295"/>
      <c r="D133" s="1077"/>
      <c r="E133" s="319"/>
      <c r="F133" s="320"/>
      <c r="G133" s="320"/>
      <c r="H133" s="321"/>
      <c r="I133" s="321"/>
      <c r="J133" s="320"/>
      <c r="K133" s="842"/>
      <c r="L133" s="351"/>
      <c r="M133" s="352"/>
      <c r="N133" s="353"/>
      <c r="O133" s="321"/>
      <c r="P133" s="321"/>
      <c r="Q133" s="321"/>
      <c r="R133" s="321"/>
      <c r="S133" s="321"/>
      <c r="T133" s="321"/>
      <c r="U133" s="351"/>
      <c r="V133" s="352"/>
      <c r="W133" s="319"/>
      <c r="X133" s="320"/>
      <c r="Y133" s="320"/>
      <c r="Z133" s="321"/>
      <c r="AA133" s="321"/>
      <c r="AB133" s="321"/>
      <c r="AC133" s="320"/>
      <c r="AD133" s="380"/>
      <c r="AE133" s="352"/>
      <c r="AF133" s="381">
        <f t="shared" si="94"/>
        <v>0</v>
      </c>
      <c r="AG133" s="381"/>
      <c r="AH133" s="408"/>
      <c r="AI133" s="409">
        <f t="shared" si="91"/>
        <v>0</v>
      </c>
      <c r="AJ133" s="410"/>
      <c r="AK133" s="411">
        <f t="shared" si="93"/>
        <v>0</v>
      </c>
      <c r="AL133" s="234"/>
      <c r="AM133" s="234"/>
      <c r="AN133" s="234"/>
    </row>
    <row r="134" spans="1:40" ht="20.25">
      <c r="A134" s="316" t="s">
        <v>128</v>
      </c>
      <c r="B134" s="295"/>
      <c r="C134" s="295"/>
      <c r="D134" s="1077"/>
      <c r="E134" s="319"/>
      <c r="F134" s="320"/>
      <c r="G134" s="320"/>
      <c r="H134" s="321"/>
      <c r="I134" s="321"/>
      <c r="J134" s="320"/>
      <c r="K134" s="842"/>
      <c r="L134" s="351"/>
      <c r="M134" s="352"/>
      <c r="N134" s="353"/>
      <c r="O134" s="321"/>
      <c r="P134" s="321"/>
      <c r="Q134" s="321"/>
      <c r="R134" s="321"/>
      <c r="S134" s="321"/>
      <c r="T134" s="321"/>
      <c r="U134" s="351"/>
      <c r="V134" s="352"/>
      <c r="W134" s="319"/>
      <c r="X134" s="320"/>
      <c r="Y134" s="320"/>
      <c r="Z134" s="321"/>
      <c r="AA134" s="321"/>
      <c r="AB134" s="321"/>
      <c r="AC134" s="320"/>
      <c r="AD134" s="380"/>
      <c r="AE134" s="352"/>
      <c r="AF134" s="381">
        <f t="shared" si="94"/>
        <v>0</v>
      </c>
      <c r="AG134" s="381"/>
      <c r="AH134" s="408"/>
      <c r="AI134" s="409">
        <f t="shared" si="91"/>
        <v>0</v>
      </c>
      <c r="AJ134" s="410"/>
      <c r="AK134" s="411">
        <f t="shared" si="93"/>
        <v>0</v>
      </c>
      <c r="AL134" s="234"/>
      <c r="AM134" s="234"/>
      <c r="AN134" s="234"/>
    </row>
    <row r="135" spans="1:40" ht="21" thickBot="1">
      <c r="A135" s="316" t="s">
        <v>128</v>
      </c>
      <c r="B135" s="295"/>
      <c r="C135" s="295"/>
      <c r="D135" s="1077"/>
      <c r="E135" s="319"/>
      <c r="F135" s="320"/>
      <c r="G135" s="320"/>
      <c r="H135" s="321"/>
      <c r="I135" s="321"/>
      <c r="J135" s="320"/>
      <c r="K135" s="842"/>
      <c r="L135" s="351"/>
      <c r="M135" s="352"/>
      <c r="N135" s="353"/>
      <c r="O135" s="321"/>
      <c r="P135" s="321"/>
      <c r="Q135" s="321"/>
      <c r="R135" s="321"/>
      <c r="S135" s="321"/>
      <c r="T135" s="321"/>
      <c r="U135" s="351"/>
      <c r="V135" s="352"/>
      <c r="W135" s="319"/>
      <c r="X135" s="320"/>
      <c r="Y135" s="320"/>
      <c r="Z135" s="321"/>
      <c r="AA135" s="321"/>
      <c r="AB135" s="321"/>
      <c r="AC135" s="320"/>
      <c r="AD135" s="380"/>
      <c r="AE135" s="352"/>
      <c r="AF135" s="381">
        <f t="shared" si="94"/>
        <v>0</v>
      </c>
      <c r="AG135" s="381"/>
      <c r="AH135" s="408"/>
      <c r="AI135" s="409">
        <f t="shared" si="91"/>
        <v>0</v>
      </c>
      <c r="AJ135" s="410"/>
      <c r="AK135" s="411">
        <f t="shared" si="93"/>
        <v>0</v>
      </c>
      <c r="AL135" s="234"/>
      <c r="AM135" s="234"/>
      <c r="AN135" s="234"/>
    </row>
    <row r="136" spans="1:40" ht="21" thickBot="1">
      <c r="A136" s="316" t="s">
        <v>128</v>
      </c>
      <c r="B136" s="295"/>
      <c r="C136" s="295"/>
      <c r="D136" s="1077"/>
      <c r="E136" s="319"/>
      <c r="F136" s="320"/>
      <c r="G136" s="320"/>
      <c r="H136" s="321"/>
      <c r="I136" s="321"/>
      <c r="J136" s="320"/>
      <c r="K136" s="842"/>
      <c r="L136" s="351"/>
      <c r="M136" s="352"/>
      <c r="N136" s="353"/>
      <c r="O136" s="321"/>
      <c r="P136" s="321"/>
      <c r="Q136" s="321"/>
      <c r="R136" s="321"/>
      <c r="S136" s="321"/>
      <c r="T136" s="321"/>
      <c r="U136" s="351"/>
      <c r="V136" s="352"/>
      <c r="W136" s="319"/>
      <c r="X136" s="320"/>
      <c r="Y136" s="320"/>
      <c r="Z136" s="321"/>
      <c r="AA136" s="321"/>
      <c r="AB136" s="321"/>
      <c r="AC136" s="320"/>
      <c r="AD136" s="380"/>
      <c r="AE136" s="352"/>
      <c r="AF136" s="381">
        <f t="shared" si="94"/>
        <v>0</v>
      </c>
      <c r="AG136" s="381"/>
      <c r="AH136" s="408"/>
      <c r="AI136" s="409">
        <f t="shared" si="91"/>
        <v>0</v>
      </c>
      <c r="AJ136" s="410"/>
      <c r="AK136" s="411">
        <f t="shared" si="93"/>
        <v>0</v>
      </c>
      <c r="AL136" s="414" t="s">
        <v>8</v>
      </c>
      <c r="AM136" s="397" t="s">
        <v>23</v>
      </c>
      <c r="AN136" s="415" t="s">
        <v>174</v>
      </c>
    </row>
    <row r="137" spans="1:40" s="284" customFormat="1" ht="21" thickBot="1">
      <c r="A137" s="316" t="s">
        <v>128</v>
      </c>
      <c r="B137" s="295"/>
      <c r="C137" s="295"/>
      <c r="D137" s="1077"/>
      <c r="E137" s="319"/>
      <c r="F137" s="320"/>
      <c r="G137" s="320"/>
      <c r="H137" s="321"/>
      <c r="I137" s="321"/>
      <c r="J137" s="320"/>
      <c r="K137" s="842"/>
      <c r="L137" s="351"/>
      <c r="M137" s="352"/>
      <c r="N137" s="353"/>
      <c r="O137" s="321"/>
      <c r="P137" s="321"/>
      <c r="Q137" s="321"/>
      <c r="R137" s="321"/>
      <c r="S137" s="321"/>
      <c r="T137" s="321"/>
      <c r="U137" s="351"/>
      <c r="V137" s="352"/>
      <c r="W137" s="319"/>
      <c r="X137" s="320"/>
      <c r="Y137" s="320"/>
      <c r="Z137" s="321"/>
      <c r="AA137" s="321"/>
      <c r="AB137" s="321"/>
      <c r="AC137" s="320"/>
      <c r="AD137" s="380"/>
      <c r="AE137" s="352"/>
      <c r="AF137" s="381">
        <f t="shared" si="94"/>
        <v>0</v>
      </c>
      <c r="AG137" s="381"/>
      <c r="AH137" s="408"/>
      <c r="AI137" s="409">
        <f t="shared" si="91"/>
        <v>0</v>
      </c>
      <c r="AJ137" s="410"/>
      <c r="AK137" s="411">
        <f t="shared" si="93"/>
        <v>0</v>
      </c>
      <c r="AL137" s="399" t="e">
        <f>'BIG CHAIR'!#REF!</f>
        <v>#REF!</v>
      </c>
      <c r="AM137" s="400">
        <f>'Tea Table'!X236</f>
        <v>96</v>
      </c>
      <c r="AN137" s="401" t="e">
        <f>AI140+AL137+AM137</f>
        <v>#REF!</v>
      </c>
    </row>
    <row r="138" spans="1:40" ht="20.25">
      <c r="A138" s="316" t="s">
        <v>128</v>
      </c>
      <c r="B138" s="295"/>
      <c r="C138" s="295"/>
      <c r="D138" s="1077"/>
      <c r="E138" s="319"/>
      <c r="F138" s="320"/>
      <c r="G138" s="320"/>
      <c r="H138" s="321"/>
      <c r="I138" s="321"/>
      <c r="J138" s="320"/>
      <c r="K138" s="842"/>
      <c r="L138" s="351"/>
      <c r="M138" s="352"/>
      <c r="N138" s="353"/>
      <c r="O138" s="321"/>
      <c r="P138" s="321"/>
      <c r="Q138" s="321"/>
      <c r="R138" s="321"/>
      <c r="S138" s="321"/>
      <c r="T138" s="321"/>
      <c r="U138" s="351"/>
      <c r="V138" s="352"/>
      <c r="W138" s="319"/>
      <c r="X138" s="320"/>
      <c r="Y138" s="320"/>
      <c r="Z138" s="321"/>
      <c r="AA138" s="321"/>
      <c r="AB138" s="321"/>
      <c r="AC138" s="320"/>
      <c r="AD138" s="380"/>
      <c r="AE138" s="352"/>
      <c r="AF138" s="381">
        <f t="shared" si="94"/>
        <v>0</v>
      </c>
      <c r="AG138" s="381"/>
      <c r="AH138" s="408"/>
      <c r="AI138" s="409">
        <f t="shared" si="91"/>
        <v>0</v>
      </c>
      <c r="AJ138" s="410"/>
      <c r="AK138" s="411">
        <f t="shared" si="93"/>
        <v>0</v>
      </c>
      <c r="AL138" s="282"/>
      <c r="AM138" s="282"/>
      <c r="AN138" s="282"/>
    </row>
    <row r="139" spans="1:40" ht="21" thickBot="1">
      <c r="A139" s="322"/>
      <c r="B139" s="323"/>
      <c r="C139" s="323"/>
      <c r="D139" s="1078"/>
      <c r="E139" s="325"/>
      <c r="F139" s="297"/>
      <c r="G139" s="297"/>
      <c r="H139" s="298"/>
      <c r="I139" s="298"/>
      <c r="J139" s="297"/>
      <c r="K139" s="1086"/>
      <c r="L139" s="367"/>
      <c r="M139" s="355"/>
      <c r="N139" s="343"/>
      <c r="O139" s="298"/>
      <c r="P139" s="298"/>
      <c r="Q139" s="298"/>
      <c r="R139" s="298"/>
      <c r="S139" s="298"/>
      <c r="T139" s="298"/>
      <c r="U139" s="367"/>
      <c r="V139" s="355"/>
      <c r="W139" s="325"/>
      <c r="X139" s="297"/>
      <c r="Y139" s="297"/>
      <c r="Z139" s="298"/>
      <c r="AA139" s="298"/>
      <c r="AB139" s="298"/>
      <c r="AC139" s="297"/>
      <c r="AD139" s="375"/>
      <c r="AE139" s="355"/>
      <c r="AF139" s="376">
        <f t="shared" si="94"/>
        <v>0</v>
      </c>
      <c r="AG139" s="377"/>
      <c r="AH139" s="390"/>
      <c r="AI139" s="391">
        <f t="shared" si="91"/>
        <v>0</v>
      </c>
      <c r="AJ139" s="412"/>
      <c r="AK139" s="413">
        <f t="shared" si="93"/>
        <v>0</v>
      </c>
      <c r="AL139" s="234"/>
      <c r="AM139" s="234"/>
      <c r="AN139" s="234"/>
    </row>
    <row r="140" spans="1:40" ht="19.5" thickBot="1">
      <c r="A140" s="326" t="s">
        <v>129</v>
      </c>
      <c r="B140" s="327"/>
      <c r="C140" s="327"/>
      <c r="D140" s="328"/>
      <c r="E140" s="329">
        <f t="shared" ref="E140:L140" si="95">SUM(E109:E139)</f>
        <v>0</v>
      </c>
      <c r="F140" s="329">
        <f t="shared" si="95"/>
        <v>0</v>
      </c>
      <c r="G140" s="329">
        <f t="shared" si="95"/>
        <v>0</v>
      </c>
      <c r="H140" s="329">
        <f t="shared" si="95"/>
        <v>0</v>
      </c>
      <c r="I140" s="329">
        <f t="shared" si="95"/>
        <v>0</v>
      </c>
      <c r="J140" s="329">
        <f t="shared" si="95"/>
        <v>0</v>
      </c>
      <c r="K140" s="329">
        <f t="shared" si="95"/>
        <v>0</v>
      </c>
      <c r="L140" s="329">
        <f t="shared" si="95"/>
        <v>0</v>
      </c>
      <c r="M140" s="357"/>
      <c r="N140" s="358">
        <f t="shared" ref="N140:U140" si="96">SUM(N109:N139)</f>
        <v>0</v>
      </c>
      <c r="O140" s="359">
        <f t="shared" si="96"/>
        <v>0</v>
      </c>
      <c r="P140" s="359">
        <f t="shared" si="96"/>
        <v>0</v>
      </c>
      <c r="Q140" s="359">
        <f t="shared" si="96"/>
        <v>0</v>
      </c>
      <c r="R140" s="359">
        <f t="shared" si="96"/>
        <v>0</v>
      </c>
      <c r="S140" s="359">
        <f t="shared" si="96"/>
        <v>0</v>
      </c>
      <c r="T140" s="359">
        <f t="shared" si="96"/>
        <v>0</v>
      </c>
      <c r="U140" s="369">
        <f t="shared" si="96"/>
        <v>0</v>
      </c>
      <c r="V140" s="357"/>
      <c r="W140" s="358">
        <f t="shared" ref="W140:AD140" si="97">SUM(W109:W139)</f>
        <v>0</v>
      </c>
      <c r="X140" s="358">
        <f t="shared" si="97"/>
        <v>0</v>
      </c>
      <c r="Y140" s="358">
        <f t="shared" si="97"/>
        <v>0</v>
      </c>
      <c r="Z140" s="358">
        <f t="shared" si="97"/>
        <v>0</v>
      </c>
      <c r="AA140" s="358">
        <f t="shared" si="97"/>
        <v>0</v>
      </c>
      <c r="AB140" s="358">
        <f t="shared" si="97"/>
        <v>0</v>
      </c>
      <c r="AC140" s="358">
        <f t="shared" si="97"/>
        <v>0</v>
      </c>
      <c r="AD140" s="358">
        <f t="shared" si="97"/>
        <v>0</v>
      </c>
      <c r="AE140" s="357"/>
      <c r="AF140" s="382">
        <f t="shared" ref="AF140:AK140" si="98">SUM(AF109:AF139)</f>
        <v>0</v>
      </c>
      <c r="AG140" s="382">
        <f t="shared" si="98"/>
        <v>0</v>
      </c>
      <c r="AH140" s="416">
        <f t="shared" si="98"/>
        <v>0</v>
      </c>
      <c r="AI140" s="417">
        <f t="shared" si="98"/>
        <v>0</v>
      </c>
      <c r="AJ140" s="382">
        <f t="shared" si="98"/>
        <v>0</v>
      </c>
      <c r="AK140" s="418">
        <f t="shared" si="98"/>
        <v>0</v>
      </c>
      <c r="AL140" s="234"/>
      <c r="AM140" s="234"/>
      <c r="AN140" s="234"/>
    </row>
    <row r="141" spans="1:40" ht="24" thickBot="1">
      <c r="A141" s="286" t="s">
        <v>130</v>
      </c>
      <c r="B141" s="287" t="s">
        <v>68</v>
      </c>
      <c r="C141" s="287" t="s">
        <v>69</v>
      </c>
      <c r="D141" s="1073" t="s">
        <v>70</v>
      </c>
      <c r="E141" s="743" t="s">
        <v>96</v>
      </c>
      <c r="F141" s="744" t="s">
        <v>124</v>
      </c>
      <c r="G141" s="744" t="s">
        <v>228</v>
      </c>
      <c r="H141" s="744" t="s">
        <v>149</v>
      </c>
      <c r="I141" s="744" t="s">
        <v>470</v>
      </c>
      <c r="J141" s="744" t="s">
        <v>92</v>
      </c>
      <c r="K141" s="50" t="s">
        <v>479</v>
      </c>
      <c r="L141" s="783" t="s">
        <v>123</v>
      </c>
      <c r="M141" s="1089"/>
      <c r="N141" s="80" t="s">
        <v>71</v>
      </c>
      <c r="O141" s="49" t="s">
        <v>53</v>
      </c>
      <c r="P141" s="49" t="s">
        <v>118</v>
      </c>
      <c r="Q141" s="49" t="s">
        <v>74</v>
      </c>
      <c r="R141" s="49" t="s">
        <v>75</v>
      </c>
      <c r="S141" s="49" t="s">
        <v>94</v>
      </c>
      <c r="T141" s="126" t="s">
        <v>77</v>
      </c>
      <c r="U141" s="171" t="s">
        <v>101</v>
      </c>
      <c r="V141" s="79"/>
      <c r="W141" s="80" t="s">
        <v>482</v>
      </c>
      <c r="X141" s="743" t="s">
        <v>96</v>
      </c>
      <c r="Y141" s="744" t="s">
        <v>118</v>
      </c>
      <c r="Z141" s="49" t="s">
        <v>229</v>
      </c>
      <c r="AA141" s="744" t="s">
        <v>75</v>
      </c>
      <c r="AB141" s="744" t="s">
        <v>53</v>
      </c>
      <c r="AC141" s="126" t="s">
        <v>230</v>
      </c>
      <c r="AD141" s="372" t="s">
        <v>380</v>
      </c>
      <c r="AE141" s="370"/>
      <c r="AF141" s="371" t="s">
        <v>172</v>
      </c>
      <c r="AG141" s="372" t="s">
        <v>80</v>
      </c>
      <c r="AH141" s="385"/>
      <c r="AI141" s="386" t="s">
        <v>106</v>
      </c>
      <c r="AJ141" s="385" t="s">
        <v>173</v>
      </c>
      <c r="AK141" s="371" t="s">
        <v>108</v>
      </c>
      <c r="AL141" s="234"/>
      <c r="AM141" s="234"/>
      <c r="AN141" s="234"/>
    </row>
    <row r="142" spans="1:40" ht="20.25">
      <c r="A142" s="316" t="s">
        <v>131</v>
      </c>
      <c r="B142" s="822"/>
      <c r="C142" s="295"/>
      <c r="D142" s="1077"/>
      <c r="E142" s="319"/>
      <c r="F142" s="320"/>
      <c r="G142" s="320"/>
      <c r="H142" s="321"/>
      <c r="I142" s="321"/>
      <c r="J142" s="320"/>
      <c r="K142" s="320"/>
      <c r="L142" s="363"/>
      <c r="M142" s="352"/>
      <c r="N142" s="353"/>
      <c r="O142" s="321"/>
      <c r="P142" s="321"/>
      <c r="Q142" s="321"/>
      <c r="R142" s="321"/>
      <c r="S142" s="321"/>
      <c r="T142" s="321"/>
      <c r="U142" s="351"/>
      <c r="V142" s="352"/>
      <c r="W142" s="319"/>
      <c r="X142" s="320"/>
      <c r="Y142" s="320"/>
      <c r="Z142" s="321"/>
      <c r="AA142" s="321"/>
      <c r="AB142" s="321"/>
      <c r="AC142" s="320"/>
      <c r="AD142" s="380"/>
      <c r="AE142" s="352"/>
      <c r="AF142" s="381">
        <f>SUM(E142:AD142)</f>
        <v>0</v>
      </c>
      <c r="AG142" s="381"/>
      <c r="AH142" s="408"/>
      <c r="AI142" s="409">
        <f>AF142+AG142</f>
        <v>0</v>
      </c>
      <c r="AJ142" s="410"/>
      <c r="AK142" s="411">
        <f>AI142+AJ142</f>
        <v>0</v>
      </c>
      <c r="AL142" s="234"/>
      <c r="AM142" s="234"/>
      <c r="AN142" s="234"/>
    </row>
    <row r="143" spans="1:40" ht="20.25">
      <c r="A143" s="316" t="s">
        <v>131</v>
      </c>
      <c r="B143" s="822"/>
      <c r="C143" s="295"/>
      <c r="D143" s="1077"/>
      <c r="E143" s="319"/>
      <c r="F143" s="320"/>
      <c r="G143" s="320"/>
      <c r="H143" s="321"/>
      <c r="I143" s="321"/>
      <c r="J143" s="320"/>
      <c r="K143" s="320"/>
      <c r="L143" s="363"/>
      <c r="M143" s="352"/>
      <c r="N143" s="353"/>
      <c r="O143" s="321"/>
      <c r="P143" s="321"/>
      <c r="Q143" s="321"/>
      <c r="R143" s="321"/>
      <c r="S143" s="321"/>
      <c r="T143" s="321"/>
      <c r="U143" s="351"/>
      <c r="V143" s="352"/>
      <c r="W143" s="319"/>
      <c r="X143" s="320"/>
      <c r="Y143" s="320"/>
      <c r="Z143" s="321"/>
      <c r="AA143" s="321"/>
      <c r="AB143" s="321"/>
      <c r="AC143" s="320"/>
      <c r="AD143" s="380"/>
      <c r="AE143" s="352"/>
      <c r="AF143" s="381">
        <f>SUM(E143:AD143)</f>
        <v>0</v>
      </c>
      <c r="AG143" s="381"/>
      <c r="AH143" s="408"/>
      <c r="AI143" s="409">
        <f>AF143+AG143</f>
        <v>0</v>
      </c>
      <c r="AJ143" s="410"/>
      <c r="AK143" s="411">
        <f>AI143+AJ143</f>
        <v>0</v>
      </c>
      <c r="AL143" s="234"/>
      <c r="AM143" s="234"/>
      <c r="AN143" s="234"/>
    </row>
    <row r="144" spans="1:40" ht="20.25">
      <c r="A144" s="316" t="s">
        <v>131</v>
      </c>
      <c r="B144" s="822"/>
      <c r="C144" s="295"/>
      <c r="D144" s="1077"/>
      <c r="E144" s="319"/>
      <c r="F144" s="320"/>
      <c r="G144" s="320"/>
      <c r="H144" s="321"/>
      <c r="I144" s="321"/>
      <c r="J144" s="320"/>
      <c r="K144" s="320"/>
      <c r="L144" s="363"/>
      <c r="M144" s="352"/>
      <c r="N144" s="353"/>
      <c r="O144" s="321"/>
      <c r="P144" s="321"/>
      <c r="Q144" s="321"/>
      <c r="R144" s="321"/>
      <c r="S144" s="321"/>
      <c r="T144" s="321"/>
      <c r="U144" s="351"/>
      <c r="V144" s="352"/>
      <c r="W144" s="319"/>
      <c r="X144" s="320"/>
      <c r="Y144" s="320"/>
      <c r="Z144" s="321"/>
      <c r="AA144" s="321"/>
      <c r="AB144" s="321"/>
      <c r="AC144" s="320"/>
      <c r="AD144" s="380"/>
      <c r="AE144" s="352"/>
      <c r="AF144" s="381">
        <f>SUM(E144:AD144)</f>
        <v>0</v>
      </c>
      <c r="AG144" s="381"/>
      <c r="AH144" s="408"/>
      <c r="AI144" s="409">
        <f>AF144+AG144</f>
        <v>0</v>
      </c>
      <c r="AJ144" s="410"/>
      <c r="AK144" s="411">
        <f>AI144+AJ144</f>
        <v>0</v>
      </c>
      <c r="AL144" s="234"/>
      <c r="AM144" s="234"/>
      <c r="AN144" s="234"/>
    </row>
    <row r="145" spans="1:40" ht="20.25">
      <c r="A145" s="316" t="s">
        <v>131</v>
      </c>
      <c r="B145" s="822"/>
      <c r="C145" s="295"/>
      <c r="D145" s="1077"/>
      <c r="E145" s="319"/>
      <c r="F145" s="320"/>
      <c r="G145" s="320"/>
      <c r="H145" s="321"/>
      <c r="I145" s="321"/>
      <c r="J145" s="320"/>
      <c r="K145" s="1090"/>
      <c r="L145" s="363"/>
      <c r="M145" s="352"/>
      <c r="N145" s="353"/>
      <c r="O145" s="321"/>
      <c r="P145" s="321"/>
      <c r="Q145" s="321"/>
      <c r="R145" s="321"/>
      <c r="S145" s="321"/>
      <c r="T145" s="321"/>
      <c r="U145" s="351"/>
      <c r="V145" s="352"/>
      <c r="W145" s="319"/>
      <c r="X145" s="320"/>
      <c r="Y145" s="320"/>
      <c r="Z145" s="321"/>
      <c r="AA145" s="321"/>
      <c r="AB145" s="321"/>
      <c r="AC145" s="320"/>
      <c r="AD145" s="380"/>
      <c r="AE145" s="352"/>
      <c r="AF145" s="381">
        <f t="shared" ref="AF145:AF172" si="99">SUM(E145:AD145)</f>
        <v>0</v>
      </c>
      <c r="AG145" s="381"/>
      <c r="AH145" s="408"/>
      <c r="AI145" s="409">
        <f t="shared" ref="AI145:AI172" si="100">AF145+AG145</f>
        <v>0</v>
      </c>
      <c r="AJ145" s="410"/>
      <c r="AK145" s="411">
        <f t="shared" ref="AK145:AK172" si="101">AI145+AJ145</f>
        <v>0</v>
      </c>
      <c r="AL145" s="234"/>
      <c r="AM145" s="234"/>
      <c r="AN145" s="234"/>
    </row>
    <row r="146" spans="1:40" ht="20.25">
      <c r="A146" s="316" t="s">
        <v>131</v>
      </c>
      <c r="B146" s="710"/>
      <c r="C146" s="295"/>
      <c r="D146" s="1077"/>
      <c r="E146" s="319"/>
      <c r="F146" s="320"/>
      <c r="G146" s="320"/>
      <c r="H146" s="321"/>
      <c r="I146" s="321"/>
      <c r="J146" s="320"/>
      <c r="K146" s="1090"/>
      <c r="L146" s="351"/>
      <c r="M146" s="352"/>
      <c r="N146" s="353"/>
      <c r="O146" s="321"/>
      <c r="P146" s="321"/>
      <c r="Q146" s="321"/>
      <c r="R146" s="321"/>
      <c r="S146" s="321"/>
      <c r="T146" s="321"/>
      <c r="U146" s="351"/>
      <c r="V146" s="352"/>
      <c r="W146" s="319"/>
      <c r="X146" s="320"/>
      <c r="Y146" s="320"/>
      <c r="Z146" s="321"/>
      <c r="AA146" s="321"/>
      <c r="AB146" s="321"/>
      <c r="AC146" s="320"/>
      <c r="AD146" s="380"/>
      <c r="AE146" s="352"/>
      <c r="AF146" s="381">
        <f t="shared" si="99"/>
        <v>0</v>
      </c>
      <c r="AG146" s="381"/>
      <c r="AH146" s="408"/>
      <c r="AI146" s="409">
        <f t="shared" si="100"/>
        <v>0</v>
      </c>
      <c r="AJ146" s="410"/>
      <c r="AK146" s="411">
        <f t="shared" si="101"/>
        <v>0</v>
      </c>
      <c r="AL146" s="234"/>
      <c r="AM146" s="234"/>
      <c r="AN146" s="234"/>
    </row>
    <row r="147" spans="1:40" ht="20.25">
      <c r="A147" s="316" t="s">
        <v>131</v>
      </c>
      <c r="B147" s="710"/>
      <c r="C147" s="295"/>
      <c r="D147" s="1077"/>
      <c r="E147" s="319"/>
      <c r="F147" s="320"/>
      <c r="G147" s="320"/>
      <c r="H147" s="321"/>
      <c r="I147" s="321"/>
      <c r="J147" s="320"/>
      <c r="K147" s="1090"/>
      <c r="L147" s="351"/>
      <c r="M147" s="352"/>
      <c r="N147" s="353"/>
      <c r="O147" s="321"/>
      <c r="P147" s="321"/>
      <c r="Q147" s="321"/>
      <c r="R147" s="321"/>
      <c r="S147" s="321"/>
      <c r="T147" s="321"/>
      <c r="U147" s="351"/>
      <c r="V147" s="352"/>
      <c r="W147" s="319"/>
      <c r="X147" s="320"/>
      <c r="Y147" s="320"/>
      <c r="Z147" s="321"/>
      <c r="AA147" s="321"/>
      <c r="AB147" s="321"/>
      <c r="AC147" s="320"/>
      <c r="AD147" s="380"/>
      <c r="AE147" s="352"/>
      <c r="AF147" s="381">
        <f t="shared" si="99"/>
        <v>0</v>
      </c>
      <c r="AG147" s="381"/>
      <c r="AH147" s="408"/>
      <c r="AI147" s="409">
        <f t="shared" si="100"/>
        <v>0</v>
      </c>
      <c r="AJ147" s="410"/>
      <c r="AK147" s="411">
        <f t="shared" si="101"/>
        <v>0</v>
      </c>
      <c r="AL147" s="234"/>
      <c r="AM147" s="234"/>
      <c r="AN147" s="234"/>
    </row>
    <row r="148" spans="1:40" ht="20.25">
      <c r="A148" s="316" t="s">
        <v>131</v>
      </c>
      <c r="B148" s="710"/>
      <c r="C148" s="295"/>
      <c r="D148" s="1077"/>
      <c r="E148" s="319"/>
      <c r="F148" s="320"/>
      <c r="G148" s="320"/>
      <c r="H148" s="321"/>
      <c r="I148" s="321"/>
      <c r="J148" s="320"/>
      <c r="K148" s="1090"/>
      <c r="L148" s="351"/>
      <c r="M148" s="352"/>
      <c r="N148" s="353"/>
      <c r="O148" s="321"/>
      <c r="P148" s="321"/>
      <c r="Q148" s="321"/>
      <c r="R148" s="321"/>
      <c r="S148" s="321"/>
      <c r="T148" s="321"/>
      <c r="U148" s="351"/>
      <c r="V148" s="352"/>
      <c r="W148" s="319"/>
      <c r="X148" s="320"/>
      <c r="Y148" s="320"/>
      <c r="Z148" s="321"/>
      <c r="AA148" s="321"/>
      <c r="AB148" s="321"/>
      <c r="AC148" s="320"/>
      <c r="AD148" s="380"/>
      <c r="AE148" s="352"/>
      <c r="AF148" s="381">
        <f t="shared" si="99"/>
        <v>0</v>
      </c>
      <c r="AG148" s="381"/>
      <c r="AH148" s="408"/>
      <c r="AI148" s="409">
        <f t="shared" si="100"/>
        <v>0</v>
      </c>
      <c r="AJ148" s="410"/>
      <c r="AK148" s="411">
        <f t="shared" si="101"/>
        <v>0</v>
      </c>
      <c r="AL148" s="234"/>
      <c r="AM148" s="234"/>
      <c r="AN148" s="234"/>
    </row>
    <row r="149" spans="1:40" ht="20.25">
      <c r="A149" s="316" t="s">
        <v>131</v>
      </c>
      <c r="B149" s="710"/>
      <c r="C149" s="295"/>
      <c r="D149" s="1077"/>
      <c r="E149" s="319"/>
      <c r="F149" s="320"/>
      <c r="G149" s="320"/>
      <c r="H149" s="321"/>
      <c r="I149" s="321"/>
      <c r="J149" s="320"/>
      <c r="K149" s="1090"/>
      <c r="L149" s="351"/>
      <c r="M149" s="352"/>
      <c r="N149" s="353"/>
      <c r="O149" s="321"/>
      <c r="P149" s="321"/>
      <c r="Q149" s="321"/>
      <c r="R149" s="321"/>
      <c r="S149" s="321"/>
      <c r="T149" s="321"/>
      <c r="U149" s="351"/>
      <c r="V149" s="352"/>
      <c r="W149" s="319"/>
      <c r="X149" s="320"/>
      <c r="Y149" s="320"/>
      <c r="Z149" s="321"/>
      <c r="AA149" s="321"/>
      <c r="AB149" s="321"/>
      <c r="AC149" s="320"/>
      <c r="AD149" s="380"/>
      <c r="AE149" s="352"/>
      <c r="AF149" s="381">
        <f t="shared" si="99"/>
        <v>0</v>
      </c>
      <c r="AG149" s="381"/>
      <c r="AH149" s="408"/>
      <c r="AI149" s="409">
        <f t="shared" si="100"/>
        <v>0</v>
      </c>
      <c r="AJ149" s="410"/>
      <c r="AK149" s="411">
        <f t="shared" si="101"/>
        <v>0</v>
      </c>
      <c r="AL149" s="234"/>
      <c r="AM149" s="234"/>
      <c r="AN149" s="234"/>
    </row>
    <row r="150" spans="1:40" ht="20.25">
      <c r="A150" s="316" t="s">
        <v>131</v>
      </c>
      <c r="B150" s="710"/>
      <c r="C150" s="295"/>
      <c r="D150" s="1077"/>
      <c r="E150" s="319"/>
      <c r="F150" s="320"/>
      <c r="G150" s="320"/>
      <c r="H150" s="321"/>
      <c r="I150" s="321"/>
      <c r="J150" s="320"/>
      <c r="K150" s="1090"/>
      <c r="L150" s="351"/>
      <c r="M150" s="352"/>
      <c r="N150" s="353"/>
      <c r="O150" s="321"/>
      <c r="P150" s="321"/>
      <c r="Q150" s="321"/>
      <c r="R150" s="321"/>
      <c r="S150" s="321"/>
      <c r="T150" s="321"/>
      <c r="U150" s="351"/>
      <c r="V150" s="352"/>
      <c r="W150" s="319"/>
      <c r="X150" s="320"/>
      <c r="Y150" s="320"/>
      <c r="Z150" s="321"/>
      <c r="AA150" s="321"/>
      <c r="AB150" s="321"/>
      <c r="AC150" s="320"/>
      <c r="AD150" s="380"/>
      <c r="AE150" s="352"/>
      <c r="AF150" s="381">
        <f t="shared" si="99"/>
        <v>0</v>
      </c>
      <c r="AG150" s="381"/>
      <c r="AH150" s="408"/>
      <c r="AI150" s="409">
        <f t="shared" si="100"/>
        <v>0</v>
      </c>
      <c r="AJ150" s="410"/>
      <c r="AK150" s="411">
        <f t="shared" si="101"/>
        <v>0</v>
      </c>
      <c r="AL150" s="234"/>
      <c r="AM150" s="234"/>
      <c r="AN150" s="234"/>
    </row>
    <row r="151" spans="1:40" ht="20.25">
      <c r="A151" s="316" t="s">
        <v>131</v>
      </c>
      <c r="B151" s="710"/>
      <c r="C151" s="295"/>
      <c r="D151" s="1077"/>
      <c r="E151" s="319"/>
      <c r="F151" s="320"/>
      <c r="G151" s="320"/>
      <c r="H151" s="321"/>
      <c r="I151" s="321"/>
      <c r="J151" s="320"/>
      <c r="K151" s="1090"/>
      <c r="L151" s="351"/>
      <c r="M151" s="352"/>
      <c r="N151" s="353"/>
      <c r="O151" s="321"/>
      <c r="P151" s="321"/>
      <c r="Q151" s="321"/>
      <c r="R151" s="321"/>
      <c r="S151" s="321"/>
      <c r="T151" s="321"/>
      <c r="U151" s="351"/>
      <c r="V151" s="352"/>
      <c r="W151" s="319"/>
      <c r="X151" s="320"/>
      <c r="Y151" s="320"/>
      <c r="Z151" s="321"/>
      <c r="AA151" s="321"/>
      <c r="AB151" s="321"/>
      <c r="AC151" s="320"/>
      <c r="AD151" s="380"/>
      <c r="AE151" s="352"/>
      <c r="AF151" s="381">
        <f t="shared" si="99"/>
        <v>0</v>
      </c>
      <c r="AG151" s="381"/>
      <c r="AH151" s="408"/>
      <c r="AI151" s="409">
        <f t="shared" si="100"/>
        <v>0</v>
      </c>
      <c r="AJ151" s="410"/>
      <c r="AK151" s="411">
        <f t="shared" si="101"/>
        <v>0</v>
      </c>
      <c r="AL151" s="234"/>
      <c r="AM151" s="234"/>
      <c r="AN151" s="234"/>
    </row>
    <row r="152" spans="1:40" ht="20.25">
      <c r="A152" s="316" t="s">
        <v>131</v>
      </c>
      <c r="B152" s="822"/>
      <c r="C152" s="295"/>
      <c r="D152" s="1077"/>
      <c r="E152" s="319"/>
      <c r="F152" s="320"/>
      <c r="G152" s="320"/>
      <c r="H152" s="321"/>
      <c r="I152" s="321"/>
      <c r="J152" s="320"/>
      <c r="K152" s="1090"/>
      <c r="L152" s="351"/>
      <c r="M152" s="352"/>
      <c r="N152" s="353"/>
      <c r="O152" s="321"/>
      <c r="P152" s="321"/>
      <c r="Q152" s="321"/>
      <c r="R152" s="321"/>
      <c r="S152" s="321"/>
      <c r="T152" s="321"/>
      <c r="U152" s="351"/>
      <c r="V152" s="352"/>
      <c r="W152" s="319"/>
      <c r="X152" s="320"/>
      <c r="Y152" s="320"/>
      <c r="Z152" s="321"/>
      <c r="AA152" s="321"/>
      <c r="AB152" s="321"/>
      <c r="AC152" s="320"/>
      <c r="AD152" s="380"/>
      <c r="AE152" s="352"/>
      <c r="AF152" s="381">
        <f t="shared" si="99"/>
        <v>0</v>
      </c>
      <c r="AG152" s="381"/>
      <c r="AH152" s="408"/>
      <c r="AI152" s="409">
        <f t="shared" si="100"/>
        <v>0</v>
      </c>
      <c r="AJ152" s="410"/>
      <c r="AK152" s="411">
        <f t="shared" si="101"/>
        <v>0</v>
      </c>
      <c r="AL152" s="234"/>
      <c r="AM152" s="234"/>
      <c r="AN152" s="234"/>
    </row>
    <row r="153" spans="1:40" ht="20.25">
      <c r="A153" s="316" t="s">
        <v>131</v>
      </c>
      <c r="B153" s="710"/>
      <c r="C153" s="295"/>
      <c r="D153" s="1077"/>
      <c r="E153" s="319"/>
      <c r="F153" s="320"/>
      <c r="G153" s="320"/>
      <c r="H153" s="321"/>
      <c r="I153" s="321"/>
      <c r="J153" s="320"/>
      <c r="K153" s="1090"/>
      <c r="L153" s="351"/>
      <c r="M153" s="352"/>
      <c r="N153" s="353"/>
      <c r="O153" s="321"/>
      <c r="P153" s="321"/>
      <c r="Q153" s="321"/>
      <c r="R153" s="321"/>
      <c r="S153" s="321"/>
      <c r="T153" s="321"/>
      <c r="U153" s="351"/>
      <c r="V153" s="352"/>
      <c r="W153" s="319"/>
      <c r="X153" s="320"/>
      <c r="Y153" s="320"/>
      <c r="Z153" s="321"/>
      <c r="AA153" s="321"/>
      <c r="AB153" s="321"/>
      <c r="AC153" s="320"/>
      <c r="AD153" s="380"/>
      <c r="AE153" s="352"/>
      <c r="AF153" s="381">
        <f t="shared" si="99"/>
        <v>0</v>
      </c>
      <c r="AG153" s="381"/>
      <c r="AH153" s="408"/>
      <c r="AI153" s="409">
        <f t="shared" si="100"/>
        <v>0</v>
      </c>
      <c r="AJ153" s="410"/>
      <c r="AK153" s="411">
        <f t="shared" si="101"/>
        <v>0</v>
      </c>
      <c r="AL153" s="234"/>
      <c r="AM153" s="234"/>
      <c r="AN153" s="234"/>
    </row>
    <row r="154" spans="1:40" ht="20.25">
      <c r="A154" s="316" t="s">
        <v>131</v>
      </c>
      <c r="B154" s="295"/>
      <c r="C154" s="295"/>
      <c r="D154" s="1077"/>
      <c r="E154" s="319"/>
      <c r="F154" s="320"/>
      <c r="G154" s="320"/>
      <c r="H154" s="321"/>
      <c r="I154" s="321"/>
      <c r="J154" s="320"/>
      <c r="K154" s="1090"/>
      <c r="L154" s="351"/>
      <c r="M154" s="352"/>
      <c r="N154" s="353"/>
      <c r="O154" s="321"/>
      <c r="P154" s="321"/>
      <c r="Q154" s="321"/>
      <c r="R154" s="321"/>
      <c r="S154" s="321"/>
      <c r="T154" s="321"/>
      <c r="U154" s="351"/>
      <c r="V154" s="352"/>
      <c r="W154" s="319"/>
      <c r="X154" s="320"/>
      <c r="Y154" s="320"/>
      <c r="Z154" s="321"/>
      <c r="AA154" s="321"/>
      <c r="AB154" s="321"/>
      <c r="AC154" s="320"/>
      <c r="AD154" s="380"/>
      <c r="AE154" s="352"/>
      <c r="AF154" s="381">
        <f t="shared" si="99"/>
        <v>0</v>
      </c>
      <c r="AG154" s="381"/>
      <c r="AH154" s="408"/>
      <c r="AI154" s="409">
        <f t="shared" si="100"/>
        <v>0</v>
      </c>
      <c r="AJ154" s="410"/>
      <c r="AK154" s="411">
        <f t="shared" si="101"/>
        <v>0</v>
      </c>
      <c r="AL154" s="234"/>
      <c r="AM154" s="234"/>
      <c r="AN154" s="234"/>
    </row>
    <row r="155" spans="1:40" ht="20.25">
      <c r="A155" s="316" t="s">
        <v>131</v>
      </c>
      <c r="B155" s="295"/>
      <c r="C155" s="295"/>
      <c r="D155" s="1077"/>
      <c r="E155" s="319"/>
      <c r="F155" s="320"/>
      <c r="G155" s="320"/>
      <c r="H155" s="321"/>
      <c r="I155" s="321"/>
      <c r="J155" s="320"/>
      <c r="K155" s="1090"/>
      <c r="L155" s="351"/>
      <c r="M155" s="352"/>
      <c r="N155" s="353"/>
      <c r="O155" s="321"/>
      <c r="P155" s="321"/>
      <c r="Q155" s="321"/>
      <c r="R155" s="321"/>
      <c r="S155" s="321"/>
      <c r="T155" s="321"/>
      <c r="U155" s="351"/>
      <c r="V155" s="352"/>
      <c r="W155" s="319"/>
      <c r="X155" s="320"/>
      <c r="Y155" s="320"/>
      <c r="Z155" s="321"/>
      <c r="AA155" s="321"/>
      <c r="AB155" s="321"/>
      <c r="AC155" s="320"/>
      <c r="AD155" s="380"/>
      <c r="AE155" s="352"/>
      <c r="AF155" s="381">
        <f t="shared" si="99"/>
        <v>0</v>
      </c>
      <c r="AG155" s="381"/>
      <c r="AH155" s="408"/>
      <c r="AI155" s="409">
        <f t="shared" si="100"/>
        <v>0</v>
      </c>
      <c r="AJ155" s="410"/>
      <c r="AK155" s="411">
        <f t="shared" si="101"/>
        <v>0</v>
      </c>
      <c r="AL155" s="234"/>
      <c r="AM155" s="234"/>
      <c r="AN155" s="234"/>
    </row>
    <row r="156" spans="1:40" ht="20.25">
      <c r="A156" s="316" t="s">
        <v>131</v>
      </c>
      <c r="B156" s="295"/>
      <c r="C156" s="295"/>
      <c r="D156" s="1077"/>
      <c r="E156" s="319"/>
      <c r="F156" s="320"/>
      <c r="G156" s="320"/>
      <c r="H156" s="321"/>
      <c r="I156" s="321"/>
      <c r="J156" s="320"/>
      <c r="K156" s="1090"/>
      <c r="L156" s="351"/>
      <c r="M156" s="352"/>
      <c r="N156" s="353"/>
      <c r="O156" s="321"/>
      <c r="P156" s="321"/>
      <c r="Q156" s="321"/>
      <c r="R156" s="321"/>
      <c r="S156" s="321"/>
      <c r="T156" s="321"/>
      <c r="U156" s="351"/>
      <c r="V156" s="352"/>
      <c r="W156" s="319"/>
      <c r="X156" s="320"/>
      <c r="Y156" s="320"/>
      <c r="Z156" s="321"/>
      <c r="AA156" s="321"/>
      <c r="AB156" s="321"/>
      <c r="AC156" s="320"/>
      <c r="AD156" s="380"/>
      <c r="AE156" s="352"/>
      <c r="AF156" s="381">
        <f t="shared" si="99"/>
        <v>0</v>
      </c>
      <c r="AG156" s="381"/>
      <c r="AH156" s="408"/>
      <c r="AI156" s="409">
        <f t="shared" si="100"/>
        <v>0</v>
      </c>
      <c r="AJ156" s="410"/>
      <c r="AK156" s="411">
        <f t="shared" si="101"/>
        <v>0</v>
      </c>
      <c r="AL156" s="234"/>
      <c r="AM156" s="234"/>
      <c r="AN156" s="234"/>
    </row>
    <row r="157" spans="1:40" ht="20.25">
      <c r="A157" s="316" t="s">
        <v>131</v>
      </c>
      <c r="B157" s="295"/>
      <c r="C157" s="295"/>
      <c r="D157" s="1077"/>
      <c r="E157" s="319"/>
      <c r="F157" s="320"/>
      <c r="G157" s="320"/>
      <c r="H157" s="321"/>
      <c r="I157" s="321"/>
      <c r="J157" s="320"/>
      <c r="K157" s="1090"/>
      <c r="L157" s="351"/>
      <c r="M157" s="352"/>
      <c r="N157" s="353"/>
      <c r="O157" s="321"/>
      <c r="P157" s="321"/>
      <c r="Q157" s="321"/>
      <c r="R157" s="321"/>
      <c r="S157" s="321"/>
      <c r="T157" s="321"/>
      <c r="U157" s="351"/>
      <c r="V157" s="352"/>
      <c r="W157" s="319"/>
      <c r="X157" s="320"/>
      <c r="Y157" s="320"/>
      <c r="Z157" s="321"/>
      <c r="AA157" s="321"/>
      <c r="AB157" s="321"/>
      <c r="AC157" s="320"/>
      <c r="AD157" s="380"/>
      <c r="AE157" s="352"/>
      <c r="AF157" s="381">
        <f t="shared" si="99"/>
        <v>0</v>
      </c>
      <c r="AG157" s="381"/>
      <c r="AH157" s="408"/>
      <c r="AI157" s="409">
        <f t="shared" si="100"/>
        <v>0</v>
      </c>
      <c r="AJ157" s="410"/>
      <c r="AK157" s="411">
        <f t="shared" si="101"/>
        <v>0</v>
      </c>
      <c r="AL157" s="234"/>
      <c r="AM157" s="234"/>
      <c r="AN157" s="234"/>
    </row>
    <row r="158" spans="1:40" ht="20.25">
      <c r="A158" s="316" t="s">
        <v>131</v>
      </c>
      <c r="B158" s="295"/>
      <c r="C158" s="295"/>
      <c r="D158" s="1077"/>
      <c r="E158" s="319"/>
      <c r="F158" s="320"/>
      <c r="G158" s="320"/>
      <c r="H158" s="321"/>
      <c r="I158" s="321"/>
      <c r="J158" s="320"/>
      <c r="K158" s="842"/>
      <c r="L158" s="351"/>
      <c r="M158" s="352"/>
      <c r="N158" s="353"/>
      <c r="O158" s="321"/>
      <c r="P158" s="321"/>
      <c r="Q158" s="321"/>
      <c r="R158" s="321"/>
      <c r="S158" s="321"/>
      <c r="T158" s="321"/>
      <c r="U158" s="351"/>
      <c r="V158" s="352"/>
      <c r="W158" s="319"/>
      <c r="X158" s="320"/>
      <c r="Y158" s="320"/>
      <c r="Z158" s="321"/>
      <c r="AA158" s="321"/>
      <c r="AB158" s="321"/>
      <c r="AC158" s="320"/>
      <c r="AD158" s="380"/>
      <c r="AE158" s="352"/>
      <c r="AF158" s="381">
        <f t="shared" si="99"/>
        <v>0</v>
      </c>
      <c r="AG158" s="381"/>
      <c r="AH158" s="408"/>
      <c r="AI158" s="409">
        <f t="shared" si="100"/>
        <v>0</v>
      </c>
      <c r="AJ158" s="410"/>
      <c r="AK158" s="411">
        <f t="shared" si="101"/>
        <v>0</v>
      </c>
      <c r="AL158" s="234"/>
      <c r="AM158" s="234"/>
      <c r="AN158" s="234"/>
    </row>
    <row r="159" spans="1:40" ht="20.25">
      <c r="A159" s="316" t="s">
        <v>131</v>
      </c>
      <c r="B159" s="295"/>
      <c r="C159" s="295"/>
      <c r="D159" s="1077"/>
      <c r="E159" s="319"/>
      <c r="F159" s="320"/>
      <c r="G159" s="320"/>
      <c r="H159" s="321"/>
      <c r="I159" s="321"/>
      <c r="J159" s="320"/>
      <c r="K159" s="842"/>
      <c r="L159" s="351"/>
      <c r="M159" s="352"/>
      <c r="N159" s="353"/>
      <c r="O159" s="321"/>
      <c r="P159" s="321"/>
      <c r="Q159" s="321"/>
      <c r="R159" s="321"/>
      <c r="S159" s="321"/>
      <c r="T159" s="321"/>
      <c r="U159" s="351"/>
      <c r="V159" s="352"/>
      <c r="W159" s="319"/>
      <c r="X159" s="320"/>
      <c r="Y159" s="320"/>
      <c r="Z159" s="321"/>
      <c r="AA159" s="321"/>
      <c r="AB159" s="321"/>
      <c r="AC159" s="320"/>
      <c r="AD159" s="380"/>
      <c r="AE159" s="352"/>
      <c r="AF159" s="381">
        <f t="shared" si="99"/>
        <v>0</v>
      </c>
      <c r="AG159" s="381"/>
      <c r="AH159" s="408"/>
      <c r="AI159" s="409">
        <f t="shared" si="100"/>
        <v>0</v>
      </c>
      <c r="AJ159" s="410"/>
      <c r="AK159" s="411">
        <f t="shared" si="101"/>
        <v>0</v>
      </c>
      <c r="AL159" s="234"/>
      <c r="AM159" s="234"/>
      <c r="AN159" s="234"/>
    </row>
    <row r="160" spans="1:40" ht="20.25">
      <c r="A160" s="316" t="s">
        <v>131</v>
      </c>
      <c r="B160" s="295"/>
      <c r="C160" s="295"/>
      <c r="D160" s="1077"/>
      <c r="E160" s="319"/>
      <c r="F160" s="320"/>
      <c r="G160" s="320"/>
      <c r="H160" s="321"/>
      <c r="I160" s="321"/>
      <c r="J160" s="320"/>
      <c r="K160" s="842"/>
      <c r="L160" s="351"/>
      <c r="M160" s="352"/>
      <c r="N160" s="353"/>
      <c r="O160" s="321"/>
      <c r="P160" s="321"/>
      <c r="Q160" s="321"/>
      <c r="R160" s="321"/>
      <c r="S160" s="321"/>
      <c r="T160" s="321"/>
      <c r="U160" s="351"/>
      <c r="V160" s="352"/>
      <c r="W160" s="319"/>
      <c r="X160" s="320"/>
      <c r="Y160" s="320"/>
      <c r="Z160" s="321"/>
      <c r="AA160" s="321"/>
      <c r="AB160" s="321"/>
      <c r="AC160" s="320"/>
      <c r="AD160" s="380"/>
      <c r="AE160" s="352"/>
      <c r="AF160" s="381">
        <f t="shared" si="99"/>
        <v>0</v>
      </c>
      <c r="AG160" s="381"/>
      <c r="AH160" s="408"/>
      <c r="AI160" s="409">
        <f t="shared" si="100"/>
        <v>0</v>
      </c>
      <c r="AJ160" s="410"/>
      <c r="AK160" s="411">
        <f t="shared" si="101"/>
        <v>0</v>
      </c>
      <c r="AL160" s="234"/>
      <c r="AM160" s="234"/>
      <c r="AN160" s="234"/>
    </row>
    <row r="161" spans="1:40" ht="20.25">
      <c r="A161" s="316" t="s">
        <v>131</v>
      </c>
      <c r="B161" s="295"/>
      <c r="C161" s="295"/>
      <c r="D161" s="1077"/>
      <c r="E161" s="319"/>
      <c r="F161" s="320"/>
      <c r="G161" s="320"/>
      <c r="H161" s="321"/>
      <c r="I161" s="321"/>
      <c r="J161" s="320"/>
      <c r="K161" s="842"/>
      <c r="L161" s="351"/>
      <c r="M161" s="352"/>
      <c r="N161" s="353"/>
      <c r="O161" s="321"/>
      <c r="P161" s="321"/>
      <c r="Q161" s="321"/>
      <c r="R161" s="321"/>
      <c r="S161" s="321"/>
      <c r="T161" s="321"/>
      <c r="U161" s="351"/>
      <c r="V161" s="352"/>
      <c r="W161" s="319"/>
      <c r="X161" s="320"/>
      <c r="Y161" s="320"/>
      <c r="Z161" s="321"/>
      <c r="AA161" s="321"/>
      <c r="AB161" s="321"/>
      <c r="AC161" s="320"/>
      <c r="AD161" s="380"/>
      <c r="AE161" s="352"/>
      <c r="AF161" s="381">
        <f t="shared" si="99"/>
        <v>0</v>
      </c>
      <c r="AG161" s="381"/>
      <c r="AH161" s="408"/>
      <c r="AI161" s="409">
        <f t="shared" si="100"/>
        <v>0</v>
      </c>
      <c r="AJ161" s="410"/>
      <c r="AK161" s="411">
        <f t="shared" si="101"/>
        <v>0</v>
      </c>
      <c r="AL161" s="234"/>
      <c r="AM161" s="234"/>
      <c r="AN161" s="234"/>
    </row>
    <row r="162" spans="1:40" ht="20.25">
      <c r="A162" s="316" t="s">
        <v>131</v>
      </c>
      <c r="B162" s="295"/>
      <c r="C162" s="295"/>
      <c r="D162" s="1077"/>
      <c r="E162" s="319"/>
      <c r="F162" s="320"/>
      <c r="G162" s="320"/>
      <c r="H162" s="321"/>
      <c r="I162" s="321"/>
      <c r="J162" s="320"/>
      <c r="K162" s="842"/>
      <c r="L162" s="351"/>
      <c r="M162" s="352"/>
      <c r="N162" s="353"/>
      <c r="O162" s="321"/>
      <c r="P162" s="321"/>
      <c r="Q162" s="321"/>
      <c r="R162" s="321"/>
      <c r="S162" s="321"/>
      <c r="T162" s="321"/>
      <c r="U162" s="351"/>
      <c r="V162" s="352"/>
      <c r="W162" s="319"/>
      <c r="X162" s="320"/>
      <c r="Y162" s="320"/>
      <c r="Z162" s="321"/>
      <c r="AA162" s="321"/>
      <c r="AB162" s="321"/>
      <c r="AC162" s="320"/>
      <c r="AD162" s="380"/>
      <c r="AE162" s="352"/>
      <c r="AF162" s="381">
        <f t="shared" si="99"/>
        <v>0</v>
      </c>
      <c r="AG162" s="381"/>
      <c r="AH162" s="408"/>
      <c r="AI162" s="409">
        <f t="shared" si="100"/>
        <v>0</v>
      </c>
      <c r="AJ162" s="410"/>
      <c r="AK162" s="411">
        <f t="shared" si="101"/>
        <v>0</v>
      </c>
      <c r="AL162" s="234"/>
      <c r="AM162" s="234"/>
      <c r="AN162" s="234"/>
    </row>
    <row r="163" spans="1:40" ht="20.25">
      <c r="A163" s="316" t="s">
        <v>131</v>
      </c>
      <c r="B163" s="295"/>
      <c r="C163" s="295"/>
      <c r="D163" s="1077"/>
      <c r="E163" s="319"/>
      <c r="F163" s="320"/>
      <c r="G163" s="320"/>
      <c r="H163" s="321"/>
      <c r="I163" s="321"/>
      <c r="J163" s="320"/>
      <c r="K163" s="842"/>
      <c r="L163" s="351"/>
      <c r="M163" s="352"/>
      <c r="N163" s="353"/>
      <c r="O163" s="321"/>
      <c r="P163" s="321"/>
      <c r="Q163" s="321"/>
      <c r="R163" s="321"/>
      <c r="S163" s="321"/>
      <c r="T163" s="321"/>
      <c r="U163" s="351"/>
      <c r="V163" s="352"/>
      <c r="W163" s="319"/>
      <c r="X163" s="320"/>
      <c r="Y163" s="320"/>
      <c r="Z163" s="321"/>
      <c r="AA163" s="321"/>
      <c r="AB163" s="321"/>
      <c r="AC163" s="320"/>
      <c r="AD163" s="380"/>
      <c r="AE163" s="352"/>
      <c r="AF163" s="381">
        <f t="shared" si="99"/>
        <v>0</v>
      </c>
      <c r="AG163" s="381"/>
      <c r="AH163" s="408"/>
      <c r="AI163" s="409">
        <f t="shared" si="100"/>
        <v>0</v>
      </c>
      <c r="AJ163" s="410"/>
      <c r="AK163" s="411">
        <f t="shared" si="101"/>
        <v>0</v>
      </c>
      <c r="AL163" s="234"/>
      <c r="AM163" s="234"/>
      <c r="AN163" s="234"/>
    </row>
    <row r="164" spans="1:40" ht="20.25">
      <c r="A164" s="316" t="s">
        <v>131</v>
      </c>
      <c r="B164" s="295"/>
      <c r="C164" s="295"/>
      <c r="D164" s="1077"/>
      <c r="E164" s="319"/>
      <c r="F164" s="320"/>
      <c r="G164" s="320"/>
      <c r="H164" s="321"/>
      <c r="I164" s="321"/>
      <c r="J164" s="320"/>
      <c r="K164" s="842"/>
      <c r="L164" s="351"/>
      <c r="M164" s="352"/>
      <c r="N164" s="353"/>
      <c r="O164" s="321"/>
      <c r="P164" s="321"/>
      <c r="Q164" s="321"/>
      <c r="R164" s="321"/>
      <c r="S164" s="321"/>
      <c r="T164" s="321"/>
      <c r="U164" s="351"/>
      <c r="V164" s="352"/>
      <c r="W164" s="319"/>
      <c r="X164" s="320"/>
      <c r="Y164" s="320"/>
      <c r="Z164" s="321"/>
      <c r="AA164" s="321"/>
      <c r="AB164" s="321"/>
      <c r="AC164" s="320"/>
      <c r="AD164" s="380"/>
      <c r="AE164" s="352"/>
      <c r="AF164" s="381">
        <f t="shared" si="99"/>
        <v>0</v>
      </c>
      <c r="AG164" s="381"/>
      <c r="AH164" s="408"/>
      <c r="AI164" s="409">
        <f t="shared" si="100"/>
        <v>0</v>
      </c>
      <c r="AJ164" s="410"/>
      <c r="AK164" s="411">
        <f t="shared" si="101"/>
        <v>0</v>
      </c>
      <c r="AL164" s="234"/>
      <c r="AM164" s="234"/>
      <c r="AN164" s="234"/>
    </row>
    <row r="165" spans="1:40" ht="20.25">
      <c r="A165" s="316" t="s">
        <v>131</v>
      </c>
      <c r="B165" s="295"/>
      <c r="C165" s="295"/>
      <c r="D165" s="1077"/>
      <c r="E165" s="319"/>
      <c r="F165" s="320"/>
      <c r="G165" s="320"/>
      <c r="H165" s="321"/>
      <c r="I165" s="321"/>
      <c r="J165" s="320"/>
      <c r="K165" s="842"/>
      <c r="L165" s="351"/>
      <c r="M165" s="352"/>
      <c r="N165" s="353"/>
      <c r="O165" s="321"/>
      <c r="P165" s="321"/>
      <c r="Q165" s="321"/>
      <c r="R165" s="321"/>
      <c r="S165" s="321"/>
      <c r="T165" s="321"/>
      <c r="U165" s="351"/>
      <c r="V165" s="352"/>
      <c r="W165" s="319"/>
      <c r="X165" s="320"/>
      <c r="Y165" s="320"/>
      <c r="Z165" s="321"/>
      <c r="AA165" s="321"/>
      <c r="AB165" s="321"/>
      <c r="AC165" s="320"/>
      <c r="AD165" s="380"/>
      <c r="AE165" s="352"/>
      <c r="AF165" s="381">
        <f t="shared" si="99"/>
        <v>0</v>
      </c>
      <c r="AG165" s="381"/>
      <c r="AH165" s="408"/>
      <c r="AI165" s="409">
        <f t="shared" si="100"/>
        <v>0</v>
      </c>
      <c r="AJ165" s="410"/>
      <c r="AK165" s="411">
        <f t="shared" si="101"/>
        <v>0</v>
      </c>
      <c r="AL165" s="234"/>
      <c r="AM165" s="234"/>
      <c r="AN165" s="234"/>
    </row>
    <row r="166" spans="1:40" ht="20.25">
      <c r="A166" s="316" t="s">
        <v>131</v>
      </c>
      <c r="B166" s="295"/>
      <c r="C166" s="295"/>
      <c r="D166" s="1077"/>
      <c r="E166" s="319"/>
      <c r="F166" s="320"/>
      <c r="G166" s="320"/>
      <c r="H166" s="321"/>
      <c r="I166" s="321"/>
      <c r="J166" s="320"/>
      <c r="K166" s="842"/>
      <c r="L166" s="351"/>
      <c r="M166" s="352"/>
      <c r="N166" s="353"/>
      <c r="O166" s="321"/>
      <c r="P166" s="321"/>
      <c r="Q166" s="321"/>
      <c r="R166" s="321"/>
      <c r="S166" s="321"/>
      <c r="T166" s="321"/>
      <c r="U166" s="351"/>
      <c r="V166" s="352"/>
      <c r="W166" s="319"/>
      <c r="X166" s="320"/>
      <c r="Y166" s="320"/>
      <c r="Z166" s="321"/>
      <c r="AA166" s="321"/>
      <c r="AB166" s="321"/>
      <c r="AC166" s="320"/>
      <c r="AD166" s="380"/>
      <c r="AE166" s="352"/>
      <c r="AF166" s="381">
        <f t="shared" si="99"/>
        <v>0</v>
      </c>
      <c r="AG166" s="381"/>
      <c r="AH166" s="408"/>
      <c r="AI166" s="409">
        <f t="shared" si="100"/>
        <v>0</v>
      </c>
      <c r="AJ166" s="410"/>
      <c r="AK166" s="411">
        <f t="shared" si="101"/>
        <v>0</v>
      </c>
      <c r="AL166" s="234"/>
      <c r="AM166" s="234"/>
      <c r="AN166" s="234"/>
    </row>
    <row r="167" spans="1:40" ht="20.25">
      <c r="A167" s="316" t="s">
        <v>131</v>
      </c>
      <c r="B167" s="295"/>
      <c r="C167" s="295"/>
      <c r="D167" s="1077"/>
      <c r="E167" s="319"/>
      <c r="F167" s="320"/>
      <c r="G167" s="320"/>
      <c r="H167" s="321"/>
      <c r="I167" s="321"/>
      <c r="J167" s="320"/>
      <c r="K167" s="842"/>
      <c r="L167" s="351"/>
      <c r="M167" s="352"/>
      <c r="N167" s="353"/>
      <c r="O167" s="321"/>
      <c r="P167" s="321"/>
      <c r="Q167" s="321"/>
      <c r="R167" s="321"/>
      <c r="S167" s="321"/>
      <c r="T167" s="321"/>
      <c r="U167" s="351"/>
      <c r="V167" s="352"/>
      <c r="W167" s="319"/>
      <c r="X167" s="320"/>
      <c r="Y167" s="320"/>
      <c r="Z167" s="321"/>
      <c r="AA167" s="321"/>
      <c r="AB167" s="321"/>
      <c r="AC167" s="320"/>
      <c r="AD167" s="380"/>
      <c r="AE167" s="352"/>
      <c r="AF167" s="381">
        <f t="shared" si="99"/>
        <v>0</v>
      </c>
      <c r="AG167" s="381"/>
      <c r="AH167" s="408"/>
      <c r="AI167" s="409">
        <f t="shared" si="100"/>
        <v>0</v>
      </c>
      <c r="AJ167" s="410"/>
      <c r="AK167" s="411">
        <f t="shared" si="101"/>
        <v>0</v>
      </c>
      <c r="AL167" s="234"/>
      <c r="AM167" s="234"/>
      <c r="AN167" s="234"/>
    </row>
    <row r="168" spans="1:40" ht="21" thickBot="1">
      <c r="A168" s="316" t="s">
        <v>131</v>
      </c>
      <c r="B168" s="295"/>
      <c r="C168" s="295"/>
      <c r="D168" s="1077"/>
      <c r="E168" s="319"/>
      <c r="F168" s="320"/>
      <c r="G168" s="320"/>
      <c r="H168" s="321"/>
      <c r="I168" s="321"/>
      <c r="J168" s="320"/>
      <c r="K168" s="842"/>
      <c r="L168" s="351"/>
      <c r="M168" s="352"/>
      <c r="N168" s="353"/>
      <c r="O168" s="321"/>
      <c r="P168" s="321"/>
      <c r="Q168" s="321"/>
      <c r="R168" s="321"/>
      <c r="S168" s="321"/>
      <c r="T168" s="321"/>
      <c r="U168" s="351"/>
      <c r="V168" s="352"/>
      <c r="W168" s="319"/>
      <c r="X168" s="320"/>
      <c r="Y168" s="320"/>
      <c r="Z168" s="321"/>
      <c r="AA168" s="321"/>
      <c r="AB168" s="321"/>
      <c r="AC168" s="320"/>
      <c r="AD168" s="380"/>
      <c r="AE168" s="352"/>
      <c r="AF168" s="381">
        <f t="shared" si="99"/>
        <v>0</v>
      </c>
      <c r="AG168" s="381"/>
      <c r="AH168" s="408"/>
      <c r="AI168" s="409">
        <f t="shared" si="100"/>
        <v>0</v>
      </c>
      <c r="AJ168" s="410"/>
      <c r="AK168" s="411">
        <f t="shared" si="101"/>
        <v>0</v>
      </c>
      <c r="AL168" s="234"/>
      <c r="AM168" s="234"/>
      <c r="AN168" s="234"/>
    </row>
    <row r="169" spans="1:40" ht="21" thickBot="1">
      <c r="A169" s="316" t="s">
        <v>131</v>
      </c>
      <c r="B169" s="295"/>
      <c r="C169" s="295"/>
      <c r="D169" s="1077"/>
      <c r="E169" s="319"/>
      <c r="F169" s="320"/>
      <c r="G169" s="320"/>
      <c r="H169" s="321"/>
      <c r="I169" s="321"/>
      <c r="J169" s="320"/>
      <c r="K169" s="842"/>
      <c r="L169" s="351"/>
      <c r="M169" s="352"/>
      <c r="N169" s="353"/>
      <c r="O169" s="321"/>
      <c r="P169" s="321"/>
      <c r="Q169" s="321"/>
      <c r="R169" s="321"/>
      <c r="S169" s="321"/>
      <c r="T169" s="321"/>
      <c r="U169" s="351"/>
      <c r="V169" s="352"/>
      <c r="W169" s="319"/>
      <c r="X169" s="320"/>
      <c r="Y169" s="320"/>
      <c r="Z169" s="321"/>
      <c r="AA169" s="321"/>
      <c r="AB169" s="321"/>
      <c r="AC169" s="320"/>
      <c r="AD169" s="380"/>
      <c r="AE169" s="352"/>
      <c r="AF169" s="381">
        <f t="shared" si="99"/>
        <v>0</v>
      </c>
      <c r="AG169" s="381"/>
      <c r="AH169" s="408"/>
      <c r="AI169" s="409">
        <f t="shared" si="100"/>
        <v>0</v>
      </c>
      <c r="AJ169" s="410"/>
      <c r="AK169" s="411">
        <f t="shared" si="101"/>
        <v>0</v>
      </c>
      <c r="AL169" s="414" t="s">
        <v>8</v>
      </c>
      <c r="AM169" s="397" t="s">
        <v>23</v>
      </c>
      <c r="AN169" s="415" t="s">
        <v>174</v>
      </c>
    </row>
    <row r="170" spans="1:40" s="284" customFormat="1" ht="21" thickBot="1">
      <c r="A170" s="316" t="s">
        <v>131</v>
      </c>
      <c r="B170" s="295"/>
      <c r="C170" s="295"/>
      <c r="D170" s="1077"/>
      <c r="E170" s="319"/>
      <c r="F170" s="320"/>
      <c r="G170" s="320"/>
      <c r="H170" s="321"/>
      <c r="I170" s="321"/>
      <c r="J170" s="320"/>
      <c r="K170" s="842"/>
      <c r="L170" s="351"/>
      <c r="M170" s="352"/>
      <c r="N170" s="353"/>
      <c r="O170" s="321"/>
      <c r="P170" s="321"/>
      <c r="Q170" s="321"/>
      <c r="R170" s="321"/>
      <c r="S170" s="321"/>
      <c r="T170" s="321"/>
      <c r="U170" s="351"/>
      <c r="V170" s="352"/>
      <c r="W170" s="319"/>
      <c r="X170" s="320"/>
      <c r="Y170" s="320"/>
      <c r="Z170" s="321"/>
      <c r="AA170" s="321"/>
      <c r="AB170" s="321"/>
      <c r="AC170" s="320"/>
      <c r="AD170" s="380"/>
      <c r="AE170" s="352"/>
      <c r="AF170" s="381">
        <f t="shared" si="99"/>
        <v>0</v>
      </c>
      <c r="AG170" s="381"/>
      <c r="AH170" s="408"/>
      <c r="AI170" s="409">
        <f t="shared" si="100"/>
        <v>0</v>
      </c>
      <c r="AJ170" s="410"/>
      <c r="AK170" s="411">
        <f t="shared" si="101"/>
        <v>0</v>
      </c>
      <c r="AL170" s="399" t="e">
        <f>'BIG CHAIR'!#REF!</f>
        <v>#REF!</v>
      </c>
      <c r="AM170" s="400">
        <f>'Tea Table'!X269</f>
        <v>0</v>
      </c>
      <c r="AN170" s="401" t="e">
        <f>AI173+AL170+AM170</f>
        <v>#REF!</v>
      </c>
    </row>
    <row r="171" spans="1:40" s="282" customFormat="1" ht="20.25">
      <c r="A171" s="316" t="s">
        <v>131</v>
      </c>
      <c r="B171" s="295"/>
      <c r="C171" s="295"/>
      <c r="D171" s="1077"/>
      <c r="E171" s="319"/>
      <c r="F171" s="320"/>
      <c r="G171" s="320"/>
      <c r="H171" s="321"/>
      <c r="I171" s="321"/>
      <c r="J171" s="320"/>
      <c r="K171" s="842"/>
      <c r="L171" s="351"/>
      <c r="M171" s="352"/>
      <c r="N171" s="353"/>
      <c r="O171" s="321"/>
      <c r="P171" s="321"/>
      <c r="Q171" s="321"/>
      <c r="R171" s="321"/>
      <c r="S171" s="321"/>
      <c r="T171" s="321"/>
      <c r="U171" s="351"/>
      <c r="V171" s="352"/>
      <c r="W171" s="319"/>
      <c r="X171" s="320"/>
      <c r="Y171" s="320"/>
      <c r="Z171" s="321"/>
      <c r="AA171" s="321"/>
      <c r="AB171" s="321"/>
      <c r="AC171" s="320"/>
      <c r="AD171" s="380"/>
      <c r="AE171" s="352"/>
      <c r="AF171" s="381">
        <f t="shared" si="99"/>
        <v>0</v>
      </c>
      <c r="AG171" s="381"/>
      <c r="AH171" s="408"/>
      <c r="AI171" s="409">
        <f t="shared" si="100"/>
        <v>0</v>
      </c>
      <c r="AJ171" s="410"/>
      <c r="AK171" s="411">
        <f t="shared" si="101"/>
        <v>0</v>
      </c>
    </row>
    <row r="172" spans="1:40" s="283" customFormat="1" ht="21" thickBot="1">
      <c r="A172" s="316" t="s">
        <v>131</v>
      </c>
      <c r="B172" s="323"/>
      <c r="C172" s="323"/>
      <c r="D172" s="1078"/>
      <c r="E172" s="325"/>
      <c r="F172" s="297"/>
      <c r="G172" s="297"/>
      <c r="H172" s="298"/>
      <c r="I172" s="298"/>
      <c r="J172" s="297"/>
      <c r="K172" s="1086"/>
      <c r="L172" s="367"/>
      <c r="M172" s="355"/>
      <c r="N172" s="343"/>
      <c r="O172" s="298"/>
      <c r="P172" s="298"/>
      <c r="Q172" s="298"/>
      <c r="R172" s="298"/>
      <c r="S172" s="298"/>
      <c r="T172" s="298"/>
      <c r="U172" s="367"/>
      <c r="V172" s="355"/>
      <c r="W172" s="325"/>
      <c r="X172" s="297"/>
      <c r="Y172" s="297"/>
      <c r="Z172" s="298"/>
      <c r="AA172" s="298"/>
      <c r="AB172" s="298"/>
      <c r="AC172" s="297"/>
      <c r="AD172" s="375"/>
      <c r="AE172" s="355"/>
      <c r="AF172" s="376">
        <f t="shared" si="99"/>
        <v>0</v>
      </c>
      <c r="AG172" s="377"/>
      <c r="AH172" s="390"/>
      <c r="AI172" s="391">
        <f t="shared" si="100"/>
        <v>0</v>
      </c>
      <c r="AJ172" s="412"/>
      <c r="AK172" s="413">
        <f t="shared" si="101"/>
        <v>0</v>
      </c>
      <c r="AL172" s="234"/>
      <c r="AM172" s="234"/>
      <c r="AN172" s="234"/>
    </row>
    <row r="173" spans="1:40" s="283" customFormat="1" ht="19.5" thickBot="1">
      <c r="A173" s="326" t="s">
        <v>132</v>
      </c>
      <c r="B173" s="327"/>
      <c r="C173" s="327"/>
      <c r="D173" s="328"/>
      <c r="E173" s="329">
        <f t="shared" ref="E173:L173" si="102">SUM(E142:E172)</f>
        <v>0</v>
      </c>
      <c r="F173" s="329">
        <f t="shared" si="102"/>
        <v>0</v>
      </c>
      <c r="G173" s="329">
        <f t="shared" si="102"/>
        <v>0</v>
      </c>
      <c r="H173" s="329">
        <f t="shared" si="102"/>
        <v>0</v>
      </c>
      <c r="I173" s="329">
        <f t="shared" si="102"/>
        <v>0</v>
      </c>
      <c r="J173" s="329">
        <f t="shared" si="102"/>
        <v>0</v>
      </c>
      <c r="K173" s="329">
        <f t="shared" si="102"/>
        <v>0</v>
      </c>
      <c r="L173" s="329">
        <f t="shared" si="102"/>
        <v>0</v>
      </c>
      <c r="M173" s="357"/>
      <c r="N173" s="358">
        <f t="shared" ref="N173:U173" si="103">SUM(N142:N172)</f>
        <v>0</v>
      </c>
      <c r="O173" s="359">
        <f t="shared" si="103"/>
        <v>0</v>
      </c>
      <c r="P173" s="359">
        <f t="shared" si="103"/>
        <v>0</v>
      </c>
      <c r="Q173" s="359">
        <f t="shared" si="103"/>
        <v>0</v>
      </c>
      <c r="R173" s="359">
        <f t="shared" si="103"/>
        <v>0</v>
      </c>
      <c r="S173" s="359">
        <f t="shared" si="103"/>
        <v>0</v>
      </c>
      <c r="T173" s="359">
        <f t="shared" si="103"/>
        <v>0</v>
      </c>
      <c r="U173" s="369">
        <f t="shared" si="103"/>
        <v>0</v>
      </c>
      <c r="V173" s="357"/>
      <c r="W173" s="358">
        <f t="shared" ref="W173:AD173" si="104">SUM(W142:W172)</f>
        <v>0</v>
      </c>
      <c r="X173" s="358">
        <f t="shared" si="104"/>
        <v>0</v>
      </c>
      <c r="Y173" s="358">
        <f t="shared" si="104"/>
        <v>0</v>
      </c>
      <c r="Z173" s="358">
        <f t="shared" si="104"/>
        <v>0</v>
      </c>
      <c r="AA173" s="358">
        <f t="shared" si="104"/>
        <v>0</v>
      </c>
      <c r="AB173" s="358">
        <f t="shared" si="104"/>
        <v>0</v>
      </c>
      <c r="AC173" s="358">
        <f t="shared" si="104"/>
        <v>0</v>
      </c>
      <c r="AD173" s="358">
        <f t="shared" si="104"/>
        <v>0</v>
      </c>
      <c r="AE173" s="357"/>
      <c r="AF173" s="382">
        <f t="shared" ref="AF173:AK173" si="105">SUM(AF142:AF172)</f>
        <v>0</v>
      </c>
      <c r="AG173" s="382">
        <f t="shared" si="105"/>
        <v>0</v>
      </c>
      <c r="AH173" s="416">
        <f t="shared" si="105"/>
        <v>0</v>
      </c>
      <c r="AI173" s="417">
        <f t="shared" si="105"/>
        <v>0</v>
      </c>
      <c r="AJ173" s="382">
        <f t="shared" si="105"/>
        <v>0</v>
      </c>
      <c r="AK173" s="418">
        <f t="shared" si="105"/>
        <v>0</v>
      </c>
      <c r="AL173" s="234"/>
      <c r="AM173" s="234"/>
      <c r="AN173" s="234"/>
    </row>
    <row r="174" spans="1:40" s="283" customFormat="1" ht="24" thickBot="1">
      <c r="A174" s="286" t="s">
        <v>393</v>
      </c>
      <c r="B174" s="287" t="s">
        <v>68</v>
      </c>
      <c r="C174" s="287" t="s">
        <v>69</v>
      </c>
      <c r="D174" s="1073" t="s">
        <v>70</v>
      </c>
      <c r="E174" s="743" t="s">
        <v>96</v>
      </c>
      <c r="F174" s="744" t="s">
        <v>124</v>
      </c>
      <c r="G174" s="744" t="s">
        <v>228</v>
      </c>
      <c r="H174" s="744" t="s">
        <v>149</v>
      </c>
      <c r="I174" s="744" t="s">
        <v>470</v>
      </c>
      <c r="J174" s="744" t="s">
        <v>92</v>
      </c>
      <c r="K174" s="50" t="s">
        <v>479</v>
      </c>
      <c r="L174" s="783" t="s">
        <v>123</v>
      </c>
      <c r="M174" s="1089"/>
      <c r="N174" s="80" t="s">
        <v>71</v>
      </c>
      <c r="O174" s="49" t="s">
        <v>53</v>
      </c>
      <c r="P174" s="49" t="s">
        <v>118</v>
      </c>
      <c r="Q174" s="49" t="s">
        <v>74</v>
      </c>
      <c r="R174" s="49" t="s">
        <v>75</v>
      </c>
      <c r="S174" s="49" t="s">
        <v>94</v>
      </c>
      <c r="T174" s="126" t="s">
        <v>77</v>
      </c>
      <c r="U174" s="171" t="s">
        <v>101</v>
      </c>
      <c r="V174" s="79"/>
      <c r="W174" s="80" t="s">
        <v>482</v>
      </c>
      <c r="X174" s="743" t="s">
        <v>96</v>
      </c>
      <c r="Y174" s="744" t="s">
        <v>118</v>
      </c>
      <c r="Z174" s="744" t="s">
        <v>231</v>
      </c>
      <c r="AA174" s="744" t="s">
        <v>75</v>
      </c>
      <c r="AB174" s="744" t="s">
        <v>53</v>
      </c>
      <c r="AC174" s="783" t="s">
        <v>230</v>
      </c>
      <c r="AD174" s="372" t="s">
        <v>95</v>
      </c>
      <c r="AE174" s="370"/>
      <c r="AF174" s="371" t="s">
        <v>172</v>
      </c>
      <c r="AG174" s="372" t="s">
        <v>80</v>
      </c>
      <c r="AH174" s="385"/>
      <c r="AI174" s="386" t="s">
        <v>106</v>
      </c>
      <c r="AJ174" s="385" t="s">
        <v>173</v>
      </c>
      <c r="AK174" s="371" t="s">
        <v>108</v>
      </c>
      <c r="AL174" s="234"/>
      <c r="AM174" s="234"/>
      <c r="AN174" s="234"/>
    </row>
    <row r="175" spans="1:40" s="283" customFormat="1" ht="20.25">
      <c r="A175" s="316" t="s">
        <v>392</v>
      </c>
      <c r="B175" s="317" t="s">
        <v>472</v>
      </c>
      <c r="C175" s="317"/>
      <c r="D175" s="1077"/>
      <c r="E175" s="319"/>
      <c r="F175" s="320"/>
      <c r="G175" s="320"/>
      <c r="H175" s="321"/>
      <c r="I175" s="321"/>
      <c r="J175" s="320"/>
      <c r="K175" s="1090"/>
      <c r="L175" s="363"/>
      <c r="M175" s="352"/>
      <c r="N175" s="353"/>
      <c r="O175" s="320"/>
      <c r="P175" s="320"/>
      <c r="Q175" s="321"/>
      <c r="R175" s="321"/>
      <c r="S175" s="321"/>
      <c r="T175" s="320"/>
      <c r="U175" s="351"/>
      <c r="V175" s="352"/>
      <c r="W175" s="362"/>
      <c r="X175" s="334"/>
      <c r="Y175" s="334"/>
      <c r="Z175" s="334"/>
      <c r="AA175" s="334"/>
      <c r="AB175" s="334"/>
      <c r="AC175" s="334"/>
      <c r="AD175" s="380"/>
      <c r="AE175" s="352"/>
      <c r="AF175" s="381">
        <f>SUM(E175:AD175)</f>
        <v>0</v>
      </c>
      <c r="AG175" s="381"/>
      <c r="AH175" s="408"/>
      <c r="AI175" s="409">
        <f>AF175+AG175</f>
        <v>0</v>
      </c>
      <c r="AJ175" s="410"/>
      <c r="AK175" s="411">
        <f>AI175+AJ175</f>
        <v>0</v>
      </c>
      <c r="AL175" s="234"/>
      <c r="AM175" s="234"/>
      <c r="AN175" s="234"/>
    </row>
    <row r="176" spans="1:40" s="283" customFormat="1" ht="20.25">
      <c r="A176" s="316" t="s">
        <v>392</v>
      </c>
      <c r="B176" s="822"/>
      <c r="C176" s="295"/>
      <c r="D176" s="1077"/>
      <c r="E176" s="319"/>
      <c r="F176" s="320"/>
      <c r="G176" s="320"/>
      <c r="H176" s="321"/>
      <c r="I176" s="321"/>
      <c r="J176" s="320"/>
      <c r="K176" s="1090"/>
      <c r="L176" s="363"/>
      <c r="M176" s="352"/>
      <c r="N176" s="353"/>
      <c r="O176" s="321"/>
      <c r="P176" s="321"/>
      <c r="Q176" s="321"/>
      <c r="R176" s="321"/>
      <c r="S176" s="321"/>
      <c r="T176" s="321"/>
      <c r="U176" s="351"/>
      <c r="V176" s="352"/>
      <c r="W176" s="319"/>
      <c r="X176" s="320"/>
      <c r="Y176" s="320"/>
      <c r="Z176" s="321"/>
      <c r="AA176" s="321"/>
      <c r="AB176" s="321"/>
      <c r="AC176" s="320"/>
      <c r="AD176" s="380"/>
      <c r="AE176" s="352"/>
      <c r="AF176" s="381">
        <f>SUM(E176:AD176)</f>
        <v>0</v>
      </c>
      <c r="AG176" s="381"/>
      <c r="AH176" s="408"/>
      <c r="AI176" s="409">
        <f>AF176+AG176</f>
        <v>0</v>
      </c>
      <c r="AJ176" s="410"/>
      <c r="AK176" s="411">
        <f>AI176+AJ176</f>
        <v>0</v>
      </c>
      <c r="AL176" s="234"/>
      <c r="AM176" s="234"/>
      <c r="AN176" s="234"/>
    </row>
    <row r="177" spans="1:40" s="283" customFormat="1" ht="20.25">
      <c r="A177" s="316" t="s">
        <v>392</v>
      </c>
      <c r="B177" s="822"/>
      <c r="C177" s="295"/>
      <c r="D177" s="1077"/>
      <c r="E177" s="319"/>
      <c r="F177" s="320"/>
      <c r="G177" s="320"/>
      <c r="H177" s="321"/>
      <c r="I177" s="321"/>
      <c r="J177" s="320"/>
      <c r="K177" s="1090"/>
      <c r="L177" s="363"/>
      <c r="M177" s="352"/>
      <c r="N177" s="353"/>
      <c r="O177" s="321"/>
      <c r="P177" s="321"/>
      <c r="Q177" s="321"/>
      <c r="R177" s="321"/>
      <c r="S177" s="321"/>
      <c r="T177" s="321"/>
      <c r="U177" s="351"/>
      <c r="V177" s="352"/>
      <c r="W177" s="319"/>
      <c r="X177" s="320"/>
      <c r="Y177" s="320"/>
      <c r="Z177" s="321"/>
      <c r="AA177" s="321"/>
      <c r="AB177" s="321"/>
      <c r="AC177" s="320"/>
      <c r="AD177" s="380"/>
      <c r="AE177" s="352"/>
      <c r="AF177" s="381">
        <f>SUM(E177:AD177)</f>
        <v>0</v>
      </c>
      <c r="AG177" s="381"/>
      <c r="AH177" s="408"/>
      <c r="AI177" s="409">
        <f>AF177+AG177</f>
        <v>0</v>
      </c>
      <c r="AJ177" s="410"/>
      <c r="AK177" s="411">
        <f>AI177+AJ177</f>
        <v>0</v>
      </c>
      <c r="AL177" s="234"/>
      <c r="AM177" s="234"/>
      <c r="AN177" s="234"/>
    </row>
    <row r="178" spans="1:40" s="284" customFormat="1" ht="20.25">
      <c r="A178" s="316" t="s">
        <v>392</v>
      </c>
      <c r="B178" s="822"/>
      <c r="C178" s="295"/>
      <c r="D178" s="1077"/>
      <c r="E178" s="319"/>
      <c r="F178" s="320"/>
      <c r="G178" s="320"/>
      <c r="H178" s="321"/>
      <c r="I178" s="321"/>
      <c r="J178" s="320"/>
      <c r="K178" s="1091"/>
      <c r="L178" s="363"/>
      <c r="M178" s="352"/>
      <c r="N178" s="353"/>
      <c r="O178" s="321"/>
      <c r="P178" s="321"/>
      <c r="Q178" s="321"/>
      <c r="R178" s="321"/>
      <c r="S178" s="321"/>
      <c r="T178" s="321"/>
      <c r="U178" s="351"/>
      <c r="V178" s="352"/>
      <c r="W178" s="319"/>
      <c r="X178" s="320"/>
      <c r="Y178" s="320"/>
      <c r="Z178" s="321"/>
      <c r="AA178" s="321"/>
      <c r="AB178" s="321"/>
      <c r="AC178" s="320"/>
      <c r="AD178" s="380"/>
      <c r="AE178" s="352"/>
      <c r="AF178" s="381">
        <f>SUM(E178:AD178)</f>
        <v>0</v>
      </c>
      <c r="AG178" s="381"/>
      <c r="AH178" s="408"/>
      <c r="AI178" s="409">
        <f>AF178+AG178</f>
        <v>0</v>
      </c>
      <c r="AJ178" s="410"/>
      <c r="AK178" s="411">
        <f>AI178+AJ178</f>
        <v>0</v>
      </c>
      <c r="AL178" s="234"/>
      <c r="AM178" s="234"/>
      <c r="AN178" s="234"/>
    </row>
    <row r="179" spans="1:40" s="282" customFormat="1" ht="20.25">
      <c r="A179" s="316" t="s">
        <v>392</v>
      </c>
      <c r="B179" s="822"/>
      <c r="C179" s="295"/>
      <c r="D179" s="1077"/>
      <c r="E179" s="319"/>
      <c r="F179" s="320"/>
      <c r="G179" s="320"/>
      <c r="H179" s="321"/>
      <c r="I179" s="321"/>
      <c r="J179" s="320"/>
      <c r="K179" s="1090"/>
      <c r="L179" s="363"/>
      <c r="M179" s="352"/>
      <c r="N179" s="353"/>
      <c r="O179" s="321"/>
      <c r="P179" s="321"/>
      <c r="Q179" s="321"/>
      <c r="R179" s="321"/>
      <c r="S179" s="321"/>
      <c r="T179" s="321"/>
      <c r="U179" s="351"/>
      <c r="V179" s="352"/>
      <c r="W179" s="319"/>
      <c r="X179" s="320"/>
      <c r="Y179" s="320"/>
      <c r="Z179" s="321"/>
      <c r="AA179" s="321"/>
      <c r="AB179" s="321"/>
      <c r="AC179" s="320"/>
      <c r="AD179" s="380"/>
      <c r="AE179" s="352"/>
      <c r="AF179" s="381">
        <f>SUM(E179:AD179)</f>
        <v>0</v>
      </c>
      <c r="AG179" s="381"/>
      <c r="AH179" s="408"/>
      <c r="AI179" s="409">
        <f>AF179+AG179</f>
        <v>0</v>
      </c>
      <c r="AJ179" s="410"/>
      <c r="AK179" s="411">
        <f>AI179+AJ179</f>
        <v>0</v>
      </c>
      <c r="AL179" s="234"/>
      <c r="AM179" s="234"/>
      <c r="AN179" s="234"/>
    </row>
    <row r="180" spans="1:40" s="283" customFormat="1" ht="20.25">
      <c r="A180" s="316" t="s">
        <v>392</v>
      </c>
      <c r="B180" s="822"/>
      <c r="C180" s="295"/>
      <c r="D180" s="1077"/>
      <c r="E180" s="319"/>
      <c r="F180" s="320"/>
      <c r="G180" s="320"/>
      <c r="H180" s="321"/>
      <c r="I180" s="321"/>
      <c r="J180" s="320"/>
      <c r="K180" s="1090"/>
      <c r="L180" s="363"/>
      <c r="M180" s="352"/>
      <c r="N180" s="353"/>
      <c r="O180" s="321"/>
      <c r="P180" s="321"/>
      <c r="Q180" s="321"/>
      <c r="R180" s="321"/>
      <c r="S180" s="321"/>
      <c r="T180" s="321"/>
      <c r="U180" s="351"/>
      <c r="V180" s="352"/>
      <c r="W180" s="319"/>
      <c r="X180" s="320"/>
      <c r="Y180" s="320"/>
      <c r="Z180" s="321"/>
      <c r="AA180" s="321"/>
      <c r="AB180" s="321"/>
      <c r="AC180" s="320"/>
      <c r="AD180" s="380"/>
      <c r="AE180" s="352"/>
      <c r="AF180" s="381">
        <f t="shared" ref="AF180:AF181" si="106">SUM(E180:AD180)</f>
        <v>0</v>
      </c>
      <c r="AG180" s="381"/>
      <c r="AH180" s="408"/>
      <c r="AI180" s="409">
        <f t="shared" ref="AI180:AI182" si="107">AF180+AG180</f>
        <v>0</v>
      </c>
      <c r="AJ180" s="410"/>
      <c r="AK180" s="411">
        <f t="shared" ref="AK180:AK182" si="108">AI180+AJ180</f>
        <v>0</v>
      </c>
      <c r="AL180" s="234"/>
      <c r="AM180" s="234"/>
      <c r="AN180" s="234"/>
    </row>
    <row r="181" spans="1:40" s="283" customFormat="1" ht="20.25">
      <c r="A181" s="551"/>
      <c r="B181" s="710"/>
      <c r="C181" s="295"/>
      <c r="D181" s="1077"/>
      <c r="E181" s="319"/>
      <c r="F181" s="320"/>
      <c r="G181" s="320"/>
      <c r="H181" s="321"/>
      <c r="I181" s="321"/>
      <c r="J181" s="320"/>
      <c r="K181" s="1090"/>
      <c r="L181" s="351"/>
      <c r="M181" s="352"/>
      <c r="N181" s="353"/>
      <c r="O181" s="321"/>
      <c r="P181" s="321"/>
      <c r="Q181" s="321"/>
      <c r="R181" s="321"/>
      <c r="S181" s="321"/>
      <c r="T181" s="321"/>
      <c r="U181" s="351"/>
      <c r="V181" s="352"/>
      <c r="W181" s="319"/>
      <c r="X181" s="320"/>
      <c r="Y181" s="320"/>
      <c r="Z181" s="321"/>
      <c r="AA181" s="321"/>
      <c r="AB181" s="321"/>
      <c r="AC181" s="320"/>
      <c r="AD181" s="380"/>
      <c r="AE181" s="352"/>
      <c r="AF181" s="381">
        <f t="shared" si="106"/>
        <v>0</v>
      </c>
      <c r="AG181" s="381"/>
      <c r="AH181" s="408"/>
      <c r="AI181" s="409">
        <f t="shared" si="107"/>
        <v>0</v>
      </c>
      <c r="AJ181" s="410"/>
      <c r="AK181" s="411">
        <f t="shared" si="108"/>
        <v>0</v>
      </c>
      <c r="AL181" s="234"/>
      <c r="AM181" s="234"/>
      <c r="AN181" s="234"/>
    </row>
    <row r="182" spans="1:40" s="283" customFormat="1" ht="20.25">
      <c r="A182" s="316" t="s">
        <v>392</v>
      </c>
      <c r="B182" s="710"/>
      <c r="C182" s="295"/>
      <c r="D182" s="1077"/>
      <c r="E182" s="319"/>
      <c r="F182" s="320"/>
      <c r="G182" s="320"/>
      <c r="H182" s="321"/>
      <c r="I182" s="321"/>
      <c r="J182" s="320"/>
      <c r="K182" s="1090"/>
      <c r="L182" s="351"/>
      <c r="M182" s="352"/>
      <c r="N182" s="353"/>
      <c r="O182" s="321"/>
      <c r="P182" s="321"/>
      <c r="Q182" s="321"/>
      <c r="R182" s="321"/>
      <c r="S182" s="321"/>
      <c r="T182" s="321"/>
      <c r="U182" s="351"/>
      <c r="V182" s="352"/>
      <c r="W182" s="319"/>
      <c r="X182" s="320"/>
      <c r="Y182" s="320"/>
      <c r="Z182" s="321"/>
      <c r="AA182" s="321"/>
      <c r="AB182" s="321"/>
      <c r="AC182" s="320"/>
      <c r="AD182" s="380"/>
      <c r="AE182" s="352"/>
      <c r="AF182" s="381">
        <f t="shared" ref="AF182:AF186" si="109">SUM(E182:AD182)</f>
        <v>0</v>
      </c>
      <c r="AG182" s="381"/>
      <c r="AH182" s="408"/>
      <c r="AI182" s="409">
        <f t="shared" si="107"/>
        <v>0</v>
      </c>
      <c r="AJ182" s="410"/>
      <c r="AK182" s="411">
        <f t="shared" si="108"/>
        <v>0</v>
      </c>
      <c r="AL182" s="234"/>
      <c r="AM182" s="234"/>
      <c r="AN182" s="234"/>
    </row>
    <row r="183" spans="1:40" s="283" customFormat="1" ht="20.25">
      <c r="A183" s="316" t="s">
        <v>392</v>
      </c>
      <c r="B183" s="710"/>
      <c r="C183" s="295"/>
      <c r="D183" s="1077"/>
      <c r="E183" s="319"/>
      <c r="F183" s="320"/>
      <c r="G183" s="320"/>
      <c r="H183" s="321"/>
      <c r="I183" s="321"/>
      <c r="J183" s="320"/>
      <c r="K183" s="1090"/>
      <c r="L183" s="351"/>
      <c r="M183" s="352"/>
      <c r="N183" s="353"/>
      <c r="O183" s="321"/>
      <c r="P183" s="321"/>
      <c r="Q183" s="321"/>
      <c r="R183" s="321"/>
      <c r="S183" s="321"/>
      <c r="T183" s="321"/>
      <c r="U183" s="351"/>
      <c r="V183" s="352"/>
      <c r="W183" s="319"/>
      <c r="X183" s="320"/>
      <c r="Y183" s="320"/>
      <c r="Z183" s="321"/>
      <c r="AA183" s="321"/>
      <c r="AB183" s="321"/>
      <c r="AC183" s="320"/>
      <c r="AD183" s="380"/>
      <c r="AE183" s="352"/>
      <c r="AF183" s="381">
        <f t="shared" si="109"/>
        <v>0</v>
      </c>
      <c r="AG183" s="381"/>
      <c r="AH183" s="408"/>
      <c r="AI183" s="409">
        <f t="shared" ref="AI183:AI190" si="110">AF183+AG183</f>
        <v>0</v>
      </c>
      <c r="AJ183" s="410"/>
      <c r="AK183" s="411">
        <f t="shared" ref="AK183:AK190" si="111">AI183+AJ183</f>
        <v>0</v>
      </c>
      <c r="AL183" s="234"/>
      <c r="AM183" s="234"/>
      <c r="AN183" s="234"/>
    </row>
    <row r="184" spans="1:40" s="283" customFormat="1" ht="20.25">
      <c r="A184" s="316" t="s">
        <v>392</v>
      </c>
      <c r="B184" s="710"/>
      <c r="C184" s="295"/>
      <c r="D184" s="1077"/>
      <c r="E184" s="319"/>
      <c r="F184" s="320"/>
      <c r="G184" s="320"/>
      <c r="H184" s="321"/>
      <c r="I184" s="321"/>
      <c r="J184" s="320"/>
      <c r="K184" s="1090"/>
      <c r="L184" s="351"/>
      <c r="M184" s="352"/>
      <c r="N184" s="353"/>
      <c r="O184" s="321"/>
      <c r="P184" s="321"/>
      <c r="Q184" s="321"/>
      <c r="R184" s="321"/>
      <c r="S184" s="321"/>
      <c r="T184" s="321"/>
      <c r="U184" s="351"/>
      <c r="V184" s="352"/>
      <c r="W184" s="319"/>
      <c r="X184" s="320"/>
      <c r="Y184" s="320"/>
      <c r="Z184" s="321"/>
      <c r="AA184" s="321"/>
      <c r="AB184" s="321"/>
      <c r="AC184" s="320"/>
      <c r="AD184" s="380"/>
      <c r="AE184" s="352"/>
      <c r="AF184" s="381">
        <f t="shared" si="109"/>
        <v>0</v>
      </c>
      <c r="AG184" s="381"/>
      <c r="AH184" s="408"/>
      <c r="AI184" s="409">
        <f t="shared" si="110"/>
        <v>0</v>
      </c>
      <c r="AJ184" s="410"/>
      <c r="AK184" s="411">
        <f t="shared" si="111"/>
        <v>0</v>
      </c>
      <c r="AL184" s="234"/>
      <c r="AM184" s="234"/>
      <c r="AN184" s="234"/>
    </row>
    <row r="185" spans="1:40" s="284" customFormat="1" ht="20.25">
      <c r="A185" s="316" t="s">
        <v>392</v>
      </c>
      <c r="B185" s="710"/>
      <c r="C185" s="295"/>
      <c r="D185" s="1077"/>
      <c r="E185" s="319"/>
      <c r="F185" s="320"/>
      <c r="G185" s="320"/>
      <c r="H185" s="321"/>
      <c r="I185" s="321"/>
      <c r="J185" s="320"/>
      <c r="K185" s="1090"/>
      <c r="L185" s="351"/>
      <c r="M185" s="352"/>
      <c r="N185" s="353"/>
      <c r="O185" s="321"/>
      <c r="P185" s="321"/>
      <c r="Q185" s="321"/>
      <c r="R185" s="321"/>
      <c r="S185" s="321"/>
      <c r="T185" s="321"/>
      <c r="U185" s="351"/>
      <c r="V185" s="352"/>
      <c r="W185" s="319"/>
      <c r="X185" s="320"/>
      <c r="Y185" s="320"/>
      <c r="Z185" s="321"/>
      <c r="AA185" s="321"/>
      <c r="AB185" s="321"/>
      <c r="AC185" s="320"/>
      <c r="AD185" s="380"/>
      <c r="AE185" s="352"/>
      <c r="AF185" s="381">
        <f t="shared" si="109"/>
        <v>0</v>
      </c>
      <c r="AG185" s="381"/>
      <c r="AH185" s="408"/>
      <c r="AI185" s="409">
        <f t="shared" si="110"/>
        <v>0</v>
      </c>
      <c r="AJ185" s="410"/>
      <c r="AK185" s="411">
        <f t="shared" si="111"/>
        <v>0</v>
      </c>
      <c r="AL185" s="234"/>
      <c r="AM185" s="234"/>
      <c r="AN185" s="234"/>
    </row>
    <row r="186" spans="1:40" s="282" customFormat="1" ht="20.25">
      <c r="A186" s="316" t="s">
        <v>392</v>
      </c>
      <c r="B186" s="710"/>
      <c r="C186" s="295"/>
      <c r="D186" s="1077"/>
      <c r="E186" s="319"/>
      <c r="F186" s="320"/>
      <c r="G186" s="320"/>
      <c r="H186" s="321"/>
      <c r="I186" s="321"/>
      <c r="J186" s="320"/>
      <c r="K186" s="1090"/>
      <c r="L186" s="351"/>
      <c r="M186" s="352"/>
      <c r="N186" s="353"/>
      <c r="O186" s="321"/>
      <c r="P186" s="321"/>
      <c r="Q186" s="321"/>
      <c r="R186" s="321"/>
      <c r="S186" s="321"/>
      <c r="T186" s="321"/>
      <c r="U186" s="351"/>
      <c r="V186" s="352"/>
      <c r="W186" s="319"/>
      <c r="X186" s="320"/>
      <c r="Y186" s="320"/>
      <c r="Z186" s="321"/>
      <c r="AA186" s="321"/>
      <c r="AB186" s="321"/>
      <c r="AC186" s="320"/>
      <c r="AD186" s="380"/>
      <c r="AE186" s="352"/>
      <c r="AF186" s="381">
        <f t="shared" si="109"/>
        <v>0</v>
      </c>
      <c r="AG186" s="381"/>
      <c r="AH186" s="408"/>
      <c r="AI186" s="409">
        <f t="shared" si="110"/>
        <v>0</v>
      </c>
      <c r="AJ186" s="410"/>
      <c r="AK186" s="411">
        <f t="shared" si="111"/>
        <v>0</v>
      </c>
      <c r="AL186" s="234"/>
      <c r="AM186" s="234"/>
      <c r="AN186" s="234"/>
    </row>
    <row r="187" spans="1:40" s="283" customFormat="1" ht="20.25">
      <c r="A187" s="316" t="s">
        <v>392</v>
      </c>
      <c r="B187" s="822"/>
      <c r="C187" s="295"/>
      <c r="D187" s="1077"/>
      <c r="E187" s="319"/>
      <c r="F187" s="320"/>
      <c r="G187" s="320"/>
      <c r="H187" s="321"/>
      <c r="I187" s="321"/>
      <c r="J187" s="320"/>
      <c r="K187" s="1090"/>
      <c r="L187" s="351"/>
      <c r="M187" s="352"/>
      <c r="N187" s="353"/>
      <c r="O187" s="321"/>
      <c r="P187" s="321"/>
      <c r="Q187" s="321"/>
      <c r="R187" s="321"/>
      <c r="S187" s="321"/>
      <c r="T187" s="321"/>
      <c r="U187" s="351"/>
      <c r="V187" s="352"/>
      <c r="W187" s="319"/>
      <c r="X187" s="320"/>
      <c r="Y187" s="320"/>
      <c r="Z187" s="321"/>
      <c r="AA187" s="321"/>
      <c r="AB187" s="321"/>
      <c r="AC187" s="320"/>
      <c r="AD187" s="380"/>
      <c r="AE187" s="352"/>
      <c r="AF187" s="381">
        <f t="shared" ref="AF187:AF190" si="112">SUM(E187:AD187)</f>
        <v>0</v>
      </c>
      <c r="AG187" s="381"/>
      <c r="AH187" s="408"/>
      <c r="AI187" s="409">
        <f t="shared" si="110"/>
        <v>0</v>
      </c>
      <c r="AJ187" s="410"/>
      <c r="AK187" s="411">
        <f t="shared" si="111"/>
        <v>0</v>
      </c>
      <c r="AL187" s="234"/>
      <c r="AM187" s="234"/>
      <c r="AN187" s="234"/>
    </row>
    <row r="188" spans="1:40" s="283" customFormat="1" ht="20.25">
      <c r="A188" s="316" t="s">
        <v>392</v>
      </c>
      <c r="B188" s="710"/>
      <c r="C188" s="295"/>
      <c r="D188" s="1077"/>
      <c r="E188" s="319"/>
      <c r="F188" s="320"/>
      <c r="G188" s="320"/>
      <c r="H188" s="321"/>
      <c r="I188" s="321"/>
      <c r="J188" s="320"/>
      <c r="K188" s="1090"/>
      <c r="L188" s="351"/>
      <c r="M188" s="352"/>
      <c r="N188" s="353"/>
      <c r="O188" s="321"/>
      <c r="P188" s="321"/>
      <c r="Q188" s="321"/>
      <c r="R188" s="321"/>
      <c r="S188" s="321"/>
      <c r="T188" s="321"/>
      <c r="U188" s="351"/>
      <c r="V188" s="352"/>
      <c r="W188" s="319"/>
      <c r="X188" s="320"/>
      <c r="Y188" s="320"/>
      <c r="Z188" s="321"/>
      <c r="AA188" s="321"/>
      <c r="AB188" s="321"/>
      <c r="AC188" s="320"/>
      <c r="AD188" s="380"/>
      <c r="AE188" s="352"/>
      <c r="AF188" s="381">
        <f t="shared" si="112"/>
        <v>0</v>
      </c>
      <c r="AG188" s="381"/>
      <c r="AH188" s="408"/>
      <c r="AI188" s="409">
        <f t="shared" si="110"/>
        <v>0</v>
      </c>
      <c r="AJ188" s="410"/>
      <c r="AK188" s="411">
        <f t="shared" si="111"/>
        <v>0</v>
      </c>
      <c r="AL188" s="234"/>
      <c r="AM188" s="234"/>
      <c r="AN188" s="234"/>
    </row>
    <row r="189" spans="1:40" s="283" customFormat="1" ht="20.25">
      <c r="A189" s="316" t="s">
        <v>392</v>
      </c>
      <c r="B189" s="295"/>
      <c r="C189" s="295"/>
      <c r="D189" s="1077"/>
      <c r="E189" s="319"/>
      <c r="F189" s="320"/>
      <c r="G189" s="320"/>
      <c r="H189" s="321"/>
      <c r="I189" s="321"/>
      <c r="J189" s="320"/>
      <c r="K189" s="1090"/>
      <c r="L189" s="351"/>
      <c r="M189" s="352"/>
      <c r="N189" s="353"/>
      <c r="O189" s="321"/>
      <c r="P189" s="321"/>
      <c r="Q189" s="321"/>
      <c r="R189" s="321"/>
      <c r="S189" s="321"/>
      <c r="T189" s="321"/>
      <c r="U189" s="351"/>
      <c r="V189" s="352"/>
      <c r="W189" s="319"/>
      <c r="X189" s="320"/>
      <c r="Y189" s="320"/>
      <c r="Z189" s="321"/>
      <c r="AA189" s="321"/>
      <c r="AB189" s="321"/>
      <c r="AC189" s="320"/>
      <c r="AD189" s="380"/>
      <c r="AE189" s="352"/>
      <c r="AF189" s="381">
        <f t="shared" si="112"/>
        <v>0</v>
      </c>
      <c r="AG189" s="381"/>
      <c r="AH189" s="408"/>
      <c r="AI189" s="409">
        <f t="shared" si="110"/>
        <v>0</v>
      </c>
      <c r="AJ189" s="410"/>
      <c r="AK189" s="411">
        <f t="shared" si="111"/>
        <v>0</v>
      </c>
      <c r="AL189" s="234"/>
      <c r="AM189" s="234"/>
      <c r="AN189" s="234"/>
    </row>
    <row r="190" spans="1:40" s="283" customFormat="1" ht="20.25">
      <c r="A190" s="316" t="s">
        <v>392</v>
      </c>
      <c r="B190" s="295"/>
      <c r="C190" s="295"/>
      <c r="D190" s="1077"/>
      <c r="E190" s="319"/>
      <c r="F190" s="320"/>
      <c r="G190" s="320"/>
      <c r="H190" s="321"/>
      <c r="I190" s="321"/>
      <c r="J190" s="320"/>
      <c r="K190" s="1090"/>
      <c r="L190" s="351"/>
      <c r="M190" s="352"/>
      <c r="N190" s="353"/>
      <c r="O190" s="321"/>
      <c r="P190" s="321"/>
      <c r="Q190" s="321"/>
      <c r="R190" s="321"/>
      <c r="S190" s="321"/>
      <c r="T190" s="321"/>
      <c r="U190" s="351"/>
      <c r="V190" s="352"/>
      <c r="W190" s="319"/>
      <c r="X190" s="320"/>
      <c r="Y190" s="320"/>
      <c r="Z190" s="321"/>
      <c r="AA190" s="321"/>
      <c r="AB190" s="321"/>
      <c r="AC190" s="320"/>
      <c r="AD190" s="380"/>
      <c r="AE190" s="352"/>
      <c r="AF190" s="381">
        <f t="shared" si="112"/>
        <v>0</v>
      </c>
      <c r="AG190" s="381"/>
      <c r="AH190" s="408"/>
      <c r="AI190" s="409">
        <f t="shared" si="110"/>
        <v>0</v>
      </c>
      <c r="AJ190" s="410"/>
      <c r="AK190" s="411">
        <f t="shared" si="111"/>
        <v>0</v>
      </c>
      <c r="AL190" s="234"/>
      <c r="AM190" s="234"/>
      <c r="AN190" s="234"/>
    </row>
    <row r="191" spans="1:40" s="283" customFormat="1" ht="20.25">
      <c r="A191" s="316" t="s">
        <v>392</v>
      </c>
      <c r="B191" s="295"/>
      <c r="C191" s="295"/>
      <c r="D191" s="1077"/>
      <c r="E191" s="319"/>
      <c r="F191" s="320"/>
      <c r="G191" s="320"/>
      <c r="H191" s="321"/>
      <c r="I191" s="321"/>
      <c r="J191" s="320"/>
      <c r="K191" s="1090"/>
      <c r="L191" s="351"/>
      <c r="M191" s="352"/>
      <c r="N191" s="353"/>
      <c r="O191" s="321"/>
      <c r="P191" s="321"/>
      <c r="Q191" s="321"/>
      <c r="R191" s="321"/>
      <c r="S191" s="321"/>
      <c r="T191" s="321"/>
      <c r="U191" s="351"/>
      <c r="V191" s="352"/>
      <c r="W191" s="319"/>
      <c r="X191" s="320"/>
      <c r="Y191" s="320"/>
      <c r="Z191" s="321"/>
      <c r="AA191" s="321"/>
      <c r="AB191" s="321"/>
      <c r="AC191" s="320"/>
      <c r="AD191" s="380"/>
      <c r="AE191" s="352"/>
      <c r="AF191" s="381">
        <f t="shared" ref="AF191:AF198" si="113">SUM(E191:AD191)</f>
        <v>0</v>
      </c>
      <c r="AG191" s="381"/>
      <c r="AH191" s="408"/>
      <c r="AI191" s="409">
        <f t="shared" ref="AI191:AI207" si="114">AF191+AG191</f>
        <v>0</v>
      </c>
      <c r="AJ191" s="410"/>
      <c r="AK191" s="411">
        <f t="shared" ref="AK191:AK195" si="115">AI191+AJ191</f>
        <v>0</v>
      </c>
      <c r="AL191" s="234"/>
      <c r="AM191" s="234"/>
      <c r="AN191" s="234"/>
    </row>
    <row r="192" spans="1:40" s="283" customFormat="1" ht="20.25">
      <c r="A192" s="316" t="s">
        <v>392</v>
      </c>
      <c r="B192" s="295"/>
      <c r="C192" s="295"/>
      <c r="D192" s="1077"/>
      <c r="E192" s="319"/>
      <c r="F192" s="320"/>
      <c r="G192" s="320"/>
      <c r="H192" s="321"/>
      <c r="I192" s="321"/>
      <c r="J192" s="320"/>
      <c r="K192" s="1090"/>
      <c r="L192" s="351"/>
      <c r="M192" s="352"/>
      <c r="N192" s="353"/>
      <c r="O192" s="321"/>
      <c r="P192" s="321"/>
      <c r="Q192" s="321"/>
      <c r="R192" s="321"/>
      <c r="S192" s="321"/>
      <c r="T192" s="321"/>
      <c r="U192" s="351"/>
      <c r="V192" s="352"/>
      <c r="W192" s="319"/>
      <c r="X192" s="320"/>
      <c r="Y192" s="320"/>
      <c r="Z192" s="321"/>
      <c r="AA192" s="321"/>
      <c r="AB192" s="321"/>
      <c r="AC192" s="320"/>
      <c r="AD192" s="380"/>
      <c r="AE192" s="352"/>
      <c r="AF192" s="381">
        <f t="shared" si="113"/>
        <v>0</v>
      </c>
      <c r="AG192" s="381"/>
      <c r="AH192" s="408"/>
      <c r="AI192" s="409">
        <f t="shared" si="114"/>
        <v>0</v>
      </c>
      <c r="AJ192" s="410"/>
      <c r="AK192" s="411">
        <f t="shared" si="115"/>
        <v>0</v>
      </c>
      <c r="AL192" s="234"/>
      <c r="AM192" s="234"/>
      <c r="AN192" s="234"/>
    </row>
    <row r="193" spans="1:40" s="283" customFormat="1" ht="20.25">
      <c r="A193" s="316" t="s">
        <v>392</v>
      </c>
      <c r="B193" s="295"/>
      <c r="C193" s="295"/>
      <c r="D193" s="1077"/>
      <c r="E193" s="319"/>
      <c r="F193" s="320"/>
      <c r="G193" s="320"/>
      <c r="H193" s="321"/>
      <c r="I193" s="321"/>
      <c r="J193" s="320"/>
      <c r="K193" s="842"/>
      <c r="L193" s="351"/>
      <c r="M193" s="352"/>
      <c r="N193" s="353"/>
      <c r="O193" s="321"/>
      <c r="P193" s="321"/>
      <c r="Q193" s="321"/>
      <c r="R193" s="321"/>
      <c r="S193" s="321"/>
      <c r="T193" s="321"/>
      <c r="U193" s="351"/>
      <c r="V193" s="352"/>
      <c r="W193" s="319"/>
      <c r="X193" s="320"/>
      <c r="Y193" s="320"/>
      <c r="Z193" s="321"/>
      <c r="AA193" s="321"/>
      <c r="AB193" s="321"/>
      <c r="AC193" s="320"/>
      <c r="AD193" s="380"/>
      <c r="AE193" s="352"/>
      <c r="AF193" s="381">
        <f t="shared" si="113"/>
        <v>0</v>
      </c>
      <c r="AG193" s="381"/>
      <c r="AH193" s="408"/>
      <c r="AI193" s="409">
        <f t="shared" si="114"/>
        <v>0</v>
      </c>
      <c r="AJ193" s="410"/>
      <c r="AK193" s="411">
        <f t="shared" si="115"/>
        <v>0</v>
      </c>
      <c r="AL193" s="234"/>
      <c r="AM193" s="234"/>
      <c r="AN193" s="234"/>
    </row>
    <row r="194" spans="1:40" s="284" customFormat="1" ht="20.25">
      <c r="A194" s="316" t="s">
        <v>392</v>
      </c>
      <c r="B194" s="295"/>
      <c r="C194" s="295"/>
      <c r="D194" s="1077"/>
      <c r="E194" s="319"/>
      <c r="F194" s="320"/>
      <c r="G194" s="320"/>
      <c r="H194" s="321"/>
      <c r="I194" s="321"/>
      <c r="J194" s="320"/>
      <c r="K194" s="842"/>
      <c r="L194" s="351"/>
      <c r="M194" s="352"/>
      <c r="N194" s="353"/>
      <c r="O194" s="321"/>
      <c r="P194" s="321"/>
      <c r="Q194" s="321"/>
      <c r="R194" s="321"/>
      <c r="S194" s="321"/>
      <c r="T194" s="321"/>
      <c r="U194" s="351"/>
      <c r="V194" s="352"/>
      <c r="W194" s="319"/>
      <c r="X194" s="320"/>
      <c r="Y194" s="320"/>
      <c r="Z194" s="321"/>
      <c r="AA194" s="321"/>
      <c r="AB194" s="321"/>
      <c r="AC194" s="320"/>
      <c r="AD194" s="380"/>
      <c r="AE194" s="352"/>
      <c r="AF194" s="381">
        <f t="shared" si="113"/>
        <v>0</v>
      </c>
      <c r="AG194" s="381"/>
      <c r="AH194" s="408"/>
      <c r="AI194" s="409">
        <f t="shared" si="114"/>
        <v>0</v>
      </c>
      <c r="AJ194" s="410"/>
      <c r="AK194" s="411">
        <f t="shared" si="115"/>
        <v>0</v>
      </c>
      <c r="AL194" s="234"/>
      <c r="AM194" s="234"/>
      <c r="AN194" s="234"/>
    </row>
    <row r="195" spans="1:40" s="282" customFormat="1" ht="20.25">
      <c r="A195" s="316" t="s">
        <v>392</v>
      </c>
      <c r="B195" s="295"/>
      <c r="C195" s="295"/>
      <c r="D195" s="1077"/>
      <c r="E195" s="319"/>
      <c r="F195" s="320"/>
      <c r="G195" s="320"/>
      <c r="H195" s="321"/>
      <c r="I195" s="321"/>
      <c r="J195" s="320"/>
      <c r="K195" s="842"/>
      <c r="L195" s="351"/>
      <c r="M195" s="352"/>
      <c r="N195" s="353"/>
      <c r="O195" s="321"/>
      <c r="P195" s="321"/>
      <c r="Q195" s="321"/>
      <c r="R195" s="321"/>
      <c r="S195" s="321"/>
      <c r="T195" s="321"/>
      <c r="U195" s="351"/>
      <c r="V195" s="352"/>
      <c r="W195" s="319"/>
      <c r="X195" s="320"/>
      <c r="Y195" s="320"/>
      <c r="Z195" s="321"/>
      <c r="AA195" s="321"/>
      <c r="AB195" s="321"/>
      <c r="AC195" s="320"/>
      <c r="AD195" s="380"/>
      <c r="AE195" s="352"/>
      <c r="AF195" s="381">
        <f t="shared" si="113"/>
        <v>0</v>
      </c>
      <c r="AG195" s="381"/>
      <c r="AH195" s="408"/>
      <c r="AI195" s="409">
        <f t="shared" si="114"/>
        <v>0</v>
      </c>
      <c r="AJ195" s="410"/>
      <c r="AK195" s="411">
        <f t="shared" si="115"/>
        <v>0</v>
      </c>
      <c r="AL195" s="234"/>
      <c r="AM195" s="234"/>
      <c r="AN195" s="234"/>
    </row>
    <row r="196" spans="1:40" s="283" customFormat="1" ht="20.25">
      <c r="A196" s="316" t="s">
        <v>392</v>
      </c>
      <c r="B196" s="295"/>
      <c r="C196" s="295"/>
      <c r="D196" s="1077"/>
      <c r="E196" s="319"/>
      <c r="F196" s="320"/>
      <c r="G196" s="320"/>
      <c r="H196" s="321"/>
      <c r="I196" s="321"/>
      <c r="J196" s="320"/>
      <c r="K196" s="842"/>
      <c r="L196" s="351"/>
      <c r="M196" s="352"/>
      <c r="N196" s="353"/>
      <c r="O196" s="321"/>
      <c r="P196" s="321"/>
      <c r="Q196" s="321"/>
      <c r="R196" s="321"/>
      <c r="S196" s="321"/>
      <c r="T196" s="321"/>
      <c r="U196" s="351"/>
      <c r="V196" s="352"/>
      <c r="W196" s="319"/>
      <c r="X196" s="320"/>
      <c r="Y196" s="320"/>
      <c r="Z196" s="321"/>
      <c r="AA196" s="321"/>
      <c r="AB196" s="321"/>
      <c r="AC196" s="320"/>
      <c r="AD196" s="380"/>
      <c r="AE196" s="352"/>
      <c r="AF196" s="381">
        <f t="shared" si="113"/>
        <v>0</v>
      </c>
      <c r="AG196" s="381"/>
      <c r="AH196" s="408"/>
      <c r="AI196" s="409">
        <f t="shared" si="114"/>
        <v>0</v>
      </c>
      <c r="AJ196" s="410"/>
      <c r="AK196" s="411">
        <f t="shared" ref="AK196:AK207" si="116">AI196+AJ196</f>
        <v>0</v>
      </c>
      <c r="AL196" s="234"/>
      <c r="AM196" s="234"/>
      <c r="AN196" s="234"/>
    </row>
    <row r="197" spans="1:40" s="283" customFormat="1" ht="20.25">
      <c r="A197" s="316" t="s">
        <v>392</v>
      </c>
      <c r="B197" s="295"/>
      <c r="C197" s="295"/>
      <c r="D197" s="1077"/>
      <c r="E197" s="319"/>
      <c r="F197" s="320"/>
      <c r="G197" s="320"/>
      <c r="H197" s="321"/>
      <c r="I197" s="321"/>
      <c r="J197" s="320"/>
      <c r="K197" s="842"/>
      <c r="L197" s="351"/>
      <c r="M197" s="352"/>
      <c r="N197" s="353"/>
      <c r="O197" s="321"/>
      <c r="P197" s="321"/>
      <c r="Q197" s="321"/>
      <c r="R197" s="321"/>
      <c r="S197" s="321"/>
      <c r="T197" s="321"/>
      <c r="U197" s="351"/>
      <c r="V197" s="352"/>
      <c r="W197" s="319"/>
      <c r="X197" s="320"/>
      <c r="Y197" s="320"/>
      <c r="Z197" s="321"/>
      <c r="AA197" s="321"/>
      <c r="AB197" s="321"/>
      <c r="AC197" s="320"/>
      <c r="AD197" s="380"/>
      <c r="AE197" s="352"/>
      <c r="AF197" s="381">
        <f t="shared" si="113"/>
        <v>0</v>
      </c>
      <c r="AG197" s="381"/>
      <c r="AH197" s="408"/>
      <c r="AI197" s="409">
        <f t="shared" si="114"/>
        <v>0</v>
      </c>
      <c r="AJ197" s="410"/>
      <c r="AK197" s="411">
        <f t="shared" si="116"/>
        <v>0</v>
      </c>
      <c r="AL197" s="234"/>
      <c r="AM197" s="234"/>
      <c r="AN197" s="234"/>
    </row>
    <row r="198" spans="1:40" s="283" customFormat="1" ht="20.25">
      <c r="A198" s="316" t="s">
        <v>392</v>
      </c>
      <c r="B198" s="295"/>
      <c r="C198" s="295"/>
      <c r="D198" s="1077"/>
      <c r="E198" s="319"/>
      <c r="F198" s="320"/>
      <c r="G198" s="320"/>
      <c r="H198" s="321"/>
      <c r="I198" s="321"/>
      <c r="J198" s="320"/>
      <c r="K198" s="842"/>
      <c r="L198" s="351"/>
      <c r="M198" s="352"/>
      <c r="N198" s="353"/>
      <c r="O198" s="321"/>
      <c r="P198" s="321"/>
      <c r="Q198" s="321"/>
      <c r="R198" s="321"/>
      <c r="S198" s="321"/>
      <c r="T198" s="321"/>
      <c r="U198" s="351"/>
      <c r="V198" s="352"/>
      <c r="W198" s="319"/>
      <c r="X198" s="320"/>
      <c r="Y198" s="320"/>
      <c r="Z198" s="321"/>
      <c r="AA198" s="321"/>
      <c r="AB198" s="321"/>
      <c r="AC198" s="320"/>
      <c r="AD198" s="380"/>
      <c r="AE198" s="352"/>
      <c r="AF198" s="381">
        <f t="shared" si="113"/>
        <v>0</v>
      </c>
      <c r="AG198" s="381"/>
      <c r="AH198" s="408"/>
      <c r="AI198" s="409">
        <f t="shared" si="114"/>
        <v>0</v>
      </c>
      <c r="AJ198" s="410"/>
      <c r="AK198" s="411">
        <f t="shared" si="116"/>
        <v>0</v>
      </c>
      <c r="AL198" s="234"/>
      <c r="AM198" s="234"/>
      <c r="AN198" s="234"/>
    </row>
    <row r="199" spans="1:40" s="283" customFormat="1" ht="20.25">
      <c r="A199" s="316" t="s">
        <v>392</v>
      </c>
      <c r="B199" s="295"/>
      <c r="C199" s="295"/>
      <c r="D199" s="1077"/>
      <c r="E199" s="319"/>
      <c r="F199" s="320"/>
      <c r="G199" s="320"/>
      <c r="H199" s="321"/>
      <c r="I199" s="321"/>
      <c r="J199" s="320"/>
      <c r="K199" s="842"/>
      <c r="L199" s="351"/>
      <c r="M199" s="352"/>
      <c r="N199" s="353"/>
      <c r="O199" s="321"/>
      <c r="P199" s="321"/>
      <c r="Q199" s="321"/>
      <c r="R199" s="321"/>
      <c r="S199" s="321"/>
      <c r="T199" s="321"/>
      <c r="U199" s="351"/>
      <c r="V199" s="352"/>
      <c r="W199" s="319"/>
      <c r="X199" s="320"/>
      <c r="Y199" s="320"/>
      <c r="Z199" s="321"/>
      <c r="AA199" s="321"/>
      <c r="AB199" s="321"/>
      <c r="AC199" s="320"/>
      <c r="AD199" s="380"/>
      <c r="AE199" s="352"/>
      <c r="AF199" s="381">
        <f t="shared" ref="AF199:AF207" si="117">SUM(E199:AD199)</f>
        <v>0</v>
      </c>
      <c r="AG199" s="381"/>
      <c r="AH199" s="408"/>
      <c r="AI199" s="409">
        <f t="shared" si="114"/>
        <v>0</v>
      </c>
      <c r="AJ199" s="410"/>
      <c r="AK199" s="411">
        <f t="shared" si="116"/>
        <v>0</v>
      </c>
      <c r="AL199" s="234"/>
      <c r="AM199" s="234"/>
      <c r="AN199" s="234"/>
    </row>
    <row r="200" spans="1:40" s="283" customFormat="1" ht="20.25">
      <c r="A200" s="316" t="s">
        <v>392</v>
      </c>
      <c r="B200" s="295"/>
      <c r="C200" s="295"/>
      <c r="D200" s="1077"/>
      <c r="E200" s="319"/>
      <c r="F200" s="320"/>
      <c r="G200" s="320"/>
      <c r="H200" s="321"/>
      <c r="I200" s="321"/>
      <c r="J200" s="320"/>
      <c r="K200" s="842"/>
      <c r="L200" s="351"/>
      <c r="M200" s="352"/>
      <c r="N200" s="353"/>
      <c r="O200" s="321"/>
      <c r="P200" s="321"/>
      <c r="Q200" s="321"/>
      <c r="R200" s="321"/>
      <c r="S200" s="321"/>
      <c r="T200" s="321"/>
      <c r="U200" s="351"/>
      <c r="V200" s="352"/>
      <c r="W200" s="319"/>
      <c r="X200" s="320"/>
      <c r="Y200" s="320"/>
      <c r="Z200" s="321"/>
      <c r="AA200" s="321"/>
      <c r="AB200" s="321"/>
      <c r="AC200" s="320"/>
      <c r="AD200" s="380"/>
      <c r="AE200" s="352"/>
      <c r="AF200" s="381">
        <f t="shared" si="117"/>
        <v>0</v>
      </c>
      <c r="AG200" s="381"/>
      <c r="AH200" s="408"/>
      <c r="AI200" s="409">
        <f t="shared" si="114"/>
        <v>0</v>
      </c>
      <c r="AJ200" s="410"/>
      <c r="AK200" s="411">
        <f t="shared" si="116"/>
        <v>0</v>
      </c>
      <c r="AL200" s="234"/>
      <c r="AM200" s="234"/>
      <c r="AN200" s="234"/>
    </row>
    <row r="201" spans="1:40" s="283" customFormat="1" ht="20.25">
      <c r="A201" s="316" t="s">
        <v>392</v>
      </c>
      <c r="B201" s="295"/>
      <c r="C201" s="295"/>
      <c r="D201" s="1077"/>
      <c r="E201" s="319"/>
      <c r="F201" s="320"/>
      <c r="G201" s="320"/>
      <c r="H201" s="321"/>
      <c r="I201" s="321"/>
      <c r="J201" s="320"/>
      <c r="K201" s="842"/>
      <c r="L201" s="351"/>
      <c r="M201" s="352"/>
      <c r="N201" s="353"/>
      <c r="O201" s="321"/>
      <c r="P201" s="321"/>
      <c r="Q201" s="321"/>
      <c r="R201" s="321"/>
      <c r="S201" s="321"/>
      <c r="T201" s="321"/>
      <c r="U201" s="351"/>
      <c r="V201" s="352"/>
      <c r="W201" s="319"/>
      <c r="X201" s="320"/>
      <c r="Y201" s="320"/>
      <c r="Z201" s="321"/>
      <c r="AA201" s="321"/>
      <c r="AB201" s="321"/>
      <c r="AC201" s="320"/>
      <c r="AD201" s="380"/>
      <c r="AE201" s="352"/>
      <c r="AF201" s="381">
        <f t="shared" si="117"/>
        <v>0</v>
      </c>
      <c r="AG201" s="381"/>
      <c r="AH201" s="408"/>
      <c r="AI201" s="409">
        <f t="shared" si="114"/>
        <v>0</v>
      </c>
      <c r="AJ201" s="410"/>
      <c r="AK201" s="411">
        <f t="shared" si="116"/>
        <v>0</v>
      </c>
      <c r="AL201" s="234"/>
      <c r="AM201" s="234"/>
      <c r="AN201" s="234"/>
    </row>
    <row r="202" spans="1:40" s="284" customFormat="1" ht="15.75" customHeight="1">
      <c r="A202" s="316" t="s">
        <v>392</v>
      </c>
      <c r="B202" s="295"/>
      <c r="C202" s="295"/>
      <c r="D202" s="1077"/>
      <c r="E202" s="319"/>
      <c r="F202" s="320"/>
      <c r="G202" s="320"/>
      <c r="H202" s="321"/>
      <c r="I202" s="321"/>
      <c r="J202" s="320"/>
      <c r="K202" s="842"/>
      <c r="L202" s="351"/>
      <c r="M202" s="352"/>
      <c r="N202" s="353"/>
      <c r="O202" s="321"/>
      <c r="P202" s="321"/>
      <c r="Q202" s="321"/>
      <c r="R202" s="321"/>
      <c r="S202" s="321"/>
      <c r="T202" s="321"/>
      <c r="U202" s="351"/>
      <c r="V202" s="352"/>
      <c r="W202" s="319"/>
      <c r="X202" s="320"/>
      <c r="Y202" s="320"/>
      <c r="Z202" s="321"/>
      <c r="AA202" s="321"/>
      <c r="AB202" s="321"/>
      <c r="AC202" s="320"/>
      <c r="AD202" s="380"/>
      <c r="AE202" s="352"/>
      <c r="AF202" s="381">
        <f t="shared" si="117"/>
        <v>0</v>
      </c>
      <c r="AG202" s="381"/>
      <c r="AH202" s="408"/>
      <c r="AI202" s="409">
        <f t="shared" si="114"/>
        <v>0</v>
      </c>
      <c r="AJ202" s="410"/>
      <c r="AK202" s="411">
        <f t="shared" si="116"/>
        <v>0</v>
      </c>
      <c r="AL202" s="234"/>
      <c r="AM202" s="234"/>
      <c r="AN202" s="234"/>
    </row>
    <row r="203" spans="1:40" ht="21" thickBot="1">
      <c r="A203" s="316" t="s">
        <v>392</v>
      </c>
      <c r="B203" s="295"/>
      <c r="C203" s="295"/>
      <c r="D203" s="1077"/>
      <c r="E203" s="319"/>
      <c r="F203" s="320"/>
      <c r="G203" s="320"/>
      <c r="H203" s="321"/>
      <c r="I203" s="321"/>
      <c r="J203" s="320"/>
      <c r="K203" s="842"/>
      <c r="L203" s="351"/>
      <c r="M203" s="352"/>
      <c r="N203" s="353"/>
      <c r="O203" s="321"/>
      <c r="P203" s="321"/>
      <c r="Q203" s="321"/>
      <c r="R203" s="321"/>
      <c r="S203" s="321"/>
      <c r="T203" s="321"/>
      <c r="U203" s="351"/>
      <c r="V203" s="352"/>
      <c r="W203" s="319"/>
      <c r="X203" s="320"/>
      <c r="Y203" s="320"/>
      <c r="Z203" s="321"/>
      <c r="AA203" s="321"/>
      <c r="AB203" s="321"/>
      <c r="AC203" s="320"/>
      <c r="AD203" s="380"/>
      <c r="AE203" s="352"/>
      <c r="AF203" s="381">
        <f t="shared" si="117"/>
        <v>0</v>
      </c>
      <c r="AG203" s="381"/>
      <c r="AH203" s="408"/>
      <c r="AI203" s="409">
        <f t="shared" si="114"/>
        <v>0</v>
      </c>
      <c r="AJ203" s="410"/>
      <c r="AK203" s="411">
        <f t="shared" si="116"/>
        <v>0</v>
      </c>
      <c r="AL203" s="234"/>
      <c r="AM203" s="234"/>
      <c r="AN203" s="234"/>
    </row>
    <row r="204" spans="1:40" ht="21" thickBot="1">
      <c r="A204" s="316" t="s">
        <v>392</v>
      </c>
      <c r="B204" s="295"/>
      <c r="C204" s="295"/>
      <c r="D204" s="1077"/>
      <c r="E204" s="319"/>
      <c r="F204" s="320"/>
      <c r="G204" s="320"/>
      <c r="H204" s="321"/>
      <c r="I204" s="321"/>
      <c r="J204" s="320"/>
      <c r="K204" s="842"/>
      <c r="L204" s="351"/>
      <c r="M204" s="352"/>
      <c r="N204" s="353"/>
      <c r="O204" s="321"/>
      <c r="P204" s="321"/>
      <c r="Q204" s="321"/>
      <c r="R204" s="321"/>
      <c r="S204" s="321"/>
      <c r="T204" s="321"/>
      <c r="U204" s="351"/>
      <c r="V204" s="352"/>
      <c r="W204" s="319"/>
      <c r="X204" s="320"/>
      <c r="Y204" s="320"/>
      <c r="Z204" s="321"/>
      <c r="AA204" s="321"/>
      <c r="AB204" s="321"/>
      <c r="AC204" s="320"/>
      <c r="AD204" s="380"/>
      <c r="AE204" s="352"/>
      <c r="AF204" s="381">
        <f t="shared" si="117"/>
        <v>0</v>
      </c>
      <c r="AG204" s="381"/>
      <c r="AH204" s="408"/>
      <c r="AI204" s="409">
        <f t="shared" si="114"/>
        <v>0</v>
      </c>
      <c r="AJ204" s="410"/>
      <c r="AK204" s="411">
        <f t="shared" si="116"/>
        <v>0</v>
      </c>
      <c r="AL204" s="414" t="s">
        <v>8</v>
      </c>
      <c r="AM204" s="397" t="s">
        <v>23</v>
      </c>
      <c r="AN204" s="415" t="s">
        <v>174</v>
      </c>
    </row>
    <row r="205" spans="1:40" s="1" customFormat="1" ht="21" thickBot="1">
      <c r="A205" s="316" t="s">
        <v>392</v>
      </c>
      <c r="B205" s="295"/>
      <c r="C205" s="295"/>
      <c r="D205" s="1077"/>
      <c r="E205" s="319"/>
      <c r="F205" s="320"/>
      <c r="G205" s="320"/>
      <c r="H205" s="321"/>
      <c r="I205" s="321"/>
      <c r="J205" s="320"/>
      <c r="K205" s="842"/>
      <c r="L205" s="351"/>
      <c r="M205" s="352"/>
      <c r="N205" s="353"/>
      <c r="O205" s="321"/>
      <c r="P205" s="321"/>
      <c r="Q205" s="321"/>
      <c r="R205" s="321"/>
      <c r="S205" s="321"/>
      <c r="T205" s="321"/>
      <c r="U205" s="351"/>
      <c r="V205" s="352"/>
      <c r="W205" s="319"/>
      <c r="X205" s="320"/>
      <c r="Y205" s="320"/>
      <c r="Z205" s="321"/>
      <c r="AA205" s="321"/>
      <c r="AB205" s="321"/>
      <c r="AC205" s="320"/>
      <c r="AD205" s="380"/>
      <c r="AE205" s="352"/>
      <c r="AF205" s="381">
        <f t="shared" si="117"/>
        <v>0</v>
      </c>
      <c r="AG205" s="381"/>
      <c r="AH205" s="408"/>
      <c r="AI205" s="409">
        <f t="shared" si="114"/>
        <v>0</v>
      </c>
      <c r="AJ205" s="410"/>
      <c r="AK205" s="411">
        <f t="shared" si="116"/>
        <v>0</v>
      </c>
      <c r="AL205" s="399" t="str">
        <f>'BIG CHAIR'!CL230</f>
        <v>Total</v>
      </c>
      <c r="AM205" s="400">
        <f>'Tea Table'!X295</f>
        <v>0</v>
      </c>
      <c r="AN205" s="401" t="e">
        <f>AI208+AL205+AM205</f>
        <v>#VALUE!</v>
      </c>
    </row>
    <row r="206" spans="1:40" ht="20.25">
      <c r="A206" s="316" t="s">
        <v>392</v>
      </c>
      <c r="B206" s="295"/>
      <c r="C206" s="295"/>
      <c r="D206" s="1077"/>
      <c r="E206" s="319"/>
      <c r="F206" s="320"/>
      <c r="G206" s="320"/>
      <c r="H206" s="321"/>
      <c r="I206" s="321"/>
      <c r="J206" s="320"/>
      <c r="K206" s="842"/>
      <c r="L206" s="351"/>
      <c r="M206" s="352"/>
      <c r="N206" s="353"/>
      <c r="O206" s="321"/>
      <c r="P206" s="321"/>
      <c r="Q206" s="321"/>
      <c r="R206" s="321"/>
      <c r="S206" s="321"/>
      <c r="T206" s="321"/>
      <c r="U206" s="351"/>
      <c r="V206" s="352"/>
      <c r="W206" s="319"/>
      <c r="X206" s="320"/>
      <c r="Y206" s="320"/>
      <c r="Z206" s="321"/>
      <c r="AA206" s="321"/>
      <c r="AB206" s="321"/>
      <c r="AC206" s="320"/>
      <c r="AD206" s="380"/>
      <c r="AE206" s="352"/>
      <c r="AF206" s="381">
        <f t="shared" si="117"/>
        <v>0</v>
      </c>
      <c r="AG206" s="381"/>
      <c r="AH206" s="408"/>
      <c r="AI206" s="409">
        <f t="shared" si="114"/>
        <v>0</v>
      </c>
      <c r="AJ206" s="410"/>
      <c r="AK206" s="411">
        <f t="shared" si="116"/>
        <v>0</v>
      </c>
      <c r="AL206" s="282"/>
      <c r="AM206" s="282"/>
      <c r="AN206" s="282"/>
    </row>
    <row r="207" spans="1:40" s="276" customFormat="1" ht="21" thickBot="1">
      <c r="A207" s="316" t="s">
        <v>392</v>
      </c>
      <c r="B207" s="323"/>
      <c r="C207" s="323"/>
      <c r="D207" s="1078"/>
      <c r="E207" s="325"/>
      <c r="F207" s="297"/>
      <c r="G207" s="297"/>
      <c r="H207" s="298"/>
      <c r="I207" s="298"/>
      <c r="J207" s="297"/>
      <c r="K207" s="1086"/>
      <c r="L207" s="367"/>
      <c r="M207" s="355"/>
      <c r="N207" s="343"/>
      <c r="O207" s="298"/>
      <c r="P207" s="298"/>
      <c r="Q207" s="298"/>
      <c r="R207" s="298"/>
      <c r="S207" s="298"/>
      <c r="T207" s="298"/>
      <c r="U207" s="367"/>
      <c r="V207" s="355"/>
      <c r="W207" s="325"/>
      <c r="X207" s="297"/>
      <c r="Y207" s="297"/>
      <c r="Z207" s="298"/>
      <c r="AA207" s="298"/>
      <c r="AB207" s="298"/>
      <c r="AC207" s="297"/>
      <c r="AD207" s="375"/>
      <c r="AE207" s="355"/>
      <c r="AF207" s="376">
        <f t="shared" si="117"/>
        <v>0</v>
      </c>
      <c r="AG207" s="377"/>
      <c r="AH207" s="390"/>
      <c r="AI207" s="391">
        <f t="shared" si="114"/>
        <v>0</v>
      </c>
      <c r="AJ207" s="412"/>
      <c r="AK207" s="413">
        <f t="shared" si="116"/>
        <v>0</v>
      </c>
      <c r="AL207" s="283"/>
      <c r="AM207" s="283"/>
      <c r="AN207" s="283"/>
    </row>
    <row r="208" spans="1:40" s="276" customFormat="1" ht="19.5" thickBot="1">
      <c r="A208" s="326" t="s">
        <v>415</v>
      </c>
      <c r="B208" s="327"/>
      <c r="C208" s="327"/>
      <c r="D208" s="328"/>
      <c r="E208" s="329">
        <f>SUM(E175:E207)</f>
        <v>0</v>
      </c>
      <c r="F208" s="329">
        <f t="shared" ref="F208:L208" si="118">SUM(F175:F207)</f>
        <v>0</v>
      </c>
      <c r="G208" s="329">
        <f t="shared" si="118"/>
        <v>0</v>
      </c>
      <c r="H208" s="329">
        <f t="shared" si="118"/>
        <v>0</v>
      </c>
      <c r="I208" s="329">
        <f t="shared" si="118"/>
        <v>0</v>
      </c>
      <c r="J208" s="329">
        <f t="shared" si="118"/>
        <v>0</v>
      </c>
      <c r="K208" s="329">
        <f t="shared" si="118"/>
        <v>0</v>
      </c>
      <c r="L208" s="329">
        <f t="shared" si="118"/>
        <v>0</v>
      </c>
      <c r="M208" s="357"/>
      <c r="N208" s="358">
        <f>SUM(N175:N207)</f>
        <v>0</v>
      </c>
      <c r="O208" s="359">
        <f t="shared" ref="O208:U208" si="119">SUM(O175:O207)</f>
        <v>0</v>
      </c>
      <c r="P208" s="359">
        <f t="shared" si="119"/>
        <v>0</v>
      </c>
      <c r="Q208" s="359">
        <f t="shared" si="119"/>
        <v>0</v>
      </c>
      <c r="R208" s="359">
        <f t="shared" si="119"/>
        <v>0</v>
      </c>
      <c r="S208" s="359">
        <f t="shared" si="119"/>
        <v>0</v>
      </c>
      <c r="T208" s="359">
        <f t="shared" si="119"/>
        <v>0</v>
      </c>
      <c r="U208" s="369">
        <f t="shared" si="119"/>
        <v>0</v>
      </c>
      <c r="V208" s="357"/>
      <c r="W208" s="358">
        <f>SUM(W175:W207)</f>
        <v>0</v>
      </c>
      <c r="X208" s="358">
        <f t="shared" ref="X208:AD208" si="120">SUM(X175:X207)</f>
        <v>0</v>
      </c>
      <c r="Y208" s="358">
        <f t="shared" si="120"/>
        <v>0</v>
      </c>
      <c r="Z208" s="358">
        <f t="shared" si="120"/>
        <v>0</v>
      </c>
      <c r="AA208" s="358">
        <f t="shared" si="120"/>
        <v>0</v>
      </c>
      <c r="AB208" s="358">
        <f t="shared" si="120"/>
        <v>0</v>
      </c>
      <c r="AC208" s="358">
        <f t="shared" si="120"/>
        <v>0</v>
      </c>
      <c r="AD208" s="358">
        <f t="shared" si="120"/>
        <v>0</v>
      </c>
      <c r="AE208" s="357"/>
      <c r="AF208" s="382">
        <f>SUM(AF175:AF207)</f>
        <v>0</v>
      </c>
      <c r="AG208" s="382">
        <f t="shared" ref="AG208:AK208" si="121">SUM(AG175:AG207)</f>
        <v>0</v>
      </c>
      <c r="AH208" s="416">
        <f t="shared" si="121"/>
        <v>0</v>
      </c>
      <c r="AI208" s="417">
        <f t="shared" si="121"/>
        <v>0</v>
      </c>
      <c r="AJ208" s="382">
        <f t="shared" si="121"/>
        <v>0</v>
      </c>
      <c r="AK208" s="418">
        <f t="shared" si="121"/>
        <v>0</v>
      </c>
      <c r="AL208" s="283"/>
      <c r="AM208" s="283"/>
      <c r="AN208" s="283"/>
    </row>
    <row r="209" spans="1:40" s="276" customFormat="1" ht="24" thickBot="1">
      <c r="A209" s="286" t="s">
        <v>535</v>
      </c>
      <c r="B209" s="287" t="s">
        <v>68</v>
      </c>
      <c r="C209" s="287" t="s">
        <v>69</v>
      </c>
      <c r="D209" s="3528" t="s">
        <v>70</v>
      </c>
      <c r="E209" s="743" t="s">
        <v>96</v>
      </c>
      <c r="F209" s="744" t="s">
        <v>124</v>
      </c>
      <c r="G209" s="744" t="s">
        <v>228</v>
      </c>
      <c r="H209" s="744" t="s">
        <v>149</v>
      </c>
      <c r="I209" s="744" t="s">
        <v>470</v>
      </c>
      <c r="J209" s="744" t="s">
        <v>92</v>
      </c>
      <c r="K209" s="50" t="s">
        <v>479</v>
      </c>
      <c r="L209" s="783" t="s">
        <v>123</v>
      </c>
      <c r="M209" s="1089"/>
      <c r="N209" s="80" t="s">
        <v>71</v>
      </c>
      <c r="O209" s="49" t="s">
        <v>53</v>
      </c>
      <c r="P209" s="49" t="s">
        <v>118</v>
      </c>
      <c r="Q209" s="49" t="s">
        <v>74</v>
      </c>
      <c r="R209" s="49" t="s">
        <v>75</v>
      </c>
      <c r="S209" s="49" t="s">
        <v>94</v>
      </c>
      <c r="T209" s="126" t="s">
        <v>77</v>
      </c>
      <c r="U209" s="171" t="s">
        <v>101</v>
      </c>
      <c r="V209" s="79"/>
      <c r="W209" s="80" t="s">
        <v>482</v>
      </c>
      <c r="X209" s="743" t="s">
        <v>96</v>
      </c>
      <c r="Y209" s="744" t="s">
        <v>118</v>
      </c>
      <c r="Z209" s="744" t="s">
        <v>496</v>
      </c>
      <c r="AA209" s="744" t="s">
        <v>75</v>
      </c>
      <c r="AB209" s="744" t="s">
        <v>53</v>
      </c>
      <c r="AC209" s="783" t="s">
        <v>230</v>
      </c>
      <c r="AD209" s="372" t="s">
        <v>95</v>
      </c>
      <c r="AE209" s="370"/>
      <c r="AF209" s="371" t="s">
        <v>172</v>
      </c>
      <c r="AG209" s="372" t="s">
        <v>80</v>
      </c>
      <c r="AH209" s="385"/>
      <c r="AI209" s="386" t="s">
        <v>106</v>
      </c>
      <c r="AJ209" s="385" t="s">
        <v>173</v>
      </c>
      <c r="AK209" s="371" t="s">
        <v>108</v>
      </c>
      <c r="AL209" s="283"/>
      <c r="AM209" s="283"/>
      <c r="AN209" s="283"/>
    </row>
    <row r="210" spans="1:40" s="234" customFormat="1" ht="20.25">
      <c r="A210" s="316" t="s">
        <v>536</v>
      </c>
      <c r="B210" s="317"/>
      <c r="C210" s="317"/>
      <c r="D210" s="1077">
        <v>46130</v>
      </c>
      <c r="E210" s="319"/>
      <c r="F210" s="320"/>
      <c r="G210" s="320"/>
      <c r="H210" s="321"/>
      <c r="I210" s="321"/>
      <c r="J210" s="320">
        <f>28*20+22*20</f>
        <v>1000</v>
      </c>
      <c r="K210" s="1090">
        <f>14*20</f>
        <v>280</v>
      </c>
      <c r="L210" s="363"/>
      <c r="M210" s="352"/>
      <c r="N210" s="353"/>
      <c r="O210" s="320"/>
      <c r="P210" s="320"/>
      <c r="Q210" s="321"/>
      <c r="R210" s="321"/>
      <c r="S210" s="321"/>
      <c r="T210" s="320"/>
      <c r="U210" s="351"/>
      <c r="V210" s="352"/>
      <c r="W210" s="362"/>
      <c r="X210" s="334"/>
      <c r="Y210" s="334"/>
      <c r="Z210" s="334"/>
      <c r="AA210" s="334"/>
      <c r="AB210" s="334"/>
      <c r="AC210" s="334"/>
      <c r="AD210" s="380"/>
      <c r="AE210" s="352"/>
      <c r="AF210" s="381">
        <f>SUM(E210:AD210)</f>
        <v>1280</v>
      </c>
      <c r="AG210" s="381">
        <f>7+2</f>
        <v>9</v>
      </c>
      <c r="AH210" s="408"/>
      <c r="AI210" s="409">
        <f>AF210+AG210</f>
        <v>1289</v>
      </c>
      <c r="AJ210" s="410">
        <v>12</v>
      </c>
      <c r="AK210" s="411">
        <f>AI210+AJ210</f>
        <v>1301</v>
      </c>
      <c r="AL210" s="283"/>
      <c r="AM210" s="283"/>
      <c r="AN210" s="283"/>
    </row>
    <row r="211" spans="1:40" s="234" customFormat="1" ht="20.25">
      <c r="A211" s="316" t="s">
        <v>536</v>
      </c>
      <c r="B211" s="822"/>
      <c r="C211" s="295"/>
      <c r="D211" s="1077">
        <v>46131</v>
      </c>
      <c r="E211" s="319"/>
      <c r="F211" s="320"/>
      <c r="G211" s="320"/>
      <c r="H211" s="321"/>
      <c r="I211" s="321"/>
      <c r="J211" s="320"/>
      <c r="K211" s="1090">
        <f>34*20+36*20</f>
        <v>1400</v>
      </c>
      <c r="L211" s="363"/>
      <c r="M211" s="352"/>
      <c r="N211" s="353"/>
      <c r="O211" s="321"/>
      <c r="P211" s="321"/>
      <c r="Q211" s="321"/>
      <c r="R211" s="321"/>
      <c r="S211" s="321"/>
      <c r="T211" s="321"/>
      <c r="U211" s="351"/>
      <c r="V211" s="352"/>
      <c r="W211" s="319"/>
      <c r="X211" s="320"/>
      <c r="Y211" s="320"/>
      <c r="Z211" s="321"/>
      <c r="AA211" s="321"/>
      <c r="AB211" s="321"/>
      <c r="AC211" s="320"/>
      <c r="AD211" s="380"/>
      <c r="AE211" s="352"/>
      <c r="AF211" s="381">
        <f>SUM(E211:AD211)</f>
        <v>1400</v>
      </c>
      <c r="AG211" s="381"/>
      <c r="AH211" s="408"/>
      <c r="AI211" s="409">
        <f>AF211+AG211</f>
        <v>1400</v>
      </c>
      <c r="AJ211" s="410">
        <v>3</v>
      </c>
      <c r="AK211" s="411">
        <f>AI211+AJ211</f>
        <v>1403</v>
      </c>
      <c r="AL211" s="283"/>
      <c r="AM211" s="283"/>
      <c r="AN211" s="283"/>
    </row>
    <row r="212" spans="1:40" s="276" customFormat="1" ht="20.25">
      <c r="A212" s="316" t="s">
        <v>536</v>
      </c>
      <c r="B212" s="822"/>
      <c r="C212" s="295"/>
      <c r="D212" s="1077">
        <v>46132</v>
      </c>
      <c r="E212" s="319"/>
      <c r="F212" s="320"/>
      <c r="G212" s="320"/>
      <c r="H212" s="321"/>
      <c r="I212" s="321"/>
      <c r="J212" s="320"/>
      <c r="K212" s="1090">
        <f>36*20+25*20</f>
        <v>1220</v>
      </c>
      <c r="L212" s="363"/>
      <c r="M212" s="352"/>
      <c r="N212" s="353"/>
      <c r="O212" s="321"/>
      <c r="P212" s="321"/>
      <c r="Q212" s="321"/>
      <c r="R212" s="321"/>
      <c r="S212" s="321"/>
      <c r="T212" s="321"/>
      <c r="U212" s="351"/>
      <c r="V212" s="352"/>
      <c r="W212" s="319"/>
      <c r="X212" s="320"/>
      <c r="Y212" s="320"/>
      <c r="Z212" s="321"/>
      <c r="AA212" s="321"/>
      <c r="AB212" s="321"/>
      <c r="AC212" s="320"/>
      <c r="AD212" s="380"/>
      <c r="AE212" s="352"/>
      <c r="AF212" s="381">
        <f>SUM(E212:AD212)</f>
        <v>1220</v>
      </c>
      <c r="AG212" s="381"/>
      <c r="AH212" s="408"/>
      <c r="AI212" s="409">
        <f>AF212+AG212</f>
        <v>1220</v>
      </c>
      <c r="AJ212" s="410">
        <v>4</v>
      </c>
      <c r="AK212" s="411">
        <f>AI212+AJ212</f>
        <v>1224</v>
      </c>
      <c r="AL212" s="283"/>
      <c r="AM212" s="283"/>
      <c r="AN212" s="283"/>
    </row>
    <row r="213" spans="1:40" s="234" customFormat="1" ht="20.25">
      <c r="A213" s="316" t="s">
        <v>536</v>
      </c>
      <c r="B213" s="822"/>
      <c r="C213" s="295"/>
      <c r="D213" s="1077">
        <v>46133</v>
      </c>
      <c r="E213" s="319"/>
      <c r="F213" s="320"/>
      <c r="G213" s="320"/>
      <c r="H213" s="321"/>
      <c r="I213" s="321"/>
      <c r="J213" s="320"/>
      <c r="K213" s="1091">
        <f>35*20</f>
        <v>700</v>
      </c>
      <c r="L213" s="363"/>
      <c r="M213" s="352"/>
      <c r="N213" s="353"/>
      <c r="O213" s="321"/>
      <c r="P213" s="321"/>
      <c r="Q213" s="321"/>
      <c r="R213" s="321"/>
      <c r="S213" s="321"/>
      <c r="T213" s="321"/>
      <c r="U213" s="351"/>
      <c r="V213" s="352"/>
      <c r="W213" s="319"/>
      <c r="X213" s="320"/>
      <c r="Y213" s="320"/>
      <c r="Z213" s="321"/>
      <c r="AA213" s="321"/>
      <c r="AB213" s="321"/>
      <c r="AC213" s="320"/>
      <c r="AD213" s="380"/>
      <c r="AE213" s="352"/>
      <c r="AF213" s="381">
        <f>SUM(E213:AD213)</f>
        <v>700</v>
      </c>
      <c r="AG213" s="381">
        <v>2</v>
      </c>
      <c r="AH213" s="408"/>
      <c r="AI213" s="409">
        <f>AF213+AG213</f>
        <v>702</v>
      </c>
      <c r="AJ213" s="410"/>
      <c r="AK213" s="411">
        <f>AI213+AJ213</f>
        <v>702</v>
      </c>
      <c r="AL213" s="403"/>
      <c r="AM213" s="403"/>
      <c r="AN213" s="403"/>
    </row>
    <row r="214" spans="1:40" s="234" customFormat="1" ht="20.25">
      <c r="A214" s="316" t="s">
        <v>536</v>
      </c>
      <c r="B214" s="822"/>
      <c r="C214" s="295"/>
      <c r="D214" s="1077">
        <v>46134</v>
      </c>
      <c r="E214" s="319"/>
      <c r="F214" s="320"/>
      <c r="G214" s="320"/>
      <c r="H214" s="321"/>
      <c r="I214" s="321"/>
      <c r="J214" s="320"/>
      <c r="K214" s="1090">
        <f>31*20+4*20</f>
        <v>700</v>
      </c>
      <c r="L214" s="363"/>
      <c r="M214" s="352"/>
      <c r="N214" s="353"/>
      <c r="O214" s="321">
        <f>15*20</f>
        <v>300</v>
      </c>
      <c r="P214" s="321"/>
      <c r="Q214" s="321"/>
      <c r="R214" s="321"/>
      <c r="S214" s="321"/>
      <c r="T214" s="321"/>
      <c r="U214" s="351"/>
      <c r="V214" s="352"/>
      <c r="W214" s="319"/>
      <c r="X214" s="320"/>
      <c r="Y214" s="320"/>
      <c r="Z214" s="321"/>
      <c r="AA214" s="321"/>
      <c r="AB214" s="321"/>
      <c r="AC214" s="320"/>
      <c r="AD214" s="380"/>
      <c r="AE214" s="352"/>
      <c r="AF214" s="381">
        <f>SUM(E214:AD214)</f>
        <v>1000</v>
      </c>
      <c r="AG214" s="381"/>
      <c r="AH214" s="408"/>
      <c r="AI214" s="409">
        <f>AF214+AG214</f>
        <v>1000</v>
      </c>
      <c r="AJ214" s="410">
        <f>4+2+5</f>
        <v>11</v>
      </c>
      <c r="AK214" s="411">
        <f>AI214+AJ214</f>
        <v>1011</v>
      </c>
      <c r="AL214" s="282"/>
      <c r="AM214" s="282"/>
      <c r="AN214" s="282"/>
    </row>
    <row r="215" spans="1:40" s="276" customFormat="1" ht="20.25">
      <c r="A215" s="316" t="s">
        <v>536</v>
      </c>
      <c r="B215" s="822"/>
      <c r="C215" s="295"/>
      <c r="D215" s="1077">
        <v>46135</v>
      </c>
      <c r="E215" s="319"/>
      <c r="F215" s="320"/>
      <c r="G215" s="320"/>
      <c r="H215" s="321"/>
      <c r="I215" s="321"/>
      <c r="J215" s="320"/>
      <c r="K215" s="1090"/>
      <c r="L215" s="363"/>
      <c r="M215" s="352"/>
      <c r="N215" s="353"/>
      <c r="O215" s="321">
        <f>20*20</f>
        <v>400</v>
      </c>
      <c r="P215" s="321"/>
      <c r="Q215" s="321"/>
      <c r="R215" s="321"/>
      <c r="S215" s="321"/>
      <c r="T215" s="321"/>
      <c r="U215" s="351"/>
      <c r="V215" s="352"/>
      <c r="W215" s="319"/>
      <c r="X215" s="320"/>
      <c r="Y215" s="320"/>
      <c r="Z215" s="321"/>
      <c r="AA215" s="321"/>
      <c r="AB215" s="321"/>
      <c r="AC215" s="320"/>
      <c r="AD215" s="380"/>
      <c r="AE215" s="352"/>
      <c r="AF215" s="381">
        <f t="shared" ref="AF215:AF242" si="122">SUM(E215:AD215)</f>
        <v>400</v>
      </c>
      <c r="AG215" s="381"/>
      <c r="AH215" s="408"/>
      <c r="AI215" s="409">
        <f t="shared" ref="AI215:AI242" si="123">AF215+AG215</f>
        <v>400</v>
      </c>
      <c r="AJ215" s="410">
        <v>3</v>
      </c>
      <c r="AK215" s="411">
        <f t="shared" ref="AK215:AK242" si="124">AI215+AJ215</f>
        <v>403</v>
      </c>
      <c r="AL215" s="283"/>
      <c r="AM215" s="283"/>
      <c r="AN215" s="283"/>
    </row>
    <row r="216" spans="1:40" s="234" customFormat="1" ht="20.25">
      <c r="A216" s="316" t="s">
        <v>536</v>
      </c>
      <c r="B216" s="710"/>
      <c r="C216" s="295"/>
      <c r="D216" s="1077">
        <v>46136</v>
      </c>
      <c r="E216" s="319"/>
      <c r="F216" s="320"/>
      <c r="G216" s="320"/>
      <c r="H216" s="321"/>
      <c r="I216" s="321"/>
      <c r="J216" s="320"/>
      <c r="K216" s="1090"/>
      <c r="L216" s="351"/>
      <c r="M216" s="352"/>
      <c r="N216" s="353"/>
      <c r="O216" s="321">
        <f>30*20</f>
        <v>600</v>
      </c>
      <c r="P216" s="321"/>
      <c r="Q216" s="321"/>
      <c r="R216" s="321"/>
      <c r="S216" s="321"/>
      <c r="T216" s="321"/>
      <c r="U216" s="351"/>
      <c r="V216" s="352"/>
      <c r="W216" s="319"/>
      <c r="X216" s="320"/>
      <c r="Y216" s="320"/>
      <c r="Z216" s="321"/>
      <c r="AA216" s="321"/>
      <c r="AB216" s="321"/>
      <c r="AC216" s="320"/>
      <c r="AD216" s="380"/>
      <c r="AE216" s="352"/>
      <c r="AF216" s="381">
        <f t="shared" si="122"/>
        <v>600</v>
      </c>
      <c r="AG216" s="381"/>
      <c r="AH216" s="408"/>
      <c r="AI216" s="409">
        <f t="shared" si="123"/>
        <v>600</v>
      </c>
      <c r="AJ216" s="410">
        <v>2</v>
      </c>
      <c r="AK216" s="411">
        <f t="shared" si="124"/>
        <v>602</v>
      </c>
      <c r="AL216" s="283"/>
      <c r="AM216" s="283"/>
      <c r="AN216" s="283"/>
    </row>
    <row r="217" spans="1:40" s="276" customFormat="1" ht="20.25">
      <c r="A217" s="316" t="s">
        <v>536</v>
      </c>
      <c r="B217" s="710"/>
      <c r="C217" s="295"/>
      <c r="D217" s="1077">
        <v>46137</v>
      </c>
      <c r="E217" s="319"/>
      <c r="F217" s="320"/>
      <c r="G217" s="320"/>
      <c r="H217" s="321"/>
      <c r="I217" s="321"/>
      <c r="J217" s="320"/>
      <c r="K217" s="1090"/>
      <c r="L217" s="351"/>
      <c r="M217" s="352"/>
      <c r="N217" s="353"/>
      <c r="O217" s="321">
        <f>30*20</f>
        <v>600</v>
      </c>
      <c r="P217" s="321"/>
      <c r="Q217" s="321"/>
      <c r="R217" s="321"/>
      <c r="S217" s="321"/>
      <c r="T217" s="321"/>
      <c r="U217" s="351"/>
      <c r="V217" s="352"/>
      <c r="W217" s="319"/>
      <c r="X217" s="320"/>
      <c r="Y217" s="320"/>
      <c r="Z217" s="321"/>
      <c r="AA217" s="321"/>
      <c r="AB217" s="321"/>
      <c r="AC217" s="320"/>
      <c r="AD217" s="380"/>
      <c r="AE217" s="352"/>
      <c r="AF217" s="381">
        <f t="shared" si="122"/>
        <v>600</v>
      </c>
      <c r="AG217" s="381"/>
      <c r="AH217" s="408"/>
      <c r="AI217" s="409">
        <f t="shared" si="123"/>
        <v>600</v>
      </c>
      <c r="AJ217" s="410">
        <v>1</v>
      </c>
      <c r="AK217" s="411">
        <f t="shared" si="124"/>
        <v>601</v>
      </c>
      <c r="AL217" s="283"/>
      <c r="AM217" s="283"/>
      <c r="AN217" s="283"/>
    </row>
    <row r="218" spans="1:40" s="234" customFormat="1" ht="20.25">
      <c r="A218" s="316" t="s">
        <v>536</v>
      </c>
      <c r="B218" s="710"/>
      <c r="C218" s="295"/>
      <c r="D218" s="1077">
        <v>46138</v>
      </c>
      <c r="E218" s="319"/>
      <c r="F218" s="320"/>
      <c r="G218" s="320"/>
      <c r="H218" s="321"/>
      <c r="I218" s="321"/>
      <c r="J218" s="320"/>
      <c r="K218" s="1090"/>
      <c r="L218" s="351"/>
      <c r="M218" s="352"/>
      <c r="N218" s="353"/>
      <c r="O218" s="321">
        <f>29*20</f>
        <v>580</v>
      </c>
      <c r="P218" s="321"/>
      <c r="Q218" s="321"/>
      <c r="R218" s="321"/>
      <c r="S218" s="321"/>
      <c r="T218" s="321"/>
      <c r="U218" s="351"/>
      <c r="V218" s="352"/>
      <c r="W218" s="319"/>
      <c r="X218" s="320"/>
      <c r="Y218" s="320"/>
      <c r="Z218" s="321"/>
      <c r="AA218" s="321"/>
      <c r="AB218" s="321"/>
      <c r="AC218" s="320"/>
      <c r="AD218" s="380"/>
      <c r="AE218" s="352"/>
      <c r="AF218" s="381">
        <f t="shared" si="122"/>
        <v>580</v>
      </c>
      <c r="AG218" s="381"/>
      <c r="AH218" s="408"/>
      <c r="AI218" s="409">
        <f t="shared" si="123"/>
        <v>580</v>
      </c>
      <c r="AJ218" s="410">
        <v>5</v>
      </c>
      <c r="AK218" s="411">
        <f t="shared" si="124"/>
        <v>585</v>
      </c>
      <c r="AL218" s="283"/>
      <c r="AM218" s="283"/>
      <c r="AN218" s="283"/>
    </row>
    <row r="219" spans="1:40" s="276" customFormat="1" ht="20.25">
      <c r="A219" s="316" t="s">
        <v>536</v>
      </c>
      <c r="B219" s="710"/>
      <c r="C219" s="295"/>
      <c r="D219" s="1077">
        <v>46139</v>
      </c>
      <c r="E219" s="319"/>
      <c r="F219" s="320"/>
      <c r="G219" s="320"/>
      <c r="H219" s="321"/>
      <c r="I219" s="321"/>
      <c r="J219" s="320"/>
      <c r="K219" s="1090"/>
      <c r="L219" s="351"/>
      <c r="M219" s="352"/>
      <c r="N219" s="353"/>
      <c r="O219" s="321">
        <f>29*20</f>
        <v>580</v>
      </c>
      <c r="P219" s="321"/>
      <c r="Q219" s="321"/>
      <c r="R219" s="321"/>
      <c r="S219" s="321"/>
      <c r="T219" s="321"/>
      <c r="U219" s="351"/>
      <c r="V219" s="352"/>
      <c r="W219" s="319"/>
      <c r="X219" s="320"/>
      <c r="Y219" s="320"/>
      <c r="Z219" s="321"/>
      <c r="AA219" s="321"/>
      <c r="AB219" s="321"/>
      <c r="AC219" s="320"/>
      <c r="AD219" s="380"/>
      <c r="AE219" s="352"/>
      <c r="AF219" s="381">
        <f t="shared" si="122"/>
        <v>580</v>
      </c>
      <c r="AG219" s="381"/>
      <c r="AH219" s="408"/>
      <c r="AI219" s="409">
        <f t="shared" si="123"/>
        <v>580</v>
      </c>
      <c r="AJ219" s="410">
        <v>3</v>
      </c>
      <c r="AK219" s="411">
        <f t="shared" si="124"/>
        <v>583</v>
      </c>
      <c r="AL219" s="283"/>
      <c r="AM219" s="283"/>
      <c r="AN219" s="283"/>
    </row>
    <row r="220" spans="1:40" s="234" customFormat="1" ht="20.25">
      <c r="A220" s="316" t="s">
        <v>536</v>
      </c>
      <c r="B220" s="710"/>
      <c r="C220" s="295"/>
      <c r="D220" s="1077">
        <v>46140</v>
      </c>
      <c r="E220" s="319"/>
      <c r="F220" s="320"/>
      <c r="G220" s="320"/>
      <c r="H220" s="321"/>
      <c r="I220" s="321"/>
      <c r="J220" s="320"/>
      <c r="K220" s="1090"/>
      <c r="L220" s="351"/>
      <c r="M220" s="352"/>
      <c r="N220" s="353"/>
      <c r="O220" s="321">
        <f>3*20</f>
        <v>60</v>
      </c>
      <c r="P220" s="321"/>
      <c r="Q220" s="321"/>
      <c r="R220" s="321"/>
      <c r="S220" s="321">
        <f>19*20+27*20</f>
        <v>920</v>
      </c>
      <c r="T220" s="321"/>
      <c r="U220" s="351"/>
      <c r="V220" s="352"/>
      <c r="W220" s="319"/>
      <c r="X220" s="320"/>
      <c r="Y220" s="320"/>
      <c r="Z220" s="321"/>
      <c r="AA220" s="321"/>
      <c r="AB220" s="321"/>
      <c r="AC220" s="320"/>
      <c r="AD220" s="380"/>
      <c r="AE220" s="352"/>
      <c r="AF220" s="381">
        <f t="shared" si="122"/>
        <v>980</v>
      </c>
      <c r="AG220" s="381">
        <f>11+3</f>
        <v>14</v>
      </c>
      <c r="AH220" s="408"/>
      <c r="AI220" s="409">
        <f t="shared" si="123"/>
        <v>994</v>
      </c>
      <c r="AJ220" s="410">
        <f>1+4</f>
        <v>5</v>
      </c>
      <c r="AK220" s="411">
        <f t="shared" si="124"/>
        <v>999</v>
      </c>
      <c r="AL220" s="403"/>
      <c r="AM220" s="403"/>
      <c r="AN220" s="403"/>
    </row>
    <row r="221" spans="1:40" s="276" customFormat="1" ht="20.25">
      <c r="A221" s="316" t="s">
        <v>536</v>
      </c>
      <c r="B221" s="710"/>
      <c r="C221" s="295"/>
      <c r="D221" s="1077">
        <v>46141</v>
      </c>
      <c r="E221" s="319"/>
      <c r="F221" s="320"/>
      <c r="G221" s="320"/>
      <c r="H221" s="321"/>
      <c r="I221" s="321"/>
      <c r="J221" s="320">
        <f>26*20+25*20</f>
        <v>1020</v>
      </c>
      <c r="K221" s="1090"/>
      <c r="L221" s="351"/>
      <c r="M221" s="352"/>
      <c r="N221" s="353"/>
      <c r="O221" s="321"/>
      <c r="P221" s="321"/>
      <c r="Q221" s="321"/>
      <c r="R221" s="321"/>
      <c r="S221" s="321">
        <f>4*20</f>
        <v>80</v>
      </c>
      <c r="T221" s="321"/>
      <c r="U221" s="351"/>
      <c r="V221" s="352"/>
      <c r="W221" s="319"/>
      <c r="X221" s="320"/>
      <c r="Y221" s="320"/>
      <c r="Z221" s="321"/>
      <c r="AA221" s="321"/>
      <c r="AB221" s="321"/>
      <c r="AC221" s="320"/>
      <c r="AD221" s="380"/>
      <c r="AE221" s="352"/>
      <c r="AF221" s="381">
        <f t="shared" si="122"/>
        <v>1100</v>
      </c>
      <c r="AG221" s="381">
        <v>1</v>
      </c>
      <c r="AH221" s="408"/>
      <c r="AI221" s="409">
        <f t="shared" si="123"/>
        <v>1101</v>
      </c>
      <c r="AJ221" s="410">
        <v>4</v>
      </c>
      <c r="AK221" s="411">
        <f t="shared" si="124"/>
        <v>1105</v>
      </c>
      <c r="AL221" s="282"/>
      <c r="AM221" s="282"/>
      <c r="AN221" s="282"/>
    </row>
    <row r="222" spans="1:40" s="234" customFormat="1" ht="20.25">
      <c r="A222" s="316" t="s">
        <v>536</v>
      </c>
      <c r="B222" s="822"/>
      <c r="C222" s="295"/>
      <c r="D222" s="1077"/>
      <c r="E222" s="319"/>
      <c r="F222" s="320"/>
      <c r="G222" s="320"/>
      <c r="H222" s="321"/>
      <c r="I222" s="321"/>
      <c r="J222" s="320"/>
      <c r="K222" s="1090"/>
      <c r="L222" s="351"/>
      <c r="M222" s="352"/>
      <c r="N222" s="353"/>
      <c r="O222" s="321"/>
      <c r="P222" s="321"/>
      <c r="Q222" s="321"/>
      <c r="R222" s="321"/>
      <c r="S222" s="321"/>
      <c r="T222" s="321"/>
      <c r="U222" s="351"/>
      <c r="V222" s="352"/>
      <c r="W222" s="319"/>
      <c r="X222" s="320"/>
      <c r="Y222" s="320"/>
      <c r="Z222" s="321"/>
      <c r="AA222" s="321"/>
      <c r="AB222" s="321"/>
      <c r="AC222" s="320"/>
      <c r="AD222" s="380"/>
      <c r="AE222" s="352"/>
      <c r="AF222" s="381">
        <f t="shared" si="122"/>
        <v>0</v>
      </c>
      <c r="AG222" s="381"/>
      <c r="AH222" s="408"/>
      <c r="AI222" s="409">
        <f t="shared" si="123"/>
        <v>0</v>
      </c>
      <c r="AJ222" s="410"/>
      <c r="AK222" s="411">
        <f t="shared" si="124"/>
        <v>0</v>
      </c>
      <c r="AL222" s="283"/>
      <c r="AM222" s="283"/>
      <c r="AN222" s="283"/>
    </row>
    <row r="223" spans="1:40" s="276" customFormat="1" ht="20.25">
      <c r="A223" s="316" t="s">
        <v>536</v>
      </c>
      <c r="B223" s="710"/>
      <c r="C223" s="295"/>
      <c r="D223" s="1077"/>
      <c r="E223" s="319"/>
      <c r="F223" s="320"/>
      <c r="G223" s="320"/>
      <c r="H223" s="321"/>
      <c r="I223" s="321"/>
      <c r="J223" s="320"/>
      <c r="K223" s="1090"/>
      <c r="L223" s="351"/>
      <c r="M223" s="352"/>
      <c r="N223" s="353"/>
      <c r="O223" s="321"/>
      <c r="P223" s="321"/>
      <c r="Q223" s="321"/>
      <c r="R223" s="321"/>
      <c r="S223" s="321"/>
      <c r="T223" s="321"/>
      <c r="U223" s="351"/>
      <c r="V223" s="352"/>
      <c r="W223" s="319"/>
      <c r="X223" s="320"/>
      <c r="Y223" s="320"/>
      <c r="Z223" s="321"/>
      <c r="AA223" s="321"/>
      <c r="AB223" s="321"/>
      <c r="AC223" s="320"/>
      <c r="AD223" s="380"/>
      <c r="AE223" s="352"/>
      <c r="AF223" s="381">
        <f t="shared" si="122"/>
        <v>0</v>
      </c>
      <c r="AG223" s="381"/>
      <c r="AH223" s="408"/>
      <c r="AI223" s="409">
        <f t="shared" si="123"/>
        <v>0</v>
      </c>
      <c r="AJ223" s="410"/>
      <c r="AK223" s="411">
        <f t="shared" si="124"/>
        <v>0</v>
      </c>
      <c r="AL223" s="283"/>
      <c r="AM223" s="283"/>
      <c r="AN223" s="283"/>
    </row>
    <row r="224" spans="1:40" s="234" customFormat="1" ht="20.25">
      <c r="A224" s="316" t="s">
        <v>536</v>
      </c>
      <c r="B224" s="295"/>
      <c r="C224" s="295"/>
      <c r="D224" s="1077"/>
      <c r="E224" s="319"/>
      <c r="F224" s="320"/>
      <c r="G224" s="320"/>
      <c r="H224" s="321"/>
      <c r="I224" s="321"/>
      <c r="J224" s="320"/>
      <c r="K224" s="1090"/>
      <c r="L224" s="351"/>
      <c r="M224" s="352"/>
      <c r="N224" s="353"/>
      <c r="O224" s="321"/>
      <c r="P224" s="321"/>
      <c r="Q224" s="321"/>
      <c r="R224" s="321"/>
      <c r="S224" s="321"/>
      <c r="T224" s="321"/>
      <c r="U224" s="351"/>
      <c r="V224" s="352"/>
      <c r="W224" s="319"/>
      <c r="X224" s="320"/>
      <c r="Y224" s="320"/>
      <c r="Z224" s="321"/>
      <c r="AA224" s="321"/>
      <c r="AB224" s="321"/>
      <c r="AC224" s="320"/>
      <c r="AD224" s="380"/>
      <c r="AE224" s="352"/>
      <c r="AF224" s="381">
        <f t="shared" si="122"/>
        <v>0</v>
      </c>
      <c r="AG224" s="381"/>
      <c r="AH224" s="408"/>
      <c r="AI224" s="409">
        <f t="shared" si="123"/>
        <v>0</v>
      </c>
      <c r="AJ224" s="410"/>
      <c r="AK224" s="411">
        <f t="shared" si="124"/>
        <v>0</v>
      </c>
      <c r="AL224" s="283"/>
      <c r="AM224" s="283"/>
      <c r="AN224" s="283"/>
    </row>
    <row r="225" spans="1:40" s="276" customFormat="1" ht="20.25">
      <c r="A225" s="316" t="s">
        <v>536</v>
      </c>
      <c r="B225" s="295"/>
      <c r="C225" s="295"/>
      <c r="D225" s="1077"/>
      <c r="E225" s="319"/>
      <c r="F225" s="320"/>
      <c r="G225" s="320"/>
      <c r="H225" s="321"/>
      <c r="I225" s="321"/>
      <c r="J225" s="320"/>
      <c r="K225" s="1090"/>
      <c r="L225" s="351"/>
      <c r="M225" s="352"/>
      <c r="N225" s="353"/>
      <c r="O225" s="321"/>
      <c r="P225" s="321"/>
      <c r="Q225" s="321"/>
      <c r="R225" s="321"/>
      <c r="S225" s="321"/>
      <c r="T225" s="321"/>
      <c r="U225" s="351"/>
      <c r="V225" s="352"/>
      <c r="W225" s="319"/>
      <c r="X225" s="320"/>
      <c r="Y225" s="320"/>
      <c r="Z225" s="321"/>
      <c r="AA225" s="321"/>
      <c r="AB225" s="321"/>
      <c r="AC225" s="320"/>
      <c r="AD225" s="380"/>
      <c r="AE225" s="352"/>
      <c r="AF225" s="381">
        <f t="shared" si="122"/>
        <v>0</v>
      </c>
      <c r="AG225" s="381"/>
      <c r="AH225" s="408"/>
      <c r="AI225" s="409">
        <f t="shared" si="123"/>
        <v>0</v>
      </c>
      <c r="AJ225" s="410"/>
      <c r="AK225" s="411">
        <f t="shared" si="124"/>
        <v>0</v>
      </c>
      <c r="AL225" s="283"/>
      <c r="AM225" s="283"/>
      <c r="AN225" s="283"/>
    </row>
    <row r="226" spans="1:40" s="234" customFormat="1" ht="20.25">
      <c r="A226" s="316" t="s">
        <v>536</v>
      </c>
      <c r="B226" s="295"/>
      <c r="C226" s="295"/>
      <c r="D226" s="1077"/>
      <c r="E226" s="319"/>
      <c r="F226" s="320"/>
      <c r="G226" s="320"/>
      <c r="H226" s="321"/>
      <c r="I226" s="321"/>
      <c r="J226" s="320"/>
      <c r="K226" s="1090"/>
      <c r="L226" s="351"/>
      <c r="M226" s="352"/>
      <c r="N226" s="353"/>
      <c r="O226" s="321"/>
      <c r="P226" s="321"/>
      <c r="Q226" s="321"/>
      <c r="R226" s="321"/>
      <c r="S226" s="321"/>
      <c r="T226" s="321"/>
      <c r="U226" s="351"/>
      <c r="V226" s="352"/>
      <c r="W226" s="319"/>
      <c r="X226" s="320"/>
      <c r="Y226" s="320"/>
      <c r="Z226" s="321"/>
      <c r="AA226" s="321"/>
      <c r="AB226" s="321"/>
      <c r="AC226" s="320"/>
      <c r="AD226" s="380"/>
      <c r="AE226" s="352"/>
      <c r="AF226" s="381">
        <f t="shared" si="122"/>
        <v>0</v>
      </c>
      <c r="AG226" s="381"/>
      <c r="AH226" s="408"/>
      <c r="AI226" s="409">
        <f t="shared" si="123"/>
        <v>0</v>
      </c>
      <c r="AJ226" s="410"/>
      <c r="AK226" s="411">
        <f t="shared" si="124"/>
        <v>0</v>
      </c>
      <c r="AL226" s="283"/>
      <c r="AM226" s="283"/>
      <c r="AN226" s="283"/>
    </row>
    <row r="227" spans="1:40" s="234" customFormat="1" ht="20.25">
      <c r="A227" s="316" t="s">
        <v>536</v>
      </c>
      <c r="B227" s="295"/>
      <c r="C227" s="295"/>
      <c r="D227" s="1077"/>
      <c r="E227" s="319"/>
      <c r="F227" s="320"/>
      <c r="G227" s="320"/>
      <c r="H227" s="321"/>
      <c r="I227" s="321"/>
      <c r="J227" s="320"/>
      <c r="K227" s="1090"/>
      <c r="L227" s="351"/>
      <c r="M227" s="352"/>
      <c r="N227" s="353"/>
      <c r="O227" s="321"/>
      <c r="P227" s="321"/>
      <c r="Q227" s="321"/>
      <c r="R227" s="321"/>
      <c r="S227" s="321"/>
      <c r="T227" s="321"/>
      <c r="U227" s="351"/>
      <c r="V227" s="352"/>
      <c r="W227" s="319"/>
      <c r="X227" s="320"/>
      <c r="Y227" s="320"/>
      <c r="Z227" s="321"/>
      <c r="AA227" s="321"/>
      <c r="AB227" s="321"/>
      <c r="AC227" s="320"/>
      <c r="AD227" s="380"/>
      <c r="AE227" s="352"/>
      <c r="AF227" s="381">
        <f t="shared" si="122"/>
        <v>0</v>
      </c>
      <c r="AG227" s="381"/>
      <c r="AH227" s="408"/>
      <c r="AI227" s="409">
        <f t="shared" si="123"/>
        <v>0</v>
      </c>
      <c r="AJ227" s="410"/>
      <c r="AK227" s="411">
        <f t="shared" si="124"/>
        <v>0</v>
      </c>
      <c r="AL227" s="283"/>
      <c r="AM227" s="283"/>
      <c r="AN227" s="283"/>
    </row>
    <row r="228" spans="1:40" s="276" customFormat="1" ht="20.25">
      <c r="A228" s="316" t="s">
        <v>536</v>
      </c>
      <c r="B228" s="295"/>
      <c r="C228" s="295"/>
      <c r="D228" s="1077"/>
      <c r="E228" s="319"/>
      <c r="F228" s="320"/>
      <c r="G228" s="320"/>
      <c r="H228" s="321"/>
      <c r="I228" s="321"/>
      <c r="J228" s="320"/>
      <c r="K228" s="842"/>
      <c r="L228" s="351"/>
      <c r="M228" s="352"/>
      <c r="N228" s="353"/>
      <c r="O228" s="321"/>
      <c r="P228" s="321"/>
      <c r="Q228" s="321"/>
      <c r="R228" s="321"/>
      <c r="S228" s="321"/>
      <c r="T228" s="321"/>
      <c r="U228" s="351"/>
      <c r="V228" s="352"/>
      <c r="W228" s="319"/>
      <c r="X228" s="320"/>
      <c r="Y228" s="320"/>
      <c r="Z228" s="321"/>
      <c r="AA228" s="321"/>
      <c r="AB228" s="321"/>
      <c r="AC228" s="320"/>
      <c r="AD228" s="380"/>
      <c r="AE228" s="352"/>
      <c r="AF228" s="381">
        <f t="shared" si="122"/>
        <v>0</v>
      </c>
      <c r="AG228" s="381"/>
      <c r="AH228" s="408"/>
      <c r="AI228" s="409">
        <f t="shared" si="123"/>
        <v>0</v>
      </c>
      <c r="AJ228" s="410"/>
      <c r="AK228" s="411">
        <f t="shared" si="124"/>
        <v>0</v>
      </c>
      <c r="AL228" s="283"/>
      <c r="AM228" s="283"/>
      <c r="AN228" s="283"/>
    </row>
    <row r="229" spans="1:40" s="234" customFormat="1" ht="20.25">
      <c r="A229" s="316" t="s">
        <v>536</v>
      </c>
      <c r="B229" s="295"/>
      <c r="C229" s="295"/>
      <c r="D229" s="1077"/>
      <c r="E229" s="319"/>
      <c r="F229" s="320"/>
      <c r="G229" s="320"/>
      <c r="H229" s="321"/>
      <c r="I229" s="321"/>
      <c r="J229" s="320"/>
      <c r="K229" s="842"/>
      <c r="L229" s="351"/>
      <c r="M229" s="352"/>
      <c r="N229" s="353"/>
      <c r="O229" s="321"/>
      <c r="P229" s="321"/>
      <c r="Q229" s="321"/>
      <c r="R229" s="321"/>
      <c r="S229" s="321"/>
      <c r="T229" s="321"/>
      <c r="U229" s="351"/>
      <c r="V229" s="352"/>
      <c r="W229" s="319"/>
      <c r="X229" s="320"/>
      <c r="Y229" s="320"/>
      <c r="Z229" s="321"/>
      <c r="AA229" s="321"/>
      <c r="AB229" s="321"/>
      <c r="AC229" s="320"/>
      <c r="AD229" s="380"/>
      <c r="AE229" s="352"/>
      <c r="AF229" s="381">
        <f t="shared" si="122"/>
        <v>0</v>
      </c>
      <c r="AG229" s="381"/>
      <c r="AH229" s="408"/>
      <c r="AI229" s="409">
        <f t="shared" si="123"/>
        <v>0</v>
      </c>
      <c r="AJ229" s="410"/>
      <c r="AK229" s="411">
        <f t="shared" si="124"/>
        <v>0</v>
      </c>
      <c r="AL229" s="403"/>
      <c r="AM229" s="403"/>
      <c r="AN229" s="403"/>
    </row>
    <row r="230" spans="1:40" s="276" customFormat="1" ht="20.25">
      <c r="A230" s="316" t="s">
        <v>536</v>
      </c>
      <c r="B230" s="295"/>
      <c r="C230" s="295"/>
      <c r="D230" s="1077"/>
      <c r="E230" s="319"/>
      <c r="F230" s="320"/>
      <c r="G230" s="320"/>
      <c r="H230" s="321"/>
      <c r="I230" s="321"/>
      <c r="J230" s="320"/>
      <c r="K230" s="842"/>
      <c r="L230" s="351"/>
      <c r="M230" s="352"/>
      <c r="N230" s="353"/>
      <c r="O230" s="321"/>
      <c r="P230" s="321"/>
      <c r="Q230" s="321"/>
      <c r="R230" s="321"/>
      <c r="S230" s="321"/>
      <c r="T230" s="321"/>
      <c r="U230" s="351"/>
      <c r="V230" s="352"/>
      <c r="W230" s="319"/>
      <c r="X230" s="320"/>
      <c r="Y230" s="320"/>
      <c r="Z230" s="321"/>
      <c r="AA230" s="321"/>
      <c r="AB230" s="321"/>
      <c r="AC230" s="320"/>
      <c r="AD230" s="380"/>
      <c r="AE230" s="352"/>
      <c r="AF230" s="381">
        <f t="shared" si="122"/>
        <v>0</v>
      </c>
      <c r="AG230" s="381"/>
      <c r="AH230" s="408"/>
      <c r="AI230" s="409">
        <f t="shared" si="123"/>
        <v>0</v>
      </c>
      <c r="AJ230" s="410"/>
      <c r="AK230" s="411">
        <f t="shared" si="124"/>
        <v>0</v>
      </c>
      <c r="AL230" s="282"/>
      <c r="AM230" s="282"/>
      <c r="AN230" s="282"/>
    </row>
    <row r="231" spans="1:40" s="234" customFormat="1" ht="20.25">
      <c r="A231" s="316" t="s">
        <v>536</v>
      </c>
      <c r="B231" s="295"/>
      <c r="C231" s="295"/>
      <c r="D231" s="1077"/>
      <c r="E231" s="319"/>
      <c r="F231" s="320"/>
      <c r="G231" s="320"/>
      <c r="H231" s="321"/>
      <c r="I231" s="321"/>
      <c r="J231" s="320"/>
      <c r="K231" s="842"/>
      <c r="L231" s="351"/>
      <c r="M231" s="352"/>
      <c r="N231" s="353"/>
      <c r="O231" s="321"/>
      <c r="P231" s="321"/>
      <c r="Q231" s="321"/>
      <c r="R231" s="321"/>
      <c r="S231" s="321"/>
      <c r="T231" s="321"/>
      <c r="U231" s="351"/>
      <c r="V231" s="352"/>
      <c r="W231" s="319"/>
      <c r="X231" s="320"/>
      <c r="Y231" s="320"/>
      <c r="Z231" s="321"/>
      <c r="AA231" s="321"/>
      <c r="AB231" s="321"/>
      <c r="AC231" s="320"/>
      <c r="AD231" s="380"/>
      <c r="AE231" s="352"/>
      <c r="AF231" s="381">
        <f t="shared" si="122"/>
        <v>0</v>
      </c>
      <c r="AG231" s="381"/>
      <c r="AH231" s="408"/>
      <c r="AI231" s="409">
        <f t="shared" si="123"/>
        <v>0</v>
      </c>
      <c r="AJ231" s="410"/>
      <c r="AK231" s="411">
        <f t="shared" si="124"/>
        <v>0</v>
      </c>
      <c r="AL231" s="283"/>
      <c r="AM231" s="283"/>
      <c r="AN231" s="283"/>
    </row>
    <row r="232" spans="1:40" s="276" customFormat="1" ht="20.25">
      <c r="A232" s="316" t="s">
        <v>536</v>
      </c>
      <c r="B232" s="295"/>
      <c r="C232" s="295"/>
      <c r="D232" s="1077"/>
      <c r="E232" s="319"/>
      <c r="F232" s="320"/>
      <c r="G232" s="320"/>
      <c r="H232" s="321"/>
      <c r="I232" s="321"/>
      <c r="J232" s="320"/>
      <c r="K232" s="842"/>
      <c r="L232" s="351"/>
      <c r="M232" s="352"/>
      <c r="N232" s="353"/>
      <c r="O232" s="321"/>
      <c r="P232" s="321"/>
      <c r="Q232" s="321"/>
      <c r="R232" s="321"/>
      <c r="S232" s="321"/>
      <c r="T232" s="321"/>
      <c r="U232" s="351"/>
      <c r="V232" s="352"/>
      <c r="W232" s="319"/>
      <c r="X232" s="320"/>
      <c r="Y232" s="320"/>
      <c r="Z232" s="321"/>
      <c r="AA232" s="321"/>
      <c r="AB232" s="321"/>
      <c r="AC232" s="320"/>
      <c r="AD232" s="380"/>
      <c r="AE232" s="352"/>
      <c r="AF232" s="381">
        <f t="shared" si="122"/>
        <v>0</v>
      </c>
      <c r="AG232" s="381"/>
      <c r="AH232" s="408"/>
      <c r="AI232" s="409">
        <f t="shared" si="123"/>
        <v>0</v>
      </c>
      <c r="AJ232" s="410"/>
      <c r="AK232" s="411">
        <f t="shared" si="124"/>
        <v>0</v>
      </c>
      <c r="AL232" s="283"/>
      <c r="AM232" s="283"/>
      <c r="AN232" s="283"/>
    </row>
    <row r="233" spans="1:40" s="234" customFormat="1" ht="20.25">
      <c r="A233" s="316" t="s">
        <v>536</v>
      </c>
      <c r="B233" s="295"/>
      <c r="C233" s="295"/>
      <c r="D233" s="1077"/>
      <c r="E233" s="319"/>
      <c r="F233" s="320"/>
      <c r="G233" s="320"/>
      <c r="H233" s="321"/>
      <c r="I233" s="321"/>
      <c r="J233" s="320"/>
      <c r="K233" s="842"/>
      <c r="L233" s="351"/>
      <c r="M233" s="352"/>
      <c r="N233" s="353"/>
      <c r="O233" s="321"/>
      <c r="P233" s="321"/>
      <c r="Q233" s="321"/>
      <c r="R233" s="321"/>
      <c r="S233" s="321"/>
      <c r="T233" s="321"/>
      <c r="U233" s="351"/>
      <c r="V233" s="352"/>
      <c r="W233" s="319"/>
      <c r="X233" s="320"/>
      <c r="Y233" s="320"/>
      <c r="Z233" s="321"/>
      <c r="AA233" s="321"/>
      <c r="AB233" s="321"/>
      <c r="AC233" s="320"/>
      <c r="AD233" s="380"/>
      <c r="AE233" s="352"/>
      <c r="AF233" s="381">
        <f t="shared" si="122"/>
        <v>0</v>
      </c>
      <c r="AG233" s="381"/>
      <c r="AH233" s="408"/>
      <c r="AI233" s="409">
        <f t="shared" si="123"/>
        <v>0</v>
      </c>
      <c r="AJ233" s="410"/>
      <c r="AK233" s="411">
        <f t="shared" si="124"/>
        <v>0</v>
      </c>
      <c r="AL233" s="283"/>
      <c r="AM233" s="283"/>
      <c r="AN233" s="283"/>
    </row>
    <row r="234" spans="1:40" s="1063" customFormat="1" ht="20.25">
      <c r="A234" s="316" t="s">
        <v>536</v>
      </c>
      <c r="B234" s="295"/>
      <c r="C234" s="295"/>
      <c r="D234" s="1077"/>
      <c r="E234" s="319"/>
      <c r="F234" s="320"/>
      <c r="G234" s="320"/>
      <c r="H234" s="321"/>
      <c r="I234" s="321"/>
      <c r="J234" s="320"/>
      <c r="K234" s="842"/>
      <c r="L234" s="351"/>
      <c r="M234" s="352"/>
      <c r="N234" s="353"/>
      <c r="O234" s="321"/>
      <c r="P234" s="321"/>
      <c r="Q234" s="321"/>
      <c r="R234" s="321"/>
      <c r="S234" s="321"/>
      <c r="T234" s="321"/>
      <c r="U234" s="351"/>
      <c r="V234" s="352"/>
      <c r="W234" s="319"/>
      <c r="X234" s="320"/>
      <c r="Y234" s="320"/>
      <c r="Z234" s="321"/>
      <c r="AA234" s="321"/>
      <c r="AB234" s="321"/>
      <c r="AC234" s="320"/>
      <c r="AD234" s="380"/>
      <c r="AE234" s="352"/>
      <c r="AF234" s="381">
        <f t="shared" si="122"/>
        <v>0</v>
      </c>
      <c r="AG234" s="381"/>
      <c r="AH234" s="408"/>
      <c r="AI234" s="409">
        <f t="shared" si="123"/>
        <v>0</v>
      </c>
      <c r="AJ234" s="410"/>
      <c r="AK234" s="411">
        <f t="shared" si="124"/>
        <v>0</v>
      </c>
      <c r="AL234" s="283"/>
      <c r="AM234" s="283"/>
      <c r="AN234" s="283"/>
    </row>
    <row r="235" spans="1:40" s="1063" customFormat="1" ht="20.25">
      <c r="A235" s="316" t="s">
        <v>536</v>
      </c>
      <c r="B235" s="295"/>
      <c r="C235" s="295"/>
      <c r="D235" s="1077"/>
      <c r="E235" s="319"/>
      <c r="F235" s="320"/>
      <c r="G235" s="320"/>
      <c r="H235" s="321"/>
      <c r="I235" s="321"/>
      <c r="J235" s="320"/>
      <c r="K235" s="842"/>
      <c r="L235" s="351"/>
      <c r="M235" s="352"/>
      <c r="N235" s="353"/>
      <c r="O235" s="321"/>
      <c r="P235" s="321"/>
      <c r="Q235" s="321"/>
      <c r="R235" s="321"/>
      <c r="S235" s="321"/>
      <c r="T235" s="321"/>
      <c r="U235" s="351"/>
      <c r="V235" s="352"/>
      <c r="W235" s="319"/>
      <c r="X235" s="320"/>
      <c r="Y235" s="320"/>
      <c r="Z235" s="321"/>
      <c r="AA235" s="321"/>
      <c r="AB235" s="321"/>
      <c r="AC235" s="320"/>
      <c r="AD235" s="380"/>
      <c r="AE235" s="352"/>
      <c r="AF235" s="381">
        <f t="shared" si="122"/>
        <v>0</v>
      </c>
      <c r="AG235" s="381"/>
      <c r="AH235" s="408"/>
      <c r="AI235" s="409">
        <f t="shared" si="123"/>
        <v>0</v>
      </c>
      <c r="AJ235" s="410"/>
      <c r="AK235" s="411">
        <f t="shared" si="124"/>
        <v>0</v>
      </c>
      <c r="AL235" s="283"/>
      <c r="AM235" s="283"/>
      <c r="AN235" s="283"/>
    </row>
    <row r="236" spans="1:40" s="1063" customFormat="1" ht="20.25">
      <c r="A236" s="316" t="s">
        <v>536</v>
      </c>
      <c r="B236" s="295"/>
      <c r="C236" s="295"/>
      <c r="D236" s="1077"/>
      <c r="E236" s="319"/>
      <c r="F236" s="320"/>
      <c r="G236" s="320"/>
      <c r="H236" s="321"/>
      <c r="I236" s="321"/>
      <c r="J236" s="320"/>
      <c r="K236" s="842"/>
      <c r="L236" s="351"/>
      <c r="M236" s="352"/>
      <c r="N236" s="353"/>
      <c r="O236" s="321"/>
      <c r="P236" s="321"/>
      <c r="Q236" s="321"/>
      <c r="R236" s="321"/>
      <c r="S236" s="321"/>
      <c r="T236" s="321"/>
      <c r="U236" s="351"/>
      <c r="V236" s="352"/>
      <c r="W236" s="319"/>
      <c r="X236" s="320"/>
      <c r="Y236" s="320"/>
      <c r="Z236" s="321"/>
      <c r="AA236" s="321"/>
      <c r="AB236" s="321"/>
      <c r="AC236" s="320"/>
      <c r="AD236" s="380"/>
      <c r="AE236" s="352"/>
      <c r="AF236" s="381">
        <f t="shared" si="122"/>
        <v>0</v>
      </c>
      <c r="AG236" s="381"/>
      <c r="AH236" s="408"/>
      <c r="AI236" s="409">
        <f t="shared" si="123"/>
        <v>0</v>
      </c>
      <c r="AJ236" s="410"/>
      <c r="AK236" s="411">
        <f t="shared" si="124"/>
        <v>0</v>
      </c>
      <c r="AL236" s="283"/>
      <c r="AM236" s="283"/>
      <c r="AN236" s="283"/>
    </row>
    <row r="237" spans="1:40" s="1063" customFormat="1" ht="20.25">
      <c r="A237" s="316" t="s">
        <v>536</v>
      </c>
      <c r="B237" s="295"/>
      <c r="C237" s="295"/>
      <c r="D237" s="1077"/>
      <c r="E237" s="319"/>
      <c r="F237" s="320"/>
      <c r="G237" s="320"/>
      <c r="H237" s="321"/>
      <c r="I237" s="321"/>
      <c r="J237" s="320"/>
      <c r="K237" s="842"/>
      <c r="L237" s="351"/>
      <c r="M237" s="352"/>
      <c r="N237" s="353"/>
      <c r="O237" s="321"/>
      <c r="P237" s="321"/>
      <c r="Q237" s="321"/>
      <c r="R237" s="321"/>
      <c r="S237" s="321"/>
      <c r="T237" s="321"/>
      <c r="U237" s="351"/>
      <c r="V237" s="352"/>
      <c r="W237" s="319"/>
      <c r="X237" s="320"/>
      <c r="Y237" s="320"/>
      <c r="Z237" s="321"/>
      <c r="AA237" s="321"/>
      <c r="AB237" s="321"/>
      <c r="AC237" s="320"/>
      <c r="AD237" s="380"/>
      <c r="AE237" s="352"/>
      <c r="AF237" s="381">
        <f t="shared" si="122"/>
        <v>0</v>
      </c>
      <c r="AG237" s="381"/>
      <c r="AH237" s="408"/>
      <c r="AI237" s="409">
        <f t="shared" si="123"/>
        <v>0</v>
      </c>
      <c r="AJ237" s="410"/>
      <c r="AK237" s="411">
        <f t="shared" si="124"/>
        <v>0</v>
      </c>
      <c r="AL237" s="403"/>
      <c r="AM237" s="403"/>
      <c r="AN237" s="403"/>
    </row>
    <row r="238" spans="1:40" s="1063" customFormat="1" ht="20.25">
      <c r="A238" s="316" t="s">
        <v>536</v>
      </c>
      <c r="B238" s="295"/>
      <c r="C238" s="295"/>
      <c r="D238" s="1077"/>
      <c r="E238" s="319"/>
      <c r="F238" s="320"/>
      <c r="G238" s="320"/>
      <c r="H238" s="321"/>
      <c r="I238" s="321"/>
      <c r="J238" s="320"/>
      <c r="K238" s="842"/>
      <c r="L238" s="351"/>
      <c r="M238" s="352"/>
      <c r="N238" s="353"/>
      <c r="O238" s="321"/>
      <c r="P238" s="321"/>
      <c r="Q238" s="321"/>
      <c r="R238" s="321"/>
      <c r="S238" s="321"/>
      <c r="T238" s="321"/>
      <c r="U238" s="351"/>
      <c r="V238" s="352"/>
      <c r="W238" s="319"/>
      <c r="X238" s="320"/>
      <c r="Y238" s="320"/>
      <c r="Z238" s="321"/>
      <c r="AA238" s="321"/>
      <c r="AB238" s="321"/>
      <c r="AC238" s="320"/>
      <c r="AD238" s="380"/>
      <c r="AE238" s="352"/>
      <c r="AF238" s="381">
        <f t="shared" si="122"/>
        <v>0</v>
      </c>
      <c r="AG238" s="381"/>
      <c r="AH238" s="408"/>
      <c r="AI238" s="409">
        <f t="shared" si="123"/>
        <v>0</v>
      </c>
      <c r="AJ238" s="410"/>
      <c r="AK238" s="411">
        <f t="shared" si="124"/>
        <v>0</v>
      </c>
      <c r="AL238"/>
      <c r="AM238"/>
      <c r="AN238"/>
    </row>
    <row r="239" spans="1:40" s="1063" customFormat="1" ht="20.25">
      <c r="A239" s="316" t="s">
        <v>536</v>
      </c>
      <c r="B239" s="295"/>
      <c r="C239" s="295"/>
      <c r="D239" s="1077"/>
      <c r="E239" s="319"/>
      <c r="F239" s="320"/>
      <c r="G239" s="320"/>
      <c r="H239" s="321"/>
      <c r="I239" s="321"/>
      <c r="J239" s="320"/>
      <c r="K239" s="842"/>
      <c r="L239" s="351"/>
      <c r="M239" s="352"/>
      <c r="N239" s="353"/>
      <c r="O239" s="321"/>
      <c r="P239" s="321"/>
      <c r="Q239" s="321"/>
      <c r="R239" s="321"/>
      <c r="S239" s="321"/>
      <c r="T239" s="321"/>
      <c r="U239" s="351"/>
      <c r="V239" s="352"/>
      <c r="W239" s="319"/>
      <c r="X239" s="320"/>
      <c r="Y239" s="320"/>
      <c r="Z239" s="321"/>
      <c r="AA239" s="321"/>
      <c r="AB239" s="321"/>
      <c r="AC239" s="320"/>
      <c r="AD239" s="380"/>
      <c r="AE239" s="352"/>
      <c r="AF239" s="381">
        <f t="shared" si="122"/>
        <v>0</v>
      </c>
      <c r="AG239" s="381"/>
      <c r="AH239" s="408"/>
      <c r="AI239" s="409">
        <f t="shared" si="123"/>
        <v>0</v>
      </c>
      <c r="AJ239" s="410"/>
      <c r="AK239" s="411">
        <f t="shared" si="124"/>
        <v>0</v>
      </c>
      <c r="AL239"/>
      <c r="AM239"/>
      <c r="AN239"/>
    </row>
    <row r="240" spans="1:40" ht="20.25">
      <c r="A240" s="316" t="s">
        <v>536</v>
      </c>
      <c r="B240" s="295"/>
      <c r="C240" s="295"/>
      <c r="D240" s="1077"/>
      <c r="E240" s="319"/>
      <c r="F240" s="320"/>
      <c r="G240" s="320"/>
      <c r="H240" s="321"/>
      <c r="I240" s="321"/>
      <c r="J240" s="320"/>
      <c r="K240" s="842"/>
      <c r="L240" s="351"/>
      <c r="M240" s="352"/>
      <c r="N240" s="353"/>
      <c r="O240" s="321"/>
      <c r="P240" s="321"/>
      <c r="Q240" s="321"/>
      <c r="R240" s="321"/>
      <c r="S240" s="321"/>
      <c r="T240" s="321"/>
      <c r="U240" s="351"/>
      <c r="V240" s="352"/>
      <c r="W240" s="319"/>
      <c r="X240" s="320"/>
      <c r="Y240" s="320"/>
      <c r="Z240" s="321"/>
      <c r="AA240" s="321"/>
      <c r="AB240" s="321"/>
      <c r="AC240" s="320"/>
      <c r="AD240" s="380"/>
      <c r="AE240" s="352"/>
      <c r="AF240" s="381">
        <f t="shared" si="122"/>
        <v>0</v>
      </c>
      <c r="AG240" s="381"/>
      <c r="AH240" s="408"/>
      <c r="AI240" s="409">
        <f t="shared" si="123"/>
        <v>0</v>
      </c>
      <c r="AJ240" s="410"/>
      <c r="AK240" s="411">
        <f t="shared" si="124"/>
        <v>0</v>
      </c>
      <c r="AL240" s="1"/>
      <c r="AM240" s="1"/>
      <c r="AN240" s="1"/>
    </row>
    <row r="241" spans="1:40" ht="20.25">
      <c r="A241" s="316" t="s">
        <v>536</v>
      </c>
      <c r="B241" s="295"/>
      <c r="C241" s="295"/>
      <c r="D241" s="1077"/>
      <c r="E241" s="319"/>
      <c r="F241" s="320"/>
      <c r="G241" s="320"/>
      <c r="H241" s="321"/>
      <c r="I241" s="321"/>
      <c r="J241" s="320"/>
      <c r="K241" s="842"/>
      <c r="L241" s="351"/>
      <c r="M241" s="352"/>
      <c r="N241" s="353"/>
      <c r="O241" s="321"/>
      <c r="P241" s="321"/>
      <c r="Q241" s="321"/>
      <c r="R241" s="321"/>
      <c r="S241" s="321"/>
      <c r="T241" s="321"/>
      <c r="U241" s="351"/>
      <c r="V241" s="352"/>
      <c r="W241" s="319"/>
      <c r="X241" s="320"/>
      <c r="Y241" s="320"/>
      <c r="Z241" s="321"/>
      <c r="AA241" s="321"/>
      <c r="AB241" s="321"/>
      <c r="AC241" s="320"/>
      <c r="AD241" s="380"/>
      <c r="AE241" s="352"/>
      <c r="AF241" s="381">
        <f t="shared" si="122"/>
        <v>0</v>
      </c>
      <c r="AG241" s="381"/>
      <c r="AH241" s="408"/>
      <c r="AI241" s="409">
        <f t="shared" si="123"/>
        <v>0</v>
      </c>
      <c r="AJ241" s="410"/>
      <c r="AK241" s="411">
        <f t="shared" si="124"/>
        <v>0</v>
      </c>
    </row>
    <row r="242" spans="1:40" s="284" customFormat="1" ht="21" thickBot="1">
      <c r="A242" s="316" t="s">
        <v>536</v>
      </c>
      <c r="B242" s="323"/>
      <c r="C242" s="323"/>
      <c r="D242" s="1078"/>
      <c r="E242" s="325"/>
      <c r="F242" s="297"/>
      <c r="G242" s="297"/>
      <c r="H242" s="298"/>
      <c r="I242" s="298"/>
      <c r="J242" s="297"/>
      <c r="K242" s="1086"/>
      <c r="L242" s="367"/>
      <c r="M242" s="355"/>
      <c r="N242" s="343"/>
      <c r="O242" s="298"/>
      <c r="P242" s="298"/>
      <c r="Q242" s="298"/>
      <c r="R242" s="298"/>
      <c r="S242" s="298"/>
      <c r="T242" s="298"/>
      <c r="U242" s="367"/>
      <c r="V242" s="355"/>
      <c r="W242" s="325"/>
      <c r="X242" s="297"/>
      <c r="Y242" s="297"/>
      <c r="Z242" s="298"/>
      <c r="AA242" s="298"/>
      <c r="AB242" s="298"/>
      <c r="AC242" s="297"/>
      <c r="AD242" s="375"/>
      <c r="AE242" s="355"/>
      <c r="AF242" s="376">
        <f t="shared" si="122"/>
        <v>0</v>
      </c>
      <c r="AG242" s="377"/>
      <c r="AH242" s="390"/>
      <c r="AI242" s="391">
        <f t="shared" si="123"/>
        <v>0</v>
      </c>
      <c r="AJ242" s="412"/>
      <c r="AK242" s="413">
        <f t="shared" si="124"/>
        <v>0</v>
      </c>
      <c r="AL242" s="276"/>
      <c r="AM242" s="276"/>
      <c r="AN242" s="276"/>
    </row>
    <row r="243" spans="1:40" s="282" customFormat="1" ht="19.5" thickBot="1">
      <c r="A243" s="326" t="s">
        <v>534</v>
      </c>
      <c r="B243" s="327"/>
      <c r="C243" s="327"/>
      <c r="D243" s="328"/>
      <c r="E243" s="329">
        <f>SUM(E210:E242)</f>
        <v>0</v>
      </c>
      <c r="F243" s="329">
        <f t="shared" ref="F243:L243" si="125">SUM(F210:F242)</f>
        <v>0</v>
      </c>
      <c r="G243" s="329">
        <f t="shared" si="125"/>
        <v>0</v>
      </c>
      <c r="H243" s="329">
        <f t="shared" si="125"/>
        <v>0</v>
      </c>
      <c r="I243" s="329">
        <f t="shared" si="125"/>
        <v>0</v>
      </c>
      <c r="J243" s="329">
        <f t="shared" si="125"/>
        <v>2020</v>
      </c>
      <c r="K243" s="329">
        <f t="shared" si="125"/>
        <v>4300</v>
      </c>
      <c r="L243" s="329">
        <f t="shared" si="125"/>
        <v>0</v>
      </c>
      <c r="M243" s="357"/>
      <c r="N243" s="358">
        <f>SUM(N210:N242)</f>
        <v>0</v>
      </c>
      <c r="O243" s="359">
        <f t="shared" ref="O243:U243" si="126">SUM(O210:O242)</f>
        <v>3120</v>
      </c>
      <c r="P243" s="359">
        <f t="shared" si="126"/>
        <v>0</v>
      </c>
      <c r="Q243" s="359">
        <f t="shared" si="126"/>
        <v>0</v>
      </c>
      <c r="R243" s="359">
        <f t="shared" si="126"/>
        <v>0</v>
      </c>
      <c r="S243" s="359">
        <f t="shared" si="126"/>
        <v>1000</v>
      </c>
      <c r="T243" s="359">
        <f t="shared" si="126"/>
        <v>0</v>
      </c>
      <c r="U243" s="369">
        <f t="shared" si="126"/>
        <v>0</v>
      </c>
      <c r="V243" s="357"/>
      <c r="W243" s="358">
        <f>SUM(W210:W242)</f>
        <v>0</v>
      </c>
      <c r="X243" s="358">
        <f t="shared" ref="X243:AD243" si="127">SUM(X210:X242)</f>
        <v>0</v>
      </c>
      <c r="Y243" s="358">
        <f t="shared" si="127"/>
        <v>0</v>
      </c>
      <c r="Z243" s="358">
        <f t="shared" si="127"/>
        <v>0</v>
      </c>
      <c r="AA243" s="358">
        <f t="shared" si="127"/>
        <v>0</v>
      </c>
      <c r="AB243" s="358">
        <f t="shared" si="127"/>
        <v>0</v>
      </c>
      <c r="AC243" s="358">
        <f t="shared" si="127"/>
        <v>0</v>
      </c>
      <c r="AD243" s="358">
        <f t="shared" si="127"/>
        <v>0</v>
      </c>
      <c r="AE243" s="357"/>
      <c r="AF243" s="382">
        <f>SUM(AF210:AF242)</f>
        <v>10440</v>
      </c>
      <c r="AG243" s="382">
        <f t="shared" ref="AG243:AK243" si="128">SUM(AG210:AG242)</f>
        <v>26</v>
      </c>
      <c r="AH243" s="416">
        <f t="shared" si="128"/>
        <v>0</v>
      </c>
      <c r="AI243" s="417">
        <f t="shared" si="128"/>
        <v>10466</v>
      </c>
      <c r="AJ243" s="382">
        <f t="shared" si="128"/>
        <v>53</v>
      </c>
      <c r="AK243" s="418">
        <f t="shared" si="128"/>
        <v>10519</v>
      </c>
      <c r="AL243" s="276"/>
      <c r="AM243" s="276"/>
      <c r="AN243" s="276"/>
    </row>
    <row r="244" spans="1:40" s="283" customFormat="1" ht="16.5" thickBot="1">
      <c r="A244" s="429" t="s">
        <v>179</v>
      </c>
      <c r="B244" s="287" t="s">
        <v>68</v>
      </c>
      <c r="C244" s="287" t="s">
        <v>69</v>
      </c>
      <c r="D244" s="1073" t="s">
        <v>70</v>
      </c>
      <c r="E244" s="743" t="s">
        <v>71</v>
      </c>
      <c r="F244" s="744" t="s">
        <v>124</v>
      </c>
      <c r="G244" s="744" t="s">
        <v>228</v>
      </c>
      <c r="H244" s="744" t="s">
        <v>149</v>
      </c>
      <c r="I244" s="744" t="s">
        <v>470</v>
      </c>
      <c r="J244" s="744" t="s">
        <v>92</v>
      </c>
      <c r="K244" s="50" t="s">
        <v>479</v>
      </c>
      <c r="L244" s="783" t="s">
        <v>123</v>
      </c>
      <c r="M244" s="1089"/>
      <c r="N244" s="80" t="s">
        <v>71</v>
      </c>
      <c r="O244" s="49" t="s">
        <v>72</v>
      </c>
      <c r="P244" s="49" t="s">
        <v>118</v>
      </c>
      <c r="Q244" s="49" t="s">
        <v>74</v>
      </c>
      <c r="R244" s="49" t="s">
        <v>75</v>
      </c>
      <c r="S244" s="49" t="s">
        <v>94</v>
      </c>
      <c r="T244" s="126" t="s">
        <v>77</v>
      </c>
      <c r="U244" s="171" t="s">
        <v>101</v>
      </c>
      <c r="V244" s="79"/>
      <c r="W244" s="80" t="s">
        <v>482</v>
      </c>
      <c r="X244" s="49" t="s">
        <v>96</v>
      </c>
      <c r="Y244" s="49" t="s">
        <v>118</v>
      </c>
      <c r="Z244" s="49" t="s">
        <v>229</v>
      </c>
      <c r="AA244" s="49" t="s">
        <v>75</v>
      </c>
      <c r="AB244" s="49" t="s">
        <v>53</v>
      </c>
      <c r="AC244" s="126" t="s">
        <v>230</v>
      </c>
      <c r="AD244" s="171" t="s">
        <v>95</v>
      </c>
      <c r="AE244" s="79"/>
      <c r="AF244" s="371" t="s">
        <v>172</v>
      </c>
      <c r="AG244" s="372" t="s">
        <v>80</v>
      </c>
      <c r="AH244" s="385"/>
      <c r="AI244" s="386" t="s">
        <v>106</v>
      </c>
      <c r="AJ244" s="385" t="s">
        <v>173</v>
      </c>
      <c r="AK244" s="371" t="s">
        <v>108</v>
      </c>
      <c r="AL244" s="276"/>
      <c r="AM244" s="276"/>
      <c r="AN244" s="276"/>
    </row>
    <row r="245" spans="1:40" s="283" customFormat="1" ht="20.25">
      <c r="A245" s="322"/>
      <c r="B245" s="323"/>
      <c r="C245" s="323"/>
      <c r="D245" s="432"/>
      <c r="E245" s="1067"/>
      <c r="F245" s="1068"/>
      <c r="G245" s="1068"/>
      <c r="H245" s="1069"/>
      <c r="I245" s="1069"/>
      <c r="J245" s="1068"/>
      <c r="K245" s="1101"/>
      <c r="L245" s="1102"/>
      <c r="M245" s="355"/>
      <c r="N245" s="343"/>
      <c r="O245" s="298"/>
      <c r="P245" s="298"/>
      <c r="Q245" s="298"/>
      <c r="R245" s="298"/>
      <c r="S245" s="298"/>
      <c r="T245" s="298"/>
      <c r="U245" s="367"/>
      <c r="V245" s="355"/>
      <c r="W245" s="325"/>
      <c r="X245" s="297"/>
      <c r="Y245" s="297"/>
      <c r="Z245" s="298"/>
      <c r="AA245" s="298"/>
      <c r="AB245" s="298"/>
      <c r="AC245" s="297"/>
      <c r="AD245" s="375"/>
      <c r="AE245" s="355"/>
      <c r="AF245" s="377">
        <f t="shared" ref="AF245:AF247" si="129">SUM(E245:AD245)</f>
        <v>0</v>
      </c>
      <c r="AG245" s="377"/>
      <c r="AH245" s="390"/>
      <c r="AI245" s="507">
        <f t="shared" ref="AI245:AI249" si="130">AF245+AG245</f>
        <v>0</v>
      </c>
      <c r="AJ245" s="412"/>
      <c r="AK245" s="508">
        <f>AI245+AJ245</f>
        <v>0</v>
      </c>
      <c r="AL245" s="234"/>
      <c r="AM245" s="234"/>
      <c r="AN245" s="234"/>
    </row>
    <row r="246" spans="1:40" s="284" customFormat="1" ht="20.25">
      <c r="A246" s="322"/>
      <c r="B246" s="323"/>
      <c r="C246" s="323"/>
      <c r="D246" s="1078"/>
      <c r="E246" s="457"/>
      <c r="F246" s="458"/>
      <c r="G246" s="458"/>
      <c r="H246" s="459"/>
      <c r="I246" s="459"/>
      <c r="J246" s="458"/>
      <c r="K246" s="1085"/>
      <c r="L246" s="1103"/>
      <c r="M246" s="355"/>
      <c r="N246" s="343"/>
      <c r="O246" s="298"/>
      <c r="P246" s="298"/>
      <c r="Q246" s="298"/>
      <c r="R246" s="298"/>
      <c r="S246" s="298"/>
      <c r="T246" s="298"/>
      <c r="U246" s="367"/>
      <c r="V246" s="355"/>
      <c r="W246" s="325"/>
      <c r="X246" s="297"/>
      <c r="Y246" s="297"/>
      <c r="Z246" s="298"/>
      <c r="AA246" s="298"/>
      <c r="AB246" s="298"/>
      <c r="AC246" s="297"/>
      <c r="AD246" s="375"/>
      <c r="AE246" s="355"/>
      <c r="AF246" s="377">
        <f t="shared" ref="AF246" si="131">SUM(E246:AD246)</f>
        <v>0</v>
      </c>
      <c r="AG246" s="377"/>
      <c r="AH246" s="390"/>
      <c r="AI246" s="507">
        <f t="shared" si="130"/>
        <v>0</v>
      </c>
      <c r="AJ246" s="412"/>
      <c r="AK246" s="508">
        <f>AI246+AJ246</f>
        <v>0</v>
      </c>
      <c r="AL246" s="276"/>
      <c r="AM246" s="276"/>
      <c r="AN246" s="276"/>
    </row>
    <row r="247" spans="1:40" s="1" customFormat="1" ht="20.25">
      <c r="A247" s="322"/>
      <c r="B247" s="323"/>
      <c r="C247" s="323"/>
      <c r="D247" s="1078"/>
      <c r="E247" s="457"/>
      <c r="F247" s="458"/>
      <c r="G247" s="458"/>
      <c r="H247" s="459"/>
      <c r="I247" s="459"/>
      <c r="J247" s="458"/>
      <c r="K247" s="1085"/>
      <c r="L247" s="1103"/>
      <c r="M247" s="355"/>
      <c r="N247" s="343"/>
      <c r="O247" s="298"/>
      <c r="P247" s="298"/>
      <c r="Q247" s="298"/>
      <c r="R247" s="298"/>
      <c r="S247" s="298"/>
      <c r="T247" s="298"/>
      <c r="U247" s="367"/>
      <c r="V247" s="355"/>
      <c r="W247" s="325"/>
      <c r="X247" s="297"/>
      <c r="Y247" s="297"/>
      <c r="Z247" s="298"/>
      <c r="AA247" s="298"/>
      <c r="AB247" s="298"/>
      <c r="AC247" s="297"/>
      <c r="AD247" s="375"/>
      <c r="AE247" s="355"/>
      <c r="AF247" s="377">
        <f t="shared" si="129"/>
        <v>0</v>
      </c>
      <c r="AG247" s="377"/>
      <c r="AH247" s="390"/>
      <c r="AI247" s="507">
        <f t="shared" si="130"/>
        <v>0</v>
      </c>
      <c r="AJ247" s="412"/>
      <c r="AK247" s="508">
        <f>AI247+AJ247</f>
        <v>0</v>
      </c>
      <c r="AL247" s="234"/>
      <c r="AM247" s="234"/>
      <c r="AN247" s="234"/>
    </row>
    <row r="248" spans="1:40" s="1" customFormat="1" ht="20.25">
      <c r="A248" s="322"/>
      <c r="B248" s="323"/>
      <c r="C248" s="323"/>
      <c r="D248" s="1078"/>
      <c r="E248" s="457"/>
      <c r="F248" s="458"/>
      <c r="G248" s="458"/>
      <c r="H248" s="459"/>
      <c r="I248" s="459"/>
      <c r="J248" s="458"/>
      <c r="K248" s="1085"/>
      <c r="L248" s="486"/>
      <c r="M248" s="355"/>
      <c r="N248" s="343"/>
      <c r="O248" s="298"/>
      <c r="P248" s="298"/>
      <c r="Q248" s="298"/>
      <c r="R248" s="298"/>
      <c r="S248" s="298"/>
      <c r="T248" s="298"/>
      <c r="U248" s="367"/>
      <c r="V248" s="355"/>
      <c r="W248" s="325"/>
      <c r="X248" s="297"/>
      <c r="Y248" s="297"/>
      <c r="Z248" s="298"/>
      <c r="AA248" s="298"/>
      <c r="AB248" s="298"/>
      <c r="AC248" s="297"/>
      <c r="AD248" s="375"/>
      <c r="AE248" s="355"/>
      <c r="AF248" s="377">
        <f t="shared" ref="AF248:AF249" si="132">SUM(E248:AD248)</f>
        <v>0</v>
      </c>
      <c r="AG248" s="377"/>
      <c r="AH248" s="390"/>
      <c r="AI248" s="507">
        <f t="shared" si="130"/>
        <v>0</v>
      </c>
      <c r="AJ248" s="412"/>
      <c r="AK248" s="508">
        <f>AI248+AJ248</f>
        <v>0</v>
      </c>
      <c r="AL248" s="234"/>
      <c r="AM248" s="234"/>
      <c r="AN248" s="234"/>
    </row>
    <row r="249" spans="1:40" ht="21" thickBot="1">
      <c r="A249" s="322"/>
      <c r="B249" s="323"/>
      <c r="C249" s="323"/>
      <c r="D249" s="1078"/>
      <c r="E249" s="325"/>
      <c r="F249" s="297"/>
      <c r="G249" s="297"/>
      <c r="H249" s="298"/>
      <c r="I249" s="298"/>
      <c r="J249" s="297"/>
      <c r="K249" s="1086"/>
      <c r="L249" s="344"/>
      <c r="M249" s="355"/>
      <c r="N249" s="343"/>
      <c r="O249" s="298"/>
      <c r="P249" s="298"/>
      <c r="Q249" s="298"/>
      <c r="R249" s="298"/>
      <c r="S249" s="298"/>
      <c r="T249" s="298"/>
      <c r="U249" s="367"/>
      <c r="V249" s="355"/>
      <c r="W249" s="325"/>
      <c r="X249" s="297"/>
      <c r="Y249" s="297"/>
      <c r="Z249" s="298"/>
      <c r="AA249" s="298"/>
      <c r="AB249" s="298"/>
      <c r="AC249" s="297"/>
      <c r="AD249" s="375"/>
      <c r="AE249" s="355"/>
      <c r="AF249" s="377">
        <f t="shared" si="132"/>
        <v>0</v>
      </c>
      <c r="AG249" s="377"/>
      <c r="AH249" s="390"/>
      <c r="AI249" s="507">
        <f t="shared" si="130"/>
        <v>0</v>
      </c>
      <c r="AJ249" s="412"/>
      <c r="AK249" s="508">
        <f t="shared" ref="AK249" si="133">AI249+AJ249</f>
        <v>0</v>
      </c>
      <c r="AL249" s="234"/>
      <c r="AM249" s="234"/>
      <c r="AN249" s="234"/>
    </row>
    <row r="250" spans="1:40" ht="21" thickBot="1">
      <c r="A250" s="436"/>
      <c r="B250" s="437"/>
      <c r="C250" s="437"/>
      <c r="D250" s="1093"/>
      <c r="E250" s="439">
        <f>SUM(E245:E249)</f>
        <v>0</v>
      </c>
      <c r="F250" s="440">
        <f t="shared" ref="F250:L250" si="134">SUM(F245:F249)</f>
        <v>0</v>
      </c>
      <c r="G250" s="440">
        <f t="shared" si="134"/>
        <v>0</v>
      </c>
      <c r="H250" s="440">
        <f t="shared" si="134"/>
        <v>0</v>
      </c>
      <c r="I250" s="440">
        <f t="shared" si="134"/>
        <v>0</v>
      </c>
      <c r="J250" s="440">
        <f t="shared" si="134"/>
        <v>0</v>
      </c>
      <c r="K250" s="1104">
        <f t="shared" ref="K250" si="135">SUM(K245:K249)</f>
        <v>0</v>
      </c>
      <c r="L250" s="481">
        <f t="shared" si="134"/>
        <v>0</v>
      </c>
      <c r="M250" s="482"/>
      <c r="N250" s="439">
        <f t="shared" ref="N250:U250" si="136">SUM(N245:N249)</f>
        <v>0</v>
      </c>
      <c r="O250" s="439">
        <f t="shared" si="136"/>
        <v>0</v>
      </c>
      <c r="P250" s="439">
        <f t="shared" si="136"/>
        <v>0</v>
      </c>
      <c r="Q250" s="439">
        <f t="shared" si="136"/>
        <v>0</v>
      </c>
      <c r="R250" s="439">
        <f t="shared" si="136"/>
        <v>0</v>
      </c>
      <c r="S250" s="439">
        <f t="shared" si="136"/>
        <v>0</v>
      </c>
      <c r="T250" s="439">
        <f t="shared" si="136"/>
        <v>0</v>
      </c>
      <c r="U250" s="439">
        <f t="shared" si="136"/>
        <v>0</v>
      </c>
      <c r="V250" s="482"/>
      <c r="W250" s="439">
        <f>SUM(W245:W249)</f>
        <v>0</v>
      </c>
      <c r="X250" s="440">
        <f t="shared" ref="X250:AD250" si="137">SUM(X245:X249)</f>
        <v>0</v>
      </c>
      <c r="Y250" s="440">
        <f t="shared" si="137"/>
        <v>0</v>
      </c>
      <c r="Z250" s="440">
        <f t="shared" si="137"/>
        <v>0</v>
      </c>
      <c r="AA250" s="440">
        <f t="shared" si="137"/>
        <v>0</v>
      </c>
      <c r="AB250" s="440">
        <f t="shared" si="137"/>
        <v>0</v>
      </c>
      <c r="AC250" s="440">
        <f t="shared" si="137"/>
        <v>0</v>
      </c>
      <c r="AD250" s="481">
        <f t="shared" si="137"/>
        <v>0</v>
      </c>
      <c r="AE250" s="482"/>
      <c r="AF250" s="494">
        <f>SUM(AF245:AF249)</f>
        <v>0</v>
      </c>
      <c r="AG250" s="494">
        <f>SUM(AG245:AG249)</f>
        <v>0</v>
      </c>
      <c r="AH250" s="494">
        <f t="shared" ref="AH250:AK250" si="138">SUM(AH245:AH249)</f>
        <v>0</v>
      </c>
      <c r="AI250" s="509">
        <f t="shared" si="138"/>
        <v>0</v>
      </c>
      <c r="AJ250" s="494">
        <f t="shared" si="138"/>
        <v>0</v>
      </c>
      <c r="AK250" s="509">
        <f t="shared" si="138"/>
        <v>0</v>
      </c>
      <c r="AL250" s="276"/>
      <c r="AM250" s="276"/>
      <c r="AN250" s="276"/>
    </row>
    <row r="251" spans="1:40" ht="19.5" thickBot="1">
      <c r="A251" s="425"/>
      <c r="B251" s="426"/>
      <c r="C251" s="426"/>
      <c r="D251" s="427"/>
      <c r="E251" s="428"/>
      <c r="F251" s="428"/>
      <c r="G251" s="428"/>
      <c r="H251" s="428"/>
      <c r="I251" s="428"/>
      <c r="J251" s="428"/>
      <c r="K251" s="428"/>
      <c r="L251" s="428"/>
      <c r="M251" s="478"/>
      <c r="N251" s="479"/>
      <c r="O251" s="479"/>
      <c r="P251" s="479"/>
      <c r="Q251" s="479"/>
      <c r="R251" s="479"/>
      <c r="S251" s="479"/>
      <c r="T251" s="479"/>
      <c r="U251" s="479"/>
      <c r="V251" s="478"/>
      <c r="W251" s="479"/>
      <c r="X251" s="479"/>
      <c r="Y251" s="479"/>
      <c r="Z251" s="479"/>
      <c r="AA251" s="479"/>
      <c r="AB251" s="479"/>
      <c r="AC251" s="479"/>
      <c r="AD251" s="479"/>
      <c r="AE251" s="478"/>
      <c r="AF251" s="479"/>
      <c r="AG251" s="479"/>
      <c r="AH251" s="479"/>
      <c r="AI251" s="479"/>
      <c r="AJ251" s="479"/>
      <c r="AK251" s="506"/>
      <c r="AL251" s="234"/>
      <c r="AM251" s="234"/>
      <c r="AN251" s="234"/>
    </row>
    <row r="252" spans="1:40" ht="18.75" thickBot="1">
      <c r="A252" s="441" t="s">
        <v>135</v>
      </c>
      <c r="B252" s="287" t="s">
        <v>68</v>
      </c>
      <c r="C252" s="287" t="s">
        <v>69</v>
      </c>
      <c r="D252" s="1073" t="s">
        <v>70</v>
      </c>
      <c r="E252" s="743" t="s">
        <v>96</v>
      </c>
      <c r="F252" s="744" t="s">
        <v>72</v>
      </c>
      <c r="G252" s="744" t="s">
        <v>206</v>
      </c>
      <c r="H252" s="744" t="s">
        <v>74</v>
      </c>
      <c r="I252" s="744" t="s">
        <v>470</v>
      </c>
      <c r="J252" s="744" t="s">
        <v>79</v>
      </c>
      <c r="K252" s="50" t="s">
        <v>479</v>
      </c>
      <c r="L252" s="783" t="str">
        <f>L244</f>
        <v>Blue</v>
      </c>
      <c r="M252" s="1089"/>
      <c r="N252" s="80" t="s">
        <v>71</v>
      </c>
      <c r="O252" s="49" t="s">
        <v>53</v>
      </c>
      <c r="P252" s="49" t="s">
        <v>118</v>
      </c>
      <c r="Q252" s="49" t="s">
        <v>74</v>
      </c>
      <c r="R252" s="49" t="s">
        <v>75</v>
      </c>
      <c r="S252" s="49" t="s">
        <v>94</v>
      </c>
      <c r="T252" s="126" t="s">
        <v>77</v>
      </c>
      <c r="U252" s="171" t="s">
        <v>101</v>
      </c>
      <c r="V252" s="79"/>
      <c r="W252" s="80" t="s">
        <v>482</v>
      </c>
      <c r="X252" s="744" t="s">
        <v>96</v>
      </c>
      <c r="Y252" s="744" t="s">
        <v>118</v>
      </c>
      <c r="Z252" s="744" t="s">
        <v>94</v>
      </c>
      <c r="AA252" s="744" t="s">
        <v>75</v>
      </c>
      <c r="AB252" s="744" t="s">
        <v>53</v>
      </c>
      <c r="AC252" s="744" t="s">
        <v>230</v>
      </c>
      <c r="AD252" s="805" t="s">
        <v>95</v>
      </c>
      <c r="AE252" s="79"/>
      <c r="AF252" s="371" t="s">
        <v>172</v>
      </c>
      <c r="AG252" s="372" t="s">
        <v>80</v>
      </c>
      <c r="AH252" s="385"/>
      <c r="AI252" s="386" t="s">
        <v>106</v>
      </c>
      <c r="AJ252" s="385" t="s">
        <v>173</v>
      </c>
      <c r="AK252" s="371" t="s">
        <v>108</v>
      </c>
      <c r="AL252" s="276"/>
      <c r="AM252" s="276"/>
      <c r="AN252" s="276"/>
    </row>
    <row r="253" spans="1:40" ht="20.25">
      <c r="A253" s="442" t="s">
        <v>232</v>
      </c>
      <c r="B253" s="443"/>
      <c r="C253" s="443"/>
      <c r="D253" s="1094"/>
      <c r="E253" s="1067"/>
      <c r="F253" s="1068"/>
      <c r="G253" s="1068"/>
      <c r="H253" s="1069"/>
      <c r="I253" s="1069"/>
      <c r="J253" s="1068"/>
      <c r="K253" s="1101"/>
      <c r="L253" s="1102"/>
      <c r="M253" s="483"/>
      <c r="N253" s="484"/>
      <c r="O253" s="435"/>
      <c r="P253" s="435"/>
      <c r="Q253" s="435"/>
      <c r="R253" s="435"/>
      <c r="S253" s="435"/>
      <c r="T253" s="435"/>
      <c r="U253" s="492"/>
      <c r="V253" s="483"/>
      <c r="W253" s="433"/>
      <c r="X253" s="434"/>
      <c r="Y253" s="434"/>
      <c r="Z253" s="435"/>
      <c r="AA253" s="435"/>
      <c r="AB253" s="435"/>
      <c r="AC253" s="434"/>
      <c r="AD253" s="495"/>
      <c r="AE253" s="483"/>
      <c r="AF253" s="496">
        <f t="shared" ref="AF253:AF256" si="139">SUM(E253:AD253)</f>
        <v>0</v>
      </c>
      <c r="AG253" s="497"/>
      <c r="AH253" s="510"/>
      <c r="AI253" s="511">
        <f t="shared" ref="AI253:AI256" si="140">AF253+AG253</f>
        <v>0</v>
      </c>
      <c r="AJ253" s="512"/>
      <c r="AK253" s="513">
        <f>AI253+AJ253</f>
        <v>0</v>
      </c>
      <c r="AL253" s="234"/>
      <c r="AM253" s="234"/>
      <c r="AN253" s="234"/>
    </row>
    <row r="254" spans="1:40" ht="20.25">
      <c r="A254" s="445"/>
      <c r="B254" s="323"/>
      <c r="C254" s="323"/>
      <c r="D254" s="1078"/>
      <c r="E254" s="457"/>
      <c r="F254" s="458"/>
      <c r="G254" s="458"/>
      <c r="H254" s="459"/>
      <c r="I254" s="459"/>
      <c r="J254" s="458"/>
      <c r="K254" s="1085"/>
      <c r="L254" s="486"/>
      <c r="M254" s="355"/>
      <c r="N254" s="343"/>
      <c r="O254" s="298"/>
      <c r="P254" s="298"/>
      <c r="Q254" s="298"/>
      <c r="R254" s="298"/>
      <c r="S254" s="298"/>
      <c r="T254" s="298"/>
      <c r="U254" s="367"/>
      <c r="V254" s="355"/>
      <c r="W254" s="325"/>
      <c r="X254" s="297"/>
      <c r="Y254" s="297"/>
      <c r="Z254" s="298"/>
      <c r="AA254" s="298"/>
      <c r="AB254" s="298"/>
      <c r="AC254" s="297"/>
      <c r="AD254" s="375"/>
      <c r="AE254" s="355"/>
      <c r="AF254" s="376">
        <f t="shared" si="139"/>
        <v>0</v>
      </c>
      <c r="AG254" s="377"/>
      <c r="AH254" s="390"/>
      <c r="AI254" s="391">
        <f t="shared" si="140"/>
        <v>0</v>
      </c>
      <c r="AJ254" s="412"/>
      <c r="AK254" s="413">
        <f t="shared" ref="AK254:AK256" si="141">AI254+AJ254</f>
        <v>0</v>
      </c>
      <c r="AL254" s="234"/>
      <c r="AM254" s="234"/>
      <c r="AN254" s="234"/>
    </row>
    <row r="255" spans="1:40" ht="20.25">
      <c r="A255" s="445"/>
      <c r="B255" s="323"/>
      <c r="C255" s="323"/>
      <c r="D255" s="1078"/>
      <c r="E255" s="457"/>
      <c r="F255" s="458"/>
      <c r="G255" s="458"/>
      <c r="H255" s="459"/>
      <c r="I255" s="459"/>
      <c r="J255" s="458"/>
      <c r="K255" s="1085"/>
      <c r="L255" s="486"/>
      <c r="M255" s="355"/>
      <c r="N255" s="343"/>
      <c r="O255" s="298"/>
      <c r="P255" s="298"/>
      <c r="Q255" s="298"/>
      <c r="R255" s="298"/>
      <c r="S255" s="298"/>
      <c r="T255" s="298"/>
      <c r="U255" s="367"/>
      <c r="V255" s="355"/>
      <c r="W255" s="325"/>
      <c r="X255" s="297"/>
      <c r="Y255" s="297"/>
      <c r="Z255" s="298"/>
      <c r="AA255" s="298"/>
      <c r="AB255" s="298"/>
      <c r="AC255" s="297"/>
      <c r="AD255" s="375"/>
      <c r="AE255" s="355"/>
      <c r="AF255" s="376">
        <f t="shared" si="139"/>
        <v>0</v>
      </c>
      <c r="AG255" s="377"/>
      <c r="AH255" s="390"/>
      <c r="AI255" s="391">
        <f t="shared" si="140"/>
        <v>0</v>
      </c>
      <c r="AJ255" s="412"/>
      <c r="AK255" s="413">
        <f t="shared" si="141"/>
        <v>0</v>
      </c>
      <c r="AL255" s="276"/>
      <c r="AM255" s="276"/>
      <c r="AN255" s="276"/>
    </row>
    <row r="256" spans="1:40" ht="21" thickBot="1">
      <c r="A256" s="322"/>
      <c r="B256" s="323"/>
      <c r="C256" s="323"/>
      <c r="D256" s="1078"/>
      <c r="E256" s="325"/>
      <c r="F256" s="297"/>
      <c r="G256" s="297"/>
      <c r="H256" s="298"/>
      <c r="I256" s="298"/>
      <c r="J256" s="297"/>
      <c r="K256" s="1086"/>
      <c r="L256" s="344"/>
      <c r="M256" s="355"/>
      <c r="N256" s="343"/>
      <c r="O256" s="298"/>
      <c r="P256" s="298"/>
      <c r="Q256" s="298"/>
      <c r="R256" s="298"/>
      <c r="S256" s="298"/>
      <c r="T256" s="298"/>
      <c r="U256" s="367"/>
      <c r="V256" s="355"/>
      <c r="W256" s="325"/>
      <c r="X256" s="297"/>
      <c r="Y256" s="297"/>
      <c r="Z256" s="298"/>
      <c r="AA256" s="298"/>
      <c r="AB256" s="298"/>
      <c r="AC256" s="297"/>
      <c r="AD256" s="375"/>
      <c r="AE256" s="355"/>
      <c r="AF256" s="377">
        <f t="shared" si="139"/>
        <v>0</v>
      </c>
      <c r="AG256" s="377"/>
      <c r="AH256" s="390"/>
      <c r="AI256" s="507">
        <f t="shared" si="140"/>
        <v>0</v>
      </c>
      <c r="AJ256" s="412"/>
      <c r="AK256" s="508">
        <f t="shared" si="141"/>
        <v>0</v>
      </c>
      <c r="AL256" s="276"/>
      <c r="AM256" s="276"/>
      <c r="AN256" s="276"/>
    </row>
    <row r="257" spans="1:40" ht="21" thickBot="1">
      <c r="A257" s="436"/>
      <c r="B257" s="437"/>
      <c r="C257" s="437"/>
      <c r="D257" s="1093"/>
      <c r="E257" s="439">
        <f>SUM(E253:E256)</f>
        <v>0</v>
      </c>
      <c r="F257" s="439">
        <f t="shared" ref="F257:L257" si="142">SUM(F253:F256)</f>
        <v>0</v>
      </c>
      <c r="G257" s="439">
        <f t="shared" si="142"/>
        <v>0</v>
      </c>
      <c r="H257" s="439">
        <f t="shared" si="142"/>
        <v>0</v>
      </c>
      <c r="I257" s="439">
        <f t="shared" si="142"/>
        <v>0</v>
      </c>
      <c r="J257" s="439">
        <f t="shared" si="142"/>
        <v>0</v>
      </c>
      <c r="K257" s="439">
        <f t="shared" si="142"/>
        <v>0</v>
      </c>
      <c r="L257" s="439">
        <f t="shared" si="142"/>
        <v>0</v>
      </c>
      <c r="M257" s="482"/>
      <c r="N257" s="439">
        <f>SUM(N253:N256)</f>
        <v>0</v>
      </c>
      <c r="O257" s="439">
        <f t="shared" ref="O257:U257" si="143">SUM(O253:O256)</f>
        <v>0</v>
      </c>
      <c r="P257" s="439">
        <f t="shared" si="143"/>
        <v>0</v>
      </c>
      <c r="Q257" s="439">
        <f t="shared" si="143"/>
        <v>0</v>
      </c>
      <c r="R257" s="439">
        <f t="shared" si="143"/>
        <v>0</v>
      </c>
      <c r="S257" s="439">
        <f t="shared" si="143"/>
        <v>0</v>
      </c>
      <c r="T257" s="439">
        <f t="shared" si="143"/>
        <v>0</v>
      </c>
      <c r="U257" s="439">
        <f t="shared" si="143"/>
        <v>0</v>
      </c>
      <c r="V257" s="482"/>
      <c r="W257" s="439">
        <f>SUM(W253:W256)</f>
        <v>0</v>
      </c>
      <c r="X257" s="439">
        <f t="shared" ref="X257:AD257" si="144">SUM(X253:X256)</f>
        <v>0</v>
      </c>
      <c r="Y257" s="439">
        <f t="shared" si="144"/>
        <v>0</v>
      </c>
      <c r="Z257" s="439">
        <f t="shared" si="144"/>
        <v>0</v>
      </c>
      <c r="AA257" s="439">
        <f t="shared" si="144"/>
        <v>0</v>
      </c>
      <c r="AB257" s="439">
        <f t="shared" si="144"/>
        <v>0</v>
      </c>
      <c r="AC257" s="439">
        <f t="shared" si="144"/>
        <v>0</v>
      </c>
      <c r="AD257" s="481">
        <f t="shared" si="144"/>
        <v>0</v>
      </c>
      <c r="AE257" s="482"/>
      <c r="AF257" s="494">
        <f>SUM(AF253:AF256)</f>
        <v>0</v>
      </c>
      <c r="AG257" s="494">
        <f>SUM(AG253:AG256)</f>
        <v>0</v>
      </c>
      <c r="AH257" s="509"/>
      <c r="AI257" s="514">
        <f>SUM(AI253:AI256)</f>
        <v>0</v>
      </c>
      <c r="AJ257" s="494">
        <f>SUM(AJ253:AJ256)</f>
        <v>0</v>
      </c>
      <c r="AK257" s="515">
        <f>SUM(AK253:AK256)</f>
        <v>0</v>
      </c>
      <c r="AL257" s="234"/>
      <c r="AM257" s="234"/>
      <c r="AN257" s="234"/>
    </row>
    <row r="258" spans="1:40" ht="19.5" thickBot="1">
      <c r="A258" s="425"/>
      <c r="B258" s="426"/>
      <c r="C258" s="426"/>
      <c r="D258" s="427"/>
      <c r="E258" s="428"/>
      <c r="F258" s="428"/>
      <c r="G258" s="428"/>
      <c r="H258" s="428"/>
      <c r="I258" s="428"/>
      <c r="J258" s="428"/>
      <c r="K258" s="428"/>
      <c r="L258" s="428"/>
      <c r="M258" s="478"/>
      <c r="N258" s="479"/>
      <c r="O258" s="479"/>
      <c r="P258" s="479"/>
      <c r="Q258" s="479"/>
      <c r="R258" s="479"/>
      <c r="S258" s="479"/>
      <c r="T258" s="479"/>
      <c r="U258" s="479"/>
      <c r="V258" s="478"/>
      <c r="W258" s="479"/>
      <c r="X258" s="479"/>
      <c r="Y258" s="479"/>
      <c r="Z258" s="479"/>
      <c r="AA258" s="479"/>
      <c r="AB258" s="479"/>
      <c r="AC258" s="479"/>
      <c r="AD258" s="479"/>
      <c r="AE258" s="478"/>
      <c r="AF258" s="479"/>
      <c r="AG258" s="479"/>
      <c r="AH258" s="479"/>
      <c r="AI258" s="479"/>
      <c r="AJ258" s="479"/>
      <c r="AK258" s="506"/>
      <c r="AL258" s="276"/>
      <c r="AM258" s="276"/>
      <c r="AN258" s="276"/>
    </row>
    <row r="259" spans="1:40" ht="16.5" thickBot="1">
      <c r="A259" s="446" t="s">
        <v>140</v>
      </c>
      <c r="B259" s="287" t="s">
        <v>68</v>
      </c>
      <c r="C259" s="447" t="s">
        <v>69</v>
      </c>
      <c r="D259" s="1095" t="s">
        <v>70</v>
      </c>
      <c r="E259" s="743" t="s">
        <v>71</v>
      </c>
      <c r="F259" s="744" t="s">
        <v>124</v>
      </c>
      <c r="G259" s="744" t="s">
        <v>228</v>
      </c>
      <c r="H259" s="744" t="s">
        <v>149</v>
      </c>
      <c r="I259" s="744" t="s">
        <v>470</v>
      </c>
      <c r="J259" s="744" t="s">
        <v>92</v>
      </c>
      <c r="K259" s="50" t="s">
        <v>479</v>
      </c>
      <c r="L259" s="783" t="s">
        <v>123</v>
      </c>
      <c r="M259" s="1089"/>
      <c r="N259" s="80" t="s">
        <v>71</v>
      </c>
      <c r="O259" s="49" t="s">
        <v>53</v>
      </c>
      <c r="P259" s="49" t="s">
        <v>118</v>
      </c>
      <c r="Q259" s="49" t="s">
        <v>74</v>
      </c>
      <c r="R259" s="49" t="s">
        <v>75</v>
      </c>
      <c r="S259" s="49" t="s">
        <v>94</v>
      </c>
      <c r="T259" s="126" t="s">
        <v>77</v>
      </c>
      <c r="U259" s="171" t="s">
        <v>101</v>
      </c>
      <c r="V259" s="79"/>
      <c r="W259" s="80" t="s">
        <v>482</v>
      </c>
      <c r="X259" s="49" t="s">
        <v>96</v>
      </c>
      <c r="Y259" s="49" t="s">
        <v>118</v>
      </c>
      <c r="Z259" s="49" t="s">
        <v>94</v>
      </c>
      <c r="AA259" s="49" t="s">
        <v>75</v>
      </c>
      <c r="AB259" s="49" t="s">
        <v>53</v>
      </c>
      <c r="AC259" s="126" t="s">
        <v>230</v>
      </c>
      <c r="AD259" s="171" t="s">
        <v>95</v>
      </c>
      <c r="AE259" s="79"/>
      <c r="AF259" s="371" t="s">
        <v>172</v>
      </c>
      <c r="AG259" s="498" t="s">
        <v>80</v>
      </c>
      <c r="AH259" s="385"/>
      <c r="AI259" s="386" t="s">
        <v>106</v>
      </c>
      <c r="AJ259" s="385" t="s">
        <v>173</v>
      </c>
      <c r="AK259" s="371" t="s">
        <v>108</v>
      </c>
      <c r="AL259" s="234"/>
      <c r="AM259" s="234"/>
      <c r="AN259" s="234"/>
    </row>
    <row r="260" spans="1:40" ht="20.25">
      <c r="A260" s="449" t="s">
        <v>180</v>
      </c>
      <c r="B260" s="450"/>
      <c r="C260" s="450"/>
      <c r="D260" s="451"/>
      <c r="E260" s="1067"/>
      <c r="F260" s="1068"/>
      <c r="G260" s="1068"/>
      <c r="H260" s="1069"/>
      <c r="I260" s="1069"/>
      <c r="J260" s="1068"/>
      <c r="K260" s="1101"/>
      <c r="L260" s="1102"/>
      <c r="M260" s="355"/>
      <c r="N260" s="343"/>
      <c r="O260" s="298"/>
      <c r="P260" s="298"/>
      <c r="Q260" s="298"/>
      <c r="R260" s="298"/>
      <c r="S260" s="298"/>
      <c r="T260" s="298"/>
      <c r="U260" s="367"/>
      <c r="V260" s="355"/>
      <c r="W260" s="325"/>
      <c r="X260" s="297"/>
      <c r="Y260" s="297"/>
      <c r="Z260" s="298"/>
      <c r="AA260" s="298"/>
      <c r="AB260" s="298"/>
      <c r="AC260" s="297"/>
      <c r="AD260" s="375"/>
      <c r="AE260" s="355"/>
      <c r="AF260" s="376">
        <f t="shared" ref="AF260:AF265" si="145">SUM(E260:AD260)</f>
        <v>0</v>
      </c>
      <c r="AG260" s="499"/>
      <c r="AH260" s="516"/>
      <c r="AI260" s="391">
        <f t="shared" ref="AI260:AI265" si="146">AF260+AG260</f>
        <v>0</v>
      </c>
      <c r="AJ260" s="412"/>
      <c r="AK260" s="413">
        <f>AI260+AJ260</f>
        <v>0</v>
      </c>
      <c r="AL260" s="234"/>
      <c r="AM260" s="234"/>
      <c r="AN260" s="234"/>
    </row>
    <row r="261" spans="1:40" ht="20.25">
      <c r="A261" s="445"/>
      <c r="B261" s="455"/>
      <c r="C261" s="455"/>
      <c r="D261" s="456"/>
      <c r="E261" s="457"/>
      <c r="F261" s="458"/>
      <c r="G261" s="458"/>
      <c r="H261" s="459"/>
      <c r="I261" s="459"/>
      <c r="J261" s="458"/>
      <c r="K261" s="1085"/>
      <c r="L261" s="486"/>
      <c r="M261" s="355"/>
      <c r="N261" s="343"/>
      <c r="O261" s="298"/>
      <c r="P261" s="298"/>
      <c r="Q261" s="298"/>
      <c r="R261" s="298"/>
      <c r="S261" s="298"/>
      <c r="T261" s="298"/>
      <c r="U261" s="367"/>
      <c r="V261" s="355"/>
      <c r="W261" s="325"/>
      <c r="X261" s="297"/>
      <c r="Y261" s="297"/>
      <c r="Z261" s="298"/>
      <c r="AA261" s="298"/>
      <c r="AB261" s="298"/>
      <c r="AC261" s="297"/>
      <c r="AD261" s="375"/>
      <c r="AE261" s="355"/>
      <c r="AF261" s="376">
        <f t="shared" si="145"/>
        <v>0</v>
      </c>
      <c r="AG261" s="500"/>
      <c r="AH261" s="516"/>
      <c r="AI261" s="391">
        <f t="shared" si="146"/>
        <v>0</v>
      </c>
      <c r="AJ261" s="412"/>
      <c r="AK261" s="413">
        <f t="shared" ref="AK261:AK262" si="147">AI261+AJ261</f>
        <v>0</v>
      </c>
      <c r="AL261" s="276"/>
      <c r="AM261" s="276"/>
      <c r="AN261" s="276"/>
    </row>
    <row r="262" spans="1:40" ht="20.25">
      <c r="A262" s="442"/>
      <c r="B262" s="455"/>
      <c r="C262" s="455"/>
      <c r="D262" s="456"/>
      <c r="E262" s="457"/>
      <c r="F262" s="458"/>
      <c r="G262" s="458"/>
      <c r="H262" s="459"/>
      <c r="I262" s="459"/>
      <c r="J262" s="458"/>
      <c r="K262" s="1085"/>
      <c r="L262" s="486"/>
      <c r="M262" s="483"/>
      <c r="N262" s="484"/>
      <c r="O262" s="435"/>
      <c r="P262" s="435"/>
      <c r="Q262" s="435"/>
      <c r="R262" s="435"/>
      <c r="S262" s="435"/>
      <c r="T262" s="435"/>
      <c r="U262" s="492"/>
      <c r="V262" s="483"/>
      <c r="W262" s="433"/>
      <c r="X262" s="434"/>
      <c r="Y262" s="434"/>
      <c r="Z262" s="435"/>
      <c r="AA262" s="435"/>
      <c r="AB262" s="435"/>
      <c r="AC262" s="434"/>
      <c r="AD262" s="495"/>
      <c r="AE262" s="483"/>
      <c r="AF262" s="496">
        <f t="shared" si="145"/>
        <v>0</v>
      </c>
      <c r="AG262" s="500"/>
      <c r="AH262" s="516"/>
      <c r="AI262" s="511">
        <f t="shared" si="146"/>
        <v>0</v>
      </c>
      <c r="AJ262" s="412"/>
      <c r="AK262" s="513">
        <f t="shared" si="147"/>
        <v>0</v>
      </c>
      <c r="AL262" s="234"/>
      <c r="AM262" s="234"/>
      <c r="AN262" s="234"/>
    </row>
    <row r="263" spans="1:40" ht="20.25">
      <c r="A263" s="445"/>
      <c r="B263" s="455"/>
      <c r="C263" s="455"/>
      <c r="D263" s="456"/>
      <c r="E263" s="457"/>
      <c r="F263" s="458"/>
      <c r="G263" s="458"/>
      <c r="H263" s="459"/>
      <c r="I263" s="459"/>
      <c r="J263" s="458"/>
      <c r="K263" s="1085"/>
      <c r="L263" s="486"/>
      <c r="M263" s="355"/>
      <c r="N263" s="343"/>
      <c r="O263" s="298"/>
      <c r="P263" s="298"/>
      <c r="Q263" s="298"/>
      <c r="R263" s="298"/>
      <c r="S263" s="298"/>
      <c r="T263" s="298"/>
      <c r="U263" s="367"/>
      <c r="V263" s="355"/>
      <c r="W263" s="325"/>
      <c r="X263" s="297"/>
      <c r="Y263" s="297"/>
      <c r="Z263" s="298"/>
      <c r="AA263" s="298"/>
      <c r="AB263" s="298"/>
      <c r="AC263" s="297"/>
      <c r="AD263" s="375"/>
      <c r="AE263" s="355"/>
      <c r="AF263" s="376">
        <f t="shared" si="145"/>
        <v>0</v>
      </c>
      <c r="AG263" s="500"/>
      <c r="AH263" s="516"/>
      <c r="AI263" s="391">
        <f t="shared" si="146"/>
        <v>0</v>
      </c>
      <c r="AJ263" s="412"/>
      <c r="AK263" s="413">
        <f t="shared" ref="AK263:AK265" si="148">AI263+AJ263</f>
        <v>0</v>
      </c>
      <c r="AL263" s="276"/>
      <c r="AM263" s="276"/>
      <c r="AN263" s="276"/>
    </row>
    <row r="264" spans="1:40" ht="20.25">
      <c r="A264" s="445"/>
      <c r="B264" s="455"/>
      <c r="C264" s="455"/>
      <c r="D264" s="456"/>
      <c r="E264" s="457"/>
      <c r="F264" s="458"/>
      <c r="G264" s="458"/>
      <c r="H264" s="459"/>
      <c r="I264" s="459"/>
      <c r="J264" s="458"/>
      <c r="K264" s="1085"/>
      <c r="L264" s="486"/>
      <c r="M264" s="355"/>
      <c r="N264" s="343"/>
      <c r="O264" s="298"/>
      <c r="P264" s="298"/>
      <c r="Q264" s="298"/>
      <c r="R264" s="298"/>
      <c r="S264" s="298"/>
      <c r="T264" s="298"/>
      <c r="U264" s="367"/>
      <c r="V264" s="355"/>
      <c r="W264" s="325"/>
      <c r="X264" s="297"/>
      <c r="Y264" s="297"/>
      <c r="Z264" s="298"/>
      <c r="AA264" s="298"/>
      <c r="AB264" s="298"/>
      <c r="AC264" s="297"/>
      <c r="AD264" s="375"/>
      <c r="AE264" s="355"/>
      <c r="AF264" s="376">
        <f t="shared" si="145"/>
        <v>0</v>
      </c>
      <c r="AG264" s="500"/>
      <c r="AH264" s="516"/>
      <c r="AI264" s="391">
        <f t="shared" si="146"/>
        <v>0</v>
      </c>
      <c r="AJ264" s="412"/>
      <c r="AK264" s="413">
        <f t="shared" si="148"/>
        <v>0</v>
      </c>
      <c r="AL264" s="234"/>
      <c r="AM264" s="234"/>
      <c r="AN264" s="234"/>
    </row>
    <row r="265" spans="1:40" ht="21" thickBot="1">
      <c r="A265" s="460"/>
      <c r="B265" s="461"/>
      <c r="C265" s="461"/>
      <c r="D265" s="462"/>
      <c r="E265" s="325"/>
      <c r="F265" s="297"/>
      <c r="G265" s="297"/>
      <c r="H265" s="298"/>
      <c r="I265" s="298"/>
      <c r="J265" s="297"/>
      <c r="K265" s="1086"/>
      <c r="L265" s="344"/>
      <c r="M265" s="355"/>
      <c r="N265" s="343"/>
      <c r="O265" s="298"/>
      <c r="P265" s="298"/>
      <c r="Q265" s="298"/>
      <c r="R265" s="298"/>
      <c r="S265" s="298"/>
      <c r="T265" s="298"/>
      <c r="U265" s="367"/>
      <c r="V265" s="355"/>
      <c r="W265" s="325"/>
      <c r="X265" s="297"/>
      <c r="Y265" s="297"/>
      <c r="Z265" s="298"/>
      <c r="AA265" s="298"/>
      <c r="AB265" s="298"/>
      <c r="AC265" s="297"/>
      <c r="AD265" s="375"/>
      <c r="AE265" s="355"/>
      <c r="AF265" s="377">
        <f t="shared" si="145"/>
        <v>0</v>
      </c>
      <c r="AG265" s="501"/>
      <c r="AH265" s="516"/>
      <c r="AI265" s="507">
        <f t="shared" si="146"/>
        <v>0</v>
      </c>
      <c r="AJ265" s="412"/>
      <c r="AK265" s="508">
        <f t="shared" si="148"/>
        <v>0</v>
      </c>
      <c r="AL265" s="276"/>
      <c r="AM265" s="276"/>
      <c r="AN265" s="276"/>
    </row>
    <row r="266" spans="1:40" ht="21" thickBot="1">
      <c r="A266" s="466"/>
      <c r="B266" s="467"/>
      <c r="C266" s="467"/>
      <c r="D266" s="1096"/>
      <c r="E266" s="439">
        <f>SUM(E260:E265)</f>
        <v>0</v>
      </c>
      <c r="F266" s="439">
        <f t="shared" ref="F266:AK266" si="149">SUM(F260:F265)</f>
        <v>0</v>
      </c>
      <c r="G266" s="439">
        <f t="shared" si="149"/>
        <v>0</v>
      </c>
      <c r="H266" s="439">
        <f t="shared" si="149"/>
        <v>0</v>
      </c>
      <c r="I266" s="439">
        <f t="shared" si="149"/>
        <v>0</v>
      </c>
      <c r="J266" s="439">
        <f t="shared" si="149"/>
        <v>0</v>
      </c>
      <c r="K266" s="439">
        <f t="shared" si="149"/>
        <v>0</v>
      </c>
      <c r="L266" s="439">
        <f t="shared" si="149"/>
        <v>0</v>
      </c>
      <c r="M266" s="439"/>
      <c r="N266" s="439">
        <f t="shared" si="149"/>
        <v>0</v>
      </c>
      <c r="O266" s="439">
        <f t="shared" si="149"/>
        <v>0</v>
      </c>
      <c r="P266" s="439">
        <f t="shared" si="149"/>
        <v>0</v>
      </c>
      <c r="Q266" s="439">
        <f t="shared" si="149"/>
        <v>0</v>
      </c>
      <c r="R266" s="439">
        <f t="shared" si="149"/>
        <v>0</v>
      </c>
      <c r="S266" s="439">
        <f t="shared" si="149"/>
        <v>0</v>
      </c>
      <c r="T266" s="439">
        <f t="shared" si="149"/>
        <v>0</v>
      </c>
      <c r="U266" s="439">
        <f t="shared" si="149"/>
        <v>0</v>
      </c>
      <c r="V266" s="439"/>
      <c r="W266" s="439">
        <f t="shared" si="149"/>
        <v>0</v>
      </c>
      <c r="X266" s="439">
        <f t="shared" si="149"/>
        <v>0</v>
      </c>
      <c r="Y266" s="439">
        <f t="shared" si="149"/>
        <v>0</v>
      </c>
      <c r="Z266" s="439">
        <f t="shared" si="149"/>
        <v>0</v>
      </c>
      <c r="AA266" s="439">
        <f t="shared" si="149"/>
        <v>0</v>
      </c>
      <c r="AB266" s="439">
        <f t="shared" si="149"/>
        <v>0</v>
      </c>
      <c r="AC266" s="439">
        <f t="shared" si="149"/>
        <v>0</v>
      </c>
      <c r="AD266" s="439">
        <f t="shared" si="149"/>
        <v>0</v>
      </c>
      <c r="AE266" s="439"/>
      <c r="AF266" s="439">
        <f t="shared" si="149"/>
        <v>0</v>
      </c>
      <c r="AG266" s="439">
        <f t="shared" si="149"/>
        <v>0</v>
      </c>
      <c r="AH266" s="439">
        <f t="shared" si="149"/>
        <v>0</v>
      </c>
      <c r="AI266" s="439">
        <f t="shared" si="149"/>
        <v>0</v>
      </c>
      <c r="AJ266" s="439">
        <f t="shared" si="149"/>
        <v>0</v>
      </c>
      <c r="AK266" s="439">
        <f t="shared" si="149"/>
        <v>0</v>
      </c>
      <c r="AL266" s="234"/>
      <c r="AM266" s="234"/>
      <c r="AN266" s="234"/>
    </row>
    <row r="267" spans="1:40" ht="19.5" thickBot="1">
      <c r="A267" s="425"/>
      <c r="B267" s="426"/>
      <c r="C267" s="426"/>
      <c r="D267" s="427"/>
      <c r="E267" s="428"/>
      <c r="F267" s="428"/>
      <c r="G267" s="428"/>
      <c r="H267" s="428"/>
      <c r="I267" s="428"/>
      <c r="J267" s="428"/>
      <c r="K267" s="428"/>
      <c r="L267" s="428"/>
      <c r="M267" s="478"/>
      <c r="N267" s="479"/>
      <c r="O267" s="479"/>
      <c r="P267" s="479"/>
      <c r="Q267" s="479"/>
      <c r="R267" s="479"/>
      <c r="S267" s="479"/>
      <c r="T267" s="479"/>
      <c r="U267" s="479"/>
      <c r="V267" s="478"/>
      <c r="W267" s="479"/>
      <c r="X267" s="479"/>
      <c r="Y267" s="479"/>
      <c r="Z267" s="479"/>
      <c r="AA267" s="479"/>
      <c r="AB267" s="479"/>
      <c r="AC267" s="479"/>
      <c r="AD267" s="479"/>
      <c r="AE267" s="478"/>
      <c r="AF267" s="479"/>
      <c r="AG267" s="479"/>
      <c r="AH267" s="479"/>
      <c r="AI267" s="479"/>
      <c r="AJ267" s="479"/>
      <c r="AK267" s="506"/>
      <c r="AL267" s="1063"/>
      <c r="AM267" s="1063"/>
      <c r="AN267" s="1063"/>
    </row>
    <row r="268" spans="1:40" ht="18.75" thickBot="1">
      <c r="A268" s="441" t="s">
        <v>143</v>
      </c>
      <c r="B268" s="287" t="s">
        <v>68</v>
      </c>
      <c r="C268" s="287" t="s">
        <v>69</v>
      </c>
      <c r="D268" s="1073" t="s">
        <v>70</v>
      </c>
      <c r="E268" s="743" t="s">
        <v>96</v>
      </c>
      <c r="F268" s="744" t="s">
        <v>124</v>
      </c>
      <c r="G268" s="744" t="s">
        <v>228</v>
      </c>
      <c r="H268" s="744" t="s">
        <v>149</v>
      </c>
      <c r="I268" s="744" t="s">
        <v>470</v>
      </c>
      <c r="J268" s="744" t="s">
        <v>92</v>
      </c>
      <c r="K268" s="50" t="s">
        <v>479</v>
      </c>
      <c r="L268" s="783" t="s">
        <v>123</v>
      </c>
      <c r="M268" s="1089"/>
      <c r="N268" s="80" t="s">
        <v>71</v>
      </c>
      <c r="O268" s="49" t="s">
        <v>53</v>
      </c>
      <c r="P268" s="49" t="s">
        <v>118</v>
      </c>
      <c r="Q268" s="49" t="s">
        <v>74</v>
      </c>
      <c r="R268" s="49" t="s">
        <v>75</v>
      </c>
      <c r="S268" s="49" t="s">
        <v>94</v>
      </c>
      <c r="T268" s="126" t="s">
        <v>77</v>
      </c>
      <c r="U268" s="171" t="s">
        <v>101</v>
      </c>
      <c r="V268" s="79"/>
      <c r="W268" s="80" t="s">
        <v>482</v>
      </c>
      <c r="X268" s="744" t="s">
        <v>96</v>
      </c>
      <c r="Y268" s="744" t="s">
        <v>118</v>
      </c>
      <c r="Z268" s="744" t="s">
        <v>94</v>
      </c>
      <c r="AA268" s="744" t="s">
        <v>75</v>
      </c>
      <c r="AB268" s="744" t="s">
        <v>53</v>
      </c>
      <c r="AC268" s="50" t="s">
        <v>230</v>
      </c>
      <c r="AD268" s="805" t="s">
        <v>95</v>
      </c>
      <c r="AE268" s="79"/>
      <c r="AF268" s="371" t="s">
        <v>172</v>
      </c>
      <c r="AG268" s="372" t="s">
        <v>80</v>
      </c>
      <c r="AH268" s="385"/>
      <c r="AI268" s="386" t="s">
        <v>106</v>
      </c>
      <c r="AJ268" s="385" t="s">
        <v>173</v>
      </c>
      <c r="AK268" s="371" t="s">
        <v>108</v>
      </c>
      <c r="AL268" s="1063"/>
      <c r="AM268" s="1063"/>
      <c r="AN268" s="1063"/>
    </row>
    <row r="269" spans="1:40" ht="20.25">
      <c r="A269" s="471" t="s">
        <v>181</v>
      </c>
      <c r="B269" s="472"/>
      <c r="C269" s="472"/>
      <c r="D269" s="1097"/>
      <c r="E269" s="1098"/>
      <c r="F269" s="1099"/>
      <c r="G269" s="1099"/>
      <c r="H269" s="1100"/>
      <c r="I269" s="1100"/>
      <c r="J269" s="1099"/>
      <c r="K269" s="1105"/>
      <c r="L269" s="1106"/>
      <c r="M269" s="490"/>
      <c r="N269" s="491"/>
      <c r="O269" s="476"/>
      <c r="P269" s="476"/>
      <c r="Q269" s="476"/>
      <c r="R269" s="476"/>
      <c r="S269" s="476"/>
      <c r="T269" s="476"/>
      <c r="U269" s="493"/>
      <c r="V269" s="490"/>
      <c r="W269" s="474"/>
      <c r="X269" s="475"/>
      <c r="Y269" s="475"/>
      <c r="Z269" s="476"/>
      <c r="AA269" s="476"/>
      <c r="AB269" s="476"/>
      <c r="AC269" s="475"/>
      <c r="AD269" s="503"/>
      <c r="AE269" s="490"/>
      <c r="AF269" s="504">
        <f t="shared" ref="AF269:AF273" si="150">SUM(E269:AD269)</f>
        <v>0</v>
      </c>
      <c r="AG269" s="505"/>
      <c r="AH269" s="518"/>
      <c r="AI269" s="519">
        <f t="shared" ref="AI269:AI273" si="151">AF269+AG269</f>
        <v>0</v>
      </c>
      <c r="AJ269" s="520"/>
      <c r="AK269" s="521">
        <f>AI269+AJ269</f>
        <v>0</v>
      </c>
      <c r="AL269" s="1063"/>
      <c r="AM269" s="1063"/>
      <c r="AN269" s="1063"/>
    </row>
    <row r="270" spans="1:40" ht="20.25">
      <c r="A270" s="445" t="s">
        <v>182</v>
      </c>
      <c r="B270" s="323"/>
      <c r="C270" s="323"/>
      <c r="D270" s="324"/>
      <c r="E270" s="457"/>
      <c r="F270" s="458"/>
      <c r="G270" s="458"/>
      <c r="H270" s="459"/>
      <c r="I270" s="459"/>
      <c r="J270" s="458"/>
      <c r="K270" s="1085"/>
      <c r="L270" s="1103"/>
      <c r="M270" s="355"/>
      <c r="N270" s="343"/>
      <c r="O270" s="298"/>
      <c r="P270" s="298"/>
      <c r="Q270" s="298"/>
      <c r="R270" s="298"/>
      <c r="S270" s="298"/>
      <c r="T270" s="298"/>
      <c r="U270" s="367"/>
      <c r="V270" s="355"/>
      <c r="W270" s="325"/>
      <c r="X270" s="297"/>
      <c r="Y270" s="297"/>
      <c r="Z270" s="298"/>
      <c r="AA270" s="298"/>
      <c r="AB270" s="298"/>
      <c r="AC270" s="297"/>
      <c r="AD270" s="375"/>
      <c r="AE270" s="355"/>
      <c r="AF270" s="376">
        <f t="shared" si="150"/>
        <v>0</v>
      </c>
      <c r="AG270" s="377"/>
      <c r="AH270" s="390"/>
      <c r="AI270" s="391">
        <f t="shared" si="151"/>
        <v>0</v>
      </c>
      <c r="AJ270" s="412"/>
      <c r="AK270" s="413">
        <f t="shared" ref="AK270:AK273" si="152">AI270+AJ270</f>
        <v>0</v>
      </c>
      <c r="AL270" s="1063"/>
      <c r="AM270" s="1063"/>
      <c r="AN270" s="1063"/>
    </row>
    <row r="271" spans="1:40" ht="20.25">
      <c r="A271" s="445"/>
      <c r="B271" s="323"/>
      <c r="C271" s="323"/>
      <c r="D271" s="1078"/>
      <c r="E271" s="457"/>
      <c r="F271" s="458"/>
      <c r="G271" s="458"/>
      <c r="H271" s="459"/>
      <c r="I271" s="459"/>
      <c r="J271" s="458"/>
      <c r="K271" s="1085"/>
      <c r="L271" s="486"/>
      <c r="M271" s="355"/>
      <c r="N271" s="343"/>
      <c r="O271" s="298"/>
      <c r="P271" s="298"/>
      <c r="Q271" s="298"/>
      <c r="R271" s="298"/>
      <c r="S271" s="298"/>
      <c r="T271" s="298"/>
      <c r="U271" s="367"/>
      <c r="V271" s="355"/>
      <c r="W271" s="325"/>
      <c r="X271" s="297"/>
      <c r="Y271" s="297"/>
      <c r="Z271" s="298"/>
      <c r="AA271" s="298"/>
      <c r="AB271" s="298"/>
      <c r="AC271" s="297"/>
      <c r="AD271" s="375"/>
      <c r="AE271" s="355"/>
      <c r="AF271" s="376">
        <f t="shared" si="150"/>
        <v>0</v>
      </c>
      <c r="AG271" s="377"/>
      <c r="AH271" s="390"/>
      <c r="AI271" s="391">
        <f t="shared" si="151"/>
        <v>0</v>
      </c>
      <c r="AJ271" s="412"/>
      <c r="AK271" s="413">
        <f t="shared" si="152"/>
        <v>0</v>
      </c>
      <c r="AL271" s="1063"/>
      <c r="AM271" s="1063"/>
      <c r="AN271" s="1063"/>
    </row>
    <row r="272" spans="1:40" ht="20.25">
      <c r="A272" s="445"/>
      <c r="B272" s="323"/>
      <c r="C272" s="323"/>
      <c r="D272" s="1078"/>
      <c r="E272" s="457"/>
      <c r="F272" s="458"/>
      <c r="G272" s="458"/>
      <c r="H272" s="459"/>
      <c r="I272" s="459"/>
      <c r="J272" s="458"/>
      <c r="K272" s="1085"/>
      <c r="L272" s="486"/>
      <c r="M272" s="355"/>
      <c r="N272" s="343"/>
      <c r="O272" s="298"/>
      <c r="P272" s="298"/>
      <c r="Q272" s="298"/>
      <c r="R272" s="298"/>
      <c r="S272" s="298"/>
      <c r="T272" s="298"/>
      <c r="U272" s="367"/>
      <c r="V272" s="355"/>
      <c r="W272" s="325"/>
      <c r="X272" s="297"/>
      <c r="Y272" s="297"/>
      <c r="Z272" s="298"/>
      <c r="AA272" s="298"/>
      <c r="AB272" s="298"/>
      <c r="AC272" s="297"/>
      <c r="AD272" s="375"/>
      <c r="AE272" s="355"/>
      <c r="AF272" s="376">
        <f t="shared" si="150"/>
        <v>0</v>
      </c>
      <c r="AG272" s="377"/>
      <c r="AH272" s="390"/>
      <c r="AI272" s="391">
        <f t="shared" si="151"/>
        <v>0</v>
      </c>
      <c r="AJ272" s="412"/>
      <c r="AK272" s="413">
        <f t="shared" si="152"/>
        <v>0</v>
      </c>
      <c r="AL272" s="1063"/>
      <c r="AM272" s="1063"/>
      <c r="AN272" s="1063"/>
    </row>
    <row r="273" spans="1:40" ht="21" thickBot="1">
      <c r="A273" s="322"/>
      <c r="B273" s="323"/>
      <c r="C273" s="323"/>
      <c r="D273" s="1078"/>
      <c r="E273" s="325"/>
      <c r="F273" s="297"/>
      <c r="G273" s="297"/>
      <c r="H273" s="298"/>
      <c r="I273" s="298"/>
      <c r="J273" s="297"/>
      <c r="K273" s="1086"/>
      <c r="L273" s="344"/>
      <c r="M273" s="355"/>
      <c r="N273" s="343"/>
      <c r="O273" s="298"/>
      <c r="P273" s="298"/>
      <c r="Q273" s="298"/>
      <c r="R273" s="298"/>
      <c r="S273" s="298"/>
      <c r="T273" s="298"/>
      <c r="U273" s="367"/>
      <c r="V273" s="355"/>
      <c r="W273" s="325"/>
      <c r="X273" s="297"/>
      <c r="Y273" s="297"/>
      <c r="Z273" s="298"/>
      <c r="AA273" s="298"/>
      <c r="AB273" s="298"/>
      <c r="AC273" s="297"/>
      <c r="AD273" s="375"/>
      <c r="AE273" s="355"/>
      <c r="AF273" s="377">
        <f t="shared" si="150"/>
        <v>0</v>
      </c>
      <c r="AG273" s="377"/>
      <c r="AH273" s="390"/>
      <c r="AI273" s="507">
        <f t="shared" si="151"/>
        <v>0</v>
      </c>
      <c r="AJ273" s="412"/>
      <c r="AK273" s="508">
        <f t="shared" si="152"/>
        <v>0</v>
      </c>
      <c r="AL273" s="1063"/>
      <c r="AM273" s="1063"/>
      <c r="AN273" s="1063"/>
    </row>
    <row r="274" spans="1:40" ht="21" thickBot="1">
      <c r="A274" s="436"/>
      <c r="B274" s="437"/>
      <c r="C274" s="437"/>
      <c r="D274" s="1093"/>
      <c r="E274" s="439">
        <f>SUM(E269:E273)</f>
        <v>0</v>
      </c>
      <c r="F274" s="440">
        <f t="shared" ref="F274:L274" si="153">SUM(F269:F273)</f>
        <v>0</v>
      </c>
      <c r="G274" s="440">
        <f t="shared" si="153"/>
        <v>0</v>
      </c>
      <c r="H274" s="440">
        <f t="shared" si="153"/>
        <v>0</v>
      </c>
      <c r="I274" s="440">
        <f t="shared" si="153"/>
        <v>0</v>
      </c>
      <c r="J274" s="440">
        <f t="shared" si="153"/>
        <v>0</v>
      </c>
      <c r="K274" s="1104">
        <f t="shared" ref="K274" si="154">SUM(K269:K273)</f>
        <v>0</v>
      </c>
      <c r="L274" s="481">
        <f t="shared" si="153"/>
        <v>0</v>
      </c>
      <c r="M274" s="482"/>
      <c r="N274" s="439">
        <f t="shared" ref="N274:U274" si="155">SUM(N269:N273)</f>
        <v>0</v>
      </c>
      <c r="O274" s="440">
        <f t="shared" si="155"/>
        <v>0</v>
      </c>
      <c r="P274" s="440">
        <f t="shared" si="155"/>
        <v>0</v>
      </c>
      <c r="Q274" s="440">
        <f t="shared" si="155"/>
        <v>0</v>
      </c>
      <c r="R274" s="440">
        <f t="shared" si="155"/>
        <v>0</v>
      </c>
      <c r="S274" s="440">
        <f t="shared" si="155"/>
        <v>0</v>
      </c>
      <c r="T274" s="440">
        <f t="shared" si="155"/>
        <v>0</v>
      </c>
      <c r="U274" s="481">
        <f t="shared" si="155"/>
        <v>0</v>
      </c>
      <c r="V274" s="482"/>
      <c r="W274" s="439">
        <f t="shared" ref="W274:AD274" si="156">SUM(W269:W273)</f>
        <v>0</v>
      </c>
      <c r="X274" s="440">
        <f t="shared" si="156"/>
        <v>0</v>
      </c>
      <c r="Y274" s="440">
        <f t="shared" si="156"/>
        <v>0</v>
      </c>
      <c r="Z274" s="440">
        <f t="shared" si="156"/>
        <v>0</v>
      </c>
      <c r="AA274" s="440">
        <f t="shared" si="156"/>
        <v>0</v>
      </c>
      <c r="AB274" s="440">
        <f t="shared" si="156"/>
        <v>0</v>
      </c>
      <c r="AC274" s="440">
        <f t="shared" si="156"/>
        <v>0</v>
      </c>
      <c r="AD274" s="481">
        <f t="shared" si="156"/>
        <v>0</v>
      </c>
      <c r="AE274" s="482"/>
      <c r="AF274" s="494">
        <f>SUM(AF269:AF273)</f>
        <v>0</v>
      </c>
      <c r="AG274" s="494">
        <f>SUM(AG269:AG273)</f>
        <v>0</v>
      </c>
      <c r="AH274" s="509"/>
      <c r="AI274" s="514">
        <f>SUM(AI269:AI273)</f>
        <v>0</v>
      </c>
      <c r="AJ274" s="494">
        <f>SUM(AJ269:AJ273)</f>
        <v>0</v>
      </c>
      <c r="AK274" s="509">
        <f>SUM(AK269:AK273)</f>
        <v>0</v>
      </c>
      <c r="AL274" s="1063"/>
      <c r="AM274" s="1063"/>
      <c r="AN274" s="1063"/>
    </row>
    <row r="275" spans="1:40" ht="19.5" thickBot="1">
      <c r="A275" s="522"/>
      <c r="B275" s="523"/>
      <c r="C275" s="523"/>
      <c r="D275" s="524"/>
      <c r="E275" s="525"/>
      <c r="F275" s="525"/>
      <c r="G275" s="525"/>
      <c r="H275" s="525"/>
      <c r="I275" s="525"/>
      <c r="J275" s="525"/>
      <c r="K275" s="525"/>
      <c r="L275" s="525"/>
      <c r="M275" s="572"/>
      <c r="N275" s="573"/>
      <c r="O275" s="573"/>
      <c r="P275" s="573"/>
      <c r="Q275" s="573"/>
      <c r="R275" s="573"/>
      <c r="S275" s="573"/>
      <c r="T275" s="573"/>
      <c r="U275" s="573"/>
      <c r="V275" s="572"/>
      <c r="W275" s="573"/>
      <c r="X275" s="573"/>
      <c r="Y275" s="573"/>
      <c r="Z275" s="573"/>
      <c r="AA275" s="573"/>
      <c r="AB275" s="573"/>
      <c r="AC275" s="573"/>
      <c r="AD275" s="573"/>
      <c r="AE275" s="572"/>
      <c r="AF275" s="573"/>
      <c r="AG275" s="573"/>
      <c r="AH275" s="599"/>
      <c r="AI275" s="573"/>
      <c r="AJ275" s="573"/>
      <c r="AK275" s="600"/>
      <c r="AL275" s="1063"/>
      <c r="AM275" s="1063"/>
      <c r="AN275" s="1063"/>
    </row>
    <row r="276" spans="1:40" ht="21" thickBot="1">
      <c r="A276" s="526" t="s">
        <v>145</v>
      </c>
      <c r="B276" s="527"/>
      <c r="C276" s="527"/>
      <c r="D276" s="528"/>
      <c r="E276" s="665">
        <f t="shared" ref="E276:L276" si="157">E4+E35+E71+E107+E140+E208+E250+E257+E266+E274+E173+E243</f>
        <v>0</v>
      </c>
      <c r="F276" s="665">
        <f t="shared" si="157"/>
        <v>0</v>
      </c>
      <c r="G276" s="665">
        <f t="shared" si="157"/>
        <v>0</v>
      </c>
      <c r="H276" s="665">
        <f t="shared" si="157"/>
        <v>0</v>
      </c>
      <c r="I276" s="665">
        <f t="shared" si="157"/>
        <v>20</v>
      </c>
      <c r="J276" s="665">
        <f t="shared" si="157"/>
        <v>2020</v>
      </c>
      <c r="K276" s="665">
        <f t="shared" si="157"/>
        <v>7700</v>
      </c>
      <c r="L276" s="665">
        <f t="shared" si="157"/>
        <v>240</v>
      </c>
      <c r="M276" s="665"/>
      <c r="N276" s="529">
        <f>N4+N35+N71+N107+N140+N208+N250+N257+N266+N274+N173+N243</f>
        <v>0</v>
      </c>
      <c r="O276" s="529">
        <f>O4+O35+O71+O107+O140+O208+O250+O257+O266+O274+O173+Q243</f>
        <v>1300</v>
      </c>
      <c r="P276" s="529">
        <f t="shared" ref="P276:U276" si="158">P4+P35+P71+P107+P140+P208+P250+P257+P266+P274+P173+P243</f>
        <v>0</v>
      </c>
      <c r="Q276" s="529">
        <f t="shared" si="158"/>
        <v>0</v>
      </c>
      <c r="R276" s="529">
        <f t="shared" si="158"/>
        <v>800</v>
      </c>
      <c r="S276" s="529">
        <f t="shared" si="158"/>
        <v>1880</v>
      </c>
      <c r="T276" s="529">
        <f t="shared" si="158"/>
        <v>0</v>
      </c>
      <c r="U276" s="693">
        <f t="shared" si="158"/>
        <v>0</v>
      </c>
      <c r="V276" s="665"/>
      <c r="W276" s="529">
        <f t="shared" ref="W276:AD276" si="159">W4+W35+W71+W107+W140+W208+W250+W257+W266+W274+W173+W243</f>
        <v>0</v>
      </c>
      <c r="X276" s="529">
        <f t="shared" si="159"/>
        <v>0</v>
      </c>
      <c r="Y276" s="529">
        <f t="shared" si="159"/>
        <v>0</v>
      </c>
      <c r="Z276" s="529">
        <f t="shared" si="159"/>
        <v>0</v>
      </c>
      <c r="AA276" s="529">
        <f t="shared" si="159"/>
        <v>0</v>
      </c>
      <c r="AB276" s="529">
        <f t="shared" si="159"/>
        <v>0</v>
      </c>
      <c r="AC276" s="529">
        <f t="shared" si="159"/>
        <v>0</v>
      </c>
      <c r="AD276" s="529">
        <f t="shared" si="159"/>
        <v>0</v>
      </c>
      <c r="AE276" s="529"/>
      <c r="AF276" s="529">
        <f t="shared" ref="AF276:AK276" si="160">AF4+AF35+AF71+AF107+AF140+AF208+AF250+AF257+AF266+AF274+AF173+AF243</f>
        <v>17080</v>
      </c>
      <c r="AG276" s="529">
        <f t="shared" si="160"/>
        <v>26</v>
      </c>
      <c r="AH276" s="529">
        <f t="shared" si="160"/>
        <v>0</v>
      </c>
      <c r="AI276" s="529">
        <f t="shared" si="160"/>
        <v>17106</v>
      </c>
      <c r="AJ276" s="529">
        <f t="shared" si="160"/>
        <v>53</v>
      </c>
      <c r="AK276" s="529">
        <f t="shared" si="160"/>
        <v>17159</v>
      </c>
      <c r="AL276" s="1063"/>
      <c r="AM276" s="1063"/>
      <c r="AN276" s="1063"/>
    </row>
    <row r="277" spans="1:40" ht="21" thickBot="1">
      <c r="A277" s="530" t="s">
        <v>152</v>
      </c>
      <c r="B277" s="531"/>
      <c r="C277" s="531"/>
      <c r="D277" s="532"/>
      <c r="E277" s="529">
        <f>E276/20</f>
        <v>0</v>
      </c>
      <c r="F277" s="639">
        <f t="shared" ref="F277:L277" si="161">F276/20</f>
        <v>0</v>
      </c>
      <c r="G277" s="639">
        <f t="shared" si="161"/>
        <v>0</v>
      </c>
      <c r="H277" s="639">
        <f t="shared" si="161"/>
        <v>0</v>
      </c>
      <c r="I277" s="639">
        <f t="shared" si="161"/>
        <v>1</v>
      </c>
      <c r="J277" s="639">
        <f t="shared" si="161"/>
        <v>101</v>
      </c>
      <c r="K277" s="1122">
        <f t="shared" si="161"/>
        <v>385</v>
      </c>
      <c r="L277" s="1123">
        <f t="shared" si="161"/>
        <v>12</v>
      </c>
      <c r="M277" s="575"/>
      <c r="N277" s="687">
        <f>N5+N36+N72+N140+N251+N258+N267+N275</f>
        <v>0</v>
      </c>
      <c r="O277" s="577">
        <f t="shared" ref="O277:U277" si="162">O276/20</f>
        <v>65</v>
      </c>
      <c r="P277" s="577">
        <f t="shared" si="162"/>
        <v>0</v>
      </c>
      <c r="Q277" s="577">
        <f t="shared" si="162"/>
        <v>0</v>
      </c>
      <c r="R277" s="577">
        <f t="shared" si="162"/>
        <v>40</v>
      </c>
      <c r="S277" s="577">
        <f t="shared" si="162"/>
        <v>94</v>
      </c>
      <c r="T277" s="577">
        <f t="shared" si="162"/>
        <v>0</v>
      </c>
      <c r="U277" s="586">
        <f t="shared" si="162"/>
        <v>0</v>
      </c>
      <c r="V277" s="575"/>
      <c r="W277" s="576">
        <f>W276/20</f>
        <v>0</v>
      </c>
      <c r="X277" s="577">
        <f t="shared" ref="X277:AB277" si="163">X276/20</f>
        <v>0</v>
      </c>
      <c r="Y277" s="577">
        <f t="shared" si="163"/>
        <v>0</v>
      </c>
      <c r="Z277" s="577">
        <f t="shared" si="163"/>
        <v>0</v>
      </c>
      <c r="AA277" s="577">
        <f t="shared" si="163"/>
        <v>0</v>
      </c>
      <c r="AB277" s="577">
        <f t="shared" si="163"/>
        <v>0</v>
      </c>
      <c r="AC277" s="577">
        <f t="shared" ref="AC277:AK277" si="164">AC276/20</f>
        <v>0</v>
      </c>
      <c r="AD277" s="586">
        <f t="shared" si="164"/>
        <v>0</v>
      </c>
      <c r="AE277" s="586"/>
      <c r="AF277" s="586">
        <f t="shared" si="164"/>
        <v>854</v>
      </c>
      <c r="AG277" s="586">
        <f t="shared" si="164"/>
        <v>1.3</v>
      </c>
      <c r="AH277" s="586">
        <f t="shared" si="164"/>
        <v>0</v>
      </c>
      <c r="AI277" s="586">
        <f t="shared" si="164"/>
        <v>855.3</v>
      </c>
      <c r="AJ277" s="586">
        <f t="shared" si="164"/>
        <v>2.65</v>
      </c>
      <c r="AK277" s="601">
        <f t="shared" si="164"/>
        <v>857.95</v>
      </c>
      <c r="AL277" s="1063"/>
      <c r="AM277" s="1063"/>
      <c r="AN277" s="1063"/>
    </row>
    <row r="278" spans="1:40" ht="24" thickBot="1">
      <c r="A278" s="3755" t="s">
        <v>147</v>
      </c>
      <c r="B278" s="3755"/>
      <c r="C278" s="3755"/>
      <c r="D278" s="3755"/>
      <c r="E278" s="3756"/>
      <c r="F278" s="3756"/>
      <c r="G278" s="3756"/>
      <c r="H278" s="3756"/>
      <c r="I278" s="3756"/>
      <c r="J278" s="3756"/>
      <c r="K278" s="3756"/>
      <c r="L278" s="3756"/>
      <c r="M278" s="3755"/>
      <c r="N278" s="3755"/>
      <c r="O278" s="3755"/>
      <c r="P278" s="3755"/>
      <c r="Q278" s="3755"/>
      <c r="R278" s="3755"/>
      <c r="S278" s="3755"/>
      <c r="T278" s="3755"/>
      <c r="U278" s="3755"/>
      <c r="V278" s="3755"/>
      <c r="W278" s="3755"/>
      <c r="X278" s="3755"/>
      <c r="Y278" s="3755"/>
      <c r="Z278" s="3755"/>
      <c r="AA278" s="3755"/>
      <c r="AB278" s="3755"/>
      <c r="AC278" s="3755"/>
      <c r="AD278" s="3755"/>
      <c r="AE278" s="3755"/>
      <c r="AF278" s="3755"/>
      <c r="AG278" s="3755"/>
      <c r="AH278" s="3755"/>
      <c r="AI278" s="3755"/>
      <c r="AJ278" s="3755"/>
      <c r="AK278" s="3755"/>
      <c r="AL278" s="1063"/>
      <c r="AM278" s="1063"/>
      <c r="AN278" s="1063"/>
    </row>
    <row r="279" spans="1:40" ht="24" thickBot="1">
      <c r="A279" s="3888" t="s">
        <v>4</v>
      </c>
      <c r="B279" s="3889"/>
      <c r="C279" s="3889"/>
      <c r="D279" s="3890"/>
      <c r="E279" s="3891" t="str">
        <f>E2</f>
        <v>101(Chattai)</v>
      </c>
      <c r="F279" s="3892"/>
      <c r="G279" s="3892"/>
      <c r="H279" s="3892"/>
      <c r="I279" s="3892"/>
      <c r="J279" s="3892"/>
      <c r="K279" s="3892"/>
      <c r="L279" s="3904"/>
      <c r="M279" s="336"/>
      <c r="N279" s="3893" t="str">
        <f>N2</f>
        <v>102(Gold-P)</v>
      </c>
      <c r="O279" s="3894"/>
      <c r="P279" s="3894"/>
      <c r="Q279" s="3894"/>
      <c r="R279" s="3894"/>
      <c r="S279" s="3894"/>
      <c r="T279" s="3894"/>
      <c r="U279" s="3895"/>
      <c r="V279" s="364"/>
      <c r="W279" s="3893" t="str">
        <f>W2</f>
        <v>103(Barfi)</v>
      </c>
      <c r="X279" s="3894"/>
      <c r="Y279" s="3894"/>
      <c r="Z279" s="3894"/>
      <c r="AA279" s="3894"/>
      <c r="AB279" s="3894"/>
      <c r="AC279" s="3894"/>
      <c r="AD279" s="3895"/>
      <c r="AE279" s="364"/>
      <c r="AF279" s="3893"/>
      <c r="AG279" s="3894"/>
      <c r="AH279" s="3894"/>
      <c r="AI279" s="3894"/>
      <c r="AJ279" s="3894"/>
      <c r="AK279" s="3895"/>
      <c r="AL279" s="1063"/>
      <c r="AM279" s="1063"/>
      <c r="AN279" s="1063"/>
    </row>
    <row r="280" spans="1:40" ht="30.75" thickBot="1">
      <c r="A280" s="535" t="s">
        <v>148</v>
      </c>
      <c r="B280" s="749" t="s">
        <v>68</v>
      </c>
      <c r="C280" s="536" t="s">
        <v>69</v>
      </c>
      <c r="D280" s="536" t="s">
        <v>70</v>
      </c>
      <c r="E280" s="743" t="s">
        <v>96</v>
      </c>
      <c r="F280" s="744" t="s">
        <v>124</v>
      </c>
      <c r="G280" s="744" t="s">
        <v>228</v>
      </c>
      <c r="H280" s="744" t="s">
        <v>149</v>
      </c>
      <c r="I280" s="744" t="s">
        <v>470</v>
      </c>
      <c r="J280" s="744" t="s">
        <v>92</v>
      </c>
      <c r="K280" s="50" t="s">
        <v>479</v>
      </c>
      <c r="L280" s="783" t="s">
        <v>123</v>
      </c>
      <c r="M280" s="578"/>
      <c r="N280" s="80" t="s">
        <v>71</v>
      </c>
      <c r="O280" s="49" t="s">
        <v>53</v>
      </c>
      <c r="P280" s="49" t="s">
        <v>118</v>
      </c>
      <c r="Q280" s="49" t="s">
        <v>74</v>
      </c>
      <c r="R280" s="49" t="s">
        <v>75</v>
      </c>
      <c r="S280" s="49" t="s">
        <v>94</v>
      </c>
      <c r="T280" s="126" t="s">
        <v>77</v>
      </c>
      <c r="U280" s="171" t="s">
        <v>101</v>
      </c>
      <c r="V280" s="578"/>
      <c r="W280" s="764" t="str">
        <f>W3</f>
        <v>T.W</v>
      </c>
      <c r="X280" s="765" t="s">
        <v>96</v>
      </c>
      <c r="Y280" s="765" t="str">
        <f>Y3</f>
        <v>Silver</v>
      </c>
      <c r="Z280" s="49" t="s">
        <v>229</v>
      </c>
      <c r="AA280" s="765" t="str">
        <f>AA3</f>
        <v>M.Bz</v>
      </c>
      <c r="AB280" s="765" t="str">
        <f>AB3</f>
        <v>Brown</v>
      </c>
      <c r="AC280" s="765" t="str">
        <f>AC3</f>
        <v>Red 1</v>
      </c>
      <c r="AD280" s="772" t="str">
        <f>AD3</f>
        <v>Black</v>
      </c>
      <c r="AE280" s="589"/>
      <c r="AF280" s="590" t="s">
        <v>172</v>
      </c>
      <c r="AG280" s="591" t="s">
        <v>80</v>
      </c>
      <c r="AH280" s="602" t="s">
        <v>150</v>
      </c>
      <c r="AI280" s="603" t="s">
        <v>106</v>
      </c>
      <c r="AJ280" s="602" t="s">
        <v>173</v>
      </c>
      <c r="AK280" s="604" t="s">
        <v>108</v>
      </c>
      <c r="AL280" s="1063"/>
      <c r="AM280" s="1063"/>
      <c r="AN280" s="1063"/>
    </row>
    <row r="281" spans="1:40" ht="20.25">
      <c r="A281" s="537" t="s">
        <v>620</v>
      </c>
      <c r="B281" s="545"/>
      <c r="C281" s="539"/>
      <c r="D281" s="544">
        <v>46117</v>
      </c>
      <c r="E281" s="556"/>
      <c r="F281" s="557"/>
      <c r="G281" s="557"/>
      <c r="H281" s="558"/>
      <c r="I281" s="558"/>
      <c r="J281" s="557"/>
      <c r="K281" s="558"/>
      <c r="L281" s="583"/>
      <c r="M281" s="584"/>
      <c r="N281" s="585"/>
      <c r="O281" s="558">
        <f>2*20</f>
        <v>40</v>
      </c>
      <c r="P281" s="558"/>
      <c r="Q281" s="558"/>
      <c r="R281" s="558"/>
      <c r="S281" s="558">
        <f>3*20</f>
        <v>60</v>
      </c>
      <c r="T281" s="558"/>
      <c r="U281" s="819"/>
      <c r="V281" s="584"/>
      <c r="W281" s="585"/>
      <c r="X281" s="558"/>
      <c r="Y281" s="558"/>
      <c r="Z281" s="558"/>
      <c r="AA281" s="558"/>
      <c r="AB281" s="558"/>
      <c r="AC281" s="558"/>
      <c r="AD281" s="595"/>
      <c r="AE281" s="584"/>
      <c r="AF281" s="596">
        <f>SUM(E281:AD281)</f>
        <v>100</v>
      </c>
      <c r="AG281" s="597"/>
      <c r="AH281" s="596"/>
      <c r="AI281" s="597">
        <f>AF281+AG281+AH281</f>
        <v>100</v>
      </c>
      <c r="AJ281" s="607"/>
      <c r="AK281" s="606">
        <f>AI281+AJ281</f>
        <v>100</v>
      </c>
      <c r="AL281" s="1063"/>
      <c r="AM281" s="1063"/>
      <c r="AN281" s="1063"/>
    </row>
    <row r="282" spans="1:40" ht="20.25">
      <c r="A282" s="537" t="s">
        <v>622</v>
      </c>
      <c r="B282" s="545"/>
      <c r="C282" s="539"/>
      <c r="D282" s="544">
        <v>46119</v>
      </c>
      <c r="E282" s="556"/>
      <c r="F282" s="557"/>
      <c r="G282" s="557"/>
      <c r="H282" s="558"/>
      <c r="I282" s="558"/>
      <c r="J282" s="557"/>
      <c r="K282" s="558"/>
      <c r="L282" s="583"/>
      <c r="M282" s="584"/>
      <c r="N282" s="585"/>
      <c r="O282" s="558">
        <f>5*20</f>
        <v>100</v>
      </c>
      <c r="P282" s="558"/>
      <c r="Q282" s="558"/>
      <c r="R282" s="558">
        <f>5*20</f>
        <v>100</v>
      </c>
      <c r="S282" s="558"/>
      <c r="T282" s="558"/>
      <c r="U282" s="819"/>
      <c r="V282" s="584"/>
      <c r="W282" s="585"/>
      <c r="X282" s="558"/>
      <c r="Y282" s="558"/>
      <c r="Z282" s="558"/>
      <c r="AA282" s="558"/>
      <c r="AB282" s="558"/>
      <c r="AC282" s="558"/>
      <c r="AD282" s="595"/>
      <c r="AE282" s="584"/>
      <c r="AF282" s="596">
        <f>SUM(E282:AD282)</f>
        <v>200</v>
      </c>
      <c r="AG282" s="597"/>
      <c r="AH282" s="596"/>
      <c r="AI282" s="597">
        <f>AF282+AG282+AH282</f>
        <v>200</v>
      </c>
      <c r="AJ282" s="607"/>
      <c r="AK282" s="606">
        <f>AI282+AJ282</f>
        <v>200</v>
      </c>
    </row>
    <row r="283" spans="1:40" ht="20.25">
      <c r="A283" s="537" t="s">
        <v>625</v>
      </c>
      <c r="B283" s="545"/>
      <c r="C283" s="539"/>
      <c r="D283" s="544">
        <v>46121</v>
      </c>
      <c r="E283" s="332"/>
      <c r="F283" s="333"/>
      <c r="G283" s="333"/>
      <c r="H283" s="334"/>
      <c r="I283" s="334"/>
      <c r="J283" s="333"/>
      <c r="K283" s="334"/>
      <c r="L283" s="798"/>
      <c r="M283" s="361"/>
      <c r="N283" s="362"/>
      <c r="O283" s="334">
        <f>10*20</f>
        <v>200</v>
      </c>
      <c r="P283" s="334"/>
      <c r="Q283" s="334"/>
      <c r="R283" s="334"/>
      <c r="S283" s="334">
        <f>10*20</f>
        <v>200</v>
      </c>
      <c r="T283" s="334"/>
      <c r="U283" s="818"/>
      <c r="V283" s="361"/>
      <c r="W283" s="362"/>
      <c r="X283" s="334"/>
      <c r="Y283" s="334"/>
      <c r="Z283" s="334"/>
      <c r="AA283" s="334"/>
      <c r="AB283" s="334"/>
      <c r="AC283" s="334"/>
      <c r="AD283" s="383"/>
      <c r="AE283" s="361"/>
      <c r="AF283" s="419">
        <f t="shared" ref="AF283:AF309" si="165">SUM(E283:AD283)</f>
        <v>400</v>
      </c>
      <c r="AG283" s="420"/>
      <c r="AH283" s="419"/>
      <c r="AI283" s="420">
        <f>AF283+AG283+AH283</f>
        <v>400</v>
      </c>
      <c r="AJ283" s="421"/>
      <c r="AK283" s="422">
        <f>AI283+AJ283</f>
        <v>400</v>
      </c>
    </row>
    <row r="284" spans="1:40" ht="20.25">
      <c r="A284" s="537" t="s">
        <v>628</v>
      </c>
      <c r="B284" s="545"/>
      <c r="C284" s="539"/>
      <c r="D284" s="544">
        <v>46122</v>
      </c>
      <c r="E284" s="556"/>
      <c r="F284" s="557"/>
      <c r="G284" s="557"/>
      <c r="H284" s="558"/>
      <c r="I284" s="558"/>
      <c r="J284" s="557"/>
      <c r="K284" s="558"/>
      <c r="L284" s="583"/>
      <c r="M284" s="584"/>
      <c r="N284" s="585"/>
      <c r="O284" s="558">
        <f>2*20</f>
        <v>40</v>
      </c>
      <c r="P284" s="558"/>
      <c r="Q284" s="558"/>
      <c r="R284" s="558"/>
      <c r="S284" s="558">
        <f>2*20</f>
        <v>40</v>
      </c>
      <c r="T284" s="558"/>
      <c r="U284" s="819"/>
      <c r="V284" s="584"/>
      <c r="W284" s="585"/>
      <c r="X284" s="558"/>
      <c r="Y284" s="558"/>
      <c r="Z284" s="558"/>
      <c r="AA284" s="558"/>
      <c r="AB284" s="558"/>
      <c r="AC284" s="558"/>
      <c r="AD284" s="595"/>
      <c r="AE284" s="584"/>
      <c r="AF284" s="596">
        <f t="shared" ref="AF284" si="166">SUM(E284:AD284)</f>
        <v>80</v>
      </c>
      <c r="AG284" s="597"/>
      <c r="AH284" s="596"/>
      <c r="AI284" s="597">
        <f t="shared" ref="AI284:AI285" si="167">AF284+AG284+AH284</f>
        <v>80</v>
      </c>
      <c r="AJ284" s="607"/>
      <c r="AK284" s="606">
        <f t="shared" ref="AK284:AK285" si="168">AI284+AJ284</f>
        <v>80</v>
      </c>
      <c r="AL284" s="403"/>
      <c r="AM284" s="403"/>
      <c r="AN284" s="403"/>
    </row>
    <row r="285" spans="1:40" ht="20.25">
      <c r="A285" s="537" t="s">
        <v>635</v>
      </c>
      <c r="B285" s="548"/>
      <c r="C285" s="549"/>
      <c r="D285" s="544">
        <v>46125</v>
      </c>
      <c r="E285" s="829"/>
      <c r="F285" s="741"/>
      <c r="G285" s="741"/>
      <c r="H285" s="582"/>
      <c r="I285" s="582"/>
      <c r="J285" s="741"/>
      <c r="K285" s="582"/>
      <c r="L285" s="832"/>
      <c r="M285" s="830"/>
      <c r="N285" s="831"/>
      <c r="O285" s="582"/>
      <c r="P285" s="582"/>
      <c r="Q285" s="582"/>
      <c r="R285" s="582"/>
      <c r="S285" s="582">
        <f>1*20</f>
        <v>20</v>
      </c>
      <c r="T285" s="582"/>
      <c r="U285" s="834"/>
      <c r="V285" s="830"/>
      <c r="W285" s="831"/>
      <c r="X285" s="582"/>
      <c r="Y285" s="582"/>
      <c r="Z285" s="582"/>
      <c r="AA285" s="582"/>
      <c r="AB285" s="582"/>
      <c r="AC285" s="582"/>
      <c r="AD285" s="833"/>
      <c r="AE285" s="830"/>
      <c r="AF285" s="1143">
        <f t="shared" ref="AF285" si="169">SUM(E285:AD285)</f>
        <v>20</v>
      </c>
      <c r="AG285" s="1151"/>
      <c r="AH285" s="1143"/>
      <c r="AI285" s="1151">
        <f t="shared" si="167"/>
        <v>20</v>
      </c>
      <c r="AJ285" s="1152"/>
      <c r="AK285" s="411">
        <f t="shared" si="168"/>
        <v>20</v>
      </c>
      <c r="AL285" s="282"/>
      <c r="AM285" s="282"/>
      <c r="AN285" s="282"/>
    </row>
    <row r="286" spans="1:40" ht="20.25">
      <c r="A286" s="551" t="s">
        <v>623</v>
      </c>
      <c r="B286" s="548"/>
      <c r="C286" s="549"/>
      <c r="D286" s="544">
        <v>46126</v>
      </c>
      <c r="E286" s="829"/>
      <c r="F286" s="741"/>
      <c r="G286" s="741"/>
      <c r="H286" s="582"/>
      <c r="I286" s="582"/>
      <c r="J286" s="741"/>
      <c r="K286" s="582"/>
      <c r="L286" s="832"/>
      <c r="M286" s="830"/>
      <c r="N286" s="831"/>
      <c r="O286" s="582">
        <f>2*20</f>
        <v>40</v>
      </c>
      <c r="P286" s="582"/>
      <c r="Q286" s="582"/>
      <c r="R286" s="582"/>
      <c r="S286" s="582"/>
      <c r="T286" s="582"/>
      <c r="U286" s="834"/>
      <c r="V286" s="830"/>
      <c r="W286" s="831"/>
      <c r="X286" s="582"/>
      <c r="Y286" s="582"/>
      <c r="Z286" s="582"/>
      <c r="AA286" s="582"/>
      <c r="AB286" s="582"/>
      <c r="AC286" s="582"/>
      <c r="AD286" s="833"/>
      <c r="AE286" s="830"/>
      <c r="AF286" s="1143">
        <f t="shared" ref="AF286" si="170">SUM(E286:AD286)</f>
        <v>40</v>
      </c>
      <c r="AG286" s="1151"/>
      <c r="AH286" s="1143"/>
      <c r="AI286" s="1151">
        <f t="shared" ref="AI286" si="171">AF286+AG286+AH286</f>
        <v>40</v>
      </c>
      <c r="AJ286" s="1152"/>
      <c r="AK286" s="411">
        <f t="shared" ref="AK286" si="172">AI286+AJ286</f>
        <v>40</v>
      </c>
      <c r="AL286" s="283"/>
      <c r="AM286" s="283"/>
      <c r="AN286" s="283"/>
    </row>
    <row r="287" spans="1:40" ht="20.25">
      <c r="A287" s="537" t="s">
        <v>637</v>
      </c>
      <c r="B287" s="563"/>
      <c r="C287" s="553"/>
      <c r="D287" s="544">
        <v>46126</v>
      </c>
      <c r="E287" s="1532"/>
      <c r="F287" s="741"/>
      <c r="G287" s="741"/>
      <c r="H287" s="582"/>
      <c r="I287" s="582"/>
      <c r="J287" s="741"/>
      <c r="K287" s="582"/>
      <c r="L287" s="832"/>
      <c r="M287" s="830"/>
      <c r="N287" s="831"/>
      <c r="O287" s="582">
        <f>3*20</f>
        <v>60</v>
      </c>
      <c r="P287" s="582"/>
      <c r="Q287" s="582"/>
      <c r="R287" s="582"/>
      <c r="S287" s="582">
        <f>2*20</f>
        <v>40</v>
      </c>
      <c r="T287" s="582"/>
      <c r="U287" s="1137"/>
      <c r="V287" s="830"/>
      <c r="W287" s="831"/>
      <c r="X287" s="582"/>
      <c r="Y287" s="582"/>
      <c r="Z287" s="582"/>
      <c r="AA287" s="582"/>
      <c r="AB287" s="582"/>
      <c r="AC287" s="582"/>
      <c r="AD287" s="833"/>
      <c r="AE287" s="830"/>
      <c r="AF287" s="1143">
        <f t="shared" ref="AF287:AF307" si="173">SUM(E287:AD287)</f>
        <v>100</v>
      </c>
      <c r="AG287" s="1151"/>
      <c r="AH287" s="1143"/>
      <c r="AI287" s="1151">
        <f t="shared" ref="AI287:AI307" si="174">AF287+AG287+AH287</f>
        <v>100</v>
      </c>
      <c r="AJ287" s="1152"/>
      <c r="AK287" s="411">
        <f t="shared" ref="AK287:AK307" si="175">AI287+AJ287</f>
        <v>100</v>
      </c>
      <c r="AL287" s="283"/>
      <c r="AM287" s="283"/>
      <c r="AN287" s="283"/>
    </row>
    <row r="288" spans="1:40" ht="20.25">
      <c r="A288" s="561" t="s">
        <v>644</v>
      </c>
      <c r="B288" s="548"/>
      <c r="C288" s="549"/>
      <c r="D288" s="544">
        <v>46128</v>
      </c>
      <c r="E288" s="829"/>
      <c r="F288" s="741"/>
      <c r="G288" s="741"/>
      <c r="H288" s="582"/>
      <c r="I288" s="582"/>
      <c r="J288" s="741"/>
      <c r="K288" s="582">
        <f>50*20</f>
        <v>1000</v>
      </c>
      <c r="L288" s="832"/>
      <c r="M288" s="830"/>
      <c r="N288" s="831"/>
      <c r="O288" s="582"/>
      <c r="P288" s="582"/>
      <c r="Q288" s="582"/>
      <c r="R288" s="582"/>
      <c r="S288" s="582"/>
      <c r="T288" s="582"/>
      <c r="U288" s="1137"/>
      <c r="V288" s="830"/>
      <c r="W288" s="831"/>
      <c r="X288" s="582"/>
      <c r="Y288" s="582"/>
      <c r="Z288" s="582"/>
      <c r="AA288" s="582"/>
      <c r="AB288" s="582"/>
      <c r="AC288" s="582"/>
      <c r="AD288" s="833"/>
      <c r="AE288" s="830"/>
      <c r="AF288" s="1143">
        <f t="shared" si="173"/>
        <v>1000</v>
      </c>
      <c r="AG288" s="1151"/>
      <c r="AH288" s="1143"/>
      <c r="AI288" s="1151">
        <f t="shared" si="174"/>
        <v>1000</v>
      </c>
      <c r="AJ288" s="1152"/>
      <c r="AK288" s="411">
        <f t="shared" si="175"/>
        <v>1000</v>
      </c>
      <c r="AL288" s="283"/>
      <c r="AM288" s="283"/>
      <c r="AN288" s="283"/>
    </row>
    <row r="289" spans="1:40" ht="20.25">
      <c r="A289" s="547" t="s">
        <v>629</v>
      </c>
      <c r="B289" s="548"/>
      <c r="C289" s="549"/>
      <c r="D289" s="544">
        <v>46129</v>
      </c>
      <c r="E289" s="829"/>
      <c r="F289" s="741"/>
      <c r="G289" s="741"/>
      <c r="H289" s="582"/>
      <c r="I289" s="582"/>
      <c r="J289" s="741"/>
      <c r="K289" s="582"/>
      <c r="L289" s="832"/>
      <c r="M289" s="830"/>
      <c r="N289" s="831"/>
      <c r="O289" s="582">
        <f>5*20</f>
        <v>100</v>
      </c>
      <c r="P289" s="582"/>
      <c r="Q289" s="582"/>
      <c r="R289" s="582"/>
      <c r="S289" s="582"/>
      <c r="T289" s="582"/>
      <c r="U289" s="1137"/>
      <c r="V289" s="830"/>
      <c r="W289" s="831"/>
      <c r="X289" s="582"/>
      <c r="Y289" s="582"/>
      <c r="Z289" s="582"/>
      <c r="AA289" s="582"/>
      <c r="AB289" s="582"/>
      <c r="AC289" s="582"/>
      <c r="AD289" s="833"/>
      <c r="AE289" s="830"/>
      <c r="AF289" s="1143">
        <f t="shared" si="173"/>
        <v>100</v>
      </c>
      <c r="AG289" s="1151"/>
      <c r="AH289" s="1143"/>
      <c r="AI289" s="1151">
        <f t="shared" si="174"/>
        <v>100</v>
      </c>
      <c r="AJ289" s="1152"/>
      <c r="AK289" s="411">
        <f t="shared" si="175"/>
        <v>100</v>
      </c>
      <c r="AL289" s="403"/>
      <c r="AM289" s="403"/>
      <c r="AN289" s="403"/>
    </row>
    <row r="290" spans="1:40" ht="20.25">
      <c r="A290" s="561" t="s">
        <v>619</v>
      </c>
      <c r="B290" s="548"/>
      <c r="C290" s="549"/>
      <c r="D290" s="544">
        <v>46130</v>
      </c>
      <c r="E290" s="829"/>
      <c r="F290" s="741"/>
      <c r="G290" s="741"/>
      <c r="H290" s="582"/>
      <c r="I290" s="582"/>
      <c r="J290" s="741"/>
      <c r="K290" s="582">
        <f>5*20</f>
        <v>100</v>
      </c>
      <c r="L290" s="832">
        <f>5*20</f>
        <v>100</v>
      </c>
      <c r="M290" s="830"/>
      <c r="N290" s="831"/>
      <c r="O290" s="582"/>
      <c r="P290" s="582"/>
      <c r="Q290" s="582"/>
      <c r="R290" s="582"/>
      <c r="S290" s="582"/>
      <c r="T290" s="582"/>
      <c r="U290" s="1137"/>
      <c r="V290" s="830"/>
      <c r="W290" s="831"/>
      <c r="X290" s="582"/>
      <c r="Y290" s="582"/>
      <c r="Z290" s="582"/>
      <c r="AA290" s="582"/>
      <c r="AB290" s="582"/>
      <c r="AC290" s="582"/>
      <c r="AD290" s="833"/>
      <c r="AE290" s="830"/>
      <c r="AF290" s="1143">
        <f t="shared" si="173"/>
        <v>200</v>
      </c>
      <c r="AG290" s="1151"/>
      <c r="AH290" s="1143"/>
      <c r="AI290" s="1151">
        <f t="shared" si="174"/>
        <v>200</v>
      </c>
      <c r="AJ290" s="1152"/>
      <c r="AK290" s="411">
        <f t="shared" si="175"/>
        <v>200</v>
      </c>
      <c r="AL290" s="1"/>
      <c r="AM290" s="1"/>
      <c r="AN290" s="1"/>
    </row>
    <row r="291" spans="1:40" ht="20.25">
      <c r="A291" s="547" t="s">
        <v>647</v>
      </c>
      <c r="B291" s="548"/>
      <c r="C291" s="549"/>
      <c r="D291" s="544">
        <v>46130</v>
      </c>
      <c r="E291" s="829"/>
      <c r="F291" s="741"/>
      <c r="G291" s="741"/>
      <c r="H291" s="582"/>
      <c r="I291" s="582"/>
      <c r="J291" s="741"/>
      <c r="K291" s="582"/>
      <c r="L291" s="832"/>
      <c r="M291" s="830"/>
      <c r="N291" s="831"/>
      <c r="O291" s="582">
        <f>3*20</f>
        <v>60</v>
      </c>
      <c r="P291" s="582"/>
      <c r="Q291" s="582"/>
      <c r="R291" s="582"/>
      <c r="S291" s="582"/>
      <c r="T291" s="582"/>
      <c r="U291" s="1137"/>
      <c r="V291" s="830"/>
      <c r="W291" s="831"/>
      <c r="X291" s="582"/>
      <c r="Y291" s="582"/>
      <c r="Z291" s="582"/>
      <c r="AA291" s="582"/>
      <c r="AB291" s="582"/>
      <c r="AC291" s="582"/>
      <c r="AD291" s="833"/>
      <c r="AE291" s="830"/>
      <c r="AF291" s="1143">
        <f t="shared" si="173"/>
        <v>60</v>
      </c>
      <c r="AG291" s="1151"/>
      <c r="AH291" s="1143"/>
      <c r="AI291" s="1151">
        <f t="shared" si="174"/>
        <v>60</v>
      </c>
      <c r="AJ291" s="1152"/>
      <c r="AK291" s="411">
        <f t="shared" si="175"/>
        <v>60</v>
      </c>
    </row>
    <row r="292" spans="1:40" ht="20.25">
      <c r="A292" s="547" t="s">
        <v>653</v>
      </c>
      <c r="B292" s="545"/>
      <c r="C292" s="539"/>
      <c r="D292" s="544">
        <v>46130</v>
      </c>
      <c r="E292" s="1107"/>
      <c r="F292" s="557"/>
      <c r="G292" s="557"/>
      <c r="H292" s="558"/>
      <c r="I292" s="558"/>
      <c r="J292" s="557"/>
      <c r="K292" s="558">
        <f>20*20</f>
        <v>400</v>
      </c>
      <c r="L292" s="583"/>
      <c r="M292" s="584"/>
      <c r="N292" s="585"/>
      <c r="O292" s="558">
        <f>4*20</f>
        <v>80</v>
      </c>
      <c r="P292" s="558"/>
      <c r="Q292" s="558"/>
      <c r="R292" s="558"/>
      <c r="S292" s="558"/>
      <c r="T292" s="558"/>
      <c r="U292" s="819"/>
      <c r="V292" s="584"/>
      <c r="W292" s="585"/>
      <c r="X292" s="558"/>
      <c r="Y292" s="558"/>
      <c r="Z292" s="558"/>
      <c r="AA292" s="558"/>
      <c r="AB292" s="558"/>
      <c r="AC292" s="558"/>
      <c r="AD292" s="595"/>
      <c r="AE292" s="584"/>
      <c r="AF292" s="596">
        <f t="shared" si="173"/>
        <v>480</v>
      </c>
      <c r="AG292" s="597"/>
      <c r="AH292" s="596"/>
      <c r="AI292" s="597">
        <f t="shared" si="174"/>
        <v>480</v>
      </c>
      <c r="AJ292" s="607"/>
      <c r="AK292" s="606">
        <f t="shared" si="175"/>
        <v>480</v>
      </c>
    </row>
    <row r="293" spans="1:40" ht="20.25">
      <c r="A293" s="547" t="s">
        <v>655</v>
      </c>
      <c r="B293" s="796"/>
      <c r="C293" s="797"/>
      <c r="D293" s="544">
        <v>46131</v>
      </c>
      <c r="E293" s="829"/>
      <c r="F293" s="741"/>
      <c r="G293" s="741"/>
      <c r="H293" s="582"/>
      <c r="I293" s="582"/>
      <c r="J293" s="741"/>
      <c r="K293" s="582"/>
      <c r="L293" s="583"/>
      <c r="M293" s="830"/>
      <c r="N293" s="831"/>
      <c r="O293" s="582">
        <f>1*20</f>
        <v>20</v>
      </c>
      <c r="P293" s="582"/>
      <c r="Q293" s="582"/>
      <c r="R293" s="582"/>
      <c r="S293" s="582">
        <f>1*20</f>
        <v>20</v>
      </c>
      <c r="T293" s="582"/>
      <c r="U293" s="1137"/>
      <c r="V293" s="830"/>
      <c r="W293" s="831"/>
      <c r="X293" s="582"/>
      <c r="Y293" s="582"/>
      <c r="Z293" s="582"/>
      <c r="AA293" s="582"/>
      <c r="AB293" s="582"/>
      <c r="AC293" s="582"/>
      <c r="AD293" s="833"/>
      <c r="AE293" s="830"/>
      <c r="AF293" s="1143">
        <f t="shared" ref="AF293" si="176">SUM(E293:AD293)</f>
        <v>40</v>
      </c>
      <c r="AG293" s="1151"/>
      <c r="AH293" s="1143"/>
      <c r="AI293" s="1151">
        <f t="shared" si="174"/>
        <v>40</v>
      </c>
      <c r="AJ293" s="1152"/>
      <c r="AK293" s="411">
        <f t="shared" si="175"/>
        <v>40</v>
      </c>
    </row>
    <row r="294" spans="1:40" ht="20.25">
      <c r="A294" s="547" t="s">
        <v>660</v>
      </c>
      <c r="B294" s="796"/>
      <c r="C294" s="797"/>
      <c r="D294" s="544">
        <v>46133</v>
      </c>
      <c r="E294" s="556"/>
      <c r="F294" s="557"/>
      <c r="G294" s="557"/>
      <c r="H294" s="558"/>
      <c r="I294" s="558"/>
      <c r="J294" s="557">
        <f>12*20</f>
        <v>240</v>
      </c>
      <c r="K294" s="558">
        <f>35*20</f>
        <v>700</v>
      </c>
      <c r="L294" s="583">
        <f>1*20</f>
        <v>20</v>
      </c>
      <c r="M294" s="584"/>
      <c r="N294" s="585"/>
      <c r="O294" s="558"/>
      <c r="P294" s="558"/>
      <c r="Q294" s="558"/>
      <c r="R294" s="558"/>
      <c r="S294" s="558"/>
      <c r="T294" s="558"/>
      <c r="U294" s="588"/>
      <c r="V294" s="584"/>
      <c r="W294" s="585"/>
      <c r="X294" s="558"/>
      <c r="Y294" s="558"/>
      <c r="Z294" s="558"/>
      <c r="AA294" s="558"/>
      <c r="AB294" s="558"/>
      <c r="AC294" s="558"/>
      <c r="AD294" s="595"/>
      <c r="AE294" s="584"/>
      <c r="AF294" s="596">
        <f t="shared" ref="AF294:AF297" si="177">SUM(E294:AD294)</f>
        <v>960</v>
      </c>
      <c r="AG294" s="597"/>
      <c r="AH294" s="596"/>
      <c r="AI294" s="597">
        <f t="shared" ref="AI294:AI295" si="178">AF294+AG294+AH294</f>
        <v>960</v>
      </c>
      <c r="AJ294" s="607"/>
      <c r="AK294" s="606">
        <f t="shared" ref="AK294:AK295" si="179">AI294+AJ294</f>
        <v>960</v>
      </c>
      <c r="AL294" s="1"/>
    </row>
    <row r="295" spans="1:40" ht="20.25">
      <c r="A295" s="547" t="s">
        <v>661</v>
      </c>
      <c r="B295" s="548"/>
      <c r="C295" s="549"/>
      <c r="D295" s="544">
        <v>46133</v>
      </c>
      <c r="E295" s="829"/>
      <c r="F295" s="741"/>
      <c r="G295" s="741"/>
      <c r="H295" s="582"/>
      <c r="I295" s="582"/>
      <c r="J295" s="741">
        <f>15*20</f>
        <v>300</v>
      </c>
      <c r="K295" s="582">
        <f>35*20</f>
        <v>700</v>
      </c>
      <c r="L295" s="832">
        <f>2*20</f>
        <v>40</v>
      </c>
      <c r="M295" s="830"/>
      <c r="N295" s="831"/>
      <c r="O295" s="582"/>
      <c r="P295" s="582"/>
      <c r="Q295" s="582"/>
      <c r="R295" s="582"/>
      <c r="S295" s="582"/>
      <c r="T295" s="582"/>
      <c r="U295" s="1137"/>
      <c r="V295" s="830"/>
      <c r="W295" s="831"/>
      <c r="X295" s="582"/>
      <c r="Y295" s="582"/>
      <c r="Z295" s="582"/>
      <c r="AA295" s="582"/>
      <c r="AB295" s="582"/>
      <c r="AC295" s="582"/>
      <c r="AD295" s="833"/>
      <c r="AE295" s="830"/>
      <c r="AF295" s="1143">
        <f t="shared" ref="AF295" si="180">SUM(E295:AD295)</f>
        <v>1040</v>
      </c>
      <c r="AG295" s="1151"/>
      <c r="AH295" s="1143"/>
      <c r="AI295" s="1151">
        <f t="shared" si="178"/>
        <v>1040</v>
      </c>
      <c r="AJ295" s="1152"/>
      <c r="AK295" s="411">
        <f t="shared" si="179"/>
        <v>1040</v>
      </c>
    </row>
    <row r="296" spans="1:40" ht="20.25">
      <c r="A296" s="537" t="s">
        <v>623</v>
      </c>
      <c r="B296" s="552"/>
      <c r="C296" s="553"/>
      <c r="D296" s="544">
        <v>46134</v>
      </c>
      <c r="E296" s="829"/>
      <c r="F296" s="741"/>
      <c r="G296" s="741"/>
      <c r="H296" s="582"/>
      <c r="I296" s="582"/>
      <c r="J296" s="741"/>
      <c r="K296" s="582"/>
      <c r="L296" s="832"/>
      <c r="M296" s="830"/>
      <c r="N296" s="831"/>
      <c r="O296" s="582"/>
      <c r="P296" s="582"/>
      <c r="Q296" s="582"/>
      <c r="R296" s="582">
        <f>10*20</f>
        <v>200</v>
      </c>
      <c r="S296" s="582"/>
      <c r="T296" s="582"/>
      <c r="U296" s="1137"/>
      <c r="V296" s="830"/>
      <c r="W296" s="831"/>
      <c r="X296" s="582"/>
      <c r="Y296" s="741"/>
      <c r="Z296" s="582"/>
      <c r="AA296" s="582"/>
      <c r="AB296" s="582"/>
      <c r="AC296" s="582"/>
      <c r="AD296" s="833"/>
      <c r="AE296" s="830"/>
      <c r="AF296" s="1143">
        <f t="shared" si="177"/>
        <v>200</v>
      </c>
      <c r="AG296" s="1151"/>
      <c r="AH296" s="1143"/>
      <c r="AI296" s="1151">
        <f t="shared" ref="AI296" si="181">AF296+AG296+AH296</f>
        <v>200</v>
      </c>
      <c r="AJ296" s="1152"/>
      <c r="AK296" s="411">
        <f t="shared" ref="AK296" si="182">AI296+AJ296</f>
        <v>200</v>
      </c>
    </row>
    <row r="297" spans="1:40" ht="20.25">
      <c r="A297" s="537" t="s">
        <v>664</v>
      </c>
      <c r="B297" s="552"/>
      <c r="C297" s="553"/>
      <c r="D297" s="544">
        <v>46134</v>
      </c>
      <c r="E297" s="556"/>
      <c r="F297" s="557"/>
      <c r="G297" s="557"/>
      <c r="H297" s="558"/>
      <c r="I297" s="558"/>
      <c r="J297" s="557">
        <f>3*20</f>
        <v>60</v>
      </c>
      <c r="K297" s="558">
        <f>5*20</f>
        <v>100</v>
      </c>
      <c r="L297" s="583"/>
      <c r="M297" s="584"/>
      <c r="N297" s="585"/>
      <c r="O297" s="558"/>
      <c r="P297" s="558"/>
      <c r="Q297" s="558"/>
      <c r="R297" s="558"/>
      <c r="S297" s="558"/>
      <c r="T297" s="558"/>
      <c r="U297" s="588"/>
      <c r="V297" s="584"/>
      <c r="W297" s="585"/>
      <c r="X297" s="558"/>
      <c r="Y297" s="557"/>
      <c r="Z297" s="558"/>
      <c r="AA297" s="558"/>
      <c r="AB297" s="558"/>
      <c r="AC297" s="558"/>
      <c r="AD297" s="595"/>
      <c r="AE297" s="584"/>
      <c r="AF297" s="596">
        <f t="shared" si="177"/>
        <v>160</v>
      </c>
      <c r="AG297" s="597"/>
      <c r="AH297" s="596"/>
      <c r="AI297" s="597">
        <f t="shared" ref="AI297" si="183">AF297+AG297+AH297</f>
        <v>160</v>
      </c>
      <c r="AJ297" s="607"/>
      <c r="AK297" s="606">
        <f t="shared" ref="AK297" si="184">AI297+AJ297</f>
        <v>160</v>
      </c>
    </row>
    <row r="298" spans="1:40" ht="20.25">
      <c r="A298" s="561" t="s">
        <v>665</v>
      </c>
      <c r="B298" s="552"/>
      <c r="C298" s="553"/>
      <c r="D298" s="544">
        <v>46134</v>
      </c>
      <c r="E298" s="556"/>
      <c r="F298" s="557"/>
      <c r="G298" s="557"/>
      <c r="H298" s="558"/>
      <c r="I298" s="558"/>
      <c r="J298" s="557"/>
      <c r="K298" s="558"/>
      <c r="L298" s="583"/>
      <c r="M298" s="584"/>
      <c r="N298" s="585"/>
      <c r="O298" s="558">
        <f>3*20</f>
        <v>60</v>
      </c>
      <c r="P298" s="558"/>
      <c r="Q298" s="558"/>
      <c r="R298" s="558"/>
      <c r="S298" s="558">
        <f>2*20</f>
        <v>40</v>
      </c>
      <c r="T298" s="558"/>
      <c r="U298" s="588"/>
      <c r="V298" s="584"/>
      <c r="W298" s="585"/>
      <c r="X298" s="558"/>
      <c r="Y298" s="558"/>
      <c r="Z298" s="558"/>
      <c r="AA298" s="558"/>
      <c r="AB298" s="558"/>
      <c r="AC298" s="558"/>
      <c r="AD298" s="595"/>
      <c r="AE298" s="584"/>
      <c r="AF298" s="596">
        <f t="shared" ref="AF298:AF299" si="185">SUM(E298:AD298)</f>
        <v>100</v>
      </c>
      <c r="AG298" s="597"/>
      <c r="AH298" s="596"/>
      <c r="AI298" s="597">
        <f t="shared" ref="AI298:AI301" si="186">AF298+AG298+AH298</f>
        <v>100</v>
      </c>
      <c r="AJ298" s="607"/>
      <c r="AK298" s="606">
        <f t="shared" ref="AK298:AK301" si="187">AI298+AJ298</f>
        <v>100</v>
      </c>
    </row>
    <row r="299" spans="1:40" ht="20.25">
      <c r="A299" s="547" t="s">
        <v>621</v>
      </c>
      <c r="B299" s="552"/>
      <c r="C299" s="553"/>
      <c r="D299" s="544">
        <v>46134</v>
      </c>
      <c r="E299" s="829"/>
      <c r="F299" s="741"/>
      <c r="G299" s="741"/>
      <c r="H299" s="582"/>
      <c r="I299" s="582"/>
      <c r="J299" s="741"/>
      <c r="K299" s="582"/>
      <c r="L299" s="832"/>
      <c r="M299" s="830"/>
      <c r="N299" s="831"/>
      <c r="O299" s="582">
        <f>15*20</f>
        <v>300</v>
      </c>
      <c r="P299" s="582"/>
      <c r="Q299" s="582"/>
      <c r="R299" s="582"/>
      <c r="S299" s="582"/>
      <c r="T299" s="582"/>
      <c r="U299" s="1137"/>
      <c r="V299" s="830"/>
      <c r="W299" s="831"/>
      <c r="X299" s="582"/>
      <c r="Y299" s="582"/>
      <c r="Z299" s="582"/>
      <c r="AA299" s="582"/>
      <c r="AB299" s="582"/>
      <c r="AC299" s="582"/>
      <c r="AD299" s="833"/>
      <c r="AE299" s="830"/>
      <c r="AF299" s="1143">
        <f t="shared" si="185"/>
        <v>300</v>
      </c>
      <c r="AG299" s="1151"/>
      <c r="AH299" s="1143"/>
      <c r="AI299" s="1151">
        <f t="shared" si="186"/>
        <v>300</v>
      </c>
      <c r="AJ299" s="1152"/>
      <c r="AK299" s="411">
        <f t="shared" si="187"/>
        <v>300</v>
      </c>
    </row>
    <row r="300" spans="1:40" ht="20.25">
      <c r="A300" s="547" t="s">
        <v>619</v>
      </c>
      <c r="B300" s="563"/>
      <c r="C300" s="553"/>
      <c r="D300" s="544">
        <v>46135</v>
      </c>
      <c r="E300" s="556"/>
      <c r="F300" s="557"/>
      <c r="G300" s="557"/>
      <c r="H300" s="558"/>
      <c r="I300" s="558"/>
      <c r="J300" s="557">
        <f>12*20</f>
        <v>240</v>
      </c>
      <c r="K300" s="558">
        <f>84*20</f>
        <v>1680</v>
      </c>
      <c r="L300" s="583"/>
      <c r="M300" s="584"/>
      <c r="N300" s="585"/>
      <c r="O300" s="558"/>
      <c r="P300" s="558"/>
      <c r="Q300" s="558"/>
      <c r="R300" s="558"/>
      <c r="S300" s="558"/>
      <c r="T300" s="558"/>
      <c r="U300" s="588"/>
      <c r="V300" s="584"/>
      <c r="W300" s="585"/>
      <c r="X300" s="558"/>
      <c r="Y300" s="558"/>
      <c r="Z300" s="558"/>
      <c r="AA300" s="558"/>
      <c r="AB300" s="558"/>
      <c r="AC300" s="558"/>
      <c r="AD300" s="595"/>
      <c r="AE300" s="584"/>
      <c r="AF300" s="596">
        <f t="shared" ref="AF300" si="188">SUM(E300:AD300)</f>
        <v>1920</v>
      </c>
      <c r="AG300" s="597"/>
      <c r="AH300" s="596"/>
      <c r="AI300" s="597">
        <f t="shared" si="186"/>
        <v>1920</v>
      </c>
      <c r="AJ300" s="607"/>
      <c r="AK300" s="606">
        <f t="shared" si="187"/>
        <v>1920</v>
      </c>
    </row>
    <row r="301" spans="1:40" ht="20.25">
      <c r="A301" s="551" t="s">
        <v>627</v>
      </c>
      <c r="B301" s="552"/>
      <c r="C301" s="553"/>
      <c r="D301" s="544">
        <v>46136</v>
      </c>
      <c r="E301" s="829"/>
      <c r="F301" s="741"/>
      <c r="G301" s="741"/>
      <c r="H301" s="582"/>
      <c r="I301" s="582"/>
      <c r="J301" s="741"/>
      <c r="K301" s="582"/>
      <c r="L301" s="832"/>
      <c r="M301" s="830"/>
      <c r="N301" s="831"/>
      <c r="O301" s="582">
        <f>10*20</f>
        <v>200</v>
      </c>
      <c r="P301" s="582"/>
      <c r="Q301" s="582"/>
      <c r="R301" s="582">
        <f>4*20</f>
        <v>80</v>
      </c>
      <c r="S301" s="582">
        <f>10*20</f>
        <v>200</v>
      </c>
      <c r="T301" s="582"/>
      <c r="U301" s="1137"/>
      <c r="V301" s="830"/>
      <c r="W301" s="831"/>
      <c r="X301" s="582"/>
      <c r="Y301" s="582"/>
      <c r="Z301" s="582"/>
      <c r="AA301" s="582"/>
      <c r="AB301" s="582"/>
      <c r="AC301" s="582"/>
      <c r="AD301" s="833"/>
      <c r="AE301" s="830"/>
      <c r="AF301" s="1143">
        <f t="shared" ref="AF301" si="189">SUM(E301:AD301)</f>
        <v>480</v>
      </c>
      <c r="AG301" s="1151"/>
      <c r="AH301" s="1143"/>
      <c r="AI301" s="1151">
        <f t="shared" si="186"/>
        <v>480</v>
      </c>
      <c r="AJ301" s="1152"/>
      <c r="AK301" s="411">
        <f t="shared" si="187"/>
        <v>480</v>
      </c>
    </row>
    <row r="302" spans="1:40" ht="20.25">
      <c r="A302" s="547" t="s">
        <v>636</v>
      </c>
      <c r="B302" s="552"/>
      <c r="C302" s="553"/>
      <c r="D302" s="544">
        <v>46136</v>
      </c>
      <c r="E302" s="829"/>
      <c r="F302" s="741"/>
      <c r="G302" s="741"/>
      <c r="H302" s="582"/>
      <c r="I302" s="582"/>
      <c r="J302" s="741">
        <f>10*20</f>
        <v>200</v>
      </c>
      <c r="K302" s="582">
        <f>50*20</f>
        <v>1000</v>
      </c>
      <c r="L302" s="832"/>
      <c r="M302" s="830"/>
      <c r="N302" s="831"/>
      <c r="O302" s="582"/>
      <c r="P302" s="582"/>
      <c r="Q302" s="582"/>
      <c r="R302" s="582"/>
      <c r="S302" s="582"/>
      <c r="T302" s="582"/>
      <c r="U302" s="1137"/>
      <c r="V302" s="830"/>
      <c r="W302" s="831"/>
      <c r="X302" s="582"/>
      <c r="Y302" s="582"/>
      <c r="Z302" s="582"/>
      <c r="AA302" s="582"/>
      <c r="AB302" s="582"/>
      <c r="AC302" s="582"/>
      <c r="AD302" s="833"/>
      <c r="AE302" s="830"/>
      <c r="AF302" s="1143">
        <f t="shared" ref="AF302" si="190">SUM(E302:AD302)</f>
        <v>1200</v>
      </c>
      <c r="AG302" s="1151"/>
      <c r="AH302" s="1143"/>
      <c r="AI302" s="1151">
        <f t="shared" ref="AI302" si="191">AF302+AG302+AH302</f>
        <v>1200</v>
      </c>
      <c r="AJ302" s="1152"/>
      <c r="AK302" s="411">
        <f t="shared" ref="AK302" si="192">AI302+AJ302</f>
        <v>1200</v>
      </c>
    </row>
    <row r="303" spans="1:40" ht="20.25">
      <c r="A303" s="551" t="s">
        <v>672</v>
      </c>
      <c r="B303" s="563"/>
      <c r="C303" s="553"/>
      <c r="D303" s="544">
        <v>46136</v>
      </c>
      <c r="E303" s="556"/>
      <c r="F303" s="557"/>
      <c r="G303" s="557"/>
      <c r="H303" s="558"/>
      <c r="I303" s="558"/>
      <c r="J303" s="557"/>
      <c r="K303" s="558"/>
      <c r="L303" s="583"/>
      <c r="M303" s="584"/>
      <c r="N303" s="585"/>
      <c r="O303" s="558">
        <f>3*20</f>
        <v>60</v>
      </c>
      <c r="P303" s="558"/>
      <c r="Q303" s="558"/>
      <c r="R303" s="558">
        <f>3*20</f>
        <v>60</v>
      </c>
      <c r="S303" s="558"/>
      <c r="T303" s="558"/>
      <c r="U303" s="588"/>
      <c r="V303" s="584"/>
      <c r="W303" s="585"/>
      <c r="X303" s="558"/>
      <c r="Y303" s="558"/>
      <c r="Z303" s="558"/>
      <c r="AA303" s="558"/>
      <c r="AB303" s="558"/>
      <c r="AC303" s="558"/>
      <c r="AD303" s="595"/>
      <c r="AE303" s="584"/>
      <c r="AF303" s="596">
        <f t="shared" ref="AF303" si="193">SUM(E303:AD303)</f>
        <v>120</v>
      </c>
      <c r="AG303" s="597"/>
      <c r="AH303" s="596"/>
      <c r="AI303" s="597">
        <f t="shared" ref="AI303" si="194">AF303+AG303+AH303</f>
        <v>120</v>
      </c>
      <c r="AJ303" s="607"/>
      <c r="AK303" s="606">
        <f t="shared" ref="AK303" si="195">AI303+AJ303</f>
        <v>120</v>
      </c>
    </row>
    <row r="304" spans="1:40" ht="20.25">
      <c r="A304" s="537" t="s">
        <v>684</v>
      </c>
      <c r="B304" s="538"/>
      <c r="C304" s="3079"/>
      <c r="D304" s="544">
        <v>46140</v>
      </c>
      <c r="E304" s="319"/>
      <c r="F304" s="320"/>
      <c r="G304" s="320"/>
      <c r="H304" s="321"/>
      <c r="I304" s="321"/>
      <c r="J304" s="320"/>
      <c r="K304" s="321"/>
      <c r="L304" s="351"/>
      <c r="M304" s="352"/>
      <c r="N304" s="353"/>
      <c r="O304" s="321">
        <f>1*20</f>
        <v>20</v>
      </c>
      <c r="P304" s="321"/>
      <c r="Q304" s="321"/>
      <c r="R304" s="321"/>
      <c r="S304" s="321">
        <f>1*20</f>
        <v>20</v>
      </c>
      <c r="T304" s="321"/>
      <c r="U304" s="354"/>
      <c r="V304" s="352"/>
      <c r="W304" s="353"/>
      <c r="X304" s="321"/>
      <c r="Y304" s="321"/>
      <c r="Z304" s="321"/>
      <c r="AA304" s="321"/>
      <c r="AB304" s="321"/>
      <c r="AC304" s="321"/>
      <c r="AD304" s="380"/>
      <c r="AE304" s="352"/>
      <c r="AF304" s="408">
        <f t="shared" si="173"/>
        <v>40</v>
      </c>
      <c r="AG304" s="409"/>
      <c r="AH304" s="408"/>
      <c r="AI304" s="409">
        <f t="shared" si="174"/>
        <v>40</v>
      </c>
      <c r="AJ304" s="410"/>
      <c r="AK304" s="411">
        <f t="shared" si="175"/>
        <v>40</v>
      </c>
    </row>
    <row r="305" spans="1:37" ht="20.25">
      <c r="A305" s="547" t="s">
        <v>685</v>
      </c>
      <c r="B305" s="552"/>
      <c r="C305" s="553"/>
      <c r="D305" s="544">
        <v>46141</v>
      </c>
      <c r="E305" s="541"/>
      <c r="F305" s="542"/>
      <c r="G305" s="542"/>
      <c r="H305" s="543"/>
      <c r="I305" s="543"/>
      <c r="J305" s="542"/>
      <c r="K305" s="543"/>
      <c r="L305" s="579"/>
      <c r="M305" s="580"/>
      <c r="N305" s="581"/>
      <c r="O305" s="543">
        <f>15*20</f>
        <v>300</v>
      </c>
      <c r="P305" s="543"/>
      <c r="Q305" s="543"/>
      <c r="R305" s="543"/>
      <c r="S305" s="543"/>
      <c r="T305" s="543"/>
      <c r="U305" s="587"/>
      <c r="V305" s="580"/>
      <c r="W305" s="581"/>
      <c r="X305" s="543"/>
      <c r="Y305" s="543"/>
      <c r="Z305" s="543"/>
      <c r="AA305" s="543"/>
      <c r="AB305" s="543"/>
      <c r="AC305" s="543"/>
      <c r="AD305" s="592"/>
      <c r="AE305" s="580"/>
      <c r="AF305" s="593">
        <f t="shared" si="173"/>
        <v>300</v>
      </c>
      <c r="AG305" s="594"/>
      <c r="AH305" s="593"/>
      <c r="AI305" s="594">
        <f t="shared" si="174"/>
        <v>300</v>
      </c>
      <c r="AJ305" s="605"/>
      <c r="AK305" s="606">
        <f t="shared" si="175"/>
        <v>300</v>
      </c>
    </row>
    <row r="306" spans="1:37" ht="20.25">
      <c r="A306" s="551" t="s">
        <v>637</v>
      </c>
      <c r="B306" s="550"/>
      <c r="C306" s="549"/>
      <c r="D306" s="544">
        <v>46141</v>
      </c>
      <c r="E306" s="319"/>
      <c r="F306" s="320"/>
      <c r="G306" s="320"/>
      <c r="H306" s="321"/>
      <c r="I306" s="321"/>
      <c r="J306" s="320"/>
      <c r="K306" s="321"/>
      <c r="L306" s="351"/>
      <c r="M306" s="352"/>
      <c r="N306" s="353"/>
      <c r="O306" s="321">
        <f>2*20</f>
        <v>40</v>
      </c>
      <c r="P306" s="321"/>
      <c r="Q306" s="321"/>
      <c r="R306" s="321"/>
      <c r="S306" s="321">
        <f>2*20</f>
        <v>40</v>
      </c>
      <c r="T306" s="321"/>
      <c r="U306" s="354"/>
      <c r="V306" s="352"/>
      <c r="W306" s="353"/>
      <c r="X306" s="321"/>
      <c r="Y306" s="321"/>
      <c r="Z306" s="321"/>
      <c r="AA306" s="321"/>
      <c r="AB306" s="321"/>
      <c r="AC306" s="321"/>
      <c r="AD306" s="380"/>
      <c r="AE306" s="352"/>
      <c r="AF306" s="408">
        <f t="shared" ref="AF306" si="196">SUM(E306:AD306)</f>
        <v>80</v>
      </c>
      <c r="AG306" s="409"/>
      <c r="AH306" s="408"/>
      <c r="AI306" s="409">
        <f t="shared" ref="AI306" si="197">AF306+AG306+AH306</f>
        <v>80</v>
      </c>
      <c r="AJ306" s="410"/>
      <c r="AK306" s="411">
        <f t="shared" ref="AK306" si="198">AI306+AJ306</f>
        <v>80</v>
      </c>
    </row>
    <row r="307" spans="1:37" ht="20.25">
      <c r="A307" s="537" t="s">
        <v>687</v>
      </c>
      <c r="B307" s="552"/>
      <c r="C307" s="553"/>
      <c r="D307" s="544">
        <v>46141</v>
      </c>
      <c r="E307" s="541"/>
      <c r="F307" s="542"/>
      <c r="G307" s="542"/>
      <c r="H307" s="543"/>
      <c r="I307" s="543"/>
      <c r="J307" s="542"/>
      <c r="K307" s="543"/>
      <c r="L307" s="579"/>
      <c r="M307" s="580"/>
      <c r="N307" s="581"/>
      <c r="O307" s="543">
        <f>4*20</f>
        <v>80</v>
      </c>
      <c r="P307" s="543"/>
      <c r="Q307" s="543"/>
      <c r="R307" s="543"/>
      <c r="S307" s="543"/>
      <c r="T307" s="543"/>
      <c r="U307" s="587"/>
      <c r="V307" s="580"/>
      <c r="W307" s="581"/>
      <c r="X307" s="543"/>
      <c r="Y307" s="543"/>
      <c r="Z307" s="543"/>
      <c r="AA307" s="543"/>
      <c r="AB307" s="543"/>
      <c r="AC307" s="543"/>
      <c r="AD307" s="592"/>
      <c r="AE307" s="580"/>
      <c r="AF307" s="593">
        <f t="shared" si="173"/>
        <v>80</v>
      </c>
      <c r="AG307" s="594"/>
      <c r="AH307" s="593"/>
      <c r="AI307" s="594">
        <f t="shared" si="174"/>
        <v>80</v>
      </c>
      <c r="AJ307" s="605"/>
      <c r="AK307" s="606">
        <f t="shared" si="175"/>
        <v>80</v>
      </c>
    </row>
    <row r="308" spans="1:37" ht="20.25">
      <c r="A308" s="547" t="s">
        <v>689</v>
      </c>
      <c r="B308" s="550"/>
      <c r="C308" s="549"/>
      <c r="D308" s="544">
        <v>46142</v>
      </c>
      <c r="E308" s="319"/>
      <c r="F308" s="320"/>
      <c r="G308" s="320"/>
      <c r="H308" s="321"/>
      <c r="I308" s="321"/>
      <c r="J308" s="320">
        <f>30*20</f>
        <v>600</v>
      </c>
      <c r="K308" s="321">
        <f>30*20</f>
        <v>600</v>
      </c>
      <c r="L308" s="351"/>
      <c r="M308" s="352"/>
      <c r="N308" s="353"/>
      <c r="O308" s="321"/>
      <c r="P308" s="321"/>
      <c r="Q308" s="321"/>
      <c r="R308" s="321"/>
      <c r="S308" s="321"/>
      <c r="T308" s="321"/>
      <c r="U308" s="354"/>
      <c r="V308" s="352"/>
      <c r="W308" s="353"/>
      <c r="X308" s="321"/>
      <c r="Y308" s="321"/>
      <c r="Z308" s="321"/>
      <c r="AA308" s="321"/>
      <c r="AB308" s="321"/>
      <c r="AC308" s="321"/>
      <c r="AD308" s="380"/>
      <c r="AE308" s="352"/>
      <c r="AF308" s="408">
        <f t="shared" ref="AF308" si="199">SUM(E308:AD308)</f>
        <v>1200</v>
      </c>
      <c r="AG308" s="409"/>
      <c r="AH308" s="408"/>
      <c r="AI308" s="409">
        <f t="shared" ref="AI308" si="200">AF308+AG308+AH308</f>
        <v>1200</v>
      </c>
      <c r="AJ308" s="410"/>
      <c r="AK308" s="411">
        <f t="shared" ref="AK308" si="201">AI308+AJ308</f>
        <v>1200</v>
      </c>
    </row>
    <row r="309" spans="1:37" ht="20.25">
      <c r="A309" s="537" t="s">
        <v>619</v>
      </c>
      <c r="B309" s="550"/>
      <c r="C309" s="549"/>
      <c r="D309" s="544">
        <v>46142</v>
      </c>
      <c r="E309" s="1108"/>
      <c r="F309" s="1109"/>
      <c r="G309" s="1109"/>
      <c r="H309" s="1110"/>
      <c r="I309" s="1110"/>
      <c r="J309" s="1109">
        <f>30*20</f>
        <v>600</v>
      </c>
      <c r="K309" s="1110">
        <f>30*20</f>
        <v>600</v>
      </c>
      <c r="L309" s="1124"/>
      <c r="M309" s="1125"/>
      <c r="N309" s="1126"/>
      <c r="O309" s="1127"/>
      <c r="P309" s="1127"/>
      <c r="Q309" s="1127"/>
      <c r="R309" s="1127"/>
      <c r="S309" s="1127"/>
      <c r="T309" s="1127"/>
      <c r="U309" s="1138"/>
      <c r="V309" s="1139"/>
      <c r="W309" s="1126"/>
      <c r="X309" s="1127"/>
      <c r="Y309" s="1127"/>
      <c r="Z309" s="1127"/>
      <c r="AA309" s="1127"/>
      <c r="AB309" s="1127"/>
      <c r="AC309" s="1127"/>
      <c r="AD309" s="1144"/>
      <c r="AE309" s="1139"/>
      <c r="AF309" s="1145">
        <f t="shared" si="165"/>
        <v>1200</v>
      </c>
      <c r="AG309" s="1153"/>
      <c r="AH309" s="1145"/>
      <c r="AI309" s="1153">
        <f t="shared" ref="AI309:AI329" si="202">AF309+AG309+AH309</f>
        <v>1200</v>
      </c>
      <c r="AJ309" s="1154"/>
      <c r="AK309" s="1155">
        <f t="shared" ref="AK309:AK341" si="203">AI309+AJ309</f>
        <v>1200</v>
      </c>
    </row>
    <row r="310" spans="1:37" ht="20.25">
      <c r="A310" s="537"/>
      <c r="B310" s="550"/>
      <c r="C310" s="549"/>
      <c r="D310" s="544"/>
      <c r="E310" s="1108"/>
      <c r="F310" s="1109"/>
      <c r="G310" s="1109"/>
      <c r="H310" s="1110"/>
      <c r="I310" s="1110"/>
      <c r="J310" s="1109"/>
      <c r="K310" s="1110"/>
      <c r="L310" s="1124"/>
      <c r="M310" s="1125"/>
      <c r="N310" s="1108"/>
      <c r="O310" s="1109"/>
      <c r="P310" s="1109"/>
      <c r="Q310" s="1110"/>
      <c r="R310" s="1110"/>
      <c r="S310" s="1109"/>
      <c r="T310" s="1110"/>
      <c r="U310" s="1124"/>
      <c r="V310" s="1139"/>
      <c r="W310" s="1126"/>
      <c r="X310" s="1127"/>
      <c r="Y310" s="1127"/>
      <c r="Z310" s="1127"/>
      <c r="AA310" s="1127"/>
      <c r="AB310" s="1127"/>
      <c r="AC310" s="1127"/>
      <c r="AD310" s="1144"/>
      <c r="AE310" s="1139"/>
      <c r="AF310" s="1145">
        <f t="shared" ref="AF310" si="204">SUM(E310:AD310)</f>
        <v>0</v>
      </c>
      <c r="AG310" s="1153"/>
      <c r="AH310" s="1145"/>
      <c r="AI310" s="1153">
        <f t="shared" si="202"/>
        <v>0</v>
      </c>
      <c r="AJ310" s="1154"/>
      <c r="AK310" s="1155">
        <f t="shared" si="203"/>
        <v>0</v>
      </c>
    </row>
    <row r="311" spans="1:37" ht="21" thickBot="1">
      <c r="A311" s="547"/>
      <c r="B311" s="550"/>
      <c r="C311" s="549"/>
      <c r="D311" s="544"/>
      <c r="E311" s="1108"/>
      <c r="F311" s="1109"/>
      <c r="G311" s="1109"/>
      <c r="H311" s="1110"/>
      <c r="I311" s="1110"/>
      <c r="J311" s="1109"/>
      <c r="K311" s="1110"/>
      <c r="L311" s="1124"/>
      <c r="M311" s="1128"/>
      <c r="N311" s="1129"/>
      <c r="O311" s="1130"/>
      <c r="P311" s="1130"/>
      <c r="Q311" s="1130"/>
      <c r="R311" s="1130"/>
      <c r="S311" s="1130"/>
      <c r="T311" s="1130"/>
      <c r="U311" s="1140"/>
      <c r="V311" s="1131"/>
      <c r="W311" s="1129"/>
      <c r="X311" s="1130"/>
      <c r="Y311" s="1130"/>
      <c r="Z311" s="1130"/>
      <c r="AA311" s="1130"/>
      <c r="AB311" s="1130"/>
      <c r="AC311" s="1130"/>
      <c r="AD311" s="1146"/>
      <c r="AE311" s="1147"/>
      <c r="AF311" s="1148">
        <f t="shared" ref="AF311:AF329" si="205">SUM(E311:AD311)</f>
        <v>0</v>
      </c>
      <c r="AG311" s="1156"/>
      <c r="AH311" s="1150"/>
      <c r="AI311" s="1156">
        <f t="shared" si="202"/>
        <v>0</v>
      </c>
      <c r="AJ311" s="1157"/>
      <c r="AK311" s="1158">
        <f t="shared" si="203"/>
        <v>0</v>
      </c>
    </row>
    <row r="312" spans="1:37" ht="21" thickBot="1">
      <c r="A312" s="547"/>
      <c r="B312" s="552"/>
      <c r="C312" s="553"/>
      <c r="D312" s="544"/>
      <c r="E312" s="1108"/>
      <c r="F312" s="1109"/>
      <c r="G312" s="1109"/>
      <c r="H312" s="1110"/>
      <c r="I312" s="1110"/>
      <c r="J312" s="1109"/>
      <c r="K312" s="1110"/>
      <c r="L312" s="1124"/>
      <c r="M312" s="1128"/>
      <c r="N312" s="1126"/>
      <c r="O312" s="1127"/>
      <c r="P312" s="1127"/>
      <c r="Q312" s="1127"/>
      <c r="R312" s="1127"/>
      <c r="S312" s="1127"/>
      <c r="T312" s="1127"/>
      <c r="U312" s="1138"/>
      <c r="V312" s="1139"/>
      <c r="W312" s="1126"/>
      <c r="X312" s="1127"/>
      <c r="Y312" s="1127"/>
      <c r="Z312" s="1127"/>
      <c r="AA312" s="1127"/>
      <c r="AB312" s="1127"/>
      <c r="AC312" s="1127"/>
      <c r="AD312" s="1144"/>
      <c r="AE312" s="1147"/>
      <c r="AF312" s="1145">
        <f t="shared" si="205"/>
        <v>0</v>
      </c>
      <c r="AG312" s="1153"/>
      <c r="AH312" s="1145"/>
      <c r="AI312" s="1153">
        <f t="shared" si="202"/>
        <v>0</v>
      </c>
      <c r="AJ312" s="1154"/>
      <c r="AK312" s="1155">
        <f t="shared" si="203"/>
        <v>0</v>
      </c>
    </row>
    <row r="313" spans="1:37" ht="20.25">
      <c r="A313" s="547"/>
      <c r="B313" s="550"/>
      <c r="C313" s="549"/>
      <c r="D313" s="544"/>
      <c r="E313" s="1108"/>
      <c r="F313" s="1109"/>
      <c r="G313" s="1109"/>
      <c r="H313" s="1110"/>
      <c r="I313" s="1110"/>
      <c r="J313" s="1109"/>
      <c r="K313" s="1110"/>
      <c r="L313" s="1124"/>
      <c r="M313" s="1131"/>
      <c r="N313" s="1108"/>
      <c r="O313" s="1109"/>
      <c r="P313" s="1109"/>
      <c r="Q313" s="1110"/>
      <c r="R313" s="1110"/>
      <c r="S313" s="1109"/>
      <c r="T313" s="1110"/>
      <c r="U313" s="1124"/>
      <c r="V313" s="1131"/>
      <c r="W313" s="1108"/>
      <c r="X313" s="1109"/>
      <c r="Y313" s="1109"/>
      <c r="Z313" s="1110"/>
      <c r="AA313" s="1110"/>
      <c r="AB313" s="1109"/>
      <c r="AC313" s="1110"/>
      <c r="AD313" s="1124"/>
      <c r="AE313" s="1131"/>
      <c r="AF313" s="1148">
        <f t="shared" si="205"/>
        <v>0</v>
      </c>
      <c r="AG313" s="1156"/>
      <c r="AH313" s="1148"/>
      <c r="AI313" s="1156">
        <f t="shared" si="202"/>
        <v>0</v>
      </c>
      <c r="AJ313" s="1159"/>
      <c r="AK313" s="1158">
        <f t="shared" si="203"/>
        <v>0</v>
      </c>
    </row>
    <row r="314" spans="1:37" ht="20.25">
      <c r="A314" s="537"/>
      <c r="B314" s="538"/>
      <c r="C314" s="539"/>
      <c r="D314" s="544"/>
      <c r="E314" s="1108"/>
      <c r="F314" s="1109"/>
      <c r="G314" s="1109"/>
      <c r="H314" s="1110"/>
      <c r="I314" s="1110"/>
      <c r="J314" s="1109"/>
      <c r="K314" s="1110"/>
      <c r="L314" s="1124"/>
      <c r="M314" s="1131"/>
      <c r="N314" s="1108"/>
      <c r="O314" s="1109"/>
      <c r="P314" s="1109"/>
      <c r="Q314" s="1110"/>
      <c r="R314" s="1110"/>
      <c r="S314" s="1109"/>
      <c r="T314" s="1110"/>
      <c r="U314" s="1124"/>
      <c r="V314" s="1131"/>
      <c r="W314" s="1108"/>
      <c r="X314" s="1109"/>
      <c r="Y314" s="1109"/>
      <c r="Z314" s="1110"/>
      <c r="AA314" s="1110"/>
      <c r="AB314" s="1109"/>
      <c r="AC314" s="1110"/>
      <c r="AD314" s="1124"/>
      <c r="AE314" s="1131"/>
      <c r="AF314" s="1145">
        <f t="shared" ref="AF314:AF316" si="206">SUM(E314:AD314)</f>
        <v>0</v>
      </c>
      <c r="AG314" s="1153"/>
      <c r="AH314" s="1145"/>
      <c r="AI314" s="1153">
        <f t="shared" ref="AI314:AI316" si="207">AF314+AG314+AH314</f>
        <v>0</v>
      </c>
      <c r="AJ314" s="1154"/>
      <c r="AK314" s="1155">
        <f t="shared" ref="AK314:AK316" si="208">AI314+AJ314</f>
        <v>0</v>
      </c>
    </row>
    <row r="315" spans="1:37" ht="20.25">
      <c r="A315" s="551"/>
      <c r="B315" s="1112"/>
      <c r="C315" s="1113"/>
      <c r="D315" s="1114"/>
      <c r="E315" s="1108"/>
      <c r="F315" s="1109"/>
      <c r="G315" s="1109"/>
      <c r="H315" s="1110"/>
      <c r="I315" s="1110"/>
      <c r="J315" s="1109"/>
      <c r="K315" s="1110"/>
      <c r="L315" s="1124"/>
      <c r="M315" s="1131"/>
      <c r="N315" s="1108"/>
      <c r="O315" s="1109"/>
      <c r="P315" s="1109"/>
      <c r="Q315" s="1110"/>
      <c r="R315" s="1110"/>
      <c r="S315" s="1109"/>
      <c r="T315" s="1110"/>
      <c r="U315" s="1124"/>
      <c r="V315" s="1131"/>
      <c r="W315" s="1108"/>
      <c r="X315" s="1109"/>
      <c r="Y315" s="1109"/>
      <c r="Z315" s="1110"/>
      <c r="AA315" s="1110"/>
      <c r="AB315" s="1109"/>
      <c r="AC315" s="1110"/>
      <c r="AD315" s="1124"/>
      <c r="AE315" s="1131"/>
      <c r="AF315" s="1148">
        <f t="shared" si="206"/>
        <v>0</v>
      </c>
      <c r="AG315" s="1156"/>
      <c r="AH315" s="1148"/>
      <c r="AI315" s="1156">
        <f t="shared" si="207"/>
        <v>0</v>
      </c>
      <c r="AJ315" s="1159"/>
      <c r="AK315" s="1158">
        <f t="shared" si="208"/>
        <v>0</v>
      </c>
    </row>
    <row r="316" spans="1:37" ht="20.25">
      <c r="A316" s="547"/>
      <c r="B316" s="550"/>
      <c r="C316" s="549"/>
      <c r="D316" s="544"/>
      <c r="E316" s="1108"/>
      <c r="F316" s="1109"/>
      <c r="G316" s="1109"/>
      <c r="H316" s="1110"/>
      <c r="I316" s="1110"/>
      <c r="J316" s="1109"/>
      <c r="K316" s="1110"/>
      <c r="L316" s="1124"/>
      <c r="M316" s="1125"/>
      <c r="N316" s="1108"/>
      <c r="O316" s="1109"/>
      <c r="P316" s="1109"/>
      <c r="Q316" s="1110"/>
      <c r="R316" s="1110"/>
      <c r="S316" s="1109"/>
      <c r="T316" s="1110"/>
      <c r="U316" s="1124"/>
      <c r="V316" s="1139"/>
      <c r="W316" s="1126"/>
      <c r="X316" s="1127"/>
      <c r="Y316" s="1127"/>
      <c r="Z316" s="1127"/>
      <c r="AA316" s="1127"/>
      <c r="AB316" s="1127"/>
      <c r="AC316" s="1127"/>
      <c r="AD316" s="1144"/>
      <c r="AE316" s="1139"/>
      <c r="AF316" s="1145">
        <f t="shared" si="206"/>
        <v>0</v>
      </c>
      <c r="AG316" s="1153"/>
      <c r="AH316" s="1145"/>
      <c r="AI316" s="1153">
        <f t="shared" si="207"/>
        <v>0</v>
      </c>
      <c r="AJ316" s="1154"/>
      <c r="AK316" s="1155">
        <f t="shared" si="208"/>
        <v>0</v>
      </c>
    </row>
    <row r="317" spans="1:37" ht="20.25">
      <c r="A317" s="537"/>
      <c r="B317" s="552"/>
      <c r="C317" s="553"/>
      <c r="D317" s="544"/>
      <c r="E317" s="1108"/>
      <c r="F317" s="1109"/>
      <c r="G317" s="1109"/>
      <c r="H317" s="1110"/>
      <c r="I317" s="1110"/>
      <c r="J317" s="1109"/>
      <c r="K317" s="1110"/>
      <c r="L317" s="1124"/>
      <c r="M317" s="1131"/>
      <c r="N317" s="1108"/>
      <c r="O317" s="1109"/>
      <c r="P317" s="1109"/>
      <c r="Q317" s="1110"/>
      <c r="R317" s="1110"/>
      <c r="S317" s="1109"/>
      <c r="T317" s="1110"/>
      <c r="U317" s="1124"/>
      <c r="V317" s="1131"/>
      <c r="W317" s="1108"/>
      <c r="X317" s="1109"/>
      <c r="Y317" s="1109"/>
      <c r="Z317" s="1110"/>
      <c r="AA317" s="1110"/>
      <c r="AB317" s="1109"/>
      <c r="AC317" s="1110"/>
      <c r="AD317" s="1124"/>
      <c r="AE317" s="1131"/>
      <c r="AF317" s="1145">
        <f t="shared" ref="AF317" si="209">SUM(E317:AD317)</f>
        <v>0</v>
      </c>
      <c r="AG317" s="1153"/>
      <c r="AH317" s="1145"/>
      <c r="AI317" s="1153">
        <f t="shared" ref="AI317" si="210">AF317+AG317+AH317</f>
        <v>0</v>
      </c>
      <c r="AJ317" s="1154"/>
      <c r="AK317" s="1155">
        <f t="shared" ref="AK317" si="211">AI317+AJ317</f>
        <v>0</v>
      </c>
    </row>
    <row r="318" spans="1:37" ht="20.25">
      <c r="A318" s="537"/>
      <c r="B318" s="550"/>
      <c r="C318" s="549"/>
      <c r="D318" s="544"/>
      <c r="E318" s="1108"/>
      <c r="F318" s="1109"/>
      <c r="G318" s="1109"/>
      <c r="H318" s="1110"/>
      <c r="I318" s="1110"/>
      <c r="J318" s="1109"/>
      <c r="K318" s="1110"/>
      <c r="L318" s="1124"/>
      <c r="M318" s="1131"/>
      <c r="N318" s="1108"/>
      <c r="O318" s="1109"/>
      <c r="P318" s="1109"/>
      <c r="Q318" s="1110"/>
      <c r="R318" s="1110"/>
      <c r="S318" s="1109"/>
      <c r="T318" s="1110"/>
      <c r="U318" s="1124"/>
      <c r="V318" s="1131"/>
      <c r="W318" s="1108"/>
      <c r="X318" s="1109"/>
      <c r="Y318" s="1109"/>
      <c r="Z318" s="1110"/>
      <c r="AA318" s="1110"/>
      <c r="AB318" s="1109"/>
      <c r="AC318" s="1110"/>
      <c r="AD318" s="1124"/>
      <c r="AE318" s="1131"/>
      <c r="AF318" s="1148">
        <f t="shared" ref="AF318" si="212">SUM(E318:AD318)</f>
        <v>0</v>
      </c>
      <c r="AG318" s="1156"/>
      <c r="AH318" s="1148"/>
      <c r="AI318" s="1156">
        <f t="shared" ref="AI318" si="213">AF318+AG318+AH318</f>
        <v>0</v>
      </c>
      <c r="AJ318" s="1159"/>
      <c r="AK318" s="1158">
        <f t="shared" ref="AK318" si="214">AI318+AJ318</f>
        <v>0</v>
      </c>
    </row>
    <row r="319" spans="1:37" ht="20.25">
      <c r="A319" s="547"/>
      <c r="B319" s="550"/>
      <c r="C319" s="549"/>
      <c r="D319" s="544"/>
      <c r="E319" s="1108"/>
      <c r="F319" s="1109"/>
      <c r="G319" s="1109"/>
      <c r="H319" s="1110"/>
      <c r="I319" s="1110"/>
      <c r="J319" s="1109"/>
      <c r="K319" s="1110"/>
      <c r="L319" s="1124"/>
      <c r="M319" s="1125"/>
      <c r="N319" s="1108"/>
      <c r="O319" s="1109"/>
      <c r="P319" s="1109"/>
      <c r="Q319" s="1110"/>
      <c r="R319" s="1110"/>
      <c r="S319" s="1109"/>
      <c r="T319" s="1110"/>
      <c r="U319" s="1124"/>
      <c r="V319" s="1139"/>
      <c r="W319" s="1126"/>
      <c r="X319" s="1127"/>
      <c r="Y319" s="1127"/>
      <c r="Z319" s="1127"/>
      <c r="AA319" s="1127"/>
      <c r="AB319" s="1127"/>
      <c r="AC319" s="1127"/>
      <c r="AD319" s="1144"/>
      <c r="AE319" s="1139"/>
      <c r="AF319" s="1145">
        <f t="shared" si="205"/>
        <v>0</v>
      </c>
      <c r="AG319" s="1153"/>
      <c r="AH319" s="1145"/>
      <c r="AI319" s="1153">
        <f t="shared" si="202"/>
        <v>0</v>
      </c>
      <c r="AJ319" s="1154"/>
      <c r="AK319" s="1155">
        <f t="shared" si="203"/>
        <v>0</v>
      </c>
    </row>
    <row r="320" spans="1:37" ht="20.25">
      <c r="A320" s="551"/>
      <c r="B320" s="550"/>
      <c r="C320" s="549"/>
      <c r="D320" s="544"/>
      <c r="E320" s="1108"/>
      <c r="F320" s="1109"/>
      <c r="G320" s="1109"/>
      <c r="H320" s="1110"/>
      <c r="I320" s="1110"/>
      <c r="J320" s="1109"/>
      <c r="K320" s="1110"/>
      <c r="L320" s="1124"/>
      <c r="M320" s="1125"/>
      <c r="N320" s="1108"/>
      <c r="O320" s="1109"/>
      <c r="P320" s="1109"/>
      <c r="Q320" s="1110"/>
      <c r="R320" s="1110"/>
      <c r="S320" s="1109"/>
      <c r="T320" s="1110"/>
      <c r="U320" s="1124"/>
      <c r="V320" s="1139"/>
      <c r="W320" s="1126"/>
      <c r="X320" s="1127"/>
      <c r="Y320" s="1127"/>
      <c r="Z320" s="1127"/>
      <c r="AA320" s="1127"/>
      <c r="AB320" s="1127"/>
      <c r="AC320" s="1127"/>
      <c r="AD320" s="1144"/>
      <c r="AE320" s="1139"/>
      <c r="AF320" s="1145">
        <f t="shared" ref="AF320:AF326" si="215">SUM(E320:AD320)</f>
        <v>0</v>
      </c>
      <c r="AG320" s="1153"/>
      <c r="AH320" s="1145"/>
      <c r="AI320" s="1153">
        <f t="shared" ref="AI320:AI326" si="216">AF320+AG320+AH320</f>
        <v>0</v>
      </c>
      <c r="AJ320" s="1154"/>
      <c r="AK320" s="1155">
        <f t="shared" ref="AK320:AK326" si="217">AI320+AJ320</f>
        <v>0</v>
      </c>
    </row>
    <row r="321" spans="1:37" ht="20.25">
      <c r="A321" s="551"/>
      <c r="B321" s="550"/>
      <c r="C321" s="549"/>
      <c r="D321" s="544"/>
      <c r="E321" s="1108"/>
      <c r="F321" s="1109"/>
      <c r="G321" s="1109"/>
      <c r="H321" s="1110"/>
      <c r="I321" s="1110"/>
      <c r="J321" s="1109"/>
      <c r="K321" s="1110"/>
      <c r="L321" s="1124"/>
      <c r="M321" s="1125"/>
      <c r="N321" s="1108"/>
      <c r="O321" s="1109"/>
      <c r="P321" s="1109"/>
      <c r="Q321" s="1110"/>
      <c r="R321" s="1110"/>
      <c r="S321" s="1109"/>
      <c r="T321" s="1110"/>
      <c r="U321" s="1124"/>
      <c r="V321" s="1139"/>
      <c r="W321" s="1126"/>
      <c r="X321" s="1127"/>
      <c r="Y321" s="1127"/>
      <c r="Z321" s="1127"/>
      <c r="AA321" s="1127"/>
      <c r="AB321" s="1127"/>
      <c r="AC321" s="1127"/>
      <c r="AD321" s="1144"/>
      <c r="AE321" s="1139"/>
      <c r="AF321" s="1145">
        <f t="shared" si="215"/>
        <v>0</v>
      </c>
      <c r="AG321" s="1153"/>
      <c r="AH321" s="1145"/>
      <c r="AI321" s="1153">
        <f t="shared" si="216"/>
        <v>0</v>
      </c>
      <c r="AJ321" s="1154"/>
      <c r="AK321" s="1155">
        <f t="shared" si="217"/>
        <v>0</v>
      </c>
    </row>
    <row r="322" spans="1:37" ht="20.25">
      <c r="A322" s="551"/>
      <c r="B322" s="550"/>
      <c r="C322" s="549"/>
      <c r="D322" s="544"/>
      <c r="E322" s="1108"/>
      <c r="F322" s="1109"/>
      <c r="G322" s="1109"/>
      <c r="H322" s="1110"/>
      <c r="I322" s="1110"/>
      <c r="J322" s="1109"/>
      <c r="K322" s="1110"/>
      <c r="L322" s="1124"/>
      <c r="M322" s="1125"/>
      <c r="N322" s="1108"/>
      <c r="O322" s="1109"/>
      <c r="P322" s="1109"/>
      <c r="Q322" s="1110"/>
      <c r="R322" s="1110"/>
      <c r="S322" s="1109"/>
      <c r="T322" s="1110"/>
      <c r="U322" s="1124"/>
      <c r="V322" s="1139"/>
      <c r="W322" s="1126"/>
      <c r="X322" s="1127"/>
      <c r="Y322" s="1127"/>
      <c r="Z322" s="1127"/>
      <c r="AA322" s="1127"/>
      <c r="AB322" s="1127"/>
      <c r="AC322" s="1127"/>
      <c r="AD322" s="1144"/>
      <c r="AE322" s="1139"/>
      <c r="AF322" s="1145">
        <f t="shared" si="215"/>
        <v>0</v>
      </c>
      <c r="AG322" s="1153"/>
      <c r="AH322" s="1145"/>
      <c r="AI322" s="1153">
        <f t="shared" si="216"/>
        <v>0</v>
      </c>
      <c r="AJ322" s="1154"/>
      <c r="AK322" s="1155">
        <f t="shared" si="217"/>
        <v>0</v>
      </c>
    </row>
    <row r="323" spans="1:37" ht="20.25">
      <c r="A323" s="537"/>
      <c r="B323" s="550"/>
      <c r="C323" s="549"/>
      <c r="D323" s="544"/>
      <c r="E323" s="1108"/>
      <c r="F323" s="1109"/>
      <c r="G323" s="1109"/>
      <c r="H323" s="1110"/>
      <c r="I323" s="1110"/>
      <c r="J323" s="1109"/>
      <c r="K323" s="1110"/>
      <c r="L323" s="1124"/>
      <c r="M323" s="1125"/>
      <c r="N323" s="1108"/>
      <c r="O323" s="1109"/>
      <c r="P323" s="1109"/>
      <c r="Q323" s="1110"/>
      <c r="R323" s="1110"/>
      <c r="S323" s="1109"/>
      <c r="T323" s="1110"/>
      <c r="U323" s="1124"/>
      <c r="V323" s="1139"/>
      <c r="W323" s="1126"/>
      <c r="X323" s="1127"/>
      <c r="Y323" s="1127"/>
      <c r="Z323" s="1127"/>
      <c r="AA323" s="1127"/>
      <c r="AB323" s="1127"/>
      <c r="AC323" s="1127"/>
      <c r="AD323" s="1144"/>
      <c r="AE323" s="1139"/>
      <c r="AF323" s="1145">
        <f t="shared" si="215"/>
        <v>0</v>
      </c>
      <c r="AG323" s="1153"/>
      <c r="AH323" s="1145"/>
      <c r="AI323" s="1153">
        <f t="shared" si="216"/>
        <v>0</v>
      </c>
      <c r="AJ323" s="1154"/>
      <c r="AK323" s="1155">
        <f t="shared" si="217"/>
        <v>0</v>
      </c>
    </row>
    <row r="324" spans="1:37" ht="20.25">
      <c r="A324" s="537"/>
      <c r="B324" s="550"/>
      <c r="C324" s="549"/>
      <c r="D324" s="544"/>
      <c r="E324" s="1108"/>
      <c r="F324" s="1109"/>
      <c r="G324" s="1109"/>
      <c r="H324" s="1110"/>
      <c r="I324" s="1110"/>
      <c r="J324" s="1109"/>
      <c r="K324" s="1110"/>
      <c r="L324" s="1124"/>
      <c r="M324" s="1125"/>
      <c r="N324" s="1108"/>
      <c r="O324" s="1109"/>
      <c r="P324" s="1109"/>
      <c r="Q324" s="1110"/>
      <c r="R324" s="1110"/>
      <c r="S324" s="1109"/>
      <c r="T324" s="1110"/>
      <c r="U324" s="1124"/>
      <c r="V324" s="1139"/>
      <c r="W324" s="1126"/>
      <c r="X324" s="1127"/>
      <c r="Y324" s="1127"/>
      <c r="Z324" s="1127"/>
      <c r="AA324" s="1127"/>
      <c r="AB324" s="1127"/>
      <c r="AC324" s="1127"/>
      <c r="AD324" s="1144"/>
      <c r="AE324" s="1139"/>
      <c r="AF324" s="1145">
        <f t="shared" si="215"/>
        <v>0</v>
      </c>
      <c r="AG324" s="1153"/>
      <c r="AH324" s="1145"/>
      <c r="AI324" s="1153">
        <f t="shared" si="216"/>
        <v>0</v>
      </c>
      <c r="AJ324" s="1154"/>
      <c r="AK324" s="1155">
        <f t="shared" si="217"/>
        <v>0</v>
      </c>
    </row>
    <row r="325" spans="1:37" ht="20.25">
      <c r="A325" s="537"/>
      <c r="B325" s="550"/>
      <c r="C325" s="549"/>
      <c r="D325" s="544"/>
      <c r="E325" s="1108"/>
      <c r="F325" s="1109"/>
      <c r="G325" s="1109"/>
      <c r="H325" s="1110"/>
      <c r="I325" s="1110"/>
      <c r="J325" s="1109"/>
      <c r="K325" s="1110"/>
      <c r="L325" s="1124"/>
      <c r="M325" s="1125"/>
      <c r="N325" s="1108"/>
      <c r="O325" s="1109"/>
      <c r="P325" s="1109"/>
      <c r="Q325" s="1110"/>
      <c r="R325" s="1110"/>
      <c r="S325" s="1109"/>
      <c r="T325" s="1110"/>
      <c r="U325" s="1124"/>
      <c r="V325" s="1139"/>
      <c r="W325" s="1126"/>
      <c r="X325" s="1127"/>
      <c r="Y325" s="1127"/>
      <c r="Z325" s="1127"/>
      <c r="AA325" s="1127"/>
      <c r="AB325" s="1127"/>
      <c r="AC325" s="1127"/>
      <c r="AD325" s="1144"/>
      <c r="AE325" s="1139"/>
      <c r="AF325" s="1145">
        <f t="shared" si="215"/>
        <v>0</v>
      </c>
      <c r="AG325" s="1153"/>
      <c r="AH325" s="1145"/>
      <c r="AI325" s="1153">
        <f t="shared" si="216"/>
        <v>0</v>
      </c>
      <c r="AJ325" s="1154"/>
      <c r="AK325" s="1155">
        <f t="shared" si="217"/>
        <v>0</v>
      </c>
    </row>
    <row r="326" spans="1:37" ht="20.25">
      <c r="A326" s="1111"/>
      <c r="B326" s="563"/>
      <c r="C326" s="553"/>
      <c r="D326" s="544"/>
      <c r="E326" s="1108"/>
      <c r="F326" s="1109"/>
      <c r="G326" s="1109"/>
      <c r="H326" s="1110"/>
      <c r="I326" s="1110"/>
      <c r="J326" s="1109"/>
      <c r="K326" s="1110"/>
      <c r="L326" s="1124"/>
      <c r="M326" s="1125"/>
      <c r="N326" s="1108"/>
      <c r="O326" s="1109"/>
      <c r="P326" s="1109"/>
      <c r="Q326" s="1110"/>
      <c r="R326" s="1110"/>
      <c r="S326" s="1109"/>
      <c r="T326" s="1110"/>
      <c r="U326" s="1124"/>
      <c r="V326" s="1139"/>
      <c r="W326" s="1126"/>
      <c r="X326" s="1127"/>
      <c r="Y326" s="1127"/>
      <c r="Z326" s="1127"/>
      <c r="AA326" s="1127"/>
      <c r="AB326" s="1127"/>
      <c r="AC326" s="1127"/>
      <c r="AD326" s="1144"/>
      <c r="AE326" s="1139"/>
      <c r="AF326" s="1145">
        <f t="shared" si="215"/>
        <v>0</v>
      </c>
      <c r="AG326" s="1153"/>
      <c r="AH326" s="1145"/>
      <c r="AI326" s="1153">
        <f t="shared" si="216"/>
        <v>0</v>
      </c>
      <c r="AJ326" s="1154"/>
      <c r="AK326" s="1155">
        <f t="shared" si="217"/>
        <v>0</v>
      </c>
    </row>
    <row r="327" spans="1:37" ht="20.25">
      <c r="A327" s="537"/>
      <c r="B327" s="550"/>
      <c r="C327" s="549"/>
      <c r="D327" s="544"/>
      <c r="E327" s="1108"/>
      <c r="F327" s="1109"/>
      <c r="G327" s="1109"/>
      <c r="H327" s="1110"/>
      <c r="I327" s="1110"/>
      <c r="J327" s="1109"/>
      <c r="K327" s="1110"/>
      <c r="L327" s="1124"/>
      <c r="M327" s="1125"/>
      <c r="N327" s="1108"/>
      <c r="O327" s="1109"/>
      <c r="P327" s="1109"/>
      <c r="Q327" s="1110"/>
      <c r="R327" s="1110"/>
      <c r="S327" s="1109"/>
      <c r="T327" s="1110"/>
      <c r="U327" s="1124"/>
      <c r="V327" s="1139"/>
      <c r="W327" s="1126"/>
      <c r="X327" s="1127"/>
      <c r="Y327" s="1127"/>
      <c r="Z327" s="1127"/>
      <c r="AA327" s="1127"/>
      <c r="AB327" s="1127"/>
      <c r="AC327" s="1127"/>
      <c r="AD327" s="1144"/>
      <c r="AE327" s="1139"/>
      <c r="AF327" s="1145">
        <f t="shared" si="205"/>
        <v>0</v>
      </c>
      <c r="AG327" s="1153"/>
      <c r="AH327" s="1145"/>
      <c r="AI327" s="1153">
        <f t="shared" si="202"/>
        <v>0</v>
      </c>
      <c r="AJ327" s="1154"/>
      <c r="AK327" s="1155">
        <f t="shared" si="203"/>
        <v>0</v>
      </c>
    </row>
    <row r="328" spans="1:37" ht="20.25">
      <c r="A328" s="551"/>
      <c r="B328" s="550"/>
      <c r="C328" s="549"/>
      <c r="D328" s="544"/>
      <c r="E328" s="1108"/>
      <c r="F328" s="1109"/>
      <c r="G328" s="1109"/>
      <c r="H328" s="1110"/>
      <c r="I328" s="1110"/>
      <c r="J328" s="1109"/>
      <c r="K328" s="1110"/>
      <c r="L328" s="1124"/>
      <c r="M328" s="1125"/>
      <c r="N328" s="1108"/>
      <c r="O328" s="1109"/>
      <c r="P328" s="1109"/>
      <c r="Q328" s="1110"/>
      <c r="R328" s="1110"/>
      <c r="S328" s="1109"/>
      <c r="T328" s="1110"/>
      <c r="U328" s="1124"/>
      <c r="V328" s="1139"/>
      <c r="W328" s="1126"/>
      <c r="X328" s="1127"/>
      <c r="Y328" s="1127"/>
      <c r="Z328" s="1127"/>
      <c r="AA328" s="1127"/>
      <c r="AB328" s="1127"/>
      <c r="AC328" s="1127"/>
      <c r="AD328" s="1144"/>
      <c r="AE328" s="1139"/>
      <c r="AF328" s="1145">
        <f t="shared" si="205"/>
        <v>0</v>
      </c>
      <c r="AG328" s="1153"/>
      <c r="AH328" s="1145"/>
      <c r="AI328" s="1153">
        <f t="shared" si="202"/>
        <v>0</v>
      </c>
      <c r="AJ328" s="1154"/>
      <c r="AK328" s="1155">
        <f t="shared" si="203"/>
        <v>0</v>
      </c>
    </row>
    <row r="329" spans="1:37" ht="20.25">
      <c r="A329" s="537"/>
      <c r="B329" s="550"/>
      <c r="C329" s="549"/>
      <c r="D329" s="544"/>
      <c r="E329" s="1108"/>
      <c r="F329" s="1109"/>
      <c r="G329" s="1109"/>
      <c r="H329" s="1110"/>
      <c r="I329" s="1110"/>
      <c r="J329" s="1109"/>
      <c r="K329" s="1110"/>
      <c r="L329" s="1124"/>
      <c r="M329" s="1125"/>
      <c r="N329" s="1108"/>
      <c r="O329" s="1109"/>
      <c r="P329" s="1109"/>
      <c r="Q329" s="1110"/>
      <c r="R329" s="1110"/>
      <c r="S329" s="1109"/>
      <c r="T329" s="1110"/>
      <c r="U329" s="1124"/>
      <c r="V329" s="1139"/>
      <c r="W329" s="1126"/>
      <c r="X329" s="1127"/>
      <c r="Y329" s="1127"/>
      <c r="Z329" s="1127"/>
      <c r="AA329" s="1127"/>
      <c r="AB329" s="1127"/>
      <c r="AC329" s="1127"/>
      <c r="AD329" s="1144"/>
      <c r="AE329" s="1139"/>
      <c r="AF329" s="1145">
        <f t="shared" si="205"/>
        <v>0</v>
      </c>
      <c r="AG329" s="1153"/>
      <c r="AH329" s="1145"/>
      <c r="AI329" s="1153">
        <f t="shared" si="202"/>
        <v>0</v>
      </c>
      <c r="AJ329" s="1154"/>
      <c r="AK329" s="1155">
        <f t="shared" si="203"/>
        <v>0</v>
      </c>
    </row>
    <row r="330" spans="1:37" ht="20.25">
      <c r="A330" s="551"/>
      <c r="B330" s="550"/>
      <c r="C330" s="549"/>
      <c r="D330" s="544"/>
      <c r="E330" s="1108"/>
      <c r="F330" s="1109"/>
      <c r="G330" s="1109"/>
      <c r="H330" s="1110"/>
      <c r="I330" s="1110"/>
      <c r="J330" s="1109"/>
      <c r="K330" s="1110"/>
      <c r="L330" s="1124"/>
      <c r="M330" s="1125"/>
      <c r="N330" s="1108"/>
      <c r="O330" s="1109"/>
      <c r="P330" s="1109"/>
      <c r="Q330" s="1110"/>
      <c r="R330" s="1110"/>
      <c r="S330" s="1109"/>
      <c r="T330" s="1110"/>
      <c r="U330" s="1124"/>
      <c r="V330" s="1139"/>
      <c r="W330" s="1126"/>
      <c r="X330" s="1127"/>
      <c r="Y330" s="1127"/>
      <c r="Z330" s="1127"/>
      <c r="AA330" s="1127"/>
      <c r="AB330" s="1127"/>
      <c r="AC330" s="1127"/>
      <c r="AD330" s="1144"/>
      <c r="AE330" s="1139"/>
      <c r="AF330" s="1145">
        <f t="shared" ref="AF330:AF331" si="218">SUM(E330:AD330)</f>
        <v>0</v>
      </c>
      <c r="AG330" s="1153"/>
      <c r="AH330" s="1145"/>
      <c r="AI330" s="1153">
        <f t="shared" ref="AI330:AI331" si="219">AF330+AG330+AH330</f>
        <v>0</v>
      </c>
      <c r="AJ330" s="1154"/>
      <c r="AK330" s="1155">
        <f t="shared" ref="AK330:AK331" si="220">AI330+AJ330</f>
        <v>0</v>
      </c>
    </row>
    <row r="331" spans="1:37" ht="20.25">
      <c r="A331" s="537"/>
      <c r="B331" s="550"/>
      <c r="C331" s="549"/>
      <c r="D331" s="544"/>
      <c r="E331" s="1108"/>
      <c r="F331" s="1109"/>
      <c r="G331" s="1109"/>
      <c r="H331" s="1110"/>
      <c r="I331" s="1110"/>
      <c r="J331" s="1109"/>
      <c r="K331" s="1110"/>
      <c r="L331" s="1124"/>
      <c r="M331" s="1125"/>
      <c r="N331" s="1108"/>
      <c r="O331" s="1109"/>
      <c r="P331" s="1109"/>
      <c r="Q331" s="1110"/>
      <c r="R331" s="1110"/>
      <c r="S331" s="1109"/>
      <c r="T331" s="1110"/>
      <c r="U331" s="1124"/>
      <c r="V331" s="1139"/>
      <c r="W331" s="1126"/>
      <c r="X331" s="1127"/>
      <c r="Y331" s="1127"/>
      <c r="Z331" s="1127"/>
      <c r="AA331" s="1127"/>
      <c r="AB331" s="1127"/>
      <c r="AC331" s="1127"/>
      <c r="AD331" s="1144"/>
      <c r="AE331" s="1139"/>
      <c r="AF331" s="1145">
        <f t="shared" si="218"/>
        <v>0</v>
      </c>
      <c r="AG331" s="1153"/>
      <c r="AH331" s="1145"/>
      <c r="AI331" s="1153">
        <f t="shared" si="219"/>
        <v>0</v>
      </c>
      <c r="AJ331" s="1154"/>
      <c r="AK331" s="1155">
        <f t="shared" si="220"/>
        <v>0</v>
      </c>
    </row>
    <row r="332" spans="1:37" ht="20.25">
      <c r="A332" s="537"/>
      <c r="B332" s="550"/>
      <c r="C332" s="549"/>
      <c r="D332" s="544"/>
      <c r="E332" s="1108"/>
      <c r="F332" s="1109"/>
      <c r="G332" s="1109"/>
      <c r="H332" s="1110"/>
      <c r="I332" s="1110"/>
      <c r="J332" s="1109"/>
      <c r="K332" s="1110"/>
      <c r="L332" s="1124"/>
      <c r="M332" s="1125"/>
      <c r="N332" s="1108"/>
      <c r="O332" s="1109"/>
      <c r="P332" s="1109"/>
      <c r="Q332" s="1110"/>
      <c r="R332" s="1110"/>
      <c r="S332" s="1109"/>
      <c r="T332" s="1110"/>
      <c r="U332" s="1124"/>
      <c r="V332" s="1139"/>
      <c r="W332" s="1126"/>
      <c r="X332" s="1127"/>
      <c r="Y332" s="1127"/>
      <c r="Z332" s="1127"/>
      <c r="AA332" s="1127"/>
      <c r="AB332" s="1127"/>
      <c r="AC332" s="1127"/>
      <c r="AD332" s="1144"/>
      <c r="AE332" s="1139"/>
      <c r="AF332" s="1145">
        <f t="shared" ref="AF332" si="221">SUM(E332:AD332)</f>
        <v>0</v>
      </c>
      <c r="AG332" s="1153"/>
      <c r="AH332" s="1145"/>
      <c r="AI332" s="1153">
        <f t="shared" ref="AI332" si="222">AF332+AG332+AH332</f>
        <v>0</v>
      </c>
      <c r="AJ332" s="1154"/>
      <c r="AK332" s="1155">
        <f t="shared" ref="AK332" si="223">AI332+AJ332</f>
        <v>0</v>
      </c>
    </row>
    <row r="333" spans="1:37" ht="20.25">
      <c r="A333" s="551"/>
      <c r="B333" s="563"/>
      <c r="C333" s="553"/>
      <c r="D333" s="544"/>
      <c r="E333" s="1108"/>
      <c r="F333" s="1109"/>
      <c r="G333" s="1109"/>
      <c r="H333" s="1110"/>
      <c r="I333" s="1110"/>
      <c r="J333" s="1109"/>
      <c r="K333" s="1110"/>
      <c r="L333" s="1124"/>
      <c r="M333" s="1125"/>
      <c r="N333" s="1108"/>
      <c r="O333" s="1109"/>
      <c r="P333" s="1109"/>
      <c r="Q333" s="1110"/>
      <c r="R333" s="1110"/>
      <c r="S333" s="1109"/>
      <c r="T333" s="1110"/>
      <c r="U333" s="1124"/>
      <c r="V333" s="1139"/>
      <c r="W333" s="1126"/>
      <c r="X333" s="1127"/>
      <c r="Y333" s="1127"/>
      <c r="Z333" s="1127"/>
      <c r="AA333" s="1127"/>
      <c r="AB333" s="1127"/>
      <c r="AC333" s="1127"/>
      <c r="AD333" s="1144"/>
      <c r="AE333" s="1139"/>
      <c r="AF333" s="1145">
        <f t="shared" ref="AF333" si="224">SUM(E333:AD333)</f>
        <v>0</v>
      </c>
      <c r="AG333" s="1153"/>
      <c r="AH333" s="1145"/>
      <c r="AI333" s="1153">
        <f t="shared" ref="AI333" si="225">AF333+AG333+AH333</f>
        <v>0</v>
      </c>
      <c r="AJ333" s="1154"/>
      <c r="AK333" s="1155">
        <f t="shared" ref="AK333" si="226">AI333+AJ333</f>
        <v>0</v>
      </c>
    </row>
    <row r="334" spans="1:37" ht="20.25">
      <c r="A334" s="551"/>
      <c r="B334" s="1112"/>
      <c r="C334" s="1113"/>
      <c r="D334" s="1114"/>
      <c r="E334" s="1108"/>
      <c r="F334" s="1109"/>
      <c r="G334" s="1109"/>
      <c r="H334" s="1110"/>
      <c r="I334" s="1110"/>
      <c r="J334" s="1109"/>
      <c r="K334" s="1110"/>
      <c r="L334" s="1124"/>
      <c r="M334" s="1125"/>
      <c r="N334" s="1108"/>
      <c r="O334" s="1109"/>
      <c r="P334" s="1109"/>
      <c r="Q334" s="1110"/>
      <c r="R334" s="1110"/>
      <c r="S334" s="1109"/>
      <c r="T334" s="1110"/>
      <c r="U334" s="1124"/>
      <c r="V334" s="1139"/>
      <c r="W334" s="1126"/>
      <c r="X334" s="1127"/>
      <c r="Y334" s="1127"/>
      <c r="Z334" s="1127"/>
      <c r="AA334" s="1127"/>
      <c r="AB334" s="1127"/>
      <c r="AC334" s="1127"/>
      <c r="AD334" s="1144"/>
      <c r="AE334" s="1139"/>
      <c r="AF334" s="1145">
        <f t="shared" ref="AF334:AF340" si="227">SUM(E334:AD334)</f>
        <v>0</v>
      </c>
      <c r="AG334" s="1153"/>
      <c r="AH334" s="1145"/>
      <c r="AI334" s="1153">
        <f t="shared" ref="AI334:AI340" si="228">AF334+AG334+AH334</f>
        <v>0</v>
      </c>
      <c r="AJ334" s="1154"/>
      <c r="AK334" s="1155">
        <f t="shared" ref="AK334:AK340" si="229">AI334+AJ334</f>
        <v>0</v>
      </c>
    </row>
    <row r="335" spans="1:37" ht="21" thickBot="1">
      <c r="A335" s="551"/>
      <c r="B335" s="1115"/>
      <c r="C335" s="1116"/>
      <c r="D335" s="1117"/>
      <c r="E335" s="1108"/>
      <c r="F335" s="1109"/>
      <c r="G335" s="1109"/>
      <c r="H335" s="1110"/>
      <c r="I335" s="1110"/>
      <c r="J335" s="1109"/>
      <c r="K335" s="1110"/>
      <c r="L335" s="1124"/>
      <c r="M335" s="1132"/>
      <c r="N335" s="1108"/>
      <c r="O335" s="1109"/>
      <c r="P335" s="1109"/>
      <c r="Q335" s="1110"/>
      <c r="R335" s="1110"/>
      <c r="S335" s="1109"/>
      <c r="T335" s="1110"/>
      <c r="U335" s="1124"/>
      <c r="V335" s="1141"/>
      <c r="W335" s="1142"/>
      <c r="X335" s="1110"/>
      <c r="Y335" s="1110"/>
      <c r="Z335" s="1110"/>
      <c r="AA335" s="1110"/>
      <c r="AB335" s="1110"/>
      <c r="AC335" s="1110"/>
      <c r="AD335" s="1149"/>
      <c r="AE335" s="584"/>
      <c r="AF335" s="596">
        <f t="shared" ref="AF335:AF338" si="230">SUM(E335:AD335)</f>
        <v>0</v>
      </c>
      <c r="AG335" s="597"/>
      <c r="AH335" s="596"/>
      <c r="AI335" s="597">
        <f t="shared" ref="AI335:AI338" si="231">AF335+AG335+AH335</f>
        <v>0</v>
      </c>
      <c r="AJ335" s="607"/>
      <c r="AK335" s="606">
        <f t="shared" ref="AK335:AK338" si="232">AI335+AJ335</f>
        <v>0</v>
      </c>
    </row>
    <row r="336" spans="1:37" ht="20.25">
      <c r="A336" s="547"/>
      <c r="B336" s="545"/>
      <c r="C336" s="539"/>
      <c r="D336" s="3549"/>
      <c r="E336" s="3547"/>
      <c r="F336" s="557"/>
      <c r="G336" s="557"/>
      <c r="H336" s="558"/>
      <c r="I336" s="558"/>
      <c r="J336" s="557"/>
      <c r="K336" s="558"/>
      <c r="L336" s="583"/>
      <c r="M336" s="584"/>
      <c r="N336" s="585"/>
      <c r="O336" s="558"/>
      <c r="P336" s="558"/>
      <c r="Q336" s="558"/>
      <c r="R336" s="558"/>
      <c r="S336" s="558"/>
      <c r="T336" s="558"/>
      <c r="U336" s="819"/>
      <c r="V336" s="584"/>
      <c r="W336" s="585"/>
      <c r="X336" s="558"/>
      <c r="Y336" s="558"/>
      <c r="Z336" s="558"/>
      <c r="AA336" s="558"/>
      <c r="AB336" s="558"/>
      <c r="AC336" s="558"/>
      <c r="AD336" s="595"/>
      <c r="AE336" s="584"/>
      <c r="AF336" s="596">
        <f t="shared" ref="AF336:AF337" si="233">SUM(E336:AD336)</f>
        <v>0</v>
      </c>
      <c r="AG336" s="597"/>
      <c r="AH336" s="596"/>
      <c r="AI336" s="597">
        <f t="shared" ref="AI336:AI337" si="234">AF336+AG336+AH336</f>
        <v>0</v>
      </c>
      <c r="AJ336" s="607"/>
      <c r="AK336" s="606">
        <f t="shared" ref="AK336:AK337" si="235">AI336+AJ336</f>
        <v>0</v>
      </c>
    </row>
    <row r="337" spans="1:37" ht="20.25">
      <c r="A337" s="547"/>
      <c r="B337" s="3547"/>
      <c r="C337" s="3547"/>
      <c r="D337" s="3369"/>
      <c r="E337" s="1107"/>
      <c r="F337" s="557"/>
      <c r="G337" s="557"/>
      <c r="H337" s="558"/>
      <c r="I337" s="558"/>
      <c r="J337" s="557"/>
      <c r="K337" s="558"/>
      <c r="L337" s="583"/>
      <c r="M337" s="584"/>
      <c r="N337" s="585"/>
      <c r="O337" s="558"/>
      <c r="P337" s="558"/>
      <c r="Q337" s="558"/>
      <c r="R337" s="558"/>
      <c r="S337" s="558"/>
      <c r="T337" s="558"/>
      <c r="U337" s="819"/>
      <c r="V337" s="584"/>
      <c r="W337" s="585"/>
      <c r="X337" s="558"/>
      <c r="Y337" s="558"/>
      <c r="Z337" s="558"/>
      <c r="AA337" s="558"/>
      <c r="AB337" s="558"/>
      <c r="AC337" s="558"/>
      <c r="AD337" s="595"/>
      <c r="AE337" s="584"/>
      <c r="AF337" s="596">
        <f t="shared" si="233"/>
        <v>0</v>
      </c>
      <c r="AG337" s="597"/>
      <c r="AH337" s="596"/>
      <c r="AI337" s="597">
        <f t="shared" si="234"/>
        <v>0</v>
      </c>
      <c r="AJ337" s="607"/>
      <c r="AK337" s="606">
        <f t="shared" si="235"/>
        <v>0</v>
      </c>
    </row>
    <row r="338" spans="1:37" ht="20.25">
      <c r="A338" s="551"/>
      <c r="B338" s="545"/>
      <c r="C338" s="539"/>
      <c r="D338" s="3549"/>
      <c r="E338" s="3547"/>
      <c r="F338" s="557"/>
      <c r="G338" s="557"/>
      <c r="H338" s="558"/>
      <c r="I338" s="558"/>
      <c r="J338" s="557"/>
      <c r="K338" s="558"/>
      <c r="L338" s="583"/>
      <c r="M338" s="584"/>
      <c r="N338" s="585"/>
      <c r="O338" s="558"/>
      <c r="P338" s="558"/>
      <c r="Q338" s="558"/>
      <c r="R338" s="558"/>
      <c r="S338" s="558"/>
      <c r="T338" s="558"/>
      <c r="U338" s="819"/>
      <c r="V338" s="584"/>
      <c r="W338" s="585"/>
      <c r="X338" s="558"/>
      <c r="Y338" s="558"/>
      <c r="Z338" s="558"/>
      <c r="AA338" s="558"/>
      <c r="AB338" s="558"/>
      <c r="AC338" s="558"/>
      <c r="AD338" s="595"/>
      <c r="AE338" s="584"/>
      <c r="AF338" s="596">
        <f t="shared" si="230"/>
        <v>0</v>
      </c>
      <c r="AG338" s="597"/>
      <c r="AH338" s="596"/>
      <c r="AI338" s="597">
        <f t="shared" si="231"/>
        <v>0</v>
      </c>
      <c r="AJ338" s="607"/>
      <c r="AK338" s="606">
        <f t="shared" si="232"/>
        <v>0</v>
      </c>
    </row>
    <row r="339" spans="1:37" ht="20.25">
      <c r="A339" s="547"/>
      <c r="B339" s="3547"/>
      <c r="C339" s="3547"/>
      <c r="D339" s="3369"/>
      <c r="E339" s="1107"/>
      <c r="F339" s="557"/>
      <c r="G339" s="557"/>
      <c r="H339" s="558"/>
      <c r="I339" s="558"/>
      <c r="J339" s="557"/>
      <c r="K339" s="558"/>
      <c r="L339" s="583"/>
      <c r="M339" s="584"/>
      <c r="N339" s="585"/>
      <c r="O339" s="558"/>
      <c r="P339" s="558"/>
      <c r="Q339" s="558"/>
      <c r="R339" s="558"/>
      <c r="S339" s="558"/>
      <c r="T339" s="558"/>
      <c r="U339" s="819"/>
      <c r="V339" s="584"/>
      <c r="W339" s="585"/>
      <c r="X339" s="558"/>
      <c r="Y339" s="558"/>
      <c r="Z339" s="558"/>
      <c r="AA339" s="558"/>
      <c r="AB339" s="558"/>
      <c r="AC339" s="558"/>
      <c r="AD339" s="595"/>
      <c r="AE339" s="584"/>
      <c r="AF339" s="596">
        <f t="shared" si="227"/>
        <v>0</v>
      </c>
      <c r="AG339" s="597"/>
      <c r="AH339" s="596"/>
      <c r="AI339" s="597">
        <f t="shared" si="228"/>
        <v>0</v>
      </c>
      <c r="AJ339" s="607"/>
      <c r="AK339" s="606">
        <f t="shared" si="229"/>
        <v>0</v>
      </c>
    </row>
    <row r="340" spans="1:37" ht="20.25">
      <c r="A340" s="551"/>
      <c r="B340" s="1112"/>
      <c r="C340" s="1112"/>
      <c r="D340" s="3548"/>
      <c r="E340" s="3546"/>
      <c r="F340" s="1109"/>
      <c r="G340" s="1109"/>
      <c r="H340" s="1110"/>
      <c r="I340" s="1110"/>
      <c r="J340" s="1109"/>
      <c r="K340" s="1110"/>
      <c r="L340" s="1124"/>
      <c r="M340" s="1132"/>
      <c r="N340" s="1108"/>
      <c r="O340" s="1109"/>
      <c r="P340" s="1109"/>
      <c r="Q340" s="1110"/>
      <c r="R340" s="1110"/>
      <c r="S340" s="1109"/>
      <c r="T340" s="1110"/>
      <c r="U340" s="1124"/>
      <c r="V340" s="1141"/>
      <c r="W340" s="1142"/>
      <c r="X340" s="1110"/>
      <c r="Y340" s="1110"/>
      <c r="Z340" s="1110"/>
      <c r="AA340" s="1110"/>
      <c r="AB340" s="1110"/>
      <c r="AC340" s="1110"/>
      <c r="AD340" s="1149"/>
      <c r="AE340" s="1141"/>
      <c r="AF340" s="1150">
        <f t="shared" si="227"/>
        <v>0</v>
      </c>
      <c r="AG340" s="1160"/>
      <c r="AH340" s="1150"/>
      <c r="AI340" s="1160">
        <f t="shared" si="228"/>
        <v>0</v>
      </c>
      <c r="AJ340" s="1157"/>
      <c r="AK340" s="1161">
        <f t="shared" si="229"/>
        <v>0</v>
      </c>
    </row>
    <row r="341" spans="1:37" ht="21" thickBot="1">
      <c r="A341" s="551"/>
      <c r="B341" s="1112"/>
      <c r="C341" s="1112"/>
      <c r="D341" s="3548"/>
      <c r="E341" s="3546"/>
      <c r="F341" s="1109"/>
      <c r="G341" s="1109"/>
      <c r="H341" s="1110"/>
      <c r="I341" s="1110"/>
      <c r="J341" s="1109"/>
      <c r="K341" s="1110"/>
      <c r="L341" s="1124"/>
      <c r="M341" s="1132"/>
      <c r="N341" s="1108"/>
      <c r="O341" s="1109"/>
      <c r="P341" s="1109"/>
      <c r="Q341" s="1110"/>
      <c r="R341" s="1110"/>
      <c r="S341" s="1109"/>
      <c r="T341" s="1110"/>
      <c r="U341" s="1124"/>
      <c r="V341" s="1141"/>
      <c r="W341" s="1142"/>
      <c r="X341" s="1110"/>
      <c r="Y341" s="1110"/>
      <c r="Z341" s="1110"/>
      <c r="AA341" s="1110"/>
      <c r="AB341" s="1110"/>
      <c r="AC341" s="1110"/>
      <c r="AD341" s="1149"/>
      <c r="AE341" s="1141"/>
      <c r="AF341" s="1150">
        <f t="shared" ref="AF341" si="236">SUM(E341:AD341)</f>
        <v>0</v>
      </c>
      <c r="AG341" s="1160"/>
      <c r="AH341" s="1150"/>
      <c r="AI341" s="1160">
        <f t="shared" ref="AI341" si="237">AF341+AG341+AH341</f>
        <v>0</v>
      </c>
      <c r="AJ341" s="1157"/>
      <c r="AK341" s="1161">
        <f t="shared" si="203"/>
        <v>0</v>
      </c>
    </row>
    <row r="342" spans="1:37" ht="21" thickBot="1">
      <c r="A342" s="626" t="s">
        <v>151</v>
      </c>
      <c r="B342" s="627"/>
      <c r="C342" s="627"/>
      <c r="D342" s="628"/>
      <c r="E342" s="529">
        <f t="shared" ref="E342:L342" si="238">SUM(E281:E341)</f>
        <v>0</v>
      </c>
      <c r="F342" s="529">
        <f t="shared" si="238"/>
        <v>0</v>
      </c>
      <c r="G342" s="529">
        <f t="shared" si="238"/>
        <v>0</v>
      </c>
      <c r="H342" s="529">
        <f t="shared" si="238"/>
        <v>0</v>
      </c>
      <c r="I342" s="529">
        <f t="shared" si="238"/>
        <v>0</v>
      </c>
      <c r="J342" s="529">
        <f t="shared" si="238"/>
        <v>2240</v>
      </c>
      <c r="K342" s="529">
        <f t="shared" si="238"/>
        <v>6880</v>
      </c>
      <c r="L342" s="529">
        <f t="shared" si="238"/>
        <v>160</v>
      </c>
      <c r="M342" s="693">
        <f>SUM(M283:M309)</f>
        <v>0</v>
      </c>
      <c r="N342" s="529">
        <f t="shared" ref="N342:U342" si="239">SUM(N281:N341)</f>
        <v>0</v>
      </c>
      <c r="O342" s="529">
        <f t="shared" si="239"/>
        <v>1800</v>
      </c>
      <c r="P342" s="529">
        <f t="shared" si="239"/>
        <v>0</v>
      </c>
      <c r="Q342" s="529">
        <f t="shared" si="239"/>
        <v>0</v>
      </c>
      <c r="R342" s="529">
        <f t="shared" si="239"/>
        <v>440</v>
      </c>
      <c r="S342" s="529">
        <f t="shared" si="239"/>
        <v>680</v>
      </c>
      <c r="T342" s="529">
        <f t="shared" si="239"/>
        <v>0</v>
      </c>
      <c r="U342" s="529">
        <f t="shared" si="239"/>
        <v>0</v>
      </c>
      <c r="V342" s="574">
        <f>SUM(V283:V309)</f>
        <v>0</v>
      </c>
      <c r="W342" s="529">
        <f t="shared" ref="W342:AD342" si="240">SUM(W281:W341)</f>
        <v>0</v>
      </c>
      <c r="X342" s="529">
        <f t="shared" si="240"/>
        <v>0</v>
      </c>
      <c r="Y342" s="529">
        <f t="shared" si="240"/>
        <v>0</v>
      </c>
      <c r="Z342" s="529">
        <f t="shared" si="240"/>
        <v>0</v>
      </c>
      <c r="AA342" s="529">
        <f t="shared" si="240"/>
        <v>0</v>
      </c>
      <c r="AB342" s="529">
        <f t="shared" si="240"/>
        <v>0</v>
      </c>
      <c r="AC342" s="529">
        <f t="shared" si="240"/>
        <v>0</v>
      </c>
      <c r="AD342" s="529">
        <f t="shared" si="240"/>
        <v>0</v>
      </c>
      <c r="AE342" s="574">
        <f>SUM(AE283:AE341)</f>
        <v>0</v>
      </c>
      <c r="AF342" s="693">
        <f t="shared" ref="AF342:AK342" si="241">SUM(AF281:AF341)</f>
        <v>12200</v>
      </c>
      <c r="AG342" s="693">
        <f t="shared" si="241"/>
        <v>0</v>
      </c>
      <c r="AH342" s="693">
        <f t="shared" si="241"/>
        <v>0</v>
      </c>
      <c r="AI342" s="693">
        <f t="shared" si="241"/>
        <v>12200</v>
      </c>
      <c r="AJ342" s="693">
        <f t="shared" si="241"/>
        <v>0</v>
      </c>
      <c r="AK342" s="693">
        <f t="shared" si="241"/>
        <v>12200</v>
      </c>
    </row>
    <row r="343" spans="1:37" ht="21" thickBot="1">
      <c r="A343" s="530" t="s">
        <v>152</v>
      </c>
      <c r="B343" s="531"/>
      <c r="C343" s="531"/>
      <c r="D343" s="630"/>
      <c r="E343" s="533">
        <f>E342/20</f>
        <v>0</v>
      </c>
      <c r="F343" s="534">
        <f t="shared" ref="F343:L343" si="242">F342/20</f>
        <v>0</v>
      </c>
      <c r="G343" s="534">
        <f t="shared" si="242"/>
        <v>0</v>
      </c>
      <c r="H343" s="534">
        <f t="shared" si="242"/>
        <v>0</v>
      </c>
      <c r="I343" s="534">
        <f t="shared" si="242"/>
        <v>0</v>
      </c>
      <c r="J343" s="534">
        <f t="shared" si="242"/>
        <v>112</v>
      </c>
      <c r="K343" s="586">
        <f t="shared" si="242"/>
        <v>344</v>
      </c>
      <c r="L343" s="586">
        <f t="shared" si="242"/>
        <v>8</v>
      </c>
      <c r="M343" s="575"/>
      <c r="N343" s="576">
        <f>N342/20</f>
        <v>0</v>
      </c>
      <c r="O343" s="577">
        <f t="shared" ref="O343:U343" si="243">O342/20</f>
        <v>90</v>
      </c>
      <c r="P343" s="577">
        <f t="shared" si="243"/>
        <v>0</v>
      </c>
      <c r="Q343" s="577">
        <f t="shared" si="243"/>
        <v>0</v>
      </c>
      <c r="R343" s="577">
        <f t="shared" si="243"/>
        <v>22</v>
      </c>
      <c r="S343" s="577">
        <f t="shared" si="243"/>
        <v>34</v>
      </c>
      <c r="T343" s="577">
        <f t="shared" si="243"/>
        <v>0</v>
      </c>
      <c r="U343" s="586">
        <f t="shared" si="243"/>
        <v>0</v>
      </c>
      <c r="V343" s="575"/>
      <c r="W343" s="576">
        <f>W342/20</f>
        <v>0</v>
      </c>
      <c r="X343" s="577">
        <f t="shared" ref="X343:AB343" si="244">X342/20</f>
        <v>0</v>
      </c>
      <c r="Y343" s="577">
        <f t="shared" si="244"/>
        <v>0</v>
      </c>
      <c r="Z343" s="577">
        <f t="shared" si="244"/>
        <v>0</v>
      </c>
      <c r="AA343" s="577">
        <f t="shared" si="244"/>
        <v>0</v>
      </c>
      <c r="AB343" s="577">
        <f t="shared" si="244"/>
        <v>0</v>
      </c>
      <c r="AC343" s="577">
        <f t="shared" ref="AC343:AD343" si="245">AC342/20</f>
        <v>0</v>
      </c>
      <c r="AD343" s="586">
        <f t="shared" si="245"/>
        <v>0</v>
      </c>
      <c r="AE343" s="575"/>
      <c r="AF343" s="668">
        <f>SUM(E343:AD343)</f>
        <v>610</v>
      </c>
      <c r="AG343" s="687">
        <f>AG342/20</f>
        <v>0</v>
      </c>
      <c r="AH343" s="687">
        <f>AH342/20</f>
        <v>0</v>
      </c>
      <c r="AI343" s="575">
        <f>AI342/20</f>
        <v>610</v>
      </c>
      <c r="AJ343" s="687">
        <f>AJ342/20</f>
        <v>0</v>
      </c>
      <c r="AK343" s="662">
        <f>AK342/20</f>
        <v>610</v>
      </c>
    </row>
    <row r="344" spans="1:37" ht="19.5" thickBot="1">
      <c r="A344" s="306"/>
      <c r="B344" s="307"/>
      <c r="C344" s="307"/>
      <c r="D344" s="308"/>
      <c r="E344" s="309"/>
      <c r="F344" s="309"/>
      <c r="G344" s="309"/>
      <c r="H344" s="309"/>
      <c r="I344" s="309"/>
      <c r="J344" s="309"/>
      <c r="K344" s="309"/>
      <c r="L344" s="309"/>
      <c r="M344" s="346"/>
      <c r="N344" s="347"/>
      <c r="O344" s="347"/>
      <c r="P344" s="347"/>
      <c r="Q344" s="347"/>
      <c r="R344" s="347"/>
      <c r="S344" s="347"/>
      <c r="T344" s="347"/>
      <c r="U344" s="347"/>
      <c r="V344" s="346"/>
      <c r="W344" s="347"/>
      <c r="X344" s="347"/>
      <c r="Y344" s="347"/>
      <c r="Z344" s="347"/>
      <c r="AA344" s="347"/>
      <c r="AB344" s="347"/>
      <c r="AC344" s="347"/>
      <c r="AD344" s="347"/>
      <c r="AE344" s="346"/>
      <c r="AF344" s="347"/>
      <c r="AG344" s="347"/>
      <c r="AH344" s="347"/>
      <c r="AI344" s="347"/>
      <c r="AJ344" s="347"/>
      <c r="AK344" s="402"/>
    </row>
    <row r="345" spans="1:37" ht="16.5" thickBot="1">
      <c r="A345" s="3881" t="s">
        <v>183</v>
      </c>
      <c r="B345" s="3882"/>
      <c r="C345" s="3883"/>
      <c r="D345" s="288" t="s">
        <v>70</v>
      </c>
      <c r="E345" s="743" t="s">
        <v>96</v>
      </c>
      <c r="F345" s="744" t="s">
        <v>124</v>
      </c>
      <c r="G345" s="744" t="s">
        <v>228</v>
      </c>
      <c r="H345" s="744" t="s">
        <v>149</v>
      </c>
      <c r="I345" s="744" t="s">
        <v>470</v>
      </c>
      <c r="J345" s="744" t="s">
        <v>92</v>
      </c>
      <c r="K345" s="50" t="s">
        <v>479</v>
      </c>
      <c r="L345" s="783" t="s">
        <v>123</v>
      </c>
      <c r="M345" s="79"/>
      <c r="N345" s="80" t="s">
        <v>71</v>
      </c>
      <c r="O345" s="49" t="s">
        <v>53</v>
      </c>
      <c r="P345" s="49" t="s">
        <v>118</v>
      </c>
      <c r="Q345" s="49" t="s">
        <v>74</v>
      </c>
      <c r="R345" s="49" t="s">
        <v>75</v>
      </c>
      <c r="S345" s="49" t="s">
        <v>94</v>
      </c>
      <c r="T345" s="126" t="s">
        <v>77</v>
      </c>
      <c r="U345" s="171" t="s">
        <v>101</v>
      </c>
      <c r="V345" s="79"/>
      <c r="W345" s="743" t="s">
        <v>71</v>
      </c>
      <c r="X345" s="744" t="s">
        <v>96</v>
      </c>
      <c r="Y345" s="744" t="s">
        <v>118</v>
      </c>
      <c r="Z345" s="744" t="s">
        <v>231</v>
      </c>
      <c r="AA345" s="744" t="s">
        <v>75</v>
      </c>
      <c r="AB345" s="744" t="s">
        <v>53</v>
      </c>
      <c r="AC345" s="744" t="s">
        <v>230</v>
      </c>
      <c r="AD345" s="171" t="s">
        <v>95</v>
      </c>
      <c r="AE345" s="79"/>
      <c r="AF345" s="371" t="s">
        <v>172</v>
      </c>
      <c r="AG345" s="372" t="s">
        <v>80</v>
      </c>
      <c r="AH345" s="385"/>
      <c r="AI345" s="386" t="s">
        <v>106</v>
      </c>
      <c r="AJ345" s="385" t="s">
        <v>173</v>
      </c>
      <c r="AK345" s="371" t="s">
        <v>108</v>
      </c>
    </row>
    <row r="346" spans="1:37" ht="20.25">
      <c r="A346" s="631"/>
      <c r="B346" s="443"/>
      <c r="C346" s="443"/>
      <c r="D346" s="444"/>
      <c r="E346" s="433"/>
      <c r="F346" s="434"/>
      <c r="G346" s="434"/>
      <c r="H346" s="435"/>
      <c r="I346" s="435"/>
      <c r="J346" s="434"/>
      <c r="K346" s="480"/>
      <c r="L346" s="492"/>
      <c r="M346" s="483"/>
      <c r="N346" s="484"/>
      <c r="O346" s="435"/>
      <c r="P346" s="435"/>
      <c r="Q346" s="435"/>
      <c r="R346" s="435"/>
      <c r="S346" s="435"/>
      <c r="T346" s="435"/>
      <c r="U346" s="492"/>
      <c r="V346" s="483"/>
      <c r="W346" s="433"/>
      <c r="X346" s="434"/>
      <c r="Y346" s="434"/>
      <c r="Z346" s="435"/>
      <c r="AA346" s="435"/>
      <c r="AB346" s="435"/>
      <c r="AC346" s="434"/>
      <c r="AD346" s="495"/>
      <c r="AE346" s="483"/>
      <c r="AF346" s="496">
        <f t="shared" ref="AF346:AF347" si="246">SUM(E346:AD346)</f>
        <v>0</v>
      </c>
      <c r="AG346" s="497"/>
      <c r="AH346" s="510"/>
      <c r="AI346" s="511">
        <f t="shared" ref="AI346:AI347" si="247">AF346+AG346</f>
        <v>0</v>
      </c>
      <c r="AJ346" s="512"/>
      <c r="AK346" s="513">
        <f>AI346+AJ346</f>
        <v>0</v>
      </c>
    </row>
    <row r="347" spans="1:37" ht="21" thickBot="1">
      <c r="A347" s="322"/>
      <c r="B347" s="323"/>
      <c r="C347" s="323"/>
      <c r="D347" s="324"/>
      <c r="E347" s="325"/>
      <c r="F347" s="297"/>
      <c r="G347" s="297"/>
      <c r="H347" s="298"/>
      <c r="I347" s="298"/>
      <c r="J347" s="297"/>
      <c r="K347" s="344"/>
      <c r="L347" s="344"/>
      <c r="M347" s="355"/>
      <c r="N347" s="343"/>
      <c r="O347" s="298"/>
      <c r="P347" s="298"/>
      <c r="Q347" s="298"/>
      <c r="R347" s="298"/>
      <c r="S347" s="298"/>
      <c r="T347" s="298"/>
      <c r="U347" s="367"/>
      <c r="V347" s="355"/>
      <c r="W347" s="325"/>
      <c r="X347" s="297"/>
      <c r="Y347" s="297"/>
      <c r="Z347" s="298"/>
      <c r="AA347" s="298"/>
      <c r="AB347" s="298"/>
      <c r="AC347" s="297"/>
      <c r="AD347" s="375"/>
      <c r="AE347" s="355"/>
      <c r="AF347" s="377">
        <f t="shared" si="246"/>
        <v>0</v>
      </c>
      <c r="AG347" s="377"/>
      <c r="AH347" s="390"/>
      <c r="AI347" s="507">
        <f t="shared" si="247"/>
        <v>0</v>
      </c>
      <c r="AJ347" s="412"/>
      <c r="AK347" s="508">
        <f t="shared" ref="AK347" si="248">AI347+AJ347</f>
        <v>0</v>
      </c>
    </row>
    <row r="348" spans="1:37" ht="21" thickBot="1">
      <c r="A348" s="436"/>
      <c r="B348" s="437"/>
      <c r="C348" s="437"/>
      <c r="D348" s="438"/>
      <c r="E348" s="439">
        <f t="shared" ref="E348:L348" si="249">SUM(E346:E347)</f>
        <v>0</v>
      </c>
      <c r="F348" s="440">
        <f t="shared" si="249"/>
        <v>0</v>
      </c>
      <c r="G348" s="440">
        <f t="shared" si="249"/>
        <v>0</v>
      </c>
      <c r="H348" s="440">
        <f t="shared" si="249"/>
        <v>0</v>
      </c>
      <c r="I348" s="440">
        <f t="shared" si="249"/>
        <v>0</v>
      </c>
      <c r="J348" s="440">
        <f t="shared" si="249"/>
        <v>0</v>
      </c>
      <c r="K348" s="481">
        <f t="shared" ref="K348" si="250">SUM(K346:K347)</f>
        <v>0</v>
      </c>
      <c r="L348" s="481">
        <f t="shared" si="249"/>
        <v>0</v>
      </c>
      <c r="M348" s="482"/>
      <c r="N348" s="439">
        <f t="shared" ref="N348:U348" si="251">SUM(N346:N347)</f>
        <v>0</v>
      </c>
      <c r="O348" s="440">
        <f t="shared" si="251"/>
        <v>0</v>
      </c>
      <c r="P348" s="440">
        <f t="shared" si="251"/>
        <v>0</v>
      </c>
      <c r="Q348" s="440">
        <f t="shared" si="251"/>
        <v>0</v>
      </c>
      <c r="R348" s="440">
        <f t="shared" si="251"/>
        <v>0</v>
      </c>
      <c r="S348" s="440">
        <f t="shared" si="251"/>
        <v>0</v>
      </c>
      <c r="T348" s="440">
        <f t="shared" si="251"/>
        <v>0</v>
      </c>
      <c r="U348" s="481">
        <f t="shared" si="251"/>
        <v>0</v>
      </c>
      <c r="V348" s="482"/>
      <c r="W348" s="439">
        <f t="shared" ref="W348:AD348" si="252">SUM(W346:W347)</f>
        <v>0</v>
      </c>
      <c r="X348" s="440">
        <f t="shared" si="252"/>
        <v>0</v>
      </c>
      <c r="Y348" s="440">
        <f t="shared" si="252"/>
        <v>0</v>
      </c>
      <c r="Z348" s="440">
        <f t="shared" si="252"/>
        <v>0</v>
      </c>
      <c r="AA348" s="440">
        <f t="shared" si="252"/>
        <v>0</v>
      </c>
      <c r="AB348" s="440">
        <f t="shared" si="252"/>
        <v>0</v>
      </c>
      <c r="AC348" s="440">
        <f t="shared" si="252"/>
        <v>0</v>
      </c>
      <c r="AD348" s="481">
        <f t="shared" si="252"/>
        <v>0</v>
      </c>
      <c r="AE348" s="482"/>
      <c r="AF348" s="494">
        <f>SUM(AF346:AF347)</f>
        <v>0</v>
      </c>
      <c r="AG348" s="494">
        <f>SUM(AG346:AG347)</f>
        <v>0</v>
      </c>
      <c r="AH348" s="509"/>
      <c r="AI348" s="514">
        <f>SUM(AI346:AI347)</f>
        <v>0</v>
      </c>
      <c r="AJ348" s="494">
        <f>SUM(AJ346:AJ347)</f>
        <v>0</v>
      </c>
      <c r="AK348" s="515">
        <f>SUM(AK346:AK347)</f>
        <v>0</v>
      </c>
    </row>
    <row r="349" spans="1:37" ht="19.5" thickBot="1">
      <c r="A349" s="1118"/>
      <c r="B349" s="1119"/>
      <c r="C349" s="1119"/>
      <c r="D349" s="1120"/>
      <c r="E349" s="1121"/>
      <c r="F349" s="1121"/>
      <c r="G349" s="1121"/>
      <c r="H349" s="1121"/>
      <c r="I349" s="1121"/>
      <c r="J349" s="1121"/>
      <c r="K349" s="1121"/>
      <c r="L349" s="1121"/>
      <c r="M349" s="1133"/>
      <c r="N349" s="1134"/>
      <c r="O349" s="1134"/>
      <c r="P349" s="1134"/>
      <c r="Q349" s="1134"/>
      <c r="R349" s="1134"/>
      <c r="S349" s="1134"/>
      <c r="T349" s="1134"/>
      <c r="U349" s="1134"/>
      <c r="V349" s="1133"/>
      <c r="W349" s="1134"/>
      <c r="X349" s="1134"/>
      <c r="Y349" s="1134"/>
      <c r="Z349" s="1134"/>
      <c r="AA349" s="1134"/>
      <c r="AB349" s="1134"/>
      <c r="AC349" s="1134"/>
      <c r="AD349" s="1134"/>
      <c r="AE349" s="1133"/>
      <c r="AF349" s="1134"/>
      <c r="AG349" s="1134"/>
      <c r="AH349" s="1162"/>
      <c r="AI349" s="1134"/>
      <c r="AJ349" s="1134"/>
      <c r="AK349" s="1163"/>
    </row>
    <row r="350" spans="1:37" ht="20.25">
      <c r="A350" s="122"/>
      <c r="B350" s="632"/>
      <c r="C350" s="632"/>
      <c r="D350" s="122"/>
      <c r="E350" s="3901"/>
      <c r="F350" s="3901"/>
      <c r="G350" s="3901"/>
      <c r="H350" s="3901"/>
      <c r="I350" s="3901"/>
      <c r="J350" s="3901"/>
      <c r="K350" s="3901"/>
      <c r="L350" s="3901"/>
      <c r="M350" s="633"/>
      <c r="N350" s="3902"/>
      <c r="O350" s="3902"/>
      <c r="P350" s="3902"/>
      <c r="Q350" s="3902"/>
      <c r="R350" s="3902"/>
      <c r="S350" s="3902"/>
      <c r="T350" s="3902"/>
      <c r="U350" s="3902"/>
      <c r="V350" s="663"/>
      <c r="W350" s="3903"/>
      <c r="X350" s="3903"/>
      <c r="Y350" s="3903"/>
      <c r="Z350" s="3903"/>
      <c r="AA350" s="3903"/>
      <c r="AB350" s="3903"/>
      <c r="AC350" s="3903"/>
      <c r="AD350" s="3903"/>
      <c r="AE350" s="688"/>
      <c r="AF350" s="689"/>
      <c r="AG350" s="673"/>
      <c r="AH350" s="673"/>
      <c r="AI350" s="689"/>
      <c r="AJ350" s="689"/>
      <c r="AK350" s="704"/>
    </row>
    <row r="351" spans="1:37" ht="15.75" thickBot="1">
      <c r="A351" s="634"/>
      <c r="B351" s="635"/>
      <c r="C351" s="635"/>
      <c r="D351" s="634"/>
      <c r="E351" s="634"/>
      <c r="F351" s="634"/>
      <c r="G351" s="634"/>
      <c r="H351" s="634"/>
      <c r="I351" s="634"/>
      <c r="J351" s="634"/>
      <c r="K351" s="634"/>
      <c r="L351" s="634"/>
      <c r="M351" s="634"/>
      <c r="N351" s="634"/>
      <c r="O351" s="634"/>
      <c r="P351" s="634"/>
      <c r="Q351" s="634"/>
      <c r="R351" s="634"/>
      <c r="S351" s="634"/>
      <c r="T351" s="634"/>
      <c r="U351" s="634"/>
      <c r="V351" s="634"/>
      <c r="W351" s="634"/>
      <c r="X351" s="634"/>
      <c r="Y351" s="634"/>
      <c r="Z351" s="634"/>
      <c r="AA351" s="634"/>
      <c r="AB351" s="634"/>
      <c r="AC351" s="690"/>
      <c r="AD351" s="690"/>
      <c r="AE351" s="690"/>
      <c r="AF351" s="690"/>
      <c r="AG351" s="634"/>
      <c r="AH351" s="634"/>
      <c r="AI351" s="634"/>
      <c r="AJ351" s="634"/>
      <c r="AK351" s="634"/>
    </row>
    <row r="352" spans="1:37" ht="21" thickBot="1">
      <c r="A352" s="636" t="s">
        <v>185</v>
      </c>
      <c r="B352" s="637"/>
      <c r="C352" s="637"/>
      <c r="D352" s="638"/>
      <c r="E352" s="529">
        <f t="shared" ref="E352:L352" si="253">E276-E342+E348</f>
        <v>0</v>
      </c>
      <c r="F352" s="639">
        <f t="shared" si="253"/>
        <v>0</v>
      </c>
      <c r="G352" s="639">
        <f t="shared" si="253"/>
        <v>0</v>
      </c>
      <c r="H352" s="639">
        <f t="shared" si="253"/>
        <v>0</v>
      </c>
      <c r="I352" s="639">
        <f t="shared" si="253"/>
        <v>20</v>
      </c>
      <c r="J352" s="639">
        <f t="shared" si="253"/>
        <v>-220</v>
      </c>
      <c r="K352" s="664">
        <f t="shared" si="253"/>
        <v>820</v>
      </c>
      <c r="L352" s="664">
        <f t="shared" si="253"/>
        <v>80</v>
      </c>
      <c r="M352" s="574"/>
      <c r="N352" s="665">
        <f t="shared" ref="N352:U352" si="254">N276-N342+N348</f>
        <v>0</v>
      </c>
      <c r="O352" s="666">
        <f t="shared" si="254"/>
        <v>-500</v>
      </c>
      <c r="P352" s="666">
        <f t="shared" si="254"/>
        <v>0</v>
      </c>
      <c r="Q352" s="666">
        <f t="shared" si="254"/>
        <v>0</v>
      </c>
      <c r="R352" s="666">
        <f t="shared" si="254"/>
        <v>360</v>
      </c>
      <c r="S352" s="666">
        <f t="shared" si="254"/>
        <v>1200</v>
      </c>
      <c r="T352" s="666">
        <f t="shared" si="254"/>
        <v>0</v>
      </c>
      <c r="U352" s="674">
        <f t="shared" si="254"/>
        <v>0</v>
      </c>
      <c r="V352" s="574"/>
      <c r="W352" s="665">
        <f t="shared" ref="W352:AD352" si="255">W276-W342+W348</f>
        <v>0</v>
      </c>
      <c r="X352" s="666">
        <f t="shared" si="255"/>
        <v>0</v>
      </c>
      <c r="Y352" s="666">
        <f t="shared" si="255"/>
        <v>0</v>
      </c>
      <c r="Z352" s="666">
        <f t="shared" si="255"/>
        <v>0</v>
      </c>
      <c r="AA352" s="666">
        <f t="shared" si="255"/>
        <v>0</v>
      </c>
      <c r="AB352" s="666">
        <f t="shared" si="255"/>
        <v>0</v>
      </c>
      <c r="AC352" s="666">
        <f t="shared" si="255"/>
        <v>0</v>
      </c>
      <c r="AD352" s="674">
        <f t="shared" si="255"/>
        <v>0</v>
      </c>
      <c r="AE352" s="691"/>
      <c r="AF352" s="529">
        <f>AF276-AF342+AF348</f>
        <v>4880</v>
      </c>
      <c r="AG352" s="3775">
        <f>AG276-AG342-AH342+AG348</f>
        <v>26</v>
      </c>
      <c r="AH352" s="3884"/>
      <c r="AI352" s="529">
        <f>AI276-AI342+AI348</f>
        <v>4906</v>
      </c>
      <c r="AJ352" s="529">
        <f>AJ276-AJ342+AJ348</f>
        <v>53</v>
      </c>
      <c r="AK352" s="693">
        <f>AK276-AK342+AK348</f>
        <v>4959</v>
      </c>
    </row>
    <row r="353" spans="1:37" ht="21" thickBot="1">
      <c r="A353" s="640" t="s">
        <v>152</v>
      </c>
      <c r="B353" s="641"/>
      <c r="C353" s="641"/>
      <c r="D353" s="642"/>
      <c r="E353" s="529">
        <f>E352/20</f>
        <v>0</v>
      </c>
      <c r="F353" s="639">
        <f t="shared" ref="F353:L353" si="256">F352/20</f>
        <v>0</v>
      </c>
      <c r="G353" s="639">
        <f t="shared" si="256"/>
        <v>0</v>
      </c>
      <c r="H353" s="639">
        <f t="shared" si="256"/>
        <v>0</v>
      </c>
      <c r="I353" s="639">
        <f t="shared" si="256"/>
        <v>1</v>
      </c>
      <c r="J353" s="639">
        <f t="shared" si="256"/>
        <v>-11</v>
      </c>
      <c r="K353" s="1123">
        <f t="shared" si="256"/>
        <v>41</v>
      </c>
      <c r="L353" s="1123">
        <f t="shared" si="256"/>
        <v>4</v>
      </c>
      <c r="M353" s="1135"/>
      <c r="N353" s="1136">
        <f>N352/20</f>
        <v>0</v>
      </c>
      <c r="O353" s="1122">
        <f t="shared" ref="O353:U353" si="257">O352/20</f>
        <v>-25</v>
      </c>
      <c r="P353" s="1122">
        <f t="shared" si="257"/>
        <v>0</v>
      </c>
      <c r="Q353" s="1122">
        <f t="shared" si="257"/>
        <v>0</v>
      </c>
      <c r="R353" s="1122">
        <f t="shared" si="257"/>
        <v>18</v>
      </c>
      <c r="S353" s="1122">
        <f t="shared" si="257"/>
        <v>60</v>
      </c>
      <c r="T353" s="1122">
        <f t="shared" si="257"/>
        <v>0</v>
      </c>
      <c r="U353" s="1123">
        <f t="shared" si="257"/>
        <v>0</v>
      </c>
      <c r="V353" s="1135"/>
      <c r="W353" s="1136">
        <f>W352/20</f>
        <v>0</v>
      </c>
      <c r="X353" s="1122">
        <f t="shared" ref="X353:AB353" si="258">X352/20</f>
        <v>0</v>
      </c>
      <c r="Y353" s="1122">
        <f t="shared" si="258"/>
        <v>0</v>
      </c>
      <c r="Z353" s="1122">
        <f t="shared" si="258"/>
        <v>0</v>
      </c>
      <c r="AA353" s="1122">
        <f t="shared" si="258"/>
        <v>0</v>
      </c>
      <c r="AB353" s="1122">
        <f t="shared" si="258"/>
        <v>0</v>
      </c>
      <c r="AC353" s="1122">
        <f t="shared" ref="AC353:AD353" si="259">AC352/20</f>
        <v>0</v>
      </c>
      <c r="AD353" s="1123">
        <f t="shared" si="259"/>
        <v>0</v>
      </c>
      <c r="AE353" s="692"/>
      <c r="AF353" s="693">
        <f>AF352/20</f>
        <v>244</v>
      </c>
      <c r="AG353" s="3775">
        <f>AG352/20</f>
        <v>1.3</v>
      </c>
      <c r="AH353" s="3884"/>
      <c r="AI353" s="693">
        <f t="shared" ref="AI353:AK353" si="260">AI352/20</f>
        <v>245.3</v>
      </c>
      <c r="AJ353" s="574">
        <f t="shared" si="260"/>
        <v>2.65</v>
      </c>
      <c r="AK353" s="706">
        <f t="shared" si="260"/>
        <v>247.95</v>
      </c>
    </row>
    <row r="354" spans="1:37" ht="21" thickBot="1">
      <c r="A354" s="643" t="s">
        <v>156</v>
      </c>
      <c r="B354" s="644"/>
      <c r="C354" s="644"/>
      <c r="D354" s="645"/>
      <c r="E354" s="3897">
        <f>SUM(E353:L353)</f>
        <v>35</v>
      </c>
      <c r="F354" s="3898"/>
      <c r="G354" s="3898"/>
      <c r="H354" s="3898"/>
      <c r="I354" s="3898"/>
      <c r="J354" s="3898"/>
      <c r="K354" s="3898"/>
      <c r="L354" s="3899"/>
      <c r="M354" s="667"/>
      <c r="N354" s="3778">
        <f>SUM(N353:U353)</f>
        <v>53</v>
      </c>
      <c r="O354" s="3779"/>
      <c r="P354" s="3779"/>
      <c r="Q354" s="3779"/>
      <c r="R354" s="3779"/>
      <c r="S354" s="3779"/>
      <c r="T354" s="3779"/>
      <c r="U354" s="3780"/>
      <c r="V354" s="675"/>
      <c r="W354" s="3778">
        <f>SUM(W353:AD353)</f>
        <v>0</v>
      </c>
      <c r="X354" s="3779"/>
      <c r="Y354" s="3779"/>
      <c r="Z354" s="3779"/>
      <c r="AA354" s="3779"/>
      <c r="AB354" s="3779"/>
      <c r="AC354" s="3779"/>
      <c r="AD354" s="3780"/>
      <c r="AE354" s="694"/>
      <c r="AF354" s="694"/>
      <c r="AG354" s="694"/>
      <c r="AH354" s="694"/>
      <c r="AI354" s="694"/>
      <c r="AJ354" s="694"/>
      <c r="AK354" s="707"/>
    </row>
    <row r="355" spans="1:37" ht="21" thickBot="1">
      <c r="A355" s="646" t="s">
        <v>157</v>
      </c>
      <c r="B355" s="647"/>
      <c r="C355" s="647"/>
      <c r="D355" s="648"/>
      <c r="E355" s="3875">
        <f>SUM(E352:L352)</f>
        <v>700</v>
      </c>
      <c r="F355" s="3876"/>
      <c r="G355" s="3876"/>
      <c r="H355" s="3876"/>
      <c r="I355" s="3876"/>
      <c r="J355" s="3876"/>
      <c r="K355" s="3876"/>
      <c r="L355" s="3900"/>
      <c r="M355" s="669"/>
      <c r="N355" s="3877">
        <f>SUM(N352:U352)</f>
        <v>1060</v>
      </c>
      <c r="O355" s="3878"/>
      <c r="P355" s="3878"/>
      <c r="Q355" s="3878"/>
      <c r="R355" s="3878"/>
      <c r="S355" s="3878"/>
      <c r="T355" s="3878"/>
      <c r="U355" s="3879"/>
      <c r="V355" s="676"/>
      <c r="W355" s="3781">
        <f>SUM(W352:AD352)</f>
        <v>0</v>
      </c>
      <c r="X355" s="3788"/>
      <c r="Y355" s="3788"/>
      <c r="Z355" s="3788"/>
      <c r="AA355" s="3788"/>
      <c r="AB355" s="3788"/>
      <c r="AC355" s="3788"/>
      <c r="AD355" s="3880"/>
      <c r="AE355" s="688"/>
      <c r="AF355" s="689"/>
      <c r="AG355" s="673"/>
      <c r="AH355" s="673"/>
      <c r="AI355" s="689"/>
      <c r="AJ355" s="689"/>
      <c r="AK355" s="704"/>
    </row>
    <row r="356" spans="1:37">
      <c r="A356" s="634"/>
      <c r="B356" s="635"/>
      <c r="C356" s="635"/>
      <c r="D356" s="649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4"/>
      <c r="P356" s="634"/>
      <c r="Q356" s="634"/>
      <c r="R356" s="634"/>
      <c r="S356" s="634"/>
      <c r="T356" s="634"/>
      <c r="U356" s="634"/>
      <c r="V356" s="634"/>
      <c r="W356" s="634"/>
      <c r="X356" s="634"/>
      <c r="Y356" s="634"/>
      <c r="Z356" s="634"/>
      <c r="AA356" s="634"/>
      <c r="AB356" s="634"/>
      <c r="AC356" s="690"/>
      <c r="AD356" s="690"/>
      <c r="AE356" s="690"/>
      <c r="AF356" s="690"/>
      <c r="AG356" s="634"/>
      <c r="AH356" s="634"/>
      <c r="AI356" s="634"/>
      <c r="AJ356" s="634"/>
      <c r="AK356" s="634"/>
    </row>
    <row r="357" spans="1:37" ht="21" thickBot="1">
      <c r="A357" s="650"/>
      <c r="B357" s="651"/>
      <c r="C357" s="651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50"/>
      <c r="T357" s="650"/>
      <c r="U357" s="650"/>
      <c r="V357" s="650"/>
      <c r="W357" s="650"/>
      <c r="X357" s="650"/>
      <c r="Y357" s="650"/>
      <c r="Z357" s="650"/>
      <c r="AA357" s="650"/>
      <c r="AB357" s="650"/>
      <c r="AC357" s="650"/>
      <c r="AD357" s="650"/>
      <c r="AE357" s="650"/>
      <c r="AF357" s="650"/>
      <c r="AG357" s="650"/>
      <c r="AH357" s="650"/>
      <c r="AI357" s="650"/>
      <c r="AJ357" s="650"/>
      <c r="AK357" s="650"/>
    </row>
    <row r="358" spans="1:37" ht="27.75" thickBot="1">
      <c r="A358" s="634"/>
      <c r="B358" s="635"/>
      <c r="C358" s="635"/>
      <c r="D358" s="634"/>
      <c r="E358" s="634"/>
      <c r="F358" s="634"/>
      <c r="G358" s="634"/>
      <c r="H358" s="634"/>
      <c r="I358" s="634"/>
      <c r="J358" s="634"/>
      <c r="K358" s="634"/>
      <c r="L358" s="634"/>
      <c r="M358" s="634"/>
      <c r="N358" s="634"/>
      <c r="O358" s="634"/>
      <c r="P358" s="634"/>
      <c r="Q358" s="634"/>
      <c r="R358" s="634"/>
      <c r="S358" s="634"/>
      <c r="T358" s="634"/>
      <c r="U358" s="634"/>
      <c r="V358" s="634"/>
      <c r="W358" s="634"/>
      <c r="X358" s="677"/>
      <c r="Y358" s="3857" t="s">
        <v>158</v>
      </c>
      <c r="Z358" s="3858"/>
      <c r="AA358" s="3858"/>
      <c r="AB358" s="3858"/>
      <c r="AC358" s="3859"/>
      <c r="AD358" s="3802">
        <f>'BIG CHAIR'!CI325</f>
        <v>0</v>
      </c>
      <c r="AE358" s="3803"/>
      <c r="AF358" s="3804"/>
      <c r="AG358" s="634"/>
      <c r="AH358" s="634"/>
      <c r="AI358" s="634"/>
      <c r="AJ358" s="634"/>
      <c r="AK358" s="634"/>
    </row>
    <row r="359" spans="1:37" ht="27.75" thickBot="1">
      <c r="A359" s="634"/>
      <c r="B359" s="635"/>
      <c r="C359" s="635"/>
      <c r="D359" s="634"/>
      <c r="E359" s="634"/>
      <c r="F359" s="634"/>
      <c r="G359" s="634"/>
      <c r="H359" s="634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34"/>
      <c r="X359" s="677"/>
      <c r="Y359" s="3905" t="s">
        <v>159</v>
      </c>
      <c r="Z359" s="3826"/>
      <c r="AA359" s="3826"/>
      <c r="AB359" s="3826"/>
      <c r="AC359" s="3906"/>
      <c r="AD359" s="3872">
        <f>AF352</f>
        <v>4880</v>
      </c>
      <c r="AE359" s="3803"/>
      <c r="AF359" s="3804"/>
      <c r="AG359" s="634"/>
      <c r="AH359" s="634"/>
      <c r="AI359" s="634"/>
      <c r="AJ359" s="634"/>
      <c r="AK359" s="708"/>
    </row>
    <row r="360" spans="1:37" ht="27.75" thickBot="1">
      <c r="A360" s="634"/>
      <c r="B360" s="635"/>
      <c r="C360" s="635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4"/>
      <c r="S360" s="634"/>
      <c r="T360" s="634"/>
      <c r="U360" s="634"/>
      <c r="V360" s="634"/>
      <c r="W360" s="634"/>
      <c r="X360" s="677"/>
      <c r="Y360" s="3857" t="s">
        <v>160</v>
      </c>
      <c r="Z360" s="3858"/>
      <c r="AA360" s="3858"/>
      <c r="AB360" s="3858"/>
      <c r="AC360" s="3859"/>
      <c r="AD360" s="3802">
        <f>'BIG CHAIR'!CJ325</f>
        <v>0</v>
      </c>
      <c r="AE360" s="3803"/>
      <c r="AF360" s="3804"/>
      <c r="AG360" s="634"/>
      <c r="AH360" s="634"/>
      <c r="AI360" s="634"/>
      <c r="AJ360" s="634"/>
      <c r="AK360" s="634"/>
    </row>
    <row r="361" spans="1:37" ht="27.75" thickBot="1">
      <c r="A361" s="634"/>
      <c r="B361" s="635"/>
      <c r="C361" s="635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4"/>
      <c r="P361" s="634"/>
      <c r="Q361" s="634"/>
      <c r="R361" s="634"/>
      <c r="S361" s="634"/>
      <c r="T361" s="634"/>
      <c r="U361" s="634"/>
      <c r="V361" s="634"/>
      <c r="W361" s="634"/>
      <c r="X361" s="677"/>
      <c r="Y361" s="3857" t="s">
        <v>161</v>
      </c>
      <c r="Z361" s="3858"/>
      <c r="AA361" s="3858"/>
      <c r="AB361" s="3858"/>
      <c r="AC361" s="3858"/>
      <c r="AD361" s="3872">
        <f>AG352</f>
        <v>26</v>
      </c>
      <c r="AE361" s="3803"/>
      <c r="AF361" s="3804"/>
      <c r="AG361" s="634"/>
      <c r="AH361" s="634"/>
      <c r="AI361" s="634"/>
      <c r="AJ361" s="634"/>
      <c r="AK361" s="634"/>
    </row>
    <row r="362" spans="1:37" ht="27.75" thickBot="1">
      <c r="A362" s="634"/>
      <c r="B362" s="635"/>
      <c r="C362" s="635"/>
      <c r="D362" s="634"/>
      <c r="E362" s="634"/>
      <c r="F362" s="634"/>
      <c r="G362" s="634"/>
      <c r="H362" s="634"/>
      <c r="I362" s="634"/>
      <c r="J362" s="634"/>
      <c r="K362" s="634"/>
      <c r="L362" s="634"/>
      <c r="M362" s="634"/>
      <c r="N362" s="634"/>
      <c r="O362" s="634"/>
      <c r="P362" s="634"/>
      <c r="Q362" s="634"/>
      <c r="R362" s="634"/>
      <c r="S362" s="634"/>
      <c r="T362" s="634"/>
      <c r="U362" s="634"/>
      <c r="V362" s="634"/>
      <c r="W362" s="634"/>
      <c r="X362" s="677"/>
      <c r="Y362" s="3857" t="s">
        <v>162</v>
      </c>
      <c r="Z362" s="3858"/>
      <c r="AA362" s="3858"/>
      <c r="AB362" s="3858"/>
      <c r="AC362" s="3859"/>
      <c r="AD362" s="3802">
        <f>'Tea Table'!U285</f>
        <v>2676</v>
      </c>
      <c r="AE362" s="3803"/>
      <c r="AF362" s="3804"/>
      <c r="AG362" s="634"/>
      <c r="AH362" s="634"/>
      <c r="AI362" s="634"/>
      <c r="AJ362" s="634"/>
      <c r="AK362" s="634"/>
    </row>
    <row r="363" spans="1:37" ht="27.75" thickBot="1">
      <c r="A363" s="634"/>
      <c r="B363" s="635"/>
      <c r="C363" s="635"/>
      <c r="D363" s="634"/>
      <c r="E363" s="634"/>
      <c r="F363" s="634"/>
      <c r="G363" s="634"/>
      <c r="H363" s="634"/>
      <c r="I363" s="634"/>
      <c r="J363" s="634"/>
      <c r="K363" s="634"/>
      <c r="L363" s="634"/>
      <c r="M363" s="634"/>
      <c r="N363" s="634"/>
      <c r="O363" s="634"/>
      <c r="P363" s="634"/>
      <c r="Q363" s="634"/>
      <c r="R363" s="634"/>
      <c r="S363" s="634"/>
      <c r="T363" s="634"/>
      <c r="U363" s="634"/>
      <c r="V363" s="634"/>
      <c r="W363" s="634"/>
      <c r="X363" s="677"/>
      <c r="Y363" s="3860" t="s">
        <v>163</v>
      </c>
      <c r="Z363" s="3861"/>
      <c r="AA363" s="3861"/>
      <c r="AB363" s="3861"/>
      <c r="AC363" s="3862"/>
      <c r="AD363" s="3863">
        <f>'Tea Table'!V285</f>
        <v>29</v>
      </c>
      <c r="AE363" s="3864"/>
      <c r="AF363" s="3865"/>
      <c r="AG363" s="634"/>
      <c r="AH363" s="634"/>
      <c r="AI363" s="634"/>
      <c r="AJ363" s="634"/>
      <c r="AK363" s="634"/>
    </row>
    <row r="364" spans="1:37" ht="28.5" thickTop="1" thickBot="1">
      <c r="A364" s="634"/>
      <c r="B364" s="635"/>
      <c r="C364" s="635"/>
      <c r="D364" s="634"/>
      <c r="E364" s="634"/>
      <c r="F364" s="634"/>
      <c r="G364" s="634"/>
      <c r="H364" s="634"/>
      <c r="I364" s="634"/>
      <c r="J364" s="634"/>
      <c r="K364" s="634"/>
      <c r="L364" s="634"/>
      <c r="M364" s="634"/>
      <c r="N364" s="634"/>
      <c r="O364" s="634"/>
      <c r="P364" s="634"/>
      <c r="Q364" s="634"/>
      <c r="R364" s="634"/>
      <c r="S364" s="634"/>
      <c r="T364" s="634"/>
      <c r="U364" s="634"/>
      <c r="V364" s="634"/>
      <c r="W364" s="634"/>
      <c r="X364" s="677"/>
      <c r="Y364" s="3866"/>
      <c r="Z364" s="3867"/>
      <c r="AA364" s="3867"/>
      <c r="AB364" s="3867"/>
      <c r="AC364" s="3868"/>
      <c r="AD364" s="3869"/>
      <c r="AE364" s="3870"/>
      <c r="AF364" s="3871"/>
      <c r="AG364" s="634"/>
      <c r="AH364" s="634"/>
      <c r="AI364" s="634"/>
      <c r="AJ364" s="634"/>
      <c r="AK364" s="634"/>
    </row>
    <row r="365" spans="1:37" ht="27.75" thickBot="1">
      <c r="A365" s="634"/>
      <c r="B365" s="635"/>
      <c r="C365" s="635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34"/>
      <c r="X365" s="677"/>
      <c r="Y365" s="3857" t="s">
        <v>164</v>
      </c>
      <c r="Z365" s="3858"/>
      <c r="AA365" s="3858"/>
      <c r="AB365" s="3858"/>
      <c r="AC365" s="3859"/>
      <c r="AD365" s="3796">
        <f>SUM(AD358:AF364)</f>
        <v>7611</v>
      </c>
      <c r="AE365" s="3797"/>
      <c r="AF365" s="3798"/>
      <c r="AG365" s="634"/>
      <c r="AH365" s="634"/>
      <c r="AI365" s="634"/>
      <c r="AJ365" s="634"/>
      <c r="AK365" s="634"/>
    </row>
    <row r="366" spans="1:37" ht="27.75" thickBot="1">
      <c r="A366" s="634"/>
      <c r="B366" s="635"/>
      <c r="C366" s="635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4"/>
      <c r="P366" s="634"/>
      <c r="Q366" s="634"/>
      <c r="R366" s="634"/>
      <c r="S366" s="634"/>
      <c r="T366" s="634"/>
      <c r="U366" s="634"/>
      <c r="V366" s="634"/>
      <c r="W366" s="634"/>
      <c r="X366" s="677"/>
      <c r="Y366" s="3857" t="s">
        <v>165</v>
      </c>
      <c r="Z366" s="3858"/>
      <c r="AA366" s="3858"/>
      <c r="AB366" s="3858"/>
      <c r="AC366" s="3859"/>
      <c r="AD366" s="3796">
        <f>AF353+'BIG CHAIR'!CI326+'Tea Table'!U286</f>
        <v>467</v>
      </c>
      <c r="AE366" s="3797"/>
      <c r="AF366" s="3798"/>
      <c r="AG366" s="695"/>
      <c r="AH366" s="695"/>
      <c r="AI366" s="695"/>
      <c r="AJ366" s="634"/>
      <c r="AK366" s="634"/>
    </row>
    <row r="367" spans="1:37">
      <c r="B367" s="652"/>
      <c r="C367" s="652"/>
      <c r="AC367" s="696"/>
      <c r="AD367" s="696"/>
      <c r="AE367" s="696"/>
      <c r="AF367" s="696"/>
    </row>
    <row r="368" spans="1:37">
      <c r="B368" s="652"/>
      <c r="C368" s="652"/>
      <c r="AC368" s="696"/>
      <c r="AD368" s="696"/>
      <c r="AE368" s="696"/>
      <c r="AF368" s="696"/>
    </row>
    <row r="369" spans="2:32">
      <c r="B369" s="652"/>
      <c r="C369" s="652"/>
      <c r="AC369" s="696"/>
      <c r="AD369" s="696"/>
      <c r="AE369" s="696"/>
      <c r="AF369" s="696"/>
    </row>
    <row r="370" spans="2:32">
      <c r="B370" s="652"/>
      <c r="C370" s="652"/>
      <c r="AC370" s="696"/>
      <c r="AD370" s="696"/>
      <c r="AE370" s="696"/>
      <c r="AF370" s="696"/>
    </row>
    <row r="371" spans="2:32">
      <c r="B371" s="652"/>
      <c r="C371" s="652"/>
      <c r="AC371" s="696"/>
      <c r="AD371" s="696"/>
      <c r="AE371" s="696"/>
      <c r="AF371" s="696"/>
    </row>
    <row r="372" spans="2:32">
      <c r="B372" s="652"/>
      <c r="C372" s="652"/>
      <c r="AC372" s="696"/>
      <c r="AD372" s="696"/>
      <c r="AE372" s="696"/>
      <c r="AF372" s="696"/>
    </row>
    <row r="373" spans="2:32">
      <c r="B373" s="652"/>
      <c r="C373" s="652"/>
      <c r="AC373" s="696"/>
      <c r="AD373" s="696"/>
      <c r="AE373" s="696"/>
      <c r="AF373" s="696"/>
    </row>
    <row r="374" spans="2:32">
      <c r="B374" s="652"/>
      <c r="C374" s="652"/>
      <c r="AC374" s="696"/>
      <c r="AD374" s="696"/>
      <c r="AE374" s="696"/>
      <c r="AF374" s="696"/>
    </row>
    <row r="375" spans="2:32">
      <c r="B375" s="652"/>
      <c r="C375" s="652"/>
      <c r="AC375" s="696"/>
      <c r="AD375" s="696"/>
      <c r="AE375" s="696"/>
      <c r="AF375" s="696"/>
    </row>
    <row r="376" spans="2:32">
      <c r="B376" s="652"/>
      <c r="C376" s="652"/>
      <c r="AC376" s="696"/>
      <c r="AD376" s="696"/>
      <c r="AE376" s="696"/>
      <c r="AF376" s="696"/>
    </row>
    <row r="377" spans="2:32">
      <c r="B377" s="652"/>
      <c r="C377" s="652"/>
      <c r="AC377" s="696"/>
      <c r="AD377" s="696"/>
      <c r="AE377" s="696"/>
      <c r="AF377" s="696"/>
    </row>
    <row r="378" spans="2:32">
      <c r="B378" s="652"/>
      <c r="C378" s="652"/>
      <c r="AC378" s="696"/>
      <c r="AD378" s="696"/>
      <c r="AE378" s="696"/>
      <c r="AF378" s="696"/>
    </row>
    <row r="379" spans="2:32">
      <c r="B379" s="652"/>
      <c r="C379" s="652"/>
      <c r="AC379" s="696"/>
      <c r="AD379" s="696"/>
      <c r="AE379" s="696"/>
      <c r="AF379" s="696"/>
    </row>
    <row r="380" spans="2:32">
      <c r="B380" s="652"/>
      <c r="C380" s="652"/>
      <c r="AC380" s="696"/>
      <c r="AD380" s="696"/>
      <c r="AE380" s="696"/>
      <c r="AF380" s="696"/>
    </row>
    <row r="381" spans="2:32">
      <c r="B381" s="652"/>
      <c r="C381" s="652"/>
      <c r="AC381" s="696"/>
      <c r="AD381" s="696"/>
      <c r="AE381" s="696"/>
      <c r="AF381" s="696"/>
    </row>
    <row r="382" spans="2:32">
      <c r="B382" s="652"/>
      <c r="C382" s="652"/>
      <c r="AC382" s="696"/>
      <c r="AD382" s="696"/>
      <c r="AE382" s="696"/>
      <c r="AF382" s="696"/>
    </row>
    <row r="383" spans="2:32">
      <c r="B383" s="652"/>
      <c r="C383" s="652"/>
      <c r="AC383" s="696"/>
      <c r="AD383" s="696"/>
      <c r="AE383" s="696"/>
      <c r="AF383" s="696"/>
    </row>
    <row r="384" spans="2:32">
      <c r="B384" s="652"/>
      <c r="C384" s="652"/>
      <c r="AC384" s="696"/>
      <c r="AD384" s="696"/>
      <c r="AE384" s="696"/>
      <c r="AF384" s="696"/>
    </row>
  </sheetData>
  <mergeCells count="41">
    <mergeCell ref="A2:D2"/>
    <mergeCell ref="E2:L2"/>
    <mergeCell ref="N2:U2"/>
    <mergeCell ref="W2:AD2"/>
    <mergeCell ref="AF2:AK2"/>
    <mergeCell ref="A278:AK278"/>
    <mergeCell ref="A279:D279"/>
    <mergeCell ref="E279:L279"/>
    <mergeCell ref="N279:U279"/>
    <mergeCell ref="W279:AD279"/>
    <mergeCell ref="AF279:AK279"/>
    <mergeCell ref="A345:C345"/>
    <mergeCell ref="E350:L350"/>
    <mergeCell ref="N350:U350"/>
    <mergeCell ref="W350:AD350"/>
    <mergeCell ref="AG352:AH352"/>
    <mergeCell ref="AG353:AH353"/>
    <mergeCell ref="E354:L354"/>
    <mergeCell ref="N354:U354"/>
    <mergeCell ref="W354:AD354"/>
    <mergeCell ref="E355:L355"/>
    <mergeCell ref="N355:U355"/>
    <mergeCell ref="W355:AD355"/>
    <mergeCell ref="Y358:AC358"/>
    <mergeCell ref="AD358:AF358"/>
    <mergeCell ref="Y359:AC359"/>
    <mergeCell ref="AD359:AF359"/>
    <mergeCell ref="Y360:AC360"/>
    <mergeCell ref="AD360:AF360"/>
    <mergeCell ref="Y361:AC361"/>
    <mergeCell ref="AD361:AF361"/>
    <mergeCell ref="Y362:AC362"/>
    <mergeCell ref="AD362:AF362"/>
    <mergeCell ref="Y363:AC363"/>
    <mergeCell ref="AD363:AF363"/>
    <mergeCell ref="Y364:AC364"/>
    <mergeCell ref="AD364:AF364"/>
    <mergeCell ref="Y365:AC365"/>
    <mergeCell ref="AD365:AF365"/>
    <mergeCell ref="Y366:AC366"/>
    <mergeCell ref="AD366:AF366"/>
  </mergeCells>
  <pageMargins left="0.69930555555555596" right="0.69930555555555596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9"/>
  <sheetViews>
    <sheetView workbookViewId="0">
      <pane ySplit="4" topLeftCell="A228" activePane="bottomLeft" state="frozen"/>
      <selection activeCell="A209" sqref="A209"/>
      <selection pane="bottomLeft" activeCell="A238" sqref="A238"/>
    </sheetView>
  </sheetViews>
  <sheetFormatPr defaultColWidth="9" defaultRowHeight="23.25"/>
  <cols>
    <col min="1" max="1" width="53.5703125" customWidth="1"/>
    <col min="2" max="2" width="18.140625" style="873" customWidth="1"/>
    <col min="3" max="3" width="12.140625" style="873" customWidth="1"/>
    <col min="4" max="4" width="20.85546875" customWidth="1"/>
    <col min="5" max="5" width="12" customWidth="1"/>
    <col min="6" max="6" width="8.7109375" customWidth="1"/>
    <col min="7" max="7" width="11.42578125" customWidth="1"/>
    <col min="8" max="11" width="12" customWidth="1"/>
    <col min="12" max="12" width="10" customWidth="1"/>
    <col min="13" max="13" width="12" customWidth="1"/>
    <col min="14" max="14" width="10" customWidth="1"/>
    <col min="15" max="15" width="10.7109375" customWidth="1"/>
    <col min="16" max="16" width="8.42578125" customWidth="1"/>
    <col min="17" max="17" width="11.7109375" bestFit="1" customWidth="1"/>
    <col min="18" max="18" width="9" customWidth="1"/>
    <col min="19" max="19" width="10.7109375" customWidth="1"/>
    <col min="20" max="20" width="2.85546875" customWidth="1"/>
    <col min="21" max="21" width="10.28515625" customWidth="1"/>
    <col min="22" max="23" width="9.5703125" customWidth="1"/>
    <col min="24" max="24" width="10.28515625" customWidth="1"/>
    <col min="25" max="25" width="11" customWidth="1"/>
    <col min="26" max="26" width="12" customWidth="1"/>
    <col min="27" max="27" width="9.140625" style="1" customWidth="1"/>
    <col min="28" max="28" width="10.85546875" style="1" customWidth="1"/>
    <col min="29" max="29" width="9.28515625" style="1" customWidth="1"/>
    <col min="30" max="38" width="9.140625" style="1" customWidth="1"/>
    <col min="39" max="256" width="10" customWidth="1"/>
  </cols>
  <sheetData>
    <row r="1" spans="1:40" ht="34.5" customHeight="1">
      <c r="A1" s="285" t="s">
        <v>191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906">
        <v>1</v>
      </c>
      <c r="P1" s="335">
        <v>4</v>
      </c>
      <c r="Q1" s="3848">
        <v>2026</v>
      </c>
      <c r="R1" s="3849"/>
      <c r="S1" s="285"/>
      <c r="T1" s="285"/>
      <c r="U1" s="285"/>
      <c r="V1" s="285"/>
      <c r="W1" s="285"/>
      <c r="X1" s="285"/>
      <c r="Y1" s="285"/>
      <c r="Z1" s="285"/>
      <c r="AA1" s="958"/>
      <c r="AB1" s="958"/>
      <c r="AC1" s="958"/>
      <c r="AD1" s="958"/>
      <c r="AE1" s="958"/>
      <c r="AF1" s="958"/>
      <c r="AG1" s="958"/>
      <c r="AH1" s="958"/>
      <c r="AI1" s="958"/>
      <c r="AJ1" s="958"/>
      <c r="AK1" s="958"/>
      <c r="AL1" s="958"/>
      <c r="AM1" s="958"/>
      <c r="AN1" s="958"/>
    </row>
    <row r="2" spans="1:40" ht="26.25">
      <c r="A2" s="874"/>
      <c r="B2" s="875"/>
      <c r="C2" s="875"/>
      <c r="D2" s="876"/>
      <c r="E2" s="3745" t="s">
        <v>233</v>
      </c>
      <c r="F2" s="3850"/>
      <c r="G2" s="3850"/>
      <c r="H2" s="3850"/>
      <c r="I2" s="3850"/>
      <c r="J2" s="3850"/>
      <c r="K2" s="3850"/>
      <c r="L2" s="3850"/>
      <c r="M2" s="3850"/>
      <c r="N2" s="3850"/>
      <c r="O2" s="3850"/>
      <c r="P2" s="3850"/>
      <c r="Q2" s="3850"/>
      <c r="R2" s="3850"/>
      <c r="S2" s="3746"/>
      <c r="T2" s="876"/>
      <c r="U2" s="874"/>
      <c r="V2" s="876"/>
      <c r="W2" s="876"/>
      <c r="X2" s="876"/>
      <c r="Y2" s="876"/>
      <c r="Z2" s="959"/>
    </row>
    <row r="3" spans="1:40" s="282" customFormat="1" ht="21" customHeight="1">
      <c r="A3" s="286" t="s">
        <v>67</v>
      </c>
      <c r="B3" s="877" t="s">
        <v>68</v>
      </c>
      <c r="C3" s="877" t="s">
        <v>69</v>
      </c>
      <c r="D3" s="878" t="s">
        <v>70</v>
      </c>
      <c r="E3" s="879" t="s">
        <v>71</v>
      </c>
      <c r="F3" s="880" t="s">
        <v>230</v>
      </c>
      <c r="G3" s="880" t="s">
        <v>91</v>
      </c>
      <c r="H3" s="879" t="s">
        <v>41</v>
      </c>
      <c r="I3" s="879" t="s">
        <v>97</v>
      </c>
      <c r="J3" s="879" t="s">
        <v>92</v>
      </c>
      <c r="K3" s="879" t="s">
        <v>194</v>
      </c>
      <c r="L3" s="880" t="s">
        <v>195</v>
      </c>
      <c r="M3" s="880" t="s">
        <v>476</v>
      </c>
      <c r="N3" s="880" t="s">
        <v>94</v>
      </c>
      <c r="O3" s="880" t="s">
        <v>86</v>
      </c>
      <c r="P3" s="880" t="s">
        <v>75</v>
      </c>
      <c r="Q3" s="880" t="s">
        <v>503</v>
      </c>
      <c r="R3" s="49" t="s">
        <v>77</v>
      </c>
      <c r="S3" s="914" t="s">
        <v>53</v>
      </c>
      <c r="T3" s="915"/>
      <c r="U3" s="916" t="s">
        <v>104</v>
      </c>
      <c r="V3" s="917" t="s">
        <v>105</v>
      </c>
      <c r="W3" s="917"/>
      <c r="X3" s="918" t="s">
        <v>106</v>
      </c>
      <c r="Y3" s="917" t="s">
        <v>107</v>
      </c>
      <c r="Z3" s="960" t="s">
        <v>108</v>
      </c>
    </row>
    <row r="4" spans="1:40" ht="23.25" customHeight="1" thickBot="1">
      <c r="A4" s="881" t="s">
        <v>109</v>
      </c>
      <c r="B4" s="882"/>
      <c r="C4" s="882"/>
      <c r="D4" s="883"/>
      <c r="E4" s="884">
        <f>77*12</f>
        <v>924</v>
      </c>
      <c r="F4" s="885"/>
      <c r="G4" s="885"/>
      <c r="H4" s="884"/>
      <c r="I4" s="884"/>
      <c r="J4" s="884"/>
      <c r="K4" s="884"/>
      <c r="L4" s="907">
        <f>14*12</f>
        <v>168</v>
      </c>
      <c r="M4" s="907"/>
      <c r="N4" s="907"/>
      <c r="O4" s="907"/>
      <c r="P4" s="908">
        <f>59*12</f>
        <v>708</v>
      </c>
      <c r="Q4" s="907"/>
      <c r="R4" s="919">
        <f>41*12</f>
        <v>492</v>
      </c>
      <c r="S4" s="920">
        <f>2*12</f>
        <v>24</v>
      </c>
      <c r="T4" s="921"/>
      <c r="U4" s="961">
        <f>SUM(E4:S4)</f>
        <v>2316</v>
      </c>
      <c r="V4" s="885"/>
      <c r="W4" s="907"/>
      <c r="X4" s="919">
        <f>U4+V4</f>
        <v>2316</v>
      </c>
      <c r="Y4" s="961"/>
      <c r="Z4" s="962">
        <f>X4+Y4</f>
        <v>2316</v>
      </c>
    </row>
    <row r="5" spans="1:40" ht="21.75" thickBot="1">
      <c r="A5" s="886" t="s">
        <v>110</v>
      </c>
      <c r="B5" s="887" t="s">
        <v>472</v>
      </c>
      <c r="C5" s="887"/>
      <c r="D5" s="883"/>
      <c r="E5" s="884"/>
      <c r="F5" s="885"/>
      <c r="G5" s="885"/>
      <c r="H5" s="884"/>
      <c r="I5" s="884"/>
      <c r="J5" s="884"/>
      <c r="K5" s="884"/>
      <c r="L5" s="907"/>
      <c r="M5" s="907"/>
      <c r="N5" s="907"/>
      <c r="O5" s="907"/>
      <c r="P5" s="908"/>
      <c r="Q5" s="907"/>
      <c r="R5" s="919"/>
      <c r="S5" s="920"/>
      <c r="T5" s="923"/>
      <c r="U5" s="924">
        <f>SUM(E5:S5)</f>
        <v>0</v>
      </c>
      <c r="V5" s="924"/>
      <c r="W5" s="925"/>
      <c r="X5" s="924">
        <f>U5+V5</f>
        <v>0</v>
      </c>
      <c r="Y5" s="963"/>
      <c r="Z5" s="964">
        <f>X5+Y5</f>
        <v>0</v>
      </c>
    </row>
    <row r="6" spans="1:40">
      <c r="A6" s="890" t="s">
        <v>110</v>
      </c>
      <c r="B6" s="891"/>
      <c r="C6" s="891"/>
      <c r="D6" s="892"/>
      <c r="E6" s="893"/>
      <c r="F6" s="893"/>
      <c r="G6" s="893"/>
      <c r="H6" s="893"/>
      <c r="I6" s="893"/>
      <c r="J6" s="893"/>
      <c r="K6" s="893"/>
      <c r="L6" s="910"/>
      <c r="M6" s="910"/>
      <c r="N6" s="910"/>
      <c r="O6" s="910"/>
      <c r="P6" s="910"/>
      <c r="Q6" s="910"/>
      <c r="R6" s="926"/>
      <c r="S6" s="926"/>
      <c r="T6" s="927"/>
      <c r="U6" s="928">
        <f>SUM(E6:S6)</f>
        <v>0</v>
      </c>
      <c r="V6" s="929"/>
      <c r="W6" s="930"/>
      <c r="X6" s="928">
        <f>U6+V6</f>
        <v>0</v>
      </c>
      <c r="Y6" s="929"/>
      <c r="Z6" s="965">
        <f t="shared" ref="Z6:Z7" si="0">X6+Y6</f>
        <v>0</v>
      </c>
    </row>
    <row r="7" spans="1:40">
      <c r="A7" s="890" t="s">
        <v>110</v>
      </c>
      <c r="B7" s="891"/>
      <c r="C7" s="891"/>
      <c r="D7" s="892"/>
      <c r="E7" s="893"/>
      <c r="F7" s="893"/>
      <c r="G7" s="893"/>
      <c r="H7" s="893"/>
      <c r="I7" s="893"/>
      <c r="J7" s="893"/>
      <c r="K7" s="893"/>
      <c r="L7" s="910"/>
      <c r="M7" s="910"/>
      <c r="N7" s="910"/>
      <c r="O7" s="910"/>
      <c r="P7" s="910"/>
      <c r="Q7" s="910"/>
      <c r="R7" s="926"/>
      <c r="S7" s="926"/>
      <c r="T7" s="927"/>
      <c r="U7" s="928">
        <f>SUM(E7:S7)</f>
        <v>0</v>
      </c>
      <c r="V7" s="929"/>
      <c r="W7" s="930"/>
      <c r="X7" s="928">
        <f>U7+V7</f>
        <v>0</v>
      </c>
      <c r="Y7" s="929"/>
      <c r="Z7" s="965">
        <f t="shared" si="0"/>
        <v>0</v>
      </c>
    </row>
    <row r="8" spans="1:40">
      <c r="A8" s="890" t="s">
        <v>110</v>
      </c>
      <c r="B8" s="891"/>
      <c r="C8" s="891"/>
      <c r="D8" s="892"/>
      <c r="E8" s="893"/>
      <c r="F8" s="893"/>
      <c r="G8" s="893"/>
      <c r="H8" s="893"/>
      <c r="I8" s="893"/>
      <c r="J8" s="893"/>
      <c r="K8" s="893"/>
      <c r="L8" s="910"/>
      <c r="M8" s="910"/>
      <c r="N8" s="910"/>
      <c r="O8" s="910"/>
      <c r="P8" s="910"/>
      <c r="Q8" s="910"/>
      <c r="R8" s="926"/>
      <c r="S8" s="926"/>
      <c r="T8" s="927"/>
      <c r="U8" s="928">
        <f>SUM(E8:S8)</f>
        <v>0</v>
      </c>
      <c r="V8" s="929"/>
      <c r="W8" s="930"/>
      <c r="X8" s="928">
        <f t="shared" ref="X8:X12" si="1">U8+V8</f>
        <v>0</v>
      </c>
      <c r="Y8" s="929"/>
      <c r="Z8" s="965">
        <f t="shared" ref="Z8:Z12" si="2">X8+Y8</f>
        <v>0</v>
      </c>
    </row>
    <row r="9" spans="1:40">
      <c r="A9" s="890" t="s">
        <v>110</v>
      </c>
      <c r="B9" s="891"/>
      <c r="C9" s="891"/>
      <c r="D9" s="892"/>
      <c r="E9" s="893"/>
      <c r="F9" s="893"/>
      <c r="G9" s="893"/>
      <c r="H9" s="893"/>
      <c r="I9" s="893"/>
      <c r="J9" s="893"/>
      <c r="K9" s="893"/>
      <c r="L9" s="910"/>
      <c r="M9" s="910"/>
      <c r="N9" s="910"/>
      <c r="O9" s="910"/>
      <c r="P9" s="910"/>
      <c r="Q9" s="910"/>
      <c r="R9" s="926"/>
      <c r="S9" s="926"/>
      <c r="T9" s="927"/>
      <c r="U9" s="928">
        <f t="shared" ref="U9:U10" si="3">SUM(E9:S9)</f>
        <v>0</v>
      </c>
      <c r="V9" s="929"/>
      <c r="W9" s="930"/>
      <c r="X9" s="928">
        <f t="shared" si="1"/>
        <v>0</v>
      </c>
      <c r="Y9" s="929"/>
      <c r="Z9" s="965">
        <f t="shared" si="2"/>
        <v>0</v>
      </c>
    </row>
    <row r="10" spans="1:40">
      <c r="A10" s="890" t="s">
        <v>110</v>
      </c>
      <c r="B10" s="891"/>
      <c r="C10" s="891"/>
      <c r="D10" s="892"/>
      <c r="E10" s="893"/>
      <c r="F10" s="893"/>
      <c r="G10" s="893"/>
      <c r="H10" s="893"/>
      <c r="I10" s="893"/>
      <c r="J10" s="893"/>
      <c r="K10" s="893"/>
      <c r="L10" s="910"/>
      <c r="M10" s="910"/>
      <c r="N10" s="910"/>
      <c r="O10" s="910"/>
      <c r="P10" s="910"/>
      <c r="Q10" s="910"/>
      <c r="R10" s="926"/>
      <c r="S10" s="926"/>
      <c r="T10" s="927"/>
      <c r="U10" s="928">
        <f t="shared" si="3"/>
        <v>0</v>
      </c>
      <c r="V10" s="929"/>
      <c r="W10" s="930"/>
      <c r="X10" s="928">
        <f t="shared" si="1"/>
        <v>0</v>
      </c>
      <c r="Y10" s="929"/>
      <c r="Z10" s="965">
        <f t="shared" si="2"/>
        <v>0</v>
      </c>
    </row>
    <row r="11" spans="1:40">
      <c r="A11" s="890" t="s">
        <v>110</v>
      </c>
      <c r="B11" s="891"/>
      <c r="C11" s="891"/>
      <c r="D11" s="892"/>
      <c r="E11" s="893"/>
      <c r="F11" s="893"/>
      <c r="G11" s="893"/>
      <c r="H11" s="893"/>
      <c r="I11" s="893"/>
      <c r="J11" s="893"/>
      <c r="K11" s="893"/>
      <c r="L11" s="910"/>
      <c r="M11" s="910"/>
      <c r="N11" s="910"/>
      <c r="O11" s="910"/>
      <c r="P11" s="910"/>
      <c r="Q11" s="910"/>
      <c r="R11" s="926"/>
      <c r="S11" s="926"/>
      <c r="T11" s="927"/>
      <c r="U11" s="928">
        <f t="shared" ref="U11:U13" si="4">SUM(E11:S11)</f>
        <v>0</v>
      </c>
      <c r="V11" s="929"/>
      <c r="W11" s="930"/>
      <c r="X11" s="928">
        <f t="shared" si="1"/>
        <v>0</v>
      </c>
      <c r="Y11" s="929"/>
      <c r="Z11" s="965">
        <f t="shared" si="2"/>
        <v>0</v>
      </c>
    </row>
    <row r="12" spans="1:40">
      <c r="A12" s="890" t="s">
        <v>110</v>
      </c>
      <c r="B12" s="891"/>
      <c r="C12" s="891"/>
      <c r="D12" s="892"/>
      <c r="E12" s="893"/>
      <c r="F12" s="893"/>
      <c r="G12" s="893"/>
      <c r="H12" s="893"/>
      <c r="I12" s="893"/>
      <c r="J12" s="893"/>
      <c r="K12" s="893"/>
      <c r="L12" s="910"/>
      <c r="M12" s="910"/>
      <c r="N12" s="910"/>
      <c r="O12" s="910"/>
      <c r="P12" s="910"/>
      <c r="Q12" s="910"/>
      <c r="R12" s="926"/>
      <c r="S12" s="926"/>
      <c r="T12" s="927"/>
      <c r="U12" s="928">
        <f t="shared" si="4"/>
        <v>0</v>
      </c>
      <c r="V12" s="929"/>
      <c r="W12" s="930"/>
      <c r="X12" s="928">
        <f t="shared" si="1"/>
        <v>0</v>
      </c>
      <c r="Y12" s="929"/>
      <c r="Z12" s="965">
        <f t="shared" si="2"/>
        <v>0</v>
      </c>
    </row>
    <row r="13" spans="1:40">
      <c r="A13" s="890" t="s">
        <v>110</v>
      </c>
      <c r="B13" s="891"/>
      <c r="C13" s="891"/>
      <c r="D13" s="892"/>
      <c r="E13" s="893"/>
      <c r="F13" s="893"/>
      <c r="G13" s="893"/>
      <c r="H13" s="893"/>
      <c r="I13" s="893"/>
      <c r="J13" s="893"/>
      <c r="K13" s="893"/>
      <c r="L13" s="910"/>
      <c r="M13" s="910"/>
      <c r="N13" s="910"/>
      <c r="O13" s="910"/>
      <c r="P13" s="910"/>
      <c r="Q13" s="910"/>
      <c r="R13" s="926"/>
      <c r="S13" s="926"/>
      <c r="T13" s="927"/>
      <c r="U13" s="928">
        <f t="shared" si="4"/>
        <v>0</v>
      </c>
      <c r="V13" s="929"/>
      <c r="W13" s="930"/>
      <c r="X13" s="928">
        <f t="shared" ref="X13:X17" si="5">U13+V13</f>
        <v>0</v>
      </c>
      <c r="Y13" s="929"/>
      <c r="Z13" s="965">
        <f t="shared" ref="Z13:Z17" si="6">X13+Y13</f>
        <v>0</v>
      </c>
    </row>
    <row r="14" spans="1:40">
      <c r="A14" s="890" t="s">
        <v>110</v>
      </c>
      <c r="B14" s="891"/>
      <c r="C14" s="891"/>
      <c r="D14" s="892"/>
      <c r="E14" s="893"/>
      <c r="F14" s="893"/>
      <c r="G14" s="893"/>
      <c r="H14" s="893"/>
      <c r="I14" s="893"/>
      <c r="J14" s="893"/>
      <c r="K14" s="893"/>
      <c r="L14" s="910"/>
      <c r="M14" s="910"/>
      <c r="N14" s="910"/>
      <c r="O14" s="910"/>
      <c r="P14" s="910"/>
      <c r="Q14" s="910"/>
      <c r="R14" s="926"/>
      <c r="S14" s="926"/>
      <c r="T14" s="927"/>
      <c r="U14" s="928">
        <f t="shared" ref="U14:U17" si="7">SUM(E14:S14)</f>
        <v>0</v>
      </c>
      <c r="V14" s="929"/>
      <c r="W14" s="930"/>
      <c r="X14" s="928">
        <f t="shared" si="5"/>
        <v>0</v>
      </c>
      <c r="Y14" s="929"/>
      <c r="Z14" s="965">
        <f t="shared" si="6"/>
        <v>0</v>
      </c>
    </row>
    <row r="15" spans="1:40">
      <c r="A15" s="890" t="s">
        <v>110</v>
      </c>
      <c r="B15" s="891"/>
      <c r="C15" s="891"/>
      <c r="D15" s="892"/>
      <c r="E15" s="893"/>
      <c r="F15" s="893"/>
      <c r="G15" s="893"/>
      <c r="H15" s="893"/>
      <c r="I15" s="893"/>
      <c r="J15" s="893"/>
      <c r="K15" s="893"/>
      <c r="L15" s="910"/>
      <c r="M15" s="910"/>
      <c r="N15" s="910"/>
      <c r="O15" s="910"/>
      <c r="P15" s="910"/>
      <c r="Q15" s="910"/>
      <c r="R15" s="926"/>
      <c r="S15" s="926"/>
      <c r="T15" s="927"/>
      <c r="U15" s="928">
        <f t="shared" si="7"/>
        <v>0</v>
      </c>
      <c r="V15" s="929"/>
      <c r="W15" s="930"/>
      <c r="X15" s="928">
        <f t="shared" si="5"/>
        <v>0</v>
      </c>
      <c r="Y15" s="929"/>
      <c r="Z15" s="965">
        <f t="shared" si="6"/>
        <v>0</v>
      </c>
    </row>
    <row r="16" spans="1:40">
      <c r="A16" s="890" t="s">
        <v>110</v>
      </c>
      <c r="B16" s="891"/>
      <c r="C16" s="891"/>
      <c r="D16" s="892"/>
      <c r="E16" s="893"/>
      <c r="F16" s="893"/>
      <c r="G16" s="893"/>
      <c r="H16" s="893"/>
      <c r="I16" s="893"/>
      <c r="J16" s="893"/>
      <c r="K16" s="893"/>
      <c r="L16" s="910"/>
      <c r="M16" s="910"/>
      <c r="N16" s="910"/>
      <c r="O16" s="910"/>
      <c r="P16" s="910"/>
      <c r="Q16" s="910"/>
      <c r="R16" s="926"/>
      <c r="S16" s="926"/>
      <c r="T16" s="927"/>
      <c r="U16" s="928">
        <f t="shared" si="7"/>
        <v>0</v>
      </c>
      <c r="V16" s="929"/>
      <c r="W16" s="930"/>
      <c r="X16" s="928">
        <f t="shared" si="5"/>
        <v>0</v>
      </c>
      <c r="Y16" s="929"/>
      <c r="Z16" s="965">
        <f t="shared" si="6"/>
        <v>0</v>
      </c>
    </row>
    <row r="17" spans="1:29">
      <c r="A17" s="890" t="s">
        <v>110</v>
      </c>
      <c r="B17" s="891"/>
      <c r="C17" s="891"/>
      <c r="D17" s="892"/>
      <c r="E17" s="893"/>
      <c r="F17" s="893"/>
      <c r="G17" s="893"/>
      <c r="H17" s="893"/>
      <c r="I17" s="893"/>
      <c r="J17" s="893"/>
      <c r="K17" s="893"/>
      <c r="L17" s="910"/>
      <c r="M17" s="910"/>
      <c r="N17" s="910"/>
      <c r="O17" s="910"/>
      <c r="P17" s="910"/>
      <c r="Q17" s="910"/>
      <c r="R17" s="926"/>
      <c r="S17" s="926"/>
      <c r="T17" s="927"/>
      <c r="U17" s="928">
        <f t="shared" si="7"/>
        <v>0</v>
      </c>
      <c r="V17" s="929"/>
      <c r="W17" s="930"/>
      <c r="X17" s="928">
        <f t="shared" si="5"/>
        <v>0</v>
      </c>
      <c r="Y17" s="929"/>
      <c r="Z17" s="965">
        <f t="shared" si="6"/>
        <v>0</v>
      </c>
    </row>
    <row r="18" spans="1:29">
      <c r="A18" s="890" t="s">
        <v>110</v>
      </c>
      <c r="B18" s="891"/>
      <c r="C18" s="891"/>
      <c r="D18" s="892"/>
      <c r="E18" s="893"/>
      <c r="F18" s="893"/>
      <c r="G18" s="893"/>
      <c r="H18" s="893"/>
      <c r="I18" s="893"/>
      <c r="J18" s="893"/>
      <c r="K18" s="893"/>
      <c r="L18" s="910"/>
      <c r="M18" s="910"/>
      <c r="N18" s="910"/>
      <c r="O18" s="910"/>
      <c r="P18" s="910"/>
      <c r="Q18" s="910"/>
      <c r="R18" s="926"/>
      <c r="S18" s="926"/>
      <c r="T18" s="927"/>
      <c r="U18" s="928">
        <f t="shared" ref="U18" si="8">SUM(E18:S18)</f>
        <v>0</v>
      </c>
      <c r="V18" s="929"/>
      <c r="W18" s="930"/>
      <c r="X18" s="928">
        <f t="shared" ref="X18" si="9">U18+V18</f>
        <v>0</v>
      </c>
      <c r="Y18" s="929"/>
      <c r="Z18" s="965">
        <f t="shared" ref="Z18" si="10">X18+Y18</f>
        <v>0</v>
      </c>
    </row>
    <row r="19" spans="1:29">
      <c r="A19" s="890" t="s">
        <v>110</v>
      </c>
      <c r="B19" s="891"/>
      <c r="C19" s="891"/>
      <c r="D19" s="892"/>
      <c r="E19" s="893"/>
      <c r="F19" s="893"/>
      <c r="G19" s="893"/>
      <c r="H19" s="893"/>
      <c r="I19" s="893"/>
      <c r="J19" s="893"/>
      <c r="K19" s="893"/>
      <c r="L19" s="910"/>
      <c r="M19" s="910"/>
      <c r="N19" s="910"/>
      <c r="O19" s="910"/>
      <c r="P19" s="910"/>
      <c r="Q19" s="910"/>
      <c r="R19" s="926"/>
      <c r="S19" s="926"/>
      <c r="T19" s="927"/>
      <c r="U19" s="928">
        <f t="shared" ref="U19:U28" si="11">SUM(E19:S19)</f>
        <v>0</v>
      </c>
      <c r="V19" s="929"/>
      <c r="W19" s="930"/>
      <c r="X19" s="928">
        <f t="shared" ref="X19:X28" si="12">U19+V19</f>
        <v>0</v>
      </c>
      <c r="Y19" s="929"/>
      <c r="Z19" s="965">
        <f t="shared" ref="Z19:Z28" si="13">X19+Y19</f>
        <v>0</v>
      </c>
    </row>
    <row r="20" spans="1:29">
      <c r="A20" s="890" t="s">
        <v>110</v>
      </c>
      <c r="B20" s="891"/>
      <c r="C20" s="891"/>
      <c r="D20" s="892"/>
      <c r="E20" s="893"/>
      <c r="F20" s="893"/>
      <c r="G20" s="893"/>
      <c r="H20" s="893"/>
      <c r="I20" s="893"/>
      <c r="J20" s="893"/>
      <c r="K20" s="893"/>
      <c r="L20" s="910"/>
      <c r="M20" s="910"/>
      <c r="N20" s="910"/>
      <c r="O20" s="910"/>
      <c r="P20" s="910"/>
      <c r="Q20" s="910"/>
      <c r="R20" s="926"/>
      <c r="S20" s="926"/>
      <c r="T20" s="927"/>
      <c r="U20" s="929">
        <f t="shared" si="11"/>
        <v>0</v>
      </c>
      <c r="V20" s="929"/>
      <c r="W20" s="930"/>
      <c r="X20" s="929">
        <f t="shared" si="12"/>
        <v>0</v>
      </c>
      <c r="Y20" s="929"/>
      <c r="Z20" s="966">
        <f t="shared" si="13"/>
        <v>0</v>
      </c>
      <c r="AA20" s="414" t="s">
        <v>8</v>
      </c>
      <c r="AB20" s="967" t="s">
        <v>197</v>
      </c>
      <c r="AC20" s="415" t="s">
        <v>174</v>
      </c>
    </row>
    <row r="21" spans="1:29">
      <c r="A21" s="890" t="s">
        <v>110</v>
      </c>
      <c r="B21" s="891"/>
      <c r="C21" s="891"/>
      <c r="D21" s="892"/>
      <c r="E21" s="893"/>
      <c r="F21" s="893"/>
      <c r="G21" s="893"/>
      <c r="H21" s="893"/>
      <c r="I21" s="893"/>
      <c r="J21" s="893"/>
      <c r="K21" s="893"/>
      <c r="L21" s="910"/>
      <c r="M21" s="910"/>
      <c r="N21" s="910"/>
      <c r="O21" s="910"/>
      <c r="P21" s="910"/>
      <c r="Q21" s="910"/>
      <c r="R21" s="926"/>
      <c r="S21" s="926"/>
      <c r="T21" s="927"/>
      <c r="U21" s="929">
        <f t="shared" si="11"/>
        <v>0</v>
      </c>
      <c r="V21" s="929"/>
      <c r="W21" s="930"/>
      <c r="X21" s="929">
        <f t="shared" si="12"/>
        <v>0</v>
      </c>
      <c r="Y21" s="929"/>
      <c r="Z21" s="966">
        <f t="shared" si="13"/>
        <v>0</v>
      </c>
      <c r="AA21" s="414" t="s">
        <v>8</v>
      </c>
      <c r="AB21" s="967" t="s">
        <v>197</v>
      </c>
      <c r="AC21" s="415" t="s">
        <v>174</v>
      </c>
    </row>
    <row r="22" spans="1:29">
      <c r="A22" s="890" t="s">
        <v>110</v>
      </c>
      <c r="B22" s="891"/>
      <c r="C22" s="891"/>
      <c r="D22" s="892"/>
      <c r="E22" s="893"/>
      <c r="F22" s="893"/>
      <c r="G22" s="893"/>
      <c r="H22" s="893"/>
      <c r="I22" s="893"/>
      <c r="J22" s="893"/>
      <c r="K22" s="893"/>
      <c r="L22" s="910"/>
      <c r="M22" s="910"/>
      <c r="N22" s="910"/>
      <c r="O22" s="910"/>
      <c r="P22" s="910"/>
      <c r="Q22" s="910"/>
      <c r="R22" s="926"/>
      <c r="S22" s="926"/>
      <c r="T22" s="927"/>
      <c r="U22" s="929">
        <f t="shared" si="11"/>
        <v>0</v>
      </c>
      <c r="V22" s="929"/>
      <c r="W22" s="930"/>
      <c r="X22" s="929">
        <f t="shared" si="12"/>
        <v>0</v>
      </c>
      <c r="Y22" s="929"/>
      <c r="Z22" s="966">
        <f t="shared" si="13"/>
        <v>0</v>
      </c>
      <c r="AA22" s="414" t="s">
        <v>8</v>
      </c>
      <c r="AB22" s="967" t="s">
        <v>197</v>
      </c>
      <c r="AC22" s="415" t="s">
        <v>174</v>
      </c>
    </row>
    <row r="23" spans="1:29">
      <c r="A23" s="890" t="s">
        <v>110</v>
      </c>
      <c r="B23" s="891"/>
      <c r="C23" s="891"/>
      <c r="D23" s="892"/>
      <c r="E23" s="893"/>
      <c r="F23" s="893"/>
      <c r="G23" s="893"/>
      <c r="H23" s="893"/>
      <c r="I23" s="893"/>
      <c r="J23" s="893"/>
      <c r="K23" s="893"/>
      <c r="L23" s="910"/>
      <c r="M23" s="910"/>
      <c r="N23" s="910"/>
      <c r="O23" s="910"/>
      <c r="P23" s="910"/>
      <c r="Q23" s="910"/>
      <c r="R23" s="926"/>
      <c r="S23" s="926"/>
      <c r="T23" s="927"/>
      <c r="U23" s="929">
        <f t="shared" si="11"/>
        <v>0</v>
      </c>
      <c r="V23" s="929"/>
      <c r="W23" s="930"/>
      <c r="X23" s="929">
        <f t="shared" si="12"/>
        <v>0</v>
      </c>
      <c r="Y23" s="929"/>
      <c r="Z23" s="966">
        <f t="shared" si="13"/>
        <v>0</v>
      </c>
      <c r="AA23" s="414" t="s">
        <v>8</v>
      </c>
      <c r="AB23" s="967" t="s">
        <v>197</v>
      </c>
      <c r="AC23" s="415" t="s">
        <v>174</v>
      </c>
    </row>
    <row r="24" spans="1:29">
      <c r="A24" s="890" t="s">
        <v>110</v>
      </c>
      <c r="B24" s="891"/>
      <c r="C24" s="891"/>
      <c r="D24" s="892"/>
      <c r="E24" s="893"/>
      <c r="F24" s="893"/>
      <c r="G24" s="893"/>
      <c r="H24" s="893"/>
      <c r="I24" s="893"/>
      <c r="J24" s="893"/>
      <c r="K24" s="893"/>
      <c r="L24" s="910"/>
      <c r="M24" s="910"/>
      <c r="N24" s="910"/>
      <c r="O24" s="910"/>
      <c r="P24" s="910"/>
      <c r="Q24" s="910"/>
      <c r="R24" s="926"/>
      <c r="S24" s="926"/>
      <c r="T24" s="927"/>
      <c r="U24" s="929">
        <f t="shared" si="11"/>
        <v>0</v>
      </c>
      <c r="V24" s="929"/>
      <c r="W24" s="930"/>
      <c r="X24" s="929">
        <f t="shared" si="12"/>
        <v>0</v>
      </c>
      <c r="Y24" s="929"/>
      <c r="Z24" s="966">
        <f t="shared" si="13"/>
        <v>0</v>
      </c>
      <c r="AA24" s="414" t="s">
        <v>8</v>
      </c>
      <c r="AB24" s="967" t="s">
        <v>197</v>
      </c>
      <c r="AC24" s="415" t="s">
        <v>174</v>
      </c>
    </row>
    <row r="25" spans="1:29">
      <c r="A25" s="890" t="s">
        <v>110</v>
      </c>
      <c r="B25" s="891"/>
      <c r="C25" s="891"/>
      <c r="D25" s="892"/>
      <c r="E25" s="893"/>
      <c r="F25" s="893"/>
      <c r="G25" s="893"/>
      <c r="H25" s="893"/>
      <c r="I25" s="893"/>
      <c r="J25" s="893"/>
      <c r="K25" s="893"/>
      <c r="L25" s="910"/>
      <c r="M25" s="910"/>
      <c r="N25" s="910"/>
      <c r="O25" s="910"/>
      <c r="P25" s="910"/>
      <c r="Q25" s="910"/>
      <c r="R25" s="926"/>
      <c r="S25" s="926"/>
      <c r="T25" s="927"/>
      <c r="U25" s="929">
        <f t="shared" si="11"/>
        <v>0</v>
      </c>
      <c r="V25" s="929"/>
      <c r="W25" s="930"/>
      <c r="X25" s="929">
        <f t="shared" si="12"/>
        <v>0</v>
      </c>
      <c r="Y25" s="929"/>
      <c r="Z25" s="966">
        <f t="shared" si="13"/>
        <v>0</v>
      </c>
      <c r="AA25" s="414" t="s">
        <v>8</v>
      </c>
      <c r="AB25" s="967" t="s">
        <v>197</v>
      </c>
      <c r="AC25" s="415" t="s">
        <v>174</v>
      </c>
    </row>
    <row r="26" spans="1:29">
      <c r="A26" s="890" t="s">
        <v>110</v>
      </c>
      <c r="B26" s="891"/>
      <c r="C26" s="891"/>
      <c r="D26" s="892"/>
      <c r="E26" s="893"/>
      <c r="F26" s="893"/>
      <c r="G26" s="893"/>
      <c r="H26" s="893"/>
      <c r="I26" s="893"/>
      <c r="J26" s="893"/>
      <c r="K26" s="893"/>
      <c r="L26" s="910"/>
      <c r="M26" s="910"/>
      <c r="N26" s="910"/>
      <c r="O26" s="910"/>
      <c r="P26" s="910"/>
      <c r="Q26" s="910"/>
      <c r="R26" s="926"/>
      <c r="S26" s="926"/>
      <c r="T26" s="927"/>
      <c r="U26" s="929">
        <f t="shared" si="11"/>
        <v>0</v>
      </c>
      <c r="V26" s="929"/>
      <c r="W26" s="930"/>
      <c r="X26" s="929">
        <f t="shared" si="12"/>
        <v>0</v>
      </c>
      <c r="Y26" s="929"/>
      <c r="Z26" s="966">
        <f t="shared" si="13"/>
        <v>0</v>
      </c>
      <c r="AA26" s="414" t="s">
        <v>8</v>
      </c>
      <c r="AB26" s="967" t="s">
        <v>197</v>
      </c>
      <c r="AC26" s="415" t="s">
        <v>174</v>
      </c>
    </row>
    <row r="27" spans="1:29">
      <c r="A27" s="890" t="s">
        <v>110</v>
      </c>
      <c r="B27" s="891"/>
      <c r="C27" s="891"/>
      <c r="D27" s="894"/>
      <c r="E27" s="893"/>
      <c r="F27" s="893"/>
      <c r="G27" s="893"/>
      <c r="H27" s="893"/>
      <c r="I27" s="893"/>
      <c r="J27" s="893"/>
      <c r="K27" s="893"/>
      <c r="L27" s="910"/>
      <c r="M27" s="910"/>
      <c r="N27" s="910"/>
      <c r="O27" s="910"/>
      <c r="P27" s="910"/>
      <c r="Q27" s="910"/>
      <c r="R27" s="926"/>
      <c r="S27" s="926"/>
      <c r="T27" s="927"/>
      <c r="U27" s="929">
        <f t="shared" si="11"/>
        <v>0</v>
      </c>
      <c r="V27" s="929"/>
      <c r="W27" s="930"/>
      <c r="X27" s="929">
        <f t="shared" si="12"/>
        <v>0</v>
      </c>
      <c r="Y27" s="929"/>
      <c r="Z27" s="966">
        <f t="shared" si="13"/>
        <v>0</v>
      </c>
      <c r="AA27" s="414" t="s">
        <v>8</v>
      </c>
      <c r="AB27" s="967" t="s">
        <v>197</v>
      </c>
      <c r="AC27" s="415" t="s">
        <v>174</v>
      </c>
    </row>
    <row r="28" spans="1:29">
      <c r="A28" s="890" t="s">
        <v>110</v>
      </c>
      <c r="B28" s="891"/>
      <c r="C28" s="891"/>
      <c r="D28" s="894"/>
      <c r="E28" s="893"/>
      <c r="F28" s="893"/>
      <c r="G28" s="893"/>
      <c r="H28" s="893"/>
      <c r="I28" s="893"/>
      <c r="J28" s="893"/>
      <c r="K28" s="893"/>
      <c r="L28" s="910"/>
      <c r="M28" s="910"/>
      <c r="N28" s="910"/>
      <c r="O28" s="910"/>
      <c r="P28" s="910"/>
      <c r="Q28" s="910"/>
      <c r="R28" s="926"/>
      <c r="S28" s="926"/>
      <c r="T28" s="927"/>
      <c r="U28" s="931">
        <f t="shared" si="11"/>
        <v>0</v>
      </c>
      <c r="V28" s="931"/>
      <c r="W28" s="930"/>
      <c r="X28" s="931">
        <f t="shared" si="12"/>
        <v>0</v>
      </c>
      <c r="Y28" s="929"/>
      <c r="Z28" s="966">
        <f t="shared" si="13"/>
        <v>0</v>
      </c>
      <c r="AA28" s="414" t="s">
        <v>8</v>
      </c>
      <c r="AB28" s="967" t="s">
        <v>197</v>
      </c>
      <c r="AC28" s="415" t="s">
        <v>174</v>
      </c>
    </row>
    <row r="29" spans="1:29" s="870" customFormat="1">
      <c r="A29" s="326" t="s">
        <v>175</v>
      </c>
      <c r="B29" s="895"/>
      <c r="C29" s="895"/>
      <c r="D29" s="896"/>
      <c r="E29" s="897">
        <f>SUM(E5:E28)</f>
        <v>0</v>
      </c>
      <c r="F29" s="897">
        <f t="shared" ref="F29:S29" si="14">SUM(F5:F28)</f>
        <v>0</v>
      </c>
      <c r="G29" s="897">
        <f t="shared" si="14"/>
        <v>0</v>
      </c>
      <c r="H29" s="897">
        <f t="shared" si="14"/>
        <v>0</v>
      </c>
      <c r="I29" s="897">
        <f t="shared" si="14"/>
        <v>0</v>
      </c>
      <c r="J29" s="897">
        <f t="shared" si="14"/>
        <v>0</v>
      </c>
      <c r="K29" s="897">
        <f t="shared" si="14"/>
        <v>0</v>
      </c>
      <c r="L29" s="897">
        <f t="shared" si="14"/>
        <v>0</v>
      </c>
      <c r="M29" s="897">
        <f t="shared" si="14"/>
        <v>0</v>
      </c>
      <c r="N29" s="897">
        <f t="shared" si="14"/>
        <v>0</v>
      </c>
      <c r="O29" s="897">
        <f t="shared" si="14"/>
        <v>0</v>
      </c>
      <c r="P29" s="897">
        <f t="shared" si="14"/>
        <v>0</v>
      </c>
      <c r="Q29" s="897">
        <f t="shared" si="14"/>
        <v>0</v>
      </c>
      <c r="R29" s="897">
        <f t="shared" si="14"/>
        <v>0</v>
      </c>
      <c r="S29" s="897">
        <f t="shared" si="14"/>
        <v>0</v>
      </c>
      <c r="T29" s="932"/>
      <c r="U29" s="933">
        <f t="shared" ref="U29:Z29" si="15">SUM(U5:U28)</f>
        <v>0</v>
      </c>
      <c r="V29" s="934">
        <f t="shared" si="15"/>
        <v>0</v>
      </c>
      <c r="W29" s="934">
        <f t="shared" si="15"/>
        <v>0</v>
      </c>
      <c r="X29" s="935">
        <f t="shared" si="15"/>
        <v>0</v>
      </c>
      <c r="Y29" s="951">
        <f t="shared" si="15"/>
        <v>0</v>
      </c>
      <c r="Z29" s="897">
        <f t="shared" si="15"/>
        <v>0</v>
      </c>
      <c r="AA29" s="399">
        <f>'BIG CHAIR'!CL36</f>
        <v>0</v>
      </c>
      <c r="AB29" s="400">
        <f>'Jordan Chair'!AH38</f>
        <v>627</v>
      </c>
      <c r="AC29" s="401">
        <f>X29+AA29+AB29</f>
        <v>627</v>
      </c>
    </row>
    <row r="30" spans="1:29" s="870" customFormat="1">
      <c r="A30" s="306"/>
      <c r="B30" s="898"/>
      <c r="C30" s="898"/>
      <c r="D30" s="899"/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0"/>
      <c r="S30" s="900"/>
      <c r="T30" s="900"/>
      <c r="U30" s="900"/>
      <c r="V30" s="900"/>
      <c r="W30" s="900"/>
      <c r="X30" s="900"/>
      <c r="Y30" s="900"/>
      <c r="Z30" s="900"/>
      <c r="AA30" s="403"/>
      <c r="AB30" s="403"/>
      <c r="AC30" s="403"/>
    </row>
    <row r="31" spans="1:29" s="870" customFormat="1" ht="24" thickBot="1">
      <c r="A31" s="286" t="s">
        <v>117</v>
      </c>
      <c r="B31" s="877" t="s">
        <v>68</v>
      </c>
      <c r="C31" s="877" t="s">
        <v>69</v>
      </c>
      <c r="D31" s="878" t="s">
        <v>70</v>
      </c>
      <c r="E31" s="901" t="s">
        <v>71</v>
      </c>
      <c r="F31" s="880" t="s">
        <v>230</v>
      </c>
      <c r="G31" s="880" t="s">
        <v>72</v>
      </c>
      <c r="H31" s="879" t="s">
        <v>193</v>
      </c>
      <c r="I31" s="879" t="s">
        <v>170</v>
      </c>
      <c r="J31" s="879" t="s">
        <v>92</v>
      </c>
      <c r="K31" s="879" t="s">
        <v>194</v>
      </c>
      <c r="L31" s="880" t="s">
        <v>195</v>
      </c>
      <c r="M31" s="880" t="s">
        <v>76</v>
      </c>
      <c r="N31" s="880" t="s">
        <v>94</v>
      </c>
      <c r="O31" s="880" t="s">
        <v>86</v>
      </c>
      <c r="P31" s="880" t="s">
        <v>75</v>
      </c>
      <c r="Q31" s="880" t="s">
        <v>95</v>
      </c>
      <c r="R31" s="744" t="s">
        <v>77</v>
      </c>
      <c r="S31" s="936" t="s">
        <v>53</v>
      </c>
      <c r="T31" s="915"/>
      <c r="U31" s="916" t="s">
        <v>104</v>
      </c>
      <c r="V31" s="917" t="s">
        <v>105</v>
      </c>
      <c r="W31" s="917"/>
      <c r="X31" s="918" t="s">
        <v>106</v>
      </c>
      <c r="Y31" s="917" t="s">
        <v>107</v>
      </c>
      <c r="Z31" s="960" t="s">
        <v>108</v>
      </c>
      <c r="AA31" s="403"/>
      <c r="AB31" s="403"/>
      <c r="AC31" s="403"/>
    </row>
    <row r="32" spans="1:29">
      <c r="A32" s="726" t="s">
        <v>120</v>
      </c>
      <c r="B32" s="891"/>
      <c r="C32" s="891"/>
      <c r="D32" s="902"/>
      <c r="E32" s="903"/>
      <c r="F32" s="903"/>
      <c r="G32" s="903"/>
      <c r="H32" s="903"/>
      <c r="I32" s="903"/>
      <c r="J32" s="903"/>
      <c r="K32" s="903"/>
      <c r="L32" s="911"/>
      <c r="M32" s="911"/>
      <c r="N32" s="911"/>
      <c r="O32" s="911"/>
      <c r="P32" s="911"/>
      <c r="Q32" s="911"/>
      <c r="R32" s="937"/>
      <c r="S32" s="937"/>
      <c r="T32" s="938"/>
      <c r="U32" s="939">
        <f>SUM(E32:S32)</f>
        <v>0</v>
      </c>
      <c r="V32" s="940"/>
      <c r="W32" s="742"/>
      <c r="X32" s="940">
        <f t="shared" ref="X32:X36" si="16">U32+V32</f>
        <v>0</v>
      </c>
      <c r="Y32" s="742"/>
      <c r="Z32" s="940">
        <f t="shared" ref="Z32:Z38" si="17">X32+Y32</f>
        <v>0</v>
      </c>
      <c r="AA32" s="394"/>
      <c r="AB32" s="394"/>
      <c r="AC32" s="394"/>
    </row>
    <row r="33" spans="1:29">
      <c r="A33" s="726" t="s">
        <v>120</v>
      </c>
      <c r="B33" s="891"/>
      <c r="C33" s="891"/>
      <c r="D33" s="902"/>
      <c r="E33" s="904"/>
      <c r="F33" s="904"/>
      <c r="G33" s="904"/>
      <c r="H33" s="904"/>
      <c r="I33" s="904"/>
      <c r="J33" s="904"/>
      <c r="K33" s="904"/>
      <c r="L33" s="912"/>
      <c r="M33" s="912"/>
      <c r="N33" s="912"/>
      <c r="O33" s="912"/>
      <c r="P33" s="912"/>
      <c r="Q33" s="912"/>
      <c r="R33" s="941"/>
      <c r="S33" s="941"/>
      <c r="T33" s="938"/>
      <c r="U33" s="938">
        <f t="shared" ref="U33:U37" si="18">SUM(E33:S33)</f>
        <v>0</v>
      </c>
      <c r="V33" s="942"/>
      <c r="W33" s="957"/>
      <c r="X33" s="942">
        <f t="shared" si="16"/>
        <v>0</v>
      </c>
      <c r="Y33" s="957"/>
      <c r="Z33" s="942">
        <f t="shared" si="17"/>
        <v>0</v>
      </c>
      <c r="AA33" s="394"/>
      <c r="AB33" s="394"/>
      <c r="AC33" s="394"/>
    </row>
    <row r="34" spans="1:29">
      <c r="A34" s="726" t="s">
        <v>120</v>
      </c>
      <c r="B34" s="891"/>
      <c r="C34" s="891"/>
      <c r="D34" s="902"/>
      <c r="E34" s="904"/>
      <c r="F34" s="904"/>
      <c r="G34" s="904"/>
      <c r="H34" s="904"/>
      <c r="I34" s="904"/>
      <c r="J34" s="904"/>
      <c r="K34" s="904"/>
      <c r="L34" s="912"/>
      <c r="M34" s="912"/>
      <c r="N34" s="912"/>
      <c r="O34" s="912"/>
      <c r="P34" s="912"/>
      <c r="Q34" s="912"/>
      <c r="R34" s="941"/>
      <c r="S34" s="941"/>
      <c r="T34" s="938"/>
      <c r="U34" s="938">
        <f t="shared" si="18"/>
        <v>0</v>
      </c>
      <c r="V34" s="942"/>
      <c r="W34" s="957"/>
      <c r="X34" s="942">
        <f t="shared" si="16"/>
        <v>0</v>
      </c>
      <c r="Y34" s="957"/>
      <c r="Z34" s="942">
        <f t="shared" si="17"/>
        <v>0</v>
      </c>
      <c r="AA34" s="394"/>
      <c r="AB34" s="394"/>
      <c r="AC34" s="394"/>
    </row>
    <row r="35" spans="1:29">
      <c r="A35" s="726" t="s">
        <v>120</v>
      </c>
      <c r="B35" s="891"/>
      <c r="C35" s="891"/>
      <c r="D35" s="902"/>
      <c r="E35" s="904"/>
      <c r="F35" s="904"/>
      <c r="G35" s="904"/>
      <c r="H35" s="904"/>
      <c r="I35" s="904"/>
      <c r="J35" s="904"/>
      <c r="K35" s="904"/>
      <c r="L35" s="912"/>
      <c r="M35" s="912"/>
      <c r="N35" s="912"/>
      <c r="O35" s="912"/>
      <c r="P35" s="912"/>
      <c r="Q35" s="912"/>
      <c r="R35" s="941"/>
      <c r="S35" s="941"/>
      <c r="T35" s="938"/>
      <c r="U35" s="938">
        <f t="shared" si="18"/>
        <v>0</v>
      </c>
      <c r="V35" s="942"/>
      <c r="W35" s="957"/>
      <c r="X35" s="942">
        <f t="shared" si="16"/>
        <v>0</v>
      </c>
      <c r="Y35" s="957"/>
      <c r="Z35" s="942">
        <f t="shared" si="17"/>
        <v>0</v>
      </c>
      <c r="AA35" s="394"/>
      <c r="AB35" s="394"/>
      <c r="AC35" s="394"/>
    </row>
    <row r="36" spans="1:29">
      <c r="A36" s="726" t="s">
        <v>120</v>
      </c>
      <c r="B36" s="891"/>
      <c r="C36" s="891"/>
      <c r="D36" s="902"/>
      <c r="E36" s="904"/>
      <c r="F36" s="904"/>
      <c r="G36" s="904"/>
      <c r="H36" s="904"/>
      <c r="I36" s="904"/>
      <c r="J36" s="904"/>
      <c r="K36" s="904"/>
      <c r="L36" s="912"/>
      <c r="M36" s="912"/>
      <c r="N36" s="912"/>
      <c r="O36" s="912"/>
      <c r="P36" s="912"/>
      <c r="Q36" s="912"/>
      <c r="R36" s="941"/>
      <c r="S36" s="941"/>
      <c r="T36" s="938"/>
      <c r="U36" s="938">
        <f t="shared" si="18"/>
        <v>0</v>
      </c>
      <c r="V36" s="942"/>
      <c r="W36" s="957"/>
      <c r="X36" s="942">
        <f t="shared" si="16"/>
        <v>0</v>
      </c>
      <c r="Y36" s="957"/>
      <c r="Z36" s="942">
        <f t="shared" si="17"/>
        <v>0</v>
      </c>
      <c r="AA36" s="394"/>
      <c r="AB36" s="394"/>
      <c r="AC36" s="394"/>
    </row>
    <row r="37" spans="1:29">
      <c r="A37" s="726" t="s">
        <v>120</v>
      </c>
      <c r="B37" s="891"/>
      <c r="C37" s="891"/>
      <c r="D37" s="902"/>
      <c r="E37" s="904"/>
      <c r="F37" s="904"/>
      <c r="G37" s="904"/>
      <c r="H37" s="904"/>
      <c r="I37" s="904"/>
      <c r="J37" s="904"/>
      <c r="K37" s="904"/>
      <c r="L37" s="912"/>
      <c r="M37" s="912"/>
      <c r="N37" s="912"/>
      <c r="O37" s="912"/>
      <c r="P37" s="912"/>
      <c r="Q37" s="912"/>
      <c r="R37" s="941"/>
      <c r="S37" s="941"/>
      <c r="T37" s="938"/>
      <c r="U37" s="938">
        <f t="shared" si="18"/>
        <v>0</v>
      </c>
      <c r="V37" s="942"/>
      <c r="W37" s="957"/>
      <c r="X37" s="942">
        <f t="shared" ref="X37:X38" si="19">U37+V37</f>
        <v>0</v>
      </c>
      <c r="Y37" s="957"/>
      <c r="Z37" s="942">
        <f t="shared" si="17"/>
        <v>0</v>
      </c>
      <c r="AA37" s="394"/>
      <c r="AB37" s="394"/>
      <c r="AC37" s="394"/>
    </row>
    <row r="38" spans="1:29">
      <c r="A38" s="726" t="s">
        <v>120</v>
      </c>
      <c r="B38" s="891"/>
      <c r="C38" s="891"/>
      <c r="D38" s="902"/>
      <c r="E38" s="904"/>
      <c r="F38" s="904"/>
      <c r="G38" s="904"/>
      <c r="H38" s="904"/>
      <c r="I38" s="904"/>
      <c r="J38" s="904"/>
      <c r="K38" s="904"/>
      <c r="L38" s="912"/>
      <c r="M38" s="912"/>
      <c r="N38" s="912"/>
      <c r="O38" s="912"/>
      <c r="P38" s="912"/>
      <c r="Q38" s="912"/>
      <c r="R38" s="941"/>
      <c r="S38" s="941"/>
      <c r="T38" s="938"/>
      <c r="U38" s="938">
        <f t="shared" ref="U38:U41" si="20">SUM(E38:S38)</f>
        <v>0</v>
      </c>
      <c r="V38" s="942"/>
      <c r="W38" s="957"/>
      <c r="X38" s="942">
        <f t="shared" si="19"/>
        <v>0</v>
      </c>
      <c r="Y38" s="957"/>
      <c r="Z38" s="942">
        <f t="shared" si="17"/>
        <v>0</v>
      </c>
      <c r="AA38" s="394"/>
      <c r="AB38" s="394"/>
      <c r="AC38" s="394"/>
    </row>
    <row r="39" spans="1:29">
      <c r="A39" s="726" t="s">
        <v>120</v>
      </c>
      <c r="B39" s="891"/>
      <c r="C39" s="891"/>
      <c r="D39" s="902"/>
      <c r="E39" s="904"/>
      <c r="F39" s="904"/>
      <c r="G39" s="904"/>
      <c r="H39" s="904"/>
      <c r="I39" s="904"/>
      <c r="J39" s="904"/>
      <c r="K39" s="904"/>
      <c r="L39" s="912"/>
      <c r="M39" s="912"/>
      <c r="N39" s="912"/>
      <c r="O39" s="912"/>
      <c r="P39" s="912"/>
      <c r="Q39" s="912"/>
      <c r="R39" s="941"/>
      <c r="S39" s="941"/>
      <c r="T39" s="938"/>
      <c r="U39" s="938">
        <f t="shared" si="20"/>
        <v>0</v>
      </c>
      <c r="V39" s="942"/>
      <c r="W39" s="957"/>
      <c r="X39" s="942">
        <f t="shared" ref="X39:X41" si="21">U39+V39</f>
        <v>0</v>
      </c>
      <c r="Y39" s="957"/>
      <c r="Z39" s="942">
        <f t="shared" ref="Z39:Z41" si="22">X39+Y39</f>
        <v>0</v>
      </c>
      <c r="AA39" s="394"/>
      <c r="AB39" s="394"/>
      <c r="AC39" s="394"/>
    </row>
    <row r="40" spans="1:29">
      <c r="A40" s="726" t="s">
        <v>120</v>
      </c>
      <c r="B40" s="891"/>
      <c r="C40" s="891"/>
      <c r="D40" s="902"/>
      <c r="E40" s="904"/>
      <c r="F40" s="904"/>
      <c r="G40" s="904"/>
      <c r="H40" s="904"/>
      <c r="I40" s="904"/>
      <c r="J40" s="904"/>
      <c r="K40" s="904"/>
      <c r="L40" s="912"/>
      <c r="M40" s="912"/>
      <c r="N40" s="912"/>
      <c r="O40" s="912"/>
      <c r="P40" s="912"/>
      <c r="Q40" s="912"/>
      <c r="R40" s="941"/>
      <c r="S40" s="941"/>
      <c r="T40" s="938"/>
      <c r="U40" s="938">
        <f t="shared" si="20"/>
        <v>0</v>
      </c>
      <c r="V40" s="942"/>
      <c r="W40" s="957"/>
      <c r="X40" s="942">
        <f t="shared" si="21"/>
        <v>0</v>
      </c>
      <c r="Y40" s="957"/>
      <c r="Z40" s="942">
        <f t="shared" si="22"/>
        <v>0</v>
      </c>
      <c r="AA40" s="394"/>
      <c r="AB40" s="394"/>
      <c r="AC40" s="394"/>
    </row>
    <row r="41" spans="1:29">
      <c r="A41" s="726" t="s">
        <v>120</v>
      </c>
      <c r="B41" s="891"/>
      <c r="C41" s="891"/>
      <c r="D41" s="902"/>
      <c r="E41" s="904"/>
      <c r="F41" s="904"/>
      <c r="G41" s="904"/>
      <c r="H41" s="904"/>
      <c r="I41" s="904"/>
      <c r="J41" s="904"/>
      <c r="K41" s="904"/>
      <c r="L41" s="912"/>
      <c r="M41" s="912"/>
      <c r="N41" s="912"/>
      <c r="O41" s="912"/>
      <c r="P41" s="912"/>
      <c r="Q41" s="912"/>
      <c r="R41" s="941"/>
      <c r="S41" s="941"/>
      <c r="T41" s="938"/>
      <c r="U41" s="938">
        <f t="shared" si="20"/>
        <v>0</v>
      </c>
      <c r="V41" s="942"/>
      <c r="W41" s="957"/>
      <c r="X41" s="942">
        <f t="shared" si="21"/>
        <v>0</v>
      </c>
      <c r="Y41" s="957"/>
      <c r="Z41" s="942">
        <f t="shared" si="22"/>
        <v>0</v>
      </c>
      <c r="AA41" s="394"/>
      <c r="AB41" s="394"/>
      <c r="AC41" s="394"/>
    </row>
    <row r="42" spans="1:29">
      <c r="A42" s="726" t="s">
        <v>120</v>
      </c>
      <c r="B42" s="891"/>
      <c r="C42" s="891"/>
      <c r="D42" s="902"/>
      <c r="E42" s="904"/>
      <c r="F42" s="904"/>
      <c r="G42" s="904"/>
      <c r="H42" s="904"/>
      <c r="I42" s="904"/>
      <c r="J42" s="904"/>
      <c r="K42" s="904"/>
      <c r="L42" s="912"/>
      <c r="M42" s="912"/>
      <c r="N42" s="912"/>
      <c r="O42" s="912"/>
      <c r="P42" s="912"/>
      <c r="Q42" s="912"/>
      <c r="R42" s="941"/>
      <c r="S42" s="941"/>
      <c r="T42" s="938"/>
      <c r="U42" s="938">
        <f t="shared" ref="U42:U48" si="23">SUM(E42:S42)</f>
        <v>0</v>
      </c>
      <c r="V42" s="942"/>
      <c r="W42" s="957"/>
      <c r="X42" s="942">
        <f t="shared" ref="X42:X54" si="24">U42+V42</f>
        <v>0</v>
      </c>
      <c r="Y42" s="957"/>
      <c r="Z42" s="942">
        <f t="shared" ref="Z42:Z54" si="25">X42+Y42</f>
        <v>0</v>
      </c>
      <c r="AA42" s="394"/>
      <c r="AB42" s="394"/>
      <c r="AC42" s="394"/>
    </row>
    <row r="43" spans="1:29">
      <c r="A43" s="726" t="s">
        <v>120</v>
      </c>
      <c r="B43" s="891"/>
      <c r="C43" s="891"/>
      <c r="D43" s="902"/>
      <c r="E43" s="904"/>
      <c r="F43" s="904"/>
      <c r="G43" s="904"/>
      <c r="H43" s="904"/>
      <c r="I43" s="904"/>
      <c r="J43" s="904"/>
      <c r="K43" s="904"/>
      <c r="L43" s="912"/>
      <c r="M43" s="912"/>
      <c r="N43" s="912"/>
      <c r="O43" s="912"/>
      <c r="P43" s="912"/>
      <c r="Q43" s="912"/>
      <c r="R43" s="941"/>
      <c r="S43" s="941"/>
      <c r="T43" s="938"/>
      <c r="U43" s="938">
        <f t="shared" si="23"/>
        <v>0</v>
      </c>
      <c r="V43" s="942"/>
      <c r="W43" s="957"/>
      <c r="X43" s="942">
        <f t="shared" si="24"/>
        <v>0</v>
      </c>
      <c r="Y43" s="957"/>
      <c r="Z43" s="942">
        <f t="shared" si="25"/>
        <v>0</v>
      </c>
      <c r="AA43" s="394"/>
      <c r="AB43" s="394"/>
      <c r="AC43" s="394"/>
    </row>
    <row r="44" spans="1:29">
      <c r="A44" s="726" t="s">
        <v>120</v>
      </c>
      <c r="B44" s="891"/>
      <c r="C44" s="891"/>
      <c r="D44" s="902"/>
      <c r="E44" s="904"/>
      <c r="F44" s="904"/>
      <c r="G44" s="904"/>
      <c r="H44" s="904"/>
      <c r="I44" s="904"/>
      <c r="J44" s="904"/>
      <c r="K44" s="904"/>
      <c r="L44" s="912"/>
      <c r="M44" s="912"/>
      <c r="N44" s="912"/>
      <c r="O44" s="912"/>
      <c r="P44" s="912"/>
      <c r="Q44" s="912"/>
      <c r="R44" s="941"/>
      <c r="S44" s="941"/>
      <c r="T44" s="938"/>
      <c r="U44" s="938">
        <f t="shared" si="23"/>
        <v>0</v>
      </c>
      <c r="V44" s="942"/>
      <c r="W44" s="957"/>
      <c r="X44" s="942">
        <f t="shared" si="24"/>
        <v>0</v>
      </c>
      <c r="Y44" s="957"/>
      <c r="Z44" s="942">
        <f t="shared" si="25"/>
        <v>0</v>
      </c>
      <c r="AA44" s="394"/>
      <c r="AB44" s="394"/>
      <c r="AC44" s="394"/>
    </row>
    <row r="45" spans="1:29">
      <c r="A45" s="726" t="s">
        <v>120</v>
      </c>
      <c r="B45" s="891"/>
      <c r="C45" s="891"/>
      <c r="D45" s="902"/>
      <c r="E45" s="904"/>
      <c r="F45" s="904"/>
      <c r="G45" s="904"/>
      <c r="H45" s="904"/>
      <c r="I45" s="904"/>
      <c r="J45" s="904"/>
      <c r="K45" s="904"/>
      <c r="L45" s="912"/>
      <c r="M45" s="912"/>
      <c r="N45" s="912"/>
      <c r="O45" s="912"/>
      <c r="P45" s="912"/>
      <c r="Q45" s="912"/>
      <c r="R45" s="941"/>
      <c r="S45" s="941"/>
      <c r="T45" s="938"/>
      <c r="U45" s="938">
        <f t="shared" si="23"/>
        <v>0</v>
      </c>
      <c r="V45" s="942"/>
      <c r="W45" s="957"/>
      <c r="X45" s="942">
        <f t="shared" si="24"/>
        <v>0</v>
      </c>
      <c r="Y45" s="957"/>
      <c r="Z45" s="942">
        <f t="shared" si="25"/>
        <v>0</v>
      </c>
      <c r="AA45" s="394"/>
      <c r="AB45" s="394"/>
      <c r="AC45" s="394"/>
    </row>
    <row r="46" spans="1:29">
      <c r="A46" s="726" t="s">
        <v>120</v>
      </c>
      <c r="B46" s="891"/>
      <c r="C46" s="891"/>
      <c r="D46" s="902"/>
      <c r="E46" s="904"/>
      <c r="F46" s="904"/>
      <c r="G46" s="904"/>
      <c r="H46" s="904"/>
      <c r="I46" s="904"/>
      <c r="J46" s="904"/>
      <c r="K46" s="904"/>
      <c r="L46" s="912"/>
      <c r="M46" s="912"/>
      <c r="N46" s="912"/>
      <c r="O46" s="912"/>
      <c r="P46" s="912"/>
      <c r="Q46" s="912"/>
      <c r="R46" s="941"/>
      <c r="S46" s="941"/>
      <c r="T46" s="938"/>
      <c r="U46" s="938">
        <f t="shared" si="23"/>
        <v>0</v>
      </c>
      <c r="V46" s="942"/>
      <c r="W46" s="957"/>
      <c r="X46" s="942">
        <f t="shared" si="24"/>
        <v>0</v>
      </c>
      <c r="Y46" s="957"/>
      <c r="Z46" s="942">
        <f t="shared" si="25"/>
        <v>0</v>
      </c>
      <c r="AA46" s="394"/>
      <c r="AB46" s="394"/>
      <c r="AC46" s="394"/>
    </row>
    <row r="47" spans="1:29">
      <c r="A47" s="726" t="s">
        <v>120</v>
      </c>
      <c r="B47" s="891"/>
      <c r="C47" s="891"/>
      <c r="D47" s="902"/>
      <c r="E47" s="904"/>
      <c r="F47" s="904"/>
      <c r="G47" s="904"/>
      <c r="H47" s="904"/>
      <c r="I47" s="904"/>
      <c r="J47" s="904"/>
      <c r="K47" s="904"/>
      <c r="L47" s="912"/>
      <c r="M47" s="912"/>
      <c r="N47" s="912"/>
      <c r="O47" s="912"/>
      <c r="P47" s="912"/>
      <c r="Q47" s="912"/>
      <c r="R47" s="941"/>
      <c r="S47" s="941"/>
      <c r="T47" s="938"/>
      <c r="U47" s="938">
        <f t="shared" si="23"/>
        <v>0</v>
      </c>
      <c r="V47" s="942"/>
      <c r="W47" s="957"/>
      <c r="X47" s="942">
        <f t="shared" si="24"/>
        <v>0</v>
      </c>
      <c r="Y47" s="957"/>
      <c r="Z47" s="942">
        <f t="shared" si="25"/>
        <v>0</v>
      </c>
      <c r="AA47" s="394"/>
      <c r="AB47" s="394"/>
      <c r="AC47" s="394"/>
    </row>
    <row r="48" spans="1:29">
      <c r="A48" s="726" t="s">
        <v>120</v>
      </c>
      <c r="B48" s="891"/>
      <c r="C48" s="891"/>
      <c r="D48" s="902"/>
      <c r="E48" s="904"/>
      <c r="F48" s="904"/>
      <c r="G48" s="904"/>
      <c r="H48" s="904"/>
      <c r="I48" s="904"/>
      <c r="J48" s="904"/>
      <c r="K48" s="904"/>
      <c r="L48" s="912"/>
      <c r="M48" s="912"/>
      <c r="N48" s="912"/>
      <c r="O48" s="912"/>
      <c r="P48" s="912"/>
      <c r="Q48" s="912"/>
      <c r="R48" s="941"/>
      <c r="S48" s="941"/>
      <c r="T48" s="938"/>
      <c r="U48" s="938">
        <f t="shared" si="23"/>
        <v>0</v>
      </c>
      <c r="V48" s="942"/>
      <c r="W48" s="957"/>
      <c r="X48" s="942">
        <f t="shared" si="24"/>
        <v>0</v>
      </c>
      <c r="Y48" s="957"/>
      <c r="Z48" s="942">
        <f t="shared" si="25"/>
        <v>0</v>
      </c>
      <c r="AA48" s="394"/>
      <c r="AB48" s="394"/>
      <c r="AC48" s="394"/>
    </row>
    <row r="49" spans="1:29">
      <c r="A49" s="726" t="s">
        <v>120</v>
      </c>
      <c r="B49" s="891"/>
      <c r="C49" s="891"/>
      <c r="D49" s="905"/>
      <c r="E49" s="904"/>
      <c r="F49" s="904"/>
      <c r="G49" s="904"/>
      <c r="H49" s="904"/>
      <c r="I49" s="904"/>
      <c r="J49" s="904"/>
      <c r="K49" s="904"/>
      <c r="L49" s="912"/>
      <c r="M49" s="912"/>
      <c r="N49" s="912"/>
      <c r="O49" s="912"/>
      <c r="P49" s="912"/>
      <c r="Q49" s="912"/>
      <c r="R49" s="941"/>
      <c r="S49" s="941"/>
      <c r="T49" s="938"/>
      <c r="U49" s="938">
        <f t="shared" ref="U49:U57" si="26">SUM(E49:S49)</f>
        <v>0</v>
      </c>
      <c r="V49" s="942"/>
      <c r="W49" s="957"/>
      <c r="X49" s="942">
        <f t="shared" si="24"/>
        <v>0</v>
      </c>
      <c r="Y49" s="957"/>
      <c r="Z49" s="942">
        <f t="shared" si="25"/>
        <v>0</v>
      </c>
      <c r="AA49" s="394"/>
      <c r="AB49" s="394"/>
      <c r="AC49" s="394"/>
    </row>
    <row r="50" spans="1:29">
      <c r="A50" s="726" t="s">
        <v>120</v>
      </c>
      <c r="B50" s="891"/>
      <c r="C50" s="891"/>
      <c r="D50" s="902"/>
      <c r="E50" s="904"/>
      <c r="F50" s="904"/>
      <c r="G50" s="904"/>
      <c r="H50" s="904"/>
      <c r="I50" s="904"/>
      <c r="J50" s="904"/>
      <c r="K50" s="904"/>
      <c r="L50" s="912"/>
      <c r="M50" s="912"/>
      <c r="N50" s="912"/>
      <c r="O50" s="912"/>
      <c r="P50" s="912"/>
      <c r="Q50" s="912"/>
      <c r="R50" s="941"/>
      <c r="S50" s="941"/>
      <c r="T50" s="938"/>
      <c r="U50" s="938">
        <f t="shared" si="26"/>
        <v>0</v>
      </c>
      <c r="V50" s="942"/>
      <c r="W50" s="957"/>
      <c r="X50" s="942">
        <f t="shared" si="24"/>
        <v>0</v>
      </c>
      <c r="Y50" s="957"/>
      <c r="Z50" s="942">
        <f t="shared" si="25"/>
        <v>0</v>
      </c>
      <c r="AA50" s="394"/>
      <c r="AB50" s="394"/>
      <c r="AC50" s="394"/>
    </row>
    <row r="51" spans="1:29">
      <c r="A51" s="726" t="s">
        <v>120</v>
      </c>
      <c r="B51" s="891"/>
      <c r="C51" s="891"/>
      <c r="D51" s="902"/>
      <c r="E51" s="904"/>
      <c r="F51" s="904"/>
      <c r="G51" s="904"/>
      <c r="H51" s="904"/>
      <c r="I51" s="904"/>
      <c r="J51" s="904"/>
      <c r="K51" s="904"/>
      <c r="L51" s="912"/>
      <c r="M51" s="912"/>
      <c r="N51" s="912"/>
      <c r="O51" s="912"/>
      <c r="P51" s="912"/>
      <c r="Q51" s="912"/>
      <c r="R51" s="941"/>
      <c r="S51" s="941"/>
      <c r="T51" s="938"/>
      <c r="U51" s="938">
        <f t="shared" si="26"/>
        <v>0</v>
      </c>
      <c r="V51" s="942"/>
      <c r="W51" s="957"/>
      <c r="X51" s="942">
        <f t="shared" si="24"/>
        <v>0</v>
      </c>
      <c r="Y51" s="957"/>
      <c r="Z51" s="942">
        <f t="shared" si="25"/>
        <v>0</v>
      </c>
      <c r="AA51" s="394"/>
      <c r="AB51" s="394"/>
      <c r="AC51" s="394"/>
    </row>
    <row r="52" spans="1:29">
      <c r="A52" s="726" t="s">
        <v>120</v>
      </c>
      <c r="B52" s="891"/>
      <c r="C52" s="891"/>
      <c r="D52" s="902"/>
      <c r="E52" s="904"/>
      <c r="F52" s="904"/>
      <c r="G52" s="904"/>
      <c r="H52" s="904"/>
      <c r="I52" s="904"/>
      <c r="J52" s="904"/>
      <c r="K52" s="904"/>
      <c r="L52" s="912"/>
      <c r="M52" s="912"/>
      <c r="N52" s="912"/>
      <c r="O52" s="912"/>
      <c r="P52" s="912"/>
      <c r="Q52" s="912"/>
      <c r="R52" s="941"/>
      <c r="S52" s="941"/>
      <c r="T52" s="938"/>
      <c r="U52" s="938">
        <f t="shared" si="26"/>
        <v>0</v>
      </c>
      <c r="V52" s="942"/>
      <c r="W52" s="957"/>
      <c r="X52" s="942">
        <f t="shared" si="24"/>
        <v>0</v>
      </c>
      <c r="Y52" s="957"/>
      <c r="Z52" s="942">
        <f t="shared" si="25"/>
        <v>0</v>
      </c>
      <c r="AA52" s="394"/>
      <c r="AB52" s="394"/>
      <c r="AC52" s="394"/>
    </row>
    <row r="53" spans="1:29">
      <c r="A53" s="726" t="s">
        <v>120</v>
      </c>
      <c r="B53" s="891"/>
      <c r="C53" s="891"/>
      <c r="D53" s="902"/>
      <c r="E53" s="904"/>
      <c r="F53" s="904"/>
      <c r="G53" s="904"/>
      <c r="H53" s="904"/>
      <c r="I53" s="904"/>
      <c r="J53" s="904"/>
      <c r="K53" s="904"/>
      <c r="L53" s="912"/>
      <c r="M53" s="912"/>
      <c r="N53" s="912"/>
      <c r="O53" s="912"/>
      <c r="P53" s="912"/>
      <c r="Q53" s="912"/>
      <c r="R53" s="941"/>
      <c r="S53" s="941"/>
      <c r="T53" s="938"/>
      <c r="U53" s="938">
        <f t="shared" si="26"/>
        <v>0</v>
      </c>
      <c r="V53" s="942"/>
      <c r="W53" s="957"/>
      <c r="X53" s="942">
        <f t="shared" si="24"/>
        <v>0</v>
      </c>
      <c r="Y53" s="957"/>
      <c r="Z53" s="942">
        <f t="shared" si="25"/>
        <v>0</v>
      </c>
      <c r="AA53" s="394"/>
      <c r="AB53" s="394"/>
      <c r="AC53" s="394"/>
    </row>
    <row r="54" spans="1:29">
      <c r="A54" s="726" t="s">
        <v>120</v>
      </c>
      <c r="B54" s="891"/>
      <c r="C54" s="891"/>
      <c r="D54" s="902"/>
      <c r="E54" s="904"/>
      <c r="F54" s="904"/>
      <c r="G54" s="904"/>
      <c r="H54" s="904"/>
      <c r="I54" s="904"/>
      <c r="J54" s="904"/>
      <c r="K54" s="904"/>
      <c r="L54" s="912"/>
      <c r="M54" s="912"/>
      <c r="N54" s="912"/>
      <c r="O54" s="912"/>
      <c r="P54" s="912"/>
      <c r="Q54" s="912"/>
      <c r="R54" s="941"/>
      <c r="S54" s="941"/>
      <c r="T54" s="938"/>
      <c r="U54" s="938">
        <f t="shared" si="26"/>
        <v>0</v>
      </c>
      <c r="V54" s="942"/>
      <c r="W54" s="957"/>
      <c r="X54" s="942">
        <f t="shared" si="24"/>
        <v>0</v>
      </c>
      <c r="Y54" s="957"/>
      <c r="Z54" s="942">
        <f t="shared" si="25"/>
        <v>0</v>
      </c>
      <c r="AA54" s="394"/>
      <c r="AB54" s="394"/>
      <c r="AC54" s="394"/>
    </row>
    <row r="55" spans="1:29" ht="24" thickBot="1">
      <c r="A55" s="726" t="s">
        <v>120</v>
      </c>
      <c r="B55" s="891"/>
      <c r="C55" s="891"/>
      <c r="D55" s="902"/>
      <c r="E55" s="904"/>
      <c r="F55" s="904"/>
      <c r="G55" s="904"/>
      <c r="H55" s="904"/>
      <c r="I55" s="904"/>
      <c r="J55" s="904"/>
      <c r="K55" s="904"/>
      <c r="L55" s="912"/>
      <c r="M55" s="912"/>
      <c r="N55" s="912"/>
      <c r="O55" s="912"/>
      <c r="P55" s="912"/>
      <c r="Q55" s="912"/>
      <c r="R55" s="941"/>
      <c r="S55" s="941"/>
      <c r="T55" s="938"/>
      <c r="U55" s="938">
        <f t="shared" si="26"/>
        <v>0</v>
      </c>
      <c r="V55" s="942"/>
      <c r="W55" s="957"/>
      <c r="X55" s="942">
        <f t="shared" ref="X55:X57" si="27">U55+V55</f>
        <v>0</v>
      </c>
      <c r="Y55" s="957"/>
      <c r="Z55" s="942">
        <f t="shared" ref="Z55:Z57" si="28">X55+Y55</f>
        <v>0</v>
      </c>
      <c r="AA55" s="394"/>
      <c r="AB55" s="394"/>
      <c r="AC55" s="394"/>
    </row>
    <row r="56" spans="1:29" ht="24" thickBot="1">
      <c r="A56" s="726" t="s">
        <v>120</v>
      </c>
      <c r="B56" s="891"/>
      <c r="C56" s="891"/>
      <c r="D56" s="902"/>
      <c r="E56" s="904"/>
      <c r="F56" s="904"/>
      <c r="G56" s="904"/>
      <c r="H56" s="904"/>
      <c r="I56" s="904"/>
      <c r="J56" s="904"/>
      <c r="K56" s="904"/>
      <c r="L56" s="912"/>
      <c r="M56" s="912"/>
      <c r="N56" s="912"/>
      <c r="O56" s="912"/>
      <c r="P56" s="912"/>
      <c r="Q56" s="912"/>
      <c r="R56" s="941"/>
      <c r="S56" s="941"/>
      <c r="T56" s="938"/>
      <c r="U56" s="943">
        <f t="shared" ref="U56" si="29">SUM(E56:S56)</f>
        <v>0</v>
      </c>
      <c r="V56" s="944"/>
      <c r="W56" s="3327"/>
      <c r="X56" s="944">
        <f t="shared" ref="X56" si="30">U56+V56</f>
        <v>0</v>
      </c>
      <c r="Y56" s="3327"/>
      <c r="Z56" s="944">
        <f t="shared" ref="Z56" si="31">X56+Y56</f>
        <v>0</v>
      </c>
      <c r="AA56" s="971" t="s">
        <v>8</v>
      </c>
      <c r="AB56" s="967" t="s">
        <v>197</v>
      </c>
      <c r="AC56" s="398" t="s">
        <v>174</v>
      </c>
    </row>
    <row r="57" spans="1:29" ht="24" thickBot="1">
      <c r="A57" s="726" t="s">
        <v>120</v>
      </c>
      <c r="B57" s="891"/>
      <c r="C57" s="891"/>
      <c r="D57" s="902"/>
      <c r="E57" s="904"/>
      <c r="F57" s="904"/>
      <c r="G57" s="904"/>
      <c r="H57" s="904"/>
      <c r="I57" s="904"/>
      <c r="J57" s="904"/>
      <c r="K57" s="904"/>
      <c r="L57" s="912"/>
      <c r="M57" s="912"/>
      <c r="N57" s="912"/>
      <c r="O57" s="912"/>
      <c r="P57" s="912"/>
      <c r="Q57" s="912"/>
      <c r="R57" s="941"/>
      <c r="S57" s="941"/>
      <c r="T57" s="938"/>
      <c r="U57" s="947">
        <f t="shared" si="26"/>
        <v>0</v>
      </c>
      <c r="V57" s="948"/>
      <c r="W57" s="3328"/>
      <c r="X57" s="948">
        <f t="shared" si="27"/>
        <v>0</v>
      </c>
      <c r="Y57" s="3328"/>
      <c r="Z57" s="948">
        <f t="shared" si="28"/>
        <v>0</v>
      </c>
      <c r="AA57" s="971" t="s">
        <v>8</v>
      </c>
      <c r="AB57" s="967" t="s">
        <v>197</v>
      </c>
      <c r="AC57" s="398" t="s">
        <v>174</v>
      </c>
    </row>
    <row r="58" spans="1:29" s="870" customFormat="1" ht="24" thickBot="1">
      <c r="A58" s="326" t="s">
        <v>177</v>
      </c>
      <c r="B58" s="895"/>
      <c r="C58" s="895"/>
      <c r="D58" s="896"/>
      <c r="E58" s="897">
        <f t="shared" ref="E58:S58" si="32">SUM(E32:E57)</f>
        <v>0</v>
      </c>
      <c r="F58" s="897">
        <f t="shared" si="32"/>
        <v>0</v>
      </c>
      <c r="G58" s="897">
        <f t="shared" ref="G58" si="33">SUM(G32:G57)</f>
        <v>0</v>
      </c>
      <c r="H58" s="897">
        <f t="shared" si="32"/>
        <v>0</v>
      </c>
      <c r="I58" s="897">
        <f t="shared" si="32"/>
        <v>0</v>
      </c>
      <c r="J58" s="897">
        <f t="shared" si="32"/>
        <v>0</v>
      </c>
      <c r="K58" s="897">
        <f t="shared" si="32"/>
        <v>0</v>
      </c>
      <c r="L58" s="897">
        <f t="shared" si="32"/>
        <v>0</v>
      </c>
      <c r="M58" s="897">
        <f t="shared" si="32"/>
        <v>0</v>
      </c>
      <c r="N58" s="897">
        <f t="shared" si="32"/>
        <v>0</v>
      </c>
      <c r="O58" s="897">
        <f t="shared" si="32"/>
        <v>0</v>
      </c>
      <c r="P58" s="897">
        <f t="shared" si="32"/>
        <v>0</v>
      </c>
      <c r="Q58" s="897">
        <f t="shared" si="32"/>
        <v>0</v>
      </c>
      <c r="R58" s="897">
        <f t="shared" si="32"/>
        <v>0</v>
      </c>
      <c r="S58" s="897">
        <f t="shared" si="32"/>
        <v>0</v>
      </c>
      <c r="T58" s="932"/>
      <c r="U58" s="932">
        <f>SUM(U32:U57)</f>
        <v>0</v>
      </c>
      <c r="V58" s="951">
        <f>SUM(V32:V57)</f>
        <v>0</v>
      </c>
      <c r="W58" s="897"/>
      <c r="X58" s="934">
        <f>SUM(X32:X57)</f>
        <v>0</v>
      </c>
      <c r="Y58" s="934">
        <f>SUM(Y32:Y57)</f>
        <v>0</v>
      </c>
      <c r="Z58" s="973">
        <f>SUM(Z32:Z57)</f>
        <v>0</v>
      </c>
      <c r="AA58" s="399">
        <f>'BIG CHAIR'!CL42</f>
        <v>880</v>
      </c>
      <c r="AB58" s="400">
        <f>'Jordan Chair'!AH26</f>
        <v>0</v>
      </c>
      <c r="AC58" s="401">
        <f>X58+AA58+AB58</f>
        <v>880</v>
      </c>
    </row>
    <row r="59" spans="1:29" s="870" customFormat="1" ht="24" thickBot="1">
      <c r="A59" s="286" t="s">
        <v>122</v>
      </c>
      <c r="B59" s="877" t="s">
        <v>68</v>
      </c>
      <c r="C59" s="877" t="s">
        <v>69</v>
      </c>
      <c r="D59" s="878" t="s">
        <v>70</v>
      </c>
      <c r="E59" s="879" t="s">
        <v>71</v>
      </c>
      <c r="F59" s="880" t="s">
        <v>230</v>
      </c>
      <c r="G59" s="880" t="s">
        <v>91</v>
      </c>
      <c r="H59" s="879" t="s">
        <v>41</v>
      </c>
      <c r="I59" s="879" t="s">
        <v>97</v>
      </c>
      <c r="J59" s="879" t="s">
        <v>92</v>
      </c>
      <c r="K59" s="879" t="s">
        <v>194</v>
      </c>
      <c r="L59" s="880" t="s">
        <v>195</v>
      </c>
      <c r="M59" s="880" t="s">
        <v>476</v>
      </c>
      <c r="N59" s="880" t="s">
        <v>94</v>
      </c>
      <c r="O59" s="880" t="s">
        <v>86</v>
      </c>
      <c r="P59" s="880" t="s">
        <v>75</v>
      </c>
      <c r="Q59" s="880" t="s">
        <v>503</v>
      </c>
      <c r="R59" s="49" t="s">
        <v>77</v>
      </c>
      <c r="S59" s="914" t="s">
        <v>53</v>
      </c>
      <c r="T59" s="915"/>
      <c r="U59" s="952" t="s">
        <v>104</v>
      </c>
      <c r="V59" s="953" t="s">
        <v>105</v>
      </c>
      <c r="W59" s="954"/>
      <c r="X59" s="918" t="s">
        <v>106</v>
      </c>
      <c r="Y59" s="917" t="s">
        <v>107</v>
      </c>
      <c r="Z59" s="960" t="s">
        <v>108</v>
      </c>
      <c r="AA59" s="403"/>
      <c r="AB59" s="403"/>
      <c r="AC59" s="403"/>
    </row>
    <row r="60" spans="1:29">
      <c r="A60" s="726" t="s">
        <v>125</v>
      </c>
      <c r="B60" s="891" t="s">
        <v>472</v>
      </c>
      <c r="C60" s="891"/>
      <c r="D60" s="902"/>
      <c r="E60" s="903"/>
      <c r="F60" s="903"/>
      <c r="G60" s="903"/>
      <c r="H60" s="903"/>
      <c r="I60" s="903"/>
      <c r="J60" s="903"/>
      <c r="K60" s="903"/>
      <c r="L60" s="911"/>
      <c r="M60" s="911"/>
      <c r="N60" s="911"/>
      <c r="O60" s="911"/>
      <c r="P60" s="911"/>
      <c r="Q60" s="911"/>
      <c r="R60" s="937"/>
      <c r="S60" s="937"/>
      <c r="T60" s="938"/>
      <c r="U60" s="955">
        <f>SUM(E60:S60)</f>
        <v>0</v>
      </c>
      <c r="V60" s="956"/>
      <c r="W60" s="742"/>
      <c r="X60" s="940">
        <f t="shared" ref="X60:X63" si="34">U60+V60</f>
        <v>0</v>
      </c>
      <c r="Y60" s="742"/>
      <c r="Z60" s="940">
        <f>X60+Y60</f>
        <v>0</v>
      </c>
      <c r="AA60" s="394"/>
      <c r="AB60" s="394"/>
      <c r="AC60" s="394"/>
    </row>
    <row r="61" spans="1:29">
      <c r="A61" s="726" t="s">
        <v>125</v>
      </c>
      <c r="B61" s="891"/>
      <c r="C61" s="891"/>
      <c r="D61" s="902"/>
      <c r="E61" s="904"/>
      <c r="F61" s="904"/>
      <c r="G61" s="904"/>
      <c r="H61" s="904"/>
      <c r="I61" s="904"/>
      <c r="J61" s="904"/>
      <c r="K61" s="904"/>
      <c r="L61" s="912"/>
      <c r="M61" s="912"/>
      <c r="N61" s="912"/>
      <c r="O61" s="912"/>
      <c r="P61" s="912"/>
      <c r="Q61" s="912"/>
      <c r="R61" s="941"/>
      <c r="S61" s="941"/>
      <c r="T61" s="938"/>
      <c r="U61" s="938">
        <f t="shared" ref="U61:U63" si="35">SUM(E61:S61)</f>
        <v>0</v>
      </c>
      <c r="V61" s="942"/>
      <c r="W61" s="957"/>
      <c r="X61" s="942">
        <f t="shared" si="34"/>
        <v>0</v>
      </c>
      <c r="Y61" s="957"/>
      <c r="Z61" s="942">
        <f t="shared" ref="Z61:Z63" si="36">X61+Y61</f>
        <v>0</v>
      </c>
      <c r="AA61" s="394"/>
      <c r="AB61" s="394"/>
      <c r="AC61" s="394"/>
    </row>
    <row r="62" spans="1:29">
      <c r="A62" s="726" t="s">
        <v>125</v>
      </c>
      <c r="B62" s="891"/>
      <c r="C62" s="891"/>
      <c r="D62" s="902"/>
      <c r="E62" s="904"/>
      <c r="F62" s="904"/>
      <c r="G62" s="904"/>
      <c r="H62" s="904"/>
      <c r="I62" s="904"/>
      <c r="J62" s="904"/>
      <c r="K62" s="904"/>
      <c r="L62" s="912"/>
      <c r="M62" s="912"/>
      <c r="N62" s="912"/>
      <c r="O62" s="912"/>
      <c r="P62" s="912"/>
      <c r="Q62" s="912"/>
      <c r="R62" s="941"/>
      <c r="S62" s="941"/>
      <c r="T62" s="938"/>
      <c r="U62" s="938">
        <f t="shared" si="35"/>
        <v>0</v>
      </c>
      <c r="V62" s="942"/>
      <c r="W62" s="957"/>
      <c r="X62" s="942">
        <f t="shared" si="34"/>
        <v>0</v>
      </c>
      <c r="Y62" s="957"/>
      <c r="Z62" s="942">
        <f t="shared" si="36"/>
        <v>0</v>
      </c>
      <c r="AA62" s="394"/>
      <c r="AB62" s="394"/>
      <c r="AC62" s="394"/>
    </row>
    <row r="63" spans="1:29">
      <c r="A63" s="726" t="s">
        <v>198</v>
      </c>
      <c r="B63" s="891"/>
      <c r="C63" s="891"/>
      <c r="D63" s="902"/>
      <c r="E63" s="904"/>
      <c r="F63" s="904"/>
      <c r="G63" s="904"/>
      <c r="H63" s="904"/>
      <c r="I63" s="904"/>
      <c r="J63" s="904"/>
      <c r="K63" s="904"/>
      <c r="L63" s="912"/>
      <c r="M63" s="912"/>
      <c r="N63" s="912"/>
      <c r="O63" s="912"/>
      <c r="P63" s="912"/>
      <c r="Q63" s="912"/>
      <c r="R63" s="912"/>
      <c r="S63" s="941"/>
      <c r="T63" s="938"/>
      <c r="U63" s="938">
        <f t="shared" si="35"/>
        <v>0</v>
      </c>
      <c r="V63" s="942"/>
      <c r="W63" s="957"/>
      <c r="X63" s="942">
        <f t="shared" si="34"/>
        <v>0</v>
      </c>
      <c r="Y63" s="957"/>
      <c r="Z63" s="942">
        <f t="shared" si="36"/>
        <v>0</v>
      </c>
      <c r="AA63" s="394"/>
      <c r="AB63" s="394"/>
      <c r="AC63" s="394"/>
    </row>
    <row r="64" spans="1:29">
      <c r="A64" s="726" t="s">
        <v>198</v>
      </c>
      <c r="B64" s="891"/>
      <c r="C64" s="891"/>
      <c r="D64" s="902"/>
      <c r="E64" s="904"/>
      <c r="F64" s="904"/>
      <c r="G64" s="904"/>
      <c r="H64" s="904"/>
      <c r="I64" s="904"/>
      <c r="J64" s="904"/>
      <c r="K64" s="904"/>
      <c r="L64" s="912"/>
      <c r="M64" s="912"/>
      <c r="N64" s="912"/>
      <c r="O64" s="912"/>
      <c r="P64" s="913"/>
      <c r="Q64" s="912"/>
      <c r="R64" s="941"/>
      <c r="S64" s="941"/>
      <c r="T64" s="938"/>
      <c r="U64" s="938">
        <f t="shared" ref="U64:U66" si="37">SUM(E64:S64)</f>
        <v>0</v>
      </c>
      <c r="V64" s="942"/>
      <c r="W64" s="957"/>
      <c r="X64" s="942">
        <f t="shared" ref="X64" si="38">U64+V64</f>
        <v>0</v>
      </c>
      <c r="Y64" s="957"/>
      <c r="Z64" s="942">
        <f t="shared" ref="Z64:Z66" si="39">X64+Y64</f>
        <v>0</v>
      </c>
      <c r="AA64" s="394"/>
      <c r="AB64" s="394"/>
      <c r="AC64" s="394"/>
    </row>
    <row r="65" spans="1:29">
      <c r="A65" s="726" t="s">
        <v>199</v>
      </c>
      <c r="B65" s="891"/>
      <c r="C65" s="891"/>
      <c r="D65" s="902"/>
      <c r="E65" s="904"/>
      <c r="F65" s="904"/>
      <c r="G65" s="904"/>
      <c r="H65" s="904"/>
      <c r="I65" s="904"/>
      <c r="J65" s="904"/>
      <c r="K65" s="904"/>
      <c r="L65" s="912"/>
      <c r="M65" s="912"/>
      <c r="N65" s="912"/>
      <c r="O65" s="912"/>
      <c r="P65" s="912"/>
      <c r="Q65" s="912"/>
      <c r="R65" s="941"/>
      <c r="S65" s="941"/>
      <c r="T65" s="938"/>
      <c r="U65" s="938">
        <f t="shared" si="37"/>
        <v>0</v>
      </c>
      <c r="V65" s="942"/>
      <c r="W65" s="957"/>
      <c r="X65" s="942">
        <f t="shared" ref="X65:X66" si="40">U65+V65</f>
        <v>0</v>
      </c>
      <c r="Y65" s="957"/>
      <c r="Z65" s="942">
        <f t="shared" si="39"/>
        <v>0</v>
      </c>
      <c r="AA65" s="394"/>
      <c r="AB65" s="394"/>
      <c r="AC65" s="394"/>
    </row>
    <row r="66" spans="1:29">
      <c r="A66" s="726" t="s">
        <v>199</v>
      </c>
      <c r="B66" s="891"/>
      <c r="C66" s="891"/>
      <c r="D66" s="902"/>
      <c r="E66" s="904"/>
      <c r="F66" s="904"/>
      <c r="G66" s="904"/>
      <c r="H66" s="904"/>
      <c r="I66" s="904"/>
      <c r="J66" s="904"/>
      <c r="K66" s="904"/>
      <c r="L66" s="912"/>
      <c r="M66" s="912"/>
      <c r="N66" s="912"/>
      <c r="O66" s="912"/>
      <c r="P66" s="912"/>
      <c r="Q66" s="912"/>
      <c r="R66" s="941"/>
      <c r="S66" s="941"/>
      <c r="T66" s="938"/>
      <c r="U66" s="938">
        <f t="shared" si="37"/>
        <v>0</v>
      </c>
      <c r="V66" s="942"/>
      <c r="W66" s="957"/>
      <c r="X66" s="942">
        <f t="shared" si="40"/>
        <v>0</v>
      </c>
      <c r="Y66" s="957"/>
      <c r="Z66" s="942">
        <f t="shared" si="39"/>
        <v>0</v>
      </c>
      <c r="AA66" s="394"/>
      <c r="AB66" s="394"/>
      <c r="AC66" s="394"/>
    </row>
    <row r="67" spans="1:29">
      <c r="A67" s="726" t="s">
        <v>199</v>
      </c>
      <c r="B67" s="891"/>
      <c r="C67" s="891"/>
      <c r="D67" s="902"/>
      <c r="E67" s="904"/>
      <c r="F67" s="904"/>
      <c r="G67" s="904"/>
      <c r="H67" s="904"/>
      <c r="I67" s="904"/>
      <c r="J67" s="904"/>
      <c r="K67" s="904"/>
      <c r="L67" s="912"/>
      <c r="M67" s="912"/>
      <c r="N67" s="912"/>
      <c r="O67" s="912"/>
      <c r="P67" s="912"/>
      <c r="Q67" s="912"/>
      <c r="R67" s="941"/>
      <c r="S67" s="941"/>
      <c r="T67" s="938"/>
      <c r="U67" s="938">
        <f t="shared" ref="U67:U69" si="41">SUM(E67:S67)</f>
        <v>0</v>
      </c>
      <c r="V67" s="942"/>
      <c r="W67" s="957"/>
      <c r="X67" s="942">
        <f t="shared" ref="X67:X69" si="42">U67+V67</f>
        <v>0</v>
      </c>
      <c r="Y67" s="957"/>
      <c r="Z67" s="942">
        <f t="shared" ref="Z67:Z69" si="43">X67+Y67</f>
        <v>0</v>
      </c>
      <c r="AA67" s="394"/>
      <c r="AB67" s="394"/>
      <c r="AC67" s="394"/>
    </row>
    <row r="68" spans="1:29">
      <c r="A68" s="726" t="s">
        <v>199</v>
      </c>
      <c r="B68" s="891"/>
      <c r="C68" s="891"/>
      <c r="D68" s="902"/>
      <c r="E68" s="904"/>
      <c r="F68" s="904"/>
      <c r="G68" s="904"/>
      <c r="H68" s="904"/>
      <c r="I68" s="904"/>
      <c r="J68" s="904"/>
      <c r="K68" s="904"/>
      <c r="L68" s="912"/>
      <c r="M68" s="912"/>
      <c r="N68" s="912"/>
      <c r="O68" s="912"/>
      <c r="P68" s="912"/>
      <c r="Q68" s="912"/>
      <c r="R68" s="941"/>
      <c r="S68" s="941"/>
      <c r="T68" s="938"/>
      <c r="U68" s="938">
        <f t="shared" si="41"/>
        <v>0</v>
      </c>
      <c r="V68" s="942"/>
      <c r="W68" s="957"/>
      <c r="X68" s="942">
        <f t="shared" si="42"/>
        <v>0</v>
      </c>
      <c r="Y68" s="957"/>
      <c r="Z68" s="942">
        <f t="shared" si="43"/>
        <v>0</v>
      </c>
      <c r="AA68" s="394"/>
      <c r="AB68" s="394"/>
      <c r="AC68" s="394"/>
    </row>
    <row r="69" spans="1:29">
      <c r="A69" s="726" t="s">
        <v>199</v>
      </c>
      <c r="B69" s="891"/>
      <c r="C69" s="891"/>
      <c r="D69" s="902"/>
      <c r="E69" s="904"/>
      <c r="F69" s="904"/>
      <c r="G69" s="904"/>
      <c r="H69" s="904"/>
      <c r="I69" s="904"/>
      <c r="J69" s="904"/>
      <c r="K69" s="904"/>
      <c r="L69" s="912"/>
      <c r="M69" s="912"/>
      <c r="N69" s="912"/>
      <c r="O69" s="912"/>
      <c r="P69" s="912"/>
      <c r="Q69" s="912"/>
      <c r="R69" s="941"/>
      <c r="S69" s="941"/>
      <c r="T69" s="938"/>
      <c r="U69" s="938">
        <f t="shared" si="41"/>
        <v>0</v>
      </c>
      <c r="V69" s="942"/>
      <c r="W69" s="957"/>
      <c r="X69" s="942">
        <f t="shared" si="42"/>
        <v>0</v>
      </c>
      <c r="Y69" s="957"/>
      <c r="Z69" s="942">
        <f t="shared" si="43"/>
        <v>0</v>
      </c>
      <c r="AA69" s="394"/>
      <c r="AB69" s="394"/>
      <c r="AC69" s="394"/>
    </row>
    <row r="70" spans="1:29">
      <c r="A70" s="726" t="s">
        <v>199</v>
      </c>
      <c r="B70" s="891"/>
      <c r="C70" s="891"/>
      <c r="D70" s="902"/>
      <c r="E70" s="904"/>
      <c r="F70" s="904"/>
      <c r="G70" s="904"/>
      <c r="H70" s="904"/>
      <c r="I70" s="904"/>
      <c r="J70" s="904"/>
      <c r="K70" s="904"/>
      <c r="L70" s="912"/>
      <c r="M70" s="912"/>
      <c r="N70" s="912"/>
      <c r="O70" s="912"/>
      <c r="P70" s="912"/>
      <c r="Q70" s="912"/>
      <c r="R70" s="941"/>
      <c r="S70" s="941"/>
      <c r="T70" s="938"/>
      <c r="U70" s="938">
        <f t="shared" ref="U70:U83" si="44">SUM(E70:S70)</f>
        <v>0</v>
      </c>
      <c r="V70" s="942"/>
      <c r="W70" s="957"/>
      <c r="X70" s="942">
        <f t="shared" ref="X70:X83" si="45">U70+V70</f>
        <v>0</v>
      </c>
      <c r="Y70" s="957"/>
      <c r="Z70" s="942">
        <f t="shared" ref="Z70:Z83" si="46">X70+Y70</f>
        <v>0</v>
      </c>
      <c r="AA70" s="394"/>
      <c r="AB70" s="394"/>
      <c r="AC70" s="394"/>
    </row>
    <row r="71" spans="1:29">
      <c r="A71" s="726" t="s">
        <v>199</v>
      </c>
      <c r="B71" s="891"/>
      <c r="C71" s="891"/>
      <c r="D71" s="902"/>
      <c r="E71" s="904"/>
      <c r="F71" s="904"/>
      <c r="G71" s="904"/>
      <c r="H71" s="904"/>
      <c r="I71" s="904"/>
      <c r="J71" s="904"/>
      <c r="K71" s="904"/>
      <c r="L71" s="912"/>
      <c r="M71" s="912"/>
      <c r="N71" s="912"/>
      <c r="O71" s="912"/>
      <c r="P71" s="912"/>
      <c r="Q71" s="912"/>
      <c r="R71" s="941"/>
      <c r="S71" s="941"/>
      <c r="T71" s="938"/>
      <c r="U71" s="938">
        <f t="shared" ref="U71:U76" si="47">SUM(E71:S71)</f>
        <v>0</v>
      </c>
      <c r="V71" s="942"/>
      <c r="W71" s="957"/>
      <c r="X71" s="942">
        <f t="shared" ref="X71:X77" si="48">U71+V71</f>
        <v>0</v>
      </c>
      <c r="Y71" s="957"/>
      <c r="Z71" s="942">
        <f t="shared" ref="Z71:Z77" si="49">X71+Y71</f>
        <v>0</v>
      </c>
      <c r="AA71" s="394"/>
      <c r="AB71" s="394"/>
      <c r="AC71" s="394"/>
    </row>
    <row r="72" spans="1:29">
      <c r="A72" s="726" t="s">
        <v>199</v>
      </c>
      <c r="B72" s="891"/>
      <c r="C72" s="891"/>
      <c r="D72" s="902"/>
      <c r="E72" s="904"/>
      <c r="F72" s="904"/>
      <c r="G72" s="904"/>
      <c r="H72" s="904"/>
      <c r="I72" s="904"/>
      <c r="J72" s="904"/>
      <c r="K72" s="904"/>
      <c r="L72" s="912"/>
      <c r="M72" s="912"/>
      <c r="N72" s="912"/>
      <c r="O72" s="912"/>
      <c r="P72" s="912"/>
      <c r="Q72" s="912"/>
      <c r="R72" s="941"/>
      <c r="S72" s="941"/>
      <c r="T72" s="938"/>
      <c r="U72" s="938">
        <f t="shared" si="47"/>
        <v>0</v>
      </c>
      <c r="V72" s="942"/>
      <c r="W72" s="957"/>
      <c r="X72" s="942">
        <f t="shared" si="48"/>
        <v>0</v>
      </c>
      <c r="Y72" s="957"/>
      <c r="Z72" s="942">
        <f t="shared" si="49"/>
        <v>0</v>
      </c>
      <c r="AA72" s="394"/>
      <c r="AB72" s="394"/>
      <c r="AC72" s="394"/>
    </row>
    <row r="73" spans="1:29">
      <c r="A73" s="726" t="s">
        <v>199</v>
      </c>
      <c r="B73" s="891"/>
      <c r="C73" s="891"/>
      <c r="D73" s="902"/>
      <c r="E73" s="904"/>
      <c r="F73" s="904"/>
      <c r="G73" s="904"/>
      <c r="H73" s="904"/>
      <c r="I73" s="904"/>
      <c r="J73" s="904"/>
      <c r="K73" s="904"/>
      <c r="L73" s="912"/>
      <c r="M73" s="912"/>
      <c r="N73" s="912"/>
      <c r="O73" s="912"/>
      <c r="P73" s="912"/>
      <c r="Q73" s="912"/>
      <c r="R73" s="941"/>
      <c r="S73" s="941"/>
      <c r="T73" s="938"/>
      <c r="U73" s="938">
        <f t="shared" si="47"/>
        <v>0</v>
      </c>
      <c r="V73" s="942"/>
      <c r="W73" s="957"/>
      <c r="X73" s="942">
        <f t="shared" si="48"/>
        <v>0</v>
      </c>
      <c r="Y73" s="957"/>
      <c r="Z73" s="942">
        <f t="shared" si="49"/>
        <v>0</v>
      </c>
      <c r="AA73" s="394"/>
      <c r="AB73" s="394"/>
      <c r="AC73" s="394"/>
    </row>
    <row r="74" spans="1:29">
      <c r="A74" s="726" t="s">
        <v>199</v>
      </c>
      <c r="B74" s="891"/>
      <c r="C74" s="891"/>
      <c r="D74" s="902"/>
      <c r="E74" s="904"/>
      <c r="F74" s="904"/>
      <c r="G74" s="904"/>
      <c r="H74" s="904"/>
      <c r="I74" s="904"/>
      <c r="J74" s="904"/>
      <c r="K74" s="904"/>
      <c r="L74" s="912"/>
      <c r="M74" s="912"/>
      <c r="N74" s="912"/>
      <c r="O74" s="912"/>
      <c r="P74" s="912"/>
      <c r="Q74" s="912"/>
      <c r="R74" s="941"/>
      <c r="S74" s="941"/>
      <c r="T74" s="938"/>
      <c r="U74" s="938">
        <f t="shared" si="47"/>
        <v>0</v>
      </c>
      <c r="V74" s="942"/>
      <c r="W74" s="957"/>
      <c r="X74" s="942">
        <f t="shared" si="48"/>
        <v>0</v>
      </c>
      <c r="Y74" s="957"/>
      <c r="Z74" s="942">
        <f t="shared" si="49"/>
        <v>0</v>
      </c>
      <c r="AA74" s="394"/>
      <c r="AB74" s="394"/>
      <c r="AC74" s="394"/>
    </row>
    <row r="75" spans="1:29">
      <c r="A75" s="726" t="s">
        <v>199</v>
      </c>
      <c r="B75" s="891"/>
      <c r="C75" s="891"/>
      <c r="D75" s="902"/>
      <c r="E75" s="904"/>
      <c r="F75" s="904"/>
      <c r="G75" s="904"/>
      <c r="H75" s="904"/>
      <c r="I75" s="904"/>
      <c r="J75" s="904"/>
      <c r="K75" s="904"/>
      <c r="L75" s="912"/>
      <c r="M75" s="912"/>
      <c r="N75" s="912"/>
      <c r="O75" s="912"/>
      <c r="P75" s="912"/>
      <c r="Q75" s="912"/>
      <c r="R75" s="941"/>
      <c r="S75" s="941"/>
      <c r="T75" s="938"/>
      <c r="U75" s="938">
        <f t="shared" si="47"/>
        <v>0</v>
      </c>
      <c r="V75" s="942"/>
      <c r="W75" s="957"/>
      <c r="X75" s="942">
        <f t="shared" si="48"/>
        <v>0</v>
      </c>
      <c r="Y75" s="957"/>
      <c r="Z75" s="942">
        <f t="shared" si="49"/>
        <v>0</v>
      </c>
      <c r="AA75" s="394"/>
      <c r="AB75" s="394"/>
      <c r="AC75" s="394"/>
    </row>
    <row r="76" spans="1:29">
      <c r="A76" s="726" t="s">
        <v>199</v>
      </c>
      <c r="B76" s="891"/>
      <c r="C76" s="891"/>
      <c r="D76" s="902"/>
      <c r="E76" s="904"/>
      <c r="F76" s="904"/>
      <c r="G76" s="904"/>
      <c r="H76" s="904"/>
      <c r="I76" s="904"/>
      <c r="J76" s="904"/>
      <c r="K76" s="904"/>
      <c r="L76" s="912"/>
      <c r="M76" s="912"/>
      <c r="N76" s="912"/>
      <c r="O76" s="912"/>
      <c r="P76" s="912"/>
      <c r="Q76" s="912"/>
      <c r="R76" s="941"/>
      <c r="S76" s="941"/>
      <c r="T76" s="938"/>
      <c r="U76" s="938">
        <f t="shared" si="47"/>
        <v>0</v>
      </c>
      <c r="V76" s="942"/>
      <c r="W76" s="957"/>
      <c r="X76" s="942">
        <f t="shared" si="48"/>
        <v>0</v>
      </c>
      <c r="Y76" s="957"/>
      <c r="Z76" s="942">
        <f t="shared" si="49"/>
        <v>0</v>
      </c>
      <c r="AA76" s="394"/>
      <c r="AB76" s="394"/>
      <c r="AC76" s="394"/>
    </row>
    <row r="77" spans="1:29">
      <c r="A77" s="726" t="s">
        <v>199</v>
      </c>
      <c r="B77" s="891"/>
      <c r="C77" s="891"/>
      <c r="D77" s="902"/>
      <c r="E77" s="904"/>
      <c r="F77" s="904"/>
      <c r="G77" s="904"/>
      <c r="H77" s="904"/>
      <c r="I77" s="904"/>
      <c r="J77" s="904"/>
      <c r="K77" s="904"/>
      <c r="L77" s="912"/>
      <c r="M77" s="912"/>
      <c r="N77" s="912"/>
      <c r="O77" s="912"/>
      <c r="P77" s="912"/>
      <c r="Q77" s="912"/>
      <c r="R77" s="941"/>
      <c r="S77" s="941"/>
      <c r="T77" s="938"/>
      <c r="U77" s="938">
        <f t="shared" ref="U77" si="50">SUM(E77:S77)</f>
        <v>0</v>
      </c>
      <c r="V77" s="942"/>
      <c r="W77" s="957"/>
      <c r="X77" s="942">
        <f t="shared" si="48"/>
        <v>0</v>
      </c>
      <c r="Y77" s="957"/>
      <c r="Z77" s="942">
        <f t="shared" si="49"/>
        <v>0</v>
      </c>
      <c r="AA77" s="394"/>
      <c r="AB77" s="394"/>
      <c r="AC77" s="394"/>
    </row>
    <row r="78" spans="1:29">
      <c r="A78" s="726" t="s">
        <v>199</v>
      </c>
      <c r="B78" s="891"/>
      <c r="C78" s="891"/>
      <c r="D78" s="902"/>
      <c r="E78" s="904"/>
      <c r="F78" s="904"/>
      <c r="G78" s="904"/>
      <c r="H78" s="904"/>
      <c r="I78" s="904"/>
      <c r="J78" s="904"/>
      <c r="K78" s="904"/>
      <c r="L78" s="912"/>
      <c r="M78" s="912"/>
      <c r="N78" s="912"/>
      <c r="O78" s="912"/>
      <c r="P78" s="912"/>
      <c r="Q78" s="912"/>
      <c r="R78" s="941"/>
      <c r="S78" s="941"/>
      <c r="T78" s="938"/>
      <c r="U78" s="938">
        <f t="shared" ref="U78" si="51">SUM(E78:S78)</f>
        <v>0</v>
      </c>
      <c r="V78" s="942"/>
      <c r="W78" s="957"/>
      <c r="X78" s="942">
        <f t="shared" si="45"/>
        <v>0</v>
      </c>
      <c r="Y78" s="957"/>
      <c r="Z78" s="942">
        <f t="shared" si="46"/>
        <v>0</v>
      </c>
      <c r="AA78" s="394"/>
      <c r="AB78" s="394"/>
      <c r="AC78" s="394"/>
    </row>
    <row r="79" spans="1:29">
      <c r="A79" s="726" t="s">
        <v>199</v>
      </c>
      <c r="B79" s="891"/>
      <c r="C79" s="891"/>
      <c r="D79" s="902"/>
      <c r="E79" s="904"/>
      <c r="F79" s="904"/>
      <c r="G79" s="904"/>
      <c r="H79" s="904"/>
      <c r="I79" s="904"/>
      <c r="J79" s="904"/>
      <c r="K79" s="904"/>
      <c r="L79" s="912"/>
      <c r="M79" s="912"/>
      <c r="N79" s="912"/>
      <c r="O79" s="912"/>
      <c r="P79" s="912"/>
      <c r="Q79" s="912"/>
      <c r="R79" s="941"/>
      <c r="S79" s="941"/>
      <c r="T79" s="938"/>
      <c r="U79" s="938">
        <f t="shared" ref="U79" si="52">SUM(E79:S79)</f>
        <v>0</v>
      </c>
      <c r="V79" s="942"/>
      <c r="W79" s="957"/>
      <c r="X79" s="942">
        <f t="shared" ref="X79" si="53">U79+V79</f>
        <v>0</v>
      </c>
      <c r="Y79" s="957"/>
      <c r="Z79" s="942">
        <f t="shared" ref="Z79" si="54">X79+Y79</f>
        <v>0</v>
      </c>
      <c r="AA79" s="394"/>
      <c r="AB79" s="394"/>
      <c r="AC79" s="394"/>
    </row>
    <row r="80" spans="1:29">
      <c r="A80" s="726" t="s">
        <v>199</v>
      </c>
      <c r="B80" s="891"/>
      <c r="C80" s="891"/>
      <c r="D80" s="902"/>
      <c r="E80" s="904"/>
      <c r="F80" s="904"/>
      <c r="G80" s="904"/>
      <c r="H80" s="904"/>
      <c r="I80" s="904"/>
      <c r="J80" s="904"/>
      <c r="K80" s="904"/>
      <c r="L80" s="912"/>
      <c r="M80" s="912"/>
      <c r="N80" s="912"/>
      <c r="O80" s="912"/>
      <c r="P80" s="912"/>
      <c r="Q80" s="912"/>
      <c r="R80" s="941"/>
      <c r="S80" s="941"/>
      <c r="T80" s="938"/>
      <c r="U80" s="938">
        <f t="shared" ref="U80:U81" si="55">SUM(E80:S80)</f>
        <v>0</v>
      </c>
      <c r="V80" s="942"/>
      <c r="W80" s="957"/>
      <c r="X80" s="942">
        <f t="shared" ref="X80:X82" si="56">U80+V80</f>
        <v>0</v>
      </c>
      <c r="Y80" s="957"/>
      <c r="Z80" s="942">
        <f t="shared" ref="Z80:Z82" si="57">X80+Y80</f>
        <v>0</v>
      </c>
      <c r="AA80" s="394"/>
      <c r="AB80" s="394"/>
      <c r="AC80" s="394"/>
    </row>
    <row r="81" spans="1:29">
      <c r="A81" s="726" t="s">
        <v>199</v>
      </c>
      <c r="B81" s="891"/>
      <c r="C81" s="891"/>
      <c r="D81" s="902"/>
      <c r="E81" s="904"/>
      <c r="F81" s="904"/>
      <c r="G81" s="904"/>
      <c r="H81" s="904"/>
      <c r="I81" s="904"/>
      <c r="J81" s="904"/>
      <c r="K81" s="904"/>
      <c r="L81" s="912"/>
      <c r="M81" s="912"/>
      <c r="N81" s="912"/>
      <c r="O81" s="912"/>
      <c r="P81" s="912"/>
      <c r="Q81" s="912"/>
      <c r="R81" s="941"/>
      <c r="S81" s="941"/>
      <c r="T81" s="938"/>
      <c r="U81" s="938">
        <f t="shared" si="55"/>
        <v>0</v>
      </c>
      <c r="V81" s="942"/>
      <c r="W81" s="957"/>
      <c r="X81" s="942">
        <f t="shared" si="56"/>
        <v>0</v>
      </c>
      <c r="Y81" s="957"/>
      <c r="Z81" s="942">
        <f t="shared" si="57"/>
        <v>0</v>
      </c>
      <c r="AA81" s="394"/>
      <c r="AB81" s="394"/>
      <c r="AC81" s="394"/>
    </row>
    <row r="82" spans="1:29">
      <c r="A82" s="726" t="s">
        <v>199</v>
      </c>
      <c r="B82" s="891"/>
      <c r="C82" s="891"/>
      <c r="D82" s="902"/>
      <c r="E82" s="904"/>
      <c r="F82" s="904"/>
      <c r="G82" s="904"/>
      <c r="H82" s="904"/>
      <c r="I82" s="904"/>
      <c r="J82" s="904"/>
      <c r="K82" s="904"/>
      <c r="L82" s="912"/>
      <c r="M82" s="912"/>
      <c r="N82" s="912"/>
      <c r="O82" s="912"/>
      <c r="P82" s="912"/>
      <c r="Q82" s="912"/>
      <c r="R82" s="941"/>
      <c r="S82" s="941"/>
      <c r="T82" s="938"/>
      <c r="U82" s="938">
        <f t="shared" ref="U82" si="58">SUM(E82:S82)</f>
        <v>0</v>
      </c>
      <c r="V82" s="942"/>
      <c r="W82" s="957"/>
      <c r="X82" s="942">
        <f t="shared" si="56"/>
        <v>0</v>
      </c>
      <c r="Y82" s="957"/>
      <c r="Z82" s="942">
        <f t="shared" si="57"/>
        <v>0</v>
      </c>
      <c r="AA82" s="394"/>
      <c r="AB82" s="394"/>
      <c r="AC82" s="394"/>
    </row>
    <row r="83" spans="1:29">
      <c r="A83" s="726" t="s">
        <v>199</v>
      </c>
      <c r="B83" s="891"/>
      <c r="C83" s="891"/>
      <c r="D83" s="902"/>
      <c r="E83" s="904"/>
      <c r="F83" s="904"/>
      <c r="G83" s="904"/>
      <c r="H83" s="904"/>
      <c r="I83" s="904"/>
      <c r="J83" s="904"/>
      <c r="K83" s="904"/>
      <c r="L83" s="912"/>
      <c r="M83" s="912"/>
      <c r="N83" s="912"/>
      <c r="O83" s="912"/>
      <c r="P83" s="912"/>
      <c r="Q83" s="912"/>
      <c r="R83" s="941"/>
      <c r="S83" s="941"/>
      <c r="T83" s="938"/>
      <c r="U83" s="938">
        <f t="shared" si="44"/>
        <v>0</v>
      </c>
      <c r="V83" s="942"/>
      <c r="W83" s="957"/>
      <c r="X83" s="942">
        <f t="shared" si="45"/>
        <v>0</v>
      </c>
      <c r="Y83" s="957"/>
      <c r="Z83" s="942">
        <f t="shared" si="46"/>
        <v>0</v>
      </c>
      <c r="AA83" s="394"/>
      <c r="AB83" s="394"/>
      <c r="AC83" s="394"/>
    </row>
    <row r="84" spans="1:29">
      <c r="A84" s="726" t="s">
        <v>199</v>
      </c>
      <c r="B84" s="891"/>
      <c r="C84" s="891"/>
      <c r="D84" s="902"/>
      <c r="E84" s="904"/>
      <c r="F84" s="904"/>
      <c r="G84" s="904"/>
      <c r="H84" s="904"/>
      <c r="I84" s="904"/>
      <c r="J84" s="904"/>
      <c r="K84" s="904"/>
      <c r="L84" s="912"/>
      <c r="M84" s="912"/>
      <c r="N84" s="912"/>
      <c r="O84" s="912"/>
      <c r="P84" s="912"/>
      <c r="Q84" s="912"/>
      <c r="R84" s="941"/>
      <c r="S84" s="941"/>
      <c r="T84" s="938"/>
      <c r="U84" s="975">
        <f t="shared" ref="U84" si="59">SUM(E84:S84)</f>
        <v>0</v>
      </c>
      <c r="V84" s="976"/>
      <c r="W84" s="977"/>
      <c r="X84" s="976">
        <f t="shared" ref="X84" si="60">U84+V84</f>
        <v>0</v>
      </c>
      <c r="Y84" s="977"/>
      <c r="Z84" s="976">
        <f t="shared" ref="Z84" si="61">X84+Y84</f>
        <v>0</v>
      </c>
      <c r="AA84" s="971" t="s">
        <v>8</v>
      </c>
      <c r="AB84" s="967" t="s">
        <v>197</v>
      </c>
      <c r="AC84" s="398" t="s">
        <v>174</v>
      </c>
    </row>
    <row r="85" spans="1:29" s="870" customFormat="1">
      <c r="A85" s="326" t="s">
        <v>126</v>
      </c>
      <c r="B85" s="895"/>
      <c r="C85" s="895"/>
      <c r="D85" s="896"/>
      <c r="E85" s="897">
        <f>SUM(E60:E84)</f>
        <v>0</v>
      </c>
      <c r="F85" s="897">
        <f t="shared" ref="F85:S85" si="62">SUM(F60:F84)</f>
        <v>0</v>
      </c>
      <c r="G85" s="897">
        <f t="shared" si="62"/>
        <v>0</v>
      </c>
      <c r="H85" s="897">
        <f t="shared" si="62"/>
        <v>0</v>
      </c>
      <c r="I85" s="897">
        <f t="shared" si="62"/>
        <v>0</v>
      </c>
      <c r="J85" s="897">
        <f t="shared" si="62"/>
        <v>0</v>
      </c>
      <c r="K85" s="897">
        <f t="shared" si="62"/>
        <v>0</v>
      </c>
      <c r="L85" s="897">
        <f t="shared" si="62"/>
        <v>0</v>
      </c>
      <c r="M85" s="897">
        <f t="shared" si="62"/>
        <v>0</v>
      </c>
      <c r="N85" s="897">
        <f t="shared" si="62"/>
        <v>0</v>
      </c>
      <c r="O85" s="897">
        <f t="shared" si="62"/>
        <v>0</v>
      </c>
      <c r="P85" s="897">
        <f t="shared" si="62"/>
        <v>0</v>
      </c>
      <c r="Q85" s="897">
        <f t="shared" si="62"/>
        <v>0</v>
      </c>
      <c r="R85" s="897">
        <f t="shared" si="62"/>
        <v>0</v>
      </c>
      <c r="S85" s="897">
        <f t="shared" si="62"/>
        <v>0</v>
      </c>
      <c r="T85" s="932"/>
      <c r="U85" s="933">
        <f>SUM(U60:U84)</f>
        <v>0</v>
      </c>
      <c r="V85" s="934">
        <f>SUM(V60:V84)</f>
        <v>0</v>
      </c>
      <c r="W85" s="934"/>
      <c r="X85" s="934">
        <f>SUM(X60:X84)</f>
        <v>0</v>
      </c>
      <c r="Y85" s="934"/>
      <c r="Z85" s="973">
        <f>SUM(Z60:Z84)</f>
        <v>0</v>
      </c>
      <c r="AA85" s="399">
        <f>'BIG CHAIR'!CL77</f>
        <v>14560</v>
      </c>
      <c r="AB85" s="400">
        <f>'Jordan Chair'!AH53</f>
        <v>0</v>
      </c>
      <c r="AC85" s="401">
        <f>X85+AA85+AB85</f>
        <v>14560</v>
      </c>
    </row>
    <row r="86" spans="1:29">
      <c r="A86" s="286" t="s">
        <v>127</v>
      </c>
      <c r="B86" s="877" t="s">
        <v>68</v>
      </c>
      <c r="C86" s="877" t="s">
        <v>69</v>
      </c>
      <c r="D86" s="878" t="s">
        <v>70</v>
      </c>
      <c r="E86" s="901"/>
      <c r="F86" s="880"/>
      <c r="G86" s="880"/>
      <c r="H86" s="879"/>
      <c r="I86" s="879"/>
      <c r="J86" s="879"/>
      <c r="K86" s="879"/>
      <c r="L86" s="880"/>
      <c r="M86" s="880"/>
      <c r="N86" s="880"/>
      <c r="O86" s="880"/>
      <c r="P86" s="880"/>
      <c r="Q86" s="880"/>
      <c r="R86" s="744"/>
      <c r="S86" s="936"/>
      <c r="T86" s="915"/>
      <c r="U86" s="952" t="s">
        <v>104</v>
      </c>
      <c r="V86" s="953" t="s">
        <v>105</v>
      </c>
      <c r="W86" s="954"/>
      <c r="X86" s="918" t="s">
        <v>106</v>
      </c>
      <c r="Y86" s="917"/>
      <c r="Z86" s="960" t="s">
        <v>108</v>
      </c>
      <c r="AA86" s="403"/>
      <c r="AB86" s="403"/>
      <c r="AC86" s="403"/>
    </row>
    <row r="87" spans="1:29">
      <c r="A87" s="726" t="s">
        <v>128</v>
      </c>
      <c r="B87" s="891"/>
      <c r="C87" s="891"/>
      <c r="D87" s="902"/>
      <c r="E87" s="903"/>
      <c r="F87" s="903"/>
      <c r="G87" s="903"/>
      <c r="H87" s="903"/>
      <c r="I87" s="903"/>
      <c r="J87" s="903"/>
      <c r="K87" s="903"/>
      <c r="L87" s="911"/>
      <c r="M87" s="911"/>
      <c r="N87" s="911"/>
      <c r="O87" s="911"/>
      <c r="P87" s="911"/>
      <c r="Q87" s="911"/>
      <c r="R87" s="937"/>
      <c r="S87" s="937"/>
      <c r="T87" s="938"/>
      <c r="U87" s="955">
        <f>SUM(E87:S87)</f>
        <v>0</v>
      </c>
      <c r="V87" s="956"/>
      <c r="W87" s="742"/>
      <c r="X87" s="940">
        <f t="shared" ref="X87:X90" si="63">U87+V87</f>
        <v>0</v>
      </c>
      <c r="Y87" s="742"/>
      <c r="Z87" s="940">
        <f>X87+Y87</f>
        <v>0</v>
      </c>
      <c r="AA87" s="394"/>
      <c r="AB87" s="394"/>
      <c r="AC87" s="394"/>
    </row>
    <row r="88" spans="1:29">
      <c r="A88" s="726" t="s">
        <v>128</v>
      </c>
      <c r="B88" s="891"/>
      <c r="C88" s="891"/>
      <c r="D88" s="902"/>
      <c r="E88" s="904"/>
      <c r="F88" s="904"/>
      <c r="G88" s="904"/>
      <c r="H88" s="904"/>
      <c r="I88" s="904"/>
      <c r="J88" s="904"/>
      <c r="K88" s="904"/>
      <c r="L88" s="912"/>
      <c r="M88" s="912"/>
      <c r="N88" s="912"/>
      <c r="O88" s="912"/>
      <c r="P88" s="912"/>
      <c r="Q88" s="912"/>
      <c r="R88" s="941"/>
      <c r="S88" s="941"/>
      <c r="T88" s="938"/>
      <c r="U88" s="938">
        <f t="shared" ref="U88:U90" si="64">SUM(E88:S88)</f>
        <v>0</v>
      </c>
      <c r="V88" s="942"/>
      <c r="W88" s="957"/>
      <c r="X88" s="942">
        <f t="shared" si="63"/>
        <v>0</v>
      </c>
      <c r="Y88" s="957"/>
      <c r="Z88" s="942">
        <f t="shared" ref="Z88:Z90" si="65">X88+Y88</f>
        <v>0</v>
      </c>
      <c r="AA88" s="394"/>
      <c r="AB88" s="394"/>
      <c r="AC88" s="394"/>
    </row>
    <row r="89" spans="1:29">
      <c r="A89" s="726" t="s">
        <v>128</v>
      </c>
      <c r="B89" s="891"/>
      <c r="C89" s="891"/>
      <c r="D89" s="902"/>
      <c r="E89" s="904"/>
      <c r="F89" s="904"/>
      <c r="G89" s="904"/>
      <c r="H89" s="904"/>
      <c r="I89" s="904"/>
      <c r="J89" s="904"/>
      <c r="K89" s="904"/>
      <c r="L89" s="912"/>
      <c r="M89" s="912"/>
      <c r="N89" s="912"/>
      <c r="O89" s="912"/>
      <c r="P89" s="912"/>
      <c r="Q89" s="912"/>
      <c r="R89" s="941"/>
      <c r="S89" s="941"/>
      <c r="T89" s="938"/>
      <c r="U89" s="938">
        <f t="shared" si="64"/>
        <v>0</v>
      </c>
      <c r="V89" s="942"/>
      <c r="W89" s="957"/>
      <c r="X89" s="942">
        <f t="shared" si="63"/>
        <v>0</v>
      </c>
      <c r="Y89" s="957"/>
      <c r="Z89" s="942">
        <f t="shared" si="65"/>
        <v>0</v>
      </c>
      <c r="AA89" s="394"/>
      <c r="AB89" s="394"/>
      <c r="AC89" s="394"/>
    </row>
    <row r="90" spans="1:29">
      <c r="A90" s="726" t="s">
        <v>128</v>
      </c>
      <c r="B90" s="891"/>
      <c r="C90" s="891"/>
      <c r="D90" s="902"/>
      <c r="E90" s="904"/>
      <c r="F90" s="904"/>
      <c r="G90" s="904"/>
      <c r="H90" s="904"/>
      <c r="I90" s="904"/>
      <c r="J90" s="904"/>
      <c r="K90" s="904"/>
      <c r="L90" s="912"/>
      <c r="M90" s="912"/>
      <c r="N90" s="912"/>
      <c r="O90" s="912"/>
      <c r="P90" s="912"/>
      <c r="Q90" s="912"/>
      <c r="R90" s="912"/>
      <c r="S90" s="941"/>
      <c r="T90" s="938"/>
      <c r="U90" s="938">
        <f t="shared" si="64"/>
        <v>0</v>
      </c>
      <c r="V90" s="942"/>
      <c r="W90" s="957"/>
      <c r="X90" s="942">
        <f t="shared" si="63"/>
        <v>0</v>
      </c>
      <c r="Y90" s="957"/>
      <c r="Z90" s="942">
        <f t="shared" si="65"/>
        <v>0</v>
      </c>
      <c r="AA90" s="394"/>
      <c r="AB90" s="394"/>
      <c r="AC90" s="394"/>
    </row>
    <row r="91" spans="1:29">
      <c r="A91" s="726" t="s">
        <v>128</v>
      </c>
      <c r="B91" s="891"/>
      <c r="C91" s="891"/>
      <c r="D91" s="902"/>
      <c r="E91" s="904"/>
      <c r="F91" s="904"/>
      <c r="G91" s="904"/>
      <c r="H91" s="904"/>
      <c r="I91" s="904"/>
      <c r="J91" s="904"/>
      <c r="K91" s="904"/>
      <c r="L91" s="912"/>
      <c r="M91" s="912"/>
      <c r="N91" s="912"/>
      <c r="O91" s="912"/>
      <c r="P91" s="974"/>
      <c r="Q91" s="912"/>
      <c r="R91" s="941"/>
      <c r="S91" s="941"/>
      <c r="T91" s="938"/>
      <c r="U91" s="938">
        <f t="shared" ref="U91:U93" si="66">SUM(E91:S91)</f>
        <v>0</v>
      </c>
      <c r="V91" s="942"/>
      <c r="W91" s="957"/>
      <c r="X91" s="942">
        <f t="shared" ref="X91:X93" si="67">U91+V91</f>
        <v>0</v>
      </c>
      <c r="Y91" s="957"/>
      <c r="Z91" s="942">
        <f t="shared" ref="Z91:Z93" si="68">X91+Y91</f>
        <v>0</v>
      </c>
      <c r="AA91" s="394"/>
      <c r="AB91" s="394"/>
      <c r="AC91" s="394"/>
    </row>
    <row r="92" spans="1:29">
      <c r="A92" s="726" t="s">
        <v>128</v>
      </c>
      <c r="B92" s="891"/>
      <c r="C92" s="891"/>
      <c r="D92" s="902"/>
      <c r="E92" s="904"/>
      <c r="F92" s="904"/>
      <c r="G92" s="904"/>
      <c r="H92" s="904"/>
      <c r="I92" s="904"/>
      <c r="J92" s="904"/>
      <c r="K92" s="904"/>
      <c r="L92" s="912"/>
      <c r="M92" s="912"/>
      <c r="N92" s="912"/>
      <c r="O92" s="912"/>
      <c r="P92" s="912"/>
      <c r="Q92" s="912"/>
      <c r="R92" s="941"/>
      <c r="S92" s="941"/>
      <c r="T92" s="938"/>
      <c r="U92" s="938">
        <f t="shared" si="66"/>
        <v>0</v>
      </c>
      <c r="V92" s="942"/>
      <c r="W92" s="957"/>
      <c r="X92" s="942">
        <f t="shared" si="67"/>
        <v>0</v>
      </c>
      <c r="Y92" s="957"/>
      <c r="Z92" s="942">
        <f t="shared" si="68"/>
        <v>0</v>
      </c>
      <c r="AA92" s="394"/>
      <c r="AB92" s="394"/>
      <c r="AC92" s="394"/>
    </row>
    <row r="93" spans="1:29">
      <c r="A93" s="726" t="s">
        <v>128</v>
      </c>
      <c r="B93" s="891"/>
      <c r="C93" s="891"/>
      <c r="D93" s="902"/>
      <c r="E93" s="904"/>
      <c r="F93" s="904"/>
      <c r="G93" s="904"/>
      <c r="H93" s="904"/>
      <c r="I93" s="904"/>
      <c r="J93" s="904"/>
      <c r="K93" s="904"/>
      <c r="L93" s="912"/>
      <c r="M93" s="912"/>
      <c r="N93" s="912"/>
      <c r="O93" s="912"/>
      <c r="P93" s="912"/>
      <c r="Q93" s="912"/>
      <c r="R93" s="941"/>
      <c r="S93" s="941"/>
      <c r="T93" s="938"/>
      <c r="U93" s="938">
        <f t="shared" si="66"/>
        <v>0</v>
      </c>
      <c r="V93" s="942"/>
      <c r="W93" s="957"/>
      <c r="X93" s="942">
        <f t="shared" si="67"/>
        <v>0</v>
      </c>
      <c r="Y93" s="957"/>
      <c r="Z93" s="942">
        <f t="shared" si="68"/>
        <v>0</v>
      </c>
      <c r="AA93" s="394"/>
      <c r="AB93" s="394"/>
      <c r="AC93" s="394"/>
    </row>
    <row r="94" spans="1:29">
      <c r="A94" s="726" t="s">
        <v>128</v>
      </c>
      <c r="B94" s="891"/>
      <c r="C94" s="891"/>
      <c r="D94" s="902"/>
      <c r="E94" s="904"/>
      <c r="F94" s="904"/>
      <c r="G94" s="904"/>
      <c r="H94" s="904"/>
      <c r="I94" s="904"/>
      <c r="J94" s="904"/>
      <c r="K94" s="904"/>
      <c r="L94" s="912"/>
      <c r="M94" s="912"/>
      <c r="N94" s="912"/>
      <c r="O94" s="912"/>
      <c r="P94" s="912"/>
      <c r="Q94" s="912"/>
      <c r="R94" s="941"/>
      <c r="S94" s="941"/>
      <c r="T94" s="938"/>
      <c r="U94" s="938">
        <f t="shared" ref="U94:U96" si="69">SUM(E94:S94)</f>
        <v>0</v>
      </c>
      <c r="V94" s="942"/>
      <c r="W94" s="957"/>
      <c r="X94" s="942">
        <f t="shared" ref="X94:X96" si="70">U94+V94</f>
        <v>0</v>
      </c>
      <c r="Y94" s="957"/>
      <c r="Z94" s="942">
        <f t="shared" ref="Z94:Z96" si="71">X94+Y94</f>
        <v>0</v>
      </c>
      <c r="AA94" s="394"/>
      <c r="AB94" s="394"/>
      <c r="AC94" s="394"/>
    </row>
    <row r="95" spans="1:29">
      <c r="A95" s="726" t="s">
        <v>128</v>
      </c>
      <c r="B95" s="891"/>
      <c r="C95" s="891"/>
      <c r="D95" s="902"/>
      <c r="E95" s="904"/>
      <c r="F95" s="904"/>
      <c r="G95" s="904"/>
      <c r="H95" s="904"/>
      <c r="I95" s="904"/>
      <c r="J95" s="904"/>
      <c r="K95" s="904"/>
      <c r="L95" s="912"/>
      <c r="M95" s="912"/>
      <c r="N95" s="912"/>
      <c r="O95" s="912"/>
      <c r="P95" s="912"/>
      <c r="Q95" s="912"/>
      <c r="R95" s="941"/>
      <c r="S95" s="941"/>
      <c r="T95" s="938"/>
      <c r="U95" s="938">
        <f t="shared" si="69"/>
        <v>0</v>
      </c>
      <c r="V95" s="942"/>
      <c r="W95" s="957"/>
      <c r="X95" s="942">
        <f t="shared" si="70"/>
        <v>0</v>
      </c>
      <c r="Y95" s="957"/>
      <c r="Z95" s="942">
        <f t="shared" si="71"/>
        <v>0</v>
      </c>
      <c r="AA95" s="394"/>
      <c r="AB95" s="394"/>
      <c r="AC95" s="394"/>
    </row>
    <row r="96" spans="1:29">
      <c r="A96" s="726" t="s">
        <v>128</v>
      </c>
      <c r="B96" s="891"/>
      <c r="C96" s="891"/>
      <c r="D96" s="902"/>
      <c r="E96" s="904"/>
      <c r="F96" s="904"/>
      <c r="G96" s="904"/>
      <c r="H96" s="904"/>
      <c r="I96" s="904"/>
      <c r="J96" s="904"/>
      <c r="K96" s="904"/>
      <c r="L96" s="912"/>
      <c r="M96" s="912"/>
      <c r="N96" s="912"/>
      <c r="O96" s="912"/>
      <c r="P96" s="912"/>
      <c r="Q96" s="912"/>
      <c r="R96" s="941"/>
      <c r="S96" s="941"/>
      <c r="T96" s="938"/>
      <c r="U96" s="938">
        <f t="shared" si="69"/>
        <v>0</v>
      </c>
      <c r="V96" s="942"/>
      <c r="W96" s="957"/>
      <c r="X96" s="942">
        <f t="shared" si="70"/>
        <v>0</v>
      </c>
      <c r="Y96" s="957"/>
      <c r="Z96" s="942">
        <f t="shared" si="71"/>
        <v>0</v>
      </c>
      <c r="AA96" s="394"/>
      <c r="AB96" s="394"/>
      <c r="AC96" s="394"/>
    </row>
    <row r="97" spans="1:29">
      <c r="A97" s="726" t="s">
        <v>128</v>
      </c>
      <c r="B97" s="891"/>
      <c r="C97" s="891"/>
      <c r="D97" s="902"/>
      <c r="E97" s="904"/>
      <c r="F97" s="904"/>
      <c r="G97" s="904"/>
      <c r="H97" s="904"/>
      <c r="I97" s="904"/>
      <c r="J97" s="904"/>
      <c r="K97" s="904"/>
      <c r="L97" s="912"/>
      <c r="M97" s="912"/>
      <c r="N97" s="912"/>
      <c r="O97" s="912"/>
      <c r="P97" s="912"/>
      <c r="Q97" s="912"/>
      <c r="R97" s="941"/>
      <c r="S97" s="941"/>
      <c r="T97" s="938"/>
      <c r="U97" s="938">
        <f t="shared" ref="U97:U100" si="72">SUM(E97:S97)</f>
        <v>0</v>
      </c>
      <c r="V97" s="942"/>
      <c r="W97" s="957"/>
      <c r="X97" s="942">
        <f t="shared" ref="X97:X109" si="73">U97+V97</f>
        <v>0</v>
      </c>
      <c r="Y97" s="957"/>
      <c r="Z97" s="942">
        <f t="shared" ref="Z97:Z100" si="74">X97+Y97</f>
        <v>0</v>
      </c>
      <c r="AA97" s="394"/>
      <c r="AB97" s="394"/>
      <c r="AC97" s="394"/>
    </row>
    <row r="98" spans="1:29">
      <c r="A98" s="726" t="s">
        <v>128</v>
      </c>
      <c r="B98" s="891"/>
      <c r="C98" s="891"/>
      <c r="D98" s="902"/>
      <c r="E98" s="904"/>
      <c r="F98" s="904"/>
      <c r="G98" s="904"/>
      <c r="H98" s="904"/>
      <c r="I98" s="904"/>
      <c r="J98" s="904"/>
      <c r="K98" s="904"/>
      <c r="L98" s="912"/>
      <c r="M98" s="912"/>
      <c r="N98" s="912"/>
      <c r="O98" s="912"/>
      <c r="P98" s="912"/>
      <c r="Q98" s="912"/>
      <c r="R98" s="941"/>
      <c r="S98" s="941"/>
      <c r="T98" s="938"/>
      <c r="U98" s="938">
        <f t="shared" si="72"/>
        <v>0</v>
      </c>
      <c r="V98" s="942"/>
      <c r="W98" s="957"/>
      <c r="X98" s="942">
        <f t="shared" si="73"/>
        <v>0</v>
      </c>
      <c r="Y98" s="957"/>
      <c r="Z98" s="942">
        <f t="shared" si="74"/>
        <v>0</v>
      </c>
      <c r="AA98" s="394"/>
      <c r="AB98" s="394"/>
      <c r="AC98" s="394"/>
    </row>
    <row r="99" spans="1:29">
      <c r="A99" s="726" t="s">
        <v>128</v>
      </c>
      <c r="B99" s="891"/>
      <c r="C99" s="891"/>
      <c r="D99" s="902"/>
      <c r="E99" s="904"/>
      <c r="F99" s="904"/>
      <c r="G99" s="904"/>
      <c r="H99" s="904"/>
      <c r="I99" s="904"/>
      <c r="J99" s="904"/>
      <c r="K99" s="904"/>
      <c r="L99" s="912"/>
      <c r="M99" s="912"/>
      <c r="N99" s="912"/>
      <c r="O99" s="912"/>
      <c r="P99" s="912"/>
      <c r="Q99" s="912"/>
      <c r="R99" s="941"/>
      <c r="S99" s="941"/>
      <c r="T99" s="938"/>
      <c r="U99" s="938">
        <f t="shared" si="72"/>
        <v>0</v>
      </c>
      <c r="V99" s="942"/>
      <c r="W99" s="957"/>
      <c r="X99" s="942">
        <f t="shared" si="73"/>
        <v>0</v>
      </c>
      <c r="Y99" s="957"/>
      <c r="Z99" s="942">
        <f t="shared" si="74"/>
        <v>0</v>
      </c>
      <c r="AA99" s="394"/>
      <c r="AB99" s="394"/>
      <c r="AC99" s="394"/>
    </row>
    <row r="100" spans="1:29">
      <c r="A100" s="726" t="s">
        <v>128</v>
      </c>
      <c r="B100" s="891"/>
      <c r="C100" s="891"/>
      <c r="D100" s="902"/>
      <c r="E100" s="904"/>
      <c r="F100" s="904"/>
      <c r="G100" s="904"/>
      <c r="H100" s="904"/>
      <c r="I100" s="904"/>
      <c r="J100" s="904"/>
      <c r="K100" s="904"/>
      <c r="L100" s="912"/>
      <c r="M100" s="912"/>
      <c r="N100" s="912"/>
      <c r="O100" s="912"/>
      <c r="P100" s="912"/>
      <c r="Q100" s="912"/>
      <c r="R100" s="941"/>
      <c r="S100" s="941"/>
      <c r="T100" s="938"/>
      <c r="U100" s="938">
        <f t="shared" si="72"/>
        <v>0</v>
      </c>
      <c r="V100" s="942"/>
      <c r="W100" s="957"/>
      <c r="X100" s="942">
        <f t="shared" si="73"/>
        <v>0</v>
      </c>
      <c r="Y100" s="957"/>
      <c r="Z100" s="942">
        <f t="shared" si="74"/>
        <v>0</v>
      </c>
      <c r="AA100" s="394"/>
      <c r="AB100" s="394"/>
      <c r="AC100" s="394"/>
    </row>
    <row r="101" spans="1:29">
      <c r="A101" s="726" t="s">
        <v>128</v>
      </c>
      <c r="B101" s="891"/>
      <c r="C101" s="891"/>
      <c r="D101" s="902"/>
      <c r="E101" s="904"/>
      <c r="F101" s="904"/>
      <c r="G101" s="904"/>
      <c r="H101" s="904"/>
      <c r="I101" s="904"/>
      <c r="J101" s="904"/>
      <c r="K101" s="904"/>
      <c r="L101" s="912"/>
      <c r="M101" s="912"/>
      <c r="N101" s="912"/>
      <c r="O101" s="912"/>
      <c r="P101" s="912"/>
      <c r="Q101" s="912"/>
      <c r="R101" s="941"/>
      <c r="S101" s="941"/>
      <c r="T101" s="938"/>
      <c r="U101" s="938">
        <f t="shared" ref="U101:U103" si="75">SUM(E101:S101)</f>
        <v>0</v>
      </c>
      <c r="V101" s="942"/>
      <c r="W101" s="957"/>
      <c r="X101" s="942">
        <f t="shared" si="73"/>
        <v>0</v>
      </c>
      <c r="Y101" s="957"/>
      <c r="Z101" s="942">
        <f t="shared" ref="Z101:Z109" si="76">X101+Y101</f>
        <v>0</v>
      </c>
      <c r="AA101" s="394"/>
      <c r="AB101" s="394"/>
      <c r="AC101" s="394"/>
    </row>
    <row r="102" spans="1:29">
      <c r="A102" s="726" t="s">
        <v>128</v>
      </c>
      <c r="B102" s="891"/>
      <c r="C102" s="891"/>
      <c r="D102" s="902"/>
      <c r="E102" s="904"/>
      <c r="F102" s="904"/>
      <c r="G102" s="904"/>
      <c r="H102" s="904"/>
      <c r="I102" s="904"/>
      <c r="J102" s="904"/>
      <c r="K102" s="904"/>
      <c r="L102" s="912"/>
      <c r="M102" s="912"/>
      <c r="N102" s="912"/>
      <c r="O102" s="912"/>
      <c r="P102" s="912"/>
      <c r="Q102" s="912"/>
      <c r="R102" s="941"/>
      <c r="S102" s="941"/>
      <c r="T102" s="938"/>
      <c r="U102" s="938">
        <f t="shared" si="75"/>
        <v>0</v>
      </c>
      <c r="V102" s="942"/>
      <c r="W102" s="957"/>
      <c r="X102" s="942">
        <f t="shared" si="73"/>
        <v>0</v>
      </c>
      <c r="Y102" s="957"/>
      <c r="Z102" s="942">
        <f t="shared" si="76"/>
        <v>0</v>
      </c>
      <c r="AA102" s="394"/>
      <c r="AB102" s="394"/>
      <c r="AC102" s="394"/>
    </row>
    <row r="103" spans="1:29">
      <c r="A103" s="726" t="s">
        <v>128</v>
      </c>
      <c r="B103" s="891"/>
      <c r="C103" s="891"/>
      <c r="D103" s="902"/>
      <c r="E103" s="904"/>
      <c r="F103" s="904"/>
      <c r="G103" s="904"/>
      <c r="H103" s="904"/>
      <c r="I103" s="904"/>
      <c r="J103" s="904"/>
      <c r="K103" s="904"/>
      <c r="L103" s="912"/>
      <c r="M103" s="912"/>
      <c r="N103" s="912"/>
      <c r="O103" s="912"/>
      <c r="P103" s="912"/>
      <c r="Q103" s="912"/>
      <c r="R103" s="941"/>
      <c r="S103" s="941"/>
      <c r="T103" s="938"/>
      <c r="U103" s="938">
        <f t="shared" si="75"/>
        <v>0</v>
      </c>
      <c r="V103" s="942"/>
      <c r="W103" s="957"/>
      <c r="X103" s="942">
        <f t="shared" si="73"/>
        <v>0</v>
      </c>
      <c r="Y103" s="957"/>
      <c r="Z103" s="942">
        <f t="shared" si="76"/>
        <v>0</v>
      </c>
      <c r="AA103" s="394"/>
      <c r="AB103" s="394"/>
      <c r="AC103" s="394"/>
    </row>
    <row r="104" spans="1:29">
      <c r="A104" s="726" t="s">
        <v>128</v>
      </c>
      <c r="B104" s="891"/>
      <c r="C104" s="891"/>
      <c r="D104" s="902"/>
      <c r="E104" s="904"/>
      <c r="F104" s="904"/>
      <c r="G104" s="904"/>
      <c r="H104" s="904"/>
      <c r="I104" s="904"/>
      <c r="J104" s="904"/>
      <c r="K104" s="904"/>
      <c r="L104" s="912"/>
      <c r="M104" s="912"/>
      <c r="N104" s="912"/>
      <c r="O104" s="912"/>
      <c r="P104" s="912"/>
      <c r="Q104" s="912"/>
      <c r="R104" s="941"/>
      <c r="S104" s="941"/>
      <c r="T104" s="938"/>
      <c r="U104" s="938">
        <f t="shared" ref="U104:U111" si="77">SUM(E104:S104)</f>
        <v>0</v>
      </c>
      <c r="V104" s="942"/>
      <c r="W104" s="957"/>
      <c r="X104" s="942">
        <f t="shared" si="73"/>
        <v>0</v>
      </c>
      <c r="Y104" s="957"/>
      <c r="Z104" s="942">
        <f t="shared" si="76"/>
        <v>0</v>
      </c>
      <c r="AA104" s="394"/>
      <c r="AB104" s="394"/>
      <c r="AC104" s="394"/>
    </row>
    <row r="105" spans="1:29">
      <c r="A105" s="726" t="s">
        <v>128</v>
      </c>
      <c r="B105" s="891"/>
      <c r="C105" s="891"/>
      <c r="D105" s="902"/>
      <c r="E105" s="904"/>
      <c r="F105" s="904"/>
      <c r="G105" s="904"/>
      <c r="H105" s="904"/>
      <c r="I105" s="904"/>
      <c r="J105" s="904"/>
      <c r="K105" s="904"/>
      <c r="L105" s="912"/>
      <c r="M105" s="912"/>
      <c r="N105" s="912"/>
      <c r="O105" s="912"/>
      <c r="P105" s="912"/>
      <c r="Q105" s="912"/>
      <c r="R105" s="941"/>
      <c r="S105" s="941"/>
      <c r="T105" s="938"/>
      <c r="U105" s="938">
        <f t="shared" si="77"/>
        <v>0</v>
      </c>
      <c r="V105" s="942"/>
      <c r="W105" s="957"/>
      <c r="X105" s="942">
        <f t="shared" si="73"/>
        <v>0</v>
      </c>
      <c r="Y105" s="957"/>
      <c r="Z105" s="942">
        <f t="shared" si="76"/>
        <v>0</v>
      </c>
      <c r="AA105" s="394"/>
      <c r="AB105" s="394"/>
      <c r="AC105" s="394"/>
    </row>
    <row r="106" spans="1:29">
      <c r="A106" s="726" t="s">
        <v>128</v>
      </c>
      <c r="B106" s="891"/>
      <c r="C106" s="891"/>
      <c r="D106" s="902"/>
      <c r="E106" s="904"/>
      <c r="F106" s="904"/>
      <c r="G106" s="904"/>
      <c r="H106" s="904"/>
      <c r="I106" s="904"/>
      <c r="J106" s="904"/>
      <c r="K106" s="904"/>
      <c r="L106" s="912"/>
      <c r="M106" s="912"/>
      <c r="N106" s="912"/>
      <c r="O106" s="912"/>
      <c r="P106" s="912"/>
      <c r="Q106" s="912"/>
      <c r="R106" s="941"/>
      <c r="S106" s="941"/>
      <c r="T106" s="938"/>
      <c r="U106" s="938">
        <f t="shared" si="77"/>
        <v>0</v>
      </c>
      <c r="V106" s="942"/>
      <c r="W106" s="957"/>
      <c r="X106" s="942">
        <f t="shared" si="73"/>
        <v>0</v>
      </c>
      <c r="Y106" s="957"/>
      <c r="Z106" s="942">
        <f t="shared" si="76"/>
        <v>0</v>
      </c>
      <c r="AA106" s="394"/>
      <c r="AB106" s="394"/>
      <c r="AC106" s="394"/>
    </row>
    <row r="107" spans="1:29">
      <c r="A107" s="726" t="s">
        <v>128</v>
      </c>
      <c r="B107" s="891"/>
      <c r="C107" s="891"/>
      <c r="D107" s="902"/>
      <c r="E107" s="904"/>
      <c r="F107" s="904"/>
      <c r="G107" s="904"/>
      <c r="H107" s="904"/>
      <c r="I107" s="904"/>
      <c r="J107" s="904"/>
      <c r="K107" s="904"/>
      <c r="L107" s="912"/>
      <c r="M107" s="912"/>
      <c r="N107" s="912"/>
      <c r="O107" s="912"/>
      <c r="P107" s="912"/>
      <c r="Q107" s="912"/>
      <c r="R107" s="941"/>
      <c r="S107" s="941"/>
      <c r="T107" s="938"/>
      <c r="U107" s="938">
        <f t="shared" si="77"/>
        <v>0</v>
      </c>
      <c r="V107" s="942"/>
      <c r="W107" s="957"/>
      <c r="X107" s="942">
        <f t="shared" si="73"/>
        <v>0</v>
      </c>
      <c r="Y107" s="957"/>
      <c r="Z107" s="942">
        <f t="shared" si="76"/>
        <v>0</v>
      </c>
      <c r="AA107" s="394"/>
      <c r="AB107" s="394"/>
      <c r="AC107" s="394"/>
    </row>
    <row r="108" spans="1:29">
      <c r="A108" s="726" t="s">
        <v>128</v>
      </c>
      <c r="B108" s="891"/>
      <c r="C108" s="891"/>
      <c r="D108" s="902"/>
      <c r="E108" s="904"/>
      <c r="F108" s="904"/>
      <c r="G108" s="904"/>
      <c r="H108" s="904"/>
      <c r="I108" s="904"/>
      <c r="J108" s="904"/>
      <c r="K108" s="904"/>
      <c r="L108" s="912"/>
      <c r="M108" s="912"/>
      <c r="N108" s="912"/>
      <c r="O108" s="912"/>
      <c r="P108" s="912"/>
      <c r="Q108" s="912"/>
      <c r="R108" s="941"/>
      <c r="S108" s="941"/>
      <c r="T108" s="938"/>
      <c r="U108" s="938">
        <f t="shared" si="77"/>
        <v>0</v>
      </c>
      <c r="V108" s="942"/>
      <c r="W108" s="957"/>
      <c r="X108" s="942">
        <f t="shared" si="73"/>
        <v>0</v>
      </c>
      <c r="Y108" s="957"/>
      <c r="Z108" s="942">
        <f t="shared" si="76"/>
        <v>0</v>
      </c>
      <c r="AA108" s="394"/>
      <c r="AB108" s="394"/>
      <c r="AC108" s="394"/>
    </row>
    <row r="109" spans="1:29">
      <c r="A109" s="726" t="s">
        <v>128</v>
      </c>
      <c r="B109" s="891"/>
      <c r="C109" s="891"/>
      <c r="D109" s="902"/>
      <c r="E109" s="904"/>
      <c r="F109" s="904"/>
      <c r="G109" s="904"/>
      <c r="H109" s="904"/>
      <c r="I109" s="904"/>
      <c r="J109" s="904"/>
      <c r="K109" s="904"/>
      <c r="L109" s="912"/>
      <c r="M109" s="912"/>
      <c r="N109" s="912"/>
      <c r="O109" s="912"/>
      <c r="P109" s="912"/>
      <c r="Q109" s="912"/>
      <c r="R109" s="941"/>
      <c r="S109" s="941"/>
      <c r="T109" s="938"/>
      <c r="U109" s="938">
        <f t="shared" si="77"/>
        <v>0</v>
      </c>
      <c r="V109" s="942"/>
      <c r="W109" s="957"/>
      <c r="X109" s="942">
        <f t="shared" si="73"/>
        <v>0</v>
      </c>
      <c r="Y109" s="957"/>
      <c r="Z109" s="942">
        <f t="shared" si="76"/>
        <v>0</v>
      </c>
      <c r="AA109" s="394"/>
      <c r="AB109" s="394"/>
      <c r="AC109" s="394"/>
    </row>
    <row r="110" spans="1:29">
      <c r="A110" s="726" t="s">
        <v>128</v>
      </c>
      <c r="B110" s="891"/>
      <c r="C110" s="891"/>
      <c r="D110" s="902"/>
      <c r="E110" s="904"/>
      <c r="F110" s="904"/>
      <c r="G110" s="904"/>
      <c r="H110" s="904"/>
      <c r="I110" s="904"/>
      <c r="J110" s="904"/>
      <c r="K110" s="904"/>
      <c r="L110" s="912"/>
      <c r="M110" s="912"/>
      <c r="N110" s="912"/>
      <c r="O110" s="912"/>
      <c r="P110" s="912"/>
      <c r="Q110" s="912"/>
      <c r="R110" s="941"/>
      <c r="S110" s="941"/>
      <c r="T110" s="938"/>
      <c r="U110" s="938">
        <f t="shared" si="77"/>
        <v>0</v>
      </c>
      <c r="V110" s="942"/>
      <c r="W110" s="957"/>
      <c r="X110" s="942">
        <f t="shared" ref="X110:X111" si="78">U110+V110</f>
        <v>0</v>
      </c>
      <c r="Y110" s="957"/>
      <c r="Z110" s="942">
        <f t="shared" ref="Z110:Z111" si="79">X110+Y110</f>
        <v>0</v>
      </c>
      <c r="AA110" s="394"/>
      <c r="AB110" s="394"/>
      <c r="AC110" s="394"/>
    </row>
    <row r="111" spans="1:29">
      <c r="A111" s="726" t="s">
        <v>128</v>
      </c>
      <c r="B111" s="891"/>
      <c r="C111" s="891"/>
      <c r="D111" s="902"/>
      <c r="E111" s="904"/>
      <c r="F111" s="904"/>
      <c r="G111" s="904"/>
      <c r="H111" s="904"/>
      <c r="I111" s="904"/>
      <c r="J111" s="904"/>
      <c r="K111" s="904"/>
      <c r="L111" s="912"/>
      <c r="M111" s="912"/>
      <c r="N111" s="912"/>
      <c r="O111" s="912"/>
      <c r="P111" s="912"/>
      <c r="Q111" s="912"/>
      <c r="R111" s="941"/>
      <c r="S111" s="941"/>
      <c r="T111" s="938"/>
      <c r="U111" s="975">
        <f t="shared" si="77"/>
        <v>0</v>
      </c>
      <c r="V111" s="976"/>
      <c r="W111" s="977"/>
      <c r="X111" s="976">
        <f t="shared" si="78"/>
        <v>0</v>
      </c>
      <c r="Y111" s="977"/>
      <c r="Z111" s="976">
        <f t="shared" si="79"/>
        <v>0</v>
      </c>
      <c r="AA111" s="971" t="s">
        <v>8</v>
      </c>
      <c r="AB111" s="967" t="s">
        <v>197</v>
      </c>
      <c r="AC111" s="398" t="s">
        <v>174</v>
      </c>
    </row>
    <row r="112" spans="1:29">
      <c r="A112" s="326" t="s">
        <v>129</v>
      </c>
      <c r="B112" s="895"/>
      <c r="C112" s="895"/>
      <c r="D112" s="896"/>
      <c r="E112" s="897">
        <f>SUM(E87:E111)</f>
        <v>0</v>
      </c>
      <c r="F112" s="897">
        <f t="shared" ref="F112:S112" si="80">SUM(F87:F111)</f>
        <v>0</v>
      </c>
      <c r="G112" s="897">
        <f t="shared" si="80"/>
        <v>0</v>
      </c>
      <c r="H112" s="897">
        <f t="shared" si="80"/>
        <v>0</v>
      </c>
      <c r="I112" s="897">
        <f t="shared" si="80"/>
        <v>0</v>
      </c>
      <c r="J112" s="897">
        <f t="shared" si="80"/>
        <v>0</v>
      </c>
      <c r="K112" s="897">
        <f t="shared" si="80"/>
        <v>0</v>
      </c>
      <c r="L112" s="897">
        <f t="shared" si="80"/>
        <v>0</v>
      </c>
      <c r="M112" s="897">
        <f t="shared" si="80"/>
        <v>0</v>
      </c>
      <c r="N112" s="897">
        <f t="shared" si="80"/>
        <v>0</v>
      </c>
      <c r="O112" s="897">
        <f t="shared" si="80"/>
        <v>0</v>
      </c>
      <c r="P112" s="897">
        <f t="shared" si="80"/>
        <v>0</v>
      </c>
      <c r="Q112" s="897">
        <f t="shared" si="80"/>
        <v>0</v>
      </c>
      <c r="R112" s="897">
        <f t="shared" si="80"/>
        <v>0</v>
      </c>
      <c r="S112" s="897">
        <f t="shared" si="80"/>
        <v>0</v>
      </c>
      <c r="T112" s="932"/>
      <c r="U112" s="933">
        <f>SUM(U87:U111)</f>
        <v>0</v>
      </c>
      <c r="V112" s="933">
        <f>SUM(V87:V111)</f>
        <v>0</v>
      </c>
      <c r="W112" s="934"/>
      <c r="X112" s="934">
        <f>SUM(X87:X111)</f>
        <v>0</v>
      </c>
      <c r="Y112" s="934">
        <f>SUM(Y87:Y111)</f>
        <v>0</v>
      </c>
      <c r="Z112" s="973">
        <f>SUM(Z87:Z111)</f>
        <v>0</v>
      </c>
      <c r="AA112" s="399">
        <f>'BIG CHAIR'!CL104</f>
        <v>0</v>
      </c>
      <c r="AB112" s="400">
        <f>'Jordan Chair'!AH145</f>
        <v>0</v>
      </c>
      <c r="AC112" s="401">
        <f>X112+AA112+AB112</f>
        <v>0</v>
      </c>
    </row>
    <row r="113" spans="1:29" s="870" customFormat="1">
      <c r="A113" s="286" t="s">
        <v>130</v>
      </c>
      <c r="B113" s="877" t="s">
        <v>68</v>
      </c>
      <c r="C113" s="877" t="s">
        <v>69</v>
      </c>
      <c r="D113" s="878" t="s">
        <v>70</v>
      </c>
      <c r="E113" s="879" t="s">
        <v>71</v>
      </c>
      <c r="F113" s="880" t="s">
        <v>72</v>
      </c>
      <c r="G113" s="880" t="s">
        <v>91</v>
      </c>
      <c r="H113" s="879" t="s">
        <v>193</v>
      </c>
      <c r="I113" s="879" t="s">
        <v>170</v>
      </c>
      <c r="J113" s="879" t="s">
        <v>92</v>
      </c>
      <c r="K113" s="879" t="s">
        <v>194</v>
      </c>
      <c r="L113" s="880" t="s">
        <v>195</v>
      </c>
      <c r="M113" s="880" t="s">
        <v>196</v>
      </c>
      <c r="N113" s="880" t="s">
        <v>94</v>
      </c>
      <c r="O113" s="880" t="s">
        <v>86</v>
      </c>
      <c r="P113" s="880" t="s">
        <v>75</v>
      </c>
      <c r="Q113" s="880" t="s">
        <v>95</v>
      </c>
      <c r="R113" s="782" t="s">
        <v>77</v>
      </c>
      <c r="S113" s="914" t="s">
        <v>53</v>
      </c>
      <c r="T113" s="915"/>
      <c r="U113" s="952" t="s">
        <v>104</v>
      </c>
      <c r="V113" s="953" t="s">
        <v>105</v>
      </c>
      <c r="W113" s="954"/>
      <c r="X113" s="918" t="s">
        <v>106</v>
      </c>
      <c r="Y113" s="917" t="s">
        <v>107</v>
      </c>
      <c r="Z113" s="960" t="s">
        <v>108</v>
      </c>
      <c r="AA113" s="403"/>
      <c r="AB113" s="403"/>
      <c r="AC113" s="403"/>
    </row>
    <row r="114" spans="1:29" s="282" customFormat="1" ht="18.75" customHeight="1">
      <c r="A114" s="726" t="s">
        <v>131</v>
      </c>
      <c r="B114" s="891"/>
      <c r="C114" s="891"/>
      <c r="D114" s="902">
        <v>46121</v>
      </c>
      <c r="E114" s="903"/>
      <c r="F114" s="903"/>
      <c r="G114" s="903"/>
      <c r="H114" s="903"/>
      <c r="I114" s="903"/>
      <c r="J114" s="903"/>
      <c r="K114" s="903"/>
      <c r="L114" s="911"/>
      <c r="M114" s="911"/>
      <c r="N114" s="911"/>
      <c r="O114" s="911"/>
      <c r="P114" s="911"/>
      <c r="Q114" s="911"/>
      <c r="R114" s="937"/>
      <c r="S114" s="937">
        <f>15*12+42*12</f>
        <v>684</v>
      </c>
      <c r="T114" s="938"/>
      <c r="U114" s="955">
        <f>SUM(E114:S114)</f>
        <v>684</v>
      </c>
      <c r="V114" s="956">
        <v>2</v>
      </c>
      <c r="W114" s="742"/>
      <c r="X114" s="940">
        <f t="shared" ref="X114:X117" si="81">U114+V114</f>
        <v>686</v>
      </c>
      <c r="Y114" s="742">
        <f>7+7</f>
        <v>14</v>
      </c>
      <c r="Z114" s="940">
        <f>X114+Y114</f>
        <v>700</v>
      </c>
      <c r="AA114" s="394"/>
      <c r="AB114" s="394"/>
      <c r="AC114" s="394"/>
    </row>
    <row r="115" spans="1:29">
      <c r="A115" s="726" t="s">
        <v>131</v>
      </c>
      <c r="B115" s="891"/>
      <c r="C115" s="891"/>
      <c r="D115" s="902">
        <v>46122</v>
      </c>
      <c r="E115" s="904"/>
      <c r="F115" s="904"/>
      <c r="G115" s="904"/>
      <c r="H115" s="904"/>
      <c r="I115" s="904"/>
      <c r="J115" s="904"/>
      <c r="K115" s="904"/>
      <c r="L115" s="912"/>
      <c r="M115" s="912"/>
      <c r="N115" s="912"/>
      <c r="O115" s="912"/>
      <c r="P115" s="912"/>
      <c r="Q115" s="912"/>
      <c r="R115" s="941"/>
      <c r="S115" s="941">
        <f>43*12+42*12</f>
        <v>1020</v>
      </c>
      <c r="T115" s="938"/>
      <c r="U115" s="938">
        <f t="shared" ref="U115:U117" si="82">SUM(E115:S115)</f>
        <v>1020</v>
      </c>
      <c r="V115" s="942">
        <v>3</v>
      </c>
      <c r="W115" s="957"/>
      <c r="X115" s="942">
        <f t="shared" si="81"/>
        <v>1023</v>
      </c>
      <c r="Y115" s="957">
        <f>19+2</f>
        <v>21</v>
      </c>
      <c r="Z115" s="942">
        <f t="shared" ref="Z115:Z117" si="83">X115+Y115</f>
        <v>1044</v>
      </c>
      <c r="AA115" s="394"/>
      <c r="AB115" s="394"/>
      <c r="AC115" s="394"/>
    </row>
    <row r="116" spans="1:29">
      <c r="A116" s="726" t="s">
        <v>131</v>
      </c>
      <c r="B116" s="891"/>
      <c r="C116" s="891"/>
      <c r="D116" s="902">
        <v>46123</v>
      </c>
      <c r="E116" s="904"/>
      <c r="F116" s="904"/>
      <c r="G116" s="904"/>
      <c r="H116" s="904"/>
      <c r="I116" s="904"/>
      <c r="J116" s="904"/>
      <c r="K116" s="904"/>
      <c r="L116" s="912"/>
      <c r="M116" s="912"/>
      <c r="N116" s="912">
        <f>15*12+42*12</f>
        <v>684</v>
      </c>
      <c r="O116" s="912"/>
      <c r="P116" s="912"/>
      <c r="Q116" s="912"/>
      <c r="R116" s="941"/>
      <c r="S116" s="941">
        <f>10*12</f>
        <v>120</v>
      </c>
      <c r="T116" s="938"/>
      <c r="U116" s="938">
        <f t="shared" si="82"/>
        <v>804</v>
      </c>
      <c r="V116" s="942">
        <v>7</v>
      </c>
      <c r="W116" s="957"/>
      <c r="X116" s="942">
        <f t="shared" si="81"/>
        <v>811</v>
      </c>
      <c r="Y116" s="957">
        <v>1</v>
      </c>
      <c r="Z116" s="942">
        <f t="shared" si="83"/>
        <v>812</v>
      </c>
      <c r="AA116" s="394"/>
      <c r="AB116" s="394"/>
      <c r="AC116" s="394"/>
    </row>
    <row r="117" spans="1:29">
      <c r="A117" s="726" t="s">
        <v>131</v>
      </c>
      <c r="B117" s="891"/>
      <c r="C117" s="891"/>
      <c r="D117" s="902">
        <v>46124</v>
      </c>
      <c r="E117" s="904"/>
      <c r="F117" s="904"/>
      <c r="G117" s="904"/>
      <c r="H117" s="904"/>
      <c r="I117" s="904"/>
      <c r="J117" s="904"/>
      <c r="K117" s="904"/>
      <c r="L117" s="912"/>
      <c r="M117" s="912"/>
      <c r="N117" s="912">
        <f>31*12+13*12</f>
        <v>528</v>
      </c>
      <c r="O117" s="912"/>
      <c r="P117" s="912"/>
      <c r="Q117" s="912"/>
      <c r="R117" s="912">
        <f>28*12</f>
        <v>336</v>
      </c>
      <c r="S117" s="941"/>
      <c r="T117" s="938"/>
      <c r="U117" s="938">
        <f t="shared" si="82"/>
        <v>864</v>
      </c>
      <c r="V117" s="942">
        <f>4+3+8</f>
        <v>15</v>
      </c>
      <c r="W117" s="957"/>
      <c r="X117" s="942">
        <f t="shared" si="81"/>
        <v>879</v>
      </c>
      <c r="Y117" s="957">
        <v>4</v>
      </c>
      <c r="Z117" s="942">
        <f t="shared" si="83"/>
        <v>883</v>
      </c>
      <c r="AA117" s="394"/>
      <c r="AB117" s="394"/>
      <c r="AC117" s="394"/>
    </row>
    <row r="118" spans="1:29">
      <c r="A118" s="726" t="s">
        <v>131</v>
      </c>
      <c r="B118" s="891"/>
      <c r="C118" s="891"/>
      <c r="D118" s="902">
        <v>46125</v>
      </c>
      <c r="E118" s="904"/>
      <c r="F118" s="904"/>
      <c r="G118" s="904"/>
      <c r="H118" s="904"/>
      <c r="I118" s="904"/>
      <c r="J118" s="904"/>
      <c r="K118" s="904"/>
      <c r="L118" s="912">
        <f>3*12+40*12</f>
        <v>516</v>
      </c>
      <c r="M118" s="912"/>
      <c r="N118" s="912"/>
      <c r="O118" s="912"/>
      <c r="P118" s="974"/>
      <c r="Q118" s="912"/>
      <c r="R118" s="941">
        <f>44*12</f>
        <v>528</v>
      </c>
      <c r="S118" s="941"/>
      <c r="T118" s="938"/>
      <c r="U118" s="938">
        <f t="shared" ref="U118:U120" si="84">SUM(E118:S118)</f>
        <v>1044</v>
      </c>
      <c r="V118" s="942">
        <v>2</v>
      </c>
      <c r="W118" s="957"/>
      <c r="X118" s="942">
        <f t="shared" ref="X118:X120" si="85">U118+V118</f>
        <v>1046</v>
      </c>
      <c r="Y118" s="957">
        <f>6+1+18</f>
        <v>25</v>
      </c>
      <c r="Z118" s="942">
        <f t="shared" ref="Z118:Z120" si="86">X118+Y118</f>
        <v>1071</v>
      </c>
      <c r="AA118" s="394"/>
      <c r="AB118" s="394"/>
      <c r="AC118" s="394"/>
    </row>
    <row r="119" spans="1:29">
      <c r="A119" s="726" t="s">
        <v>131</v>
      </c>
      <c r="B119" s="891"/>
      <c r="C119" s="891"/>
      <c r="D119" s="902">
        <v>46126</v>
      </c>
      <c r="E119" s="904"/>
      <c r="F119" s="904"/>
      <c r="G119" s="904"/>
      <c r="H119" s="904"/>
      <c r="I119" s="904"/>
      <c r="J119" s="904"/>
      <c r="K119" s="904"/>
      <c r="L119" s="912">
        <f>14*12</f>
        <v>168</v>
      </c>
      <c r="M119" s="912"/>
      <c r="N119" s="912"/>
      <c r="O119" s="912"/>
      <c r="P119" s="912"/>
      <c r="Q119" s="912"/>
      <c r="R119" s="941"/>
      <c r="S119" s="941"/>
      <c r="T119" s="938"/>
      <c r="U119" s="938">
        <f t="shared" si="84"/>
        <v>168</v>
      </c>
      <c r="V119" s="942"/>
      <c r="W119" s="957"/>
      <c r="X119" s="942">
        <f t="shared" si="85"/>
        <v>168</v>
      </c>
      <c r="Y119" s="957">
        <v>12</v>
      </c>
      <c r="Z119" s="942">
        <f t="shared" si="86"/>
        <v>180</v>
      </c>
      <c r="AA119" s="394"/>
      <c r="AB119" s="394"/>
      <c r="AC119" s="394"/>
    </row>
    <row r="120" spans="1:29" s="870" customFormat="1">
      <c r="A120" s="726" t="s">
        <v>131</v>
      </c>
      <c r="B120" s="891"/>
      <c r="C120" s="891"/>
      <c r="D120" s="902"/>
      <c r="E120" s="904"/>
      <c r="F120" s="904"/>
      <c r="G120" s="904"/>
      <c r="H120" s="904"/>
      <c r="I120" s="904"/>
      <c r="J120" s="904"/>
      <c r="K120" s="904"/>
      <c r="L120" s="912"/>
      <c r="M120" s="912"/>
      <c r="N120" s="912"/>
      <c r="O120" s="912"/>
      <c r="P120" s="912"/>
      <c r="Q120" s="912"/>
      <c r="R120" s="941"/>
      <c r="S120" s="941"/>
      <c r="T120" s="938"/>
      <c r="U120" s="938">
        <f t="shared" si="84"/>
        <v>0</v>
      </c>
      <c r="V120" s="942"/>
      <c r="W120" s="957"/>
      <c r="X120" s="942">
        <f t="shared" si="85"/>
        <v>0</v>
      </c>
      <c r="Y120" s="957"/>
      <c r="Z120" s="942">
        <f t="shared" si="86"/>
        <v>0</v>
      </c>
      <c r="AA120" s="394"/>
      <c r="AB120" s="394"/>
      <c r="AC120" s="394"/>
    </row>
    <row r="121" spans="1:29" s="870" customFormat="1">
      <c r="A121" s="726" t="s">
        <v>131</v>
      </c>
      <c r="B121" s="891"/>
      <c r="C121" s="891"/>
      <c r="D121" s="902"/>
      <c r="E121" s="904"/>
      <c r="F121" s="904"/>
      <c r="G121" s="904"/>
      <c r="H121" s="904"/>
      <c r="I121" s="904"/>
      <c r="J121" s="904"/>
      <c r="K121" s="904"/>
      <c r="L121" s="912"/>
      <c r="M121" s="912"/>
      <c r="N121" s="912"/>
      <c r="O121" s="912"/>
      <c r="P121" s="912"/>
      <c r="Q121" s="912"/>
      <c r="R121" s="941"/>
      <c r="S121" s="941"/>
      <c r="T121" s="938"/>
      <c r="U121" s="938">
        <f t="shared" ref="U121:U123" si="87">SUM(E121:S121)</f>
        <v>0</v>
      </c>
      <c r="V121" s="942"/>
      <c r="W121" s="957"/>
      <c r="X121" s="942">
        <f t="shared" ref="X121:X123" si="88">U121+V121</f>
        <v>0</v>
      </c>
      <c r="Y121" s="957"/>
      <c r="Z121" s="942">
        <f t="shared" ref="Z121:Z123" si="89">X121+Y121</f>
        <v>0</v>
      </c>
      <c r="AA121" s="394"/>
      <c r="AB121" s="394"/>
      <c r="AC121" s="394"/>
    </row>
    <row r="122" spans="1:29" s="282" customFormat="1" ht="18.75" customHeight="1">
      <c r="A122" s="726" t="s">
        <v>131</v>
      </c>
      <c r="B122" s="891"/>
      <c r="C122" s="891"/>
      <c r="D122" s="902"/>
      <c r="E122" s="904"/>
      <c r="F122" s="904"/>
      <c r="G122" s="904"/>
      <c r="H122" s="904"/>
      <c r="I122" s="904"/>
      <c r="J122" s="904"/>
      <c r="K122" s="904"/>
      <c r="L122" s="912"/>
      <c r="M122" s="912"/>
      <c r="N122" s="912"/>
      <c r="O122" s="912"/>
      <c r="P122" s="912"/>
      <c r="Q122" s="912"/>
      <c r="R122" s="941"/>
      <c r="S122" s="941"/>
      <c r="T122" s="938"/>
      <c r="U122" s="938">
        <f t="shared" si="87"/>
        <v>0</v>
      </c>
      <c r="V122" s="942"/>
      <c r="W122" s="957"/>
      <c r="X122" s="942">
        <f t="shared" si="88"/>
        <v>0</v>
      </c>
      <c r="Y122" s="957"/>
      <c r="Z122" s="942">
        <f t="shared" si="89"/>
        <v>0</v>
      </c>
      <c r="AA122" s="394"/>
      <c r="AB122" s="394"/>
      <c r="AC122" s="394"/>
    </row>
    <row r="123" spans="1:29">
      <c r="A123" s="726" t="s">
        <v>131</v>
      </c>
      <c r="B123" s="891"/>
      <c r="C123" s="891"/>
      <c r="D123" s="902"/>
      <c r="E123" s="904"/>
      <c r="F123" s="904"/>
      <c r="G123" s="904"/>
      <c r="H123" s="904"/>
      <c r="I123" s="904"/>
      <c r="J123" s="904"/>
      <c r="K123" s="904"/>
      <c r="L123" s="912"/>
      <c r="M123" s="912"/>
      <c r="N123" s="912"/>
      <c r="O123" s="912"/>
      <c r="P123" s="912"/>
      <c r="Q123" s="912"/>
      <c r="R123" s="941"/>
      <c r="S123" s="941"/>
      <c r="T123" s="938"/>
      <c r="U123" s="938">
        <f t="shared" si="87"/>
        <v>0</v>
      </c>
      <c r="V123" s="942"/>
      <c r="W123" s="957"/>
      <c r="X123" s="942">
        <f t="shared" si="88"/>
        <v>0</v>
      </c>
      <c r="Y123" s="957"/>
      <c r="Z123" s="942">
        <f t="shared" si="89"/>
        <v>0</v>
      </c>
      <c r="AA123" s="394"/>
      <c r="AB123" s="394"/>
      <c r="AC123" s="394"/>
    </row>
    <row r="124" spans="1:29">
      <c r="A124" s="726" t="s">
        <v>131</v>
      </c>
      <c r="B124" s="891"/>
      <c r="C124" s="891"/>
      <c r="D124" s="902"/>
      <c r="E124" s="904"/>
      <c r="F124" s="904"/>
      <c r="G124" s="904"/>
      <c r="H124" s="904"/>
      <c r="I124" s="904"/>
      <c r="J124" s="904"/>
      <c r="K124" s="904"/>
      <c r="L124" s="912"/>
      <c r="M124" s="912"/>
      <c r="N124" s="912"/>
      <c r="O124" s="912"/>
      <c r="P124" s="912"/>
      <c r="Q124" s="912"/>
      <c r="R124" s="941"/>
      <c r="S124" s="941"/>
      <c r="T124" s="938"/>
      <c r="U124" s="938">
        <f t="shared" ref="U124:U127" si="90">SUM(E124:S124)</f>
        <v>0</v>
      </c>
      <c r="V124" s="942"/>
      <c r="W124" s="957"/>
      <c r="X124" s="942">
        <f t="shared" ref="X124:X136" si="91">U124+V124</f>
        <v>0</v>
      </c>
      <c r="Y124" s="957"/>
      <c r="Z124" s="942">
        <f t="shared" ref="Z124:Z127" si="92">X124+Y124</f>
        <v>0</v>
      </c>
      <c r="AA124" s="394"/>
      <c r="AB124" s="394"/>
      <c r="AC124" s="394"/>
    </row>
    <row r="125" spans="1:29">
      <c r="A125" s="726" t="s">
        <v>131</v>
      </c>
      <c r="B125" s="891"/>
      <c r="C125" s="891"/>
      <c r="D125" s="902"/>
      <c r="E125" s="904"/>
      <c r="F125" s="904"/>
      <c r="G125" s="904"/>
      <c r="H125" s="904"/>
      <c r="I125" s="904"/>
      <c r="J125" s="904"/>
      <c r="K125" s="904"/>
      <c r="L125" s="912"/>
      <c r="M125" s="912"/>
      <c r="N125" s="912"/>
      <c r="O125" s="912"/>
      <c r="P125" s="912"/>
      <c r="Q125" s="912"/>
      <c r="R125" s="941"/>
      <c r="S125" s="941"/>
      <c r="T125" s="938"/>
      <c r="U125" s="938">
        <f t="shared" si="90"/>
        <v>0</v>
      </c>
      <c r="V125" s="942"/>
      <c r="W125" s="957"/>
      <c r="X125" s="942">
        <f t="shared" si="91"/>
        <v>0</v>
      </c>
      <c r="Y125" s="957"/>
      <c r="Z125" s="942">
        <f t="shared" si="92"/>
        <v>0</v>
      </c>
      <c r="AA125" s="394"/>
      <c r="AB125" s="394"/>
      <c r="AC125" s="394"/>
    </row>
    <row r="126" spans="1:29">
      <c r="A126" s="726" t="s">
        <v>131</v>
      </c>
      <c r="B126" s="891"/>
      <c r="C126" s="891"/>
      <c r="D126" s="902"/>
      <c r="E126" s="904"/>
      <c r="F126" s="904"/>
      <c r="G126" s="904"/>
      <c r="H126" s="904"/>
      <c r="I126" s="904"/>
      <c r="J126" s="904"/>
      <c r="K126" s="904"/>
      <c r="L126" s="912"/>
      <c r="M126" s="912"/>
      <c r="N126" s="912"/>
      <c r="O126" s="912"/>
      <c r="P126" s="912"/>
      <c r="Q126" s="912"/>
      <c r="R126" s="941"/>
      <c r="S126" s="941"/>
      <c r="T126" s="938"/>
      <c r="U126" s="938">
        <f t="shared" si="90"/>
        <v>0</v>
      </c>
      <c r="V126" s="942"/>
      <c r="W126" s="957"/>
      <c r="X126" s="942">
        <f t="shared" si="91"/>
        <v>0</v>
      </c>
      <c r="Y126" s="957"/>
      <c r="Z126" s="942">
        <f t="shared" si="92"/>
        <v>0</v>
      </c>
      <c r="AA126" s="394"/>
      <c r="AB126" s="394"/>
      <c r="AC126" s="394"/>
    </row>
    <row r="127" spans="1:29">
      <c r="A127" s="726" t="s">
        <v>131</v>
      </c>
      <c r="B127" s="891"/>
      <c r="C127" s="891"/>
      <c r="D127" s="902"/>
      <c r="E127" s="904"/>
      <c r="F127" s="904"/>
      <c r="G127" s="904"/>
      <c r="H127" s="904"/>
      <c r="I127" s="904"/>
      <c r="J127" s="904"/>
      <c r="K127" s="904"/>
      <c r="L127" s="912"/>
      <c r="M127" s="912"/>
      <c r="N127" s="912"/>
      <c r="O127" s="912"/>
      <c r="P127" s="912"/>
      <c r="Q127" s="912"/>
      <c r="R127" s="941"/>
      <c r="S127" s="941"/>
      <c r="T127" s="938"/>
      <c r="U127" s="938">
        <f t="shared" si="90"/>
        <v>0</v>
      </c>
      <c r="V127" s="942"/>
      <c r="W127" s="957"/>
      <c r="X127" s="942">
        <f t="shared" si="91"/>
        <v>0</v>
      </c>
      <c r="Y127" s="957"/>
      <c r="Z127" s="942">
        <f t="shared" si="92"/>
        <v>0</v>
      </c>
      <c r="AA127" s="394"/>
      <c r="AB127" s="394"/>
      <c r="AC127" s="394"/>
    </row>
    <row r="128" spans="1:29" s="870" customFormat="1">
      <c r="A128" s="726" t="s">
        <v>131</v>
      </c>
      <c r="B128" s="891"/>
      <c r="C128" s="891"/>
      <c r="D128" s="902"/>
      <c r="E128" s="904"/>
      <c r="F128" s="904"/>
      <c r="G128" s="904"/>
      <c r="H128" s="904"/>
      <c r="I128" s="904"/>
      <c r="J128" s="904"/>
      <c r="K128" s="904"/>
      <c r="L128" s="912"/>
      <c r="M128" s="912"/>
      <c r="N128" s="912"/>
      <c r="O128" s="912"/>
      <c r="P128" s="912"/>
      <c r="Q128" s="912"/>
      <c r="R128" s="941"/>
      <c r="S128" s="941"/>
      <c r="T128" s="938"/>
      <c r="U128" s="938">
        <f t="shared" ref="U128:U130" si="93">SUM(E128:S128)</f>
        <v>0</v>
      </c>
      <c r="V128" s="942"/>
      <c r="W128" s="957"/>
      <c r="X128" s="942">
        <f t="shared" si="91"/>
        <v>0</v>
      </c>
      <c r="Y128" s="957"/>
      <c r="Z128" s="942">
        <f t="shared" ref="Z128:Z136" si="94">X128+Y128</f>
        <v>0</v>
      </c>
      <c r="AA128" s="394"/>
      <c r="AB128" s="394"/>
      <c r="AC128" s="394"/>
    </row>
    <row r="129" spans="1:29" s="870" customFormat="1">
      <c r="A129" s="726" t="s">
        <v>131</v>
      </c>
      <c r="B129" s="891"/>
      <c r="C129" s="891"/>
      <c r="D129" s="902"/>
      <c r="E129" s="904"/>
      <c r="F129" s="904"/>
      <c r="G129" s="904"/>
      <c r="H129" s="904"/>
      <c r="I129" s="904"/>
      <c r="J129" s="904"/>
      <c r="K129" s="904"/>
      <c r="L129" s="912"/>
      <c r="M129" s="912"/>
      <c r="N129" s="912"/>
      <c r="O129" s="912"/>
      <c r="P129" s="912"/>
      <c r="Q129" s="912"/>
      <c r="R129" s="941"/>
      <c r="S129" s="941"/>
      <c r="T129" s="938"/>
      <c r="U129" s="938">
        <f t="shared" si="93"/>
        <v>0</v>
      </c>
      <c r="V129" s="942"/>
      <c r="W129" s="957"/>
      <c r="X129" s="942">
        <f t="shared" si="91"/>
        <v>0</v>
      </c>
      <c r="Y129" s="957"/>
      <c r="Z129" s="942">
        <f t="shared" si="94"/>
        <v>0</v>
      </c>
      <c r="AA129" s="394"/>
      <c r="AB129" s="394"/>
      <c r="AC129" s="394"/>
    </row>
    <row r="130" spans="1:29" s="282" customFormat="1" ht="18.75" customHeight="1">
      <c r="A130" s="726" t="s">
        <v>131</v>
      </c>
      <c r="B130" s="891"/>
      <c r="C130" s="891"/>
      <c r="D130" s="902"/>
      <c r="E130" s="904"/>
      <c r="F130" s="904"/>
      <c r="G130" s="904"/>
      <c r="H130" s="904"/>
      <c r="I130" s="904"/>
      <c r="J130" s="904"/>
      <c r="K130" s="904"/>
      <c r="L130" s="912"/>
      <c r="M130" s="912"/>
      <c r="N130" s="912"/>
      <c r="O130" s="912"/>
      <c r="P130" s="912"/>
      <c r="Q130" s="912"/>
      <c r="R130" s="941"/>
      <c r="S130" s="941"/>
      <c r="T130" s="938"/>
      <c r="U130" s="938">
        <f t="shared" si="93"/>
        <v>0</v>
      </c>
      <c r="V130" s="942"/>
      <c r="W130" s="957"/>
      <c r="X130" s="942">
        <f t="shared" si="91"/>
        <v>0</v>
      </c>
      <c r="Y130" s="957"/>
      <c r="Z130" s="942">
        <f t="shared" si="94"/>
        <v>0</v>
      </c>
      <c r="AA130" s="394"/>
      <c r="AB130" s="394"/>
      <c r="AC130" s="394"/>
    </row>
    <row r="131" spans="1:29">
      <c r="A131" s="726" t="s">
        <v>131</v>
      </c>
      <c r="B131" s="891"/>
      <c r="C131" s="891"/>
      <c r="D131" s="902"/>
      <c r="E131" s="904"/>
      <c r="F131" s="904"/>
      <c r="G131" s="904"/>
      <c r="H131" s="904"/>
      <c r="I131" s="904"/>
      <c r="J131" s="904"/>
      <c r="K131" s="904"/>
      <c r="L131" s="912"/>
      <c r="M131" s="912"/>
      <c r="N131" s="912"/>
      <c r="O131" s="912"/>
      <c r="P131" s="912"/>
      <c r="Q131" s="912"/>
      <c r="R131" s="941"/>
      <c r="S131" s="941"/>
      <c r="T131" s="938"/>
      <c r="U131" s="938">
        <f t="shared" ref="U131:U138" si="95">SUM(E131:S131)</f>
        <v>0</v>
      </c>
      <c r="V131" s="942"/>
      <c r="W131" s="957"/>
      <c r="X131" s="942">
        <f t="shared" si="91"/>
        <v>0</v>
      </c>
      <c r="Y131" s="957"/>
      <c r="Z131" s="942">
        <f t="shared" si="94"/>
        <v>0</v>
      </c>
      <c r="AA131" s="394"/>
      <c r="AB131" s="394"/>
      <c r="AC131" s="394"/>
    </row>
    <row r="132" spans="1:29">
      <c r="A132" s="726" t="s">
        <v>131</v>
      </c>
      <c r="B132" s="891"/>
      <c r="C132" s="891"/>
      <c r="D132" s="902"/>
      <c r="E132" s="904"/>
      <c r="F132" s="904"/>
      <c r="G132" s="904"/>
      <c r="H132" s="904"/>
      <c r="I132" s="904"/>
      <c r="J132" s="904"/>
      <c r="K132" s="904"/>
      <c r="L132" s="912"/>
      <c r="M132" s="912"/>
      <c r="N132" s="912"/>
      <c r="O132" s="912"/>
      <c r="P132" s="912"/>
      <c r="Q132" s="912"/>
      <c r="R132" s="941"/>
      <c r="S132" s="941"/>
      <c r="T132" s="938"/>
      <c r="U132" s="938">
        <f t="shared" si="95"/>
        <v>0</v>
      </c>
      <c r="V132" s="942"/>
      <c r="W132" s="957"/>
      <c r="X132" s="942">
        <f t="shared" si="91"/>
        <v>0</v>
      </c>
      <c r="Y132" s="957"/>
      <c r="Z132" s="942">
        <f t="shared" si="94"/>
        <v>0</v>
      </c>
      <c r="AA132" s="394"/>
      <c r="AB132" s="394"/>
      <c r="AC132" s="394"/>
    </row>
    <row r="133" spans="1:29">
      <c r="A133" s="726" t="s">
        <v>131</v>
      </c>
      <c r="B133" s="891"/>
      <c r="C133" s="891"/>
      <c r="D133" s="902"/>
      <c r="E133" s="904"/>
      <c r="F133" s="904"/>
      <c r="G133" s="904"/>
      <c r="H133" s="904"/>
      <c r="I133" s="904"/>
      <c r="J133" s="904"/>
      <c r="K133" s="904"/>
      <c r="L133" s="912"/>
      <c r="M133" s="912"/>
      <c r="N133" s="912"/>
      <c r="O133" s="912"/>
      <c r="P133" s="912"/>
      <c r="Q133" s="912"/>
      <c r="R133" s="941"/>
      <c r="S133" s="941"/>
      <c r="T133" s="938"/>
      <c r="U133" s="938">
        <f t="shared" si="95"/>
        <v>0</v>
      </c>
      <c r="V133" s="942"/>
      <c r="W133" s="957"/>
      <c r="X133" s="942">
        <f t="shared" si="91"/>
        <v>0</v>
      </c>
      <c r="Y133" s="957"/>
      <c r="Z133" s="942">
        <f t="shared" si="94"/>
        <v>0</v>
      </c>
      <c r="AA133" s="394"/>
      <c r="AB133" s="394"/>
      <c r="AC133" s="394"/>
    </row>
    <row r="134" spans="1:29">
      <c r="A134" s="726" t="s">
        <v>131</v>
      </c>
      <c r="B134" s="891"/>
      <c r="C134" s="891"/>
      <c r="D134" s="902"/>
      <c r="E134" s="904"/>
      <c r="F134" s="904"/>
      <c r="G134" s="904"/>
      <c r="H134" s="904"/>
      <c r="I134" s="904"/>
      <c r="J134" s="904"/>
      <c r="K134" s="904"/>
      <c r="L134" s="912"/>
      <c r="M134" s="912"/>
      <c r="N134" s="912"/>
      <c r="O134" s="912"/>
      <c r="P134" s="912"/>
      <c r="Q134" s="912"/>
      <c r="R134" s="941"/>
      <c r="S134" s="941"/>
      <c r="T134" s="938"/>
      <c r="U134" s="938">
        <f t="shared" si="95"/>
        <v>0</v>
      </c>
      <c r="V134" s="942"/>
      <c r="W134" s="957"/>
      <c r="X134" s="942">
        <f t="shared" si="91"/>
        <v>0</v>
      </c>
      <c r="Y134" s="957"/>
      <c r="Z134" s="942">
        <f t="shared" si="94"/>
        <v>0</v>
      </c>
      <c r="AA134" s="394"/>
      <c r="AB134" s="394"/>
      <c r="AC134" s="394"/>
    </row>
    <row r="135" spans="1:29">
      <c r="A135" s="726" t="s">
        <v>131</v>
      </c>
      <c r="B135" s="891"/>
      <c r="C135" s="891"/>
      <c r="D135" s="902"/>
      <c r="E135" s="904"/>
      <c r="F135" s="904"/>
      <c r="G135" s="904"/>
      <c r="H135" s="904"/>
      <c r="I135" s="904"/>
      <c r="J135" s="904"/>
      <c r="K135" s="904"/>
      <c r="L135" s="912"/>
      <c r="M135" s="912"/>
      <c r="N135" s="912"/>
      <c r="O135" s="912"/>
      <c r="P135" s="912"/>
      <c r="Q135" s="912"/>
      <c r="R135" s="941"/>
      <c r="S135" s="941"/>
      <c r="T135" s="938"/>
      <c r="U135" s="938">
        <f t="shared" si="95"/>
        <v>0</v>
      </c>
      <c r="V135" s="942"/>
      <c r="W135" s="957"/>
      <c r="X135" s="942">
        <f t="shared" si="91"/>
        <v>0</v>
      </c>
      <c r="Y135" s="957"/>
      <c r="Z135" s="942">
        <f t="shared" si="94"/>
        <v>0</v>
      </c>
      <c r="AA135" s="394"/>
      <c r="AB135" s="394"/>
      <c r="AC135" s="394"/>
    </row>
    <row r="136" spans="1:29" s="870" customFormat="1">
      <c r="A136" s="726" t="s">
        <v>131</v>
      </c>
      <c r="B136" s="891"/>
      <c r="C136" s="891"/>
      <c r="D136" s="902"/>
      <c r="E136" s="904"/>
      <c r="F136" s="904"/>
      <c r="G136" s="904"/>
      <c r="H136" s="904"/>
      <c r="I136" s="904"/>
      <c r="J136" s="904"/>
      <c r="K136" s="904"/>
      <c r="L136" s="912"/>
      <c r="M136" s="912"/>
      <c r="N136" s="912"/>
      <c r="O136" s="912"/>
      <c r="P136" s="912"/>
      <c r="Q136" s="912"/>
      <c r="R136" s="941"/>
      <c r="S136" s="941"/>
      <c r="T136" s="938"/>
      <c r="U136" s="938">
        <f t="shared" si="95"/>
        <v>0</v>
      </c>
      <c r="V136" s="942"/>
      <c r="W136" s="957"/>
      <c r="X136" s="942">
        <f t="shared" si="91"/>
        <v>0</v>
      </c>
      <c r="Y136" s="957"/>
      <c r="Z136" s="942">
        <f t="shared" si="94"/>
        <v>0</v>
      </c>
      <c r="AA136" s="394"/>
      <c r="AB136" s="394"/>
      <c r="AC136" s="394"/>
    </row>
    <row r="137" spans="1:29" s="870" customFormat="1">
      <c r="A137" s="726" t="s">
        <v>131</v>
      </c>
      <c r="B137" s="891"/>
      <c r="C137" s="891"/>
      <c r="D137" s="902"/>
      <c r="E137" s="904"/>
      <c r="F137" s="904"/>
      <c r="G137" s="904"/>
      <c r="H137" s="904"/>
      <c r="I137" s="904"/>
      <c r="J137" s="904"/>
      <c r="K137" s="904"/>
      <c r="L137" s="912"/>
      <c r="M137" s="912"/>
      <c r="N137" s="912"/>
      <c r="O137" s="912"/>
      <c r="P137" s="912"/>
      <c r="Q137" s="912"/>
      <c r="R137" s="941"/>
      <c r="S137" s="941"/>
      <c r="T137" s="938"/>
      <c r="U137" s="938">
        <f t="shared" si="95"/>
        <v>0</v>
      </c>
      <c r="V137" s="942"/>
      <c r="W137" s="957"/>
      <c r="X137" s="942">
        <f t="shared" ref="X137:X138" si="96">U137+V137</f>
        <v>0</v>
      </c>
      <c r="Y137" s="957"/>
      <c r="Z137" s="942">
        <f t="shared" ref="Z137:Z138" si="97">X137+Y137</f>
        <v>0</v>
      </c>
      <c r="AA137" s="394"/>
      <c r="AB137" s="394"/>
      <c r="AC137" s="394"/>
    </row>
    <row r="138" spans="1:29" s="282" customFormat="1">
      <c r="A138" s="726" t="s">
        <v>131</v>
      </c>
      <c r="B138" s="891"/>
      <c r="C138" s="891"/>
      <c r="D138" s="902"/>
      <c r="E138" s="904"/>
      <c r="F138" s="904"/>
      <c r="G138" s="904"/>
      <c r="H138" s="904"/>
      <c r="I138" s="904"/>
      <c r="J138" s="904"/>
      <c r="K138" s="904"/>
      <c r="L138" s="912"/>
      <c r="M138" s="912"/>
      <c r="N138" s="912"/>
      <c r="O138" s="912"/>
      <c r="P138" s="912"/>
      <c r="Q138" s="912"/>
      <c r="R138" s="941"/>
      <c r="S138" s="941"/>
      <c r="T138" s="938"/>
      <c r="U138" s="975">
        <f t="shared" si="95"/>
        <v>0</v>
      </c>
      <c r="V138" s="976"/>
      <c r="W138" s="977"/>
      <c r="X138" s="976">
        <f t="shared" si="96"/>
        <v>0</v>
      </c>
      <c r="Y138" s="977"/>
      <c r="Z138" s="976">
        <f t="shared" si="97"/>
        <v>0</v>
      </c>
      <c r="AA138" s="971" t="s">
        <v>8</v>
      </c>
      <c r="AB138" s="967" t="s">
        <v>197</v>
      </c>
      <c r="AC138" s="398" t="s">
        <v>174</v>
      </c>
    </row>
    <row r="139" spans="1:29" ht="24" thickBot="1">
      <c r="A139" s="326" t="s">
        <v>132</v>
      </c>
      <c r="B139" s="895"/>
      <c r="C139" s="895"/>
      <c r="D139" s="896"/>
      <c r="E139" s="897">
        <f>SUM(E114:E138)</f>
        <v>0</v>
      </c>
      <c r="F139" s="897">
        <f t="shared" ref="F139:S139" si="98">SUM(F114:F138)</f>
        <v>0</v>
      </c>
      <c r="G139" s="897">
        <f t="shared" si="98"/>
        <v>0</v>
      </c>
      <c r="H139" s="897">
        <f t="shared" si="98"/>
        <v>0</v>
      </c>
      <c r="I139" s="897">
        <f t="shared" si="98"/>
        <v>0</v>
      </c>
      <c r="J139" s="897">
        <f t="shared" si="98"/>
        <v>0</v>
      </c>
      <c r="K139" s="897">
        <f t="shared" si="98"/>
        <v>0</v>
      </c>
      <c r="L139" s="897">
        <f t="shared" si="98"/>
        <v>684</v>
      </c>
      <c r="M139" s="897">
        <f t="shared" si="98"/>
        <v>0</v>
      </c>
      <c r="N139" s="897">
        <f t="shared" si="98"/>
        <v>1212</v>
      </c>
      <c r="O139" s="897">
        <f t="shared" si="98"/>
        <v>0</v>
      </c>
      <c r="P139" s="897">
        <f t="shared" si="98"/>
        <v>0</v>
      </c>
      <c r="Q139" s="897">
        <f t="shared" si="98"/>
        <v>0</v>
      </c>
      <c r="R139" s="897">
        <f t="shared" si="98"/>
        <v>864</v>
      </c>
      <c r="S139" s="897">
        <f t="shared" si="98"/>
        <v>1824</v>
      </c>
      <c r="T139" s="932"/>
      <c r="U139" s="933">
        <f>SUM(U114:U138)</f>
        <v>4584</v>
      </c>
      <c r="V139" s="933">
        <f>SUM(V114:V138)</f>
        <v>29</v>
      </c>
      <c r="W139" s="934"/>
      <c r="X139" s="934">
        <f>SUM(X114:X138)</f>
        <v>4613</v>
      </c>
      <c r="Y139" s="934">
        <f>SUM(Y114:Y138)</f>
        <v>77</v>
      </c>
      <c r="Z139" s="973">
        <f>SUM(Z114:Z138)</f>
        <v>4690</v>
      </c>
      <c r="AA139" s="399">
        <f>'BIG CHAIR'!CL132</f>
        <v>0</v>
      </c>
      <c r="AB139" s="400">
        <f>'Jordan Chair'!AH172</f>
        <v>300</v>
      </c>
      <c r="AC139" s="401">
        <f>X139+AA139+AB139</f>
        <v>4913</v>
      </c>
    </row>
    <row r="140" spans="1:29" ht="24" thickBot="1">
      <c r="A140" s="286" t="s">
        <v>393</v>
      </c>
      <c r="B140" s="877" t="s">
        <v>68</v>
      </c>
      <c r="C140" s="877" t="s">
        <v>69</v>
      </c>
      <c r="D140" s="878" t="s">
        <v>70</v>
      </c>
      <c r="E140" s="879" t="s">
        <v>71</v>
      </c>
      <c r="F140" s="880" t="s">
        <v>72</v>
      </c>
      <c r="G140" s="880" t="s">
        <v>91</v>
      </c>
      <c r="H140" s="879" t="s">
        <v>193</v>
      </c>
      <c r="I140" s="879" t="s">
        <v>170</v>
      </c>
      <c r="J140" s="879" t="s">
        <v>92</v>
      </c>
      <c r="K140" s="879" t="s">
        <v>194</v>
      </c>
      <c r="L140" s="880" t="s">
        <v>195</v>
      </c>
      <c r="M140" s="880" t="s">
        <v>196</v>
      </c>
      <c r="N140" s="880" t="s">
        <v>94</v>
      </c>
      <c r="O140" s="880" t="s">
        <v>86</v>
      </c>
      <c r="P140" s="880" t="s">
        <v>75</v>
      </c>
      <c r="Q140" s="880" t="s">
        <v>95</v>
      </c>
      <c r="R140" s="782" t="s">
        <v>77</v>
      </c>
      <c r="S140" s="914" t="s">
        <v>53</v>
      </c>
      <c r="T140" s="915"/>
      <c r="U140" s="952" t="s">
        <v>104</v>
      </c>
      <c r="V140" s="953" t="s">
        <v>105</v>
      </c>
      <c r="W140" s="954"/>
      <c r="X140" s="918" t="s">
        <v>106</v>
      </c>
      <c r="Y140" s="917" t="s">
        <v>107</v>
      </c>
      <c r="Z140" s="960" t="s">
        <v>108</v>
      </c>
      <c r="AA140" s="403"/>
      <c r="AB140" s="403"/>
      <c r="AC140" s="403"/>
    </row>
    <row r="141" spans="1:29">
      <c r="A141" s="726" t="s">
        <v>392</v>
      </c>
      <c r="B141" s="891"/>
      <c r="C141" s="891"/>
      <c r="D141" s="902"/>
      <c r="E141" s="903"/>
      <c r="F141" s="903"/>
      <c r="G141" s="903"/>
      <c r="H141" s="903"/>
      <c r="I141" s="903"/>
      <c r="J141" s="903"/>
      <c r="K141" s="903"/>
      <c r="L141" s="911"/>
      <c r="M141" s="911"/>
      <c r="N141" s="911"/>
      <c r="O141" s="911"/>
      <c r="P141" s="911"/>
      <c r="Q141" s="911"/>
      <c r="R141" s="937"/>
      <c r="S141" s="937"/>
      <c r="T141" s="938"/>
      <c r="U141" s="955">
        <f>SUM(E141:S141)</f>
        <v>0</v>
      </c>
      <c r="V141" s="956"/>
      <c r="W141" s="742"/>
      <c r="X141" s="940">
        <f t="shared" ref="X141:X165" si="99">U141+V141</f>
        <v>0</v>
      </c>
      <c r="Y141" s="742"/>
      <c r="Z141" s="940">
        <f>X141+Y141</f>
        <v>0</v>
      </c>
      <c r="AA141" s="282"/>
      <c r="AB141" s="282"/>
      <c r="AC141" s="282"/>
    </row>
    <row r="142" spans="1:29">
      <c r="A142" s="726" t="s">
        <v>392</v>
      </c>
      <c r="B142" s="891"/>
      <c r="C142" s="891"/>
      <c r="D142" s="902"/>
      <c r="E142" s="904"/>
      <c r="F142" s="904"/>
      <c r="G142" s="904"/>
      <c r="H142" s="904"/>
      <c r="I142" s="904"/>
      <c r="J142" s="904"/>
      <c r="K142" s="904"/>
      <c r="L142" s="912"/>
      <c r="M142" s="912"/>
      <c r="N142" s="912"/>
      <c r="O142" s="912"/>
      <c r="P142" s="912"/>
      <c r="Q142" s="912"/>
      <c r="R142" s="941"/>
      <c r="S142" s="941"/>
      <c r="T142" s="938"/>
      <c r="U142" s="938">
        <f t="shared" ref="U142:U150" si="100">SUM(E142:S142)</f>
        <v>0</v>
      </c>
      <c r="V142" s="942"/>
      <c r="W142" s="957"/>
      <c r="X142" s="942">
        <f t="shared" si="99"/>
        <v>0</v>
      </c>
      <c r="Y142" s="957"/>
      <c r="Z142" s="942">
        <f t="shared" ref="Z142:Z165" si="101">X142+Y142</f>
        <v>0</v>
      </c>
    </row>
    <row r="143" spans="1:29">
      <c r="A143" s="726" t="s">
        <v>392</v>
      </c>
      <c r="B143" s="891"/>
      <c r="C143" s="891"/>
      <c r="D143" s="902"/>
      <c r="E143" s="904"/>
      <c r="F143" s="904"/>
      <c r="G143" s="904"/>
      <c r="H143" s="904"/>
      <c r="I143" s="904"/>
      <c r="J143" s="904"/>
      <c r="K143" s="904"/>
      <c r="L143" s="912"/>
      <c r="M143" s="912"/>
      <c r="N143" s="912"/>
      <c r="O143" s="912"/>
      <c r="P143" s="912"/>
      <c r="Q143" s="912"/>
      <c r="R143" s="941"/>
      <c r="S143" s="941"/>
      <c r="T143" s="938"/>
      <c r="U143" s="938">
        <f t="shared" si="100"/>
        <v>0</v>
      </c>
      <c r="V143" s="942"/>
      <c r="W143" s="957"/>
      <c r="X143" s="942">
        <f t="shared" si="99"/>
        <v>0</v>
      </c>
      <c r="Y143" s="957"/>
      <c r="Z143" s="942">
        <f t="shared" si="101"/>
        <v>0</v>
      </c>
    </row>
    <row r="144" spans="1:29" s="870" customFormat="1">
      <c r="A144" s="726" t="s">
        <v>392</v>
      </c>
      <c r="B144" s="891"/>
      <c r="C144" s="891"/>
      <c r="D144" s="902"/>
      <c r="E144" s="904"/>
      <c r="F144" s="904"/>
      <c r="G144" s="904"/>
      <c r="H144" s="904"/>
      <c r="I144" s="904"/>
      <c r="J144" s="904"/>
      <c r="K144" s="904"/>
      <c r="L144" s="912"/>
      <c r="M144" s="912"/>
      <c r="N144" s="912"/>
      <c r="O144" s="912"/>
      <c r="P144" s="912"/>
      <c r="Q144" s="912"/>
      <c r="R144" s="912"/>
      <c r="S144" s="941"/>
      <c r="T144" s="938"/>
      <c r="U144" s="938">
        <f t="shared" si="100"/>
        <v>0</v>
      </c>
      <c r="V144" s="942"/>
      <c r="W144" s="957"/>
      <c r="X144" s="942">
        <f t="shared" si="99"/>
        <v>0</v>
      </c>
      <c r="Y144" s="957"/>
      <c r="Z144" s="942">
        <f t="shared" si="101"/>
        <v>0</v>
      </c>
      <c r="AA144" s="1"/>
      <c r="AB144" s="1"/>
      <c r="AC144" s="1"/>
    </row>
    <row r="145" spans="1:43" s="870" customFormat="1">
      <c r="A145" s="726" t="s">
        <v>392</v>
      </c>
      <c r="B145" s="891"/>
      <c r="C145" s="891"/>
      <c r="D145" s="902"/>
      <c r="E145" s="904"/>
      <c r="F145" s="904"/>
      <c r="G145" s="904"/>
      <c r="H145" s="904"/>
      <c r="I145" s="904"/>
      <c r="J145" s="904"/>
      <c r="K145" s="904"/>
      <c r="L145" s="912"/>
      <c r="M145" s="912"/>
      <c r="N145" s="912"/>
      <c r="O145" s="912"/>
      <c r="P145" s="974"/>
      <c r="Q145" s="912"/>
      <c r="R145" s="941"/>
      <c r="S145" s="941"/>
      <c r="T145" s="938"/>
      <c r="U145" s="938">
        <f t="shared" si="100"/>
        <v>0</v>
      </c>
      <c r="V145" s="942"/>
      <c r="W145" s="957"/>
      <c r="X145" s="942">
        <f t="shared" si="99"/>
        <v>0</v>
      </c>
      <c r="Y145" s="957"/>
      <c r="Z145" s="942">
        <f t="shared" si="101"/>
        <v>0</v>
      </c>
      <c r="AA145" s="1"/>
      <c r="AB145" s="1"/>
      <c r="AC145" s="1"/>
    </row>
    <row r="146" spans="1:43" ht="21" customHeight="1">
      <c r="A146" s="726" t="s">
        <v>392</v>
      </c>
      <c r="B146" s="891"/>
      <c r="C146" s="891"/>
      <c r="D146" s="902"/>
      <c r="E146" s="904"/>
      <c r="F146" s="904"/>
      <c r="G146" s="904"/>
      <c r="H146" s="904"/>
      <c r="I146" s="904"/>
      <c r="J146" s="904"/>
      <c r="K146" s="904"/>
      <c r="L146" s="912"/>
      <c r="M146" s="912"/>
      <c r="N146" s="912"/>
      <c r="O146" s="912"/>
      <c r="P146" s="912"/>
      <c r="Q146" s="912"/>
      <c r="R146" s="941"/>
      <c r="S146" s="941"/>
      <c r="T146" s="938"/>
      <c r="U146" s="938">
        <f t="shared" si="100"/>
        <v>0</v>
      </c>
      <c r="V146" s="942"/>
      <c r="W146" s="957"/>
      <c r="X146" s="942">
        <f t="shared" si="99"/>
        <v>0</v>
      </c>
      <c r="Y146" s="957"/>
      <c r="Z146" s="942">
        <f t="shared" si="101"/>
        <v>0</v>
      </c>
      <c r="AA146" s="394"/>
      <c r="AB146" s="394"/>
      <c r="AC146" s="394"/>
    </row>
    <row r="147" spans="1:43">
      <c r="A147" s="726" t="s">
        <v>392</v>
      </c>
      <c r="B147" s="891"/>
      <c r="C147" s="891"/>
      <c r="D147" s="902"/>
      <c r="E147" s="904"/>
      <c r="F147" s="904"/>
      <c r="G147" s="904"/>
      <c r="H147" s="904"/>
      <c r="I147" s="904"/>
      <c r="J147" s="904"/>
      <c r="K147" s="904"/>
      <c r="L147" s="912"/>
      <c r="M147" s="912"/>
      <c r="N147" s="912"/>
      <c r="O147" s="912"/>
      <c r="P147" s="912"/>
      <c r="Q147" s="912"/>
      <c r="R147" s="941"/>
      <c r="S147" s="941"/>
      <c r="T147" s="938"/>
      <c r="U147" s="938">
        <f t="shared" si="100"/>
        <v>0</v>
      </c>
      <c r="V147" s="942"/>
      <c r="W147" s="957"/>
      <c r="X147" s="942">
        <f t="shared" si="99"/>
        <v>0</v>
      </c>
      <c r="Y147" s="957"/>
      <c r="Z147" s="942">
        <f t="shared" si="101"/>
        <v>0</v>
      </c>
      <c r="AA147" s="403"/>
      <c r="AB147" s="403"/>
      <c r="AC147" s="403"/>
    </row>
    <row r="148" spans="1:43" s="1" customFormat="1" ht="21.75" customHeight="1">
      <c r="A148" s="726" t="s">
        <v>392</v>
      </c>
      <c r="B148" s="891"/>
      <c r="C148" s="891"/>
      <c r="D148" s="902"/>
      <c r="E148" s="904"/>
      <c r="F148" s="904"/>
      <c r="G148" s="904"/>
      <c r="H148" s="904"/>
      <c r="I148" s="904"/>
      <c r="J148" s="904"/>
      <c r="K148" s="904"/>
      <c r="L148" s="912"/>
      <c r="M148" s="912"/>
      <c r="N148" s="912"/>
      <c r="O148" s="912"/>
      <c r="P148" s="912"/>
      <c r="Q148" s="912"/>
      <c r="R148" s="941"/>
      <c r="S148" s="941"/>
      <c r="T148" s="938"/>
      <c r="U148" s="938">
        <f t="shared" si="100"/>
        <v>0</v>
      </c>
      <c r="V148" s="942"/>
      <c r="W148" s="957"/>
      <c r="X148" s="942">
        <f t="shared" si="99"/>
        <v>0</v>
      </c>
      <c r="Y148" s="957"/>
      <c r="Z148" s="942">
        <f t="shared" si="101"/>
        <v>0</v>
      </c>
      <c r="AA148" s="403"/>
      <c r="AB148" s="403"/>
      <c r="AC148" s="403"/>
      <c r="AD148" s="1026"/>
      <c r="AE148" s="1026"/>
      <c r="AF148" s="1026"/>
      <c r="AG148" s="1026"/>
      <c r="AH148" s="1026"/>
      <c r="AI148" s="1026"/>
      <c r="AJ148" s="1026"/>
      <c r="AK148" s="1026"/>
      <c r="AL148" s="1026"/>
      <c r="AM148" s="1026"/>
      <c r="AN148" s="1026"/>
      <c r="AO148" s="1026"/>
      <c r="AP148" s="1026"/>
      <c r="AQ148" s="1026"/>
    </row>
    <row r="149" spans="1:43" s="276" customFormat="1" ht="30.75" customHeight="1">
      <c r="A149" s="726" t="s">
        <v>392</v>
      </c>
      <c r="B149" s="891"/>
      <c r="C149" s="891"/>
      <c r="D149" s="902"/>
      <c r="E149" s="904"/>
      <c r="F149" s="904"/>
      <c r="G149" s="904"/>
      <c r="H149" s="904"/>
      <c r="I149" s="904"/>
      <c r="J149" s="904"/>
      <c r="K149" s="904"/>
      <c r="L149" s="912"/>
      <c r="M149" s="912"/>
      <c r="N149" s="912"/>
      <c r="O149" s="912"/>
      <c r="P149" s="912"/>
      <c r="Q149" s="912"/>
      <c r="R149" s="941"/>
      <c r="S149" s="941"/>
      <c r="T149" s="938"/>
      <c r="U149" s="938">
        <f t="shared" si="100"/>
        <v>0</v>
      </c>
      <c r="V149" s="942"/>
      <c r="W149" s="957"/>
      <c r="X149" s="942">
        <f t="shared" si="99"/>
        <v>0</v>
      </c>
      <c r="Y149" s="957"/>
      <c r="Z149" s="942">
        <f t="shared" si="101"/>
        <v>0</v>
      </c>
      <c r="AA149" s="282"/>
      <c r="AB149" s="282"/>
      <c r="AC149" s="282"/>
    </row>
    <row r="150" spans="1:43" s="871" customFormat="1">
      <c r="A150" s="726" t="s">
        <v>392</v>
      </c>
      <c r="B150" s="891"/>
      <c r="C150" s="891"/>
      <c r="D150" s="902"/>
      <c r="E150" s="904"/>
      <c r="F150" s="904"/>
      <c r="G150" s="904"/>
      <c r="H150" s="904"/>
      <c r="I150" s="904"/>
      <c r="J150" s="904"/>
      <c r="K150" s="904"/>
      <c r="L150" s="912"/>
      <c r="M150" s="912"/>
      <c r="N150" s="912"/>
      <c r="O150" s="912"/>
      <c r="P150" s="912"/>
      <c r="Q150" s="912"/>
      <c r="R150" s="941"/>
      <c r="S150" s="941"/>
      <c r="T150" s="938"/>
      <c r="U150" s="938">
        <f t="shared" si="100"/>
        <v>0</v>
      </c>
      <c r="V150" s="942"/>
      <c r="W150" s="957"/>
      <c r="X150" s="942">
        <f t="shared" si="99"/>
        <v>0</v>
      </c>
      <c r="Y150" s="957"/>
      <c r="Z150" s="942">
        <f t="shared" si="101"/>
        <v>0</v>
      </c>
      <c r="AA150" s="1"/>
      <c r="AB150" s="1"/>
      <c r="AC150" s="1"/>
    </row>
    <row r="151" spans="1:43" s="872" customFormat="1">
      <c r="A151" s="726" t="s">
        <v>392</v>
      </c>
      <c r="B151" s="891"/>
      <c r="C151" s="891"/>
      <c r="D151" s="902"/>
      <c r="E151" s="904"/>
      <c r="F151" s="904"/>
      <c r="G151" s="904"/>
      <c r="H151" s="904"/>
      <c r="I151" s="904"/>
      <c r="J151" s="904"/>
      <c r="K151" s="904"/>
      <c r="L151" s="912"/>
      <c r="M151" s="912"/>
      <c r="N151" s="912"/>
      <c r="O151" s="912"/>
      <c r="P151" s="912"/>
      <c r="Q151" s="912"/>
      <c r="R151" s="941"/>
      <c r="S151" s="941"/>
      <c r="T151" s="938"/>
      <c r="U151" s="938">
        <f t="shared" ref="U151:U154" si="102">SUM(E151:S151)</f>
        <v>0</v>
      </c>
      <c r="V151" s="942"/>
      <c r="W151" s="957"/>
      <c r="X151" s="942">
        <f t="shared" si="99"/>
        <v>0</v>
      </c>
      <c r="Y151" s="957"/>
      <c r="Z151" s="942">
        <f t="shared" si="101"/>
        <v>0</v>
      </c>
      <c r="AA151" s="1"/>
      <c r="AB151" s="1"/>
      <c r="AC151" s="1"/>
    </row>
    <row r="152" spans="1:43" s="871" customFormat="1">
      <c r="A152" s="726" t="s">
        <v>392</v>
      </c>
      <c r="B152" s="891"/>
      <c r="C152" s="891"/>
      <c r="D152" s="902"/>
      <c r="E152" s="904"/>
      <c r="F152" s="904"/>
      <c r="G152" s="904"/>
      <c r="H152" s="904"/>
      <c r="I152" s="904"/>
      <c r="J152" s="904"/>
      <c r="K152" s="904"/>
      <c r="L152" s="912"/>
      <c r="M152" s="912"/>
      <c r="N152" s="912"/>
      <c r="O152" s="912"/>
      <c r="P152" s="912"/>
      <c r="Q152" s="912"/>
      <c r="R152" s="941"/>
      <c r="S152" s="941"/>
      <c r="T152" s="938"/>
      <c r="U152" s="938">
        <f t="shared" si="102"/>
        <v>0</v>
      </c>
      <c r="V152" s="942"/>
      <c r="W152" s="957"/>
      <c r="X152" s="942">
        <f t="shared" si="99"/>
        <v>0</v>
      </c>
      <c r="Y152" s="957"/>
      <c r="Z152" s="942">
        <f t="shared" si="101"/>
        <v>0</v>
      </c>
      <c r="AA152" s="1"/>
      <c r="AB152" s="1"/>
      <c r="AC152" s="1"/>
    </row>
    <row r="153" spans="1:43" s="872" customFormat="1">
      <c r="A153" s="726" t="s">
        <v>392</v>
      </c>
      <c r="B153" s="891"/>
      <c r="C153" s="891"/>
      <c r="D153" s="902"/>
      <c r="E153" s="904"/>
      <c r="F153" s="904"/>
      <c r="G153" s="904"/>
      <c r="H153" s="904"/>
      <c r="I153" s="904"/>
      <c r="J153" s="904"/>
      <c r="K153" s="904"/>
      <c r="L153" s="912"/>
      <c r="M153" s="912"/>
      <c r="N153" s="912"/>
      <c r="O153" s="912"/>
      <c r="P153" s="912"/>
      <c r="Q153" s="912"/>
      <c r="R153" s="941"/>
      <c r="S153" s="941"/>
      <c r="T153" s="938"/>
      <c r="U153" s="938">
        <f t="shared" si="102"/>
        <v>0</v>
      </c>
      <c r="V153" s="942"/>
      <c r="W153" s="957"/>
      <c r="X153" s="942">
        <f t="shared" si="99"/>
        <v>0</v>
      </c>
      <c r="Y153" s="957"/>
      <c r="Z153" s="942">
        <f t="shared" si="101"/>
        <v>0</v>
      </c>
      <c r="AA153" s="1"/>
      <c r="AB153" s="1"/>
      <c r="AC153" s="1"/>
    </row>
    <row r="154" spans="1:43" s="871" customFormat="1">
      <c r="A154" s="726" t="s">
        <v>392</v>
      </c>
      <c r="B154" s="891"/>
      <c r="C154" s="891"/>
      <c r="D154" s="902"/>
      <c r="E154" s="904"/>
      <c r="F154" s="904"/>
      <c r="G154" s="904"/>
      <c r="H154" s="904"/>
      <c r="I154" s="904"/>
      <c r="J154" s="904"/>
      <c r="K154" s="904"/>
      <c r="L154" s="912"/>
      <c r="M154" s="912"/>
      <c r="N154" s="912"/>
      <c r="O154" s="912"/>
      <c r="P154" s="912"/>
      <c r="Q154" s="912"/>
      <c r="R154" s="941"/>
      <c r="S154" s="941"/>
      <c r="T154" s="938"/>
      <c r="U154" s="938">
        <f t="shared" si="102"/>
        <v>0</v>
      </c>
      <c r="V154" s="942"/>
      <c r="W154" s="957"/>
      <c r="X154" s="942">
        <f t="shared" si="99"/>
        <v>0</v>
      </c>
      <c r="Y154" s="957"/>
      <c r="Z154" s="942">
        <f t="shared" si="101"/>
        <v>0</v>
      </c>
      <c r="AA154" s="394"/>
      <c r="AB154" s="394"/>
      <c r="AC154" s="394"/>
    </row>
    <row r="155" spans="1:43" s="871" customFormat="1">
      <c r="A155" s="726" t="s">
        <v>392</v>
      </c>
      <c r="B155" s="891"/>
      <c r="C155" s="891"/>
      <c r="D155" s="902"/>
      <c r="E155" s="904"/>
      <c r="F155" s="904"/>
      <c r="G155" s="904"/>
      <c r="H155" s="904"/>
      <c r="I155" s="904"/>
      <c r="J155" s="904"/>
      <c r="K155" s="904"/>
      <c r="L155" s="912"/>
      <c r="M155" s="912"/>
      <c r="N155" s="912"/>
      <c r="O155" s="912"/>
      <c r="P155" s="912"/>
      <c r="Q155" s="912"/>
      <c r="R155" s="941"/>
      <c r="S155" s="941"/>
      <c r="T155" s="938"/>
      <c r="U155" s="938">
        <f t="shared" ref="U155:U165" si="103">SUM(E155:S155)</f>
        <v>0</v>
      </c>
      <c r="V155" s="942"/>
      <c r="W155" s="957"/>
      <c r="X155" s="942">
        <f t="shared" si="99"/>
        <v>0</v>
      </c>
      <c r="Y155" s="957"/>
      <c r="Z155" s="942">
        <f t="shared" si="101"/>
        <v>0</v>
      </c>
      <c r="AA155" s="403"/>
      <c r="AB155" s="403"/>
      <c r="AC155" s="403"/>
    </row>
    <row r="156" spans="1:43" s="872" customFormat="1">
      <c r="A156" s="726" t="s">
        <v>392</v>
      </c>
      <c r="B156" s="891"/>
      <c r="C156" s="891"/>
      <c r="D156" s="902"/>
      <c r="E156" s="904"/>
      <c r="F156" s="904"/>
      <c r="G156" s="904"/>
      <c r="H156" s="904"/>
      <c r="I156" s="904"/>
      <c r="J156" s="904"/>
      <c r="K156" s="904"/>
      <c r="L156" s="912"/>
      <c r="M156" s="912"/>
      <c r="N156" s="912"/>
      <c r="O156" s="912"/>
      <c r="P156" s="912"/>
      <c r="Q156" s="912"/>
      <c r="R156" s="941"/>
      <c r="S156" s="941"/>
      <c r="T156" s="938"/>
      <c r="U156" s="938">
        <f t="shared" si="103"/>
        <v>0</v>
      </c>
      <c r="V156" s="942"/>
      <c r="W156" s="957"/>
      <c r="X156" s="942">
        <f t="shared" si="99"/>
        <v>0</v>
      </c>
      <c r="Y156" s="957"/>
      <c r="Z156" s="942">
        <f t="shared" si="101"/>
        <v>0</v>
      </c>
      <c r="AA156" s="403"/>
      <c r="AB156" s="403"/>
      <c r="AC156" s="403"/>
    </row>
    <row r="157" spans="1:43" s="871" customFormat="1">
      <c r="A157" s="726" t="s">
        <v>392</v>
      </c>
      <c r="B157" s="891"/>
      <c r="C157" s="891"/>
      <c r="D157" s="902"/>
      <c r="E157" s="904"/>
      <c r="F157" s="904"/>
      <c r="G157" s="904"/>
      <c r="H157" s="904"/>
      <c r="I157" s="904"/>
      <c r="J157" s="904"/>
      <c r="K157" s="904"/>
      <c r="L157" s="912"/>
      <c r="M157" s="912"/>
      <c r="N157" s="912"/>
      <c r="O157" s="912"/>
      <c r="P157" s="912"/>
      <c r="Q157" s="912"/>
      <c r="R157" s="941"/>
      <c r="S157" s="941"/>
      <c r="T157" s="938"/>
      <c r="U157" s="938">
        <f t="shared" si="103"/>
        <v>0</v>
      </c>
      <c r="V157" s="942"/>
      <c r="W157" s="957"/>
      <c r="X157" s="942">
        <f t="shared" si="99"/>
        <v>0</v>
      </c>
      <c r="Y157" s="957"/>
      <c r="Z157" s="942">
        <f t="shared" si="101"/>
        <v>0</v>
      </c>
      <c r="AA157" s="282"/>
      <c r="AB157" s="282"/>
      <c r="AC157" s="282"/>
    </row>
    <row r="158" spans="1:43" s="872" customFormat="1">
      <c r="A158" s="726" t="s">
        <v>392</v>
      </c>
      <c r="B158" s="891"/>
      <c r="C158" s="891"/>
      <c r="D158" s="902"/>
      <c r="E158" s="904"/>
      <c r="F158" s="904"/>
      <c r="G158" s="904"/>
      <c r="H158" s="904"/>
      <c r="I158" s="904"/>
      <c r="J158" s="904"/>
      <c r="K158" s="904"/>
      <c r="L158" s="912"/>
      <c r="M158" s="912"/>
      <c r="N158" s="912"/>
      <c r="O158" s="912"/>
      <c r="P158" s="912"/>
      <c r="Q158" s="912"/>
      <c r="R158" s="941"/>
      <c r="S158" s="941"/>
      <c r="T158" s="938"/>
      <c r="U158" s="938">
        <f t="shared" si="103"/>
        <v>0</v>
      </c>
      <c r="V158" s="942"/>
      <c r="W158" s="957"/>
      <c r="X158" s="942">
        <f t="shared" si="99"/>
        <v>0</v>
      </c>
      <c r="Y158" s="957"/>
      <c r="Z158" s="942">
        <f t="shared" si="101"/>
        <v>0</v>
      </c>
      <c r="AA158" s="1"/>
      <c r="AB158" s="1"/>
      <c r="AC158" s="1"/>
    </row>
    <row r="159" spans="1:43" s="871" customFormat="1">
      <c r="A159" s="726" t="s">
        <v>392</v>
      </c>
      <c r="B159" s="891"/>
      <c r="C159" s="891"/>
      <c r="D159" s="902"/>
      <c r="E159" s="904"/>
      <c r="F159" s="904"/>
      <c r="G159" s="904"/>
      <c r="H159" s="904"/>
      <c r="I159" s="904"/>
      <c r="J159" s="904"/>
      <c r="K159" s="904"/>
      <c r="L159" s="912"/>
      <c r="M159" s="912"/>
      <c r="N159" s="912"/>
      <c r="O159" s="912"/>
      <c r="P159" s="912"/>
      <c r="Q159" s="912"/>
      <c r="R159" s="941"/>
      <c r="S159" s="941"/>
      <c r="T159" s="938"/>
      <c r="U159" s="938">
        <f t="shared" si="103"/>
        <v>0</v>
      </c>
      <c r="V159" s="942"/>
      <c r="W159" s="957"/>
      <c r="X159" s="942">
        <f t="shared" si="99"/>
        <v>0</v>
      </c>
      <c r="Y159" s="957"/>
      <c r="Z159" s="942">
        <f t="shared" si="101"/>
        <v>0</v>
      </c>
      <c r="AA159" s="1"/>
      <c r="AB159" s="1"/>
      <c r="AC159" s="1"/>
    </row>
    <row r="160" spans="1:43" s="872" customFormat="1">
      <c r="A160" s="726" t="s">
        <v>392</v>
      </c>
      <c r="B160" s="891"/>
      <c r="C160" s="891"/>
      <c r="D160" s="902"/>
      <c r="E160" s="904"/>
      <c r="F160" s="904"/>
      <c r="G160" s="904"/>
      <c r="H160" s="904"/>
      <c r="I160" s="904"/>
      <c r="J160" s="904"/>
      <c r="K160" s="904"/>
      <c r="L160" s="912"/>
      <c r="M160" s="912"/>
      <c r="N160" s="912"/>
      <c r="O160" s="912"/>
      <c r="P160" s="912"/>
      <c r="Q160" s="912"/>
      <c r="R160" s="941"/>
      <c r="S160" s="941"/>
      <c r="T160" s="938"/>
      <c r="U160" s="938">
        <f t="shared" si="103"/>
        <v>0</v>
      </c>
      <c r="V160" s="942"/>
      <c r="W160" s="957"/>
      <c r="X160" s="942">
        <f t="shared" si="99"/>
        <v>0</v>
      </c>
      <c r="Y160" s="957"/>
      <c r="Z160" s="942">
        <f t="shared" si="101"/>
        <v>0</v>
      </c>
      <c r="AA160" s="1"/>
      <c r="AB160" s="1"/>
      <c r="AC160" s="1"/>
    </row>
    <row r="161" spans="1:29" s="871" customFormat="1">
      <c r="A161" s="726" t="s">
        <v>392</v>
      </c>
      <c r="B161" s="891"/>
      <c r="C161" s="891"/>
      <c r="D161" s="902"/>
      <c r="E161" s="904"/>
      <c r="F161" s="904"/>
      <c r="G161" s="904"/>
      <c r="H161" s="904"/>
      <c r="I161" s="904"/>
      <c r="J161" s="904"/>
      <c r="K161" s="904"/>
      <c r="L161" s="912"/>
      <c r="M161" s="912"/>
      <c r="N161" s="912"/>
      <c r="O161" s="912"/>
      <c r="P161" s="912"/>
      <c r="Q161" s="912"/>
      <c r="R161" s="941"/>
      <c r="S161" s="941"/>
      <c r="T161" s="938"/>
      <c r="U161" s="938">
        <f t="shared" si="103"/>
        <v>0</v>
      </c>
      <c r="V161" s="942"/>
      <c r="W161" s="957"/>
      <c r="X161" s="942">
        <f t="shared" si="99"/>
        <v>0</v>
      </c>
      <c r="Y161" s="957"/>
      <c r="Z161" s="942">
        <f t="shared" si="101"/>
        <v>0</v>
      </c>
      <c r="AA161" s="1"/>
      <c r="AB161" s="1"/>
      <c r="AC161" s="1"/>
    </row>
    <row r="162" spans="1:29" s="872" customFormat="1">
      <c r="A162" s="726" t="s">
        <v>392</v>
      </c>
      <c r="B162" s="891"/>
      <c r="C162" s="891"/>
      <c r="D162" s="902"/>
      <c r="E162" s="904"/>
      <c r="F162" s="904"/>
      <c r="G162" s="904"/>
      <c r="H162" s="904"/>
      <c r="I162" s="904"/>
      <c r="J162" s="904"/>
      <c r="K162" s="904"/>
      <c r="L162" s="912"/>
      <c r="M162" s="912"/>
      <c r="N162" s="912"/>
      <c r="O162" s="912"/>
      <c r="P162" s="912"/>
      <c r="Q162" s="912"/>
      <c r="R162" s="941"/>
      <c r="S162" s="941"/>
      <c r="T162" s="938"/>
      <c r="U162" s="938">
        <f t="shared" si="103"/>
        <v>0</v>
      </c>
      <c r="V162" s="942"/>
      <c r="W162" s="957"/>
      <c r="X162" s="942">
        <f t="shared" si="99"/>
        <v>0</v>
      </c>
      <c r="Y162" s="957"/>
      <c r="Z162" s="942">
        <f t="shared" si="101"/>
        <v>0</v>
      </c>
      <c r="AA162" s="394"/>
      <c r="AB162" s="394"/>
      <c r="AC162" s="394"/>
    </row>
    <row r="163" spans="1:29" s="872" customFormat="1">
      <c r="A163" s="726" t="s">
        <v>392</v>
      </c>
      <c r="B163" s="891"/>
      <c r="C163" s="891"/>
      <c r="D163" s="902"/>
      <c r="E163" s="904"/>
      <c r="F163" s="904"/>
      <c r="G163" s="904"/>
      <c r="H163" s="904"/>
      <c r="I163" s="904"/>
      <c r="J163" s="904"/>
      <c r="K163" s="904"/>
      <c r="L163" s="912"/>
      <c r="M163" s="912"/>
      <c r="N163" s="912"/>
      <c r="O163" s="912"/>
      <c r="P163" s="912"/>
      <c r="Q163" s="912"/>
      <c r="R163" s="941"/>
      <c r="S163" s="941"/>
      <c r="T163" s="938"/>
      <c r="U163" s="938">
        <f t="shared" si="103"/>
        <v>0</v>
      </c>
      <c r="V163" s="942"/>
      <c r="W163" s="957"/>
      <c r="X163" s="942">
        <f t="shared" si="99"/>
        <v>0</v>
      </c>
      <c r="Y163" s="957"/>
      <c r="Z163" s="942">
        <f t="shared" si="101"/>
        <v>0</v>
      </c>
      <c r="AA163" s="403"/>
      <c r="AB163" s="403"/>
      <c r="AC163" s="403"/>
    </row>
    <row r="164" spans="1:29" s="871" customFormat="1">
      <c r="A164" s="726" t="s">
        <v>392</v>
      </c>
      <c r="B164" s="891"/>
      <c r="C164" s="891"/>
      <c r="D164" s="902"/>
      <c r="E164" s="904"/>
      <c r="F164" s="904"/>
      <c r="G164" s="904"/>
      <c r="H164" s="904"/>
      <c r="I164" s="904"/>
      <c r="J164" s="904"/>
      <c r="K164" s="904"/>
      <c r="L164" s="912"/>
      <c r="M164" s="912"/>
      <c r="N164" s="912"/>
      <c r="O164" s="912"/>
      <c r="P164" s="912"/>
      <c r="Q164" s="912"/>
      <c r="R164" s="941"/>
      <c r="S164" s="941"/>
      <c r="T164" s="938"/>
      <c r="U164" s="938">
        <f t="shared" si="103"/>
        <v>0</v>
      </c>
      <c r="V164" s="942"/>
      <c r="W164" s="957"/>
      <c r="X164" s="942">
        <f t="shared" si="99"/>
        <v>0</v>
      </c>
      <c r="Y164" s="957"/>
      <c r="Z164" s="942">
        <f t="shared" si="101"/>
        <v>0</v>
      </c>
      <c r="AA164" s="403"/>
      <c r="AB164" s="403"/>
      <c r="AC164" s="403"/>
    </row>
    <row r="165" spans="1:29" s="872" customFormat="1" ht="24" thickBot="1">
      <c r="A165" s="726" t="s">
        <v>392</v>
      </c>
      <c r="B165" s="891"/>
      <c r="C165" s="891"/>
      <c r="D165" s="902"/>
      <c r="E165" s="904"/>
      <c r="F165" s="904"/>
      <c r="G165" s="904"/>
      <c r="H165" s="904"/>
      <c r="I165" s="904"/>
      <c r="J165" s="904"/>
      <c r="K165" s="904"/>
      <c r="L165" s="912"/>
      <c r="M165" s="912"/>
      <c r="N165" s="912"/>
      <c r="O165" s="912"/>
      <c r="P165" s="912"/>
      <c r="Q165" s="912"/>
      <c r="R165" s="941"/>
      <c r="S165" s="941"/>
      <c r="T165" s="938"/>
      <c r="U165" s="975">
        <f t="shared" si="103"/>
        <v>0</v>
      </c>
      <c r="V165" s="976"/>
      <c r="W165" s="977"/>
      <c r="X165" s="976">
        <f t="shared" si="99"/>
        <v>0</v>
      </c>
      <c r="Y165" s="977"/>
      <c r="Z165" s="976">
        <f t="shared" si="101"/>
        <v>0</v>
      </c>
      <c r="AA165" s="282"/>
      <c r="AB165" s="282"/>
      <c r="AC165" s="282"/>
    </row>
    <row r="166" spans="1:29" s="871" customFormat="1" ht="24" thickBot="1">
      <c r="A166" s="326" t="s">
        <v>415</v>
      </c>
      <c r="B166" s="895"/>
      <c r="C166" s="895"/>
      <c r="D166" s="896"/>
      <c r="E166" s="897">
        <f>SUM(E141:E165)</f>
        <v>0</v>
      </c>
      <c r="F166" s="897">
        <f t="shared" ref="F166:S166" si="104">SUM(F141:F165)</f>
        <v>0</v>
      </c>
      <c r="G166" s="897">
        <f t="shared" si="104"/>
        <v>0</v>
      </c>
      <c r="H166" s="897">
        <f t="shared" si="104"/>
        <v>0</v>
      </c>
      <c r="I166" s="897">
        <f t="shared" si="104"/>
        <v>0</v>
      </c>
      <c r="J166" s="897">
        <f t="shared" si="104"/>
        <v>0</v>
      </c>
      <c r="K166" s="897">
        <f t="shared" si="104"/>
        <v>0</v>
      </c>
      <c r="L166" s="897">
        <f t="shared" si="104"/>
        <v>0</v>
      </c>
      <c r="M166" s="897">
        <f t="shared" si="104"/>
        <v>0</v>
      </c>
      <c r="N166" s="897">
        <f t="shared" si="104"/>
        <v>0</v>
      </c>
      <c r="O166" s="897">
        <f t="shared" si="104"/>
        <v>0</v>
      </c>
      <c r="P166" s="897">
        <f t="shared" si="104"/>
        <v>0</v>
      </c>
      <c r="Q166" s="897">
        <f t="shared" si="104"/>
        <v>0</v>
      </c>
      <c r="R166" s="897">
        <f t="shared" si="104"/>
        <v>0</v>
      </c>
      <c r="S166" s="897">
        <f t="shared" si="104"/>
        <v>0</v>
      </c>
      <c r="T166" s="932"/>
      <c r="U166" s="933">
        <f>SUM(U141:U165)</f>
        <v>0</v>
      </c>
      <c r="V166" s="933">
        <f>SUM(V141:V165)</f>
        <v>0</v>
      </c>
      <c r="W166" s="934"/>
      <c r="X166" s="934">
        <f>SUM(X141:X165)</f>
        <v>0</v>
      </c>
      <c r="Y166" s="934">
        <f>SUM(Y141:Y165)</f>
        <v>0</v>
      </c>
      <c r="Z166" s="973">
        <f>SUM(Z141:Z165)</f>
        <v>0</v>
      </c>
      <c r="AA166" s="1"/>
      <c r="AB166" s="1"/>
      <c r="AC166" s="1"/>
    </row>
    <row r="167" spans="1:29" s="872" customFormat="1" ht="24" thickBot="1">
      <c r="A167" s="978"/>
      <c r="B167" s="979"/>
      <c r="C167" s="979"/>
      <c r="D167" s="980"/>
      <c r="E167" s="981"/>
      <c r="F167" s="981"/>
      <c r="G167" s="981"/>
      <c r="H167" s="981"/>
      <c r="I167" s="981"/>
      <c r="J167" s="981"/>
      <c r="K167" s="981"/>
      <c r="L167" s="981"/>
      <c r="M167" s="981"/>
      <c r="N167" s="981"/>
      <c r="O167" s="981"/>
      <c r="P167" s="981"/>
      <c r="Q167" s="981"/>
      <c r="R167" s="981"/>
      <c r="S167" s="981"/>
      <c r="T167" s="981"/>
      <c r="U167" s="981"/>
      <c r="V167" s="981"/>
      <c r="W167" s="981"/>
      <c r="X167" s="981"/>
      <c r="Y167" s="981"/>
      <c r="Z167" s="981"/>
      <c r="AA167" s="1"/>
      <c r="AB167" s="1"/>
      <c r="AC167" s="1"/>
    </row>
    <row r="168" spans="1:29" s="871" customFormat="1" ht="24" thickBot="1">
      <c r="A168" s="982" t="s">
        <v>200</v>
      </c>
      <c r="B168" s="877" t="s">
        <v>68</v>
      </c>
      <c r="C168" s="877" t="s">
        <v>69</v>
      </c>
      <c r="D168" s="878" t="s">
        <v>70</v>
      </c>
      <c r="E168" s="879" t="s">
        <v>71</v>
      </c>
      <c r="F168" s="880" t="s">
        <v>72</v>
      </c>
      <c r="G168" s="880" t="s">
        <v>72</v>
      </c>
      <c r="H168" s="879" t="s">
        <v>71</v>
      </c>
      <c r="I168" s="879" t="s">
        <v>170</v>
      </c>
      <c r="J168" s="879" t="s">
        <v>71</v>
      </c>
      <c r="K168" s="879" t="s">
        <v>194</v>
      </c>
      <c r="L168" s="880" t="s">
        <v>195</v>
      </c>
      <c r="M168" s="880" t="s">
        <v>118</v>
      </c>
      <c r="N168" s="880" t="s">
        <v>94</v>
      </c>
      <c r="O168" s="880" t="s">
        <v>86</v>
      </c>
      <c r="P168" s="880" t="s">
        <v>75</v>
      </c>
      <c r="Q168" s="880" t="s">
        <v>95</v>
      </c>
      <c r="R168" s="744" t="s">
        <v>77</v>
      </c>
      <c r="S168" s="914" t="s">
        <v>53</v>
      </c>
      <c r="T168" s="915"/>
      <c r="U168" s="916" t="s">
        <v>104</v>
      </c>
      <c r="V168" s="917" t="s">
        <v>105</v>
      </c>
      <c r="W168" s="917"/>
      <c r="X168" s="918" t="s">
        <v>106</v>
      </c>
      <c r="Y168" s="917" t="s">
        <v>107</v>
      </c>
      <c r="Z168" s="960" t="s">
        <v>108</v>
      </c>
      <c r="AA168" s="1"/>
      <c r="AB168" s="1"/>
      <c r="AC168" s="1"/>
    </row>
    <row r="169" spans="1:29" s="872" customFormat="1" ht="21">
      <c r="A169" s="430"/>
      <c r="B169" s="431"/>
      <c r="C169" s="431"/>
      <c r="D169" s="432"/>
      <c r="E169" s="889"/>
      <c r="F169" s="889"/>
      <c r="G169" s="889"/>
      <c r="H169" s="889"/>
      <c r="I169" s="889"/>
      <c r="J169" s="889"/>
      <c r="K169" s="889"/>
      <c r="L169" s="909"/>
      <c r="M169" s="909"/>
      <c r="N169" s="909"/>
      <c r="O169" s="909"/>
      <c r="P169" s="909"/>
      <c r="Q169" s="909"/>
      <c r="R169" s="922"/>
      <c r="S169" s="922"/>
      <c r="T169" s="1006"/>
      <c r="U169" s="924">
        <f>SUM(E169:S169)</f>
        <v>0</v>
      </c>
      <c r="V169" s="924"/>
      <c r="W169" s="925"/>
      <c r="X169" s="924">
        <f>U169+V169</f>
        <v>0</v>
      </c>
      <c r="Y169" s="925"/>
      <c r="Z169" s="924">
        <f>X169+Y169</f>
        <v>0</v>
      </c>
      <c r="AA169" s="1"/>
      <c r="AB169" s="1"/>
      <c r="AC169" s="1"/>
    </row>
    <row r="170" spans="1:29" s="871" customFormat="1" ht="21">
      <c r="A170" s="430"/>
      <c r="B170" s="431"/>
      <c r="C170" s="431"/>
      <c r="D170" s="432"/>
      <c r="E170" s="893"/>
      <c r="F170" s="893"/>
      <c r="G170" s="893"/>
      <c r="H170" s="893"/>
      <c r="I170" s="893"/>
      <c r="J170" s="893"/>
      <c r="K170" s="893"/>
      <c r="L170" s="910"/>
      <c r="M170" s="910"/>
      <c r="N170" s="910"/>
      <c r="O170" s="910"/>
      <c r="P170" s="910"/>
      <c r="Q170" s="910"/>
      <c r="R170" s="926"/>
      <c r="S170" s="926"/>
      <c r="T170" s="927"/>
      <c r="U170" s="928">
        <f t="shared" ref="U170" si="105">SUM(E170:S170)</f>
        <v>0</v>
      </c>
      <c r="V170" s="929"/>
      <c r="W170" s="930"/>
      <c r="X170" s="928">
        <f t="shared" ref="X170" si="106">U170+V170</f>
        <v>0</v>
      </c>
      <c r="Y170" s="930"/>
      <c r="Z170" s="928">
        <f t="shared" ref="Z170" si="107">X170+Y170</f>
        <v>0</v>
      </c>
      <c r="AA170" s="394"/>
      <c r="AB170" s="394"/>
      <c r="AC170" s="394"/>
    </row>
    <row r="171" spans="1:29" s="872" customFormat="1" ht="21">
      <c r="A171" s="983"/>
      <c r="B171" s="929"/>
      <c r="C171" s="929"/>
      <c r="D171" s="984"/>
      <c r="E171" s="893"/>
      <c r="F171" s="893"/>
      <c r="G171" s="893"/>
      <c r="H171" s="893"/>
      <c r="I171" s="893"/>
      <c r="J171" s="893"/>
      <c r="K171" s="893"/>
      <c r="L171" s="910"/>
      <c r="M171" s="910"/>
      <c r="N171" s="910"/>
      <c r="O171" s="910"/>
      <c r="P171" s="910"/>
      <c r="Q171" s="910"/>
      <c r="R171" s="926"/>
      <c r="S171" s="926"/>
      <c r="T171" s="927"/>
      <c r="U171" s="928">
        <f t="shared" ref="U171" si="108">SUM(E171:S171)</f>
        <v>0</v>
      </c>
      <c r="V171" s="929"/>
      <c r="W171" s="930"/>
      <c r="X171" s="928">
        <f t="shared" ref="X171" si="109">U171+V171</f>
        <v>0</v>
      </c>
      <c r="Y171" s="930"/>
      <c r="Z171" s="928">
        <f t="shared" ref="Z171" si="110">X171+Y171</f>
        <v>0</v>
      </c>
      <c r="AA171" s="403"/>
      <c r="AB171" s="403"/>
      <c r="AC171" s="403"/>
    </row>
    <row r="172" spans="1:29" s="872" customFormat="1" ht="21">
      <c r="A172" s="983"/>
      <c r="B172" s="929"/>
      <c r="C172" s="929"/>
      <c r="D172" s="984"/>
      <c r="E172" s="893"/>
      <c r="F172" s="893"/>
      <c r="G172" s="893"/>
      <c r="H172" s="893"/>
      <c r="I172" s="893"/>
      <c r="J172" s="893"/>
      <c r="K172" s="893"/>
      <c r="L172" s="910"/>
      <c r="M172" s="910"/>
      <c r="N172" s="910"/>
      <c r="O172" s="910"/>
      <c r="P172" s="910"/>
      <c r="Q172" s="910"/>
      <c r="R172" s="926"/>
      <c r="S172" s="926"/>
      <c r="T172" s="927"/>
      <c r="U172" s="928">
        <f t="shared" ref="U172" si="111">SUM(E172:S172)</f>
        <v>0</v>
      </c>
      <c r="V172" s="929"/>
      <c r="W172" s="930"/>
      <c r="X172" s="928">
        <f t="shared" ref="X172" si="112">U172+V172</f>
        <v>0</v>
      </c>
      <c r="Y172" s="930"/>
      <c r="Z172" s="928">
        <f t="shared" ref="Z172" si="113">X172+Y172</f>
        <v>0</v>
      </c>
      <c r="AA172" s="403"/>
      <c r="AB172" s="403"/>
      <c r="AC172" s="403"/>
    </row>
    <row r="173" spans="1:29" s="872" customFormat="1" ht="21.75" thickBot="1">
      <c r="A173" s="983"/>
      <c r="B173" s="929"/>
      <c r="C173" s="929"/>
      <c r="D173" s="984"/>
      <c r="E173" s="893"/>
      <c r="F173" s="893"/>
      <c r="G173" s="893"/>
      <c r="H173" s="893"/>
      <c r="I173" s="893"/>
      <c r="J173" s="893"/>
      <c r="K173" s="893"/>
      <c r="L173" s="910"/>
      <c r="M173" s="910"/>
      <c r="N173" s="910"/>
      <c r="O173" s="910"/>
      <c r="P173" s="910"/>
      <c r="Q173" s="910"/>
      <c r="R173" s="926"/>
      <c r="S173" s="926"/>
      <c r="T173" s="927"/>
      <c r="U173" s="931">
        <f t="shared" ref="U173" si="114">SUM(E173:S173)</f>
        <v>0</v>
      </c>
      <c r="V173" s="931"/>
      <c r="W173" s="930"/>
      <c r="X173" s="931">
        <f t="shared" ref="X173" si="115">U173+V173</f>
        <v>0</v>
      </c>
      <c r="Y173" s="930"/>
      <c r="Z173" s="931">
        <f t="shared" ref="Z173" si="116">X173+Y173</f>
        <v>0</v>
      </c>
      <c r="AA173" s="1"/>
      <c r="AB173" s="152"/>
      <c r="AC173" s="1"/>
    </row>
    <row r="174" spans="1:29" s="871" customFormat="1" ht="24" thickBot="1">
      <c r="A174" s="985" t="s">
        <v>134</v>
      </c>
      <c r="B174" s="895"/>
      <c r="C174" s="895"/>
      <c r="D174" s="896"/>
      <c r="E174" s="986">
        <f>SUM(E169:E173)</f>
        <v>0</v>
      </c>
      <c r="F174" s="986">
        <f>SUM(F169:F173)</f>
        <v>0</v>
      </c>
      <c r="G174" s="986">
        <f t="shared" ref="G174:S174" si="117">SUM(G169:G173)</f>
        <v>0</v>
      </c>
      <c r="H174" s="986">
        <f t="shared" si="117"/>
        <v>0</v>
      </c>
      <c r="I174" s="986">
        <f t="shared" si="117"/>
        <v>0</v>
      </c>
      <c r="J174" s="986">
        <f t="shared" si="117"/>
        <v>0</v>
      </c>
      <c r="K174" s="986">
        <f t="shared" si="117"/>
        <v>0</v>
      </c>
      <c r="L174" s="986">
        <f t="shared" si="117"/>
        <v>0</v>
      </c>
      <c r="M174" s="986">
        <f t="shared" si="117"/>
        <v>0</v>
      </c>
      <c r="N174" s="986">
        <f t="shared" si="117"/>
        <v>0</v>
      </c>
      <c r="O174" s="986">
        <f t="shared" si="117"/>
        <v>0</v>
      </c>
      <c r="P174" s="986">
        <f t="shared" si="117"/>
        <v>0</v>
      </c>
      <c r="Q174" s="986">
        <f t="shared" si="117"/>
        <v>0</v>
      </c>
      <c r="R174" s="986">
        <f t="shared" si="117"/>
        <v>0</v>
      </c>
      <c r="S174" s="986">
        <f t="shared" si="117"/>
        <v>0</v>
      </c>
      <c r="T174" s="1007"/>
      <c r="U174" s="1008">
        <f>SUM(U169:U173)</f>
        <v>0</v>
      </c>
      <c r="V174" s="1009">
        <f>SUM(V169:V173)</f>
        <v>0</v>
      </c>
      <c r="W174" s="1009"/>
      <c r="X174" s="1009">
        <f>SUM(X169:X173)</f>
        <v>0</v>
      </c>
      <c r="Y174" s="1009">
        <f>SUM(Y169:Y173)</f>
        <v>0</v>
      </c>
      <c r="Z174" s="1025">
        <f>SUM(Z169:Z173)</f>
        <v>0</v>
      </c>
      <c r="AA174" s="1"/>
      <c r="AB174" s="1"/>
      <c r="AC174" s="1"/>
    </row>
    <row r="175" spans="1:29" s="872" customFormat="1" ht="24" thickBot="1">
      <c r="A175" s="978"/>
      <c r="B175" s="979"/>
      <c r="C175" s="979"/>
      <c r="D175" s="980"/>
      <c r="E175" s="981"/>
      <c r="F175" s="981"/>
      <c r="G175" s="981"/>
      <c r="H175" s="981"/>
      <c r="I175" s="981"/>
      <c r="J175" s="981"/>
      <c r="K175" s="981"/>
      <c r="L175" s="981"/>
      <c r="M175" s="981"/>
      <c r="N175" s="981"/>
      <c r="O175" s="981"/>
      <c r="P175" s="981"/>
      <c r="Q175" s="981"/>
      <c r="R175" s="981"/>
      <c r="S175" s="981"/>
      <c r="T175" s="981"/>
      <c r="U175" s="981"/>
      <c r="V175" s="981"/>
      <c r="W175" s="981"/>
      <c r="X175" s="981"/>
      <c r="Y175" s="981"/>
      <c r="Z175" s="981"/>
      <c r="AA175" s="1026"/>
      <c r="AB175" s="1026"/>
      <c r="AC175" s="1026"/>
    </row>
    <row r="176" spans="1:29" s="871" customFormat="1" ht="24" thickBot="1">
      <c r="A176" s="441" t="s">
        <v>135</v>
      </c>
      <c r="B176" s="877" t="s">
        <v>68</v>
      </c>
      <c r="C176" s="877" t="s">
        <v>69</v>
      </c>
      <c r="D176" s="878" t="s">
        <v>70</v>
      </c>
      <c r="E176" s="879" t="s">
        <v>71</v>
      </c>
      <c r="F176" s="880" t="s">
        <v>72</v>
      </c>
      <c r="G176" s="880" t="s">
        <v>72</v>
      </c>
      <c r="H176" s="879" t="s">
        <v>71</v>
      </c>
      <c r="I176" s="879" t="s">
        <v>170</v>
      </c>
      <c r="J176" s="879" t="s">
        <v>92</v>
      </c>
      <c r="K176" s="879" t="s">
        <v>194</v>
      </c>
      <c r="L176" s="880" t="s">
        <v>195</v>
      </c>
      <c r="M176" s="880" t="s">
        <v>196</v>
      </c>
      <c r="N176" s="880" t="s">
        <v>94</v>
      </c>
      <c r="O176" s="880" t="s">
        <v>86</v>
      </c>
      <c r="P176" s="880" t="s">
        <v>75</v>
      </c>
      <c r="Q176" s="880" t="s">
        <v>95</v>
      </c>
      <c r="R176" s="744" t="s">
        <v>77</v>
      </c>
      <c r="S176" s="914" t="s">
        <v>53</v>
      </c>
      <c r="T176" s="915"/>
      <c r="U176" s="916" t="s">
        <v>104</v>
      </c>
      <c r="V176" s="917" t="s">
        <v>105</v>
      </c>
      <c r="W176" s="917"/>
      <c r="X176" s="918" t="s">
        <v>106</v>
      </c>
      <c r="Y176" s="917" t="s">
        <v>107</v>
      </c>
      <c r="Z176" s="960" t="s">
        <v>108</v>
      </c>
      <c r="AA176" s="276"/>
      <c r="AB176" s="276"/>
      <c r="AC176" s="276"/>
    </row>
    <row r="177" spans="1:29" s="871" customFormat="1" ht="21">
      <c r="A177" s="987"/>
      <c r="B177" s="538"/>
      <c r="C177" s="539"/>
      <c r="D177" s="988"/>
      <c r="E177" s="889"/>
      <c r="F177" s="889"/>
      <c r="G177" s="889"/>
      <c r="H177" s="889"/>
      <c r="I177" s="889"/>
      <c r="J177" s="889"/>
      <c r="K177" s="889"/>
      <c r="L177" s="909"/>
      <c r="M177" s="909"/>
      <c r="N177" s="909"/>
      <c r="O177" s="909"/>
      <c r="P177" s="909"/>
      <c r="Q177" s="909"/>
      <c r="R177" s="922"/>
      <c r="S177" s="922"/>
      <c r="T177" s="1006"/>
      <c r="U177" s="924">
        <f>SUM(E177:S177)</f>
        <v>0</v>
      </c>
      <c r="V177" s="924"/>
      <c r="W177" s="925"/>
      <c r="X177" s="924">
        <f>U177+V177</f>
        <v>0</v>
      </c>
      <c r="Y177" s="925"/>
      <c r="Z177" s="924">
        <f>X177+Y177</f>
        <v>0</v>
      </c>
      <c r="AA177" s="872"/>
      <c r="AB177" s="872"/>
      <c r="AC177" s="872"/>
    </row>
    <row r="178" spans="1:29" s="872" customFormat="1" ht="21">
      <c r="A178" s="983"/>
      <c r="B178" s="929"/>
      <c r="C178" s="929"/>
      <c r="D178" s="984"/>
      <c r="E178" s="893"/>
      <c r="F178" s="893"/>
      <c r="G178" s="893"/>
      <c r="H178" s="893"/>
      <c r="I178" s="893"/>
      <c r="J178" s="893"/>
      <c r="K178" s="893"/>
      <c r="L178" s="910"/>
      <c r="M178" s="910"/>
      <c r="N178" s="910"/>
      <c r="O178" s="910"/>
      <c r="P178" s="910"/>
      <c r="Q178" s="910"/>
      <c r="R178" s="926"/>
      <c r="S178" s="926"/>
      <c r="T178" s="927"/>
      <c r="U178" s="928">
        <f t="shared" ref="U178:U181" si="118">SUM(E178:S178)</f>
        <v>0</v>
      </c>
      <c r="V178" s="929"/>
      <c r="W178" s="930"/>
      <c r="X178" s="928">
        <f t="shared" ref="X178:X181" si="119">U178+V178</f>
        <v>0</v>
      </c>
      <c r="Y178" s="930"/>
      <c r="Z178" s="928">
        <f t="shared" ref="Z178:Z181" si="120">X178+Y178</f>
        <v>0</v>
      </c>
      <c r="AA178" s="871"/>
      <c r="AB178" s="871"/>
      <c r="AC178" s="871"/>
    </row>
    <row r="179" spans="1:29" s="872" customFormat="1" ht="21">
      <c r="A179" s="983"/>
      <c r="B179" s="929"/>
      <c r="C179" s="929"/>
      <c r="D179" s="984"/>
      <c r="E179" s="893"/>
      <c r="F179" s="893"/>
      <c r="G179" s="893"/>
      <c r="H179" s="893"/>
      <c r="I179" s="893"/>
      <c r="J179" s="893"/>
      <c r="K179" s="893"/>
      <c r="L179" s="910"/>
      <c r="M179" s="910"/>
      <c r="N179" s="910"/>
      <c r="O179" s="910"/>
      <c r="P179" s="910"/>
      <c r="Q179" s="910"/>
      <c r="R179" s="926"/>
      <c r="S179" s="926"/>
      <c r="T179" s="927"/>
      <c r="U179" s="928">
        <f t="shared" si="118"/>
        <v>0</v>
      </c>
      <c r="V179" s="929"/>
      <c r="W179" s="930"/>
      <c r="X179" s="928">
        <f t="shared" si="119"/>
        <v>0</v>
      </c>
      <c r="Y179" s="930"/>
      <c r="Z179" s="928">
        <f t="shared" si="120"/>
        <v>0</v>
      </c>
      <c r="AA179" s="871"/>
      <c r="AB179" s="871"/>
      <c r="AC179" s="871"/>
    </row>
    <row r="180" spans="1:29" s="871" customFormat="1" ht="21">
      <c r="A180" s="983"/>
      <c r="B180" s="929"/>
      <c r="C180" s="929"/>
      <c r="D180" s="984"/>
      <c r="E180" s="893"/>
      <c r="F180" s="893"/>
      <c r="G180" s="893"/>
      <c r="H180" s="893"/>
      <c r="I180" s="893"/>
      <c r="J180" s="893"/>
      <c r="K180" s="893"/>
      <c r="L180" s="910"/>
      <c r="M180" s="910"/>
      <c r="N180" s="910"/>
      <c r="O180" s="910"/>
      <c r="P180" s="910"/>
      <c r="Q180" s="910"/>
      <c r="R180" s="926"/>
      <c r="S180" s="926"/>
      <c r="T180" s="927"/>
      <c r="U180" s="928">
        <f t="shared" si="118"/>
        <v>0</v>
      </c>
      <c r="V180" s="929"/>
      <c r="W180" s="930"/>
      <c r="X180" s="928">
        <f t="shared" si="119"/>
        <v>0</v>
      </c>
      <c r="Y180" s="930"/>
      <c r="Z180" s="928">
        <f t="shared" si="120"/>
        <v>0</v>
      </c>
    </row>
    <row r="181" spans="1:29" s="872" customFormat="1" ht="21" customHeight="1" thickBot="1">
      <c r="A181" s="983"/>
      <c r="B181" s="929"/>
      <c r="C181" s="929"/>
      <c r="D181" s="984"/>
      <c r="E181" s="893"/>
      <c r="F181" s="893"/>
      <c r="G181" s="893"/>
      <c r="H181" s="893"/>
      <c r="I181" s="893"/>
      <c r="J181" s="893"/>
      <c r="K181" s="893"/>
      <c r="L181" s="910"/>
      <c r="M181" s="910"/>
      <c r="N181" s="910"/>
      <c r="O181" s="910"/>
      <c r="P181" s="910"/>
      <c r="Q181" s="910"/>
      <c r="R181" s="926"/>
      <c r="S181" s="926"/>
      <c r="T181" s="927"/>
      <c r="U181" s="931">
        <f t="shared" si="118"/>
        <v>0</v>
      </c>
      <c r="V181" s="931"/>
      <c r="W181" s="930"/>
      <c r="X181" s="931">
        <f t="shared" si="119"/>
        <v>0</v>
      </c>
      <c r="Y181" s="930"/>
      <c r="Z181" s="931">
        <f t="shared" si="120"/>
        <v>0</v>
      </c>
    </row>
    <row r="182" spans="1:29" s="872" customFormat="1" ht="24" thickBot="1">
      <c r="A182" s="985" t="s">
        <v>134</v>
      </c>
      <c r="B182" s="895"/>
      <c r="C182" s="895"/>
      <c r="D182" s="896"/>
      <c r="E182" s="986">
        <f>SUM(E177:E181)</f>
        <v>0</v>
      </c>
      <c r="F182" s="986">
        <f t="shared" ref="F182:S182" si="121">SUM(F177:F181)</f>
        <v>0</v>
      </c>
      <c r="G182" s="986">
        <f t="shared" si="121"/>
        <v>0</v>
      </c>
      <c r="H182" s="986">
        <f t="shared" si="121"/>
        <v>0</v>
      </c>
      <c r="I182" s="986">
        <f t="shared" si="121"/>
        <v>0</v>
      </c>
      <c r="J182" s="986">
        <f t="shared" si="121"/>
        <v>0</v>
      </c>
      <c r="K182" s="986">
        <f t="shared" si="121"/>
        <v>0</v>
      </c>
      <c r="L182" s="986">
        <f t="shared" si="121"/>
        <v>0</v>
      </c>
      <c r="M182" s="986">
        <f t="shared" si="121"/>
        <v>0</v>
      </c>
      <c r="N182" s="986">
        <f t="shared" si="121"/>
        <v>0</v>
      </c>
      <c r="O182" s="986">
        <f t="shared" si="121"/>
        <v>0</v>
      </c>
      <c r="P182" s="986">
        <f t="shared" si="121"/>
        <v>0</v>
      </c>
      <c r="Q182" s="986">
        <f t="shared" si="121"/>
        <v>0</v>
      </c>
      <c r="R182" s="986">
        <f t="shared" si="121"/>
        <v>0</v>
      </c>
      <c r="S182" s="986">
        <f t="shared" si="121"/>
        <v>0</v>
      </c>
      <c r="T182" s="1007"/>
      <c r="U182" s="1008">
        <f>SUM(U177:U181)</f>
        <v>0</v>
      </c>
      <c r="V182" s="1009">
        <f>SUM(V177:V181)</f>
        <v>0</v>
      </c>
      <c r="W182" s="1009"/>
      <c r="X182" s="1009">
        <f>SUM(X177:X181)</f>
        <v>0</v>
      </c>
      <c r="Y182" s="1009">
        <f>SUM(Y177:Y181)</f>
        <v>0</v>
      </c>
      <c r="Z182" s="1025">
        <f>SUM(Z177:Z181)</f>
        <v>0</v>
      </c>
      <c r="AA182" s="871"/>
      <c r="AB182" s="871"/>
      <c r="AC182" s="871"/>
    </row>
    <row r="183" spans="1:29" s="871" customFormat="1" ht="24" thickBot="1">
      <c r="A183" s="978"/>
      <c r="B183" s="979"/>
      <c r="C183" s="979"/>
      <c r="D183" s="980"/>
      <c r="E183" s="981"/>
      <c r="F183" s="981"/>
      <c r="G183" s="981"/>
      <c r="H183" s="981"/>
      <c r="I183" s="981"/>
      <c r="J183" s="981"/>
      <c r="K183" s="981"/>
      <c r="L183" s="981"/>
      <c r="M183" s="981"/>
      <c r="N183" s="981"/>
      <c r="O183" s="981"/>
      <c r="P183" s="981"/>
      <c r="Q183" s="981"/>
      <c r="R183" s="981"/>
      <c r="S183" s="981"/>
      <c r="T183" s="981"/>
      <c r="U183" s="981"/>
      <c r="V183" s="981"/>
      <c r="W183" s="981"/>
      <c r="X183" s="981"/>
      <c r="Y183" s="981"/>
      <c r="Z183" s="981"/>
      <c r="AA183" s="872"/>
      <c r="AB183" s="872"/>
      <c r="AC183" s="872"/>
    </row>
    <row r="184" spans="1:29" s="872" customFormat="1" ht="24" thickBot="1">
      <c r="A184" s="989" t="s">
        <v>140</v>
      </c>
      <c r="B184" s="877" t="s">
        <v>68</v>
      </c>
      <c r="C184" s="877" t="s">
        <v>69</v>
      </c>
      <c r="D184" s="878" t="s">
        <v>70</v>
      </c>
      <c r="E184" s="879" t="s">
        <v>71</v>
      </c>
      <c r="F184" s="880" t="s">
        <v>72</v>
      </c>
      <c r="G184" s="880" t="s">
        <v>72</v>
      </c>
      <c r="H184" s="879" t="s">
        <v>71</v>
      </c>
      <c r="I184" s="879" t="s">
        <v>170</v>
      </c>
      <c r="J184" s="879" t="s">
        <v>92</v>
      </c>
      <c r="K184" s="879" t="s">
        <v>194</v>
      </c>
      <c r="L184" s="880" t="s">
        <v>195</v>
      </c>
      <c r="M184" s="880" t="s">
        <v>196</v>
      </c>
      <c r="N184" s="880" t="s">
        <v>94</v>
      </c>
      <c r="O184" s="880" t="s">
        <v>86</v>
      </c>
      <c r="P184" s="880" t="s">
        <v>75</v>
      </c>
      <c r="Q184" s="880" t="s">
        <v>95</v>
      </c>
      <c r="R184" s="744" t="s">
        <v>77</v>
      </c>
      <c r="S184" s="914" t="s">
        <v>53</v>
      </c>
      <c r="T184" s="915"/>
      <c r="U184" s="916" t="s">
        <v>104</v>
      </c>
      <c r="V184" s="917" t="s">
        <v>105</v>
      </c>
      <c r="W184" s="917"/>
      <c r="X184" s="918" t="s">
        <v>106</v>
      </c>
      <c r="Y184" s="917" t="s">
        <v>107</v>
      </c>
      <c r="Z184" s="960" t="s">
        <v>108</v>
      </c>
      <c r="AA184" s="871"/>
      <c r="AB184" s="871"/>
      <c r="AC184" s="871"/>
    </row>
    <row r="185" spans="1:29" s="871" customFormat="1" ht="21">
      <c r="A185" s="445"/>
      <c r="B185" s="963"/>
      <c r="C185" s="963"/>
      <c r="D185" s="990"/>
      <c r="E185" s="889"/>
      <c r="F185" s="889"/>
      <c r="G185" s="889"/>
      <c r="H185" s="889"/>
      <c r="I185" s="889"/>
      <c r="J185" s="889"/>
      <c r="K185" s="889"/>
      <c r="L185" s="909"/>
      <c r="M185" s="909"/>
      <c r="N185" s="909"/>
      <c r="O185" s="909"/>
      <c r="P185" s="909"/>
      <c r="Q185" s="909"/>
      <c r="R185" s="922"/>
      <c r="S185" s="922"/>
      <c r="T185" s="1006"/>
      <c r="U185" s="924">
        <f>SUM(E185:S185)</f>
        <v>0</v>
      </c>
      <c r="V185" s="924"/>
      <c r="W185" s="925"/>
      <c r="X185" s="924">
        <f>U185+V185</f>
        <v>0</v>
      </c>
      <c r="Y185" s="925">
        <v>0</v>
      </c>
      <c r="Z185" s="924">
        <f>X185+Y185</f>
        <v>0</v>
      </c>
      <c r="AA185" s="872"/>
      <c r="AB185" s="872"/>
      <c r="AC185" s="872"/>
    </row>
    <row r="186" spans="1:29" s="872" customFormat="1" ht="21">
      <c r="A186" s="983"/>
      <c r="B186" s="929"/>
      <c r="C186" s="929"/>
      <c r="D186" s="984"/>
      <c r="E186" s="893"/>
      <c r="F186" s="893"/>
      <c r="G186" s="893"/>
      <c r="H186" s="893"/>
      <c r="I186" s="893"/>
      <c r="J186" s="893"/>
      <c r="K186" s="893"/>
      <c r="L186" s="910"/>
      <c r="M186" s="910"/>
      <c r="N186" s="910"/>
      <c r="O186" s="910"/>
      <c r="P186" s="910"/>
      <c r="Q186" s="910"/>
      <c r="R186" s="926"/>
      <c r="S186" s="926"/>
      <c r="T186" s="927"/>
      <c r="U186" s="928">
        <f t="shared" ref="U186:U189" si="122">SUM(E186:S186)</f>
        <v>0</v>
      </c>
      <c r="V186" s="929"/>
      <c r="W186" s="930"/>
      <c r="X186" s="928">
        <f t="shared" ref="X186:X189" si="123">U186+V186</f>
        <v>0</v>
      </c>
      <c r="Y186" s="930"/>
      <c r="Z186" s="928">
        <f t="shared" ref="Z186:Z189" si="124">X186+Y186</f>
        <v>0</v>
      </c>
      <c r="AA186" s="871"/>
      <c r="AB186" s="871"/>
      <c r="AC186" s="871"/>
    </row>
    <row r="187" spans="1:29" ht="21">
      <c r="A187" s="983"/>
      <c r="B187" s="929"/>
      <c r="C187" s="929"/>
      <c r="D187" s="984"/>
      <c r="E187" s="893"/>
      <c r="F187" s="893"/>
      <c r="G187" s="893"/>
      <c r="H187" s="893"/>
      <c r="I187" s="893"/>
      <c r="J187" s="893"/>
      <c r="K187" s="893"/>
      <c r="L187" s="910"/>
      <c r="M187" s="910"/>
      <c r="N187" s="910"/>
      <c r="O187" s="910"/>
      <c r="P187" s="910"/>
      <c r="Q187" s="910"/>
      <c r="R187" s="926"/>
      <c r="S187" s="926"/>
      <c r="T187" s="927"/>
      <c r="U187" s="928">
        <f t="shared" si="122"/>
        <v>0</v>
      </c>
      <c r="V187" s="929"/>
      <c r="W187" s="930"/>
      <c r="X187" s="928">
        <f t="shared" si="123"/>
        <v>0</v>
      </c>
      <c r="Y187" s="930"/>
      <c r="Z187" s="928">
        <f t="shared" si="124"/>
        <v>0</v>
      </c>
      <c r="AA187" s="872"/>
      <c r="AB187" s="872"/>
      <c r="AC187" s="872"/>
    </row>
    <row r="188" spans="1:29" s="872" customFormat="1" ht="19.5" customHeight="1">
      <c r="A188" s="983"/>
      <c r="B188" s="929"/>
      <c r="C188" s="929"/>
      <c r="D188" s="984"/>
      <c r="E188" s="893"/>
      <c r="F188" s="893"/>
      <c r="G188" s="893"/>
      <c r="H188" s="893"/>
      <c r="I188" s="893"/>
      <c r="J188" s="893"/>
      <c r="K188" s="893"/>
      <c r="L188" s="910"/>
      <c r="M188" s="910"/>
      <c r="N188" s="910"/>
      <c r="O188" s="910"/>
      <c r="P188" s="910"/>
      <c r="Q188" s="910"/>
      <c r="R188" s="926"/>
      <c r="S188" s="926"/>
      <c r="T188" s="927"/>
      <c r="U188" s="928">
        <f t="shared" si="122"/>
        <v>0</v>
      </c>
      <c r="V188" s="929"/>
      <c r="W188" s="930"/>
      <c r="X188" s="928">
        <f t="shared" si="123"/>
        <v>0</v>
      </c>
      <c r="Y188" s="930"/>
      <c r="Z188" s="928">
        <f t="shared" si="124"/>
        <v>0</v>
      </c>
    </row>
    <row r="189" spans="1:29" s="872" customFormat="1" ht="21.75" thickBot="1">
      <c r="A189" s="983"/>
      <c r="B189" s="929"/>
      <c r="C189" s="929"/>
      <c r="D189" s="984"/>
      <c r="E189" s="893"/>
      <c r="F189" s="893"/>
      <c r="G189" s="893"/>
      <c r="H189" s="893"/>
      <c r="I189" s="893"/>
      <c r="J189" s="893"/>
      <c r="K189" s="893"/>
      <c r="L189" s="910"/>
      <c r="M189" s="910"/>
      <c r="N189" s="910"/>
      <c r="O189" s="910"/>
      <c r="P189" s="910"/>
      <c r="Q189" s="910"/>
      <c r="R189" s="926"/>
      <c r="S189" s="926"/>
      <c r="T189" s="927"/>
      <c r="U189" s="931">
        <f t="shared" si="122"/>
        <v>0</v>
      </c>
      <c r="V189" s="931"/>
      <c r="W189" s="930"/>
      <c r="X189" s="931">
        <f t="shared" si="123"/>
        <v>0</v>
      </c>
      <c r="Y189" s="930"/>
      <c r="Z189" s="931">
        <f t="shared" si="124"/>
        <v>0</v>
      </c>
    </row>
    <row r="190" spans="1:29" s="871" customFormat="1" ht="24" thickBot="1">
      <c r="A190" s="985" t="s">
        <v>134</v>
      </c>
      <c r="B190" s="895"/>
      <c r="C190" s="895"/>
      <c r="D190" s="896"/>
      <c r="E190" s="986">
        <f>SUM(E185:E189)</f>
        <v>0</v>
      </c>
      <c r="F190" s="986">
        <f t="shared" ref="F190:S190" si="125">SUM(F185:F189)</f>
        <v>0</v>
      </c>
      <c r="G190" s="986">
        <f t="shared" si="125"/>
        <v>0</v>
      </c>
      <c r="H190" s="986">
        <f t="shared" si="125"/>
        <v>0</v>
      </c>
      <c r="I190" s="986">
        <f t="shared" si="125"/>
        <v>0</v>
      </c>
      <c r="J190" s="986">
        <f t="shared" si="125"/>
        <v>0</v>
      </c>
      <c r="K190" s="986">
        <f t="shared" si="125"/>
        <v>0</v>
      </c>
      <c r="L190" s="986">
        <f t="shared" si="125"/>
        <v>0</v>
      </c>
      <c r="M190" s="986">
        <f t="shared" si="125"/>
        <v>0</v>
      </c>
      <c r="N190" s="986">
        <f t="shared" si="125"/>
        <v>0</v>
      </c>
      <c r="O190" s="986">
        <f t="shared" si="125"/>
        <v>0</v>
      </c>
      <c r="P190" s="986">
        <f t="shared" si="125"/>
        <v>0</v>
      </c>
      <c r="Q190" s="986">
        <f t="shared" si="125"/>
        <v>0</v>
      </c>
      <c r="R190" s="986">
        <f t="shared" si="125"/>
        <v>0</v>
      </c>
      <c r="S190" s="986">
        <f t="shared" si="125"/>
        <v>0</v>
      </c>
      <c r="T190" s="1007"/>
      <c r="U190" s="1008">
        <f>SUM(U185:U189)</f>
        <v>0</v>
      </c>
      <c r="V190" s="1009">
        <f>SUM(V185:V189)</f>
        <v>0</v>
      </c>
      <c r="W190" s="1009"/>
      <c r="X190" s="1009">
        <f>SUM(X185:X189)</f>
        <v>0</v>
      </c>
      <c r="Y190" s="1009">
        <f>SUM(Y185:Y189)</f>
        <v>0</v>
      </c>
      <c r="Z190" s="1025">
        <f>SUM(Z185:Z189)</f>
        <v>0</v>
      </c>
    </row>
    <row r="191" spans="1:29" s="872" customFormat="1" ht="24" thickBot="1">
      <c r="A191" s="978"/>
      <c r="B191" s="979"/>
      <c r="C191" s="979"/>
      <c r="D191" s="980"/>
      <c r="E191" s="981"/>
      <c r="F191" s="981"/>
      <c r="G191" s="981"/>
      <c r="H191" s="981"/>
      <c r="I191" s="981"/>
      <c r="J191" s="981"/>
      <c r="K191" s="981"/>
      <c r="L191" s="981"/>
      <c r="M191" s="981"/>
      <c r="N191" s="981"/>
      <c r="O191" s="981"/>
      <c r="P191" s="981"/>
      <c r="Q191" s="981"/>
      <c r="R191" s="981"/>
      <c r="S191" s="981"/>
      <c r="T191" s="981"/>
      <c r="U191" s="981"/>
      <c r="V191" s="981"/>
      <c r="W191" s="981"/>
      <c r="X191" s="981"/>
      <c r="Y191" s="981"/>
      <c r="Z191" s="981"/>
    </row>
    <row r="192" spans="1:29" s="872" customFormat="1" ht="24" thickBot="1">
      <c r="A192" s="289" t="s">
        <v>143</v>
      </c>
      <c r="B192" s="877" t="s">
        <v>68</v>
      </c>
      <c r="C192" s="877" t="s">
        <v>69</v>
      </c>
      <c r="D192" s="878" t="s">
        <v>70</v>
      </c>
      <c r="E192" s="879" t="s">
        <v>71</v>
      </c>
      <c r="F192" s="880" t="s">
        <v>230</v>
      </c>
      <c r="G192" s="880" t="s">
        <v>72</v>
      </c>
      <c r="H192" s="879" t="s">
        <v>71</v>
      </c>
      <c r="I192" s="879" t="s">
        <v>170</v>
      </c>
      <c r="J192" s="879" t="s">
        <v>92</v>
      </c>
      <c r="K192" s="879" t="s">
        <v>194</v>
      </c>
      <c r="L192" s="880" t="s">
        <v>195</v>
      </c>
      <c r="M192" s="880" t="s">
        <v>196</v>
      </c>
      <c r="N192" s="880" t="s">
        <v>94</v>
      </c>
      <c r="O192" s="880" t="s">
        <v>86</v>
      </c>
      <c r="P192" s="880" t="s">
        <v>75</v>
      </c>
      <c r="Q192" s="880" t="s">
        <v>95</v>
      </c>
      <c r="R192" s="744" t="s">
        <v>77</v>
      </c>
      <c r="S192" s="914" t="s">
        <v>53</v>
      </c>
      <c r="T192" s="915"/>
      <c r="U192" s="916" t="s">
        <v>104</v>
      </c>
      <c r="V192" s="917" t="s">
        <v>105</v>
      </c>
      <c r="W192" s="917"/>
      <c r="X192" s="918" t="s">
        <v>106</v>
      </c>
      <c r="Y192" s="917" t="s">
        <v>107</v>
      </c>
      <c r="Z192" s="960" t="s">
        <v>108</v>
      </c>
      <c r="AA192" s="871"/>
      <c r="AB192" s="871"/>
      <c r="AC192" s="871"/>
    </row>
    <row r="193" spans="1:29" s="872" customFormat="1" ht="21">
      <c r="A193" s="445"/>
      <c r="B193" s="323"/>
      <c r="C193" s="323"/>
      <c r="D193" s="324"/>
      <c r="E193" s="889"/>
      <c r="F193" s="889"/>
      <c r="G193" s="889"/>
      <c r="H193" s="889"/>
      <c r="I193" s="889"/>
      <c r="J193" s="889"/>
      <c r="K193" s="889"/>
      <c r="L193" s="909"/>
      <c r="M193" s="909"/>
      <c r="N193" s="909"/>
      <c r="O193" s="909"/>
      <c r="P193" s="909"/>
      <c r="Q193" s="909"/>
      <c r="R193" s="922"/>
      <c r="S193" s="922"/>
      <c r="T193" s="1006"/>
      <c r="U193" s="924">
        <f>SUM(E193:S193)</f>
        <v>0</v>
      </c>
      <c r="V193" s="924"/>
      <c r="W193" s="925"/>
      <c r="X193" s="924">
        <f>U193+V193</f>
        <v>0</v>
      </c>
      <c r="Y193" s="925"/>
      <c r="Z193" s="924">
        <f>X193+Y193</f>
        <v>0</v>
      </c>
    </row>
    <row r="194" spans="1:29" s="872" customFormat="1" ht="19.5" customHeight="1">
      <c r="A194" s="983"/>
      <c r="B194" s="929"/>
      <c r="C194" s="929"/>
      <c r="D194" s="984"/>
      <c r="E194" s="893"/>
      <c r="F194" s="893"/>
      <c r="G194" s="893"/>
      <c r="H194" s="893"/>
      <c r="I194" s="893"/>
      <c r="J194" s="893"/>
      <c r="K194" s="893"/>
      <c r="L194" s="910"/>
      <c r="M194" s="910"/>
      <c r="N194" s="910"/>
      <c r="O194" s="910"/>
      <c r="P194" s="910"/>
      <c r="Q194" s="910"/>
      <c r="R194" s="926"/>
      <c r="S194" s="926"/>
      <c r="T194" s="927"/>
      <c r="U194" s="928">
        <f t="shared" ref="U194:U197" si="126">SUM(E194:S194)</f>
        <v>0</v>
      </c>
      <c r="V194" s="929"/>
      <c r="W194" s="930"/>
      <c r="X194" s="928">
        <f t="shared" ref="X194:X197" si="127">U194+V194</f>
        <v>0</v>
      </c>
      <c r="Y194" s="930"/>
      <c r="Z194" s="928">
        <f t="shared" ref="Z194:Z197" si="128">X194+Y194</f>
        <v>0</v>
      </c>
    </row>
    <row r="195" spans="1:29" ht="21" customHeight="1">
      <c r="A195" s="983"/>
      <c r="B195" s="929"/>
      <c r="C195" s="929"/>
      <c r="D195" s="984"/>
      <c r="E195" s="893"/>
      <c r="F195" s="893"/>
      <c r="G195" s="893"/>
      <c r="H195" s="893"/>
      <c r="I195" s="893"/>
      <c r="J195" s="893"/>
      <c r="K195" s="893"/>
      <c r="L195" s="910"/>
      <c r="M195" s="910"/>
      <c r="N195" s="910"/>
      <c r="O195" s="910"/>
      <c r="P195" s="910"/>
      <c r="Q195" s="910"/>
      <c r="R195" s="926"/>
      <c r="S195" s="926"/>
      <c r="T195" s="927"/>
      <c r="U195" s="928">
        <f t="shared" si="126"/>
        <v>0</v>
      </c>
      <c r="V195" s="929"/>
      <c r="W195" s="930"/>
      <c r="X195" s="928">
        <f t="shared" si="127"/>
        <v>0</v>
      </c>
      <c r="Y195" s="930"/>
      <c r="Z195" s="928">
        <f t="shared" si="128"/>
        <v>0</v>
      </c>
      <c r="AA195" s="871"/>
      <c r="AB195" s="871"/>
      <c r="AC195" s="871"/>
    </row>
    <row r="196" spans="1:29" s="870" customFormat="1" ht="21">
      <c r="A196" s="983"/>
      <c r="B196" s="929"/>
      <c r="C196" s="929"/>
      <c r="D196" s="984"/>
      <c r="E196" s="893"/>
      <c r="F196" s="893"/>
      <c r="G196" s="893"/>
      <c r="H196" s="893"/>
      <c r="I196" s="893"/>
      <c r="J196" s="893"/>
      <c r="K196" s="893"/>
      <c r="L196" s="910"/>
      <c r="M196" s="910"/>
      <c r="N196" s="910"/>
      <c r="O196" s="910"/>
      <c r="P196" s="910"/>
      <c r="Q196" s="910"/>
      <c r="R196" s="926"/>
      <c r="S196" s="926"/>
      <c r="T196" s="927"/>
      <c r="U196" s="928">
        <f t="shared" si="126"/>
        <v>0</v>
      </c>
      <c r="V196" s="929"/>
      <c r="W196" s="930"/>
      <c r="X196" s="928">
        <f t="shared" si="127"/>
        <v>0</v>
      </c>
      <c r="Y196" s="930"/>
      <c r="Z196" s="928">
        <f t="shared" si="128"/>
        <v>0</v>
      </c>
      <c r="AA196" s="872"/>
      <c r="AB196" s="872"/>
      <c r="AC196" s="872"/>
    </row>
    <row r="197" spans="1:29" ht="21.75" thickBot="1">
      <c r="A197" s="983"/>
      <c r="B197" s="929"/>
      <c r="C197" s="929"/>
      <c r="D197" s="984"/>
      <c r="E197" s="893"/>
      <c r="F197" s="893"/>
      <c r="G197" s="893"/>
      <c r="H197" s="893"/>
      <c r="I197" s="893"/>
      <c r="J197" s="893"/>
      <c r="K197" s="893"/>
      <c r="L197" s="910"/>
      <c r="M197" s="910"/>
      <c r="N197" s="910"/>
      <c r="O197" s="910"/>
      <c r="P197" s="910"/>
      <c r="Q197" s="910"/>
      <c r="R197" s="926"/>
      <c r="S197" s="926"/>
      <c r="T197" s="927"/>
      <c r="U197" s="931">
        <f t="shared" si="126"/>
        <v>0</v>
      </c>
      <c r="V197" s="931"/>
      <c r="W197" s="930"/>
      <c r="X197" s="931">
        <f t="shared" si="127"/>
        <v>0</v>
      </c>
      <c r="Y197" s="930"/>
      <c r="Z197" s="931">
        <f t="shared" si="128"/>
        <v>0</v>
      </c>
      <c r="AA197" s="872"/>
      <c r="AB197" s="872"/>
      <c r="AC197" s="872"/>
    </row>
    <row r="198" spans="1:29" s="282" customFormat="1" ht="18.75" customHeight="1" thickBot="1">
      <c r="A198" s="985" t="s">
        <v>134</v>
      </c>
      <c r="B198" s="895"/>
      <c r="C198" s="895"/>
      <c r="D198" s="896"/>
      <c r="E198" s="897">
        <f>SUM(E193:E197)</f>
        <v>0</v>
      </c>
      <c r="F198" s="897">
        <f t="shared" ref="F198:S198" si="129">SUM(F193:F197)</f>
        <v>0</v>
      </c>
      <c r="G198" s="897">
        <f t="shared" ref="G198" si="130">SUM(G193:G197)</f>
        <v>0</v>
      </c>
      <c r="H198" s="897">
        <f t="shared" si="129"/>
        <v>0</v>
      </c>
      <c r="I198" s="897">
        <f t="shared" ref="I198:K198" si="131">SUM(I193:I197)</f>
        <v>0</v>
      </c>
      <c r="J198" s="897">
        <f t="shared" ref="J198" si="132">SUM(J193:J197)</f>
        <v>0</v>
      </c>
      <c r="K198" s="897">
        <f t="shared" si="131"/>
        <v>0</v>
      </c>
      <c r="L198" s="897">
        <f t="shared" ref="L198:M198" si="133">SUM(L193:L197)</f>
        <v>0</v>
      </c>
      <c r="M198" s="897">
        <f t="shared" si="133"/>
        <v>0</v>
      </c>
      <c r="N198" s="897">
        <f t="shared" si="129"/>
        <v>0</v>
      </c>
      <c r="O198" s="897">
        <f t="shared" si="129"/>
        <v>0</v>
      </c>
      <c r="P198" s="897">
        <f t="shared" si="129"/>
        <v>0</v>
      </c>
      <c r="Q198" s="897">
        <f t="shared" si="129"/>
        <v>0</v>
      </c>
      <c r="R198" s="897">
        <f t="shared" si="129"/>
        <v>0</v>
      </c>
      <c r="S198" s="935">
        <f t="shared" si="129"/>
        <v>0</v>
      </c>
      <c r="T198" s="932"/>
      <c r="U198" s="933">
        <f>SUM(U193:U197)</f>
        <v>0</v>
      </c>
      <c r="V198" s="934">
        <f>SUM(V193:V197)</f>
        <v>0</v>
      </c>
      <c r="W198" s="934"/>
      <c r="X198" s="934">
        <f>SUM(X193:X197)</f>
        <v>0</v>
      </c>
      <c r="Y198" s="934">
        <f>SUM(Y193:Y197)</f>
        <v>0</v>
      </c>
      <c r="Z198" s="973">
        <f>SUM(Z193:Z197)</f>
        <v>0</v>
      </c>
      <c r="AA198" s="872"/>
      <c r="AB198" s="872"/>
      <c r="AC198" s="872"/>
    </row>
    <row r="199" spans="1:29" ht="24" thickBot="1">
      <c r="A199" s="978"/>
      <c r="B199" s="979"/>
      <c r="C199" s="979"/>
      <c r="D199" s="980"/>
      <c r="E199" s="981"/>
      <c r="F199" s="981"/>
      <c r="G199" s="981"/>
      <c r="H199" s="981"/>
      <c r="I199" s="981"/>
      <c r="J199" s="981"/>
      <c r="K199" s="981"/>
      <c r="L199" s="981"/>
      <c r="M199" s="981"/>
      <c r="N199" s="981"/>
      <c r="O199" s="981"/>
      <c r="P199" s="981"/>
      <c r="Q199" s="981"/>
      <c r="R199" s="981"/>
      <c r="S199" s="981"/>
      <c r="T199" s="981"/>
      <c r="U199" s="981"/>
      <c r="V199" s="981"/>
      <c r="W199" s="981"/>
      <c r="X199" s="981"/>
      <c r="Y199" s="981"/>
      <c r="Z199" s="981"/>
      <c r="AA199" s="871"/>
      <c r="AB199" s="871"/>
      <c r="AC199" s="871"/>
    </row>
    <row r="200" spans="1:29" ht="24" thickBot="1">
      <c r="A200" s="991" t="s">
        <v>151</v>
      </c>
      <c r="B200" s="992"/>
      <c r="C200" s="992"/>
      <c r="D200" s="991"/>
      <c r="E200" s="993">
        <f t="shared" ref="E200:S200" si="134">E4+E29+E58+E85+E112+E139+E174+E182+E190+E198+E166</f>
        <v>924</v>
      </c>
      <c r="F200" s="993">
        <f t="shared" si="134"/>
        <v>0</v>
      </c>
      <c r="G200" s="993">
        <f t="shared" si="134"/>
        <v>0</v>
      </c>
      <c r="H200" s="993">
        <f t="shared" si="134"/>
        <v>0</v>
      </c>
      <c r="I200" s="993">
        <f t="shared" si="134"/>
        <v>0</v>
      </c>
      <c r="J200" s="993">
        <f t="shared" si="134"/>
        <v>0</v>
      </c>
      <c r="K200" s="993">
        <f t="shared" si="134"/>
        <v>0</v>
      </c>
      <c r="L200" s="993">
        <f t="shared" si="134"/>
        <v>852</v>
      </c>
      <c r="M200" s="993">
        <f t="shared" si="134"/>
        <v>0</v>
      </c>
      <c r="N200" s="993">
        <f t="shared" si="134"/>
        <v>1212</v>
      </c>
      <c r="O200" s="993">
        <f t="shared" si="134"/>
        <v>0</v>
      </c>
      <c r="P200" s="993">
        <f t="shared" si="134"/>
        <v>708</v>
      </c>
      <c r="Q200" s="993">
        <f t="shared" si="134"/>
        <v>0</v>
      </c>
      <c r="R200" s="993">
        <f t="shared" si="134"/>
        <v>1356</v>
      </c>
      <c r="S200" s="993">
        <f t="shared" si="134"/>
        <v>1848</v>
      </c>
      <c r="T200" s="993"/>
      <c r="U200" s="993">
        <f t="shared" ref="U200:Z200" si="135">U4+U29+U58+U85+U112+U139+U174+U182+U190+U198+U166</f>
        <v>6900</v>
      </c>
      <c r="V200" s="993">
        <f t="shared" si="135"/>
        <v>29</v>
      </c>
      <c r="W200" s="993">
        <f t="shared" si="135"/>
        <v>0</v>
      </c>
      <c r="X200" s="993">
        <f t="shared" si="135"/>
        <v>6929</v>
      </c>
      <c r="Y200" s="993">
        <f t="shared" si="135"/>
        <v>77</v>
      </c>
      <c r="Z200" s="993">
        <f t="shared" si="135"/>
        <v>7006</v>
      </c>
      <c r="AA200" s="872"/>
      <c r="AB200" s="872"/>
      <c r="AC200" s="872"/>
    </row>
    <row r="201" spans="1:29" s="870" customFormat="1" ht="24" thickBot="1">
      <c r="A201" s="994" t="s">
        <v>146</v>
      </c>
      <c r="B201" s="992"/>
      <c r="C201" s="992"/>
      <c r="D201" s="994"/>
      <c r="E201" s="995">
        <f t="shared" ref="E201:N201" si="136">E200/12</f>
        <v>77</v>
      </c>
      <c r="F201" s="996">
        <f t="shared" si="136"/>
        <v>0</v>
      </c>
      <c r="G201" s="996">
        <f t="shared" ref="G201" si="137">G200/12</f>
        <v>0</v>
      </c>
      <c r="H201" s="995">
        <f t="shared" si="136"/>
        <v>0</v>
      </c>
      <c r="I201" s="995">
        <f t="shared" si="136"/>
        <v>0</v>
      </c>
      <c r="J201" s="995">
        <f t="shared" ref="J201" si="138">J200/12</f>
        <v>0</v>
      </c>
      <c r="K201" s="995">
        <f t="shared" si="136"/>
        <v>0</v>
      </c>
      <c r="L201" s="996">
        <f t="shared" si="136"/>
        <v>71</v>
      </c>
      <c r="M201" s="996">
        <f t="shared" si="136"/>
        <v>0</v>
      </c>
      <c r="N201" s="996">
        <f t="shared" si="136"/>
        <v>101</v>
      </c>
      <c r="O201" s="996">
        <f t="shared" ref="O201:S201" si="139">O200/12</f>
        <v>0</v>
      </c>
      <c r="P201" s="996">
        <f t="shared" si="139"/>
        <v>59</v>
      </c>
      <c r="Q201" s="996">
        <f t="shared" si="139"/>
        <v>0</v>
      </c>
      <c r="R201" s="996">
        <f t="shared" si="139"/>
        <v>113</v>
      </c>
      <c r="S201" s="1010">
        <f t="shared" si="139"/>
        <v>154</v>
      </c>
      <c r="T201" s="76"/>
      <c r="U201" s="995">
        <f t="shared" ref="U201:Z201" si="140">U200/12</f>
        <v>575</v>
      </c>
      <c r="V201" s="1011">
        <f t="shared" si="140"/>
        <v>2.4166666666666665</v>
      </c>
      <c r="W201" s="1011">
        <f t="shared" si="140"/>
        <v>0</v>
      </c>
      <c r="X201" s="1012">
        <f t="shared" si="140"/>
        <v>577.41666666666663</v>
      </c>
      <c r="Y201" s="1012">
        <f t="shared" si="140"/>
        <v>6.416666666666667</v>
      </c>
      <c r="Z201" s="1027">
        <f t="shared" si="140"/>
        <v>583.83333333333337</v>
      </c>
      <c r="AA201" s="871"/>
      <c r="AB201" s="871"/>
      <c r="AC201" s="871"/>
    </row>
    <row r="202" spans="1:29" s="1" customFormat="1" ht="24" thickBot="1">
      <c r="A202" s="3851" t="s">
        <v>201</v>
      </c>
      <c r="B202" s="3851"/>
      <c r="C202" s="3851"/>
      <c r="D202" s="3851"/>
      <c r="E202" s="3852"/>
      <c r="F202" s="3852"/>
      <c r="G202" s="3852"/>
      <c r="H202" s="3852"/>
      <c r="I202" s="3852"/>
      <c r="J202" s="3852"/>
      <c r="K202" s="3852"/>
      <c r="L202" s="3852"/>
      <c r="M202" s="3852"/>
      <c r="N202" s="3852"/>
      <c r="O202" s="3852"/>
      <c r="P202" s="3852"/>
      <c r="Q202" s="3852"/>
      <c r="R202" s="3852"/>
      <c r="S202" s="3852"/>
      <c r="T202" s="3851"/>
      <c r="U202" s="3852"/>
      <c r="V202" s="3852"/>
      <c r="W202" s="3852"/>
      <c r="X202" s="3852"/>
      <c r="Y202" s="3852"/>
      <c r="Z202" s="3852"/>
      <c r="AA202" s="872"/>
      <c r="AB202" s="872"/>
      <c r="AC202" s="872"/>
    </row>
    <row r="203" spans="1:29" ht="21" customHeight="1" thickBot="1">
      <c r="A203" s="997" t="s">
        <v>148</v>
      </c>
      <c r="B203" s="998" t="s">
        <v>68</v>
      </c>
      <c r="C203" s="998" t="s">
        <v>69</v>
      </c>
      <c r="D203" s="999" t="s">
        <v>70</v>
      </c>
      <c r="E203" s="901" t="s">
        <v>71</v>
      </c>
      <c r="F203" s="880" t="s">
        <v>230</v>
      </c>
      <c r="G203" s="880" t="s">
        <v>91</v>
      </c>
      <c r="H203" s="879" t="s">
        <v>41</v>
      </c>
      <c r="I203" s="879" t="s">
        <v>97</v>
      </c>
      <c r="J203" s="879" t="s">
        <v>92</v>
      </c>
      <c r="K203" s="879" t="s">
        <v>194</v>
      </c>
      <c r="L203" s="880" t="s">
        <v>195</v>
      </c>
      <c r="M203" s="880" t="s">
        <v>476</v>
      </c>
      <c r="N203" s="880" t="s">
        <v>94</v>
      </c>
      <c r="O203" s="880" t="s">
        <v>86</v>
      </c>
      <c r="P203" s="880" t="s">
        <v>75</v>
      </c>
      <c r="Q203" s="880" t="s">
        <v>503</v>
      </c>
      <c r="R203" s="1013" t="s">
        <v>77</v>
      </c>
      <c r="S203" s="1014" t="s">
        <v>53</v>
      </c>
      <c r="T203" s="1015"/>
      <c r="U203" s="1016" t="s">
        <v>104</v>
      </c>
      <c r="V203" s="1017" t="s">
        <v>105</v>
      </c>
      <c r="W203" s="1017"/>
      <c r="X203" s="1018" t="s">
        <v>106</v>
      </c>
      <c r="Y203" s="1017" t="s">
        <v>107</v>
      </c>
      <c r="Z203" s="1028" t="s">
        <v>108</v>
      </c>
      <c r="AA203" s="871"/>
      <c r="AB203" s="871"/>
      <c r="AC203" s="871"/>
    </row>
    <row r="204" spans="1:29" ht="21">
      <c r="A204" s="547" t="s">
        <v>618</v>
      </c>
      <c r="B204" s="545"/>
      <c r="C204" s="539"/>
      <c r="D204" s="544">
        <v>46116</v>
      </c>
      <c r="E204" s="1002"/>
      <c r="F204" s="1003"/>
      <c r="G204" s="1001"/>
      <c r="H204" s="1001"/>
      <c r="I204" s="1001"/>
      <c r="J204" s="1001"/>
      <c r="K204" s="1001"/>
      <c r="L204" s="1005"/>
      <c r="M204" s="1005"/>
      <c r="N204" s="1005"/>
      <c r="O204" s="1005"/>
      <c r="P204" s="1005"/>
      <c r="Q204" s="1005"/>
      <c r="R204" s="1019">
        <f>4*12</f>
        <v>48</v>
      </c>
      <c r="S204" s="1020"/>
      <c r="T204" s="938"/>
      <c r="U204" s="944">
        <f>SUM(E204:S204)</f>
        <v>48</v>
      </c>
      <c r="V204" s="942"/>
      <c r="W204" s="957"/>
      <c r="X204" s="944">
        <f>U204+V204</f>
        <v>48</v>
      </c>
      <c r="Y204" s="957"/>
      <c r="Z204" s="944">
        <f>X204+Y204</f>
        <v>48</v>
      </c>
      <c r="AA204" s="872"/>
      <c r="AB204" s="872"/>
      <c r="AC204" s="872"/>
    </row>
    <row r="205" spans="1:29" ht="21">
      <c r="A205" s="537" t="s">
        <v>619</v>
      </c>
      <c r="B205" s="545"/>
      <c r="C205" s="539"/>
      <c r="D205" s="544">
        <v>46116</v>
      </c>
      <c r="E205" s="1004">
        <f>2*12</f>
        <v>24</v>
      </c>
      <c r="F205" s="1001"/>
      <c r="G205" s="1001"/>
      <c r="H205" s="1001"/>
      <c r="I205" s="1001"/>
      <c r="J205" s="1001"/>
      <c r="K205" s="1001"/>
      <c r="L205" s="1005"/>
      <c r="M205" s="1005"/>
      <c r="N205" s="1005"/>
      <c r="O205" s="1005"/>
      <c r="P205" s="1005"/>
      <c r="Q205" s="1005"/>
      <c r="R205" s="1019"/>
      <c r="S205" s="1020">
        <f>2*12</f>
        <v>24</v>
      </c>
      <c r="T205" s="1021"/>
      <c r="U205" s="944">
        <f t="shared" ref="U205" si="141">SUM(E205:S205)</f>
        <v>48</v>
      </c>
      <c r="V205" s="1022"/>
      <c r="W205" s="1023"/>
      <c r="X205" s="1024">
        <f t="shared" ref="X205:X206" si="142">U205+V205</f>
        <v>48</v>
      </c>
      <c r="Y205" s="1023"/>
      <c r="Z205" s="1024">
        <f t="shared" ref="Z205:Z206" si="143">X205+Y205</f>
        <v>48</v>
      </c>
      <c r="AA205" s="871"/>
      <c r="AB205" s="871"/>
      <c r="AC205" s="871"/>
    </row>
    <row r="206" spans="1:29" ht="21">
      <c r="A206" s="537" t="s">
        <v>624</v>
      </c>
      <c r="B206" s="545"/>
      <c r="C206" s="539"/>
      <c r="D206" s="544">
        <v>46120</v>
      </c>
      <c r="E206" s="861">
        <f>3*12</f>
        <v>36</v>
      </c>
      <c r="F206" s="946"/>
      <c r="G206" s="904"/>
      <c r="H206" s="904"/>
      <c r="I206" s="904"/>
      <c r="J206" s="904"/>
      <c r="K206" s="904"/>
      <c r="L206" s="912">
        <f>3*12</f>
        <v>36</v>
      </c>
      <c r="M206" s="912"/>
      <c r="N206" s="912"/>
      <c r="O206" s="912"/>
      <c r="P206" s="912"/>
      <c r="Q206" s="912"/>
      <c r="R206" s="941"/>
      <c r="S206" s="969"/>
      <c r="T206" s="1021"/>
      <c r="U206" s="1024">
        <f t="shared" ref="U206:U210" si="144">SUM(E206:S206)</f>
        <v>72</v>
      </c>
      <c r="V206" s="1022"/>
      <c r="W206" s="1023"/>
      <c r="X206" s="1024">
        <f t="shared" si="142"/>
        <v>72</v>
      </c>
      <c r="Y206" s="1023"/>
      <c r="Z206" s="1024">
        <f t="shared" si="143"/>
        <v>72</v>
      </c>
      <c r="AA206" s="871"/>
      <c r="AB206" s="871"/>
      <c r="AC206" s="871"/>
    </row>
    <row r="207" spans="1:29" ht="21">
      <c r="A207" s="537" t="s">
        <v>625</v>
      </c>
      <c r="B207" s="538"/>
      <c r="C207" s="539"/>
      <c r="D207" s="544">
        <v>46121</v>
      </c>
      <c r="E207" s="1001"/>
      <c r="F207" s="1001"/>
      <c r="G207" s="1001"/>
      <c r="H207" s="1001"/>
      <c r="I207" s="1001"/>
      <c r="J207" s="1001"/>
      <c r="K207" s="1001"/>
      <c r="L207" s="1005">
        <f>6*12</f>
        <v>72</v>
      </c>
      <c r="M207" s="1005"/>
      <c r="N207" s="1005"/>
      <c r="O207" s="1005"/>
      <c r="P207" s="1005"/>
      <c r="Q207" s="1005"/>
      <c r="R207" s="1019"/>
      <c r="S207" s="1020">
        <f>4*12</f>
        <v>48</v>
      </c>
      <c r="T207" s="1021"/>
      <c r="U207" s="1024">
        <f t="shared" si="144"/>
        <v>120</v>
      </c>
      <c r="V207" s="1022"/>
      <c r="W207" s="1023"/>
      <c r="X207" s="1024">
        <f t="shared" ref="X207:X211" si="145">U207+V207</f>
        <v>120</v>
      </c>
      <c r="Y207" s="1023"/>
      <c r="Z207" s="1024">
        <f t="shared" ref="Z207:Z211" si="146">X207+Y207</f>
        <v>120</v>
      </c>
      <c r="AA207" s="872"/>
      <c r="AB207" s="872"/>
      <c r="AC207" s="872"/>
    </row>
    <row r="208" spans="1:29" ht="19.5" customHeight="1">
      <c r="A208" s="537" t="s">
        <v>628</v>
      </c>
      <c r="B208" s="548"/>
      <c r="C208" s="549"/>
      <c r="D208" s="544">
        <v>46122</v>
      </c>
      <c r="E208" s="861">
        <f>2*12</f>
        <v>24</v>
      </c>
      <c r="F208" s="946"/>
      <c r="G208" s="904"/>
      <c r="H208" s="904"/>
      <c r="I208" s="904"/>
      <c r="J208" s="904"/>
      <c r="K208" s="904"/>
      <c r="L208" s="912"/>
      <c r="M208" s="912"/>
      <c r="N208" s="912"/>
      <c r="O208" s="912"/>
      <c r="P208" s="912"/>
      <c r="Q208" s="912"/>
      <c r="R208" s="941"/>
      <c r="S208" s="969">
        <f>2*12</f>
        <v>24</v>
      </c>
      <c r="T208" s="938"/>
      <c r="U208" s="944">
        <f t="shared" si="144"/>
        <v>48</v>
      </c>
      <c r="V208" s="942"/>
      <c r="W208" s="957"/>
      <c r="X208" s="944">
        <f t="shared" si="145"/>
        <v>48</v>
      </c>
      <c r="Y208" s="957"/>
      <c r="Z208" s="944">
        <f t="shared" si="146"/>
        <v>48</v>
      </c>
      <c r="AA208" s="872"/>
      <c r="AB208" s="872"/>
      <c r="AC208" s="872"/>
    </row>
    <row r="209" spans="1:29" ht="21">
      <c r="A209" s="537" t="s">
        <v>629</v>
      </c>
      <c r="B209" s="552"/>
      <c r="C209" s="553"/>
      <c r="D209" s="555">
        <v>46122</v>
      </c>
      <c r="E209" s="1001">
        <f>6*12</f>
        <v>72</v>
      </c>
      <c r="F209" s="1001"/>
      <c r="G209" s="1001"/>
      <c r="H209" s="1001"/>
      <c r="I209" s="1001"/>
      <c r="J209" s="1001"/>
      <c r="K209" s="1001"/>
      <c r="L209" s="1005"/>
      <c r="M209" s="1005"/>
      <c r="N209" s="1005"/>
      <c r="O209" s="1005"/>
      <c r="P209" s="1005"/>
      <c r="Q209" s="1005"/>
      <c r="R209" s="1019"/>
      <c r="S209" s="1020">
        <f>6*12</f>
        <v>72</v>
      </c>
      <c r="T209" s="1021"/>
      <c r="U209" s="1024">
        <f t="shared" si="144"/>
        <v>144</v>
      </c>
      <c r="V209" s="1022"/>
      <c r="W209" s="1023"/>
      <c r="X209" s="1024">
        <f t="shared" si="145"/>
        <v>144</v>
      </c>
      <c r="Y209" s="1023"/>
      <c r="Z209" s="1024">
        <f t="shared" si="146"/>
        <v>144</v>
      </c>
      <c r="AA209" s="871"/>
      <c r="AB209" s="871"/>
      <c r="AC209" s="871"/>
    </row>
    <row r="210" spans="1:29" ht="21">
      <c r="A210" s="537" t="s">
        <v>633</v>
      </c>
      <c r="B210" s="563"/>
      <c r="C210" s="553"/>
      <c r="D210" s="544">
        <v>46124</v>
      </c>
      <c r="E210" s="904"/>
      <c r="F210" s="904"/>
      <c r="G210" s="904"/>
      <c r="H210" s="904"/>
      <c r="I210" s="904"/>
      <c r="J210" s="904"/>
      <c r="K210" s="904"/>
      <c r="L210" s="912"/>
      <c r="M210" s="912"/>
      <c r="N210" s="912">
        <f>6*12</f>
        <v>72</v>
      </c>
      <c r="O210" s="912"/>
      <c r="P210" s="912"/>
      <c r="Q210" s="912"/>
      <c r="R210" s="941"/>
      <c r="S210" s="969">
        <f>4*12</f>
        <v>48</v>
      </c>
      <c r="T210" s="938"/>
      <c r="U210" s="944">
        <f t="shared" si="144"/>
        <v>120</v>
      </c>
      <c r="V210" s="942"/>
      <c r="W210" s="957"/>
      <c r="X210" s="944">
        <f t="shared" si="145"/>
        <v>120</v>
      </c>
      <c r="Y210" s="957"/>
      <c r="Z210" s="944">
        <f t="shared" si="146"/>
        <v>120</v>
      </c>
      <c r="AA210" s="872"/>
      <c r="AB210" s="872"/>
      <c r="AC210" s="872"/>
    </row>
    <row r="211" spans="1:29" ht="21">
      <c r="A211" s="537" t="s">
        <v>634</v>
      </c>
      <c r="B211" s="545"/>
      <c r="C211" s="539"/>
      <c r="D211" s="544">
        <v>46124</v>
      </c>
      <c r="E211" s="1001"/>
      <c r="F211" s="1001"/>
      <c r="G211" s="1001"/>
      <c r="H211" s="1001"/>
      <c r="I211" s="1001"/>
      <c r="J211" s="1001"/>
      <c r="K211" s="1001"/>
      <c r="L211" s="1005"/>
      <c r="M211" s="1005"/>
      <c r="N211" s="1005">
        <f>3*12</f>
        <v>36</v>
      </c>
      <c r="O211" s="1005"/>
      <c r="P211" s="1005"/>
      <c r="Q211" s="1005"/>
      <c r="R211" s="1019"/>
      <c r="S211" s="1020">
        <f>5*12</f>
        <v>60</v>
      </c>
      <c r="T211" s="1021"/>
      <c r="U211" s="1024">
        <f t="shared" ref="U211" si="147">SUM(E211:S211)</f>
        <v>96</v>
      </c>
      <c r="V211" s="1022"/>
      <c r="W211" s="1023"/>
      <c r="X211" s="1024">
        <f t="shared" si="145"/>
        <v>96</v>
      </c>
      <c r="Y211" s="1023"/>
      <c r="Z211" s="1024">
        <f t="shared" si="146"/>
        <v>96</v>
      </c>
      <c r="AA211" s="871"/>
      <c r="AB211" s="871"/>
      <c r="AC211" s="871"/>
    </row>
    <row r="212" spans="1:29" ht="21">
      <c r="A212" s="537" t="s">
        <v>635</v>
      </c>
      <c r="B212" s="545"/>
      <c r="C212" s="539"/>
      <c r="D212" s="544">
        <v>46125</v>
      </c>
      <c r="E212" s="794"/>
      <c r="F212" s="904"/>
      <c r="G212" s="904"/>
      <c r="H212" s="904"/>
      <c r="I212" s="904"/>
      <c r="J212" s="904"/>
      <c r="K212" s="904"/>
      <c r="L212" s="912"/>
      <c r="M212" s="912"/>
      <c r="N212" s="912">
        <f>5*12</f>
        <v>60</v>
      </c>
      <c r="O212" s="912"/>
      <c r="P212" s="912"/>
      <c r="Q212" s="912"/>
      <c r="R212" s="941"/>
      <c r="S212" s="969">
        <f>3*12</f>
        <v>36</v>
      </c>
      <c r="T212" s="938"/>
      <c r="U212" s="944">
        <f t="shared" ref="U212:U218" si="148">SUM(E212:S212)</f>
        <v>96</v>
      </c>
      <c r="V212" s="942"/>
      <c r="W212" s="957"/>
      <c r="X212" s="944">
        <f t="shared" ref="X212:X220" si="149">U212+V212</f>
        <v>96</v>
      </c>
      <c r="Y212" s="957"/>
      <c r="Z212" s="944">
        <f t="shared" ref="Z212:Z220" si="150">X212+Y212</f>
        <v>96</v>
      </c>
      <c r="AA212" s="872"/>
      <c r="AB212" s="872"/>
      <c r="AC212" s="872"/>
    </row>
    <row r="213" spans="1:29" ht="21">
      <c r="A213" s="551" t="s">
        <v>623</v>
      </c>
      <c r="B213" s="796"/>
      <c r="C213" s="797"/>
      <c r="D213" s="544">
        <v>46126</v>
      </c>
      <c r="E213" s="1001"/>
      <c r="F213" s="1001"/>
      <c r="G213" s="1001"/>
      <c r="H213" s="1001"/>
      <c r="I213" s="1001"/>
      <c r="J213" s="1001"/>
      <c r="K213" s="1001"/>
      <c r="L213" s="1005"/>
      <c r="M213" s="1005"/>
      <c r="N213" s="1005"/>
      <c r="O213" s="1005"/>
      <c r="P213" s="1005"/>
      <c r="Q213" s="1005"/>
      <c r="R213" s="1019"/>
      <c r="S213" s="1020">
        <f>1*12</f>
        <v>12</v>
      </c>
      <c r="T213" s="1021"/>
      <c r="U213" s="1024">
        <f t="shared" si="148"/>
        <v>12</v>
      </c>
      <c r="V213" s="1022"/>
      <c r="W213" s="1023"/>
      <c r="X213" s="1024">
        <f t="shared" si="149"/>
        <v>12</v>
      </c>
      <c r="Y213" s="1023"/>
      <c r="Z213" s="1024">
        <f t="shared" si="150"/>
        <v>12</v>
      </c>
      <c r="AA213" s="872"/>
      <c r="AB213" s="872"/>
      <c r="AC213" s="872"/>
    </row>
    <row r="214" spans="1:29" ht="21">
      <c r="A214" s="537" t="s">
        <v>637</v>
      </c>
      <c r="B214" s="545"/>
      <c r="C214" s="539"/>
      <c r="D214" s="544">
        <v>46126</v>
      </c>
      <c r="E214" s="904"/>
      <c r="F214" s="904"/>
      <c r="G214" s="904"/>
      <c r="H214" s="904"/>
      <c r="I214" s="904"/>
      <c r="J214" s="904"/>
      <c r="K214" s="904"/>
      <c r="L214" s="912"/>
      <c r="M214" s="912"/>
      <c r="N214" s="912">
        <f>10*12</f>
        <v>120</v>
      </c>
      <c r="O214" s="912"/>
      <c r="P214" s="912"/>
      <c r="Q214" s="912"/>
      <c r="R214" s="941"/>
      <c r="S214" s="969">
        <f>22*12</f>
        <v>264</v>
      </c>
      <c r="T214" s="938"/>
      <c r="U214" s="944">
        <f t="shared" si="148"/>
        <v>384</v>
      </c>
      <c r="V214" s="942"/>
      <c r="W214" s="957"/>
      <c r="X214" s="944">
        <f t="shared" si="149"/>
        <v>384</v>
      </c>
      <c r="Y214" s="957"/>
      <c r="Z214" s="944">
        <f t="shared" si="150"/>
        <v>384</v>
      </c>
      <c r="AA214" s="872"/>
      <c r="AB214" s="872"/>
      <c r="AC214" s="872"/>
    </row>
    <row r="215" spans="1:29" ht="21">
      <c r="A215" s="561" t="s">
        <v>624</v>
      </c>
      <c r="B215" s="796"/>
      <c r="C215" s="797"/>
      <c r="D215" s="544">
        <v>46129</v>
      </c>
      <c r="E215" s="904"/>
      <c r="F215" s="904"/>
      <c r="G215" s="904"/>
      <c r="H215" s="904"/>
      <c r="I215" s="904"/>
      <c r="J215" s="904"/>
      <c r="K215" s="904"/>
      <c r="L215" s="912"/>
      <c r="M215" s="912"/>
      <c r="N215" s="912"/>
      <c r="O215" s="912"/>
      <c r="P215" s="912"/>
      <c r="Q215" s="912"/>
      <c r="R215" s="941"/>
      <c r="S215" s="969">
        <f>6*12</f>
        <v>72</v>
      </c>
      <c r="T215" s="938"/>
      <c r="U215" s="944">
        <f t="shared" si="148"/>
        <v>72</v>
      </c>
      <c r="V215" s="942"/>
      <c r="W215" s="957"/>
      <c r="X215" s="944">
        <f t="shared" ref="X215:X217" si="151">U215+V215</f>
        <v>72</v>
      </c>
      <c r="Y215" s="957"/>
      <c r="Z215" s="944">
        <f t="shared" ref="Z215:Z217" si="152">X215+Y215</f>
        <v>72</v>
      </c>
      <c r="AA215" s="871"/>
      <c r="AB215" s="871"/>
      <c r="AC215" s="871"/>
    </row>
    <row r="216" spans="1:29" ht="21">
      <c r="A216" s="547" t="s">
        <v>629</v>
      </c>
      <c r="B216" s="796"/>
      <c r="C216" s="797"/>
      <c r="D216" s="544">
        <v>46129</v>
      </c>
      <c r="E216" s="904"/>
      <c r="F216" s="904"/>
      <c r="G216" s="904"/>
      <c r="H216" s="904"/>
      <c r="I216" s="904"/>
      <c r="J216" s="904"/>
      <c r="K216" s="904"/>
      <c r="L216" s="912">
        <f>3*12</f>
        <v>36</v>
      </c>
      <c r="M216" s="912"/>
      <c r="N216" s="912">
        <f>5*12</f>
        <v>60</v>
      </c>
      <c r="O216" s="912"/>
      <c r="P216" s="912"/>
      <c r="Q216" s="912"/>
      <c r="R216" s="941">
        <f>3*12</f>
        <v>36</v>
      </c>
      <c r="S216" s="969">
        <f>5*12</f>
        <v>60</v>
      </c>
      <c r="T216" s="938"/>
      <c r="U216" s="944">
        <f t="shared" si="148"/>
        <v>192</v>
      </c>
      <c r="V216" s="942"/>
      <c r="W216" s="957"/>
      <c r="X216" s="944">
        <f t="shared" si="151"/>
        <v>192</v>
      </c>
      <c r="Y216" s="957"/>
      <c r="Z216" s="944">
        <f t="shared" si="152"/>
        <v>192</v>
      </c>
      <c r="AA216" s="872"/>
      <c r="AB216" s="872"/>
      <c r="AC216" s="872"/>
    </row>
    <row r="217" spans="1:29" ht="21">
      <c r="A217" s="561" t="s">
        <v>619</v>
      </c>
      <c r="B217" s="796"/>
      <c r="C217" s="797"/>
      <c r="D217" s="544">
        <v>46130</v>
      </c>
      <c r="E217" s="904"/>
      <c r="F217" s="904"/>
      <c r="G217" s="904"/>
      <c r="H217" s="904"/>
      <c r="I217" s="904"/>
      <c r="J217" s="904"/>
      <c r="K217" s="904"/>
      <c r="L217" s="912"/>
      <c r="M217" s="912"/>
      <c r="N217" s="912">
        <f>3*12</f>
        <v>36</v>
      </c>
      <c r="O217" s="912"/>
      <c r="P217" s="912"/>
      <c r="Q217" s="912"/>
      <c r="R217" s="941"/>
      <c r="S217" s="969">
        <f>3*12</f>
        <v>36</v>
      </c>
      <c r="T217" s="938"/>
      <c r="U217" s="944">
        <f t="shared" si="148"/>
        <v>72</v>
      </c>
      <c r="V217" s="942"/>
      <c r="W217" s="957"/>
      <c r="X217" s="944">
        <f t="shared" si="151"/>
        <v>72</v>
      </c>
      <c r="Y217" s="957"/>
      <c r="Z217" s="944">
        <f t="shared" si="152"/>
        <v>72</v>
      </c>
      <c r="AA217" s="872"/>
      <c r="AB217" s="872"/>
      <c r="AC217" s="872"/>
    </row>
    <row r="218" spans="1:29" ht="21">
      <c r="A218" s="547" t="s">
        <v>653</v>
      </c>
      <c r="B218" s="796"/>
      <c r="C218" s="797"/>
      <c r="D218" s="544">
        <v>46130</v>
      </c>
      <c r="E218" s="904"/>
      <c r="F218" s="904"/>
      <c r="G218" s="904"/>
      <c r="H218" s="904"/>
      <c r="I218" s="904"/>
      <c r="J218" s="904"/>
      <c r="K218" s="904"/>
      <c r="L218" s="912">
        <f>2*12</f>
        <v>24</v>
      </c>
      <c r="M218" s="912"/>
      <c r="N218" s="912"/>
      <c r="O218" s="912"/>
      <c r="P218" s="912"/>
      <c r="Q218" s="912"/>
      <c r="R218" s="941"/>
      <c r="S218" s="969"/>
      <c r="T218" s="938"/>
      <c r="U218" s="944">
        <f t="shared" si="148"/>
        <v>24</v>
      </c>
      <c r="V218" s="942"/>
      <c r="W218" s="957"/>
      <c r="X218" s="944">
        <f t="shared" si="149"/>
        <v>24</v>
      </c>
      <c r="Y218" s="957"/>
      <c r="Z218" s="944">
        <f t="shared" si="150"/>
        <v>24</v>
      </c>
      <c r="AA218" s="872"/>
      <c r="AB218" s="872"/>
      <c r="AC218" s="872"/>
    </row>
    <row r="219" spans="1:29" ht="21">
      <c r="A219" s="547" t="s">
        <v>655</v>
      </c>
      <c r="B219" s="545"/>
      <c r="C219" s="539"/>
      <c r="D219" s="544">
        <v>46131</v>
      </c>
      <c r="E219" s="904"/>
      <c r="F219" s="904"/>
      <c r="G219" s="904"/>
      <c r="H219" s="904"/>
      <c r="I219" s="904"/>
      <c r="J219" s="904"/>
      <c r="K219" s="904"/>
      <c r="L219" s="912">
        <f>2*12</f>
        <v>24</v>
      </c>
      <c r="M219" s="912"/>
      <c r="N219" s="912">
        <f>8*12</f>
        <v>96</v>
      </c>
      <c r="O219" s="912"/>
      <c r="P219" s="912"/>
      <c r="Q219" s="912"/>
      <c r="R219" s="941">
        <f>2*12</f>
        <v>24</v>
      </c>
      <c r="S219" s="969">
        <f>8*12</f>
        <v>96</v>
      </c>
      <c r="T219" s="938"/>
      <c r="U219" s="944">
        <f t="shared" ref="U219:U220" si="153">SUM(E219:S219)</f>
        <v>240</v>
      </c>
      <c r="V219" s="942"/>
      <c r="W219" s="957"/>
      <c r="X219" s="944">
        <f t="shared" ref="X219" si="154">U219+V219</f>
        <v>240</v>
      </c>
      <c r="Y219" s="957"/>
      <c r="Z219" s="944">
        <f t="shared" ref="Z219" si="155">X219+Y219</f>
        <v>240</v>
      </c>
      <c r="AA219" s="872"/>
      <c r="AB219" s="872"/>
      <c r="AC219" s="872"/>
    </row>
    <row r="220" spans="1:29" ht="21">
      <c r="A220" s="547" t="s">
        <v>634</v>
      </c>
      <c r="B220" s="796"/>
      <c r="C220" s="797"/>
      <c r="D220" s="544">
        <v>46131</v>
      </c>
      <c r="E220" s="904"/>
      <c r="F220" s="904"/>
      <c r="G220" s="904"/>
      <c r="H220" s="904"/>
      <c r="I220" s="904"/>
      <c r="J220" s="904"/>
      <c r="K220" s="904"/>
      <c r="L220" s="912"/>
      <c r="M220" s="912"/>
      <c r="N220" s="912">
        <f>3*12</f>
        <v>36</v>
      </c>
      <c r="O220" s="912"/>
      <c r="P220" s="912"/>
      <c r="Q220" s="912"/>
      <c r="R220" s="941"/>
      <c r="S220" s="969">
        <f>3*12</f>
        <v>36</v>
      </c>
      <c r="T220" s="938"/>
      <c r="U220" s="944">
        <f t="shared" si="153"/>
        <v>72</v>
      </c>
      <c r="V220" s="942"/>
      <c r="W220" s="957"/>
      <c r="X220" s="944">
        <f t="shared" si="149"/>
        <v>72</v>
      </c>
      <c r="Y220" s="957"/>
      <c r="Z220" s="944">
        <f t="shared" si="150"/>
        <v>72</v>
      </c>
      <c r="AA220" s="872"/>
      <c r="AB220" s="872"/>
      <c r="AC220" s="872"/>
    </row>
    <row r="221" spans="1:29" ht="21">
      <c r="A221" s="561" t="s">
        <v>656</v>
      </c>
      <c r="B221" s="552"/>
      <c r="C221" s="553"/>
      <c r="D221" s="544">
        <v>46131</v>
      </c>
      <c r="E221" s="904"/>
      <c r="F221" s="904"/>
      <c r="G221" s="904"/>
      <c r="H221" s="904"/>
      <c r="I221" s="904"/>
      <c r="J221" s="904"/>
      <c r="K221" s="904"/>
      <c r="L221" s="912"/>
      <c r="M221" s="912"/>
      <c r="N221" s="912">
        <f>5*12</f>
        <v>60</v>
      </c>
      <c r="O221" s="912"/>
      <c r="P221" s="912"/>
      <c r="Q221" s="912"/>
      <c r="R221" s="941">
        <f>2*12</f>
        <v>24</v>
      </c>
      <c r="S221" s="969">
        <f>5*12</f>
        <v>60</v>
      </c>
      <c r="T221" s="1021"/>
      <c r="U221" s="1024">
        <f t="shared" ref="U221:U223" si="156">SUM(E221:S221)</f>
        <v>144</v>
      </c>
      <c r="V221" s="1022"/>
      <c r="W221" s="1023"/>
      <c r="X221" s="1024">
        <f t="shared" ref="X221:X223" si="157">U221+V221</f>
        <v>144</v>
      </c>
      <c r="Y221" s="1023"/>
      <c r="Z221" s="1024">
        <f t="shared" ref="Z221:Z223" si="158">X221+Y221</f>
        <v>144</v>
      </c>
      <c r="AA221" s="872"/>
      <c r="AB221" s="872"/>
      <c r="AC221" s="872"/>
    </row>
    <row r="222" spans="1:29" ht="21">
      <c r="A222" s="551" t="s">
        <v>634</v>
      </c>
      <c r="B222" s="552"/>
      <c r="C222" s="553"/>
      <c r="D222" s="544">
        <v>46133</v>
      </c>
      <c r="E222" s="1001"/>
      <c r="F222" s="1001"/>
      <c r="G222" s="1001"/>
      <c r="H222" s="1001"/>
      <c r="I222" s="1001"/>
      <c r="J222" s="1001"/>
      <c r="K222" s="1001"/>
      <c r="L222" s="1005"/>
      <c r="M222" s="1005"/>
      <c r="N222" s="1005">
        <f>2*12</f>
        <v>24</v>
      </c>
      <c r="O222" s="1005"/>
      <c r="P222" s="1005"/>
      <c r="Q222" s="1005"/>
      <c r="R222" s="1019"/>
      <c r="S222" s="1020">
        <f>2*12</f>
        <v>24</v>
      </c>
      <c r="T222" s="938"/>
      <c r="U222" s="944">
        <f t="shared" si="156"/>
        <v>48</v>
      </c>
      <c r="V222" s="942"/>
      <c r="W222" s="957"/>
      <c r="X222" s="944">
        <f t="shared" si="157"/>
        <v>48</v>
      </c>
      <c r="Y222" s="957"/>
      <c r="Z222" s="944">
        <f t="shared" si="158"/>
        <v>48</v>
      </c>
      <c r="AA222" s="872"/>
      <c r="AB222" s="872"/>
      <c r="AC222" s="872"/>
    </row>
    <row r="223" spans="1:29" ht="21">
      <c r="A223" s="537" t="s">
        <v>664</v>
      </c>
      <c r="B223" s="550"/>
      <c r="C223" s="539"/>
      <c r="D223" s="555">
        <v>46134</v>
      </c>
      <c r="E223" s="1001"/>
      <c r="F223" s="1001"/>
      <c r="G223" s="1001"/>
      <c r="H223" s="1001"/>
      <c r="I223" s="1001"/>
      <c r="J223" s="1001"/>
      <c r="K223" s="1001"/>
      <c r="L223" s="1005"/>
      <c r="M223" s="1005"/>
      <c r="N223" s="1005">
        <f>3*12</f>
        <v>36</v>
      </c>
      <c r="O223" s="1005"/>
      <c r="P223" s="1005"/>
      <c r="Q223" s="1005"/>
      <c r="R223" s="1019">
        <f>1*12</f>
        <v>12</v>
      </c>
      <c r="S223" s="1020">
        <f>2*12</f>
        <v>24</v>
      </c>
      <c r="T223" s="1021"/>
      <c r="U223" s="1024">
        <f t="shared" si="156"/>
        <v>72</v>
      </c>
      <c r="V223" s="1022"/>
      <c r="W223" s="1023"/>
      <c r="X223" s="1024">
        <f t="shared" si="157"/>
        <v>72</v>
      </c>
      <c r="Y223" s="1023"/>
      <c r="Z223" s="1024">
        <f t="shared" si="158"/>
        <v>72</v>
      </c>
      <c r="AA223" s="872"/>
      <c r="AB223" s="872"/>
      <c r="AC223" s="872"/>
    </row>
    <row r="224" spans="1:29" ht="21">
      <c r="A224" s="561" t="s">
        <v>665</v>
      </c>
      <c r="B224" s="552"/>
      <c r="C224" s="553"/>
      <c r="D224" s="544">
        <v>46134</v>
      </c>
      <c r="E224" s="945"/>
      <c r="F224" s="904"/>
      <c r="G224" s="904"/>
      <c r="H224" s="904"/>
      <c r="I224" s="904"/>
      <c r="J224" s="904"/>
      <c r="K224" s="904"/>
      <c r="L224" s="912"/>
      <c r="M224" s="912"/>
      <c r="N224" s="912">
        <f>5*12</f>
        <v>60</v>
      </c>
      <c r="O224" s="912"/>
      <c r="P224" s="912"/>
      <c r="Q224" s="912"/>
      <c r="R224" s="941"/>
      <c r="S224" s="969">
        <f>5*12</f>
        <v>60</v>
      </c>
      <c r="T224" s="938"/>
      <c r="U224" s="944">
        <f t="shared" ref="U224" si="159">SUM(E224:S224)</f>
        <v>120</v>
      </c>
      <c r="V224" s="942"/>
      <c r="W224" s="957"/>
      <c r="X224" s="944">
        <f t="shared" ref="X224:X225" si="160">U224+V224</f>
        <v>120</v>
      </c>
      <c r="Y224" s="957"/>
      <c r="Z224" s="944">
        <f t="shared" ref="Z224:Z225" si="161">X224+Y224</f>
        <v>120</v>
      </c>
      <c r="AA224" s="872"/>
      <c r="AB224" s="872"/>
      <c r="AC224" s="872"/>
    </row>
    <row r="225" spans="1:29" ht="21">
      <c r="A225" s="537" t="s">
        <v>637</v>
      </c>
      <c r="B225" s="552"/>
      <c r="C225" s="553"/>
      <c r="D225" s="544">
        <v>46134</v>
      </c>
      <c r="E225" s="904"/>
      <c r="F225" s="904"/>
      <c r="G225" s="904"/>
      <c r="H225" s="904"/>
      <c r="I225" s="904"/>
      <c r="J225" s="904"/>
      <c r="K225" s="904"/>
      <c r="L225" s="912">
        <f>4*12</f>
        <v>48</v>
      </c>
      <c r="M225" s="912"/>
      <c r="N225" s="912">
        <f>8*12</f>
        <v>96</v>
      </c>
      <c r="O225" s="912"/>
      <c r="P225" s="912">
        <f>4*12</f>
        <v>48</v>
      </c>
      <c r="Q225" s="912"/>
      <c r="R225" s="941"/>
      <c r="S225" s="969">
        <f>16*12</f>
        <v>192</v>
      </c>
      <c r="T225" s="938"/>
      <c r="U225" s="944">
        <f t="shared" ref="U225:U246" si="162">SUM(E225:S225)</f>
        <v>384</v>
      </c>
      <c r="V225" s="942"/>
      <c r="W225" s="957"/>
      <c r="X225" s="944">
        <f t="shared" si="160"/>
        <v>384</v>
      </c>
      <c r="Y225" s="957"/>
      <c r="Z225" s="944">
        <f t="shared" si="161"/>
        <v>384</v>
      </c>
      <c r="AA225" s="872"/>
      <c r="AB225" s="872"/>
      <c r="AC225" s="872"/>
    </row>
    <row r="226" spans="1:29" ht="21">
      <c r="A226" s="547" t="s">
        <v>621</v>
      </c>
      <c r="B226" s="552"/>
      <c r="C226" s="553"/>
      <c r="D226" s="544">
        <v>46134</v>
      </c>
      <c r="E226" s="1001"/>
      <c r="F226" s="1001"/>
      <c r="G226" s="1001"/>
      <c r="H226" s="1001"/>
      <c r="I226" s="1001"/>
      <c r="J226" s="1001"/>
      <c r="K226" s="1001"/>
      <c r="L226" s="1005"/>
      <c r="M226" s="1005"/>
      <c r="N226" s="1005"/>
      <c r="O226" s="1005"/>
      <c r="P226" s="1005"/>
      <c r="Q226" s="1005"/>
      <c r="R226" s="1019"/>
      <c r="S226" s="1020">
        <f>9*12</f>
        <v>108</v>
      </c>
      <c r="T226" s="1021"/>
      <c r="U226" s="1024">
        <f t="shared" si="162"/>
        <v>108</v>
      </c>
      <c r="V226" s="1022"/>
      <c r="W226" s="1023"/>
      <c r="X226" s="1024">
        <f t="shared" ref="X226:X246" si="163">U226+V226</f>
        <v>108</v>
      </c>
      <c r="Y226" s="1023"/>
      <c r="Z226" s="1024">
        <f t="shared" ref="Z226:Z246" si="164">X226+Y226</f>
        <v>108</v>
      </c>
      <c r="AA226" s="872"/>
      <c r="AB226" s="872"/>
      <c r="AC226" s="872"/>
    </row>
    <row r="227" spans="1:29" ht="21">
      <c r="A227" s="537" t="s">
        <v>668</v>
      </c>
      <c r="B227" s="552"/>
      <c r="C227" s="553"/>
      <c r="D227" s="544">
        <v>46135</v>
      </c>
      <c r="E227" s="904"/>
      <c r="F227" s="904"/>
      <c r="G227" s="904"/>
      <c r="H227" s="904"/>
      <c r="I227" s="904"/>
      <c r="J227" s="904"/>
      <c r="K227" s="904"/>
      <c r="L227" s="912"/>
      <c r="M227" s="912"/>
      <c r="N227" s="912">
        <f>3*12</f>
        <v>36</v>
      </c>
      <c r="O227" s="912"/>
      <c r="P227" s="912"/>
      <c r="Q227" s="912"/>
      <c r="R227" s="941"/>
      <c r="S227" s="969">
        <f>3*12</f>
        <v>36</v>
      </c>
      <c r="T227" s="938"/>
      <c r="U227" s="944">
        <f t="shared" ref="U227" si="165">SUM(E227:S227)</f>
        <v>72</v>
      </c>
      <c r="V227" s="942"/>
      <c r="W227" s="957"/>
      <c r="X227" s="944">
        <f t="shared" ref="X227" si="166">U227+V227</f>
        <v>72</v>
      </c>
      <c r="Y227" s="957"/>
      <c r="Z227" s="944">
        <f t="shared" ref="Z227" si="167">X227+Y227</f>
        <v>72</v>
      </c>
      <c r="AA227" s="872"/>
      <c r="AB227" s="872"/>
      <c r="AC227" s="872"/>
    </row>
    <row r="228" spans="1:29" ht="21">
      <c r="A228" s="547" t="s">
        <v>619</v>
      </c>
      <c r="B228" s="552"/>
      <c r="C228" s="553"/>
      <c r="D228" s="544">
        <v>46135</v>
      </c>
      <c r="E228" s="904"/>
      <c r="F228" s="904"/>
      <c r="G228" s="904"/>
      <c r="H228" s="904"/>
      <c r="I228" s="904"/>
      <c r="J228" s="904"/>
      <c r="K228" s="904"/>
      <c r="L228" s="912"/>
      <c r="M228" s="912"/>
      <c r="N228" s="912">
        <f>2*12</f>
        <v>24</v>
      </c>
      <c r="O228" s="912"/>
      <c r="P228" s="912"/>
      <c r="Q228" s="912"/>
      <c r="R228" s="941"/>
      <c r="S228" s="969"/>
      <c r="T228" s="938"/>
      <c r="U228" s="944">
        <f t="shared" si="162"/>
        <v>24</v>
      </c>
      <c r="V228" s="942"/>
      <c r="W228" s="957"/>
      <c r="X228" s="944">
        <f t="shared" si="163"/>
        <v>24</v>
      </c>
      <c r="Y228" s="957"/>
      <c r="Z228" s="944">
        <f t="shared" si="164"/>
        <v>24</v>
      </c>
      <c r="AA228" s="872"/>
      <c r="AB228" s="872"/>
      <c r="AC228" s="872"/>
    </row>
    <row r="229" spans="1:29" ht="21">
      <c r="A229" s="537" t="s">
        <v>629</v>
      </c>
      <c r="B229" s="552"/>
      <c r="C229" s="553"/>
      <c r="D229" s="544">
        <v>46138</v>
      </c>
      <c r="E229" s="1029"/>
      <c r="F229" s="904"/>
      <c r="G229" s="904"/>
      <c r="H229" s="904"/>
      <c r="I229" s="904"/>
      <c r="J229" s="904"/>
      <c r="K229" s="904"/>
      <c r="L229" s="912"/>
      <c r="M229" s="912"/>
      <c r="N229" s="912">
        <f>10*12</f>
        <v>120</v>
      </c>
      <c r="O229" s="912"/>
      <c r="P229" s="912"/>
      <c r="Q229" s="912"/>
      <c r="R229" s="941"/>
      <c r="S229" s="969">
        <f>10*12</f>
        <v>120</v>
      </c>
      <c r="T229" s="938"/>
      <c r="U229" s="944">
        <f t="shared" si="162"/>
        <v>240</v>
      </c>
      <c r="V229" s="942"/>
      <c r="W229" s="957"/>
      <c r="X229" s="944">
        <f t="shared" ref="X229" si="168">U229+V229</f>
        <v>240</v>
      </c>
      <c r="Y229" s="957"/>
      <c r="Z229" s="944">
        <f t="shared" ref="Z229" si="169">X229+Y229</f>
        <v>240</v>
      </c>
      <c r="AA229" s="872"/>
      <c r="AB229" s="872"/>
      <c r="AC229" s="872"/>
    </row>
    <row r="230" spans="1:29" ht="21">
      <c r="A230" s="551" t="s">
        <v>634</v>
      </c>
      <c r="B230" s="552"/>
      <c r="C230" s="553"/>
      <c r="D230" s="544">
        <v>46138</v>
      </c>
      <c r="E230" s="1001"/>
      <c r="F230" s="1001"/>
      <c r="G230" s="1001"/>
      <c r="H230" s="1001"/>
      <c r="I230" s="1001"/>
      <c r="J230" s="1001"/>
      <c r="K230" s="1001"/>
      <c r="L230" s="1005"/>
      <c r="M230" s="1005"/>
      <c r="N230" s="1005">
        <f>4*12</f>
        <v>48</v>
      </c>
      <c r="O230" s="1005"/>
      <c r="P230" s="1005"/>
      <c r="Q230" s="1005"/>
      <c r="R230" s="1019"/>
      <c r="S230" s="1020">
        <f>4*12</f>
        <v>48</v>
      </c>
      <c r="T230" s="1021"/>
      <c r="U230" s="1024">
        <f t="shared" ref="U230:U232" si="170">SUM(E230:S230)</f>
        <v>96</v>
      </c>
      <c r="V230" s="1022"/>
      <c r="W230" s="1023"/>
      <c r="X230" s="1024">
        <f t="shared" ref="X230:X232" si="171">U230+V230</f>
        <v>96</v>
      </c>
      <c r="Y230" s="1023"/>
      <c r="Z230" s="1024">
        <f t="shared" ref="Z230:Z232" si="172">X230+Y230</f>
        <v>96</v>
      </c>
      <c r="AA230" s="872"/>
      <c r="AB230" s="872"/>
      <c r="AC230" s="872"/>
    </row>
    <row r="231" spans="1:29" ht="21">
      <c r="A231" s="537" t="s">
        <v>679</v>
      </c>
      <c r="B231" s="552"/>
      <c r="C231" s="553"/>
      <c r="D231" s="544">
        <v>38834</v>
      </c>
      <c r="E231" s="904">
        <f>8*12</f>
        <v>96</v>
      </c>
      <c r="F231" s="904"/>
      <c r="G231" s="904"/>
      <c r="H231" s="904"/>
      <c r="I231" s="904"/>
      <c r="J231" s="904"/>
      <c r="K231" s="904"/>
      <c r="L231" s="1005">
        <f>8*12</f>
        <v>96</v>
      </c>
      <c r="M231" s="1005"/>
      <c r="N231" s="1005"/>
      <c r="O231" s="1005"/>
      <c r="P231" s="1005"/>
      <c r="Q231" s="1005"/>
      <c r="R231" s="1019"/>
      <c r="S231" s="1020">
        <f>8*12</f>
        <v>96</v>
      </c>
      <c r="T231" s="938"/>
      <c r="U231" s="944">
        <f t="shared" si="170"/>
        <v>288</v>
      </c>
      <c r="V231" s="942"/>
      <c r="W231" s="957"/>
      <c r="X231" s="944">
        <f t="shared" si="171"/>
        <v>288</v>
      </c>
      <c r="Y231" s="957"/>
      <c r="Z231" s="944">
        <f t="shared" si="172"/>
        <v>288</v>
      </c>
      <c r="AA231" s="872"/>
      <c r="AB231" s="872"/>
      <c r="AC231" s="872"/>
    </row>
    <row r="232" spans="1:29" ht="21">
      <c r="A232" s="547" t="s">
        <v>683</v>
      </c>
      <c r="B232" s="552"/>
      <c r="C232" s="553"/>
      <c r="D232" s="544">
        <v>46140</v>
      </c>
      <c r="E232" s="1004"/>
      <c r="F232" s="1001"/>
      <c r="G232" s="1001"/>
      <c r="H232" s="1001"/>
      <c r="I232" s="1001"/>
      <c r="J232" s="1001"/>
      <c r="K232" s="1001"/>
      <c r="L232" s="1005"/>
      <c r="M232" s="1005"/>
      <c r="N232" s="1005">
        <f>1*12</f>
        <v>12</v>
      </c>
      <c r="O232" s="1005"/>
      <c r="P232" s="1005"/>
      <c r="Q232" s="1005"/>
      <c r="R232" s="1019"/>
      <c r="S232" s="1020">
        <f>1*12</f>
        <v>12</v>
      </c>
      <c r="T232" s="1021"/>
      <c r="U232" s="1024">
        <f t="shared" si="170"/>
        <v>24</v>
      </c>
      <c r="V232" s="1022"/>
      <c r="W232" s="1023"/>
      <c r="X232" s="1024">
        <f t="shared" si="171"/>
        <v>24</v>
      </c>
      <c r="Y232" s="1023"/>
      <c r="Z232" s="1024">
        <f t="shared" si="172"/>
        <v>24</v>
      </c>
      <c r="AA232" s="872"/>
      <c r="AB232" s="872"/>
      <c r="AC232" s="872"/>
    </row>
    <row r="233" spans="1:29" ht="21">
      <c r="A233" s="537" t="s">
        <v>684</v>
      </c>
      <c r="B233" s="552"/>
      <c r="C233" s="553"/>
      <c r="D233" s="555">
        <v>46140</v>
      </c>
      <c r="E233" s="904"/>
      <c r="F233" s="904"/>
      <c r="G233" s="904"/>
      <c r="H233" s="904"/>
      <c r="I233" s="904"/>
      <c r="J233" s="904"/>
      <c r="K233" s="904"/>
      <c r="L233" s="912"/>
      <c r="M233" s="912"/>
      <c r="N233" s="912"/>
      <c r="O233" s="912"/>
      <c r="P233" s="912"/>
      <c r="Q233" s="912"/>
      <c r="R233" s="941">
        <f>1*12</f>
        <v>12</v>
      </c>
      <c r="S233" s="969"/>
      <c r="T233" s="938"/>
      <c r="U233" s="944">
        <f t="shared" si="162"/>
        <v>12</v>
      </c>
      <c r="V233" s="942"/>
      <c r="W233" s="957"/>
      <c r="X233" s="944">
        <f t="shared" si="163"/>
        <v>12</v>
      </c>
      <c r="Y233" s="957"/>
      <c r="Z233" s="944">
        <f t="shared" si="164"/>
        <v>12</v>
      </c>
      <c r="AA233" s="872"/>
      <c r="AB233" s="872"/>
      <c r="AC233" s="872"/>
    </row>
    <row r="234" spans="1:29" ht="21">
      <c r="A234" s="551" t="s">
        <v>637</v>
      </c>
      <c r="B234" s="563"/>
      <c r="C234" s="553"/>
      <c r="D234" s="544">
        <v>46141</v>
      </c>
      <c r="E234" s="1001"/>
      <c r="F234" s="1001"/>
      <c r="G234" s="1001"/>
      <c r="H234" s="1001"/>
      <c r="I234" s="1001"/>
      <c r="J234" s="1001"/>
      <c r="K234" s="1001"/>
      <c r="L234" s="1005"/>
      <c r="M234" s="1005"/>
      <c r="N234" s="1005">
        <f>14*12</f>
        <v>168</v>
      </c>
      <c r="O234" s="1005"/>
      <c r="P234" s="1005"/>
      <c r="Q234" s="1005"/>
      <c r="R234" s="1019"/>
      <c r="S234" s="1020">
        <f>22*12</f>
        <v>264</v>
      </c>
      <c r="T234" s="1021"/>
      <c r="U234" s="1024">
        <f t="shared" si="162"/>
        <v>432</v>
      </c>
      <c r="V234" s="1022"/>
      <c r="W234" s="1023"/>
      <c r="X234" s="1024">
        <f t="shared" si="163"/>
        <v>432</v>
      </c>
      <c r="Y234" s="1023"/>
      <c r="Z234" s="1024">
        <f t="shared" si="164"/>
        <v>432</v>
      </c>
      <c r="AA234" s="872"/>
      <c r="AB234" s="872"/>
      <c r="AC234" s="872"/>
    </row>
    <row r="235" spans="1:29" ht="21">
      <c r="A235" s="537" t="s">
        <v>635</v>
      </c>
      <c r="B235" s="552"/>
      <c r="C235" s="553"/>
      <c r="D235" s="544">
        <v>46141</v>
      </c>
      <c r="E235" s="904"/>
      <c r="F235" s="904"/>
      <c r="G235" s="904"/>
      <c r="H235" s="904"/>
      <c r="I235" s="904"/>
      <c r="J235" s="904"/>
      <c r="K235" s="904"/>
      <c r="L235" s="912"/>
      <c r="M235" s="912"/>
      <c r="N235" s="912">
        <f>6*12</f>
        <v>72</v>
      </c>
      <c r="O235" s="912"/>
      <c r="P235" s="912"/>
      <c r="Q235" s="912"/>
      <c r="R235" s="941"/>
      <c r="S235" s="969">
        <f>3*12</f>
        <v>36</v>
      </c>
      <c r="T235" s="938"/>
      <c r="U235" s="944">
        <f t="shared" ref="U235:U236" si="173">SUM(E235:S235)</f>
        <v>108</v>
      </c>
      <c r="V235" s="942"/>
      <c r="W235" s="957"/>
      <c r="X235" s="944">
        <f t="shared" ref="X235:X236" si="174">U235+V235</f>
        <v>108</v>
      </c>
      <c r="Y235" s="957"/>
      <c r="Z235" s="944">
        <f t="shared" ref="Z235" si="175">X235+Y235</f>
        <v>108</v>
      </c>
      <c r="AA235" s="872"/>
      <c r="AB235" s="872"/>
      <c r="AC235" s="872"/>
    </row>
    <row r="236" spans="1:29" ht="21">
      <c r="A236" s="547" t="s">
        <v>686</v>
      </c>
      <c r="B236" s="538"/>
      <c r="C236" s="3079"/>
      <c r="D236" s="544">
        <v>46141</v>
      </c>
      <c r="E236" s="1001"/>
      <c r="F236" s="1001"/>
      <c r="G236" s="1001"/>
      <c r="H236" s="1001"/>
      <c r="I236" s="1001"/>
      <c r="J236" s="1001"/>
      <c r="K236" s="1001"/>
      <c r="L236" s="1005"/>
      <c r="M236" s="1005"/>
      <c r="N236" s="1005">
        <f>3*12</f>
        <v>36</v>
      </c>
      <c r="O236" s="1005"/>
      <c r="P236" s="1005"/>
      <c r="Q236" s="1005"/>
      <c r="R236" s="1019">
        <f>1*12</f>
        <v>12</v>
      </c>
      <c r="S236" s="1020">
        <f>4*12</f>
        <v>48</v>
      </c>
      <c r="T236" s="1021"/>
      <c r="U236" s="1024">
        <f t="shared" si="173"/>
        <v>96</v>
      </c>
      <c r="V236" s="1022"/>
      <c r="W236" s="1023"/>
      <c r="X236" s="1024">
        <f t="shared" si="174"/>
        <v>96</v>
      </c>
      <c r="Y236" s="1023"/>
      <c r="Z236" s="1024">
        <f t="shared" ref="Z236:Z238" si="176">X236+Y236</f>
        <v>96</v>
      </c>
      <c r="AA236" s="872"/>
      <c r="AB236" s="872"/>
      <c r="AC236" s="872"/>
    </row>
    <row r="237" spans="1:29" ht="21">
      <c r="A237" s="537" t="s">
        <v>665</v>
      </c>
      <c r="B237" s="552"/>
      <c r="C237"/>
      <c r="D237" s="544">
        <v>46142</v>
      </c>
      <c r="E237" s="1001">
        <f>6*12</f>
        <v>72</v>
      </c>
      <c r="F237" s="1001"/>
      <c r="G237" s="1001"/>
      <c r="H237" s="1001"/>
      <c r="I237" s="1001"/>
      <c r="J237" s="1001"/>
      <c r="K237" s="1001"/>
      <c r="L237" s="1005"/>
      <c r="M237" s="1005"/>
      <c r="N237" s="1005"/>
      <c r="O237" s="1005"/>
      <c r="P237" s="1005"/>
      <c r="Q237" s="1005"/>
      <c r="R237" s="1019"/>
      <c r="S237" s="1020"/>
      <c r="T237" s="1021"/>
      <c r="U237" s="1024">
        <f t="shared" ref="U237:U238" si="177">SUM(E237:S237)</f>
        <v>72</v>
      </c>
      <c r="V237" s="1022"/>
      <c r="W237" s="1023"/>
      <c r="X237" s="1024">
        <f t="shared" ref="X237:X238" si="178">U237+V237</f>
        <v>72</v>
      </c>
      <c r="Y237" s="1023"/>
      <c r="Z237" s="1024">
        <f t="shared" si="176"/>
        <v>72</v>
      </c>
      <c r="AA237" s="872"/>
      <c r="AB237" s="872"/>
      <c r="AC237" s="872"/>
    </row>
    <row r="238" spans="1:29" ht="21">
      <c r="A238" s="551" t="s">
        <v>619</v>
      </c>
      <c r="B238" s="550"/>
      <c r="C238" s="549"/>
      <c r="D238" s="544">
        <v>46142</v>
      </c>
      <c r="E238" s="904"/>
      <c r="F238" s="904"/>
      <c r="G238" s="904"/>
      <c r="H238" s="904"/>
      <c r="I238" s="904"/>
      <c r="J238" s="904"/>
      <c r="K238" s="904"/>
      <c r="L238" s="912"/>
      <c r="M238" s="912"/>
      <c r="N238" s="912"/>
      <c r="O238" s="912"/>
      <c r="P238" s="912"/>
      <c r="Q238" s="912"/>
      <c r="R238" s="941">
        <f>2*12</f>
        <v>24</v>
      </c>
      <c r="S238" s="969"/>
      <c r="T238" s="938"/>
      <c r="U238" s="944">
        <f t="shared" si="177"/>
        <v>24</v>
      </c>
      <c r="V238" s="942"/>
      <c r="W238" s="957"/>
      <c r="X238" s="944">
        <f t="shared" si="178"/>
        <v>24</v>
      </c>
      <c r="Y238" s="957"/>
      <c r="Z238" s="944">
        <f t="shared" si="176"/>
        <v>24</v>
      </c>
      <c r="AA238" s="872"/>
      <c r="AB238" s="872"/>
      <c r="AC238" s="872"/>
    </row>
    <row r="239" spans="1:29" ht="21">
      <c r="A239" s="551"/>
      <c r="B239" s="538"/>
      <c r="C239" s="539"/>
      <c r="D239" s="544"/>
      <c r="E239" s="904"/>
      <c r="F239" s="904"/>
      <c r="G239" s="904"/>
      <c r="H239" s="904"/>
      <c r="I239" s="904"/>
      <c r="J239" s="904"/>
      <c r="K239" s="904"/>
      <c r="L239" s="912"/>
      <c r="M239" s="912"/>
      <c r="N239" s="912"/>
      <c r="O239" s="912"/>
      <c r="P239" s="912"/>
      <c r="Q239" s="912"/>
      <c r="R239" s="941"/>
      <c r="S239" s="969"/>
      <c r="T239" s="938"/>
      <c r="U239" s="944">
        <f t="shared" ref="U239" si="179">SUM(E239:S239)</f>
        <v>0</v>
      </c>
      <c r="V239" s="942"/>
      <c r="W239" s="957"/>
      <c r="X239" s="944">
        <f t="shared" ref="X239" si="180">U239+V239</f>
        <v>0</v>
      </c>
      <c r="Y239" s="957"/>
      <c r="Z239" s="944">
        <f t="shared" ref="Z239" si="181">X239+Y239</f>
        <v>0</v>
      </c>
      <c r="AA239" s="872"/>
      <c r="AB239" s="872"/>
      <c r="AC239" s="872"/>
    </row>
    <row r="240" spans="1:29" ht="21">
      <c r="A240" s="537"/>
      <c r="B240" s="1112"/>
      <c r="C240" s="1113"/>
      <c r="D240" s="1114"/>
      <c r="E240" s="1001"/>
      <c r="F240" s="1001"/>
      <c r="G240" s="1001"/>
      <c r="H240" s="1001"/>
      <c r="I240" s="1001"/>
      <c r="J240" s="1001"/>
      <c r="K240" s="1001"/>
      <c r="L240" s="1005"/>
      <c r="M240" s="1005"/>
      <c r="N240" s="1005"/>
      <c r="O240" s="1005"/>
      <c r="P240" s="1005"/>
      <c r="Q240" s="1005"/>
      <c r="R240" s="1019"/>
      <c r="S240" s="1020"/>
      <c r="T240" s="1021"/>
      <c r="U240" s="1024">
        <f t="shared" ref="U240" si="182">SUM(E240:S240)</f>
        <v>0</v>
      </c>
      <c r="V240" s="1022"/>
      <c r="W240" s="1023"/>
      <c r="X240" s="1024">
        <f t="shared" ref="X240" si="183">U240+V240</f>
        <v>0</v>
      </c>
      <c r="Y240" s="1023"/>
      <c r="Z240" s="1024">
        <f t="shared" ref="Z240" si="184">X240+Y240</f>
        <v>0</v>
      </c>
      <c r="AA240" s="872"/>
      <c r="AB240" s="872"/>
      <c r="AC240" s="872"/>
    </row>
    <row r="241" spans="1:29" ht="21">
      <c r="A241" s="561"/>
      <c r="B241" s="550"/>
      <c r="C241" s="549"/>
      <c r="D241" s="544"/>
      <c r="E241" s="904"/>
      <c r="F241" s="904"/>
      <c r="G241" s="904"/>
      <c r="H241" s="904"/>
      <c r="I241" s="904"/>
      <c r="J241" s="904"/>
      <c r="K241" s="904"/>
      <c r="L241" s="912"/>
      <c r="M241" s="912"/>
      <c r="N241" s="912"/>
      <c r="O241" s="912"/>
      <c r="P241" s="912"/>
      <c r="Q241" s="912"/>
      <c r="R241" s="941"/>
      <c r="S241" s="969"/>
      <c r="T241" s="938"/>
      <c r="U241" s="944">
        <f t="shared" si="162"/>
        <v>0</v>
      </c>
      <c r="V241" s="942"/>
      <c r="W241" s="957"/>
      <c r="X241" s="944">
        <f t="shared" si="163"/>
        <v>0</v>
      </c>
      <c r="Y241" s="957"/>
      <c r="Z241" s="944">
        <f t="shared" si="164"/>
        <v>0</v>
      </c>
      <c r="AA241" s="872"/>
      <c r="AB241" s="872"/>
      <c r="AC241" s="872"/>
    </row>
    <row r="242" spans="1:29" ht="21">
      <c r="A242" s="551"/>
      <c r="B242" s="550"/>
      <c r="C242" s="549"/>
      <c r="D242" s="544"/>
      <c r="E242" s="1001"/>
      <c r="F242" s="1001"/>
      <c r="G242" s="1001"/>
      <c r="H242" s="1001"/>
      <c r="I242" s="1001"/>
      <c r="J242" s="1001"/>
      <c r="K242" s="1001"/>
      <c r="L242" s="1005"/>
      <c r="M242" s="1005"/>
      <c r="N242" s="1005"/>
      <c r="O242" s="1005"/>
      <c r="P242" s="1005"/>
      <c r="Q242" s="1005"/>
      <c r="R242" s="1019"/>
      <c r="S242" s="1020"/>
      <c r="T242" s="1021"/>
      <c r="U242" s="1024">
        <f t="shared" si="162"/>
        <v>0</v>
      </c>
      <c r="V242" s="1022"/>
      <c r="W242" s="1023"/>
      <c r="X242" s="1024">
        <f t="shared" si="163"/>
        <v>0</v>
      </c>
      <c r="Y242" s="1023"/>
      <c r="Z242" s="1024">
        <f t="shared" si="164"/>
        <v>0</v>
      </c>
      <c r="AA242" s="872"/>
      <c r="AB242" s="872"/>
      <c r="AC242" s="872"/>
    </row>
    <row r="243" spans="1:29" ht="21">
      <c r="A243" s="537"/>
      <c r="B243" s="550"/>
      <c r="C243" s="549"/>
      <c r="D243" s="544"/>
      <c r="E243" s="904"/>
      <c r="F243" s="904"/>
      <c r="G243" s="904"/>
      <c r="H243" s="904"/>
      <c r="I243" s="904"/>
      <c r="J243" s="904"/>
      <c r="K243" s="904"/>
      <c r="L243" s="912"/>
      <c r="M243" s="912"/>
      <c r="N243" s="912"/>
      <c r="O243" s="912"/>
      <c r="P243" s="912"/>
      <c r="Q243" s="912"/>
      <c r="R243" s="941"/>
      <c r="S243" s="969"/>
      <c r="T243" s="938"/>
      <c r="U243" s="944">
        <f t="shared" ref="U243:U244" si="185">SUM(E243:S243)</f>
        <v>0</v>
      </c>
      <c r="V243" s="942"/>
      <c r="W243" s="957"/>
      <c r="X243" s="944">
        <f t="shared" ref="X243:X244" si="186">U243+V243</f>
        <v>0</v>
      </c>
      <c r="Y243" s="957"/>
      <c r="Z243" s="944">
        <f t="shared" ref="Z243:Z244" si="187">X243+Y243</f>
        <v>0</v>
      </c>
      <c r="AA243" s="872"/>
      <c r="AB243" s="872"/>
      <c r="AC243" s="872"/>
    </row>
    <row r="244" spans="1:29" ht="21">
      <c r="A244" s="537"/>
      <c r="B244" s="1112"/>
      <c r="C244" s="1113"/>
      <c r="D244" s="1114"/>
      <c r="E244" s="904"/>
      <c r="F244" s="904"/>
      <c r="G244" s="904"/>
      <c r="H244" s="904"/>
      <c r="I244" s="904"/>
      <c r="J244" s="904"/>
      <c r="K244" s="904"/>
      <c r="L244" s="912"/>
      <c r="M244" s="912"/>
      <c r="N244" s="912"/>
      <c r="O244" s="912"/>
      <c r="P244" s="912"/>
      <c r="Q244" s="912"/>
      <c r="R244" s="941"/>
      <c r="S244" s="969"/>
      <c r="T244" s="938"/>
      <c r="U244" s="944">
        <f t="shared" si="185"/>
        <v>0</v>
      </c>
      <c r="V244" s="942"/>
      <c r="W244" s="957"/>
      <c r="X244" s="944">
        <f t="shared" si="186"/>
        <v>0</v>
      </c>
      <c r="Y244" s="957"/>
      <c r="Z244" s="944">
        <f t="shared" si="187"/>
        <v>0</v>
      </c>
      <c r="AA244" s="872"/>
      <c r="AB244" s="872"/>
      <c r="AC244" s="872"/>
    </row>
    <row r="245" spans="1:29" ht="21">
      <c r="A245" s="537"/>
      <c r="B245" s="550"/>
      <c r="C245" s="549"/>
      <c r="D245" s="544"/>
      <c r="E245" s="904"/>
      <c r="F245" s="904"/>
      <c r="G245" s="904"/>
      <c r="H245" s="904"/>
      <c r="I245" s="904"/>
      <c r="J245" s="904"/>
      <c r="K245" s="904"/>
      <c r="L245" s="912"/>
      <c r="M245" s="912"/>
      <c r="N245" s="912"/>
      <c r="O245" s="912"/>
      <c r="P245" s="912"/>
      <c r="Q245" s="912"/>
      <c r="R245" s="941"/>
      <c r="S245" s="969"/>
      <c r="T245" s="938"/>
      <c r="U245" s="944">
        <f t="shared" ref="U245" si="188">SUM(E245:S245)</f>
        <v>0</v>
      </c>
      <c r="V245" s="942"/>
      <c r="W245" s="957"/>
      <c r="X245" s="944">
        <f t="shared" ref="X245" si="189">U245+V245</f>
        <v>0</v>
      </c>
      <c r="Y245" s="957"/>
      <c r="Z245" s="944">
        <f t="shared" ref="Z245" si="190">X245+Y245</f>
        <v>0</v>
      </c>
      <c r="AA245" s="872"/>
      <c r="AB245" s="872"/>
      <c r="AC245" s="872"/>
    </row>
    <row r="246" spans="1:29" ht="21">
      <c r="A246" s="547"/>
      <c r="B246" s="550"/>
      <c r="C246" s="549"/>
      <c r="D246" s="544"/>
      <c r="E246" s="1001"/>
      <c r="F246" s="1001"/>
      <c r="G246" s="1001"/>
      <c r="H246" s="1001"/>
      <c r="I246" s="1001"/>
      <c r="J246" s="1001"/>
      <c r="K246" s="1001"/>
      <c r="L246" s="1005"/>
      <c r="M246" s="1005"/>
      <c r="N246" s="1005"/>
      <c r="O246" s="1005"/>
      <c r="P246" s="1005"/>
      <c r="Q246" s="1005"/>
      <c r="R246" s="1019"/>
      <c r="S246" s="1020"/>
      <c r="T246" s="1021"/>
      <c r="U246" s="1024">
        <f t="shared" si="162"/>
        <v>0</v>
      </c>
      <c r="V246" s="1022"/>
      <c r="W246" s="1023"/>
      <c r="X246" s="1024">
        <f t="shared" si="163"/>
        <v>0</v>
      </c>
      <c r="Y246" s="1023"/>
      <c r="Z246" s="1024">
        <f t="shared" si="164"/>
        <v>0</v>
      </c>
    </row>
    <row r="247" spans="1:29" ht="21">
      <c r="A247" s="537"/>
      <c r="B247" s="550"/>
      <c r="C247" s="549"/>
      <c r="D247" s="544"/>
      <c r="E247" s="904"/>
      <c r="F247" s="904"/>
      <c r="G247" s="904"/>
      <c r="H247" s="904"/>
      <c r="I247" s="904"/>
      <c r="J247" s="904"/>
      <c r="K247" s="904"/>
      <c r="L247" s="912"/>
      <c r="M247" s="912"/>
      <c r="N247" s="912"/>
      <c r="O247" s="912"/>
      <c r="P247" s="912"/>
      <c r="Q247" s="912"/>
      <c r="R247" s="941"/>
      <c r="S247" s="969"/>
      <c r="T247" s="938"/>
      <c r="U247" s="944">
        <f t="shared" ref="U247:U249" si="191">SUM(E247:S247)</f>
        <v>0</v>
      </c>
      <c r="V247" s="942"/>
      <c r="W247" s="957"/>
      <c r="X247" s="944">
        <f t="shared" ref="X247:X252" si="192">U247+V247</f>
        <v>0</v>
      </c>
      <c r="Y247" s="957"/>
      <c r="Z247" s="944">
        <f t="shared" ref="Z247:Z252" si="193">X247+Y247</f>
        <v>0</v>
      </c>
    </row>
    <row r="248" spans="1:29" ht="21">
      <c r="A248" s="537"/>
      <c r="B248" s="550"/>
      <c r="C248" s="549"/>
      <c r="D248" s="544"/>
      <c r="E248" s="904"/>
      <c r="F248" s="904"/>
      <c r="G248" s="904"/>
      <c r="H248" s="904"/>
      <c r="I248" s="904"/>
      <c r="J248" s="904"/>
      <c r="K248" s="904"/>
      <c r="L248" s="912"/>
      <c r="M248" s="912"/>
      <c r="N248" s="912"/>
      <c r="O248" s="912"/>
      <c r="P248" s="912"/>
      <c r="Q248" s="912"/>
      <c r="R248" s="941"/>
      <c r="S248" s="969"/>
      <c r="T248" s="938"/>
      <c r="U248" s="944">
        <f t="shared" si="191"/>
        <v>0</v>
      </c>
      <c r="V248" s="942"/>
      <c r="W248" s="957"/>
      <c r="X248" s="944">
        <f t="shared" si="192"/>
        <v>0</v>
      </c>
      <c r="Y248" s="957"/>
      <c r="Z248" s="944">
        <f t="shared" si="193"/>
        <v>0</v>
      </c>
      <c r="AA248" s="403"/>
      <c r="AB248" s="403"/>
      <c r="AC248" s="403"/>
    </row>
    <row r="249" spans="1:29" ht="21">
      <c r="A249" s="537"/>
      <c r="B249" s="550"/>
      <c r="C249" s="549"/>
      <c r="D249" s="544"/>
      <c r="E249" s="904"/>
      <c r="F249" s="904"/>
      <c r="G249" s="904"/>
      <c r="H249" s="904"/>
      <c r="I249" s="904"/>
      <c r="J249" s="904"/>
      <c r="K249" s="904"/>
      <c r="L249" s="912"/>
      <c r="M249" s="912"/>
      <c r="N249" s="912"/>
      <c r="O249" s="912"/>
      <c r="P249" s="912"/>
      <c r="Q249" s="912"/>
      <c r="R249" s="941"/>
      <c r="S249" s="969"/>
      <c r="T249" s="938"/>
      <c r="U249" s="944">
        <f t="shared" si="191"/>
        <v>0</v>
      </c>
      <c r="V249" s="942"/>
      <c r="W249" s="957"/>
      <c r="X249" s="944">
        <f t="shared" si="192"/>
        <v>0</v>
      </c>
      <c r="Y249" s="957"/>
      <c r="Z249" s="944">
        <f t="shared" si="193"/>
        <v>0</v>
      </c>
      <c r="AA249" s="282"/>
      <c r="AB249" s="282"/>
      <c r="AC249" s="282"/>
    </row>
    <row r="250" spans="1:29" ht="21">
      <c r="A250" s="537"/>
      <c r="B250" s="550"/>
      <c r="C250" s="549"/>
      <c r="D250" s="544"/>
      <c r="E250" s="904"/>
      <c r="F250" s="904"/>
      <c r="G250" s="904"/>
      <c r="H250" s="904"/>
      <c r="I250" s="904"/>
      <c r="J250" s="904"/>
      <c r="K250" s="904"/>
      <c r="L250" s="912"/>
      <c r="M250" s="912"/>
      <c r="N250" s="912"/>
      <c r="O250" s="912"/>
      <c r="P250" s="912"/>
      <c r="Q250" s="912"/>
      <c r="R250" s="941"/>
      <c r="S250" s="969"/>
      <c r="T250" s="938"/>
      <c r="U250" s="944">
        <f t="shared" ref="U250:U252" si="194">SUM(E250:S250)</f>
        <v>0</v>
      </c>
      <c r="V250" s="942"/>
      <c r="W250" s="957"/>
      <c r="X250" s="944">
        <f t="shared" ref="X250:X251" si="195">U250+V250</f>
        <v>0</v>
      </c>
      <c r="Y250" s="957"/>
      <c r="Z250" s="944">
        <f t="shared" ref="Z250:Z251" si="196">X250+Y250</f>
        <v>0</v>
      </c>
    </row>
    <row r="251" spans="1:29" ht="21">
      <c r="A251" s="537"/>
      <c r="B251" s="550"/>
      <c r="C251" s="549"/>
      <c r="D251" s="544"/>
      <c r="E251" s="904"/>
      <c r="F251" s="904"/>
      <c r="G251" s="904"/>
      <c r="H251" s="904"/>
      <c r="I251" s="904"/>
      <c r="J251" s="904"/>
      <c r="K251" s="904"/>
      <c r="L251" s="912"/>
      <c r="M251" s="912"/>
      <c r="N251" s="912"/>
      <c r="O251" s="912"/>
      <c r="P251" s="912"/>
      <c r="Q251" s="912"/>
      <c r="R251" s="941"/>
      <c r="S251" s="969"/>
      <c r="T251" s="938"/>
      <c r="U251" s="944">
        <f t="shared" si="194"/>
        <v>0</v>
      </c>
      <c r="V251" s="942"/>
      <c r="W251" s="957"/>
      <c r="X251" s="944">
        <f t="shared" si="195"/>
        <v>0</v>
      </c>
      <c r="Y251" s="957"/>
      <c r="Z251" s="944">
        <f t="shared" si="196"/>
        <v>0</v>
      </c>
      <c r="AA251" s="394"/>
      <c r="AB251" s="394"/>
      <c r="AC251" s="394"/>
    </row>
    <row r="252" spans="1:29" ht="21">
      <c r="A252" s="561"/>
      <c r="B252" s="550"/>
      <c r="C252" s="549"/>
      <c r="D252" s="544"/>
      <c r="E252" s="904"/>
      <c r="F252" s="904"/>
      <c r="G252" s="904"/>
      <c r="H252" s="904"/>
      <c r="I252" s="904"/>
      <c r="J252" s="904"/>
      <c r="K252" s="904"/>
      <c r="L252" s="912"/>
      <c r="M252" s="912"/>
      <c r="N252" s="912"/>
      <c r="O252" s="912"/>
      <c r="P252" s="912"/>
      <c r="Q252" s="912"/>
      <c r="R252" s="941"/>
      <c r="S252" s="969"/>
      <c r="T252" s="938"/>
      <c r="U252" s="944">
        <f t="shared" si="194"/>
        <v>0</v>
      </c>
      <c r="V252" s="942"/>
      <c r="W252" s="957"/>
      <c r="X252" s="944">
        <f t="shared" si="192"/>
        <v>0</v>
      </c>
      <c r="Y252" s="957"/>
      <c r="Z252" s="944">
        <f t="shared" si="193"/>
        <v>0</v>
      </c>
      <c r="AA252" s="403"/>
      <c r="AB252" s="403"/>
      <c r="AC252" s="403"/>
    </row>
    <row r="253" spans="1:29" ht="21">
      <c r="A253" s="537"/>
      <c r="B253" s="552"/>
      <c r="C253" s="553"/>
      <c r="D253" s="544"/>
      <c r="E253" s="904"/>
      <c r="F253" s="904"/>
      <c r="G253" s="904"/>
      <c r="H253" s="904"/>
      <c r="I253" s="904"/>
      <c r="J253" s="904"/>
      <c r="K253" s="904"/>
      <c r="L253" s="912"/>
      <c r="M253" s="912"/>
      <c r="N253" s="912"/>
      <c r="O253" s="912"/>
      <c r="P253" s="912"/>
      <c r="Q253" s="912"/>
      <c r="R253" s="941"/>
      <c r="S253" s="969"/>
      <c r="T253" s="943"/>
      <c r="U253" s="942">
        <f t="shared" ref="U253:U272" si="197">SUM(E253:S253)</f>
        <v>0</v>
      </c>
      <c r="V253" s="942"/>
      <c r="W253" s="957"/>
      <c r="X253" s="942">
        <f t="shared" ref="X253:X272" si="198">U253+V253</f>
        <v>0</v>
      </c>
      <c r="Y253" s="957"/>
      <c r="Z253" s="942">
        <f t="shared" ref="Z253:Z272" si="199">X253+Y253</f>
        <v>0</v>
      </c>
    </row>
    <row r="254" spans="1:29" ht="21">
      <c r="A254" s="537"/>
      <c r="B254" s="550"/>
      <c r="C254" s="549"/>
      <c r="D254" s="544"/>
      <c r="E254" s="912"/>
      <c r="F254" s="912"/>
      <c r="G254" s="912"/>
      <c r="H254" s="912"/>
      <c r="I254" s="912"/>
      <c r="J254" s="912"/>
      <c r="K254" s="912"/>
      <c r="L254" s="912"/>
      <c r="M254" s="912"/>
      <c r="N254" s="912"/>
      <c r="O254" s="912"/>
      <c r="P254" s="912"/>
      <c r="Q254" s="912"/>
      <c r="R254" s="912"/>
      <c r="S254" s="941"/>
      <c r="T254" s="956"/>
      <c r="U254" s="904">
        <f t="shared" si="197"/>
        <v>0</v>
      </c>
      <c r="V254" s="912"/>
      <c r="W254" s="912"/>
      <c r="X254" s="912">
        <f t="shared" si="198"/>
        <v>0</v>
      </c>
      <c r="Y254" s="912"/>
      <c r="Z254" s="912">
        <f t="shared" si="199"/>
        <v>0</v>
      </c>
    </row>
    <row r="255" spans="1:29" ht="21">
      <c r="A255" s="537"/>
      <c r="B255" s="550"/>
      <c r="C255" s="549"/>
      <c r="D255" s="544"/>
      <c r="E255" s="912"/>
      <c r="F255" s="912"/>
      <c r="G255" s="912"/>
      <c r="H255" s="912"/>
      <c r="I255" s="912"/>
      <c r="J255" s="912"/>
      <c r="K255" s="912"/>
      <c r="L255" s="912"/>
      <c r="M255" s="912"/>
      <c r="N255" s="912"/>
      <c r="O255" s="912"/>
      <c r="P255" s="912"/>
      <c r="Q255" s="912"/>
      <c r="R255" s="912"/>
      <c r="S255" s="941"/>
      <c r="T255" s="942"/>
      <c r="U255" s="904">
        <f t="shared" si="197"/>
        <v>0</v>
      </c>
      <c r="V255" s="912"/>
      <c r="W255" s="912"/>
      <c r="X255" s="912">
        <f t="shared" si="198"/>
        <v>0</v>
      </c>
      <c r="Y255" s="912"/>
      <c r="Z255" s="912">
        <f t="shared" si="199"/>
        <v>0</v>
      </c>
    </row>
    <row r="256" spans="1:29" ht="21">
      <c r="A256" s="537"/>
      <c r="B256" s="550"/>
      <c r="C256" s="549"/>
      <c r="D256" s="544"/>
      <c r="E256" s="912"/>
      <c r="F256" s="912"/>
      <c r="G256" s="912"/>
      <c r="H256" s="912"/>
      <c r="I256" s="912"/>
      <c r="J256" s="912"/>
      <c r="K256" s="912"/>
      <c r="L256" s="912"/>
      <c r="M256" s="912"/>
      <c r="N256" s="912"/>
      <c r="O256" s="912"/>
      <c r="P256" s="912"/>
      <c r="Q256" s="912"/>
      <c r="R256" s="912"/>
      <c r="S256" s="941"/>
      <c r="T256" s="942"/>
      <c r="U256" s="904">
        <f t="shared" si="197"/>
        <v>0</v>
      </c>
      <c r="V256" s="912"/>
      <c r="W256" s="912"/>
      <c r="X256" s="912">
        <f t="shared" si="198"/>
        <v>0</v>
      </c>
      <c r="Y256" s="912"/>
      <c r="Z256" s="912">
        <f t="shared" si="199"/>
        <v>0</v>
      </c>
    </row>
    <row r="257" spans="1:26" ht="21">
      <c r="A257" s="537"/>
      <c r="B257" s="550"/>
      <c r="C257" s="549"/>
      <c r="D257" s="544"/>
      <c r="E257" s="912"/>
      <c r="F257" s="912"/>
      <c r="G257" s="912"/>
      <c r="H257" s="912"/>
      <c r="I257" s="912"/>
      <c r="J257" s="912"/>
      <c r="K257" s="912"/>
      <c r="L257" s="912"/>
      <c r="M257" s="912"/>
      <c r="N257" s="912"/>
      <c r="O257" s="912"/>
      <c r="P257" s="912"/>
      <c r="Q257" s="912"/>
      <c r="R257" s="912"/>
      <c r="S257" s="941"/>
      <c r="T257" s="942"/>
      <c r="U257" s="904">
        <f t="shared" ref="U257" si="200">SUM(E257:S257)</f>
        <v>0</v>
      </c>
      <c r="V257" s="912"/>
      <c r="W257" s="912"/>
      <c r="X257" s="912">
        <f t="shared" ref="X257" si="201">U257+V257</f>
        <v>0</v>
      </c>
      <c r="Y257" s="912"/>
      <c r="Z257" s="912">
        <f t="shared" ref="Z257" si="202">X257+Y257</f>
        <v>0</v>
      </c>
    </row>
    <row r="258" spans="1:26" ht="21">
      <c r="A258" s="551"/>
      <c r="B258" s="550"/>
      <c r="C258" s="549"/>
      <c r="D258" s="544"/>
      <c r="E258" s="912"/>
      <c r="F258" s="912"/>
      <c r="G258" s="912"/>
      <c r="H258" s="912"/>
      <c r="I258" s="912"/>
      <c r="J258" s="912"/>
      <c r="K258" s="912"/>
      <c r="L258" s="912"/>
      <c r="M258" s="912"/>
      <c r="N258" s="912"/>
      <c r="O258" s="912"/>
      <c r="P258" s="912"/>
      <c r="Q258" s="912"/>
      <c r="R258" s="912"/>
      <c r="S258" s="941"/>
      <c r="T258" s="942"/>
      <c r="U258" s="904">
        <f t="shared" ref="U258" si="203">SUM(E258:S258)</f>
        <v>0</v>
      </c>
      <c r="V258" s="912"/>
      <c r="W258" s="912"/>
      <c r="X258" s="912">
        <f t="shared" ref="X258" si="204">U258+V258</f>
        <v>0</v>
      </c>
      <c r="Y258" s="912"/>
      <c r="Z258" s="912">
        <f t="shared" ref="Z258" si="205">X258+Y258</f>
        <v>0</v>
      </c>
    </row>
    <row r="259" spans="1:26" ht="21">
      <c r="A259" s="537"/>
      <c r="B259" s="550"/>
      <c r="C259" s="549"/>
      <c r="D259" s="544"/>
      <c r="E259" s="912"/>
      <c r="F259" s="912"/>
      <c r="G259" s="912"/>
      <c r="H259" s="912"/>
      <c r="I259" s="912"/>
      <c r="J259" s="912"/>
      <c r="K259" s="912"/>
      <c r="L259" s="912"/>
      <c r="M259" s="912"/>
      <c r="N259" s="912"/>
      <c r="O259" s="912"/>
      <c r="P259" s="912"/>
      <c r="Q259" s="912"/>
      <c r="R259" s="912"/>
      <c r="S259" s="941"/>
      <c r="T259" s="942"/>
      <c r="U259" s="904">
        <f t="shared" ref="U259" si="206">SUM(E259:S259)</f>
        <v>0</v>
      </c>
      <c r="V259" s="912"/>
      <c r="W259" s="912"/>
      <c r="X259" s="912">
        <f t="shared" ref="X259" si="207">U259+V259</f>
        <v>0</v>
      </c>
      <c r="Y259" s="912"/>
      <c r="Z259" s="912">
        <f t="shared" ref="Z259" si="208">X259+Y259</f>
        <v>0</v>
      </c>
    </row>
    <row r="260" spans="1:26" ht="21">
      <c r="A260" s="537"/>
      <c r="B260" s="550"/>
      <c r="C260" s="549"/>
      <c r="D260" s="544"/>
      <c r="E260" s="912"/>
      <c r="F260" s="912"/>
      <c r="G260" s="912"/>
      <c r="H260" s="912"/>
      <c r="I260" s="912"/>
      <c r="J260" s="912"/>
      <c r="K260" s="912"/>
      <c r="L260" s="912"/>
      <c r="M260" s="912"/>
      <c r="N260" s="912"/>
      <c r="O260" s="912"/>
      <c r="P260" s="912"/>
      <c r="Q260" s="912"/>
      <c r="R260" s="912"/>
      <c r="S260" s="941"/>
      <c r="T260" s="942"/>
      <c r="U260" s="904">
        <f t="shared" si="197"/>
        <v>0</v>
      </c>
      <c r="V260" s="912"/>
      <c r="W260" s="912"/>
      <c r="X260" s="912">
        <f t="shared" si="198"/>
        <v>0</v>
      </c>
      <c r="Y260" s="912"/>
      <c r="Z260" s="912">
        <f t="shared" si="199"/>
        <v>0</v>
      </c>
    </row>
    <row r="261" spans="1:26" ht="21.75" thickBot="1">
      <c r="A261" s="551"/>
      <c r="B261" s="550"/>
      <c r="C261" s="549"/>
      <c r="D261" s="544"/>
      <c r="E261" s="912"/>
      <c r="F261" s="912"/>
      <c r="G261" s="912"/>
      <c r="H261" s="912"/>
      <c r="I261" s="912"/>
      <c r="J261" s="912"/>
      <c r="K261" s="912"/>
      <c r="L261" s="912"/>
      <c r="M261" s="912"/>
      <c r="N261" s="912"/>
      <c r="O261" s="912"/>
      <c r="P261" s="912"/>
      <c r="Q261" s="912"/>
      <c r="R261" s="912"/>
      <c r="S261" s="941"/>
      <c r="T261" s="976"/>
      <c r="U261" s="904">
        <f t="shared" si="197"/>
        <v>0</v>
      </c>
      <c r="V261" s="912"/>
      <c r="W261" s="912"/>
      <c r="X261" s="912">
        <f t="shared" si="198"/>
        <v>0</v>
      </c>
      <c r="Y261" s="912"/>
      <c r="Z261" s="912">
        <f t="shared" si="199"/>
        <v>0</v>
      </c>
    </row>
    <row r="262" spans="1:26" ht="21.75" thickBot="1">
      <c r="A262" s="537"/>
      <c r="B262" s="550"/>
      <c r="C262" s="549"/>
      <c r="D262" s="544"/>
      <c r="E262" s="912"/>
      <c r="F262" s="912"/>
      <c r="G262" s="912"/>
      <c r="H262" s="912"/>
      <c r="I262" s="912"/>
      <c r="J262" s="912"/>
      <c r="K262" s="912"/>
      <c r="L262" s="912"/>
      <c r="M262" s="912"/>
      <c r="N262" s="912"/>
      <c r="O262" s="912"/>
      <c r="P262" s="912"/>
      <c r="Q262" s="912"/>
      <c r="R262" s="912"/>
      <c r="S262" s="941"/>
      <c r="T262" s="976"/>
      <c r="U262" s="904">
        <f t="shared" si="197"/>
        <v>0</v>
      </c>
      <c r="V262" s="912"/>
      <c r="W262" s="912"/>
      <c r="X262" s="912">
        <f t="shared" si="198"/>
        <v>0</v>
      </c>
      <c r="Y262" s="912"/>
      <c r="Z262" s="912">
        <f t="shared" si="199"/>
        <v>0</v>
      </c>
    </row>
    <row r="263" spans="1:26" ht="21.75" thickBot="1">
      <c r="A263" s="537"/>
      <c r="B263" s="550"/>
      <c r="C263" s="549"/>
      <c r="D263" s="544"/>
      <c r="E263" s="912"/>
      <c r="F263" s="912"/>
      <c r="G263" s="912"/>
      <c r="H263" s="912"/>
      <c r="I263" s="912"/>
      <c r="J263" s="912"/>
      <c r="K263" s="912"/>
      <c r="L263" s="912"/>
      <c r="M263" s="912"/>
      <c r="N263" s="912"/>
      <c r="O263" s="912"/>
      <c r="P263" s="912"/>
      <c r="Q263" s="912"/>
      <c r="R263" s="912"/>
      <c r="S263" s="941"/>
      <c r="T263" s="976"/>
      <c r="U263" s="904">
        <f t="shared" si="197"/>
        <v>0</v>
      </c>
      <c r="V263" s="912"/>
      <c r="W263" s="912"/>
      <c r="X263" s="912">
        <f t="shared" si="198"/>
        <v>0</v>
      </c>
      <c r="Y263" s="912"/>
      <c r="Z263" s="912">
        <f t="shared" si="199"/>
        <v>0</v>
      </c>
    </row>
    <row r="264" spans="1:26" ht="21.75" thickBot="1">
      <c r="A264" s="537"/>
      <c r="B264" s="550"/>
      <c r="C264" s="549"/>
      <c r="D264" s="544"/>
      <c r="E264" s="912"/>
      <c r="F264" s="912"/>
      <c r="G264" s="912"/>
      <c r="H264" s="912"/>
      <c r="I264" s="912"/>
      <c r="J264" s="912"/>
      <c r="K264" s="912"/>
      <c r="L264" s="912"/>
      <c r="M264" s="912"/>
      <c r="N264" s="912"/>
      <c r="O264" s="912"/>
      <c r="P264" s="912"/>
      <c r="Q264" s="912"/>
      <c r="R264" s="912"/>
      <c r="S264" s="941"/>
      <c r="T264" s="976"/>
      <c r="U264" s="904">
        <f t="shared" si="197"/>
        <v>0</v>
      </c>
      <c r="V264" s="912"/>
      <c r="W264" s="912"/>
      <c r="X264" s="912">
        <f t="shared" si="198"/>
        <v>0</v>
      </c>
      <c r="Y264" s="912"/>
      <c r="Z264" s="912">
        <f t="shared" si="199"/>
        <v>0</v>
      </c>
    </row>
    <row r="265" spans="1:26" ht="21.75" thickBot="1">
      <c r="A265" s="537"/>
      <c r="B265" s="550"/>
      <c r="C265" s="549"/>
      <c r="D265" s="544"/>
      <c r="E265" s="912"/>
      <c r="F265" s="912"/>
      <c r="G265" s="912"/>
      <c r="H265" s="912"/>
      <c r="I265" s="912"/>
      <c r="J265" s="912"/>
      <c r="K265" s="912"/>
      <c r="L265" s="912"/>
      <c r="M265" s="912"/>
      <c r="N265" s="912"/>
      <c r="O265" s="912"/>
      <c r="P265" s="912"/>
      <c r="Q265" s="912"/>
      <c r="R265" s="912"/>
      <c r="S265" s="941"/>
      <c r="T265" s="976"/>
      <c r="U265" s="904">
        <f t="shared" si="197"/>
        <v>0</v>
      </c>
      <c r="V265" s="912"/>
      <c r="W265" s="912"/>
      <c r="X265" s="912">
        <f t="shared" si="198"/>
        <v>0</v>
      </c>
      <c r="Y265" s="912"/>
      <c r="Z265" s="912">
        <f t="shared" si="199"/>
        <v>0</v>
      </c>
    </row>
    <row r="266" spans="1:26" ht="21.75" thickBot="1">
      <c r="A266" s="537"/>
      <c r="B266" s="550"/>
      <c r="C266" s="549"/>
      <c r="D266" s="544"/>
      <c r="E266" s="912"/>
      <c r="F266" s="912"/>
      <c r="G266" s="912"/>
      <c r="H266" s="912"/>
      <c r="I266" s="912"/>
      <c r="J266" s="912"/>
      <c r="K266" s="912"/>
      <c r="L266" s="912"/>
      <c r="M266" s="912"/>
      <c r="N266" s="912"/>
      <c r="O266" s="912"/>
      <c r="P266" s="912"/>
      <c r="Q266" s="912"/>
      <c r="R266" s="912"/>
      <c r="S266" s="941"/>
      <c r="T266" s="976"/>
      <c r="U266" s="904">
        <f t="shared" si="197"/>
        <v>0</v>
      </c>
      <c r="V266" s="912"/>
      <c r="W266" s="912"/>
      <c r="X266" s="912">
        <f t="shared" si="198"/>
        <v>0</v>
      </c>
      <c r="Y266" s="912"/>
      <c r="Z266" s="912">
        <f t="shared" si="199"/>
        <v>0</v>
      </c>
    </row>
    <row r="267" spans="1:26" ht="21.75" thickBot="1">
      <c r="A267" s="537"/>
      <c r="B267" s="550"/>
      <c r="C267" s="549"/>
      <c r="D267" s="544"/>
      <c r="E267" s="912"/>
      <c r="F267" s="912"/>
      <c r="G267" s="912"/>
      <c r="H267" s="912"/>
      <c r="I267" s="912"/>
      <c r="J267" s="912"/>
      <c r="K267" s="912"/>
      <c r="L267" s="912"/>
      <c r="M267" s="912"/>
      <c r="N267" s="912"/>
      <c r="O267" s="912"/>
      <c r="P267" s="912"/>
      <c r="Q267" s="912"/>
      <c r="R267" s="912"/>
      <c r="S267" s="941"/>
      <c r="T267" s="976"/>
      <c r="U267" s="904">
        <f t="shared" si="197"/>
        <v>0</v>
      </c>
      <c r="V267" s="912"/>
      <c r="W267" s="912"/>
      <c r="X267" s="912">
        <f t="shared" si="198"/>
        <v>0</v>
      </c>
      <c r="Y267" s="912"/>
      <c r="Z267" s="912">
        <f t="shared" si="199"/>
        <v>0</v>
      </c>
    </row>
    <row r="268" spans="1:26" ht="21.75" thickBot="1">
      <c r="A268" s="537"/>
      <c r="B268" s="550"/>
      <c r="C268" s="549"/>
      <c r="D268" s="544"/>
      <c r="E268" s="912"/>
      <c r="F268" s="912"/>
      <c r="G268" s="912"/>
      <c r="H268" s="912"/>
      <c r="I268" s="912"/>
      <c r="J268" s="912"/>
      <c r="K268" s="912"/>
      <c r="L268" s="912"/>
      <c r="M268" s="912"/>
      <c r="N268" s="912"/>
      <c r="O268" s="912"/>
      <c r="P268" s="912"/>
      <c r="Q268" s="912"/>
      <c r="R268" s="912"/>
      <c r="S268" s="941"/>
      <c r="T268" s="976"/>
      <c r="U268" s="904">
        <f t="shared" si="197"/>
        <v>0</v>
      </c>
      <c r="V268" s="912"/>
      <c r="W268" s="912"/>
      <c r="X268" s="912">
        <f t="shared" si="198"/>
        <v>0</v>
      </c>
      <c r="Y268" s="912"/>
      <c r="Z268" s="912">
        <f t="shared" si="199"/>
        <v>0</v>
      </c>
    </row>
    <row r="269" spans="1:26" ht="21.75" thickBot="1">
      <c r="A269" s="537"/>
      <c r="B269" s="550"/>
      <c r="C269" s="549"/>
      <c r="D269" s="544"/>
      <c r="E269" s="912"/>
      <c r="F269" s="912"/>
      <c r="G269" s="912"/>
      <c r="H269" s="912"/>
      <c r="I269" s="912"/>
      <c r="J269" s="912"/>
      <c r="K269" s="912"/>
      <c r="L269" s="912"/>
      <c r="M269" s="912"/>
      <c r="N269" s="912"/>
      <c r="O269" s="912"/>
      <c r="P269" s="912"/>
      <c r="Q269" s="912"/>
      <c r="R269" s="912"/>
      <c r="S269" s="941"/>
      <c r="T269" s="976"/>
      <c r="U269" s="904">
        <f t="shared" si="197"/>
        <v>0</v>
      </c>
      <c r="V269" s="912"/>
      <c r="W269" s="912"/>
      <c r="X269" s="912">
        <f t="shared" si="198"/>
        <v>0</v>
      </c>
      <c r="Y269" s="912"/>
      <c r="Z269" s="912">
        <f t="shared" si="199"/>
        <v>0</v>
      </c>
    </row>
    <row r="270" spans="1:26" ht="21.75" thickBot="1">
      <c r="A270" s="537"/>
      <c r="B270" s="550"/>
      <c r="C270" s="549"/>
      <c r="D270" s="544"/>
      <c r="E270" s="912"/>
      <c r="F270" s="912"/>
      <c r="G270" s="912"/>
      <c r="H270" s="912"/>
      <c r="I270" s="912"/>
      <c r="J270" s="912"/>
      <c r="K270" s="912"/>
      <c r="L270" s="912"/>
      <c r="M270" s="912"/>
      <c r="N270" s="912"/>
      <c r="O270" s="912"/>
      <c r="P270" s="912"/>
      <c r="Q270" s="912"/>
      <c r="R270" s="912"/>
      <c r="S270" s="941"/>
      <c r="T270" s="976"/>
      <c r="U270" s="904">
        <f t="shared" si="197"/>
        <v>0</v>
      </c>
      <c r="V270" s="912"/>
      <c r="W270" s="912"/>
      <c r="X270" s="912">
        <f t="shared" si="198"/>
        <v>0</v>
      </c>
      <c r="Y270" s="912"/>
      <c r="Z270" s="912">
        <f t="shared" si="199"/>
        <v>0</v>
      </c>
    </row>
    <row r="271" spans="1:26" ht="21.75" thickBot="1">
      <c r="A271" s="537"/>
      <c r="B271" s="550"/>
      <c r="C271" s="549"/>
      <c r="D271" s="544"/>
      <c r="E271" s="912"/>
      <c r="F271" s="912"/>
      <c r="G271" s="912"/>
      <c r="H271" s="912"/>
      <c r="I271" s="912"/>
      <c r="J271" s="912"/>
      <c r="K271" s="912"/>
      <c r="L271" s="912"/>
      <c r="M271" s="912"/>
      <c r="N271" s="912"/>
      <c r="O271" s="912"/>
      <c r="P271" s="912"/>
      <c r="Q271" s="912"/>
      <c r="R271" s="912"/>
      <c r="S271" s="941"/>
      <c r="T271" s="976"/>
      <c r="U271" s="904">
        <f t="shared" si="197"/>
        <v>0</v>
      </c>
      <c r="V271" s="912"/>
      <c r="W271" s="912"/>
      <c r="X271" s="912">
        <f t="shared" si="198"/>
        <v>0</v>
      </c>
      <c r="Y271" s="912"/>
      <c r="Z271" s="912">
        <f t="shared" si="199"/>
        <v>0</v>
      </c>
    </row>
    <row r="272" spans="1:26" ht="21.75" thickBot="1">
      <c r="A272" s="537"/>
      <c r="B272" s="550"/>
      <c r="C272" s="549"/>
      <c r="D272" s="544"/>
      <c r="E272" s="912"/>
      <c r="F272" s="912"/>
      <c r="G272" s="912"/>
      <c r="H272" s="912"/>
      <c r="I272" s="912"/>
      <c r="J272" s="912"/>
      <c r="K272" s="912"/>
      <c r="L272" s="912"/>
      <c r="M272" s="912"/>
      <c r="N272" s="912"/>
      <c r="O272" s="912"/>
      <c r="P272" s="912"/>
      <c r="Q272" s="912"/>
      <c r="R272" s="912"/>
      <c r="S272" s="941"/>
      <c r="T272" s="976"/>
      <c r="U272" s="904">
        <f t="shared" si="197"/>
        <v>0</v>
      </c>
      <c r="V272" s="912"/>
      <c r="W272" s="912"/>
      <c r="X272" s="912">
        <f t="shared" si="198"/>
        <v>0</v>
      </c>
      <c r="Y272" s="912"/>
      <c r="Z272" s="912">
        <f t="shared" si="199"/>
        <v>0</v>
      </c>
    </row>
    <row r="273" spans="1:26" ht="21.75" thickBot="1">
      <c r="A273" s="537"/>
      <c r="B273" s="550"/>
      <c r="C273" s="549"/>
      <c r="D273" s="544"/>
      <c r="E273" s="912"/>
      <c r="F273" s="912"/>
      <c r="G273" s="912"/>
      <c r="H273" s="912"/>
      <c r="I273" s="912"/>
      <c r="J273" s="912"/>
      <c r="K273" s="912"/>
      <c r="L273" s="912"/>
      <c r="M273" s="912"/>
      <c r="N273" s="912"/>
      <c r="O273" s="912"/>
      <c r="P273" s="912"/>
      <c r="Q273" s="912"/>
      <c r="R273" s="912"/>
      <c r="S273" s="941"/>
      <c r="T273" s="976"/>
      <c r="U273" s="904">
        <f t="shared" ref="U273:U274" si="209">SUM(E273:S273)</f>
        <v>0</v>
      </c>
      <c r="V273" s="912"/>
      <c r="W273" s="912"/>
      <c r="X273" s="912">
        <f t="shared" ref="X273:X274" si="210">U273+V273</f>
        <v>0</v>
      </c>
      <c r="Y273" s="912"/>
      <c r="Z273" s="912">
        <f t="shared" ref="Z273:Z274" si="211">X273+Y273</f>
        <v>0</v>
      </c>
    </row>
    <row r="274" spans="1:26" ht="21.75" thickBot="1">
      <c r="A274" s="537"/>
      <c r="B274" s="550"/>
      <c r="C274" s="549"/>
      <c r="D274" s="544"/>
      <c r="E274" s="912"/>
      <c r="F274" s="912"/>
      <c r="G274" s="912"/>
      <c r="H274" s="912"/>
      <c r="I274" s="912"/>
      <c r="J274" s="912"/>
      <c r="K274" s="912"/>
      <c r="L274" s="912"/>
      <c r="M274" s="912"/>
      <c r="N274" s="912"/>
      <c r="O274" s="912"/>
      <c r="P274" s="912"/>
      <c r="Q274" s="912"/>
      <c r="R274" s="912"/>
      <c r="S274" s="941"/>
      <c r="T274" s="976"/>
      <c r="U274" s="904">
        <f t="shared" si="209"/>
        <v>0</v>
      </c>
      <c r="V274" s="912"/>
      <c r="W274" s="912"/>
      <c r="X274" s="912">
        <f t="shared" si="210"/>
        <v>0</v>
      </c>
      <c r="Y274" s="912"/>
      <c r="Z274" s="912">
        <f t="shared" si="211"/>
        <v>0</v>
      </c>
    </row>
    <row r="275" spans="1:26" ht="21.75" thickBot="1">
      <c r="A275" s="551"/>
      <c r="B275" s="552"/>
      <c r="C275" s="553"/>
      <c r="D275" s="1030"/>
      <c r="E275" s="912"/>
      <c r="F275" s="912"/>
      <c r="G275" s="912"/>
      <c r="H275" s="912"/>
      <c r="I275" s="912"/>
      <c r="J275" s="912"/>
      <c r="K275" s="912"/>
      <c r="L275" s="912"/>
      <c r="M275" s="912"/>
      <c r="N275" s="912"/>
      <c r="O275" s="912"/>
      <c r="P275" s="912"/>
      <c r="Q275" s="912"/>
      <c r="R275" s="912"/>
      <c r="S275" s="941"/>
      <c r="T275" s="976"/>
      <c r="U275" s="904">
        <f t="shared" ref="U275" si="212">SUM(E275:S275)</f>
        <v>0</v>
      </c>
      <c r="V275" s="912"/>
      <c r="W275" s="912"/>
      <c r="X275" s="912">
        <f t="shared" ref="X275" si="213">U275+V275</f>
        <v>0</v>
      </c>
      <c r="Y275" s="912"/>
      <c r="Z275" s="912">
        <f t="shared" ref="Z275" si="214">X275+Y275</f>
        <v>0</v>
      </c>
    </row>
    <row r="276" spans="1:26" ht="21.75" thickBot="1">
      <c r="A276" s="551"/>
      <c r="B276" s="552"/>
      <c r="C276" s="553"/>
      <c r="D276" s="1030"/>
      <c r="E276" s="912"/>
      <c r="F276" s="912"/>
      <c r="G276" s="912"/>
      <c r="H276" s="912"/>
      <c r="I276" s="912"/>
      <c r="J276" s="912"/>
      <c r="K276" s="912"/>
      <c r="L276" s="912"/>
      <c r="M276" s="912"/>
      <c r="N276" s="912"/>
      <c r="O276" s="912"/>
      <c r="P276" s="912"/>
      <c r="Q276" s="912"/>
      <c r="R276" s="912"/>
      <c r="S276" s="941"/>
      <c r="T276" s="976"/>
      <c r="U276" s="904">
        <f t="shared" ref="U276" si="215">SUM(E276:S276)</f>
        <v>0</v>
      </c>
      <c r="V276" s="912"/>
      <c r="W276" s="912"/>
      <c r="X276" s="912">
        <f t="shared" ref="X276" si="216">U276+V276</f>
        <v>0</v>
      </c>
      <c r="Y276" s="912"/>
      <c r="Z276" s="912">
        <f t="shared" ref="Z276" si="217">X276+Y276</f>
        <v>0</v>
      </c>
    </row>
    <row r="277" spans="1:26" ht="24" thickBot="1">
      <c r="A277" s="991" t="s">
        <v>151</v>
      </c>
      <c r="B277" s="992"/>
      <c r="C277" s="992"/>
      <c r="D277" s="1031"/>
      <c r="E277" s="993">
        <f t="shared" ref="E277:S277" si="218">SUM(E204:E276)</f>
        <v>324</v>
      </c>
      <c r="F277" s="993">
        <f t="shared" si="218"/>
        <v>0</v>
      </c>
      <c r="G277" s="993">
        <f t="shared" si="218"/>
        <v>0</v>
      </c>
      <c r="H277" s="993">
        <f t="shared" si="218"/>
        <v>0</v>
      </c>
      <c r="I277" s="993">
        <f t="shared" si="218"/>
        <v>0</v>
      </c>
      <c r="J277" s="993">
        <f t="shared" si="218"/>
        <v>0</v>
      </c>
      <c r="K277" s="993">
        <f t="shared" si="218"/>
        <v>0</v>
      </c>
      <c r="L277" s="993">
        <f t="shared" si="218"/>
        <v>336</v>
      </c>
      <c r="M277" s="993">
        <f t="shared" si="218"/>
        <v>0</v>
      </c>
      <c r="N277" s="993">
        <f t="shared" si="218"/>
        <v>1308</v>
      </c>
      <c r="O277" s="993">
        <f t="shared" si="218"/>
        <v>0</v>
      </c>
      <c r="P277" s="993">
        <f t="shared" si="218"/>
        <v>48</v>
      </c>
      <c r="Q277" s="993">
        <f t="shared" si="218"/>
        <v>0</v>
      </c>
      <c r="R277" s="993">
        <f t="shared" si="218"/>
        <v>192</v>
      </c>
      <c r="S277" s="993">
        <f t="shared" si="218"/>
        <v>2016</v>
      </c>
      <c r="T277" s="993"/>
      <c r="U277" s="993">
        <f t="shared" ref="U277:Z277" si="219">SUM(U204:U276)</f>
        <v>4224</v>
      </c>
      <c r="V277" s="993">
        <f t="shared" si="219"/>
        <v>0</v>
      </c>
      <c r="W277" s="993">
        <f t="shared" si="219"/>
        <v>0</v>
      </c>
      <c r="X277" s="993">
        <f t="shared" si="219"/>
        <v>4224</v>
      </c>
      <c r="Y277" s="993">
        <f t="shared" si="219"/>
        <v>0</v>
      </c>
      <c r="Z277" s="993">
        <f t="shared" si="219"/>
        <v>4224</v>
      </c>
    </row>
    <row r="278" spans="1:26" ht="24" thickBot="1">
      <c r="A278" s="994" t="s">
        <v>146</v>
      </c>
      <c r="B278" s="992"/>
      <c r="C278" s="992"/>
      <c r="D278" s="1032"/>
      <c r="E278" s="993">
        <f>E277/12</f>
        <v>27</v>
      </c>
      <c r="F278" s="14">
        <f>F277/12</f>
        <v>0</v>
      </c>
      <c r="G278" s="14">
        <f t="shared" ref="G278" si="220">G277/12</f>
        <v>0</v>
      </c>
      <c r="H278" s="993">
        <f t="shared" ref="H278:N278" si="221">H277/12</f>
        <v>0</v>
      </c>
      <c r="I278" s="993">
        <f t="shared" si="221"/>
        <v>0</v>
      </c>
      <c r="J278" s="993">
        <f t="shared" ref="J278" si="222">J277/12</f>
        <v>0</v>
      </c>
      <c r="K278" s="993">
        <f t="shared" si="221"/>
        <v>0</v>
      </c>
      <c r="L278" s="14">
        <f t="shared" si="221"/>
        <v>28</v>
      </c>
      <c r="M278" s="14">
        <f t="shared" si="221"/>
        <v>0</v>
      </c>
      <c r="N278" s="14">
        <f t="shared" si="221"/>
        <v>109</v>
      </c>
      <c r="O278" s="14">
        <f t="shared" ref="O278:S278" si="223">O277/12</f>
        <v>0</v>
      </c>
      <c r="P278" s="14">
        <f t="shared" si="223"/>
        <v>4</v>
      </c>
      <c r="Q278" s="14">
        <f t="shared" si="223"/>
        <v>0</v>
      </c>
      <c r="R278" s="14">
        <f t="shared" si="223"/>
        <v>16</v>
      </c>
      <c r="S278" s="1047">
        <f t="shared" si="223"/>
        <v>168</v>
      </c>
      <c r="T278" s="246"/>
      <c r="U278" s="140">
        <f t="shared" ref="U278:Z278" si="224">U277/12</f>
        <v>352</v>
      </c>
      <c r="V278" s="1048">
        <f t="shared" si="224"/>
        <v>0</v>
      </c>
      <c r="W278" s="1049">
        <f t="shared" si="224"/>
        <v>0</v>
      </c>
      <c r="X278" s="1050">
        <f t="shared" si="224"/>
        <v>352</v>
      </c>
      <c r="Y278" s="1059">
        <f t="shared" si="224"/>
        <v>0</v>
      </c>
      <c r="Z278" s="1050">
        <f t="shared" si="224"/>
        <v>352</v>
      </c>
    </row>
    <row r="279" spans="1:26" ht="24" thickBot="1">
      <c r="A279" s="1033"/>
      <c r="B279" s="1034"/>
      <c r="C279" s="1034"/>
      <c r="D279" s="1035"/>
      <c r="E279" s="1036"/>
      <c r="F279" s="1036"/>
      <c r="G279" s="1036"/>
      <c r="H279" s="1036"/>
      <c r="I279" s="1036"/>
      <c r="J279" s="1036"/>
      <c r="K279" s="1036"/>
      <c r="L279" s="1036"/>
      <c r="M279" s="1036"/>
      <c r="N279" s="1036"/>
      <c r="O279" s="1036"/>
      <c r="P279" s="1036"/>
      <c r="Q279" s="1036"/>
      <c r="R279" s="1036"/>
      <c r="S279" s="1036"/>
      <c r="T279" s="1036"/>
      <c r="U279" s="1036"/>
      <c r="V279" s="1036"/>
      <c r="W279" s="1036"/>
      <c r="X279" s="1036"/>
      <c r="Y279" s="1036"/>
      <c r="Z279" s="1036"/>
    </row>
    <row r="280" spans="1:26" ht="24" thickBot="1">
      <c r="A280" s="1037" t="s">
        <v>202</v>
      </c>
      <c r="B280" s="877" t="s">
        <v>68</v>
      </c>
      <c r="C280" s="877" t="s">
        <v>69</v>
      </c>
      <c r="D280" s="878" t="s">
        <v>70</v>
      </c>
      <c r="E280" s="879" t="s">
        <v>71</v>
      </c>
      <c r="F280" s="880" t="s">
        <v>72</v>
      </c>
      <c r="G280" s="880" t="s">
        <v>72</v>
      </c>
      <c r="H280" s="879" t="s">
        <v>71</v>
      </c>
      <c r="I280" s="879" t="s">
        <v>170</v>
      </c>
      <c r="J280" s="879" t="s">
        <v>92</v>
      </c>
      <c r="K280" s="879" t="s">
        <v>194</v>
      </c>
      <c r="L280" s="880" t="s">
        <v>195</v>
      </c>
      <c r="M280" s="880" t="s">
        <v>196</v>
      </c>
      <c r="N280" s="880" t="s">
        <v>94</v>
      </c>
      <c r="O280" s="880" t="s">
        <v>86</v>
      </c>
      <c r="P280" s="880" t="s">
        <v>75</v>
      </c>
      <c r="Q280" s="880" t="s">
        <v>95</v>
      </c>
      <c r="R280" s="744" t="s">
        <v>77</v>
      </c>
      <c r="S280" s="914" t="s">
        <v>53</v>
      </c>
      <c r="T280" s="915"/>
      <c r="U280" s="916" t="s">
        <v>104</v>
      </c>
      <c r="V280" s="917" t="s">
        <v>105</v>
      </c>
      <c r="W280" s="917"/>
      <c r="X280" s="918" t="s">
        <v>106</v>
      </c>
      <c r="Y280" s="917" t="s">
        <v>107</v>
      </c>
      <c r="Z280" s="960" t="s">
        <v>108</v>
      </c>
    </row>
    <row r="281" spans="1:26">
      <c r="A281" s="1038"/>
      <c r="B281" s="1039"/>
      <c r="C281" s="1039"/>
      <c r="D281" s="990"/>
      <c r="E281" s="889"/>
      <c r="F281" s="889"/>
      <c r="G281" s="889"/>
      <c r="H281" s="889"/>
      <c r="I281" s="889"/>
      <c r="J281" s="889"/>
      <c r="K281" s="889"/>
      <c r="L281" s="909"/>
      <c r="M281" s="909"/>
      <c r="N281" s="909"/>
      <c r="O281" s="909"/>
      <c r="P281" s="909"/>
      <c r="Q281" s="909"/>
      <c r="R281" s="922"/>
      <c r="S281" s="922"/>
      <c r="T281" s="1006"/>
      <c r="U281" s="1051">
        <f>SUM(E281:S281)</f>
        <v>0</v>
      </c>
      <c r="V281" s="924"/>
      <c r="W281" s="925"/>
      <c r="X281" s="924">
        <f>U281+V281</f>
        <v>0</v>
      </c>
      <c r="Y281" s="925"/>
      <c r="Z281" s="924">
        <f>X281+Y281</f>
        <v>0</v>
      </c>
    </row>
    <row r="282" spans="1:26" ht="24" thickBot="1">
      <c r="A282" s="983"/>
      <c r="B282" s="1040"/>
      <c r="C282" s="1040"/>
      <c r="D282" s="984"/>
      <c r="E282" s="893"/>
      <c r="F282" s="893"/>
      <c r="G282" s="893"/>
      <c r="H282" s="893"/>
      <c r="I282" s="893"/>
      <c r="J282" s="893"/>
      <c r="K282" s="893"/>
      <c r="L282" s="910"/>
      <c r="M282" s="910"/>
      <c r="N282" s="910"/>
      <c r="O282" s="910"/>
      <c r="P282" s="910"/>
      <c r="Q282" s="910"/>
      <c r="R282" s="926"/>
      <c r="S282" s="926"/>
      <c r="T282" s="927"/>
      <c r="U282" s="1052">
        <f t="shared" ref="U282" si="225">SUM(E282:S282)</f>
        <v>0</v>
      </c>
      <c r="V282" s="929"/>
      <c r="W282" s="930"/>
      <c r="X282" s="929">
        <f t="shared" ref="X282" si="226">U282+V282</f>
        <v>0</v>
      </c>
      <c r="Y282" s="930"/>
      <c r="Z282" s="929">
        <f t="shared" ref="Z282" si="227">X282+Y282</f>
        <v>0</v>
      </c>
    </row>
    <row r="283" spans="1:26" ht="24" thickBot="1">
      <c r="A283" s="985" t="s">
        <v>134</v>
      </c>
      <c r="B283" s="895"/>
      <c r="C283" s="895"/>
      <c r="D283" s="896"/>
      <c r="E283" s="897">
        <f>SUM(E281:E282)</f>
        <v>0</v>
      </c>
      <c r="F283" s="897">
        <f>SUM(F281:F282)</f>
        <v>0</v>
      </c>
      <c r="G283" s="897">
        <f t="shared" ref="G283" si="228">SUM(G281:G282)</f>
        <v>0</v>
      </c>
      <c r="H283" s="897">
        <f t="shared" ref="H283:S283" si="229">SUM(H281:H282)</f>
        <v>0</v>
      </c>
      <c r="I283" s="897">
        <f t="shared" ref="I283:K283" si="230">SUM(I281:I282)</f>
        <v>0</v>
      </c>
      <c r="J283" s="897">
        <f t="shared" ref="J283" si="231">SUM(J281:J282)</f>
        <v>0</v>
      </c>
      <c r="K283" s="897">
        <f t="shared" si="230"/>
        <v>0</v>
      </c>
      <c r="L283" s="897">
        <f t="shared" ref="L283:M283" si="232">SUM(L281:L282)</f>
        <v>0</v>
      </c>
      <c r="M283" s="897">
        <f t="shared" si="232"/>
        <v>0</v>
      </c>
      <c r="N283" s="897">
        <f t="shared" si="229"/>
        <v>0</v>
      </c>
      <c r="O283" s="897">
        <f t="shared" si="229"/>
        <v>0</v>
      </c>
      <c r="P283" s="897">
        <f t="shared" si="229"/>
        <v>0</v>
      </c>
      <c r="Q283" s="897">
        <f t="shared" si="229"/>
        <v>0</v>
      </c>
      <c r="R283" s="897">
        <f t="shared" si="229"/>
        <v>0</v>
      </c>
      <c r="S283" s="935">
        <f t="shared" si="229"/>
        <v>0</v>
      </c>
      <c r="T283" s="932"/>
      <c r="U283" s="951">
        <f>SUM(U281:U282)</f>
        <v>0</v>
      </c>
      <c r="V283" s="951">
        <f>SUM(V281:V282)</f>
        <v>0</v>
      </c>
      <c r="W283" s="1053"/>
      <c r="X283" s="951">
        <f>SUM(X281:X282)</f>
        <v>0</v>
      </c>
      <c r="Y283" s="1053">
        <f>SUM(Y281:Y282)</f>
        <v>0</v>
      </c>
      <c r="Z283" s="951">
        <f>SUM(Z281:Z282)</f>
        <v>0</v>
      </c>
    </row>
    <row r="284" spans="1:26" ht="24" thickBot="1">
      <c r="A284" s="1041"/>
      <c r="B284" s="1042"/>
      <c r="C284" s="1042"/>
      <c r="D284" s="1043"/>
      <c r="E284" s="1044"/>
      <c r="F284" s="1044"/>
      <c r="G284" s="1044"/>
      <c r="H284" s="1044"/>
      <c r="I284" s="1044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54"/>
      <c r="U284" s="1054"/>
      <c r="V284" s="1044"/>
      <c r="W284" s="1044"/>
      <c r="X284" s="1054"/>
      <c r="Y284" s="1044"/>
      <c r="Z284" s="1054"/>
    </row>
    <row r="285" spans="1:26" ht="24" thickBot="1">
      <c r="A285" s="991" t="s">
        <v>203</v>
      </c>
      <c r="B285" s="875"/>
      <c r="C285" s="875"/>
      <c r="D285" s="1045"/>
      <c r="E285" s="993">
        <f t="shared" ref="E285:S285" si="233">E200-E277+E283</f>
        <v>600</v>
      </c>
      <c r="F285" s="14">
        <f t="shared" si="233"/>
        <v>0</v>
      </c>
      <c r="G285" s="14">
        <f t="shared" si="233"/>
        <v>0</v>
      </c>
      <c r="H285" s="993">
        <f t="shared" si="233"/>
        <v>0</v>
      </c>
      <c r="I285" s="993">
        <f t="shared" si="233"/>
        <v>0</v>
      </c>
      <c r="J285" s="993">
        <f t="shared" si="233"/>
        <v>0</v>
      </c>
      <c r="K285" s="993">
        <f t="shared" si="233"/>
        <v>0</v>
      </c>
      <c r="L285" s="14">
        <f t="shared" si="233"/>
        <v>516</v>
      </c>
      <c r="M285" s="14">
        <f t="shared" si="233"/>
        <v>0</v>
      </c>
      <c r="N285" s="14">
        <f t="shared" si="233"/>
        <v>-96</v>
      </c>
      <c r="O285" s="14">
        <f t="shared" si="233"/>
        <v>0</v>
      </c>
      <c r="P285" s="14">
        <f t="shared" si="233"/>
        <v>660</v>
      </c>
      <c r="Q285" s="14">
        <f t="shared" si="233"/>
        <v>0</v>
      </c>
      <c r="R285" s="14">
        <f t="shared" si="233"/>
        <v>1164</v>
      </c>
      <c r="S285" s="1047">
        <f t="shared" si="233"/>
        <v>-168</v>
      </c>
      <c r="T285" s="1055"/>
      <c r="U285" s="1056">
        <f>U200-U277+U283</f>
        <v>2676</v>
      </c>
      <c r="V285" s="3853">
        <f>V200-V277-W277+V283</f>
        <v>29</v>
      </c>
      <c r="W285" s="3854"/>
      <c r="X285" s="1057">
        <f>X200-X277+X283</f>
        <v>2705</v>
      </c>
      <c r="Y285" s="1057">
        <f>Y200-Y277+Y283</f>
        <v>77</v>
      </c>
      <c r="Z285" s="1060">
        <f>Z200-Z277+Z283</f>
        <v>2782</v>
      </c>
    </row>
    <row r="286" spans="1:26" ht="24" thickBot="1">
      <c r="A286" s="994" t="s">
        <v>146</v>
      </c>
      <c r="B286" s="875"/>
      <c r="C286" s="875"/>
      <c r="D286" s="1046"/>
      <c r="E286" s="995">
        <f>E285/12</f>
        <v>50</v>
      </c>
      <c r="F286" s="996">
        <f t="shared" ref="F286:N286" si="234">F285/12</f>
        <v>0</v>
      </c>
      <c r="G286" s="996">
        <f t="shared" ref="G286" si="235">G285/12</f>
        <v>0</v>
      </c>
      <c r="H286" s="995">
        <f t="shared" si="234"/>
        <v>0</v>
      </c>
      <c r="I286" s="995">
        <f t="shared" si="234"/>
        <v>0</v>
      </c>
      <c r="J286" s="995">
        <f t="shared" ref="J286" si="236">J285/12</f>
        <v>0</v>
      </c>
      <c r="K286" s="995">
        <f t="shared" si="234"/>
        <v>0</v>
      </c>
      <c r="L286" s="996">
        <f t="shared" si="234"/>
        <v>43</v>
      </c>
      <c r="M286" s="996">
        <f t="shared" si="234"/>
        <v>0</v>
      </c>
      <c r="N286" s="996">
        <f t="shared" si="234"/>
        <v>-8</v>
      </c>
      <c r="O286" s="996">
        <f t="shared" ref="O286:S286" si="237">O285/12</f>
        <v>0</v>
      </c>
      <c r="P286" s="996">
        <f t="shared" si="237"/>
        <v>55</v>
      </c>
      <c r="Q286" s="996">
        <f t="shared" si="237"/>
        <v>0</v>
      </c>
      <c r="R286" s="996">
        <f t="shared" si="237"/>
        <v>97</v>
      </c>
      <c r="S286" s="1010">
        <f t="shared" si="237"/>
        <v>-14</v>
      </c>
      <c r="T286" s="246"/>
      <c r="U286" s="993">
        <f>SUM(E286:S286)</f>
        <v>223</v>
      </c>
      <c r="V286" s="3855">
        <f>V285/12</f>
        <v>2.4166666666666665</v>
      </c>
      <c r="W286" s="3856"/>
      <c r="X286" s="1058">
        <f>X285/12</f>
        <v>225.41666666666666</v>
      </c>
      <c r="Y286" s="1058">
        <f>Y285/12</f>
        <v>6.416666666666667</v>
      </c>
      <c r="Z286" s="1061">
        <f>Z285/12</f>
        <v>231.83333333333334</v>
      </c>
    </row>
    <row r="287" spans="1:26" ht="24" thickBot="1">
      <c r="A287" s="994" t="s">
        <v>156</v>
      </c>
      <c r="B287" s="875"/>
      <c r="C287" s="875"/>
      <c r="D287" s="1046"/>
      <c r="E287" s="3837">
        <f>SUM(E286:S286)</f>
        <v>223</v>
      </c>
      <c r="F287" s="3838"/>
      <c r="G287" s="3838"/>
      <c r="H287" s="3838"/>
      <c r="I287" s="3838"/>
      <c r="J287" s="3838"/>
      <c r="K287" s="3838"/>
      <c r="L287" s="3838"/>
      <c r="M287" s="3838"/>
      <c r="N287" s="3838"/>
      <c r="O287" s="3838"/>
      <c r="P287" s="3838"/>
      <c r="Q287" s="3838"/>
      <c r="R287" s="3838"/>
      <c r="S287" s="3839"/>
      <c r="T287" s="6"/>
      <c r="U287" s="3837">
        <f>SUM(U286:Z286)</f>
        <v>689.08333333333337</v>
      </c>
      <c r="V287" s="3838"/>
      <c r="W287" s="3838"/>
      <c r="X287" s="3838"/>
      <c r="Y287" s="3838"/>
      <c r="Z287" s="3839"/>
    </row>
    <row r="288" spans="1:26" ht="21.75" thickBot="1">
      <c r="A288" s="3840" t="s">
        <v>157</v>
      </c>
      <c r="B288" s="3841"/>
      <c r="C288" s="3841"/>
      <c r="D288" s="3841"/>
      <c r="E288" s="3842">
        <f>SUM(E285:S285)</f>
        <v>2676</v>
      </c>
      <c r="F288" s="3843"/>
      <c r="G288" s="3843"/>
      <c r="H288" s="3843"/>
      <c r="I288" s="3843"/>
      <c r="J288" s="3843"/>
      <c r="K288" s="3843"/>
      <c r="L288" s="3843"/>
      <c r="M288" s="3843"/>
      <c r="N288" s="3843"/>
      <c r="O288" s="3843"/>
      <c r="P288" s="3843"/>
      <c r="Q288" s="3843"/>
      <c r="R288" s="3843"/>
      <c r="S288" s="3844"/>
      <c r="T288" s="174"/>
      <c r="U288" s="3845">
        <f>SUM(U285:Z285)</f>
        <v>8269</v>
      </c>
      <c r="V288" s="3846"/>
      <c r="W288" s="3846"/>
      <c r="X288" s="3846"/>
      <c r="Y288" s="3846"/>
      <c r="Z288" s="3847"/>
    </row>
    <row r="290" spans="5:26" ht="24" thickBot="1"/>
    <row r="291" spans="5:26" ht="27.75" thickBot="1">
      <c r="E291" s="3826"/>
      <c r="F291" s="3826"/>
      <c r="G291" s="3826"/>
      <c r="H291" s="3826"/>
      <c r="I291" s="3826"/>
      <c r="J291" s="3826"/>
      <c r="K291" s="3826"/>
      <c r="L291" s="3826"/>
      <c r="M291" s="3826"/>
      <c r="N291" s="3826"/>
      <c r="O291" s="3826"/>
      <c r="P291" s="3819" t="s">
        <v>158</v>
      </c>
      <c r="Q291" s="3820"/>
      <c r="R291" s="3820"/>
      <c r="S291" s="3820"/>
      <c r="T291" s="3821"/>
      <c r="U291" s="3832">
        <f>'BIG CHAIR'!CI325</f>
        <v>0</v>
      </c>
      <c r="V291" s="3833"/>
      <c r="W291" s="873"/>
      <c r="X291" s="1"/>
      <c r="Y291" s="1"/>
      <c r="Z291" s="1"/>
    </row>
    <row r="292" spans="5:26" ht="27.75" thickBot="1">
      <c r="E292" s="3826"/>
      <c r="F292" s="3826"/>
      <c r="G292" s="3826"/>
      <c r="H292" s="3826"/>
      <c r="I292" s="3826"/>
      <c r="J292" s="3826"/>
      <c r="K292" s="3826"/>
      <c r="L292" s="3826"/>
      <c r="M292" s="3826"/>
      <c r="N292" s="3826"/>
      <c r="O292" s="3826"/>
      <c r="P292" s="3834" t="s">
        <v>159</v>
      </c>
      <c r="Q292" s="3835"/>
      <c r="R292" s="3835"/>
      <c r="S292" s="3835"/>
      <c r="T292" s="3836"/>
      <c r="U292" s="3822">
        <f>'Jordan Chair'!AE250</f>
        <v>2412</v>
      </c>
      <c r="V292" s="3823"/>
      <c r="W292" s="873"/>
    </row>
    <row r="293" spans="5:26" ht="27.75" thickBot="1">
      <c r="E293" s="3826"/>
      <c r="F293" s="3826"/>
      <c r="G293" s="3826"/>
      <c r="H293" s="3826"/>
      <c r="I293" s="3826"/>
      <c r="J293" s="3826"/>
      <c r="K293" s="3826"/>
      <c r="L293" s="3826"/>
      <c r="M293" s="3826"/>
      <c r="N293" s="3826"/>
      <c r="O293" s="3826"/>
      <c r="P293" s="3819" t="s">
        <v>160</v>
      </c>
      <c r="Q293" s="3820"/>
      <c r="R293" s="3820"/>
      <c r="S293" s="3820"/>
      <c r="T293" s="3821"/>
      <c r="U293" s="3827">
        <f>'BIG CHAIR'!CJ325</f>
        <v>0</v>
      </c>
      <c r="V293" s="3828"/>
      <c r="W293" s="873"/>
    </row>
    <row r="294" spans="5:26" ht="27.75" thickBot="1">
      <c r="E294" s="3826"/>
      <c r="F294" s="3826"/>
      <c r="G294" s="3826"/>
      <c r="H294" s="3826"/>
      <c r="I294" s="3826"/>
      <c r="J294" s="3826"/>
      <c r="K294" s="3826"/>
      <c r="L294" s="3826"/>
      <c r="M294" s="3826"/>
      <c r="N294" s="3826"/>
      <c r="O294" s="3826"/>
      <c r="P294" s="3819" t="s">
        <v>161</v>
      </c>
      <c r="Q294" s="3820"/>
      <c r="R294" s="3820"/>
      <c r="S294" s="3820"/>
      <c r="T294" s="3821"/>
      <c r="U294" s="3822">
        <f>'Jordan Chair'!AF250</f>
        <v>3</v>
      </c>
      <c r="V294" s="3823"/>
      <c r="W294" s="873"/>
    </row>
    <row r="295" spans="5:26" ht="27.75" thickBot="1">
      <c r="E295" s="3826"/>
      <c r="F295" s="3826"/>
      <c r="G295" s="3826"/>
      <c r="H295" s="3826"/>
      <c r="I295" s="3826"/>
      <c r="J295" s="3826"/>
      <c r="K295" s="3826"/>
      <c r="L295" s="3826"/>
      <c r="M295" s="3826"/>
      <c r="N295" s="3826"/>
      <c r="O295" s="3826"/>
      <c r="P295" s="3819" t="s">
        <v>162</v>
      </c>
      <c r="Q295" s="3820"/>
      <c r="R295" s="3820"/>
      <c r="S295" s="3820"/>
      <c r="T295" s="3821"/>
      <c r="U295" s="3827">
        <f>U285</f>
        <v>2676</v>
      </c>
      <c r="V295" s="3828"/>
      <c r="W295" s="873"/>
    </row>
    <row r="296" spans="5:26" ht="27.75" thickBot="1">
      <c r="E296" s="3826"/>
      <c r="F296" s="3826"/>
      <c r="G296" s="3826"/>
      <c r="H296" s="3826"/>
      <c r="I296" s="3826"/>
      <c r="J296" s="3826"/>
      <c r="K296" s="3826"/>
      <c r="L296" s="3826"/>
      <c r="M296" s="3826"/>
      <c r="N296" s="3826"/>
      <c r="O296" s="3826"/>
      <c r="P296" s="3829" t="s">
        <v>163</v>
      </c>
      <c r="Q296" s="3830"/>
      <c r="R296" s="3830"/>
      <c r="S296" s="3830"/>
      <c r="T296" s="3831"/>
      <c r="U296" s="3822">
        <f>V285</f>
        <v>29</v>
      </c>
      <c r="V296" s="3823"/>
      <c r="W296" s="873"/>
    </row>
    <row r="297" spans="5:26" ht="26.25" thickTop="1" thickBot="1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814"/>
      <c r="Q297" s="3815"/>
      <c r="R297" s="3815"/>
      <c r="S297" s="3815"/>
      <c r="T297" s="3816"/>
      <c r="U297" s="3817"/>
      <c r="V297" s="3818"/>
      <c r="W297" s="1062"/>
    </row>
    <row r="298" spans="5:26" ht="25.5" thickBot="1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3819" t="s">
        <v>164</v>
      </c>
      <c r="Q298" s="3820"/>
      <c r="R298" s="3820"/>
      <c r="S298" s="3820"/>
      <c r="T298" s="3821"/>
      <c r="U298" s="3822">
        <f>SUM(U291:V296)</f>
        <v>5120</v>
      </c>
      <c r="V298" s="3823"/>
      <c r="W298" s="873"/>
    </row>
    <row r="299" spans="5:26" ht="25.5" thickBot="1">
      <c r="P299" s="3819" t="s">
        <v>165</v>
      </c>
      <c r="Q299" s="3820"/>
      <c r="R299" s="3820"/>
      <c r="S299" s="3820"/>
      <c r="T299" s="3821"/>
      <c r="U299" s="3824">
        <f>U286+'BIG CHAIR'!CI326+'Jordan Chair'!AE251</f>
        <v>424</v>
      </c>
      <c r="V299" s="3825"/>
      <c r="W299" s="873"/>
    </row>
  </sheetData>
  <mergeCells count="34">
    <mergeCell ref="Q1:R1"/>
    <mergeCell ref="E2:S2"/>
    <mergeCell ref="A202:Z202"/>
    <mergeCell ref="V285:W285"/>
    <mergeCell ref="V286:W286"/>
    <mergeCell ref="E287:S287"/>
    <mergeCell ref="U287:Z287"/>
    <mergeCell ref="A288:D288"/>
    <mergeCell ref="E288:S288"/>
    <mergeCell ref="U288:Z288"/>
    <mergeCell ref="E291:O291"/>
    <mergeCell ref="P291:T291"/>
    <mergeCell ref="U291:V291"/>
    <mergeCell ref="E292:O292"/>
    <mergeCell ref="P292:T292"/>
    <mergeCell ref="U292:V292"/>
    <mergeCell ref="E293:O293"/>
    <mergeCell ref="P293:T293"/>
    <mergeCell ref="U293:V293"/>
    <mergeCell ref="E294:O294"/>
    <mergeCell ref="P294:T294"/>
    <mergeCell ref="U294:V294"/>
    <mergeCell ref="E295:O295"/>
    <mergeCell ref="P295:T295"/>
    <mergeCell ref="U295:V295"/>
    <mergeCell ref="E296:O296"/>
    <mergeCell ref="P296:T296"/>
    <mergeCell ref="U296:V296"/>
    <mergeCell ref="P297:T297"/>
    <mergeCell ref="U297:V297"/>
    <mergeCell ref="P298:T298"/>
    <mergeCell ref="U298:V298"/>
    <mergeCell ref="P299:T299"/>
    <mergeCell ref="U299:V299"/>
  </mergeCells>
  <pageMargins left="0.70763888888888904" right="0.70763888888888904" top="0.74791666666666701" bottom="0.74791666666666701" header="0.31388888888888899" footer="0.31388888888888899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6"/>
  <sheetViews>
    <sheetView zoomScale="92" zoomScaleNormal="92" workbookViewId="0">
      <pane ySplit="3" topLeftCell="A177" activePane="bottomLeft" state="frozen"/>
      <selection pane="bottomLeft" activeCell="A186" sqref="A186"/>
    </sheetView>
  </sheetViews>
  <sheetFormatPr defaultColWidth="9" defaultRowHeight="15"/>
  <cols>
    <col min="1" max="1" width="58.85546875" customWidth="1"/>
    <col min="2" max="2" width="18.140625" style="276" customWidth="1"/>
    <col min="3" max="3" width="14.140625" style="276" customWidth="1"/>
    <col min="4" max="4" width="20" customWidth="1"/>
    <col min="5" max="10" width="11.5703125" customWidth="1"/>
    <col min="11" max="11" width="8" customWidth="1"/>
    <col min="12" max="12" width="2.7109375" customWidth="1"/>
    <col min="13" max="14" width="13.7109375" customWidth="1"/>
    <col min="15" max="19" width="11.5703125" customWidth="1"/>
    <col min="20" max="20" width="14.7109375" customWidth="1"/>
    <col min="21" max="21" width="1.5703125" customWidth="1"/>
    <col min="22" max="22" width="15.7109375" customWidth="1"/>
    <col min="23" max="23" width="11.5703125" customWidth="1"/>
    <col min="24" max="24" width="12.7109375" customWidth="1"/>
    <col min="25" max="25" width="12.5703125" customWidth="1"/>
    <col min="26" max="26" width="14.85546875" customWidth="1"/>
    <col min="27" max="27" width="11.5703125" customWidth="1"/>
    <col min="28" max="28" width="13.7109375" customWidth="1"/>
    <col min="29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166</v>
      </c>
      <c r="B1" s="285"/>
      <c r="C1" s="285"/>
      <c r="D1" s="285"/>
      <c r="E1" s="285"/>
      <c r="F1" s="285"/>
      <c r="G1" s="285"/>
      <c r="H1" s="285"/>
      <c r="I1" s="285"/>
      <c r="J1" s="335">
        <v>1</v>
      </c>
      <c r="K1" s="335">
        <v>4</v>
      </c>
      <c r="L1" s="285"/>
      <c r="M1" s="285">
        <v>26</v>
      </c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217</v>
      </c>
      <c r="F2" s="3892"/>
      <c r="G2" s="3892"/>
      <c r="H2" s="3892"/>
      <c r="I2" s="3892"/>
      <c r="J2" s="3892"/>
      <c r="K2" s="3892"/>
      <c r="L2" s="336"/>
      <c r="M2" s="3893" t="s">
        <v>218</v>
      </c>
      <c r="N2" s="3894"/>
      <c r="O2" s="3894"/>
      <c r="P2" s="3894"/>
      <c r="Q2" s="3894"/>
      <c r="R2" s="3894"/>
      <c r="S2" s="3894"/>
      <c r="T2" s="3895"/>
      <c r="U2" s="364"/>
      <c r="V2" s="3893" t="s">
        <v>219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86</v>
      </c>
      <c r="F3" s="49"/>
      <c r="G3" s="49"/>
      <c r="H3" s="49"/>
      <c r="I3" s="751" t="s">
        <v>523</v>
      </c>
      <c r="J3" s="49"/>
      <c r="K3" s="49"/>
      <c r="L3" s="79"/>
      <c r="M3" s="80"/>
      <c r="N3" s="49"/>
      <c r="O3" s="49"/>
      <c r="P3" s="49"/>
      <c r="Q3" s="49"/>
      <c r="R3" s="49"/>
      <c r="S3" s="126" t="s">
        <v>466</v>
      </c>
      <c r="T3" s="171" t="s">
        <v>476</v>
      </c>
      <c r="U3" s="79"/>
      <c r="V3" s="99" t="s">
        <v>71</v>
      </c>
      <c r="W3" s="716" t="s">
        <v>482</v>
      </c>
      <c r="X3" s="104" t="s">
        <v>100</v>
      </c>
      <c r="Y3" s="103" t="s">
        <v>220</v>
      </c>
      <c r="Z3" s="104" t="s">
        <v>75</v>
      </c>
      <c r="AA3" s="716" t="s">
        <v>53</v>
      </c>
      <c r="AB3" s="121" t="s">
        <v>77</v>
      </c>
      <c r="AC3" s="717" t="s">
        <v>483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/>
      <c r="G4" s="293"/>
      <c r="H4" s="293"/>
      <c r="I4" s="293"/>
      <c r="J4" s="337"/>
      <c r="K4" s="337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>
        <f>5*16</f>
        <v>80</v>
      </c>
      <c r="Y4" s="337"/>
      <c r="Z4" s="337"/>
      <c r="AA4" s="337"/>
      <c r="AB4" s="293">
        <f>18*16</f>
        <v>288</v>
      </c>
      <c r="AC4" s="338"/>
      <c r="AD4" s="339"/>
      <c r="AE4" s="373">
        <f>SUM(E4:AC4)</f>
        <v>368</v>
      </c>
      <c r="AF4" s="293"/>
      <c r="AG4" s="373"/>
      <c r="AH4" s="387">
        <f>AF4+AE4</f>
        <v>368</v>
      </c>
      <c r="AI4" s="388"/>
      <c r="AJ4" s="389">
        <f>AH4+AI4</f>
        <v>368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7"/>
      <c r="I5" s="298"/>
      <c r="J5" s="298"/>
      <c r="K5" s="297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8" si="0">SUM(E5:AC5)</f>
        <v>0</v>
      </c>
      <c r="AF5" s="377"/>
      <c r="AG5" s="390"/>
      <c r="AH5" s="391">
        <f t="shared" ref="AH5:AH10" si="1"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>
        <v>46134</v>
      </c>
      <c r="E6" s="296"/>
      <c r="F6" s="297"/>
      <c r="G6" s="297"/>
      <c r="H6" s="297"/>
      <c r="I6" s="298"/>
      <c r="J6" s="298"/>
      <c r="K6" s="297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>
        <f>18*16+17*16</f>
        <v>560</v>
      </c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560</v>
      </c>
      <c r="AF6" s="377">
        <f>13+6</f>
        <v>19</v>
      </c>
      <c r="AG6" s="390"/>
      <c r="AH6" s="391">
        <f t="shared" si="1"/>
        <v>579</v>
      </c>
      <c r="AI6" s="392">
        <f>9+3</f>
        <v>12</v>
      </c>
      <c r="AJ6" s="393">
        <f>AH6+AI6</f>
        <v>591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>
        <v>46135</v>
      </c>
      <c r="E7" s="296"/>
      <c r="F7" s="297"/>
      <c r="G7" s="297"/>
      <c r="H7" s="297"/>
      <c r="I7" s="298"/>
      <c r="J7" s="298"/>
      <c r="K7" s="297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>
        <f>20*16+11*16</f>
        <v>496</v>
      </c>
      <c r="W7" s="297"/>
      <c r="X7" s="297"/>
      <c r="Y7" s="298"/>
      <c r="Z7" s="298"/>
      <c r="AA7" s="298"/>
      <c r="AB7" s="297">
        <f>25*16</f>
        <v>400</v>
      </c>
      <c r="AC7" s="375"/>
      <c r="AD7" s="355"/>
      <c r="AE7" s="376">
        <f t="shared" si="0"/>
        <v>896</v>
      </c>
      <c r="AF7" s="377">
        <f>4+4</f>
        <v>8</v>
      </c>
      <c r="AG7" s="390"/>
      <c r="AH7" s="391">
        <f t="shared" si="1"/>
        <v>904</v>
      </c>
      <c r="AI7" s="392">
        <f>8+4</f>
        <v>12</v>
      </c>
      <c r="AJ7" s="393">
        <f t="shared" ref="AJ7:AJ8" si="2">AH7+AI7</f>
        <v>916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>
        <v>46136</v>
      </c>
      <c r="E8" s="296"/>
      <c r="F8" s="297"/>
      <c r="G8" s="297"/>
      <c r="H8" s="297"/>
      <c r="I8" s="298"/>
      <c r="J8" s="298"/>
      <c r="K8" s="297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>
        <f>30*16</f>
        <v>480</v>
      </c>
      <c r="Y8" s="298"/>
      <c r="Z8" s="298"/>
      <c r="AA8" s="298"/>
      <c r="AB8" s="297">
        <f>40*16+6*16</f>
        <v>736</v>
      </c>
      <c r="AC8" s="375"/>
      <c r="AD8" s="355"/>
      <c r="AE8" s="376">
        <f t="shared" si="0"/>
        <v>1216</v>
      </c>
      <c r="AF8" s="377">
        <v>7</v>
      </c>
      <c r="AG8" s="390"/>
      <c r="AH8" s="391">
        <f t="shared" si="1"/>
        <v>1223</v>
      </c>
      <c r="AI8" s="392">
        <f>2+8</f>
        <v>10</v>
      </c>
      <c r="AJ8" s="393">
        <f t="shared" si="2"/>
        <v>1233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>
        <v>46137</v>
      </c>
      <c r="E9" s="296"/>
      <c r="F9" s="297"/>
      <c r="G9" s="1164"/>
      <c r="H9" s="297"/>
      <c r="I9" s="298"/>
      <c r="J9" s="298"/>
      <c r="K9" s="297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>
        <f>4*16</f>
        <v>64</v>
      </c>
      <c r="Y9" s="298"/>
      <c r="Z9" s="298"/>
      <c r="AA9" s="298"/>
      <c r="AB9" s="297"/>
      <c r="AC9" s="375"/>
      <c r="AD9" s="355"/>
      <c r="AE9" s="376">
        <f t="shared" si="0"/>
        <v>64</v>
      </c>
      <c r="AF9" s="377"/>
      <c r="AG9" s="390"/>
      <c r="AH9" s="391">
        <f t="shared" si="1"/>
        <v>64</v>
      </c>
      <c r="AI9" s="392">
        <v>2</v>
      </c>
      <c r="AJ9" s="393">
        <f t="shared" ref="AJ9:AJ14" si="3">AH9+AI9</f>
        <v>66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7"/>
      <c r="I10" s="298"/>
      <c r="J10" s="298"/>
      <c r="K10" s="297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3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ref="AH11:AH20" si="4">AE11+AF11</f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1167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ref="AH12:AH17" si="5">AE12+AF12</f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5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5"/>
        <v>0</v>
      </c>
      <c r="AI14" s="392"/>
      <c r="AJ14" s="393">
        <f t="shared" si="3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5"/>
        <v>0</v>
      </c>
      <c r="AI15" s="392"/>
      <c r="AJ15" s="393">
        <f t="shared" ref="AJ15:AJ20" si="6">AH15+AI15</f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5"/>
        <v>0</v>
      </c>
      <c r="AI16" s="392"/>
      <c r="AJ16" s="393">
        <f t="shared" si="6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5"/>
        <v>0</v>
      </c>
      <c r="AI17" s="392"/>
      <c r="AJ17" s="393">
        <f t="shared" si="6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4"/>
        <v>0</v>
      </c>
      <c r="AI18" s="392"/>
      <c r="AJ18" s="393">
        <f t="shared" si="6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4"/>
        <v>0</v>
      </c>
      <c r="AI19" s="392"/>
      <c r="AJ19" s="1169">
        <f t="shared" si="6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4"/>
        <v>0</v>
      </c>
      <c r="AI20" s="392"/>
      <c r="AJ20" s="393">
        <f t="shared" si="6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ref="AH21:AH22" si="7">AE21+AF21</f>
        <v>0</v>
      </c>
      <c r="AI21" s="392"/>
      <c r="AJ21" s="393">
        <f t="shared" ref="AJ21:AJ22" si="8">AH21+AI21</f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7"/>
        <v>0</v>
      </c>
      <c r="AI22" s="392"/>
      <c r="AJ22" s="393">
        <f t="shared" si="8"/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ref="AH23:AH31" si="9">AE23+AF23</f>
        <v>0</v>
      </c>
      <c r="AI23" s="392"/>
      <c r="AJ23" s="393">
        <f t="shared" ref="AJ23:AJ28" si="10">AH23+AI23</f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9"/>
        <v>0</v>
      </c>
      <c r="AI24" s="392"/>
      <c r="AJ24" s="393">
        <f t="shared" si="10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9"/>
        <v>0</v>
      </c>
      <c r="AI25" s="392"/>
      <c r="AJ25" s="393">
        <f t="shared" si="10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9"/>
        <v>0</v>
      </c>
      <c r="AI26" s="392"/>
      <c r="AJ26" s="393">
        <f t="shared" si="10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9"/>
        <v>0</v>
      </c>
      <c r="AI27" s="392"/>
      <c r="AJ27" s="393">
        <f t="shared" si="10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9"/>
        <v>0</v>
      </c>
      <c r="AI28" s="392"/>
      <c r="AJ28" s="393">
        <f t="shared" si="10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9"/>
        <v>0</v>
      </c>
      <c r="AI29" s="392"/>
      <c r="AJ29" s="393">
        <f t="shared" ref="AJ29:AJ31" si="11">AH29+AI29</f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9"/>
        <v>0</v>
      </c>
      <c r="AI30" s="392"/>
      <c r="AJ30" s="393">
        <f t="shared" si="11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9"/>
        <v>0</v>
      </c>
      <c r="AI31" s="392"/>
      <c r="AJ31" s="393">
        <f t="shared" si="11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ref="AH32:AH38" si="12">AE32+AF32</f>
        <v>0</v>
      </c>
      <c r="AI32" s="392"/>
      <c r="AJ32" s="393">
        <f t="shared" ref="AJ32:AJ34" si="13">AH32+AI32</f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2"/>
        <v>0</v>
      </c>
      <c r="AI33" s="392"/>
      <c r="AJ33" s="393">
        <f t="shared" si="13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2"/>
        <v>0</v>
      </c>
      <c r="AI34" s="392"/>
      <c r="AJ34" s="393">
        <f t="shared" si="13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2"/>
        <v>0</v>
      </c>
      <c r="AI35" s="392"/>
      <c r="AJ35" s="393">
        <f t="shared" ref="AJ35:AJ36" si="14">AH35+AI35</f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2"/>
        <v>0</v>
      </c>
      <c r="AI36" s="392"/>
      <c r="AJ36" s="393">
        <f t="shared" si="14"/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2"/>
        <v>0</v>
      </c>
      <c r="AI37" s="392"/>
      <c r="AJ37" s="393">
        <f t="shared" ref="AJ37:AJ38" si="15">AH37+AI37</f>
        <v>0</v>
      </c>
      <c r="AK37" s="394"/>
      <c r="AL37" s="54"/>
      <c r="AM37" s="394"/>
    </row>
    <row r="38" spans="1:39" s="283" customFormat="1" ht="20.25">
      <c r="A38" s="294" t="s">
        <v>110</v>
      </c>
      <c r="B38" s="299"/>
      <c r="C38" s="299"/>
      <c r="D38" s="301"/>
      <c r="E38" s="296"/>
      <c r="F38" s="297"/>
      <c r="G38" s="297"/>
      <c r="H38" s="297"/>
      <c r="I38" s="298"/>
      <c r="J38" s="298"/>
      <c r="K38" s="297"/>
      <c r="L38" s="342"/>
      <c r="M38" s="343"/>
      <c r="N38" s="298"/>
      <c r="O38" s="298"/>
      <c r="P38" s="298"/>
      <c r="Q38" s="298"/>
      <c r="R38" s="298"/>
      <c r="S38" s="298"/>
      <c r="T38" s="367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0"/>
        <v>0</v>
      </c>
      <c r="AF38" s="377"/>
      <c r="AG38" s="390"/>
      <c r="AH38" s="391">
        <f t="shared" si="12"/>
        <v>0</v>
      </c>
      <c r="AI38" s="392"/>
      <c r="AJ38" s="395">
        <f t="shared" si="15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8.75">
      <c r="A39" s="302" t="s">
        <v>175</v>
      </c>
      <c r="B39" s="303"/>
      <c r="C39" s="303"/>
      <c r="D39" s="304"/>
      <c r="E39" s="305">
        <f>SUM(E5:E38)</f>
        <v>0</v>
      </c>
      <c r="F39" s="305">
        <f t="shared" ref="F39:AD39" si="16">SUM(F5:F38)</f>
        <v>0</v>
      </c>
      <c r="G39" s="305">
        <f t="shared" ref="G39" si="17">SUM(G5:G38)</f>
        <v>0</v>
      </c>
      <c r="H39" s="305">
        <f t="shared" si="16"/>
        <v>0</v>
      </c>
      <c r="I39" s="305">
        <f t="shared" si="16"/>
        <v>0</v>
      </c>
      <c r="J39" s="305">
        <f t="shared" si="16"/>
        <v>0</v>
      </c>
      <c r="K39" s="305">
        <f t="shared" si="16"/>
        <v>0</v>
      </c>
      <c r="L39" s="305">
        <f t="shared" si="16"/>
        <v>0</v>
      </c>
      <c r="M39" s="305">
        <f t="shared" si="16"/>
        <v>0</v>
      </c>
      <c r="N39" s="305">
        <f t="shared" si="16"/>
        <v>0</v>
      </c>
      <c r="O39" s="305">
        <f t="shared" si="16"/>
        <v>0</v>
      </c>
      <c r="P39" s="305">
        <f t="shared" si="16"/>
        <v>0</v>
      </c>
      <c r="Q39" s="305">
        <f t="shared" si="16"/>
        <v>0</v>
      </c>
      <c r="R39" s="305">
        <f t="shared" si="16"/>
        <v>0</v>
      </c>
      <c r="S39" s="305">
        <f t="shared" si="16"/>
        <v>0</v>
      </c>
      <c r="T39" s="812">
        <f t="shared" si="16"/>
        <v>0</v>
      </c>
      <c r="U39" s="305">
        <f t="shared" si="16"/>
        <v>0</v>
      </c>
      <c r="V39" s="305">
        <f t="shared" si="16"/>
        <v>1056</v>
      </c>
      <c r="W39" s="305">
        <f t="shared" si="16"/>
        <v>0</v>
      </c>
      <c r="X39" s="305">
        <f t="shared" si="16"/>
        <v>544</v>
      </c>
      <c r="Y39" s="305">
        <f t="shared" si="16"/>
        <v>0</v>
      </c>
      <c r="Z39" s="305">
        <f t="shared" si="16"/>
        <v>0</v>
      </c>
      <c r="AA39" s="305">
        <f t="shared" si="16"/>
        <v>0</v>
      </c>
      <c r="AB39" s="305">
        <f t="shared" si="16"/>
        <v>1136</v>
      </c>
      <c r="AC39" s="305">
        <f t="shared" si="16"/>
        <v>0</v>
      </c>
      <c r="AD39" s="305">
        <f t="shared" si="16"/>
        <v>0</v>
      </c>
      <c r="AE39" s="305">
        <f t="shared" ref="AE39:AJ39" si="18">SUM(AE5:AE38)</f>
        <v>2736</v>
      </c>
      <c r="AF39" s="305">
        <f t="shared" si="18"/>
        <v>34</v>
      </c>
      <c r="AG39" s="305">
        <f t="shared" si="18"/>
        <v>0</v>
      </c>
      <c r="AH39" s="305">
        <f t="shared" si="18"/>
        <v>2770</v>
      </c>
      <c r="AI39" s="305">
        <f t="shared" si="18"/>
        <v>36</v>
      </c>
      <c r="AJ39" s="305">
        <f t="shared" si="18"/>
        <v>2806</v>
      </c>
      <c r="AK39" s="399">
        <f>'BIG CHAIR'!CL36</f>
        <v>0</v>
      </c>
      <c r="AL39" s="400">
        <f>'Tea Table'!X29</f>
        <v>0</v>
      </c>
      <c r="AM39" s="401">
        <f>AH39+AK39+AL39</f>
        <v>2770</v>
      </c>
    </row>
    <row r="40" spans="1:39" s="284" customFormat="1" ht="18.75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3.25">
      <c r="A41" s="286" t="s">
        <v>117</v>
      </c>
      <c r="B41" s="287" t="s">
        <v>68</v>
      </c>
      <c r="C41" s="287" t="s">
        <v>69</v>
      </c>
      <c r="D41" s="288" t="s">
        <v>70</v>
      </c>
      <c r="E41" s="80" t="s">
        <v>86</v>
      </c>
      <c r="F41" s="49"/>
      <c r="G41" s="49"/>
      <c r="H41" s="49"/>
      <c r="I41" s="49"/>
      <c r="J41" s="49"/>
      <c r="K41" s="49"/>
      <c r="L41" s="79"/>
      <c r="M41" s="80"/>
      <c r="N41" s="49"/>
      <c r="O41" s="49"/>
      <c r="P41" s="49"/>
      <c r="Q41" s="49"/>
      <c r="R41" s="49"/>
      <c r="S41" s="126" t="s">
        <v>466</v>
      </c>
      <c r="T41" s="171" t="s">
        <v>476</v>
      </c>
      <c r="U41" s="79"/>
      <c r="V41" s="172" t="str">
        <f t="shared" ref="V41:AB41" si="19">V3</f>
        <v>S-W</v>
      </c>
      <c r="W41" s="103" t="s">
        <v>81</v>
      </c>
      <c r="X41" s="103" t="s">
        <v>100</v>
      </c>
      <c r="Y41" s="103" t="s">
        <v>220</v>
      </c>
      <c r="Z41" s="103" t="str">
        <f t="shared" si="19"/>
        <v>M.Bz</v>
      </c>
      <c r="AA41" s="103" t="str">
        <f t="shared" si="19"/>
        <v>Brown</v>
      </c>
      <c r="AB41" s="179" t="str">
        <f t="shared" si="19"/>
        <v>R-W</v>
      </c>
      <c r="AC41" s="180" t="s">
        <v>76</v>
      </c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1" thickBot="1">
      <c r="A42" s="310" t="s">
        <v>176</v>
      </c>
      <c r="B42" s="311"/>
      <c r="C42" s="311"/>
      <c r="D42" s="312"/>
      <c r="E42" s="313"/>
      <c r="F42" s="314"/>
      <c r="G42" s="314"/>
      <c r="H42" s="314"/>
      <c r="I42" s="315"/>
      <c r="J42" s="315"/>
      <c r="K42" s="314"/>
      <c r="L42" s="349"/>
      <c r="M42" s="350"/>
      <c r="N42" s="315"/>
      <c r="O42" s="315"/>
      <c r="P42" s="315"/>
      <c r="Q42" s="315"/>
      <c r="R42" s="315"/>
      <c r="S42" s="315"/>
      <c r="T42" s="477"/>
      <c r="U42" s="349"/>
      <c r="V42" s="350"/>
      <c r="W42" s="315"/>
      <c r="X42" s="315"/>
      <c r="Y42" s="315"/>
      <c r="Z42" s="315"/>
      <c r="AA42" s="315"/>
      <c r="AB42" s="315"/>
      <c r="AC42" s="378"/>
      <c r="AD42" s="349"/>
      <c r="AE42" s="379">
        <f t="shared" ref="AE42:AE75" si="20">SUM(E42:AC42)</f>
        <v>0</v>
      </c>
      <c r="AF42" s="379"/>
      <c r="AG42" s="404"/>
      <c r="AH42" s="405">
        <f>AE42+AF42</f>
        <v>0</v>
      </c>
      <c r="AI42" s="406"/>
      <c r="AJ42" s="411">
        <f t="shared" ref="AJ42:AJ45" si="21">AH42+AI42</f>
        <v>0</v>
      </c>
      <c r="AK42" s="548"/>
      <c r="AL42" s="549"/>
      <c r="AM42" s="544"/>
    </row>
    <row r="43" spans="1:39" s="234" customFormat="1" ht="20.25" hidden="1">
      <c r="A43" s="316" t="s">
        <v>120</v>
      </c>
      <c r="B43" s="311"/>
      <c r="C43" s="317"/>
      <c r="D43" s="318"/>
      <c r="E43" s="319"/>
      <c r="F43" s="320"/>
      <c r="G43" s="320"/>
      <c r="H43" s="320"/>
      <c r="I43" s="321"/>
      <c r="J43" s="321"/>
      <c r="K43" s="320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53"/>
      <c r="W43" s="321"/>
      <c r="X43" s="321"/>
      <c r="Y43" s="321"/>
      <c r="Z43" s="321"/>
      <c r="AA43" s="321"/>
      <c r="AB43" s="321"/>
      <c r="AC43" s="380"/>
      <c r="AD43" s="352"/>
      <c r="AE43" s="381">
        <f t="shared" si="20"/>
        <v>0</v>
      </c>
      <c r="AF43" s="381"/>
      <c r="AG43" s="408"/>
      <c r="AH43" s="409">
        <f t="shared" ref="AH43:AH75" si="22">AE43+AF43</f>
        <v>0</v>
      </c>
      <c r="AI43" s="410"/>
      <c r="AJ43" s="411">
        <f t="shared" si="21"/>
        <v>0</v>
      </c>
    </row>
    <row r="44" spans="1:39" s="234" customFormat="1" ht="20.25" hidden="1">
      <c r="A44" s="316" t="s">
        <v>120</v>
      </c>
      <c r="B44" s="311"/>
      <c r="C44" s="295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20"/>
        <v>0</v>
      </c>
      <c r="AF44" s="381"/>
      <c r="AG44" s="408"/>
      <c r="AH44" s="409">
        <f t="shared" si="22"/>
        <v>0</v>
      </c>
      <c r="AI44" s="410"/>
      <c r="AJ44" s="411">
        <f t="shared" si="21"/>
        <v>0</v>
      </c>
    </row>
    <row r="45" spans="1:39" s="234" customFormat="1" ht="20.25" hidden="1">
      <c r="A45" s="316" t="s">
        <v>120</v>
      </c>
      <c r="B45" s="311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20"/>
        <v>0</v>
      </c>
      <c r="AF45" s="381"/>
      <c r="AG45" s="408"/>
      <c r="AH45" s="409">
        <f t="shared" si="22"/>
        <v>0</v>
      </c>
      <c r="AI45" s="410"/>
      <c r="AJ45" s="411">
        <f t="shared" si="21"/>
        <v>0</v>
      </c>
    </row>
    <row r="46" spans="1:39" s="234" customFormat="1" ht="20.25" hidden="1">
      <c r="A46" s="316" t="s">
        <v>120</v>
      </c>
      <c r="B46" s="311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20"/>
        <v>0</v>
      </c>
      <c r="AF46" s="381"/>
      <c r="AG46" s="408"/>
      <c r="AH46" s="409">
        <f t="shared" ref="AH46:AH47" si="23">AE46+AF46</f>
        <v>0</v>
      </c>
      <c r="AI46" s="410"/>
      <c r="AJ46" s="411">
        <f t="shared" ref="AJ46:AJ48" si="24">AH46+AI46</f>
        <v>0</v>
      </c>
    </row>
    <row r="47" spans="1:39" s="234" customFormat="1" ht="20.25" hidden="1">
      <c r="A47" s="316" t="s">
        <v>120</v>
      </c>
      <c r="B47" s="311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20"/>
        <v>0</v>
      </c>
      <c r="AF47" s="381"/>
      <c r="AG47" s="408"/>
      <c r="AH47" s="409">
        <f t="shared" si="23"/>
        <v>0</v>
      </c>
      <c r="AI47" s="410"/>
      <c r="AJ47" s="411">
        <f t="shared" si="24"/>
        <v>0</v>
      </c>
    </row>
    <row r="48" spans="1:39" s="234" customFormat="1" ht="20.25" hidden="1">
      <c r="A48" s="316" t="s">
        <v>120</v>
      </c>
      <c r="B48" s="311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20"/>
        <v>0</v>
      </c>
      <c r="AF48" s="381"/>
      <c r="AG48" s="408"/>
      <c r="AH48" s="409">
        <f t="shared" si="22"/>
        <v>0</v>
      </c>
      <c r="AI48" s="410"/>
      <c r="AJ48" s="411">
        <f t="shared" si="24"/>
        <v>0</v>
      </c>
    </row>
    <row r="49" spans="1:39" s="234" customFormat="1" ht="20.25" hidden="1">
      <c r="A49" s="316" t="s">
        <v>120</v>
      </c>
      <c r="B49" s="311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20"/>
        <v>0</v>
      </c>
      <c r="AF49" s="381"/>
      <c r="AG49" s="408"/>
      <c r="AH49" s="409">
        <f t="shared" si="22"/>
        <v>0</v>
      </c>
      <c r="AI49" s="410"/>
      <c r="AJ49" s="411">
        <f t="shared" ref="AJ49:AJ75" si="25">AH49+AI49</f>
        <v>0</v>
      </c>
    </row>
    <row r="50" spans="1:39" s="234" customFormat="1" ht="20.25" hidden="1">
      <c r="A50" s="316" t="s">
        <v>120</v>
      </c>
      <c r="B50" s="311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20"/>
        <v>0</v>
      </c>
      <c r="AF50" s="381"/>
      <c r="AG50" s="408"/>
      <c r="AH50" s="409">
        <f t="shared" ref="AH50:AH51" si="26">AE50+AF50</f>
        <v>0</v>
      </c>
      <c r="AI50" s="410"/>
      <c r="AJ50" s="411">
        <f t="shared" si="25"/>
        <v>0</v>
      </c>
    </row>
    <row r="51" spans="1:39" s="234" customFormat="1" ht="20.25" hidden="1">
      <c r="A51" s="316" t="s">
        <v>120</v>
      </c>
      <c r="B51" s="311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20"/>
        <v>0</v>
      </c>
      <c r="AF51" s="381"/>
      <c r="AG51" s="408"/>
      <c r="AH51" s="409">
        <f t="shared" si="26"/>
        <v>0</v>
      </c>
      <c r="AI51" s="410"/>
      <c r="AJ51" s="411">
        <f t="shared" si="25"/>
        <v>0</v>
      </c>
    </row>
    <row r="52" spans="1:39" s="234" customFormat="1" ht="20.25">
      <c r="A52" s="316" t="s">
        <v>120</v>
      </c>
      <c r="B52" s="311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20"/>
        <v>0</v>
      </c>
      <c r="AF52" s="381"/>
      <c r="AG52" s="408"/>
      <c r="AH52" s="409">
        <f t="shared" ref="AH52:AH55" si="27">AE52+AF52</f>
        <v>0</v>
      </c>
      <c r="AI52" s="410"/>
      <c r="AJ52" s="411">
        <f t="shared" si="25"/>
        <v>0</v>
      </c>
    </row>
    <row r="53" spans="1:39" s="234" customFormat="1" ht="20.25">
      <c r="A53" s="316" t="s">
        <v>120</v>
      </c>
      <c r="B53" s="295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1168"/>
      <c r="AC53" s="380"/>
      <c r="AD53" s="352"/>
      <c r="AE53" s="381">
        <f t="shared" si="20"/>
        <v>0</v>
      </c>
      <c r="AF53" s="381"/>
      <c r="AG53" s="408"/>
      <c r="AH53" s="409">
        <f t="shared" si="27"/>
        <v>0</v>
      </c>
      <c r="AI53" s="410"/>
      <c r="AJ53" s="411">
        <f t="shared" ref="AJ53:AJ54" si="28">AH53+AI53</f>
        <v>0</v>
      </c>
    </row>
    <row r="54" spans="1:39" s="234" customFormat="1" ht="20.25">
      <c r="A54" s="316" t="s">
        <v>120</v>
      </c>
      <c r="B54" s="295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829"/>
      <c r="W54" s="320"/>
      <c r="X54" s="741"/>
      <c r="Y54" s="321"/>
      <c r="Z54" s="321"/>
      <c r="AA54" s="321"/>
      <c r="AB54" s="320"/>
      <c r="AC54" s="380"/>
      <c r="AD54" s="352"/>
      <c r="AE54" s="381">
        <f t="shared" si="20"/>
        <v>0</v>
      </c>
      <c r="AF54" s="381"/>
      <c r="AG54" s="408"/>
      <c r="AH54" s="409">
        <f t="shared" si="27"/>
        <v>0</v>
      </c>
      <c r="AI54" s="410"/>
      <c r="AJ54" s="411">
        <f t="shared" si="28"/>
        <v>0</v>
      </c>
    </row>
    <row r="55" spans="1:39" s="234" customFormat="1" ht="20.25">
      <c r="A55" s="316" t="s">
        <v>120</v>
      </c>
      <c r="B55" s="295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20"/>
        <v>0</v>
      </c>
      <c r="AF55" s="381"/>
      <c r="AG55" s="408"/>
      <c r="AH55" s="409">
        <f t="shared" si="27"/>
        <v>0</v>
      </c>
      <c r="AI55" s="410"/>
      <c r="AJ55" s="411">
        <f t="shared" ref="AJ55" si="29">AH55+AI55</f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20"/>
        <v>0</v>
      </c>
      <c r="AF56" s="381"/>
      <c r="AG56" s="408"/>
      <c r="AH56" s="409">
        <f t="shared" si="22"/>
        <v>0</v>
      </c>
      <c r="AI56" s="410"/>
      <c r="AJ56" s="411">
        <f t="shared" si="25"/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20"/>
        <v>0</v>
      </c>
      <c r="AF57" s="381"/>
      <c r="AG57" s="408"/>
      <c r="AH57" s="409">
        <f t="shared" si="22"/>
        <v>0</v>
      </c>
      <c r="AI57" s="410"/>
      <c r="AJ57" s="411">
        <f t="shared" si="25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20"/>
        <v>0</v>
      </c>
      <c r="AF58" s="381"/>
      <c r="AG58" s="408"/>
      <c r="AH58" s="409">
        <f t="shared" si="22"/>
        <v>0</v>
      </c>
      <c r="AI58" s="410"/>
      <c r="AJ58" s="411">
        <f t="shared" si="25"/>
        <v>0</v>
      </c>
    </row>
    <row r="59" spans="1:39" s="283" customFormat="1" ht="20.25">
      <c r="A59" s="316" t="s">
        <v>120</v>
      </c>
      <c r="B59" s="323"/>
      <c r="C59" s="323"/>
      <c r="D59" s="318"/>
      <c r="E59" s="325"/>
      <c r="F59" s="297"/>
      <c r="G59" s="297"/>
      <c r="H59" s="297"/>
      <c r="I59" s="298"/>
      <c r="J59" s="298"/>
      <c r="K59" s="297"/>
      <c r="L59" s="355"/>
      <c r="M59" s="343"/>
      <c r="N59" s="298"/>
      <c r="O59" s="298"/>
      <c r="P59" s="298"/>
      <c r="Q59" s="298"/>
      <c r="R59" s="298"/>
      <c r="S59" s="298"/>
      <c r="T59" s="367"/>
      <c r="U59" s="355"/>
      <c r="V59" s="325"/>
      <c r="W59" s="297"/>
      <c r="X59" s="297"/>
      <c r="Y59" s="298"/>
      <c r="Z59" s="298"/>
      <c r="AA59" s="298"/>
      <c r="AB59" s="297"/>
      <c r="AC59" s="375"/>
      <c r="AD59" s="355"/>
      <c r="AE59" s="376">
        <f t="shared" ref="AE59" si="30">SUM(E59:AC59)</f>
        <v>0</v>
      </c>
      <c r="AF59" s="377"/>
      <c r="AG59" s="390"/>
      <c r="AH59" s="391">
        <f t="shared" ref="AH59:AH74" si="31">AE59+AF59</f>
        <v>0</v>
      </c>
      <c r="AI59" s="412"/>
      <c r="AJ59" s="413">
        <f t="shared" ref="AJ59:AJ74" si="32">AH59+AI59</f>
        <v>0</v>
      </c>
      <c r="AK59" s="414" t="s">
        <v>8</v>
      </c>
      <c r="AL59" s="397" t="s">
        <v>23</v>
      </c>
      <c r="AM59" s="415" t="s">
        <v>174</v>
      </c>
    </row>
    <row r="60" spans="1:39" s="283" customFormat="1" ht="20.25">
      <c r="A60" s="316" t="s">
        <v>120</v>
      </c>
      <c r="B60" s="323"/>
      <c r="C60" s="323"/>
      <c r="D60" s="324"/>
      <c r="E60" s="325"/>
      <c r="F60" s="297"/>
      <c r="G60" s="297"/>
      <c r="H60" s="297"/>
      <c r="I60" s="298"/>
      <c r="J60" s="298"/>
      <c r="K60" s="297"/>
      <c r="L60" s="355"/>
      <c r="M60" s="343"/>
      <c r="N60" s="298"/>
      <c r="O60" s="298"/>
      <c r="P60" s="298"/>
      <c r="Q60" s="298"/>
      <c r="R60" s="298"/>
      <c r="S60" s="298"/>
      <c r="T60" s="367"/>
      <c r="U60" s="355"/>
      <c r="V60" s="325"/>
      <c r="W60" s="297"/>
      <c r="X60" s="297"/>
      <c r="Y60" s="298"/>
      <c r="Z60" s="298"/>
      <c r="AA60" s="298"/>
      <c r="AB60" s="297"/>
      <c r="AC60" s="375"/>
      <c r="AD60" s="355"/>
      <c r="AE60" s="376">
        <f t="shared" ref="AE60" si="33">SUM(E60:AC60)</f>
        <v>0</v>
      </c>
      <c r="AF60" s="377"/>
      <c r="AG60" s="390"/>
      <c r="AH60" s="391">
        <f t="shared" si="31"/>
        <v>0</v>
      </c>
      <c r="AI60" s="412"/>
      <c r="AJ60" s="413">
        <f t="shared" si="32"/>
        <v>0</v>
      </c>
      <c r="AK60" s="414" t="s">
        <v>8</v>
      </c>
      <c r="AL60" s="397" t="s">
        <v>23</v>
      </c>
      <c r="AM60" s="415" t="s">
        <v>174</v>
      </c>
    </row>
    <row r="61" spans="1:39" s="283" customFormat="1" ht="20.25">
      <c r="A61" s="316" t="s">
        <v>120</v>
      </c>
      <c r="B61" s="323"/>
      <c r="C61" s="323"/>
      <c r="D61" s="324"/>
      <c r="E61" s="325"/>
      <c r="F61" s="297"/>
      <c r="G61" s="297"/>
      <c r="H61" s="297"/>
      <c r="I61" s="298"/>
      <c r="J61" s="298"/>
      <c r="K61" s="297"/>
      <c r="L61" s="355"/>
      <c r="M61" s="343"/>
      <c r="N61" s="298"/>
      <c r="O61" s="298"/>
      <c r="P61" s="298"/>
      <c r="Q61" s="298"/>
      <c r="R61" s="298"/>
      <c r="S61" s="298"/>
      <c r="T61" s="367"/>
      <c r="U61" s="355"/>
      <c r="V61" s="325"/>
      <c r="W61" s="297"/>
      <c r="X61" s="297"/>
      <c r="Y61" s="298"/>
      <c r="Z61" s="298"/>
      <c r="AA61" s="298"/>
      <c r="AB61" s="297"/>
      <c r="AC61" s="375"/>
      <c r="AD61" s="355"/>
      <c r="AE61" s="376">
        <f t="shared" ref="AE61" si="34">SUM(E61:AC61)</f>
        <v>0</v>
      </c>
      <c r="AF61" s="377"/>
      <c r="AG61" s="390"/>
      <c r="AH61" s="391">
        <f t="shared" si="31"/>
        <v>0</v>
      </c>
      <c r="AI61" s="412"/>
      <c r="AJ61" s="413">
        <f t="shared" si="32"/>
        <v>0</v>
      </c>
      <c r="AK61" s="414" t="s">
        <v>8</v>
      </c>
      <c r="AL61" s="397" t="s">
        <v>23</v>
      </c>
      <c r="AM61" s="415" t="s">
        <v>174</v>
      </c>
    </row>
    <row r="62" spans="1:39" s="283" customFormat="1" ht="20.25">
      <c r="A62" s="316" t="s">
        <v>120</v>
      </c>
      <c r="B62" s="323"/>
      <c r="C62" s="323"/>
      <c r="D62" s="324"/>
      <c r="E62" s="325"/>
      <c r="F62" s="297"/>
      <c r="G62" s="297"/>
      <c r="H62" s="297"/>
      <c r="I62" s="298"/>
      <c r="J62" s="298"/>
      <c r="K62" s="297"/>
      <c r="L62" s="355"/>
      <c r="M62" s="343"/>
      <c r="N62" s="298"/>
      <c r="O62" s="298"/>
      <c r="P62" s="298"/>
      <c r="Q62" s="298"/>
      <c r="R62" s="298"/>
      <c r="S62" s="298"/>
      <c r="T62" s="367"/>
      <c r="U62" s="355"/>
      <c r="V62" s="325"/>
      <c r="W62" s="297"/>
      <c r="X62" s="297"/>
      <c r="Y62" s="298"/>
      <c r="Z62" s="298"/>
      <c r="AA62" s="298"/>
      <c r="AB62" s="297"/>
      <c r="AC62" s="375"/>
      <c r="AD62" s="355"/>
      <c r="AE62" s="376">
        <f t="shared" ref="AE62" si="35">SUM(E62:AC62)</f>
        <v>0</v>
      </c>
      <c r="AF62" s="377"/>
      <c r="AG62" s="390"/>
      <c r="AH62" s="391">
        <f t="shared" si="31"/>
        <v>0</v>
      </c>
      <c r="AI62" s="412"/>
      <c r="AJ62" s="413">
        <f t="shared" si="32"/>
        <v>0</v>
      </c>
      <c r="AK62" s="414" t="s">
        <v>8</v>
      </c>
      <c r="AL62" s="397" t="s">
        <v>23</v>
      </c>
      <c r="AM62" s="415" t="s">
        <v>174</v>
      </c>
    </row>
    <row r="63" spans="1:39" s="283" customFormat="1" ht="25.5" customHeight="1">
      <c r="A63" s="316" t="s">
        <v>120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1165"/>
      <c r="W63" s="297"/>
      <c r="X63" s="297"/>
      <c r="Y63" s="298"/>
      <c r="Z63" s="298"/>
      <c r="AA63" s="325"/>
      <c r="AB63" s="297"/>
      <c r="AC63" s="375"/>
      <c r="AD63" s="355"/>
      <c r="AE63" s="376">
        <f t="shared" ref="AE63" si="36">SUM(E63:AC63)</f>
        <v>0</v>
      </c>
      <c r="AF63" s="377"/>
      <c r="AG63" s="390"/>
      <c r="AH63" s="391">
        <f t="shared" si="31"/>
        <v>0</v>
      </c>
      <c r="AI63" s="412"/>
      <c r="AJ63" s="413">
        <f t="shared" si="32"/>
        <v>0</v>
      </c>
      <c r="AK63" s="414" t="s">
        <v>8</v>
      </c>
      <c r="AL63" s="397" t="s">
        <v>23</v>
      </c>
      <c r="AM63" s="415" t="s">
        <v>174</v>
      </c>
    </row>
    <row r="64" spans="1:39" s="283" customFormat="1" ht="23.25">
      <c r="A64" s="316" t="s">
        <v>120</v>
      </c>
      <c r="B64" s="323"/>
      <c r="C64" s="323"/>
      <c r="D64" s="324"/>
      <c r="E64" s="325"/>
      <c r="F64" s="297"/>
      <c r="G64" s="297"/>
      <c r="H64" s="297"/>
      <c r="I64" s="298"/>
      <c r="J64" s="298"/>
      <c r="K64" s="297"/>
      <c r="L64" s="355"/>
      <c r="M64" s="343"/>
      <c r="N64" s="298"/>
      <c r="O64" s="298"/>
      <c r="P64" s="298"/>
      <c r="Q64" s="298"/>
      <c r="R64" s="298"/>
      <c r="S64" s="298"/>
      <c r="T64" s="367"/>
      <c r="U64" s="355"/>
      <c r="V64" s="1166"/>
      <c r="W64" s="297"/>
      <c r="X64" s="297"/>
      <c r="Y64" s="298"/>
      <c r="Z64" s="298"/>
      <c r="AA64" s="325"/>
      <c r="AB64" s="297"/>
      <c r="AC64" s="375"/>
      <c r="AD64" s="355"/>
      <c r="AE64" s="376">
        <f t="shared" ref="AE64" si="37">SUM(E64:AC64)</f>
        <v>0</v>
      </c>
      <c r="AF64" s="377"/>
      <c r="AG64" s="390"/>
      <c r="AH64" s="391">
        <f t="shared" si="31"/>
        <v>0</v>
      </c>
      <c r="AI64" s="412"/>
      <c r="AJ64" s="413">
        <f t="shared" si="32"/>
        <v>0</v>
      </c>
      <c r="AK64" s="414" t="s">
        <v>8</v>
      </c>
      <c r="AL64" s="397" t="s">
        <v>23</v>
      </c>
      <c r="AM64" s="415" t="s">
        <v>174</v>
      </c>
    </row>
    <row r="65" spans="1:39" s="283" customFormat="1" ht="21">
      <c r="A65" s="316" t="s">
        <v>120</v>
      </c>
      <c r="B65" s="323"/>
      <c r="C65" s="323"/>
      <c r="D65" s="324"/>
      <c r="E65" s="325"/>
      <c r="F65" s="297"/>
      <c r="G65" s="297"/>
      <c r="H65" s="297"/>
      <c r="I65" s="298"/>
      <c r="J65" s="298"/>
      <c r="K65" s="297"/>
      <c r="L65" s="355"/>
      <c r="M65" s="343"/>
      <c r="N65" s="298"/>
      <c r="O65" s="298"/>
      <c r="P65" s="298"/>
      <c r="Q65" s="298"/>
      <c r="R65" s="298"/>
      <c r="S65" s="298"/>
      <c r="T65" s="367"/>
      <c r="U65" s="355"/>
      <c r="V65" s="1171"/>
      <c r="W65" s="297"/>
      <c r="X65" s="297"/>
      <c r="Y65" s="298"/>
      <c r="Z65" s="298"/>
      <c r="AA65" s="325"/>
      <c r="AB65" s="297"/>
      <c r="AC65" s="375"/>
      <c r="AD65" s="355"/>
      <c r="AE65" s="376">
        <f t="shared" ref="AE65" si="38">SUM(E65:AC65)</f>
        <v>0</v>
      </c>
      <c r="AF65" s="377"/>
      <c r="AG65" s="390"/>
      <c r="AH65" s="391">
        <f t="shared" si="31"/>
        <v>0</v>
      </c>
      <c r="AI65" s="412"/>
      <c r="AJ65" s="413">
        <f t="shared" si="32"/>
        <v>0</v>
      </c>
      <c r="AK65" s="414" t="s">
        <v>8</v>
      </c>
      <c r="AL65" s="397" t="s">
        <v>23</v>
      </c>
      <c r="AM65" s="415" t="s">
        <v>174</v>
      </c>
    </row>
    <row r="66" spans="1:39" s="283" customFormat="1" ht="21">
      <c r="A66" s="316" t="s">
        <v>120</v>
      </c>
      <c r="B66" s="323"/>
      <c r="C66" s="323"/>
      <c r="D66" s="324"/>
      <c r="E66" s="325"/>
      <c r="F66" s="297"/>
      <c r="G66" s="297"/>
      <c r="H66" s="297"/>
      <c r="I66" s="298"/>
      <c r="J66" s="298"/>
      <c r="K66" s="297"/>
      <c r="L66" s="355"/>
      <c r="M66" s="343"/>
      <c r="N66" s="298"/>
      <c r="O66" s="298"/>
      <c r="P66" s="298"/>
      <c r="Q66" s="298"/>
      <c r="R66" s="298"/>
      <c r="S66" s="298"/>
      <c r="T66" s="367"/>
      <c r="U66" s="355"/>
      <c r="V66" s="1171"/>
      <c r="W66" s="297"/>
      <c r="X66" s="297"/>
      <c r="Y66" s="298"/>
      <c r="Z66" s="298"/>
      <c r="AA66" s="325"/>
      <c r="AB66" s="297"/>
      <c r="AC66" s="375"/>
      <c r="AD66" s="355"/>
      <c r="AE66" s="376">
        <f t="shared" ref="AE66" si="39">SUM(E66:AC66)</f>
        <v>0</v>
      </c>
      <c r="AF66" s="377"/>
      <c r="AG66" s="390"/>
      <c r="AH66" s="391">
        <f t="shared" si="31"/>
        <v>0</v>
      </c>
      <c r="AI66" s="412"/>
      <c r="AJ66" s="413">
        <f t="shared" si="32"/>
        <v>0</v>
      </c>
      <c r="AK66" s="414" t="s">
        <v>8</v>
      </c>
      <c r="AL66" s="397" t="s">
        <v>23</v>
      </c>
      <c r="AM66" s="415" t="s">
        <v>174</v>
      </c>
    </row>
    <row r="67" spans="1:39" s="283" customFormat="1" ht="20.25">
      <c r="A67" s="316" t="s">
        <v>120</v>
      </c>
      <c r="B67" s="323"/>
      <c r="C67" s="323"/>
      <c r="D67" s="324"/>
      <c r="E67" s="325"/>
      <c r="F67" s="297"/>
      <c r="G67" s="297"/>
      <c r="H67" s="297"/>
      <c r="I67" s="298"/>
      <c r="J67" s="298"/>
      <c r="K67" s="297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1172"/>
      <c r="W67" s="297"/>
      <c r="X67" s="297"/>
      <c r="Y67" s="298"/>
      <c r="Z67" s="298"/>
      <c r="AA67" s="325"/>
      <c r="AB67" s="297"/>
      <c r="AC67" s="375"/>
      <c r="AD67" s="355"/>
      <c r="AE67" s="376">
        <f t="shared" ref="AE67" si="40">SUM(E67:AC67)</f>
        <v>0</v>
      </c>
      <c r="AF67" s="377"/>
      <c r="AG67" s="390"/>
      <c r="AH67" s="391">
        <f t="shared" si="31"/>
        <v>0</v>
      </c>
      <c r="AI67" s="412"/>
      <c r="AJ67" s="413">
        <f t="shared" si="32"/>
        <v>0</v>
      </c>
      <c r="AK67" s="414" t="s">
        <v>8</v>
      </c>
      <c r="AL67" s="397" t="s">
        <v>23</v>
      </c>
      <c r="AM67" s="415" t="s">
        <v>174</v>
      </c>
    </row>
    <row r="68" spans="1:39" s="283" customFormat="1" ht="20.25">
      <c r="A68" s="316" t="s">
        <v>120</v>
      </c>
      <c r="B68" s="323"/>
      <c r="C68" s="323"/>
      <c r="D68" s="324"/>
      <c r="E68" s="325"/>
      <c r="F68" s="297"/>
      <c r="G68" s="297"/>
      <c r="H68" s="297"/>
      <c r="I68" s="298"/>
      <c r="J68" s="298"/>
      <c r="K68" s="297"/>
      <c r="L68" s="355"/>
      <c r="M68" s="343"/>
      <c r="N68" s="298"/>
      <c r="O68" s="298"/>
      <c r="P68" s="298"/>
      <c r="Q68" s="298"/>
      <c r="R68" s="298"/>
      <c r="S68" s="298"/>
      <c r="T68" s="367"/>
      <c r="U68" s="355"/>
      <c r="V68" s="1172"/>
      <c r="W68" s="297"/>
      <c r="X68" s="297"/>
      <c r="Y68" s="298"/>
      <c r="Z68" s="298"/>
      <c r="AA68" s="325"/>
      <c r="AB68" s="297"/>
      <c r="AC68" s="375"/>
      <c r="AD68" s="355"/>
      <c r="AE68" s="376">
        <f t="shared" ref="AE68" si="41">SUM(E68:AC68)</f>
        <v>0</v>
      </c>
      <c r="AF68" s="377"/>
      <c r="AG68" s="390"/>
      <c r="AH68" s="391">
        <f t="shared" si="31"/>
        <v>0</v>
      </c>
      <c r="AI68" s="412"/>
      <c r="AJ68" s="413">
        <f t="shared" si="32"/>
        <v>0</v>
      </c>
      <c r="AK68" s="414" t="s">
        <v>8</v>
      </c>
      <c r="AL68" s="397" t="s">
        <v>23</v>
      </c>
      <c r="AM68" s="415" t="s">
        <v>174</v>
      </c>
    </row>
    <row r="69" spans="1:39" s="283" customFormat="1" ht="20.25">
      <c r="A69" s="316" t="s">
        <v>120</v>
      </c>
      <c r="B69" s="323"/>
      <c r="C69" s="323"/>
      <c r="D69" s="324"/>
      <c r="E69" s="325"/>
      <c r="F69" s="297"/>
      <c r="G69" s="297"/>
      <c r="H69" s="297"/>
      <c r="I69" s="298"/>
      <c r="J69" s="298"/>
      <c r="K69" s="297"/>
      <c r="L69" s="355"/>
      <c r="M69" s="343"/>
      <c r="N69" s="298"/>
      <c r="O69" s="298"/>
      <c r="P69" s="298"/>
      <c r="Q69" s="298"/>
      <c r="R69" s="298"/>
      <c r="S69" s="298"/>
      <c r="T69" s="367"/>
      <c r="U69" s="355"/>
      <c r="V69" s="1172"/>
      <c r="W69" s="297"/>
      <c r="X69" s="297"/>
      <c r="Y69" s="298"/>
      <c r="Z69" s="298"/>
      <c r="AA69" s="325"/>
      <c r="AB69" s="297"/>
      <c r="AC69" s="375"/>
      <c r="AD69" s="355"/>
      <c r="AE69" s="376">
        <f t="shared" ref="AE69:AE71" si="42">SUM(E69:AC69)</f>
        <v>0</v>
      </c>
      <c r="AF69" s="377"/>
      <c r="AG69" s="390"/>
      <c r="AH69" s="391">
        <f t="shared" si="31"/>
        <v>0</v>
      </c>
      <c r="AI69" s="412"/>
      <c r="AJ69" s="413">
        <f t="shared" si="32"/>
        <v>0</v>
      </c>
      <c r="AK69" s="414" t="s">
        <v>8</v>
      </c>
      <c r="AL69" s="397" t="s">
        <v>23</v>
      </c>
      <c r="AM69" s="415" t="s">
        <v>174</v>
      </c>
    </row>
    <row r="70" spans="1:39" s="283" customFormat="1" ht="20.25">
      <c r="A70" s="316" t="s">
        <v>120</v>
      </c>
      <c r="B70" s="323"/>
      <c r="C70" s="323"/>
      <c r="D70" s="324"/>
      <c r="E70" s="325"/>
      <c r="F70" s="297"/>
      <c r="G70" s="297"/>
      <c r="H70" s="297"/>
      <c r="I70" s="298"/>
      <c r="J70" s="298"/>
      <c r="K70" s="297"/>
      <c r="L70" s="355"/>
      <c r="M70" s="343"/>
      <c r="N70" s="298"/>
      <c r="O70" s="298"/>
      <c r="P70" s="298"/>
      <c r="Q70" s="298"/>
      <c r="R70" s="298"/>
      <c r="S70" s="298"/>
      <c r="T70" s="367"/>
      <c r="U70" s="355"/>
      <c r="V70" s="1172"/>
      <c r="W70" s="297"/>
      <c r="X70" s="297"/>
      <c r="Y70" s="298"/>
      <c r="Z70" s="298"/>
      <c r="AA70" s="325"/>
      <c r="AB70" s="297"/>
      <c r="AC70" s="375"/>
      <c r="AD70" s="355"/>
      <c r="AE70" s="376">
        <f t="shared" si="42"/>
        <v>0</v>
      </c>
      <c r="AF70" s="377"/>
      <c r="AG70" s="390"/>
      <c r="AH70" s="391">
        <f t="shared" si="31"/>
        <v>0</v>
      </c>
      <c r="AI70" s="412"/>
      <c r="AJ70" s="413">
        <f t="shared" si="32"/>
        <v>0</v>
      </c>
      <c r="AK70" s="414" t="s">
        <v>8</v>
      </c>
      <c r="AL70" s="397" t="s">
        <v>23</v>
      </c>
      <c r="AM70" s="415" t="s">
        <v>174</v>
      </c>
    </row>
    <row r="71" spans="1:39" s="283" customFormat="1" ht="20.25">
      <c r="A71" s="316" t="s">
        <v>120</v>
      </c>
      <c r="B71" s="323"/>
      <c r="C71" s="323"/>
      <c r="D71" s="324"/>
      <c r="E71" s="325"/>
      <c r="F71" s="297"/>
      <c r="G71" s="297"/>
      <c r="H71" s="297"/>
      <c r="I71" s="298"/>
      <c r="J71" s="298"/>
      <c r="K71" s="297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1172"/>
      <c r="W71" s="297"/>
      <c r="X71" s="297"/>
      <c r="Y71" s="298"/>
      <c r="Z71" s="298"/>
      <c r="AA71" s="325"/>
      <c r="AB71" s="297"/>
      <c r="AC71" s="375"/>
      <c r="AD71" s="355"/>
      <c r="AE71" s="376">
        <f t="shared" si="42"/>
        <v>0</v>
      </c>
      <c r="AF71" s="377"/>
      <c r="AG71" s="390"/>
      <c r="AH71" s="391">
        <f t="shared" ref="AH71" si="43">AE71+AF71</f>
        <v>0</v>
      </c>
      <c r="AI71" s="412"/>
      <c r="AJ71" s="413">
        <f t="shared" ref="AJ71" si="44">AH71+AI71</f>
        <v>0</v>
      </c>
      <c r="AK71" s="414" t="s">
        <v>8</v>
      </c>
      <c r="AL71" s="397" t="s">
        <v>23</v>
      </c>
      <c r="AM71" s="415" t="s">
        <v>174</v>
      </c>
    </row>
    <row r="72" spans="1:39" s="283" customFormat="1" ht="20.25">
      <c r="A72" s="316" t="s">
        <v>120</v>
      </c>
      <c r="B72" s="323"/>
      <c r="C72" s="323"/>
      <c r="D72" s="324"/>
      <c r="E72" s="325"/>
      <c r="F72" s="297"/>
      <c r="G72" s="297"/>
      <c r="H72" s="297"/>
      <c r="I72" s="298"/>
      <c r="J72" s="298"/>
      <c r="K72" s="297"/>
      <c r="L72" s="355"/>
      <c r="M72" s="343"/>
      <c r="N72" s="298"/>
      <c r="O72" s="298"/>
      <c r="P72" s="298"/>
      <c r="Q72" s="298"/>
      <c r="R72" s="298"/>
      <c r="S72" s="298"/>
      <c r="T72" s="367"/>
      <c r="U72" s="355"/>
      <c r="V72" s="1172"/>
      <c r="W72" s="297"/>
      <c r="X72" s="297"/>
      <c r="Y72" s="298"/>
      <c r="Z72" s="298"/>
      <c r="AA72" s="325"/>
      <c r="AB72" s="297"/>
      <c r="AC72" s="375"/>
      <c r="AD72" s="355"/>
      <c r="AE72" s="376">
        <f t="shared" ref="AE72:AE73" si="45">SUM(E72:AC72)</f>
        <v>0</v>
      </c>
      <c r="AF72" s="377"/>
      <c r="AG72" s="390"/>
      <c r="AH72" s="391">
        <f t="shared" ref="AH72:AH73" si="46">AE72+AF72</f>
        <v>0</v>
      </c>
      <c r="AI72" s="412"/>
      <c r="AJ72" s="413">
        <f t="shared" ref="AJ72:AJ73" si="47">AH72+AI72</f>
        <v>0</v>
      </c>
      <c r="AK72" s="414" t="s">
        <v>8</v>
      </c>
      <c r="AL72" s="397" t="s">
        <v>23</v>
      </c>
      <c r="AM72" s="415" t="s">
        <v>174</v>
      </c>
    </row>
    <row r="73" spans="1:39" s="283" customFormat="1" ht="20.25">
      <c r="A73" s="316" t="s">
        <v>120</v>
      </c>
      <c r="B73" s="323"/>
      <c r="C73" s="323"/>
      <c r="D73" s="324"/>
      <c r="E73" s="325"/>
      <c r="F73" s="297"/>
      <c r="G73" s="297"/>
      <c r="H73" s="297"/>
      <c r="I73" s="298"/>
      <c r="J73" s="298"/>
      <c r="K73" s="297"/>
      <c r="L73" s="355"/>
      <c r="M73" s="343"/>
      <c r="N73" s="298"/>
      <c r="O73" s="298"/>
      <c r="P73" s="298"/>
      <c r="Q73" s="298"/>
      <c r="R73" s="298"/>
      <c r="S73" s="298"/>
      <c r="T73" s="367"/>
      <c r="U73" s="355"/>
      <c r="V73" s="1172"/>
      <c r="W73" s="297"/>
      <c r="X73" s="297"/>
      <c r="Y73" s="298"/>
      <c r="Z73" s="298"/>
      <c r="AA73" s="325"/>
      <c r="AB73" s="297"/>
      <c r="AC73" s="375"/>
      <c r="AD73" s="355"/>
      <c r="AE73" s="376">
        <f t="shared" si="45"/>
        <v>0</v>
      </c>
      <c r="AF73" s="377"/>
      <c r="AG73" s="390"/>
      <c r="AH73" s="391">
        <f t="shared" si="46"/>
        <v>0</v>
      </c>
      <c r="AI73" s="412"/>
      <c r="AJ73" s="413">
        <f t="shared" si="47"/>
        <v>0</v>
      </c>
      <c r="AK73" s="414" t="s">
        <v>8</v>
      </c>
      <c r="AL73" s="397" t="s">
        <v>23</v>
      </c>
      <c r="AM73" s="415" t="s">
        <v>174</v>
      </c>
    </row>
    <row r="74" spans="1:39" s="283" customFormat="1" ht="20.25">
      <c r="A74" s="316" t="s">
        <v>120</v>
      </c>
      <c r="B74" s="323"/>
      <c r="C74" s="323"/>
      <c r="D74" s="324"/>
      <c r="E74" s="325"/>
      <c r="F74" s="297"/>
      <c r="G74" s="297"/>
      <c r="H74" s="297"/>
      <c r="I74" s="298"/>
      <c r="J74" s="298"/>
      <c r="K74" s="297"/>
      <c r="L74" s="355"/>
      <c r="M74" s="343"/>
      <c r="N74" s="298"/>
      <c r="O74" s="298"/>
      <c r="P74" s="298"/>
      <c r="Q74" s="298"/>
      <c r="R74" s="298"/>
      <c r="S74" s="298"/>
      <c r="T74" s="367"/>
      <c r="U74" s="355"/>
      <c r="V74" s="1172"/>
      <c r="W74" s="297"/>
      <c r="X74" s="297"/>
      <c r="Y74" s="298"/>
      <c r="Z74" s="298"/>
      <c r="AA74" s="325"/>
      <c r="AB74" s="297"/>
      <c r="AC74" s="375"/>
      <c r="AD74" s="355"/>
      <c r="AE74" s="376">
        <f t="shared" ref="AE74" si="48">SUM(E74:AC74)</f>
        <v>0</v>
      </c>
      <c r="AF74" s="377"/>
      <c r="AG74" s="390"/>
      <c r="AH74" s="391">
        <f t="shared" si="31"/>
        <v>0</v>
      </c>
      <c r="AI74" s="412"/>
      <c r="AJ74" s="413">
        <f t="shared" si="32"/>
        <v>0</v>
      </c>
      <c r="AK74" s="414" t="s">
        <v>8</v>
      </c>
      <c r="AL74" s="397" t="s">
        <v>23</v>
      </c>
      <c r="AM74" s="415" t="s">
        <v>174</v>
      </c>
    </row>
    <row r="75" spans="1:39" s="283" customFormat="1" ht="20.25">
      <c r="A75" s="316" t="s">
        <v>120</v>
      </c>
      <c r="B75" s="323"/>
      <c r="C75" s="323"/>
      <c r="D75" s="324"/>
      <c r="E75" s="325"/>
      <c r="F75" s="297"/>
      <c r="G75" s="297"/>
      <c r="H75" s="297"/>
      <c r="I75" s="298"/>
      <c r="J75" s="298"/>
      <c r="K75" s="297"/>
      <c r="L75" s="355"/>
      <c r="M75" s="343"/>
      <c r="N75" s="298"/>
      <c r="O75" s="298"/>
      <c r="P75" s="298"/>
      <c r="Q75" s="298"/>
      <c r="R75" s="298"/>
      <c r="S75" s="298"/>
      <c r="T75" s="367"/>
      <c r="U75" s="355"/>
      <c r="V75" s="1172"/>
      <c r="W75" s="297"/>
      <c r="X75" s="297"/>
      <c r="Y75" s="298"/>
      <c r="Z75" s="298"/>
      <c r="AA75" s="325"/>
      <c r="AB75" s="297"/>
      <c r="AC75" s="375"/>
      <c r="AD75" s="355"/>
      <c r="AE75" s="376">
        <f t="shared" si="20"/>
        <v>0</v>
      </c>
      <c r="AF75" s="377"/>
      <c r="AG75" s="390"/>
      <c r="AH75" s="391">
        <f t="shared" si="22"/>
        <v>0</v>
      </c>
      <c r="AI75" s="412"/>
      <c r="AJ75" s="413">
        <f t="shared" si="25"/>
        <v>0</v>
      </c>
      <c r="AK75" s="414" t="s">
        <v>8</v>
      </c>
      <c r="AL75" s="397" t="s">
        <v>23</v>
      </c>
      <c r="AM75" s="415" t="s">
        <v>174</v>
      </c>
    </row>
    <row r="76" spans="1:39" s="284" customFormat="1" ht="18.75">
      <c r="A76" s="326" t="s">
        <v>177</v>
      </c>
      <c r="B76" s="327"/>
      <c r="C76" s="327"/>
      <c r="D76" s="328"/>
      <c r="E76" s="329">
        <f>SUM(E42:E75)</f>
        <v>0</v>
      </c>
      <c r="F76" s="329">
        <f t="shared" ref="F76:K76" si="49">SUM(F42:F75)</f>
        <v>0</v>
      </c>
      <c r="G76" s="329">
        <f t="shared" si="49"/>
        <v>0</v>
      </c>
      <c r="H76" s="329">
        <f t="shared" si="49"/>
        <v>0</v>
      </c>
      <c r="I76" s="329">
        <f t="shared" si="49"/>
        <v>0</v>
      </c>
      <c r="J76" s="329">
        <f t="shared" si="49"/>
        <v>0</v>
      </c>
      <c r="K76" s="329">
        <f t="shared" si="49"/>
        <v>0</v>
      </c>
      <c r="L76" s="357"/>
      <c r="M76" s="358">
        <f>SUM(M42:M75)</f>
        <v>0</v>
      </c>
      <c r="N76" s="359">
        <f>SUM(N42:N75)</f>
        <v>0</v>
      </c>
      <c r="O76" s="359">
        <f>SUM(O42:O75)</f>
        <v>0</v>
      </c>
      <c r="P76" s="359">
        <f>SUM(P42:P75)</f>
        <v>0</v>
      </c>
      <c r="Q76" s="359">
        <f t="shared" ref="Q76:T76" si="50">SUM(Q42:Q75)</f>
        <v>0</v>
      </c>
      <c r="R76" s="359">
        <f t="shared" si="50"/>
        <v>0</v>
      </c>
      <c r="S76" s="359">
        <f t="shared" si="50"/>
        <v>0</v>
      </c>
      <c r="T76" s="369">
        <f t="shared" si="50"/>
        <v>0</v>
      </c>
      <c r="U76" s="357"/>
      <c r="V76" s="416">
        <f>SUM(V42:V75)</f>
        <v>0</v>
      </c>
      <c r="W76" s="1173">
        <f t="shared" ref="W76:AC76" si="51">SUM(W42:W75)</f>
        <v>0</v>
      </c>
      <c r="X76" s="359">
        <f t="shared" si="51"/>
        <v>0</v>
      </c>
      <c r="Y76" s="359">
        <f t="shared" si="51"/>
        <v>0</v>
      </c>
      <c r="Z76" s="359">
        <f t="shared" si="51"/>
        <v>0</v>
      </c>
      <c r="AA76" s="359">
        <f t="shared" si="51"/>
        <v>0</v>
      </c>
      <c r="AB76" s="359">
        <f t="shared" si="51"/>
        <v>0</v>
      </c>
      <c r="AC76" s="369">
        <f t="shared" si="51"/>
        <v>0</v>
      </c>
      <c r="AD76" s="357"/>
      <c r="AE76" s="382">
        <f t="shared" ref="AE76:AJ76" si="52">SUM(AE42:AE75)</f>
        <v>0</v>
      </c>
      <c r="AF76" s="382">
        <f t="shared" si="52"/>
        <v>0</v>
      </c>
      <c r="AG76" s="416">
        <f t="shared" si="52"/>
        <v>0</v>
      </c>
      <c r="AH76" s="417">
        <f t="shared" si="52"/>
        <v>0</v>
      </c>
      <c r="AI76" s="382">
        <f t="shared" si="52"/>
        <v>0</v>
      </c>
      <c r="AJ76" s="418">
        <f t="shared" si="52"/>
        <v>0</v>
      </c>
      <c r="AK76" s="399">
        <f>'BIG CHAIR'!CL77</f>
        <v>14560</v>
      </c>
      <c r="AL76" s="400">
        <f>'Tea Table'!X85</f>
        <v>0</v>
      </c>
      <c r="AM76" s="401">
        <f>AH76+AK76+AL76</f>
        <v>14560</v>
      </c>
    </row>
    <row r="77" spans="1:39" s="284" customFormat="1" ht="18.75">
      <c r="A77" s="306"/>
      <c r="B77" s="307"/>
      <c r="C77" s="307"/>
      <c r="D77" s="308"/>
      <c r="E77" s="309"/>
      <c r="F77" s="309"/>
      <c r="G77" s="309"/>
      <c r="H77" s="309"/>
      <c r="I77" s="309"/>
      <c r="J77" s="309"/>
      <c r="K77" s="309"/>
      <c r="L77" s="346"/>
      <c r="M77" s="347"/>
      <c r="N77" s="347"/>
      <c r="O77" s="347"/>
      <c r="P77" s="347"/>
      <c r="Q77" s="347"/>
      <c r="R77" s="347"/>
      <c r="S77" s="347"/>
      <c r="T77" s="347"/>
      <c r="U77" s="346"/>
      <c r="V77" s="347"/>
      <c r="W77" s="347"/>
      <c r="X77" s="347"/>
      <c r="Y77" s="347"/>
      <c r="Z77" s="347"/>
      <c r="AA77" s="347"/>
      <c r="AB77" s="347"/>
      <c r="AC77" s="347"/>
      <c r="AD77" s="346"/>
      <c r="AE77" s="347"/>
      <c r="AF77" s="347"/>
      <c r="AG77" s="347"/>
      <c r="AH77" s="347"/>
      <c r="AI77" s="347"/>
      <c r="AJ77" s="402"/>
      <c r="AK77" s="403"/>
      <c r="AL77" s="403"/>
      <c r="AM77" s="403"/>
    </row>
    <row r="78" spans="1:39" s="282" customFormat="1" ht="23.25">
      <c r="A78" s="286" t="s">
        <v>122</v>
      </c>
      <c r="B78" s="287" t="s">
        <v>68</v>
      </c>
      <c r="C78" s="287" t="s">
        <v>69</v>
      </c>
      <c r="D78" s="288" t="s">
        <v>70</v>
      </c>
      <c r="E78" s="80" t="s">
        <v>86</v>
      </c>
      <c r="F78" s="49"/>
      <c r="G78" s="49"/>
      <c r="H78" s="49"/>
      <c r="I78" s="49"/>
      <c r="J78" s="49"/>
      <c r="K78" s="49"/>
      <c r="L78" s="79"/>
      <c r="M78" s="80"/>
      <c r="N78" s="49"/>
      <c r="O78" s="49"/>
      <c r="P78" s="49"/>
      <c r="Q78" s="49"/>
      <c r="R78" s="49"/>
      <c r="S78" s="126"/>
      <c r="T78" s="171"/>
      <c r="U78" s="79"/>
      <c r="V78" s="99" t="s">
        <v>71</v>
      </c>
      <c r="W78" s="716" t="s">
        <v>81</v>
      </c>
      <c r="X78" s="104" t="s">
        <v>100</v>
      </c>
      <c r="Y78" s="103" t="s">
        <v>220</v>
      </c>
      <c r="Z78" s="104" t="s">
        <v>75</v>
      </c>
      <c r="AA78" s="716" t="s">
        <v>53</v>
      </c>
      <c r="AB78" s="121" t="s">
        <v>77</v>
      </c>
      <c r="AC78" s="717" t="s">
        <v>221</v>
      </c>
      <c r="AD78" s="370"/>
      <c r="AE78" s="371" t="s">
        <v>172</v>
      </c>
      <c r="AF78" s="372" t="s">
        <v>80</v>
      </c>
      <c r="AG78" s="385"/>
      <c r="AH78" s="386" t="s">
        <v>106</v>
      </c>
      <c r="AI78" s="385" t="s">
        <v>173</v>
      </c>
      <c r="AJ78" s="371" t="s">
        <v>108</v>
      </c>
    </row>
    <row r="79" spans="1:39" s="234" customFormat="1" ht="20.25">
      <c r="A79" s="310" t="s">
        <v>125</v>
      </c>
      <c r="B79" s="311" t="s">
        <v>475</v>
      </c>
      <c r="C79" s="311"/>
      <c r="D79" s="312"/>
      <c r="E79" s="313"/>
      <c r="F79" s="314"/>
      <c r="G79" s="314"/>
      <c r="H79" s="314"/>
      <c r="I79" s="315"/>
      <c r="J79" s="315"/>
      <c r="K79" s="314"/>
      <c r="L79" s="349"/>
      <c r="M79" s="350"/>
      <c r="N79" s="315"/>
      <c r="O79" s="315"/>
      <c r="P79" s="315"/>
      <c r="Q79" s="315"/>
      <c r="R79" s="315"/>
      <c r="S79" s="315"/>
      <c r="T79" s="348"/>
      <c r="U79" s="349"/>
      <c r="V79" s="350"/>
      <c r="W79" s="315"/>
      <c r="X79" s="315"/>
      <c r="Y79" s="315"/>
      <c r="Z79" s="315"/>
      <c r="AA79" s="315"/>
      <c r="AB79" s="315"/>
      <c r="AC79" s="378"/>
      <c r="AD79" s="349"/>
      <c r="AE79" s="379">
        <f t="shared" ref="AE79:AE93" si="53">SUM(E79:AC79)</f>
        <v>0</v>
      </c>
      <c r="AF79" s="379"/>
      <c r="AG79" s="404"/>
      <c r="AH79" s="405">
        <f>AE79+AF79</f>
        <v>0</v>
      </c>
      <c r="AI79" s="406"/>
      <c r="AJ79" s="407">
        <f>AH79+AI79</f>
        <v>0</v>
      </c>
    </row>
    <row r="80" spans="1:39" s="234" customFormat="1" ht="20.25">
      <c r="A80" s="316" t="s">
        <v>125</v>
      </c>
      <c r="B80" s="317"/>
      <c r="C80" s="317"/>
      <c r="D80" s="318"/>
      <c r="E80" s="319"/>
      <c r="F80" s="320"/>
      <c r="G80" s="320"/>
      <c r="H80" s="320"/>
      <c r="I80" s="321"/>
      <c r="J80" s="321"/>
      <c r="K80" s="320"/>
      <c r="L80" s="352"/>
      <c r="M80" s="353"/>
      <c r="N80" s="320"/>
      <c r="O80" s="320"/>
      <c r="P80" s="321"/>
      <c r="Q80" s="321"/>
      <c r="R80" s="321"/>
      <c r="S80" s="320"/>
      <c r="T80" s="351"/>
      <c r="U80" s="352"/>
      <c r="V80" s="353"/>
      <c r="W80" s="321"/>
      <c r="X80" s="321"/>
      <c r="Y80" s="321"/>
      <c r="Z80" s="321"/>
      <c r="AA80" s="321"/>
      <c r="AB80" s="321"/>
      <c r="AC80" s="380"/>
      <c r="AD80" s="352"/>
      <c r="AE80" s="381">
        <f t="shared" si="53"/>
        <v>0</v>
      </c>
      <c r="AF80" s="381"/>
      <c r="AG80" s="408"/>
      <c r="AH80" s="409">
        <f t="shared" ref="AH80:AH82" si="54">AE80+AF80</f>
        <v>0</v>
      </c>
      <c r="AI80" s="410"/>
      <c r="AJ80" s="411">
        <f>AH80+AI80</f>
        <v>0</v>
      </c>
    </row>
    <row r="81" spans="1:39" s="234" customFormat="1" ht="20.25">
      <c r="A81" s="316" t="s">
        <v>125</v>
      </c>
      <c r="B81" s="710"/>
      <c r="C81" s="295"/>
      <c r="D81" s="318"/>
      <c r="E81" s="319"/>
      <c r="F81" s="320"/>
      <c r="G81" s="320"/>
      <c r="H81" s="320"/>
      <c r="I81" s="321"/>
      <c r="J81" s="321"/>
      <c r="K81" s="320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53"/>
        <v>0</v>
      </c>
      <c r="AF81" s="381"/>
      <c r="AG81" s="408"/>
      <c r="AH81" s="409">
        <f t="shared" si="54"/>
        <v>0</v>
      </c>
      <c r="AI81" s="410"/>
      <c r="AJ81" s="411">
        <f>AH81+AI81</f>
        <v>0</v>
      </c>
    </row>
    <row r="82" spans="1:39" s="234" customFormat="1" ht="20.25">
      <c r="A82" s="316" t="s">
        <v>125</v>
      </c>
      <c r="B82" s="710"/>
      <c r="C82" s="295"/>
      <c r="D82" s="318"/>
      <c r="E82" s="319"/>
      <c r="F82" s="320"/>
      <c r="G82" s="320"/>
      <c r="H82" s="320"/>
      <c r="I82" s="321"/>
      <c r="J82" s="321"/>
      <c r="K82" s="320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53"/>
        <v>0</v>
      </c>
      <c r="AF82" s="381"/>
      <c r="AG82" s="408"/>
      <c r="AH82" s="409">
        <f t="shared" si="54"/>
        <v>0</v>
      </c>
      <c r="AI82" s="410"/>
      <c r="AJ82" s="411">
        <f>AH82+AI82</f>
        <v>0</v>
      </c>
    </row>
    <row r="83" spans="1:39" s="234" customFormat="1" ht="20.25">
      <c r="A83" s="316" t="s">
        <v>125</v>
      </c>
      <c r="B83" s="710"/>
      <c r="C83" s="295"/>
      <c r="D83" s="318"/>
      <c r="E83" s="319"/>
      <c r="F83" s="320"/>
      <c r="G83" s="320"/>
      <c r="H83" s="320"/>
      <c r="I83" s="321"/>
      <c r="J83" s="321"/>
      <c r="K83" s="320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53"/>
        <v>0</v>
      </c>
      <c r="AF83" s="381"/>
      <c r="AG83" s="408"/>
      <c r="AH83" s="409">
        <f t="shared" ref="AH83:AH93" si="55">AE83+AF83</f>
        <v>0</v>
      </c>
      <c r="AI83" s="410"/>
      <c r="AJ83" s="411">
        <f t="shared" ref="AJ83:AJ85" si="56">AH83+AI83</f>
        <v>0</v>
      </c>
    </row>
    <row r="84" spans="1:39" s="234" customFormat="1" ht="20.25">
      <c r="A84" s="316" t="s">
        <v>125</v>
      </c>
      <c r="B84" s="295"/>
      <c r="C84" s="295"/>
      <c r="D84" s="318"/>
      <c r="E84" s="319"/>
      <c r="F84" s="320"/>
      <c r="G84" s="320"/>
      <c r="H84" s="320"/>
      <c r="I84" s="321"/>
      <c r="J84" s="321"/>
      <c r="K84" s="320"/>
      <c r="L84" s="352"/>
      <c r="M84" s="353"/>
      <c r="N84" s="321"/>
      <c r="O84" s="321"/>
      <c r="P84" s="321"/>
      <c r="Q84" s="321"/>
      <c r="R84" s="321"/>
      <c r="S84" s="321"/>
      <c r="T84" s="351"/>
      <c r="U84" s="352"/>
      <c r="V84" s="319"/>
      <c r="W84" s="320"/>
      <c r="X84" s="320"/>
      <c r="Y84" s="321"/>
      <c r="Z84" s="321"/>
      <c r="AA84" s="321"/>
      <c r="AB84" s="320"/>
      <c r="AC84" s="380"/>
      <c r="AD84" s="352"/>
      <c r="AE84" s="381">
        <f t="shared" si="53"/>
        <v>0</v>
      </c>
      <c r="AF84" s="381"/>
      <c r="AG84" s="408"/>
      <c r="AH84" s="409">
        <f t="shared" si="55"/>
        <v>0</v>
      </c>
      <c r="AI84" s="410"/>
      <c r="AJ84" s="411">
        <f t="shared" si="56"/>
        <v>0</v>
      </c>
    </row>
    <row r="85" spans="1:39" s="234" customFormat="1" ht="20.25">
      <c r="A85" s="316" t="s">
        <v>125</v>
      </c>
      <c r="B85" s="295"/>
      <c r="C85" s="295"/>
      <c r="D85" s="318"/>
      <c r="E85" s="319"/>
      <c r="F85" s="320"/>
      <c r="G85" s="320"/>
      <c r="H85" s="320"/>
      <c r="I85" s="321"/>
      <c r="J85" s="321"/>
      <c r="K85" s="320"/>
      <c r="L85" s="352"/>
      <c r="M85" s="353"/>
      <c r="N85" s="321"/>
      <c r="O85" s="321"/>
      <c r="P85" s="321"/>
      <c r="Q85" s="321"/>
      <c r="R85" s="321"/>
      <c r="S85" s="321"/>
      <c r="T85" s="351"/>
      <c r="U85" s="352"/>
      <c r="V85" s="319"/>
      <c r="W85" s="320"/>
      <c r="X85" s="320"/>
      <c r="Y85" s="321"/>
      <c r="Z85" s="321"/>
      <c r="AA85" s="321"/>
      <c r="AB85" s="320"/>
      <c r="AC85" s="380"/>
      <c r="AD85" s="352"/>
      <c r="AE85" s="381">
        <f t="shared" si="53"/>
        <v>0</v>
      </c>
      <c r="AF85" s="381"/>
      <c r="AG85" s="408"/>
      <c r="AH85" s="409">
        <f t="shared" si="55"/>
        <v>0</v>
      </c>
      <c r="AI85" s="410"/>
      <c r="AJ85" s="411">
        <f t="shared" si="56"/>
        <v>0</v>
      </c>
    </row>
    <row r="86" spans="1:39" s="234" customFormat="1" ht="20.25">
      <c r="A86" s="316" t="s">
        <v>125</v>
      </c>
      <c r="B86" s="295"/>
      <c r="C86" s="295"/>
      <c r="D86" s="318"/>
      <c r="E86" s="319"/>
      <c r="F86" s="320"/>
      <c r="G86" s="320"/>
      <c r="H86" s="320"/>
      <c r="I86" s="321"/>
      <c r="J86" s="321"/>
      <c r="K86" s="320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53"/>
        <v>0</v>
      </c>
      <c r="AF86" s="381"/>
      <c r="AG86" s="408"/>
      <c r="AH86" s="409">
        <f t="shared" si="55"/>
        <v>0</v>
      </c>
      <c r="AI86" s="410"/>
      <c r="AJ86" s="411">
        <f t="shared" ref="AJ86:AJ93" si="57">AH86+AI86</f>
        <v>0</v>
      </c>
    </row>
    <row r="87" spans="1:39" s="234" customFormat="1" ht="20.25">
      <c r="A87" s="316" t="s">
        <v>125</v>
      </c>
      <c r="B87" s="295"/>
      <c r="C87" s="295"/>
      <c r="D87" s="318"/>
      <c r="E87" s="319"/>
      <c r="F87" s="320"/>
      <c r="G87" s="320"/>
      <c r="H87" s="320"/>
      <c r="I87" s="321"/>
      <c r="J87" s="321"/>
      <c r="K87" s="320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53"/>
        <v>0</v>
      </c>
      <c r="AF87" s="381"/>
      <c r="AG87" s="408"/>
      <c r="AH87" s="409">
        <f t="shared" si="55"/>
        <v>0</v>
      </c>
      <c r="AI87" s="410"/>
      <c r="AJ87" s="411">
        <f t="shared" si="57"/>
        <v>0</v>
      </c>
    </row>
    <row r="88" spans="1:39" s="234" customFormat="1" ht="20.25">
      <c r="A88" s="316" t="s">
        <v>125</v>
      </c>
      <c r="B88" s="295"/>
      <c r="C88" s="295"/>
      <c r="D88" s="318"/>
      <c r="E88" s="319"/>
      <c r="F88" s="320"/>
      <c r="G88" s="320"/>
      <c r="H88" s="320"/>
      <c r="I88" s="321"/>
      <c r="J88" s="321"/>
      <c r="K88" s="320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si="53"/>
        <v>0</v>
      </c>
      <c r="AF88" s="381"/>
      <c r="AG88" s="408"/>
      <c r="AH88" s="409">
        <f t="shared" si="55"/>
        <v>0</v>
      </c>
      <c r="AI88" s="410"/>
      <c r="AJ88" s="411">
        <f t="shared" si="57"/>
        <v>0</v>
      </c>
    </row>
    <row r="89" spans="1:39" s="234" customFormat="1" ht="20.25">
      <c r="A89" s="316" t="s">
        <v>125</v>
      </c>
      <c r="B89" s="295"/>
      <c r="C89" s="295"/>
      <c r="D89" s="318"/>
      <c r="E89" s="319"/>
      <c r="F89" s="320"/>
      <c r="G89" s="320"/>
      <c r="H89" s="320"/>
      <c r="I89" s="321"/>
      <c r="J89" s="321"/>
      <c r="K89" s="320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53"/>
        <v>0</v>
      </c>
      <c r="AF89" s="381"/>
      <c r="AG89" s="408"/>
      <c r="AH89" s="409">
        <f t="shared" si="55"/>
        <v>0</v>
      </c>
      <c r="AI89" s="410"/>
      <c r="AJ89" s="411">
        <f t="shared" si="57"/>
        <v>0</v>
      </c>
    </row>
    <row r="90" spans="1:39" s="234" customFormat="1" ht="20.25">
      <c r="A90" s="316" t="s">
        <v>125</v>
      </c>
      <c r="B90" s="295"/>
      <c r="C90" s="295"/>
      <c r="D90" s="318"/>
      <c r="E90" s="319"/>
      <c r="F90" s="320"/>
      <c r="G90" s="320"/>
      <c r="H90" s="320"/>
      <c r="I90" s="321"/>
      <c r="J90" s="321"/>
      <c r="K90" s="320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ref="AE90" si="58">SUM(E90:AC90)</f>
        <v>0</v>
      </c>
      <c r="AF90" s="381"/>
      <c r="AG90" s="408"/>
      <c r="AH90" s="409">
        <f t="shared" ref="AH90" si="59">AE90+AF90</f>
        <v>0</v>
      </c>
      <c r="AI90" s="410"/>
      <c r="AJ90" s="411">
        <f t="shared" ref="AJ90" si="60">AH90+AI90</f>
        <v>0</v>
      </c>
    </row>
    <row r="91" spans="1:39" s="234" customFormat="1" ht="20.25">
      <c r="A91" s="316" t="s">
        <v>125</v>
      </c>
      <c r="B91" s="295"/>
      <c r="C91" s="295"/>
      <c r="D91" s="318"/>
      <c r="E91" s="319"/>
      <c r="F91" s="320"/>
      <c r="G91" s="320"/>
      <c r="H91" s="320"/>
      <c r="I91" s="321"/>
      <c r="J91" s="321"/>
      <c r="K91" s="320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ref="AE91" si="61">SUM(E91:AC91)</f>
        <v>0</v>
      </c>
      <c r="AF91" s="381"/>
      <c r="AG91" s="408"/>
      <c r="AH91" s="409">
        <f t="shared" ref="AH91" si="62">AE91+AF91</f>
        <v>0</v>
      </c>
      <c r="AI91" s="410"/>
      <c r="AJ91" s="411">
        <f t="shared" ref="AJ91" si="63">AH91+AI91</f>
        <v>0</v>
      </c>
    </row>
    <row r="92" spans="1:39" s="234" customFormat="1" ht="20.25">
      <c r="A92" s="316" t="s">
        <v>125</v>
      </c>
      <c r="B92" s="295"/>
      <c r="C92" s="295"/>
      <c r="D92" s="318"/>
      <c r="E92" s="319"/>
      <c r="F92" s="320"/>
      <c r="G92" s="320"/>
      <c r="H92" s="320"/>
      <c r="I92" s="321"/>
      <c r="J92" s="321"/>
      <c r="K92" s="320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ref="AE92" si="64">SUM(E92:AC92)</f>
        <v>0</v>
      </c>
      <c r="AF92" s="381"/>
      <c r="AG92" s="408"/>
      <c r="AH92" s="409">
        <f t="shared" ref="AH92" si="65">AE92+AF92</f>
        <v>0</v>
      </c>
      <c r="AI92" s="410"/>
      <c r="AJ92" s="411">
        <f t="shared" ref="AJ92" si="66">AH92+AI92</f>
        <v>0</v>
      </c>
    </row>
    <row r="93" spans="1:39" s="283" customFormat="1" ht="20.25">
      <c r="A93" s="322"/>
      <c r="B93" s="323"/>
      <c r="C93" s="323"/>
      <c r="D93" s="324"/>
      <c r="E93" s="325"/>
      <c r="F93" s="297"/>
      <c r="G93" s="297"/>
      <c r="H93" s="297"/>
      <c r="I93" s="298"/>
      <c r="J93" s="298"/>
      <c r="K93" s="297"/>
      <c r="L93" s="355"/>
      <c r="M93" s="343"/>
      <c r="N93" s="298"/>
      <c r="O93" s="298"/>
      <c r="P93" s="298"/>
      <c r="Q93" s="298"/>
      <c r="R93" s="298"/>
      <c r="S93" s="298"/>
      <c r="T93" s="367"/>
      <c r="U93" s="355"/>
      <c r="V93" s="325"/>
      <c r="W93" s="297"/>
      <c r="X93" s="297"/>
      <c r="Y93" s="298"/>
      <c r="Z93" s="298"/>
      <c r="AA93" s="298"/>
      <c r="AB93" s="297"/>
      <c r="AC93" s="375"/>
      <c r="AD93" s="355"/>
      <c r="AE93" s="376">
        <f t="shared" si="53"/>
        <v>0</v>
      </c>
      <c r="AF93" s="377"/>
      <c r="AG93" s="390"/>
      <c r="AH93" s="391">
        <f t="shared" si="55"/>
        <v>0</v>
      </c>
      <c r="AI93" s="412"/>
      <c r="AJ93" s="413">
        <f t="shared" si="57"/>
        <v>0</v>
      </c>
      <c r="AK93" s="414" t="s">
        <v>8</v>
      </c>
      <c r="AL93" s="397" t="s">
        <v>23</v>
      </c>
      <c r="AM93" s="415" t="s">
        <v>174</v>
      </c>
    </row>
    <row r="94" spans="1:39" s="284" customFormat="1" ht="18.75">
      <c r="A94" s="326" t="s">
        <v>126</v>
      </c>
      <c r="B94" s="327"/>
      <c r="C94" s="327"/>
      <c r="D94" s="328"/>
      <c r="E94" s="329">
        <f>SUM(E79:E93)</f>
        <v>0</v>
      </c>
      <c r="F94" s="330">
        <f t="shared" ref="F94:K94" si="67">SUM(F79:F93)</f>
        <v>0</v>
      </c>
      <c r="G94" s="330">
        <f t="shared" ref="G94" si="68">SUM(G79:G93)</f>
        <v>0</v>
      </c>
      <c r="H94" s="330">
        <f t="shared" si="67"/>
        <v>0</v>
      </c>
      <c r="I94" s="330">
        <f t="shared" si="67"/>
        <v>0</v>
      </c>
      <c r="J94" s="330">
        <f t="shared" si="67"/>
        <v>0</v>
      </c>
      <c r="K94" s="330">
        <f t="shared" si="67"/>
        <v>0</v>
      </c>
      <c r="L94" s="357"/>
      <c r="M94" s="358">
        <f>SUM(M79:M93)</f>
        <v>0</v>
      </c>
      <c r="N94" s="359">
        <f>SUM(N79:N93)</f>
        <v>0</v>
      </c>
      <c r="O94" s="359">
        <f>SUM(O79:O93)</f>
        <v>0</v>
      </c>
      <c r="P94" s="359">
        <f>SUM(P79:P93)</f>
        <v>0</v>
      </c>
      <c r="Q94" s="359">
        <f t="shared" ref="Q94:S94" si="69">SUM(Q79:Q93)</f>
        <v>0</v>
      </c>
      <c r="R94" s="359">
        <f t="shared" si="69"/>
        <v>0</v>
      </c>
      <c r="S94" s="359">
        <f t="shared" si="69"/>
        <v>0</v>
      </c>
      <c r="T94" s="369">
        <f t="shared" ref="T94" si="70">SUM(T79:T93)</f>
        <v>0</v>
      </c>
      <c r="U94" s="357"/>
      <c r="V94" s="358">
        <f>SUM(V79:V93)</f>
        <v>0</v>
      </c>
      <c r="W94" s="359">
        <f t="shared" ref="W94:AC94" si="71">SUM(W79:W93)</f>
        <v>0</v>
      </c>
      <c r="X94" s="359">
        <f t="shared" si="71"/>
        <v>0</v>
      </c>
      <c r="Y94" s="359">
        <f t="shared" si="71"/>
        <v>0</v>
      </c>
      <c r="Z94" s="359">
        <f t="shared" si="71"/>
        <v>0</v>
      </c>
      <c r="AA94" s="359">
        <f t="shared" si="71"/>
        <v>0</v>
      </c>
      <c r="AB94" s="359">
        <f t="shared" si="71"/>
        <v>0</v>
      </c>
      <c r="AC94" s="369">
        <f t="shared" si="71"/>
        <v>0</v>
      </c>
      <c r="AD94" s="357"/>
      <c r="AE94" s="382">
        <f t="shared" ref="AE94:AJ94" si="72">SUM(AE79:AE93)</f>
        <v>0</v>
      </c>
      <c r="AF94" s="382">
        <f t="shared" si="72"/>
        <v>0</v>
      </c>
      <c r="AG94" s="416">
        <f t="shared" si="72"/>
        <v>0</v>
      </c>
      <c r="AH94" s="417">
        <f t="shared" si="72"/>
        <v>0</v>
      </c>
      <c r="AI94" s="382">
        <f t="shared" si="72"/>
        <v>0</v>
      </c>
      <c r="AJ94" s="418">
        <f t="shared" si="72"/>
        <v>0</v>
      </c>
      <c r="AK94" s="399">
        <f>'BIG CHAIR'!CL91</f>
        <v>0</v>
      </c>
      <c r="AL94" s="400">
        <f>'Tea Table'!X181</f>
        <v>0</v>
      </c>
      <c r="AM94" s="401">
        <f>AH94+AK94+AL94</f>
        <v>0</v>
      </c>
    </row>
    <row r="95" spans="1:39" ht="23.25">
      <c r="A95" s="721" t="s">
        <v>127</v>
      </c>
      <c r="B95" s="722" t="s">
        <v>68</v>
      </c>
      <c r="C95" s="287" t="s">
        <v>69</v>
      </c>
      <c r="D95" s="288" t="s">
        <v>70</v>
      </c>
      <c r="E95" s="80" t="s">
        <v>86</v>
      </c>
      <c r="F95" s="49"/>
      <c r="G95" s="49"/>
      <c r="H95" s="49"/>
      <c r="I95" s="49"/>
      <c r="J95" s="49"/>
      <c r="K95" s="49"/>
      <c r="L95" s="79"/>
      <c r="M95" s="80"/>
      <c r="N95" s="49"/>
      <c r="O95" s="49"/>
      <c r="P95" s="49"/>
      <c r="Q95" s="49"/>
      <c r="R95" s="49"/>
      <c r="S95" s="126"/>
      <c r="T95" s="171"/>
      <c r="U95" s="79"/>
      <c r="V95" s="99" t="s">
        <v>71</v>
      </c>
      <c r="W95" s="716" t="s">
        <v>81</v>
      </c>
      <c r="X95" s="104" t="s">
        <v>100</v>
      </c>
      <c r="Y95" s="103" t="s">
        <v>220</v>
      </c>
      <c r="Z95" s="104" t="s">
        <v>75</v>
      </c>
      <c r="AA95" s="716" t="s">
        <v>53</v>
      </c>
      <c r="AB95" s="121" t="s">
        <v>77</v>
      </c>
      <c r="AC95" s="717" t="s">
        <v>221</v>
      </c>
      <c r="AD95" s="370"/>
      <c r="AE95" s="371" t="s">
        <v>172</v>
      </c>
      <c r="AF95" s="372" t="s">
        <v>80</v>
      </c>
      <c r="AG95" s="385"/>
      <c r="AH95" s="386" t="s">
        <v>106</v>
      </c>
      <c r="AI95" s="385" t="s">
        <v>173</v>
      </c>
      <c r="AJ95" s="371" t="s">
        <v>108</v>
      </c>
      <c r="AK95" s="282"/>
      <c r="AL95" s="282"/>
      <c r="AM95" s="282"/>
    </row>
    <row r="96" spans="1:39" ht="20.25">
      <c r="A96" s="792" t="s">
        <v>128</v>
      </c>
      <c r="B96" s="311"/>
      <c r="C96" s="311"/>
      <c r="D96" s="312"/>
      <c r="E96" s="313"/>
      <c r="F96" s="314"/>
      <c r="G96" s="314"/>
      <c r="H96" s="314"/>
      <c r="I96" s="315"/>
      <c r="J96" s="315"/>
      <c r="K96" s="314"/>
      <c r="L96" s="349"/>
      <c r="M96" s="350"/>
      <c r="N96" s="315"/>
      <c r="O96" s="315"/>
      <c r="P96" s="315"/>
      <c r="Q96" s="315"/>
      <c r="R96" s="315"/>
      <c r="S96" s="315"/>
      <c r="T96" s="348"/>
      <c r="U96" s="349"/>
      <c r="V96" s="350"/>
      <c r="W96" s="315"/>
      <c r="X96" s="315"/>
      <c r="Y96" s="315"/>
      <c r="Z96" s="315"/>
      <c r="AA96" s="315"/>
      <c r="AB96" s="315"/>
      <c r="AC96" s="378"/>
      <c r="AD96" s="349"/>
      <c r="AE96" s="379">
        <f t="shared" ref="AE96:AE107" si="73">SUM(E96:AC96)</f>
        <v>0</v>
      </c>
      <c r="AF96" s="379"/>
      <c r="AG96" s="404"/>
      <c r="AH96" s="405">
        <f>AE96+AF96</f>
        <v>0</v>
      </c>
      <c r="AI96" s="406"/>
      <c r="AJ96" s="407">
        <f>AH96+AI96</f>
        <v>0</v>
      </c>
      <c r="AK96" s="234"/>
      <c r="AL96" s="234"/>
      <c r="AM96" s="234"/>
    </row>
    <row r="97" spans="1:39" ht="20.25">
      <c r="A97" s="792" t="s">
        <v>128</v>
      </c>
      <c r="B97" s="317"/>
      <c r="C97" s="317"/>
      <c r="D97" s="318"/>
      <c r="E97" s="319"/>
      <c r="F97" s="320"/>
      <c r="G97" s="320"/>
      <c r="H97" s="320"/>
      <c r="I97" s="321"/>
      <c r="J97" s="321"/>
      <c r="K97" s="320"/>
      <c r="L97" s="352"/>
      <c r="M97" s="353"/>
      <c r="N97" s="320"/>
      <c r="O97" s="320"/>
      <c r="P97" s="321"/>
      <c r="Q97" s="321"/>
      <c r="R97" s="321"/>
      <c r="S97" s="320"/>
      <c r="T97" s="351"/>
      <c r="U97" s="352"/>
      <c r="V97" s="353"/>
      <c r="W97" s="321"/>
      <c r="X97" s="321"/>
      <c r="Y97" s="321"/>
      <c r="Z97" s="321"/>
      <c r="AA97" s="321"/>
      <c r="AB97" s="321"/>
      <c r="AC97" s="380"/>
      <c r="AD97" s="352"/>
      <c r="AE97" s="381">
        <f t="shared" si="73"/>
        <v>0</v>
      </c>
      <c r="AF97" s="381"/>
      <c r="AG97" s="408"/>
      <c r="AH97" s="409">
        <f t="shared" ref="AH97:AH99" si="74">AE97+AF97</f>
        <v>0</v>
      </c>
      <c r="AI97" s="410"/>
      <c r="AJ97" s="411">
        <f>AH97+AI97</f>
        <v>0</v>
      </c>
      <c r="AK97" s="234"/>
      <c r="AL97" s="234"/>
      <c r="AM97" s="234"/>
    </row>
    <row r="98" spans="1:39" ht="20.25">
      <c r="A98" s="792" t="s">
        <v>128</v>
      </c>
      <c r="B98" s="710"/>
      <c r="C98" s="295"/>
      <c r="D98" s="318"/>
      <c r="E98" s="319"/>
      <c r="F98" s="320"/>
      <c r="G98" s="320"/>
      <c r="H98" s="320"/>
      <c r="I98" s="321"/>
      <c r="J98" s="321"/>
      <c r="K98" s="320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73"/>
        <v>0</v>
      </c>
      <c r="AF98" s="381"/>
      <c r="AG98" s="408"/>
      <c r="AH98" s="409">
        <f t="shared" si="74"/>
        <v>0</v>
      </c>
      <c r="AI98" s="410"/>
      <c r="AJ98" s="411">
        <f>AH98+AI98</f>
        <v>0</v>
      </c>
      <c r="AK98" s="234"/>
      <c r="AL98" s="234"/>
      <c r="AM98" s="234"/>
    </row>
    <row r="99" spans="1:39" ht="20.25">
      <c r="A99" s="792" t="s">
        <v>128</v>
      </c>
      <c r="B99" s="710"/>
      <c r="C99" s="295"/>
      <c r="D99" s="318"/>
      <c r="E99" s="319"/>
      <c r="F99" s="320"/>
      <c r="G99" s="320"/>
      <c r="H99" s="320"/>
      <c r="I99" s="321"/>
      <c r="J99" s="321"/>
      <c r="K99" s="320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73"/>
        <v>0</v>
      </c>
      <c r="AF99" s="381"/>
      <c r="AG99" s="408"/>
      <c r="AH99" s="409">
        <f t="shared" si="74"/>
        <v>0</v>
      </c>
      <c r="AI99" s="410"/>
      <c r="AJ99" s="411">
        <f>AH99+AI99</f>
        <v>0</v>
      </c>
      <c r="AK99" s="234"/>
      <c r="AL99" s="234"/>
      <c r="AM99" s="234"/>
    </row>
    <row r="100" spans="1:39" ht="20.25">
      <c r="A100" s="792" t="s">
        <v>128</v>
      </c>
      <c r="B100" s="710"/>
      <c r="C100" s="295"/>
      <c r="D100" s="318"/>
      <c r="E100" s="319"/>
      <c r="F100" s="320"/>
      <c r="G100" s="320"/>
      <c r="H100" s="320"/>
      <c r="I100" s="321"/>
      <c r="J100" s="321"/>
      <c r="K100" s="320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73"/>
        <v>0</v>
      </c>
      <c r="AF100" s="381"/>
      <c r="AG100" s="408"/>
      <c r="AH100" s="409">
        <f t="shared" ref="AH100:AH107" si="75">AE100+AF100</f>
        <v>0</v>
      </c>
      <c r="AI100" s="410"/>
      <c r="AJ100" s="411">
        <f t="shared" ref="AJ100:AJ102" si="76">AH100+AI100</f>
        <v>0</v>
      </c>
      <c r="AK100" s="234"/>
      <c r="AL100" s="234"/>
      <c r="AM100" s="234"/>
    </row>
    <row r="101" spans="1:39" ht="20.25">
      <c r="A101" s="792" t="s">
        <v>128</v>
      </c>
      <c r="B101" s="295"/>
      <c r="C101" s="295"/>
      <c r="D101" s="318"/>
      <c r="E101" s="319"/>
      <c r="F101" s="320"/>
      <c r="G101" s="320"/>
      <c r="H101" s="320"/>
      <c r="I101" s="321"/>
      <c r="J101" s="321"/>
      <c r="K101" s="320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73"/>
        <v>0</v>
      </c>
      <c r="AF101" s="381"/>
      <c r="AG101" s="408"/>
      <c r="AH101" s="409">
        <f t="shared" si="75"/>
        <v>0</v>
      </c>
      <c r="AI101" s="410"/>
      <c r="AJ101" s="411">
        <f t="shared" si="76"/>
        <v>0</v>
      </c>
      <c r="AK101" s="234"/>
      <c r="AL101" s="234"/>
      <c r="AM101" s="234"/>
    </row>
    <row r="102" spans="1:39" ht="20.25">
      <c r="A102" s="792" t="s">
        <v>128</v>
      </c>
      <c r="B102" s="295"/>
      <c r="C102" s="295"/>
      <c r="D102" s="318"/>
      <c r="E102" s="319"/>
      <c r="F102" s="320"/>
      <c r="G102" s="320"/>
      <c r="H102" s="320"/>
      <c r="I102" s="321"/>
      <c r="J102" s="321"/>
      <c r="K102" s="320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73"/>
        <v>0</v>
      </c>
      <c r="AF102" s="381"/>
      <c r="AG102" s="408"/>
      <c r="AH102" s="409">
        <f t="shared" si="75"/>
        <v>0</v>
      </c>
      <c r="AI102" s="410"/>
      <c r="AJ102" s="411">
        <f t="shared" si="76"/>
        <v>0</v>
      </c>
      <c r="AK102" s="234"/>
      <c r="AL102" s="234"/>
      <c r="AM102" s="234"/>
    </row>
    <row r="103" spans="1:39" ht="20.25">
      <c r="A103" s="792" t="s">
        <v>128</v>
      </c>
      <c r="B103" s="295"/>
      <c r="C103" s="295"/>
      <c r="D103" s="318"/>
      <c r="E103" s="319"/>
      <c r="F103" s="320"/>
      <c r="G103" s="320"/>
      <c r="H103" s="320"/>
      <c r="I103" s="321"/>
      <c r="J103" s="321"/>
      <c r="K103" s="320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73"/>
        <v>0</v>
      </c>
      <c r="AF103" s="381"/>
      <c r="AG103" s="408"/>
      <c r="AH103" s="409">
        <f t="shared" si="75"/>
        <v>0</v>
      </c>
      <c r="AI103" s="410"/>
      <c r="AJ103" s="411">
        <f t="shared" ref="AJ103:AJ107" si="77">AH103+AI103</f>
        <v>0</v>
      </c>
      <c r="AK103" s="234"/>
      <c r="AL103" s="234"/>
      <c r="AM103" s="234"/>
    </row>
    <row r="104" spans="1:39" ht="20.25">
      <c r="A104" s="792" t="s">
        <v>128</v>
      </c>
      <c r="B104" s="295"/>
      <c r="C104" s="295"/>
      <c r="D104" s="318"/>
      <c r="E104" s="319"/>
      <c r="F104" s="320"/>
      <c r="G104" s="320"/>
      <c r="H104" s="320"/>
      <c r="I104" s="321"/>
      <c r="J104" s="321"/>
      <c r="K104" s="320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73"/>
        <v>0</v>
      </c>
      <c r="AF104" s="381"/>
      <c r="AG104" s="408"/>
      <c r="AH104" s="409">
        <f t="shared" si="75"/>
        <v>0</v>
      </c>
      <c r="AI104" s="410"/>
      <c r="AJ104" s="411">
        <f t="shared" si="77"/>
        <v>0</v>
      </c>
      <c r="AK104" s="234"/>
      <c r="AL104" s="234"/>
      <c r="AM104" s="234"/>
    </row>
    <row r="105" spans="1:39" ht="20.25">
      <c r="A105" s="792" t="s">
        <v>128</v>
      </c>
      <c r="B105" s="295"/>
      <c r="C105" s="295"/>
      <c r="D105" s="318"/>
      <c r="E105" s="319"/>
      <c r="F105" s="320"/>
      <c r="G105" s="320"/>
      <c r="H105" s="320"/>
      <c r="I105" s="321"/>
      <c r="J105" s="321"/>
      <c r="K105" s="320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73"/>
        <v>0</v>
      </c>
      <c r="AF105" s="381"/>
      <c r="AG105" s="408"/>
      <c r="AH105" s="409">
        <f t="shared" si="75"/>
        <v>0</v>
      </c>
      <c r="AI105" s="410"/>
      <c r="AJ105" s="411">
        <f t="shared" si="77"/>
        <v>0</v>
      </c>
      <c r="AK105" s="234"/>
      <c r="AL105" s="234"/>
      <c r="AM105" s="234"/>
    </row>
    <row r="106" spans="1:39" ht="20.25">
      <c r="A106" s="792" t="s">
        <v>128</v>
      </c>
      <c r="B106" s="295"/>
      <c r="C106" s="295"/>
      <c r="D106" s="318"/>
      <c r="E106" s="319"/>
      <c r="F106" s="320"/>
      <c r="G106" s="320"/>
      <c r="H106" s="320"/>
      <c r="I106" s="321"/>
      <c r="J106" s="321"/>
      <c r="K106" s="320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73"/>
        <v>0</v>
      </c>
      <c r="AF106" s="381"/>
      <c r="AG106" s="408"/>
      <c r="AH106" s="409">
        <f t="shared" si="75"/>
        <v>0</v>
      </c>
      <c r="AI106" s="410"/>
      <c r="AJ106" s="411">
        <f t="shared" si="77"/>
        <v>0</v>
      </c>
      <c r="AK106" s="234"/>
      <c r="AL106" s="234"/>
      <c r="AM106" s="234"/>
    </row>
    <row r="107" spans="1:39" ht="20.25">
      <c r="A107" s="792" t="s">
        <v>128</v>
      </c>
      <c r="B107" s="323"/>
      <c r="C107" s="323"/>
      <c r="D107" s="324"/>
      <c r="E107" s="325"/>
      <c r="F107" s="297"/>
      <c r="G107" s="297"/>
      <c r="H107" s="297"/>
      <c r="I107" s="298"/>
      <c r="J107" s="298"/>
      <c r="K107" s="297"/>
      <c r="L107" s="355"/>
      <c r="M107" s="343"/>
      <c r="N107" s="298"/>
      <c r="O107" s="298"/>
      <c r="P107" s="298"/>
      <c r="Q107" s="298"/>
      <c r="R107" s="298"/>
      <c r="S107" s="298"/>
      <c r="T107" s="367"/>
      <c r="U107" s="355"/>
      <c r="V107" s="325"/>
      <c r="W107" s="297"/>
      <c r="X107" s="297"/>
      <c r="Y107" s="298"/>
      <c r="Z107" s="298"/>
      <c r="AA107" s="298"/>
      <c r="AB107" s="297"/>
      <c r="AC107" s="375"/>
      <c r="AD107" s="355"/>
      <c r="AE107" s="376">
        <f t="shared" si="73"/>
        <v>0</v>
      </c>
      <c r="AF107" s="377"/>
      <c r="AG107" s="390"/>
      <c r="AH107" s="391">
        <f t="shared" si="75"/>
        <v>0</v>
      </c>
      <c r="AI107" s="412"/>
      <c r="AJ107" s="413">
        <f t="shared" si="77"/>
        <v>0</v>
      </c>
      <c r="AK107" s="414" t="s">
        <v>8</v>
      </c>
      <c r="AL107" s="397" t="s">
        <v>23</v>
      </c>
      <c r="AM107" s="415" t="s">
        <v>174</v>
      </c>
    </row>
    <row r="108" spans="1:39" ht="19.5" thickBot="1">
      <c r="A108" s="828" t="s">
        <v>415</v>
      </c>
      <c r="B108" s="327"/>
      <c r="C108" s="327"/>
      <c r="D108" s="328"/>
      <c r="E108" s="329">
        <f>SUM(E96:E107)</f>
        <v>0</v>
      </c>
      <c r="F108" s="329">
        <f t="shared" ref="F108:K108" si="78">SUM(F96:F107)</f>
        <v>0</v>
      </c>
      <c r="G108" s="329">
        <f t="shared" si="78"/>
        <v>0</v>
      </c>
      <c r="H108" s="329">
        <f t="shared" si="78"/>
        <v>0</v>
      </c>
      <c r="I108" s="329">
        <f t="shared" si="78"/>
        <v>0</v>
      </c>
      <c r="J108" s="329">
        <f t="shared" si="78"/>
        <v>0</v>
      </c>
      <c r="K108" s="329">
        <f t="shared" si="78"/>
        <v>0</v>
      </c>
      <c r="L108" s="357"/>
      <c r="M108" s="358">
        <f>SUM(M96:M107)</f>
        <v>0</v>
      </c>
      <c r="N108" s="358">
        <f t="shared" ref="N108:T108" si="79">SUM(N96:N107)</f>
        <v>0</v>
      </c>
      <c r="O108" s="358">
        <f t="shared" si="79"/>
        <v>0</v>
      </c>
      <c r="P108" s="358">
        <f t="shared" si="79"/>
        <v>0</v>
      </c>
      <c r="Q108" s="358">
        <f t="shared" si="79"/>
        <v>0</v>
      </c>
      <c r="R108" s="358">
        <f t="shared" si="79"/>
        <v>0</v>
      </c>
      <c r="S108" s="358">
        <f t="shared" si="79"/>
        <v>0</v>
      </c>
      <c r="T108" s="358">
        <f t="shared" si="79"/>
        <v>0</v>
      </c>
      <c r="U108" s="357"/>
      <c r="V108" s="358">
        <f>SUM(V96:V107)</f>
        <v>0</v>
      </c>
      <c r="W108" s="358">
        <f t="shared" ref="W108:AC108" si="80">SUM(W96:W107)</f>
        <v>0</v>
      </c>
      <c r="X108" s="358">
        <f t="shared" si="80"/>
        <v>0</v>
      </c>
      <c r="Y108" s="358">
        <f t="shared" si="80"/>
        <v>0</v>
      </c>
      <c r="Z108" s="358">
        <f t="shared" si="80"/>
        <v>0</v>
      </c>
      <c r="AA108" s="358">
        <f t="shared" si="80"/>
        <v>0</v>
      </c>
      <c r="AB108" s="358">
        <f t="shared" si="80"/>
        <v>0</v>
      </c>
      <c r="AC108" s="358">
        <f t="shared" si="80"/>
        <v>0</v>
      </c>
      <c r="AD108" s="357"/>
      <c r="AE108" s="382">
        <f t="shared" ref="AE108:AJ108" si="81">SUM(AE96:AE107)</f>
        <v>0</v>
      </c>
      <c r="AF108" s="382">
        <f t="shared" si="81"/>
        <v>0</v>
      </c>
      <c r="AG108" s="416">
        <f t="shared" si="81"/>
        <v>0</v>
      </c>
      <c r="AH108" s="417">
        <f t="shared" si="81"/>
        <v>0</v>
      </c>
      <c r="AI108" s="382">
        <f t="shared" si="81"/>
        <v>0</v>
      </c>
      <c r="AJ108" s="418">
        <f t="shared" si="81"/>
        <v>0</v>
      </c>
      <c r="AK108" s="399">
        <f>'BIG CHAIR'!CL105</f>
        <v>0</v>
      </c>
      <c r="AL108" s="400">
        <f>'Tea Table'!X195</f>
        <v>0</v>
      </c>
      <c r="AM108" s="401">
        <f>AH108+AK108+AL108</f>
        <v>0</v>
      </c>
    </row>
    <row r="109" spans="1:39" ht="24" thickBot="1">
      <c r="A109" s="721" t="s">
        <v>130</v>
      </c>
      <c r="B109" s="722" t="s">
        <v>68</v>
      </c>
      <c r="C109" s="287" t="s">
        <v>69</v>
      </c>
      <c r="D109" s="288" t="s">
        <v>70</v>
      </c>
      <c r="E109" s="80" t="s">
        <v>86</v>
      </c>
      <c r="F109" s="49"/>
      <c r="G109" s="49"/>
      <c r="H109" s="49"/>
      <c r="I109" s="49"/>
      <c r="J109" s="49"/>
      <c r="K109" s="49"/>
      <c r="L109" s="79"/>
      <c r="M109" s="80" t="s">
        <v>71</v>
      </c>
      <c r="N109" s="49" t="s">
        <v>72</v>
      </c>
      <c r="O109" s="49" t="s">
        <v>100</v>
      </c>
      <c r="P109" s="49" t="s">
        <v>95</v>
      </c>
      <c r="Q109" s="49" t="s">
        <v>75</v>
      </c>
      <c r="R109" s="49" t="s">
        <v>223</v>
      </c>
      <c r="S109" s="126" t="s">
        <v>77</v>
      </c>
      <c r="T109" s="171" t="s">
        <v>101</v>
      </c>
      <c r="U109" s="79"/>
      <c r="V109" s="99" t="s">
        <v>71</v>
      </c>
      <c r="W109" s="716" t="s">
        <v>482</v>
      </c>
      <c r="X109" s="104" t="s">
        <v>100</v>
      </c>
      <c r="Y109" s="103" t="s">
        <v>220</v>
      </c>
      <c r="Z109" s="104" t="s">
        <v>75</v>
      </c>
      <c r="AA109" s="716" t="s">
        <v>53</v>
      </c>
      <c r="AB109" s="121" t="s">
        <v>77</v>
      </c>
      <c r="AC109" s="717" t="s">
        <v>221</v>
      </c>
      <c r="AD109" s="370"/>
      <c r="AE109" s="371" t="s">
        <v>172</v>
      </c>
      <c r="AF109" s="372" t="s">
        <v>80</v>
      </c>
      <c r="AG109" s="385"/>
      <c r="AH109" s="386" t="s">
        <v>106</v>
      </c>
      <c r="AI109" s="385" t="s">
        <v>173</v>
      </c>
      <c r="AJ109" s="371" t="s">
        <v>108</v>
      </c>
      <c r="AK109" s="282"/>
      <c r="AL109" s="282"/>
      <c r="AM109" s="282"/>
    </row>
    <row r="110" spans="1:39" ht="20.25">
      <c r="A110" s="792" t="s">
        <v>131</v>
      </c>
      <c r="B110" s="311"/>
      <c r="C110" s="311"/>
      <c r="D110" s="312"/>
      <c r="E110" s="313"/>
      <c r="F110" s="314"/>
      <c r="G110" s="314"/>
      <c r="H110" s="314"/>
      <c r="I110" s="315"/>
      <c r="J110" s="315"/>
      <c r="K110" s="314"/>
      <c r="L110" s="349"/>
      <c r="M110" s="350"/>
      <c r="N110" s="315"/>
      <c r="O110" s="315"/>
      <c r="P110" s="315"/>
      <c r="Q110" s="315"/>
      <c r="R110" s="315"/>
      <c r="S110" s="315"/>
      <c r="T110" s="348"/>
      <c r="U110" s="349"/>
      <c r="V110" s="350"/>
      <c r="W110" s="315"/>
      <c r="X110" s="315"/>
      <c r="Y110" s="315"/>
      <c r="Z110" s="315"/>
      <c r="AA110" s="315"/>
      <c r="AB110" s="315"/>
      <c r="AC110" s="378"/>
      <c r="AD110" s="349"/>
      <c r="AE110" s="379">
        <f t="shared" ref="AE110:AE121" si="82">SUM(E110:AC110)</f>
        <v>0</v>
      </c>
      <c r="AF110" s="379"/>
      <c r="AG110" s="404"/>
      <c r="AH110" s="405">
        <f>AE110+AF110</f>
        <v>0</v>
      </c>
      <c r="AI110" s="406"/>
      <c r="AJ110" s="407">
        <f>AH110+AI110</f>
        <v>0</v>
      </c>
      <c r="AK110" s="234"/>
      <c r="AL110" s="234"/>
      <c r="AM110" s="234"/>
    </row>
    <row r="111" spans="1:39" ht="20.25">
      <c r="A111" s="792" t="s">
        <v>131</v>
      </c>
      <c r="B111" s="317"/>
      <c r="C111" s="317"/>
      <c r="D111" s="318"/>
      <c r="E111" s="319"/>
      <c r="F111" s="320"/>
      <c r="G111" s="320"/>
      <c r="H111" s="320"/>
      <c r="I111" s="321"/>
      <c r="J111" s="321"/>
      <c r="K111" s="320"/>
      <c r="L111" s="352"/>
      <c r="M111" s="353"/>
      <c r="N111" s="320"/>
      <c r="O111" s="320"/>
      <c r="P111" s="321"/>
      <c r="Q111" s="321"/>
      <c r="R111" s="321"/>
      <c r="S111" s="320"/>
      <c r="T111" s="351"/>
      <c r="U111" s="352"/>
      <c r="V111" s="353"/>
      <c r="W111" s="321"/>
      <c r="X111" s="321"/>
      <c r="Y111" s="321"/>
      <c r="Z111" s="321"/>
      <c r="AA111" s="321"/>
      <c r="AB111" s="321"/>
      <c r="AC111" s="380"/>
      <c r="AD111" s="352"/>
      <c r="AE111" s="381">
        <f t="shared" si="82"/>
        <v>0</v>
      </c>
      <c r="AF111" s="381"/>
      <c r="AG111" s="408"/>
      <c r="AH111" s="409">
        <f t="shared" ref="AH111:AH121" si="83">AE111+AF111</f>
        <v>0</v>
      </c>
      <c r="AI111" s="410"/>
      <c r="AJ111" s="411">
        <f>AH111+AI111</f>
        <v>0</v>
      </c>
      <c r="AK111" s="234"/>
      <c r="AL111" s="234"/>
      <c r="AM111" s="234"/>
    </row>
    <row r="112" spans="1:39" ht="20.25">
      <c r="A112" s="792" t="s">
        <v>131</v>
      </c>
      <c r="B112" s="710"/>
      <c r="C112" s="295"/>
      <c r="D112" s="318"/>
      <c r="E112" s="319"/>
      <c r="F112" s="320"/>
      <c r="G112" s="320"/>
      <c r="H112" s="320"/>
      <c r="I112" s="321"/>
      <c r="J112" s="321"/>
      <c r="K112" s="320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82"/>
        <v>0</v>
      </c>
      <c r="AF112" s="381"/>
      <c r="AG112" s="408"/>
      <c r="AH112" s="409">
        <f t="shared" si="83"/>
        <v>0</v>
      </c>
      <c r="AI112" s="410"/>
      <c r="AJ112" s="411">
        <f>AH112+AI112</f>
        <v>0</v>
      </c>
      <c r="AK112" s="234"/>
      <c r="AL112" s="234"/>
      <c r="AM112" s="234"/>
    </row>
    <row r="113" spans="1:39" ht="20.25">
      <c r="A113" s="792" t="s">
        <v>131</v>
      </c>
      <c r="B113" s="710"/>
      <c r="C113" s="295"/>
      <c r="D113" s="318"/>
      <c r="E113" s="319"/>
      <c r="F113" s="320"/>
      <c r="G113" s="320"/>
      <c r="H113" s="320"/>
      <c r="I113" s="321"/>
      <c r="J113" s="321"/>
      <c r="K113" s="320"/>
      <c r="L113" s="352"/>
      <c r="M113" s="353"/>
      <c r="N113" s="321"/>
      <c r="O113" s="321"/>
      <c r="P113" s="321"/>
      <c r="Q113" s="321"/>
      <c r="R113" s="321"/>
      <c r="S113" s="321"/>
      <c r="T113" s="351"/>
      <c r="U113" s="352"/>
      <c r="V113" s="319"/>
      <c r="W113" s="320"/>
      <c r="X113" s="320"/>
      <c r="Y113" s="321"/>
      <c r="Z113" s="321"/>
      <c r="AA113" s="321"/>
      <c r="AB113" s="320"/>
      <c r="AC113" s="380"/>
      <c r="AD113" s="352"/>
      <c r="AE113" s="381">
        <f t="shared" si="82"/>
        <v>0</v>
      </c>
      <c r="AF113" s="381"/>
      <c r="AG113" s="408"/>
      <c r="AH113" s="409">
        <f t="shared" si="83"/>
        <v>0</v>
      </c>
      <c r="AI113" s="410"/>
      <c r="AJ113" s="411">
        <f>AH113+AI113</f>
        <v>0</v>
      </c>
      <c r="AK113" s="234"/>
      <c r="AL113" s="234"/>
      <c r="AM113" s="234"/>
    </row>
    <row r="114" spans="1:39" ht="20.25">
      <c r="A114" s="792" t="s">
        <v>131</v>
      </c>
      <c r="B114" s="710"/>
      <c r="C114" s="295"/>
      <c r="D114" s="318"/>
      <c r="E114" s="319"/>
      <c r="F114" s="320"/>
      <c r="G114" s="320"/>
      <c r="H114" s="320"/>
      <c r="I114" s="321"/>
      <c r="J114" s="321"/>
      <c r="K114" s="320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/>
      <c r="X114" s="320"/>
      <c r="Y114" s="321"/>
      <c r="Z114" s="321"/>
      <c r="AA114" s="321"/>
      <c r="AB114" s="320"/>
      <c r="AC114" s="380"/>
      <c r="AD114" s="352"/>
      <c r="AE114" s="381">
        <f t="shared" si="82"/>
        <v>0</v>
      </c>
      <c r="AF114" s="381"/>
      <c r="AG114" s="408"/>
      <c r="AH114" s="409">
        <f t="shared" si="83"/>
        <v>0</v>
      </c>
      <c r="AI114" s="410"/>
      <c r="AJ114" s="411">
        <f t="shared" ref="AJ114:AJ121" si="84">AH114+AI114</f>
        <v>0</v>
      </c>
      <c r="AK114" s="234"/>
      <c r="AL114" s="234"/>
      <c r="AM114" s="234"/>
    </row>
    <row r="115" spans="1:39" ht="20.25">
      <c r="A115" s="792" t="s">
        <v>131</v>
      </c>
      <c r="B115" s="295"/>
      <c r="C115" s="295"/>
      <c r="D115" s="318"/>
      <c r="E115" s="319"/>
      <c r="F115" s="320"/>
      <c r="G115" s="320"/>
      <c r="H115" s="320"/>
      <c r="I115" s="321"/>
      <c r="J115" s="321"/>
      <c r="K115" s="320"/>
      <c r="L115" s="352"/>
      <c r="M115" s="353"/>
      <c r="N115" s="321"/>
      <c r="O115" s="321"/>
      <c r="P115" s="321"/>
      <c r="Q115" s="321"/>
      <c r="R115" s="321"/>
      <c r="S115" s="321"/>
      <c r="T115" s="351"/>
      <c r="U115" s="352"/>
      <c r="V115" s="319"/>
      <c r="W115" s="320"/>
      <c r="X115" s="320"/>
      <c r="Y115" s="321"/>
      <c r="Z115" s="321"/>
      <c r="AA115" s="321"/>
      <c r="AB115" s="320"/>
      <c r="AC115" s="380"/>
      <c r="AD115" s="352"/>
      <c r="AE115" s="381">
        <f t="shared" si="82"/>
        <v>0</v>
      </c>
      <c r="AF115" s="381"/>
      <c r="AG115" s="408"/>
      <c r="AH115" s="409">
        <f t="shared" si="83"/>
        <v>0</v>
      </c>
      <c r="AI115" s="410"/>
      <c r="AJ115" s="411">
        <f t="shared" si="84"/>
        <v>0</v>
      </c>
      <c r="AK115" s="234"/>
      <c r="AL115" s="234"/>
      <c r="AM115" s="234"/>
    </row>
    <row r="116" spans="1:39" ht="20.25">
      <c r="A116" s="792" t="s">
        <v>131</v>
      </c>
      <c r="B116" s="295"/>
      <c r="C116" s="295"/>
      <c r="D116" s="318"/>
      <c r="E116" s="319"/>
      <c r="F116" s="320"/>
      <c r="G116" s="320"/>
      <c r="H116" s="320"/>
      <c r="I116" s="321"/>
      <c r="J116" s="321"/>
      <c r="K116" s="320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si="82"/>
        <v>0</v>
      </c>
      <c r="AF116" s="381"/>
      <c r="AG116" s="408"/>
      <c r="AH116" s="409">
        <f t="shared" si="83"/>
        <v>0</v>
      </c>
      <c r="AI116" s="410"/>
      <c r="AJ116" s="411">
        <f t="shared" si="84"/>
        <v>0</v>
      </c>
      <c r="AK116" s="234"/>
      <c r="AL116" s="234"/>
      <c r="AM116" s="234"/>
    </row>
    <row r="117" spans="1:39" ht="20.25">
      <c r="A117" s="792" t="s">
        <v>131</v>
      </c>
      <c r="B117" s="295"/>
      <c r="C117" s="295"/>
      <c r="D117" s="318"/>
      <c r="E117" s="319"/>
      <c r="F117" s="320"/>
      <c r="G117" s="320"/>
      <c r="H117" s="320"/>
      <c r="I117" s="321"/>
      <c r="J117" s="321"/>
      <c r="K117" s="320"/>
      <c r="L117" s="352"/>
      <c r="M117" s="353"/>
      <c r="N117" s="321"/>
      <c r="O117" s="321"/>
      <c r="P117" s="321"/>
      <c r="Q117" s="321"/>
      <c r="R117" s="321"/>
      <c r="S117" s="321"/>
      <c r="T117" s="351"/>
      <c r="U117" s="352"/>
      <c r="V117" s="319"/>
      <c r="W117" s="320"/>
      <c r="X117" s="320"/>
      <c r="Y117" s="321"/>
      <c r="Z117" s="321"/>
      <c r="AA117" s="321"/>
      <c r="AB117" s="320"/>
      <c r="AC117" s="380"/>
      <c r="AD117" s="352"/>
      <c r="AE117" s="381">
        <f t="shared" si="82"/>
        <v>0</v>
      </c>
      <c r="AF117" s="381"/>
      <c r="AG117" s="408"/>
      <c r="AH117" s="409">
        <f t="shared" si="83"/>
        <v>0</v>
      </c>
      <c r="AI117" s="410"/>
      <c r="AJ117" s="411">
        <f t="shared" si="84"/>
        <v>0</v>
      </c>
      <c r="AK117" s="234"/>
      <c r="AL117" s="234"/>
      <c r="AM117" s="234"/>
    </row>
    <row r="118" spans="1:39" ht="20.25">
      <c r="A118" s="792" t="s">
        <v>131</v>
      </c>
      <c r="B118" s="295"/>
      <c r="C118" s="295"/>
      <c r="D118" s="318"/>
      <c r="E118" s="319"/>
      <c r="F118" s="320"/>
      <c r="G118" s="320"/>
      <c r="H118" s="320"/>
      <c r="I118" s="321"/>
      <c r="J118" s="321"/>
      <c r="K118" s="320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si="82"/>
        <v>0</v>
      </c>
      <c r="AF118" s="381"/>
      <c r="AG118" s="408"/>
      <c r="AH118" s="409">
        <f t="shared" si="83"/>
        <v>0</v>
      </c>
      <c r="AI118" s="410"/>
      <c r="AJ118" s="411">
        <f t="shared" si="84"/>
        <v>0</v>
      </c>
      <c r="AK118" s="234"/>
      <c r="AL118" s="234"/>
      <c r="AM118" s="234"/>
    </row>
    <row r="119" spans="1:39" ht="20.25">
      <c r="A119" s="792" t="s">
        <v>131</v>
      </c>
      <c r="B119" s="295"/>
      <c r="C119" s="295"/>
      <c r="D119" s="318"/>
      <c r="E119" s="319"/>
      <c r="F119" s="320"/>
      <c r="G119" s="320"/>
      <c r="H119" s="320"/>
      <c r="I119" s="321"/>
      <c r="J119" s="321"/>
      <c r="K119" s="320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82"/>
        <v>0</v>
      </c>
      <c r="AF119" s="381"/>
      <c r="AG119" s="408"/>
      <c r="AH119" s="409">
        <f t="shared" si="83"/>
        <v>0</v>
      </c>
      <c r="AI119" s="410"/>
      <c r="AJ119" s="411">
        <f t="shared" si="84"/>
        <v>0</v>
      </c>
      <c r="AK119" s="234"/>
      <c r="AL119" s="234"/>
      <c r="AM119" s="234"/>
    </row>
    <row r="120" spans="1:39" ht="21" thickBot="1">
      <c r="A120" s="792" t="s">
        <v>131</v>
      </c>
      <c r="B120" s="295"/>
      <c r="C120" s="295"/>
      <c r="D120" s="318"/>
      <c r="E120" s="319"/>
      <c r="F120" s="320"/>
      <c r="G120" s="320"/>
      <c r="H120" s="320"/>
      <c r="I120" s="321"/>
      <c r="J120" s="321"/>
      <c r="K120" s="320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82"/>
        <v>0</v>
      </c>
      <c r="AF120" s="381"/>
      <c r="AG120" s="408"/>
      <c r="AH120" s="409">
        <f t="shared" si="83"/>
        <v>0</v>
      </c>
      <c r="AI120" s="410"/>
      <c r="AJ120" s="411">
        <f t="shared" si="84"/>
        <v>0</v>
      </c>
      <c r="AK120" s="234"/>
      <c r="AL120" s="234"/>
      <c r="AM120" s="234"/>
    </row>
    <row r="121" spans="1:39" ht="21" thickBot="1">
      <c r="A121" s="3309" t="s">
        <v>131</v>
      </c>
      <c r="B121" s="323"/>
      <c r="C121" s="323"/>
      <c r="D121" s="324"/>
      <c r="E121" s="325"/>
      <c r="F121" s="297"/>
      <c r="G121" s="297"/>
      <c r="H121" s="297"/>
      <c r="I121" s="298"/>
      <c r="J121" s="298"/>
      <c r="K121" s="297"/>
      <c r="L121" s="355"/>
      <c r="M121" s="343"/>
      <c r="N121" s="298"/>
      <c r="O121" s="298"/>
      <c r="P121" s="298"/>
      <c r="Q121" s="298"/>
      <c r="R121" s="298"/>
      <c r="S121" s="298"/>
      <c r="T121" s="367"/>
      <c r="U121" s="355"/>
      <c r="V121" s="325"/>
      <c r="W121" s="297"/>
      <c r="X121" s="297"/>
      <c r="Y121" s="298"/>
      <c r="Z121" s="298"/>
      <c r="AA121" s="298"/>
      <c r="AB121" s="297"/>
      <c r="AC121" s="375"/>
      <c r="AD121" s="355"/>
      <c r="AE121" s="376">
        <f t="shared" si="82"/>
        <v>0</v>
      </c>
      <c r="AF121" s="377"/>
      <c r="AG121" s="390"/>
      <c r="AH121" s="391">
        <f t="shared" si="83"/>
        <v>0</v>
      </c>
      <c r="AI121" s="412"/>
      <c r="AJ121" s="413">
        <f t="shared" si="84"/>
        <v>0</v>
      </c>
      <c r="AK121" s="414" t="s">
        <v>8</v>
      </c>
      <c r="AL121" s="397" t="s">
        <v>23</v>
      </c>
      <c r="AM121" s="415" t="s">
        <v>174</v>
      </c>
    </row>
    <row r="122" spans="1:39" ht="19.5" thickBot="1">
      <c r="A122" s="3310" t="s">
        <v>132</v>
      </c>
      <c r="B122" s="734"/>
      <c r="C122" s="327"/>
      <c r="D122" s="328"/>
      <c r="E122" s="329">
        <f>SUM(E110:E121)</f>
        <v>0</v>
      </c>
      <c r="F122" s="329">
        <f t="shared" ref="F122:K122" si="85">SUM(F110:F121)</f>
        <v>0</v>
      </c>
      <c r="G122" s="329">
        <f t="shared" si="85"/>
        <v>0</v>
      </c>
      <c r="H122" s="329">
        <f t="shared" si="85"/>
        <v>0</v>
      </c>
      <c r="I122" s="329">
        <f t="shared" si="85"/>
        <v>0</v>
      </c>
      <c r="J122" s="329">
        <f t="shared" si="85"/>
        <v>0</v>
      </c>
      <c r="K122" s="329">
        <f t="shared" si="85"/>
        <v>0</v>
      </c>
      <c r="L122" s="357"/>
      <c r="M122" s="358">
        <f>SUM(M110:M121)</f>
        <v>0</v>
      </c>
      <c r="N122" s="358">
        <f t="shared" ref="N122:T122" si="86">SUM(N110:N121)</f>
        <v>0</v>
      </c>
      <c r="O122" s="358">
        <f t="shared" si="86"/>
        <v>0</v>
      </c>
      <c r="P122" s="358">
        <f t="shared" si="86"/>
        <v>0</v>
      </c>
      <c r="Q122" s="358">
        <f t="shared" si="86"/>
        <v>0</v>
      </c>
      <c r="R122" s="358">
        <f t="shared" si="86"/>
        <v>0</v>
      </c>
      <c r="S122" s="358">
        <f t="shared" si="86"/>
        <v>0</v>
      </c>
      <c r="T122" s="358">
        <f t="shared" si="86"/>
        <v>0</v>
      </c>
      <c r="U122" s="357"/>
      <c r="V122" s="358">
        <f>SUM(V110:V121)</f>
        <v>0</v>
      </c>
      <c r="W122" s="358">
        <f t="shared" ref="W122:AC122" si="87">SUM(W110:W121)</f>
        <v>0</v>
      </c>
      <c r="X122" s="358">
        <f t="shared" si="87"/>
        <v>0</v>
      </c>
      <c r="Y122" s="358">
        <f t="shared" si="87"/>
        <v>0</v>
      </c>
      <c r="Z122" s="358">
        <f t="shared" si="87"/>
        <v>0</v>
      </c>
      <c r="AA122" s="358">
        <f t="shared" si="87"/>
        <v>0</v>
      </c>
      <c r="AB122" s="358">
        <f t="shared" si="87"/>
        <v>0</v>
      </c>
      <c r="AC122" s="358">
        <f t="shared" si="87"/>
        <v>0</v>
      </c>
      <c r="AD122" s="357"/>
      <c r="AE122" s="382">
        <f t="shared" ref="AE122:AJ122" si="88">SUM(AE110:AE121)</f>
        <v>0</v>
      </c>
      <c r="AF122" s="382">
        <f t="shared" si="88"/>
        <v>0</v>
      </c>
      <c r="AG122" s="416">
        <f t="shared" si="88"/>
        <v>0</v>
      </c>
      <c r="AH122" s="417">
        <f t="shared" si="88"/>
        <v>0</v>
      </c>
      <c r="AI122" s="382">
        <f t="shared" si="88"/>
        <v>0</v>
      </c>
      <c r="AJ122" s="418">
        <f t="shared" si="88"/>
        <v>0</v>
      </c>
      <c r="AK122" s="399">
        <f>'BIG CHAIR'!CL119</f>
        <v>0</v>
      </c>
      <c r="AL122" s="400">
        <f>'Tea Table'!X209</f>
        <v>144</v>
      </c>
      <c r="AM122" s="401">
        <f>AH122+AK122+AL122</f>
        <v>144</v>
      </c>
    </row>
    <row r="123" spans="1:39" ht="24" thickBot="1">
      <c r="A123" s="721" t="s">
        <v>393</v>
      </c>
      <c r="B123" s="722" t="s">
        <v>68</v>
      </c>
      <c r="C123" s="287" t="s">
        <v>69</v>
      </c>
      <c r="D123" s="288" t="s">
        <v>70</v>
      </c>
      <c r="E123" s="80" t="s">
        <v>86</v>
      </c>
      <c r="F123" s="49"/>
      <c r="G123" s="49"/>
      <c r="H123" s="49"/>
      <c r="I123" s="49"/>
      <c r="J123" s="49"/>
      <c r="K123" s="49"/>
      <c r="L123" s="79"/>
      <c r="M123" s="80" t="s">
        <v>71</v>
      </c>
      <c r="N123" s="49" t="s">
        <v>72</v>
      </c>
      <c r="O123" s="49" t="s">
        <v>100</v>
      </c>
      <c r="P123" s="49" t="s">
        <v>95</v>
      </c>
      <c r="Q123" s="49" t="s">
        <v>75</v>
      </c>
      <c r="R123" s="49" t="s">
        <v>223</v>
      </c>
      <c r="S123" s="126" t="s">
        <v>77</v>
      </c>
      <c r="T123" s="171" t="s">
        <v>101</v>
      </c>
      <c r="U123" s="79"/>
      <c r="V123" s="99" t="s">
        <v>71</v>
      </c>
      <c r="W123" s="716" t="s">
        <v>81</v>
      </c>
      <c r="X123" s="104" t="s">
        <v>100</v>
      </c>
      <c r="Y123" s="103" t="s">
        <v>220</v>
      </c>
      <c r="Z123" s="104" t="s">
        <v>75</v>
      </c>
      <c r="AA123" s="716" t="s">
        <v>53</v>
      </c>
      <c r="AB123" s="121" t="s">
        <v>77</v>
      </c>
      <c r="AC123" s="717" t="s">
        <v>221</v>
      </c>
      <c r="AD123" s="370"/>
      <c r="AE123" s="371" t="s">
        <v>172</v>
      </c>
      <c r="AF123" s="372" t="s">
        <v>80</v>
      </c>
      <c r="AG123" s="385"/>
      <c r="AH123" s="386" t="s">
        <v>106</v>
      </c>
      <c r="AI123" s="385" t="s">
        <v>173</v>
      </c>
      <c r="AJ123" s="371" t="s">
        <v>108</v>
      </c>
      <c r="AK123" s="282"/>
      <c r="AL123" s="282"/>
      <c r="AM123" s="282"/>
    </row>
    <row r="124" spans="1:39" ht="20.25">
      <c r="A124" s="424" t="s">
        <v>392</v>
      </c>
      <c r="B124" s="311"/>
      <c r="C124" s="311"/>
      <c r="D124" s="312"/>
      <c r="E124" s="313"/>
      <c r="F124" s="314"/>
      <c r="G124" s="314"/>
      <c r="H124" s="314"/>
      <c r="I124" s="315"/>
      <c r="J124" s="315"/>
      <c r="K124" s="314"/>
      <c r="L124" s="349"/>
      <c r="M124" s="350"/>
      <c r="N124" s="315"/>
      <c r="O124" s="315"/>
      <c r="P124" s="315"/>
      <c r="Q124" s="315"/>
      <c r="R124" s="315"/>
      <c r="S124" s="315"/>
      <c r="T124" s="348"/>
      <c r="U124" s="349"/>
      <c r="V124" s="350"/>
      <c r="W124" s="315"/>
      <c r="X124" s="315"/>
      <c r="Y124" s="315"/>
      <c r="Z124" s="315"/>
      <c r="AA124" s="315"/>
      <c r="AB124" s="315"/>
      <c r="AC124" s="378"/>
      <c r="AD124" s="349"/>
      <c r="AE124" s="379">
        <f t="shared" ref="AE124:AE135" si="89">SUM(E124:AC124)</f>
        <v>0</v>
      </c>
      <c r="AF124" s="379"/>
      <c r="AG124" s="404"/>
      <c r="AH124" s="405">
        <f>AE124+AF124</f>
        <v>0</v>
      </c>
      <c r="AI124" s="406"/>
      <c r="AJ124" s="407">
        <f>AH124+AI124</f>
        <v>0</v>
      </c>
      <c r="AK124" s="234"/>
      <c r="AL124" s="234"/>
      <c r="AM124" s="234"/>
    </row>
    <row r="125" spans="1:39" ht="20.25">
      <c r="A125" s="424" t="s">
        <v>392</v>
      </c>
      <c r="B125" s="317"/>
      <c r="C125" s="317"/>
      <c r="D125" s="318"/>
      <c r="E125" s="319"/>
      <c r="F125" s="320"/>
      <c r="G125" s="320"/>
      <c r="H125" s="320"/>
      <c r="I125" s="321"/>
      <c r="J125" s="321"/>
      <c r="K125" s="320"/>
      <c r="L125" s="352"/>
      <c r="M125" s="353"/>
      <c r="N125" s="320"/>
      <c r="O125" s="320"/>
      <c r="P125" s="321"/>
      <c r="Q125" s="321"/>
      <c r="R125" s="321"/>
      <c r="S125" s="320"/>
      <c r="T125" s="351"/>
      <c r="U125" s="352"/>
      <c r="V125" s="353"/>
      <c r="W125" s="321"/>
      <c r="X125" s="321"/>
      <c r="Y125" s="321"/>
      <c r="Z125" s="321"/>
      <c r="AA125" s="321"/>
      <c r="AB125" s="321"/>
      <c r="AC125" s="380"/>
      <c r="AD125" s="352"/>
      <c r="AE125" s="381">
        <f t="shared" si="89"/>
        <v>0</v>
      </c>
      <c r="AF125" s="381"/>
      <c r="AG125" s="408"/>
      <c r="AH125" s="409">
        <f t="shared" ref="AH125:AH127" si="90">AE125+AF125</f>
        <v>0</v>
      </c>
      <c r="AI125" s="410"/>
      <c r="AJ125" s="411">
        <f>AH125+AI125</f>
        <v>0</v>
      </c>
      <c r="AK125" s="234"/>
      <c r="AL125" s="234"/>
      <c r="AM125" s="234"/>
    </row>
    <row r="126" spans="1:39" ht="20.25">
      <c r="A126" s="424" t="s">
        <v>392</v>
      </c>
      <c r="B126" s="710"/>
      <c r="C126" s="295"/>
      <c r="D126" s="318"/>
      <c r="E126" s="319"/>
      <c r="F126" s="320"/>
      <c r="G126" s="320"/>
      <c r="H126" s="320"/>
      <c r="I126" s="321"/>
      <c r="J126" s="321"/>
      <c r="K126" s="320"/>
      <c r="L126" s="352"/>
      <c r="M126" s="353"/>
      <c r="N126" s="321"/>
      <c r="O126" s="321"/>
      <c r="P126" s="321"/>
      <c r="Q126" s="321"/>
      <c r="R126" s="321"/>
      <c r="S126" s="321"/>
      <c r="T126" s="351"/>
      <c r="U126" s="352"/>
      <c r="V126" s="319"/>
      <c r="W126" s="320"/>
      <c r="X126" s="320"/>
      <c r="Y126" s="321"/>
      <c r="Z126" s="321"/>
      <c r="AA126" s="321"/>
      <c r="AB126" s="320"/>
      <c r="AC126" s="380"/>
      <c r="AD126" s="352"/>
      <c r="AE126" s="381">
        <f t="shared" si="89"/>
        <v>0</v>
      </c>
      <c r="AF126" s="381"/>
      <c r="AG126" s="408"/>
      <c r="AH126" s="409">
        <f t="shared" si="90"/>
        <v>0</v>
      </c>
      <c r="AI126" s="410"/>
      <c r="AJ126" s="411">
        <f>AH126+AI126</f>
        <v>0</v>
      </c>
      <c r="AK126" s="234"/>
      <c r="AL126" s="234"/>
      <c r="AM126" s="234"/>
    </row>
    <row r="127" spans="1:39" ht="20.25">
      <c r="A127" s="424" t="s">
        <v>392</v>
      </c>
      <c r="B127" s="710"/>
      <c r="C127" s="295"/>
      <c r="D127" s="318"/>
      <c r="E127" s="319"/>
      <c r="F127" s="320"/>
      <c r="G127" s="320"/>
      <c r="H127" s="320"/>
      <c r="I127" s="321"/>
      <c r="J127" s="321"/>
      <c r="K127" s="320"/>
      <c r="L127" s="352"/>
      <c r="M127" s="353"/>
      <c r="N127" s="321"/>
      <c r="O127" s="321"/>
      <c r="P127" s="321"/>
      <c r="Q127" s="321"/>
      <c r="R127" s="321"/>
      <c r="S127" s="321"/>
      <c r="T127" s="351"/>
      <c r="U127" s="352"/>
      <c r="V127" s="319"/>
      <c r="W127" s="320"/>
      <c r="X127" s="320"/>
      <c r="Y127" s="321"/>
      <c r="Z127" s="321"/>
      <c r="AA127" s="321"/>
      <c r="AB127" s="320"/>
      <c r="AC127" s="380"/>
      <c r="AD127" s="352"/>
      <c r="AE127" s="381">
        <f t="shared" si="89"/>
        <v>0</v>
      </c>
      <c r="AF127" s="381"/>
      <c r="AG127" s="408"/>
      <c r="AH127" s="409">
        <f t="shared" si="90"/>
        <v>0</v>
      </c>
      <c r="AI127" s="410"/>
      <c r="AJ127" s="411">
        <f>AH127+AI127</f>
        <v>0</v>
      </c>
      <c r="AK127" s="234"/>
      <c r="AL127" s="234"/>
      <c r="AM127" s="234"/>
    </row>
    <row r="128" spans="1:39" ht="20.25">
      <c r="A128" s="424" t="s">
        <v>392</v>
      </c>
      <c r="B128" s="710"/>
      <c r="C128" s="295"/>
      <c r="D128" s="318"/>
      <c r="E128" s="319"/>
      <c r="F128" s="320"/>
      <c r="G128" s="320"/>
      <c r="H128" s="320"/>
      <c r="I128" s="321"/>
      <c r="J128" s="321"/>
      <c r="K128" s="320"/>
      <c r="L128" s="352"/>
      <c r="M128" s="353"/>
      <c r="N128" s="321"/>
      <c r="O128" s="321"/>
      <c r="P128" s="321"/>
      <c r="Q128" s="321"/>
      <c r="R128" s="321"/>
      <c r="S128" s="321"/>
      <c r="T128" s="351"/>
      <c r="U128" s="352"/>
      <c r="V128" s="319"/>
      <c r="W128" s="320"/>
      <c r="X128" s="320"/>
      <c r="Y128" s="321"/>
      <c r="Z128" s="321"/>
      <c r="AA128" s="321"/>
      <c r="AB128" s="320"/>
      <c r="AC128" s="380"/>
      <c r="AD128" s="352"/>
      <c r="AE128" s="381">
        <f t="shared" si="89"/>
        <v>0</v>
      </c>
      <c r="AF128" s="381"/>
      <c r="AG128" s="408"/>
      <c r="AH128" s="409">
        <f t="shared" ref="AH128:AH135" si="91">AE128+AF128</f>
        <v>0</v>
      </c>
      <c r="AI128" s="410"/>
      <c r="AJ128" s="411">
        <f t="shared" ref="AJ128:AJ130" si="92">AH128+AI128</f>
        <v>0</v>
      </c>
      <c r="AK128" s="234"/>
      <c r="AL128" s="234"/>
      <c r="AM128" s="234"/>
    </row>
    <row r="129" spans="1:39" ht="20.25">
      <c r="A129" s="424" t="s">
        <v>392</v>
      </c>
      <c r="B129" s="295"/>
      <c r="C129" s="295"/>
      <c r="D129" s="318"/>
      <c r="E129" s="319"/>
      <c r="F129" s="320"/>
      <c r="G129" s="320"/>
      <c r="H129" s="320"/>
      <c r="I129" s="321"/>
      <c r="J129" s="321"/>
      <c r="K129" s="320"/>
      <c r="L129" s="352"/>
      <c r="M129" s="353"/>
      <c r="N129" s="321"/>
      <c r="O129" s="321"/>
      <c r="P129" s="321"/>
      <c r="Q129" s="321"/>
      <c r="R129" s="321"/>
      <c r="S129" s="321"/>
      <c r="T129" s="351"/>
      <c r="U129" s="352"/>
      <c r="V129" s="319"/>
      <c r="W129" s="320"/>
      <c r="X129" s="320"/>
      <c r="Y129" s="321"/>
      <c r="Z129" s="321"/>
      <c r="AA129" s="321"/>
      <c r="AB129" s="320"/>
      <c r="AC129" s="380"/>
      <c r="AD129" s="352"/>
      <c r="AE129" s="381">
        <f t="shared" si="89"/>
        <v>0</v>
      </c>
      <c r="AF129" s="381"/>
      <c r="AG129" s="408"/>
      <c r="AH129" s="409">
        <f t="shared" si="91"/>
        <v>0</v>
      </c>
      <c r="AI129" s="410"/>
      <c r="AJ129" s="411">
        <f t="shared" si="92"/>
        <v>0</v>
      </c>
      <c r="AK129" s="234"/>
      <c r="AL129" s="234"/>
      <c r="AM129" s="234"/>
    </row>
    <row r="130" spans="1:39" ht="20.25">
      <c r="A130" s="424" t="s">
        <v>392</v>
      </c>
      <c r="B130" s="295"/>
      <c r="C130" s="295"/>
      <c r="D130" s="318"/>
      <c r="E130" s="319"/>
      <c r="F130" s="320"/>
      <c r="G130" s="320"/>
      <c r="H130" s="320"/>
      <c r="I130" s="321"/>
      <c r="J130" s="321"/>
      <c r="K130" s="320"/>
      <c r="L130" s="352"/>
      <c r="M130" s="353"/>
      <c r="N130" s="321"/>
      <c r="O130" s="321"/>
      <c r="P130" s="321"/>
      <c r="Q130" s="321"/>
      <c r="R130" s="321"/>
      <c r="S130" s="321"/>
      <c r="T130" s="351"/>
      <c r="U130" s="352"/>
      <c r="V130" s="319"/>
      <c r="W130" s="320"/>
      <c r="X130" s="320"/>
      <c r="Y130" s="321"/>
      <c r="Z130" s="321"/>
      <c r="AA130" s="321"/>
      <c r="AB130" s="320"/>
      <c r="AC130" s="380"/>
      <c r="AD130" s="352"/>
      <c r="AE130" s="381">
        <f t="shared" si="89"/>
        <v>0</v>
      </c>
      <c r="AF130" s="381"/>
      <c r="AG130" s="408"/>
      <c r="AH130" s="409">
        <f t="shared" si="91"/>
        <v>0</v>
      </c>
      <c r="AI130" s="410"/>
      <c r="AJ130" s="411">
        <f t="shared" si="92"/>
        <v>0</v>
      </c>
      <c r="AK130" s="234"/>
      <c r="AL130" s="234"/>
      <c r="AM130" s="234"/>
    </row>
    <row r="131" spans="1:39" ht="20.25">
      <c r="A131" s="424" t="s">
        <v>392</v>
      </c>
      <c r="B131" s="295"/>
      <c r="C131" s="295"/>
      <c r="D131" s="318"/>
      <c r="E131" s="319"/>
      <c r="F131" s="320"/>
      <c r="G131" s="320"/>
      <c r="H131" s="320"/>
      <c r="I131" s="321"/>
      <c r="J131" s="321"/>
      <c r="K131" s="320"/>
      <c r="L131" s="352"/>
      <c r="M131" s="353"/>
      <c r="N131" s="321"/>
      <c r="O131" s="321"/>
      <c r="P131" s="321"/>
      <c r="Q131" s="321"/>
      <c r="R131" s="321"/>
      <c r="S131" s="321"/>
      <c r="T131" s="351"/>
      <c r="U131" s="352"/>
      <c r="V131" s="319"/>
      <c r="W131" s="320"/>
      <c r="X131" s="320"/>
      <c r="Y131" s="321"/>
      <c r="Z131" s="321"/>
      <c r="AA131" s="321"/>
      <c r="AB131" s="320"/>
      <c r="AC131" s="380"/>
      <c r="AD131" s="352"/>
      <c r="AE131" s="381">
        <f t="shared" si="89"/>
        <v>0</v>
      </c>
      <c r="AF131" s="381"/>
      <c r="AG131" s="408"/>
      <c r="AH131" s="409">
        <f t="shared" si="91"/>
        <v>0</v>
      </c>
      <c r="AI131" s="410"/>
      <c r="AJ131" s="411">
        <f t="shared" ref="AJ131:AJ135" si="93">AH131+AI131</f>
        <v>0</v>
      </c>
      <c r="AK131" s="234"/>
      <c r="AL131" s="234"/>
      <c r="AM131" s="234"/>
    </row>
    <row r="132" spans="1:39" ht="20.25">
      <c r="A132" s="424" t="s">
        <v>392</v>
      </c>
      <c r="B132" s="295"/>
      <c r="C132" s="295"/>
      <c r="D132" s="318"/>
      <c r="E132" s="319"/>
      <c r="F132" s="320"/>
      <c r="G132" s="320"/>
      <c r="H132" s="320"/>
      <c r="I132" s="321"/>
      <c r="J132" s="321"/>
      <c r="K132" s="320"/>
      <c r="L132" s="352"/>
      <c r="M132" s="353"/>
      <c r="N132" s="321"/>
      <c r="O132" s="321"/>
      <c r="P132" s="321"/>
      <c r="Q132" s="321"/>
      <c r="R132" s="321"/>
      <c r="S132" s="321"/>
      <c r="T132" s="351"/>
      <c r="U132" s="352"/>
      <c r="V132" s="319"/>
      <c r="W132" s="320"/>
      <c r="X132" s="320"/>
      <c r="Y132" s="321"/>
      <c r="Z132" s="321"/>
      <c r="AA132" s="321"/>
      <c r="AB132" s="320"/>
      <c r="AC132" s="380"/>
      <c r="AD132" s="352"/>
      <c r="AE132" s="381">
        <f t="shared" si="89"/>
        <v>0</v>
      </c>
      <c r="AF132" s="381"/>
      <c r="AG132" s="408"/>
      <c r="AH132" s="409">
        <f t="shared" si="91"/>
        <v>0</v>
      </c>
      <c r="AI132" s="410"/>
      <c r="AJ132" s="411">
        <f t="shared" si="93"/>
        <v>0</v>
      </c>
      <c r="AK132" s="234"/>
      <c r="AL132" s="234"/>
      <c r="AM132" s="234"/>
    </row>
    <row r="133" spans="1:39" ht="20.25">
      <c r="A133" s="424" t="s">
        <v>392</v>
      </c>
      <c r="B133" s="295"/>
      <c r="C133" s="295"/>
      <c r="D133" s="318"/>
      <c r="E133" s="319"/>
      <c r="F133" s="320"/>
      <c r="G133" s="320"/>
      <c r="H133" s="320"/>
      <c r="I133" s="321"/>
      <c r="J133" s="321"/>
      <c r="K133" s="320"/>
      <c r="L133" s="352"/>
      <c r="M133" s="353"/>
      <c r="N133" s="321"/>
      <c r="O133" s="321"/>
      <c r="P133" s="321"/>
      <c r="Q133" s="321"/>
      <c r="R133" s="321"/>
      <c r="S133" s="321"/>
      <c r="T133" s="351"/>
      <c r="U133" s="352"/>
      <c r="V133" s="319"/>
      <c r="W133" s="320"/>
      <c r="X133" s="320"/>
      <c r="Y133" s="321"/>
      <c r="Z133" s="321"/>
      <c r="AA133" s="321"/>
      <c r="AB133" s="320"/>
      <c r="AC133" s="380"/>
      <c r="AD133" s="352"/>
      <c r="AE133" s="381">
        <f t="shared" si="89"/>
        <v>0</v>
      </c>
      <c r="AF133" s="381"/>
      <c r="AG133" s="408"/>
      <c r="AH133" s="409">
        <f t="shared" si="91"/>
        <v>0</v>
      </c>
      <c r="AI133" s="410"/>
      <c r="AJ133" s="411">
        <f t="shared" si="93"/>
        <v>0</v>
      </c>
      <c r="AK133" s="234"/>
      <c r="AL133" s="234"/>
      <c r="AM133" s="234"/>
    </row>
    <row r="134" spans="1:39" ht="21" thickBot="1">
      <c r="A134" s="424" t="s">
        <v>392</v>
      </c>
      <c r="B134" s="295"/>
      <c r="C134" s="295"/>
      <c r="D134" s="318"/>
      <c r="E134" s="319"/>
      <c r="F134" s="320"/>
      <c r="G134" s="320"/>
      <c r="H134" s="320"/>
      <c r="I134" s="321"/>
      <c r="J134" s="321"/>
      <c r="K134" s="320"/>
      <c r="L134" s="352"/>
      <c r="M134" s="353"/>
      <c r="N134" s="321"/>
      <c r="O134" s="321"/>
      <c r="P134" s="321"/>
      <c r="Q134" s="321"/>
      <c r="R134" s="321"/>
      <c r="S134" s="321"/>
      <c r="T134" s="351"/>
      <c r="U134" s="352"/>
      <c r="V134" s="319"/>
      <c r="W134" s="320"/>
      <c r="X134" s="320"/>
      <c r="Y134" s="321"/>
      <c r="Z134" s="321"/>
      <c r="AA134" s="321"/>
      <c r="AB134" s="320"/>
      <c r="AC134" s="380"/>
      <c r="AD134" s="352"/>
      <c r="AE134" s="381">
        <f t="shared" si="89"/>
        <v>0</v>
      </c>
      <c r="AF134" s="381"/>
      <c r="AG134" s="408"/>
      <c r="AH134" s="409">
        <f t="shared" si="91"/>
        <v>0</v>
      </c>
      <c r="AI134" s="410"/>
      <c r="AJ134" s="411">
        <f t="shared" si="93"/>
        <v>0</v>
      </c>
      <c r="AK134" s="234"/>
      <c r="AL134" s="234"/>
      <c r="AM134" s="234"/>
    </row>
    <row r="135" spans="1:39" ht="21" thickBot="1">
      <c r="A135" s="3097" t="s">
        <v>392</v>
      </c>
      <c r="B135" s="323"/>
      <c r="C135" s="323"/>
      <c r="D135" s="324"/>
      <c r="E135" s="325"/>
      <c r="F135" s="297"/>
      <c r="G135" s="297"/>
      <c r="H135" s="297"/>
      <c r="I135" s="298"/>
      <c r="J135" s="298"/>
      <c r="K135" s="297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89"/>
        <v>0</v>
      </c>
      <c r="AF135" s="377"/>
      <c r="AG135" s="390"/>
      <c r="AH135" s="391">
        <f t="shared" si="91"/>
        <v>0</v>
      </c>
      <c r="AI135" s="412"/>
      <c r="AJ135" s="413">
        <f t="shared" si="93"/>
        <v>0</v>
      </c>
      <c r="AK135" s="414" t="s">
        <v>8</v>
      </c>
      <c r="AL135" s="397" t="s">
        <v>23</v>
      </c>
      <c r="AM135" s="415" t="s">
        <v>174</v>
      </c>
    </row>
    <row r="136" spans="1:39" ht="21" thickBot="1">
      <c r="A136" s="3098" t="s">
        <v>392</v>
      </c>
      <c r="B136" s="734"/>
      <c r="C136" s="327"/>
      <c r="D136" s="328"/>
      <c r="E136" s="329">
        <f>SUM(E124:E135)</f>
        <v>0</v>
      </c>
      <c r="F136" s="329">
        <f t="shared" ref="F136:K136" si="94">SUM(F124:F135)</f>
        <v>0</v>
      </c>
      <c r="G136" s="329">
        <f t="shared" si="94"/>
        <v>0</v>
      </c>
      <c r="H136" s="329">
        <f t="shared" si="94"/>
        <v>0</v>
      </c>
      <c r="I136" s="329">
        <f t="shared" si="94"/>
        <v>0</v>
      </c>
      <c r="J136" s="329">
        <f t="shared" si="94"/>
        <v>0</v>
      </c>
      <c r="K136" s="329">
        <f t="shared" si="94"/>
        <v>0</v>
      </c>
      <c r="L136" s="357"/>
      <c r="M136" s="358">
        <f>SUM(M124:M135)</f>
        <v>0</v>
      </c>
      <c r="N136" s="358">
        <f t="shared" ref="N136:T136" si="95">SUM(N124:N135)</f>
        <v>0</v>
      </c>
      <c r="O136" s="358">
        <f t="shared" si="95"/>
        <v>0</v>
      </c>
      <c r="P136" s="358">
        <f t="shared" si="95"/>
        <v>0</v>
      </c>
      <c r="Q136" s="358">
        <f t="shared" si="95"/>
        <v>0</v>
      </c>
      <c r="R136" s="358">
        <f t="shared" si="95"/>
        <v>0</v>
      </c>
      <c r="S136" s="358">
        <f t="shared" si="95"/>
        <v>0</v>
      </c>
      <c r="T136" s="358">
        <f t="shared" si="95"/>
        <v>0</v>
      </c>
      <c r="U136" s="357"/>
      <c r="V136" s="358">
        <f>SUM(V124:V135)</f>
        <v>0</v>
      </c>
      <c r="W136" s="358">
        <f t="shared" ref="W136:AC136" si="96">SUM(W124:W135)</f>
        <v>0</v>
      </c>
      <c r="X136" s="358">
        <f t="shared" si="96"/>
        <v>0</v>
      </c>
      <c r="Y136" s="358">
        <f t="shared" si="96"/>
        <v>0</v>
      </c>
      <c r="Z136" s="358">
        <f t="shared" si="96"/>
        <v>0</v>
      </c>
      <c r="AA136" s="358">
        <f t="shared" si="96"/>
        <v>0</v>
      </c>
      <c r="AB136" s="358">
        <f t="shared" si="96"/>
        <v>0</v>
      </c>
      <c r="AC136" s="358">
        <f t="shared" si="96"/>
        <v>0</v>
      </c>
      <c r="AD136" s="357"/>
      <c r="AE136" s="382">
        <f t="shared" ref="AE136:AJ136" si="97">SUM(AE124:AE135)</f>
        <v>0</v>
      </c>
      <c r="AF136" s="382">
        <f t="shared" si="97"/>
        <v>0</v>
      </c>
      <c r="AG136" s="416">
        <f t="shared" si="97"/>
        <v>0</v>
      </c>
      <c r="AH136" s="417">
        <f t="shared" si="97"/>
        <v>0</v>
      </c>
      <c r="AI136" s="382">
        <f t="shared" si="97"/>
        <v>0</v>
      </c>
      <c r="AJ136" s="418">
        <f t="shared" si="97"/>
        <v>0</v>
      </c>
      <c r="AK136" s="399">
        <f>'BIG CHAIR'!CL119</f>
        <v>0</v>
      </c>
      <c r="AL136" s="400">
        <f>'Tea Table'!X207</f>
        <v>120</v>
      </c>
      <c r="AM136" s="401">
        <f>AH136+AK136+AL136</f>
        <v>120</v>
      </c>
    </row>
    <row r="137" spans="1:39" s="284" customFormat="1" ht="8.25" customHeight="1" thickBot="1">
      <c r="A137" s="425"/>
      <c r="B137" s="426"/>
      <c r="C137" s="426"/>
      <c r="D137" s="427"/>
      <c r="E137" s="428"/>
      <c r="F137" s="428"/>
      <c r="G137" s="428"/>
      <c r="H137" s="428"/>
      <c r="I137" s="428"/>
      <c r="J137" s="428"/>
      <c r="K137" s="428"/>
      <c r="L137" s="478"/>
      <c r="M137" s="479"/>
      <c r="N137" s="479"/>
      <c r="O137" s="479"/>
      <c r="P137" s="479"/>
      <c r="Q137" s="479"/>
      <c r="R137" s="479"/>
      <c r="S137" s="479"/>
      <c r="T137" s="479"/>
      <c r="U137" s="478"/>
      <c r="V137" s="479"/>
      <c r="W137" s="479"/>
      <c r="X137" s="479"/>
      <c r="Y137" s="479"/>
      <c r="Z137" s="479"/>
      <c r="AA137" s="479"/>
      <c r="AB137" s="479"/>
      <c r="AC137" s="479"/>
      <c r="AD137" s="478"/>
      <c r="AE137" s="479"/>
      <c r="AF137" s="479"/>
      <c r="AG137" s="479"/>
      <c r="AH137" s="479"/>
      <c r="AI137" s="479"/>
      <c r="AJ137" s="506"/>
      <c r="AK137" s="403"/>
      <c r="AL137" s="403"/>
      <c r="AM137" s="403"/>
    </row>
    <row r="138" spans="1:39" s="282" customFormat="1" ht="16.5" thickBot="1">
      <c r="A138" s="429" t="s">
        <v>179</v>
      </c>
      <c r="B138" s="287" t="s">
        <v>68</v>
      </c>
      <c r="C138" s="287" t="s">
        <v>69</v>
      </c>
      <c r="D138" s="288" t="s">
        <v>70</v>
      </c>
      <c r="E138" s="80" t="s">
        <v>86</v>
      </c>
      <c r="F138" s="744"/>
      <c r="G138" s="744"/>
      <c r="H138" s="49"/>
      <c r="I138" s="49"/>
      <c r="J138" s="49"/>
      <c r="K138" s="49"/>
      <c r="L138" s="79"/>
      <c r="M138" s="743" t="s">
        <v>71</v>
      </c>
      <c r="N138" s="744" t="s">
        <v>72</v>
      </c>
      <c r="O138" s="49" t="s">
        <v>100</v>
      </c>
      <c r="P138" s="744" t="s">
        <v>95</v>
      </c>
      <c r="Q138" s="744" t="s">
        <v>75</v>
      </c>
      <c r="R138" s="744" t="s">
        <v>223</v>
      </c>
      <c r="S138" s="50" t="s">
        <v>77</v>
      </c>
      <c r="T138" s="171" t="s">
        <v>101</v>
      </c>
      <c r="U138" s="79"/>
      <c r="V138" s="745" t="str">
        <f t="shared" ref="V138:AA138" si="98">V41</f>
        <v>S-W</v>
      </c>
      <c r="W138" s="746" t="str">
        <f t="shared" si="98"/>
        <v>Karara</v>
      </c>
      <c r="X138" s="102" t="str">
        <f t="shared" si="98"/>
        <v>S-Black</v>
      </c>
      <c r="Y138" s="747" t="str">
        <f t="shared" si="98"/>
        <v>C.W</v>
      </c>
      <c r="Z138" s="744" t="str">
        <f t="shared" si="98"/>
        <v>M.Bz</v>
      </c>
      <c r="AA138" s="101" t="str">
        <f t="shared" si="98"/>
        <v>Brown</v>
      </c>
      <c r="AB138" s="748" t="str">
        <f>AB3</f>
        <v>R-W</v>
      </c>
      <c r="AC138" s="717" t="s">
        <v>82</v>
      </c>
      <c r="AD138" s="79"/>
      <c r="AE138" s="371" t="s">
        <v>172</v>
      </c>
      <c r="AF138" s="372" t="s">
        <v>80</v>
      </c>
      <c r="AG138" s="385"/>
      <c r="AH138" s="386" t="s">
        <v>106</v>
      </c>
      <c r="AI138" s="385" t="s">
        <v>173</v>
      </c>
      <c r="AJ138" s="371" t="s">
        <v>108</v>
      </c>
    </row>
    <row r="139" spans="1:39" s="283" customFormat="1" ht="20.25">
      <c r="A139" s="430"/>
      <c r="B139" s="431"/>
      <c r="C139" s="431"/>
      <c r="D139" s="432"/>
      <c r="E139" s="325"/>
      <c r="F139" s="297"/>
      <c r="G139" s="297"/>
      <c r="H139" s="297"/>
      <c r="I139" s="298"/>
      <c r="J139" s="298"/>
      <c r="K139" s="297"/>
      <c r="L139" s="355"/>
      <c r="M139" s="343"/>
      <c r="N139" s="298"/>
      <c r="O139" s="298"/>
      <c r="P139" s="298"/>
      <c r="Q139" s="298"/>
      <c r="R139" s="435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7">
        <f>SUM(E139:AC139)</f>
        <v>0</v>
      </c>
      <c r="AF139" s="377"/>
      <c r="AG139" s="390"/>
      <c r="AH139" s="507">
        <f t="shared" ref="AH139:AH143" si="99">AE139+AF139</f>
        <v>0</v>
      </c>
      <c r="AI139" s="412"/>
      <c r="AJ139" s="508">
        <f>AH139+AI139</f>
        <v>0</v>
      </c>
    </row>
    <row r="140" spans="1:39" s="283" customFormat="1" ht="20.25">
      <c r="A140" s="322"/>
      <c r="B140" s="323"/>
      <c r="C140" s="323"/>
      <c r="D140" s="324"/>
      <c r="E140" s="325"/>
      <c r="F140" s="297"/>
      <c r="G140" s="297"/>
      <c r="H140" s="297"/>
      <c r="I140" s="298"/>
      <c r="J140" s="298"/>
      <c r="K140" s="297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7">
        <f>SUM(E140:AC140)</f>
        <v>0</v>
      </c>
      <c r="AF140" s="377"/>
      <c r="AG140" s="390"/>
      <c r="AH140" s="507">
        <f t="shared" si="99"/>
        <v>0</v>
      </c>
      <c r="AI140" s="412"/>
      <c r="AJ140" s="508">
        <f>AH140+AI140</f>
        <v>0</v>
      </c>
    </row>
    <row r="141" spans="1:39" s="283" customFormat="1" ht="20.25">
      <c r="A141" s="322"/>
      <c r="B141" s="323"/>
      <c r="C141" s="323"/>
      <c r="D141" s="324"/>
      <c r="E141" s="325"/>
      <c r="F141" s="297"/>
      <c r="G141" s="297"/>
      <c r="H141" s="297"/>
      <c r="I141" s="298"/>
      <c r="J141" s="298"/>
      <c r="K141" s="297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7">
        <f>SUM(E141:AC141)</f>
        <v>0</v>
      </c>
      <c r="AF141" s="377"/>
      <c r="AG141" s="390"/>
      <c r="AH141" s="507">
        <f t="shared" si="99"/>
        <v>0</v>
      </c>
      <c r="AI141" s="412"/>
      <c r="AJ141" s="508">
        <f>AH141+AI141</f>
        <v>0</v>
      </c>
    </row>
    <row r="142" spans="1:39" s="283" customFormat="1" ht="20.25">
      <c r="A142" s="322"/>
      <c r="B142" s="323"/>
      <c r="C142" s="323"/>
      <c r="D142" s="324"/>
      <c r="E142" s="325"/>
      <c r="F142" s="297"/>
      <c r="G142" s="297"/>
      <c r="H142" s="297"/>
      <c r="I142" s="298"/>
      <c r="J142" s="298"/>
      <c r="K142" s="297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>SUM(E142:AC142)</f>
        <v>0</v>
      </c>
      <c r="AF142" s="377"/>
      <c r="AG142" s="390"/>
      <c r="AH142" s="507">
        <f t="shared" si="99"/>
        <v>0</v>
      </c>
      <c r="AI142" s="412"/>
      <c r="AJ142" s="508">
        <f>AH142+AI142</f>
        <v>0</v>
      </c>
    </row>
    <row r="143" spans="1:39" s="283" customFormat="1" ht="20.25">
      <c r="A143" s="322"/>
      <c r="B143" s="323"/>
      <c r="C143" s="323"/>
      <c r="D143" s="324"/>
      <c r="E143" s="325"/>
      <c r="F143" s="297"/>
      <c r="G143" s="297"/>
      <c r="H143" s="297"/>
      <c r="I143" s="298"/>
      <c r="J143" s="298"/>
      <c r="K143" s="297"/>
      <c r="L143" s="355"/>
      <c r="M143" s="343"/>
      <c r="N143" s="298"/>
      <c r="O143" s="298"/>
      <c r="P143" s="298"/>
      <c r="Q143" s="298"/>
      <c r="R143" s="298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7">
        <f>SUM(E143:AC143)</f>
        <v>0</v>
      </c>
      <c r="AF143" s="377"/>
      <c r="AG143" s="390"/>
      <c r="AH143" s="507">
        <f t="shared" si="99"/>
        <v>0</v>
      </c>
      <c r="AI143" s="412"/>
      <c r="AJ143" s="508">
        <f t="shared" ref="AJ143" si="100">AH143+AI143</f>
        <v>0</v>
      </c>
    </row>
    <row r="144" spans="1:39" s="283" customFormat="1" ht="20.25">
      <c r="A144" s="436"/>
      <c r="B144" s="437"/>
      <c r="C144" s="437"/>
      <c r="D144" s="438"/>
      <c r="E144" s="439">
        <f>SUM(E139:E143)</f>
        <v>0</v>
      </c>
      <c r="F144" s="440">
        <f t="shared" ref="F144:K144" si="101">SUM(F139:F143)</f>
        <v>0</v>
      </c>
      <c r="G144" s="440">
        <f t="shared" ref="G144" si="102">SUM(G139:G143)</f>
        <v>0</v>
      </c>
      <c r="H144" s="440">
        <f t="shared" si="101"/>
        <v>0</v>
      </c>
      <c r="I144" s="440">
        <f t="shared" si="101"/>
        <v>0</v>
      </c>
      <c r="J144" s="440">
        <f t="shared" si="101"/>
        <v>0</v>
      </c>
      <c r="K144" s="440">
        <f t="shared" si="101"/>
        <v>0</v>
      </c>
      <c r="L144" s="482"/>
      <c r="M144" s="439">
        <f t="shared" ref="M144:T144" si="103">SUM(M139:M143)</f>
        <v>0</v>
      </c>
      <c r="N144" s="440">
        <f t="shared" si="103"/>
        <v>0</v>
      </c>
      <c r="O144" s="440">
        <f t="shared" si="103"/>
        <v>0</v>
      </c>
      <c r="P144" s="440">
        <f t="shared" si="103"/>
        <v>0</v>
      </c>
      <c r="Q144" s="440">
        <f t="shared" si="103"/>
        <v>0</v>
      </c>
      <c r="R144" s="440">
        <f t="shared" si="103"/>
        <v>0</v>
      </c>
      <c r="S144" s="440">
        <f t="shared" si="103"/>
        <v>0</v>
      </c>
      <c r="T144" s="481">
        <f t="shared" si="103"/>
        <v>0</v>
      </c>
      <c r="U144" s="482"/>
      <c r="V144" s="439">
        <f t="shared" ref="V144:AC144" si="104">SUM(V139:V143)</f>
        <v>0</v>
      </c>
      <c r="W144" s="440">
        <f t="shared" si="104"/>
        <v>0</v>
      </c>
      <c r="X144" s="440">
        <f t="shared" si="104"/>
        <v>0</v>
      </c>
      <c r="Y144" s="440">
        <f t="shared" si="104"/>
        <v>0</v>
      </c>
      <c r="Z144" s="440">
        <f t="shared" si="104"/>
        <v>0</v>
      </c>
      <c r="AA144" s="440">
        <f t="shared" si="104"/>
        <v>0</v>
      </c>
      <c r="AB144" s="440">
        <f t="shared" si="104"/>
        <v>0</v>
      </c>
      <c r="AC144" s="481">
        <f t="shared" si="104"/>
        <v>0</v>
      </c>
      <c r="AD144" s="482"/>
      <c r="AE144" s="494">
        <f t="shared" ref="AE144:AJ144" si="105">SUM(AE139:AE143)</f>
        <v>0</v>
      </c>
      <c r="AF144" s="494">
        <f t="shared" si="105"/>
        <v>0</v>
      </c>
      <c r="AG144" s="494">
        <f t="shared" si="105"/>
        <v>0</v>
      </c>
      <c r="AH144" s="509">
        <f t="shared" si="105"/>
        <v>0</v>
      </c>
      <c r="AI144" s="494">
        <f t="shared" si="105"/>
        <v>0</v>
      </c>
      <c r="AJ144" s="515">
        <f t="shared" si="105"/>
        <v>0</v>
      </c>
    </row>
    <row r="145" spans="1:39" s="284" customFormat="1" ht="8.25" customHeight="1" thickBot="1">
      <c r="A145" s="425"/>
      <c r="B145" s="426"/>
      <c r="C145" s="426"/>
      <c r="D145" s="427"/>
      <c r="E145" s="428"/>
      <c r="F145" s="428"/>
      <c r="G145" s="428"/>
      <c r="H145" s="428"/>
      <c r="I145" s="428"/>
      <c r="J145" s="428"/>
      <c r="K145" s="428"/>
      <c r="L145" s="478"/>
      <c r="M145" s="479"/>
      <c r="N145" s="479"/>
      <c r="O145" s="479"/>
      <c r="P145" s="479"/>
      <c r="Q145" s="479"/>
      <c r="R145" s="479"/>
      <c r="S145" s="479"/>
      <c r="T145" s="479"/>
      <c r="U145" s="478"/>
      <c r="V145" s="479"/>
      <c r="W145" s="479"/>
      <c r="X145" s="479"/>
      <c r="Y145" s="479"/>
      <c r="Z145" s="479"/>
      <c r="AA145" s="479"/>
      <c r="AB145" s="479"/>
      <c r="AC145" s="479"/>
      <c r="AD145" s="478"/>
      <c r="AE145" s="479"/>
      <c r="AF145" s="479"/>
      <c r="AG145" s="479"/>
      <c r="AH145" s="479"/>
      <c r="AI145" s="479"/>
      <c r="AJ145" s="506"/>
      <c r="AK145" s="403"/>
      <c r="AL145" s="403"/>
      <c r="AM145" s="403"/>
    </row>
    <row r="146" spans="1:39" s="282" customFormat="1" ht="18.75" thickBot="1">
      <c r="A146" s="441" t="s">
        <v>135</v>
      </c>
      <c r="B146" s="287" t="s">
        <v>68</v>
      </c>
      <c r="C146" s="287" t="s">
        <v>69</v>
      </c>
      <c r="D146" s="288" t="s">
        <v>70</v>
      </c>
      <c r="E146" s="80" t="s">
        <v>86</v>
      </c>
      <c r="F146" s="744"/>
      <c r="G146" s="744"/>
      <c r="H146" s="49"/>
      <c r="I146" s="49"/>
      <c r="J146" s="49"/>
      <c r="K146" s="49"/>
      <c r="L146" s="79"/>
      <c r="M146" s="743" t="s">
        <v>71</v>
      </c>
      <c r="N146" s="744" t="s">
        <v>72</v>
      </c>
      <c r="O146" s="49" t="s">
        <v>100</v>
      </c>
      <c r="P146" s="744" t="s">
        <v>95</v>
      </c>
      <c r="Q146" s="744" t="s">
        <v>75</v>
      </c>
      <c r="R146" s="744" t="s">
        <v>223</v>
      </c>
      <c r="S146" s="50" t="s">
        <v>77</v>
      </c>
      <c r="T146" s="171" t="s">
        <v>101</v>
      </c>
      <c r="U146" s="79"/>
      <c r="V146" s="745" t="str">
        <f t="shared" ref="V146:AC146" si="106">V138</f>
        <v>S-W</v>
      </c>
      <c r="W146" s="746" t="str">
        <f t="shared" si="106"/>
        <v>Karara</v>
      </c>
      <c r="X146" s="102" t="str">
        <f t="shared" si="106"/>
        <v>S-Black</v>
      </c>
      <c r="Y146" s="747" t="str">
        <f t="shared" si="106"/>
        <v>C.W</v>
      </c>
      <c r="Z146" s="744" t="str">
        <f t="shared" si="106"/>
        <v>M.Bz</v>
      </c>
      <c r="AA146" s="101" t="str">
        <f t="shared" si="106"/>
        <v>Brown</v>
      </c>
      <c r="AB146" s="748" t="str">
        <f t="shared" si="106"/>
        <v>R-W</v>
      </c>
      <c r="AC146" s="717" t="str">
        <f t="shared" si="106"/>
        <v>P-Silver</v>
      </c>
      <c r="AD146" s="79"/>
      <c r="AE146" s="371" t="s">
        <v>172</v>
      </c>
      <c r="AF146" s="372" t="s">
        <v>80</v>
      </c>
      <c r="AG146" s="385"/>
      <c r="AH146" s="386" t="s">
        <v>106</v>
      </c>
      <c r="AI146" s="385" t="s">
        <v>173</v>
      </c>
      <c r="AJ146" s="371" t="s">
        <v>108</v>
      </c>
    </row>
    <row r="147" spans="1:39" s="283" customFormat="1" ht="20.25">
      <c r="A147" s="442"/>
      <c r="B147" s="443"/>
      <c r="C147" s="443"/>
      <c r="D147" s="444"/>
      <c r="E147" s="433"/>
      <c r="F147" s="434"/>
      <c r="G147" s="434"/>
      <c r="H147" s="434"/>
      <c r="I147" s="435"/>
      <c r="J147" s="435"/>
      <c r="K147" s="434"/>
      <c r="L147" s="483"/>
      <c r="M147" s="484"/>
      <c r="N147" s="435"/>
      <c r="O147" s="435"/>
      <c r="P147" s="435"/>
      <c r="Q147" s="435"/>
      <c r="R147" s="435"/>
      <c r="S147" s="435"/>
      <c r="T147" s="492"/>
      <c r="U147" s="483"/>
      <c r="V147" s="433"/>
      <c r="W147" s="434"/>
      <c r="X147" s="434"/>
      <c r="Y147" s="435"/>
      <c r="Z147" s="435"/>
      <c r="AA147" s="435"/>
      <c r="AB147" s="434"/>
      <c r="AC147" s="495"/>
      <c r="AD147" s="483"/>
      <c r="AE147" s="496">
        <f>SUM(E147:AC147)</f>
        <v>0</v>
      </c>
      <c r="AF147" s="497"/>
      <c r="AG147" s="510"/>
      <c r="AH147" s="511">
        <f t="shared" ref="AH147:AH150" si="107">AE147+AF147</f>
        <v>0</v>
      </c>
      <c r="AI147" s="512"/>
      <c r="AJ147" s="513">
        <f>AH147+AI147</f>
        <v>0</v>
      </c>
    </row>
    <row r="148" spans="1:39" s="283" customFormat="1" ht="20.25">
      <c r="A148" s="445"/>
      <c r="B148" s="323"/>
      <c r="C148" s="323"/>
      <c r="D148" s="324"/>
      <c r="E148" s="325"/>
      <c r="F148" s="297"/>
      <c r="G148" s="297"/>
      <c r="H148" s="297"/>
      <c r="I148" s="298"/>
      <c r="J148" s="298"/>
      <c r="K148" s="297"/>
      <c r="L148" s="355"/>
      <c r="M148" s="343"/>
      <c r="N148" s="298"/>
      <c r="O148" s="298"/>
      <c r="P148" s="298"/>
      <c r="Q148" s="298"/>
      <c r="R148" s="298"/>
      <c r="S148" s="298"/>
      <c r="T148" s="367"/>
      <c r="U148" s="355"/>
      <c r="V148" s="325"/>
      <c r="W148" s="297"/>
      <c r="X148" s="297"/>
      <c r="Y148" s="298"/>
      <c r="Z148" s="298"/>
      <c r="AA148" s="298"/>
      <c r="AB148" s="297"/>
      <c r="AC148" s="375"/>
      <c r="AD148" s="355"/>
      <c r="AE148" s="376">
        <f>SUM(E148:AC148)</f>
        <v>0</v>
      </c>
      <c r="AF148" s="377"/>
      <c r="AG148" s="390"/>
      <c r="AH148" s="391">
        <f t="shared" si="107"/>
        <v>0</v>
      </c>
      <c r="AI148" s="412"/>
      <c r="AJ148" s="413">
        <f t="shared" ref="AJ148:AJ150" si="108">AH148+AI148</f>
        <v>0</v>
      </c>
    </row>
    <row r="149" spans="1:39" s="283" customFormat="1" ht="20.25">
      <c r="A149" s="445"/>
      <c r="B149" s="323"/>
      <c r="C149" s="323"/>
      <c r="D149" s="324"/>
      <c r="E149" s="325"/>
      <c r="F149" s="297"/>
      <c r="G149" s="297"/>
      <c r="H149" s="297"/>
      <c r="I149" s="298"/>
      <c r="J149" s="298"/>
      <c r="K149" s="297"/>
      <c r="L149" s="355"/>
      <c r="M149" s="343"/>
      <c r="N149" s="298"/>
      <c r="O149" s="298"/>
      <c r="P149" s="298"/>
      <c r="Q149" s="298"/>
      <c r="R149" s="298"/>
      <c r="S149" s="298"/>
      <c r="T149" s="367"/>
      <c r="U149" s="355"/>
      <c r="V149" s="325"/>
      <c r="W149" s="297"/>
      <c r="X149" s="297"/>
      <c r="Y149" s="298"/>
      <c r="Z149" s="298"/>
      <c r="AA149" s="298"/>
      <c r="AB149" s="297"/>
      <c r="AC149" s="375"/>
      <c r="AD149" s="355"/>
      <c r="AE149" s="376">
        <f>SUM(E149:AC149)</f>
        <v>0</v>
      </c>
      <c r="AF149" s="377"/>
      <c r="AG149" s="390"/>
      <c r="AH149" s="391">
        <f t="shared" si="107"/>
        <v>0</v>
      </c>
      <c r="AI149" s="412"/>
      <c r="AJ149" s="413">
        <f t="shared" si="108"/>
        <v>0</v>
      </c>
    </row>
    <row r="150" spans="1:39" s="283" customFormat="1" ht="20.25">
      <c r="A150" s="322"/>
      <c r="B150" s="323"/>
      <c r="C150" s="323"/>
      <c r="D150" s="324"/>
      <c r="E150" s="325"/>
      <c r="F150" s="297"/>
      <c r="G150" s="297"/>
      <c r="H150" s="297"/>
      <c r="I150" s="298"/>
      <c r="J150" s="298"/>
      <c r="K150" s="297"/>
      <c r="L150" s="355"/>
      <c r="M150" s="343"/>
      <c r="N150" s="298"/>
      <c r="O150" s="298"/>
      <c r="P150" s="298"/>
      <c r="Q150" s="298"/>
      <c r="R150" s="298"/>
      <c r="S150" s="298"/>
      <c r="T150" s="367"/>
      <c r="U150" s="355"/>
      <c r="V150" s="325"/>
      <c r="W150" s="297"/>
      <c r="X150" s="297"/>
      <c r="Y150" s="298"/>
      <c r="Z150" s="298"/>
      <c r="AA150" s="298"/>
      <c r="AB150" s="297"/>
      <c r="AC150" s="375"/>
      <c r="AD150" s="355"/>
      <c r="AE150" s="377">
        <f>SUM(E150:AC150)</f>
        <v>0</v>
      </c>
      <c r="AF150" s="377"/>
      <c r="AG150" s="390"/>
      <c r="AH150" s="507">
        <f t="shared" si="107"/>
        <v>0</v>
      </c>
      <c r="AI150" s="412"/>
      <c r="AJ150" s="508">
        <f t="shared" si="108"/>
        <v>0</v>
      </c>
    </row>
    <row r="151" spans="1:39" s="283" customFormat="1" ht="20.25">
      <c r="A151" s="436"/>
      <c r="B151" s="437"/>
      <c r="C151" s="437"/>
      <c r="D151" s="438"/>
      <c r="E151" s="439">
        <f>SUM(E147:E150)</f>
        <v>0</v>
      </c>
      <c r="F151" s="439">
        <f t="shared" ref="F151:M151" si="109">SUM(F147:F150)</f>
        <v>0</v>
      </c>
      <c r="G151" s="439">
        <f t="shared" si="109"/>
        <v>0</v>
      </c>
      <c r="H151" s="439">
        <f t="shared" si="109"/>
        <v>0</v>
      </c>
      <c r="I151" s="439">
        <f t="shared" si="109"/>
        <v>0</v>
      </c>
      <c r="J151" s="439">
        <f t="shared" si="109"/>
        <v>0</v>
      </c>
      <c r="K151" s="439">
        <f t="shared" si="109"/>
        <v>0</v>
      </c>
      <c r="L151" s="439">
        <f t="shared" si="109"/>
        <v>0</v>
      </c>
      <c r="M151" s="439">
        <f t="shared" si="109"/>
        <v>0</v>
      </c>
      <c r="N151" s="439">
        <f t="shared" ref="N151:T151" si="110">SUM(N147:N150)</f>
        <v>0</v>
      </c>
      <c r="O151" s="439">
        <f t="shared" si="110"/>
        <v>0</v>
      </c>
      <c r="P151" s="439">
        <f t="shared" si="110"/>
        <v>0</v>
      </c>
      <c r="Q151" s="439">
        <f t="shared" si="110"/>
        <v>0</v>
      </c>
      <c r="R151" s="439">
        <f t="shared" si="110"/>
        <v>0</v>
      </c>
      <c r="S151" s="439">
        <f t="shared" si="110"/>
        <v>0</v>
      </c>
      <c r="T151" s="439">
        <f t="shared" si="110"/>
        <v>0</v>
      </c>
      <c r="U151" s="482"/>
      <c r="V151" s="439">
        <f>SUM(V147:V150)</f>
        <v>0</v>
      </c>
      <c r="W151" s="439">
        <f t="shared" ref="W151:AC151" si="111">SUM(W147:W150)</f>
        <v>0</v>
      </c>
      <c r="X151" s="439">
        <f t="shared" si="111"/>
        <v>0</v>
      </c>
      <c r="Y151" s="439">
        <f t="shared" si="111"/>
        <v>0</v>
      </c>
      <c r="Z151" s="439">
        <f t="shared" si="111"/>
        <v>0</v>
      </c>
      <c r="AA151" s="439">
        <f t="shared" si="111"/>
        <v>0</v>
      </c>
      <c r="AB151" s="439">
        <f t="shared" si="111"/>
        <v>0</v>
      </c>
      <c r="AC151" s="439">
        <f t="shared" si="111"/>
        <v>0</v>
      </c>
      <c r="AD151" s="482"/>
      <c r="AE151" s="494">
        <f>SUM(AE147:AE150)</f>
        <v>0</v>
      </c>
      <c r="AF151" s="494">
        <f>SUM(AF147:AF150)</f>
        <v>0</v>
      </c>
      <c r="AG151" s="509"/>
      <c r="AH151" s="514">
        <f>SUM(AH147:AH150)</f>
        <v>0</v>
      </c>
      <c r="AI151" s="494">
        <f>SUM(AI147:AI150)</f>
        <v>0</v>
      </c>
      <c r="AJ151" s="515">
        <f>SUM(AJ147:AJ150)</f>
        <v>0</v>
      </c>
    </row>
    <row r="152" spans="1:39" s="284" customFormat="1" ht="8.25" customHeight="1" thickBot="1">
      <c r="A152" s="425"/>
      <c r="B152" s="426"/>
      <c r="C152" s="426"/>
      <c r="D152" s="427"/>
      <c r="E152" s="428"/>
      <c r="F152" s="428"/>
      <c r="G152" s="428"/>
      <c r="H152" s="428"/>
      <c r="I152" s="428"/>
      <c r="J152" s="428"/>
      <c r="K152" s="428"/>
      <c r="L152" s="478"/>
      <c r="M152" s="479"/>
      <c r="N152" s="479"/>
      <c r="O152" s="479"/>
      <c r="P152" s="479"/>
      <c r="Q152" s="479"/>
      <c r="R152" s="479"/>
      <c r="S152" s="479"/>
      <c r="T152" s="479"/>
      <c r="U152" s="478"/>
      <c r="V152" s="479"/>
      <c r="W152" s="479"/>
      <c r="X152" s="479"/>
      <c r="Y152" s="479"/>
      <c r="Z152" s="479"/>
      <c r="AA152" s="479"/>
      <c r="AB152" s="479"/>
      <c r="AC152" s="479"/>
      <c r="AD152" s="478"/>
      <c r="AE152" s="479"/>
      <c r="AF152" s="479"/>
      <c r="AG152" s="479"/>
      <c r="AH152" s="479"/>
      <c r="AI152" s="479"/>
      <c r="AJ152" s="506"/>
      <c r="AK152" s="403"/>
      <c r="AL152" s="403"/>
      <c r="AM152" s="403"/>
    </row>
    <row r="153" spans="1:39" s="282" customFormat="1" ht="16.5" thickBot="1">
      <c r="A153" s="446" t="s">
        <v>140</v>
      </c>
      <c r="B153" s="287" t="s">
        <v>68</v>
      </c>
      <c r="C153" s="447" t="s">
        <v>69</v>
      </c>
      <c r="D153" s="448" t="s">
        <v>70</v>
      </c>
      <c r="E153" s="80" t="s">
        <v>86</v>
      </c>
      <c r="F153" s="49"/>
      <c r="G153" s="49"/>
      <c r="H153" s="49"/>
      <c r="I153" s="49"/>
      <c r="J153" s="49"/>
      <c r="K153" s="49"/>
      <c r="L153" s="79"/>
      <c r="M153" s="80" t="s">
        <v>71</v>
      </c>
      <c r="N153" s="49" t="s">
        <v>72</v>
      </c>
      <c r="O153" s="49" t="s">
        <v>100</v>
      </c>
      <c r="P153" s="49" t="s">
        <v>95</v>
      </c>
      <c r="Q153" s="49" t="s">
        <v>75</v>
      </c>
      <c r="R153" s="49" t="s">
        <v>223</v>
      </c>
      <c r="S153" s="126" t="s">
        <v>77</v>
      </c>
      <c r="T153" s="2639" t="s">
        <v>101</v>
      </c>
      <c r="U153" s="79"/>
      <c r="V153" s="745" t="str">
        <f t="shared" ref="V153:AC153" si="112">V146</f>
        <v>S-W</v>
      </c>
      <c r="W153" s="746" t="str">
        <f t="shared" si="112"/>
        <v>Karara</v>
      </c>
      <c r="X153" s="102" t="str">
        <f t="shared" si="112"/>
        <v>S-Black</v>
      </c>
      <c r="Y153" s="747" t="str">
        <f t="shared" si="112"/>
        <v>C.W</v>
      </c>
      <c r="Z153" s="744" t="str">
        <f t="shared" si="112"/>
        <v>M.Bz</v>
      </c>
      <c r="AA153" s="101" t="str">
        <f t="shared" si="112"/>
        <v>Brown</v>
      </c>
      <c r="AB153" s="748" t="str">
        <f t="shared" si="112"/>
        <v>R-W</v>
      </c>
      <c r="AC153" s="717" t="str">
        <f t="shared" si="112"/>
        <v>P-Silver</v>
      </c>
      <c r="AD153" s="79"/>
      <c r="AE153" s="371" t="s">
        <v>172</v>
      </c>
      <c r="AF153" s="498" t="s">
        <v>80</v>
      </c>
      <c r="AG153" s="385"/>
      <c r="AH153" s="386" t="s">
        <v>106</v>
      </c>
      <c r="AI153" s="385" t="s">
        <v>173</v>
      </c>
      <c r="AJ153" s="371" t="s">
        <v>108</v>
      </c>
    </row>
    <row r="154" spans="1:39" s="283" customFormat="1" ht="20.25">
      <c r="A154" s="449" t="s">
        <v>180</v>
      </c>
      <c r="B154" s="450"/>
      <c r="C154" s="450"/>
      <c r="D154" s="451"/>
      <c r="E154" s="452"/>
      <c r="F154" s="453"/>
      <c r="G154" s="453"/>
      <c r="H154" s="453"/>
      <c r="I154" s="454"/>
      <c r="J154" s="454"/>
      <c r="K154" s="453"/>
      <c r="L154" s="355"/>
      <c r="M154" s="3311"/>
      <c r="N154" s="3312"/>
      <c r="O154" s="3312"/>
      <c r="P154" s="3312"/>
      <c r="Q154" s="3312"/>
      <c r="R154" s="3312"/>
      <c r="S154" s="3312"/>
      <c r="T154" s="3313"/>
      <c r="U154" s="355"/>
      <c r="V154" s="3317"/>
      <c r="W154" s="3318"/>
      <c r="X154" s="3318"/>
      <c r="Y154" s="3312"/>
      <c r="Z154" s="3312"/>
      <c r="AA154" s="3312"/>
      <c r="AB154" s="3318"/>
      <c r="AC154" s="3319"/>
      <c r="AD154" s="355"/>
      <c r="AE154" s="376">
        <f t="shared" ref="AE154:AE159" si="113">SUM(E154:AC154)</f>
        <v>0</v>
      </c>
      <c r="AF154" s="499"/>
      <c r="AG154" s="516"/>
      <c r="AH154" s="391">
        <f t="shared" ref="AH154:AH159" si="114">AE154+AF154</f>
        <v>0</v>
      </c>
      <c r="AI154" s="412"/>
      <c r="AJ154" s="413">
        <f>AH154+AI154</f>
        <v>0</v>
      </c>
    </row>
    <row r="155" spans="1:39" s="283" customFormat="1" ht="20.25">
      <c r="A155" s="445"/>
      <c r="B155" s="455"/>
      <c r="C155" s="455"/>
      <c r="D155" s="456"/>
      <c r="E155" s="457"/>
      <c r="F155" s="458"/>
      <c r="G155" s="458"/>
      <c r="H155" s="458"/>
      <c r="I155" s="459"/>
      <c r="J155" s="459"/>
      <c r="K155" s="458"/>
      <c r="L155" s="355"/>
      <c r="M155" s="756"/>
      <c r="N155" s="459"/>
      <c r="O155" s="459"/>
      <c r="P155" s="459"/>
      <c r="Q155" s="459"/>
      <c r="R155" s="459"/>
      <c r="S155" s="459"/>
      <c r="T155" s="761"/>
      <c r="U155" s="3316"/>
      <c r="V155" s="457"/>
      <c r="W155" s="458"/>
      <c r="X155" s="458"/>
      <c r="Y155" s="459"/>
      <c r="Z155" s="459"/>
      <c r="AA155" s="459"/>
      <c r="AB155" s="458"/>
      <c r="AC155" s="3320"/>
      <c r="AD155" s="355"/>
      <c r="AE155" s="376">
        <f t="shared" si="113"/>
        <v>0</v>
      </c>
      <c r="AF155" s="500"/>
      <c r="AG155" s="500"/>
      <c r="AH155" s="391">
        <f t="shared" si="114"/>
        <v>0</v>
      </c>
      <c r="AI155" s="776"/>
      <c r="AJ155" s="413">
        <f t="shared" ref="AJ155:AJ156" si="115">AH155+AI155</f>
        <v>0</v>
      </c>
    </row>
    <row r="156" spans="1:39" s="283" customFormat="1" ht="20.25">
      <c r="A156" s="442"/>
      <c r="B156" s="455"/>
      <c r="C156" s="455"/>
      <c r="D156" s="456"/>
      <c r="E156" s="457"/>
      <c r="F156" s="458"/>
      <c r="G156" s="458"/>
      <c r="H156" s="458"/>
      <c r="I156" s="459"/>
      <c r="J156" s="459"/>
      <c r="K156" s="458"/>
      <c r="L156" s="483"/>
      <c r="M156" s="484"/>
      <c r="N156" s="435"/>
      <c r="O156" s="435"/>
      <c r="P156" s="435"/>
      <c r="Q156" s="435"/>
      <c r="R156" s="435"/>
      <c r="S156" s="435"/>
      <c r="T156" s="492"/>
      <c r="U156" s="483"/>
      <c r="V156" s="433"/>
      <c r="W156" s="434"/>
      <c r="X156" s="434"/>
      <c r="Y156" s="435"/>
      <c r="Z156" s="435"/>
      <c r="AA156" s="435"/>
      <c r="AB156" s="434"/>
      <c r="AC156" s="495"/>
      <c r="AD156" s="483"/>
      <c r="AE156" s="496">
        <f t="shared" si="113"/>
        <v>0</v>
      </c>
      <c r="AF156" s="500"/>
      <c r="AG156" s="517"/>
      <c r="AH156" s="511">
        <f t="shared" si="114"/>
        <v>0</v>
      </c>
      <c r="AI156" s="512"/>
      <c r="AJ156" s="513">
        <f t="shared" si="115"/>
        <v>0</v>
      </c>
    </row>
    <row r="157" spans="1:39" s="283" customFormat="1" ht="20.25">
      <c r="A157" s="445"/>
      <c r="B157" s="455"/>
      <c r="C157" s="455"/>
      <c r="D157" s="456"/>
      <c r="E157" s="457"/>
      <c r="F157" s="458"/>
      <c r="G157" s="458"/>
      <c r="H157" s="458"/>
      <c r="I157" s="459"/>
      <c r="J157" s="459"/>
      <c r="K157" s="458"/>
      <c r="L157" s="355"/>
      <c r="M157" s="343"/>
      <c r="N157" s="298"/>
      <c r="O157" s="298"/>
      <c r="P157" s="298"/>
      <c r="Q157" s="298"/>
      <c r="R157" s="298"/>
      <c r="S157" s="298"/>
      <c r="T157" s="367"/>
      <c r="U157" s="355"/>
      <c r="V157" s="325"/>
      <c r="W157" s="297"/>
      <c r="X157" s="297"/>
      <c r="Y157" s="298"/>
      <c r="Z157" s="298"/>
      <c r="AA157" s="298"/>
      <c r="AB157" s="297"/>
      <c r="AC157" s="375"/>
      <c r="AD157" s="355"/>
      <c r="AE157" s="376">
        <f t="shared" si="113"/>
        <v>0</v>
      </c>
      <c r="AF157" s="500"/>
      <c r="AG157" s="516"/>
      <c r="AH157" s="391">
        <f t="shared" si="114"/>
        <v>0</v>
      </c>
      <c r="AI157" s="412"/>
      <c r="AJ157" s="413">
        <f t="shared" ref="AJ157:AJ159" si="116">AH157+AI157</f>
        <v>0</v>
      </c>
    </row>
    <row r="158" spans="1:39" s="283" customFormat="1" ht="20.25">
      <c r="A158" s="445"/>
      <c r="B158" s="455"/>
      <c r="C158" s="455"/>
      <c r="D158" s="456"/>
      <c r="E158" s="457"/>
      <c r="F158" s="458"/>
      <c r="G158" s="458"/>
      <c r="H158" s="458"/>
      <c r="I158" s="459"/>
      <c r="J158" s="459"/>
      <c r="K158" s="458"/>
      <c r="L158" s="355"/>
      <c r="M158" s="343"/>
      <c r="N158" s="298"/>
      <c r="O158" s="298"/>
      <c r="P158" s="298"/>
      <c r="Q158" s="298"/>
      <c r="R158" s="298"/>
      <c r="S158" s="298"/>
      <c r="T158" s="367"/>
      <c r="U158" s="355"/>
      <c r="V158" s="325"/>
      <c r="W158" s="297"/>
      <c r="X158" s="297"/>
      <c r="Y158" s="298"/>
      <c r="Z158" s="298"/>
      <c r="AA158" s="298"/>
      <c r="AB158" s="297"/>
      <c r="AC158" s="375"/>
      <c r="AD158" s="355"/>
      <c r="AE158" s="376">
        <f t="shared" si="113"/>
        <v>0</v>
      </c>
      <c r="AF158" s="500"/>
      <c r="AG158" s="516"/>
      <c r="AH158" s="391">
        <f t="shared" si="114"/>
        <v>0</v>
      </c>
      <c r="AI158" s="412"/>
      <c r="AJ158" s="413">
        <f t="shared" si="116"/>
        <v>0</v>
      </c>
    </row>
    <row r="159" spans="1:39" s="283" customFormat="1" ht="21" thickBot="1">
      <c r="A159" s="460"/>
      <c r="B159" s="461"/>
      <c r="C159" s="461"/>
      <c r="D159" s="462"/>
      <c r="E159" s="463"/>
      <c r="F159" s="464"/>
      <c r="G159" s="464"/>
      <c r="H159" s="464"/>
      <c r="I159" s="465"/>
      <c r="J159" s="465"/>
      <c r="K159" s="464"/>
      <c r="L159" s="355"/>
      <c r="M159" s="3314"/>
      <c r="N159" s="465"/>
      <c r="O159" s="465"/>
      <c r="P159" s="465"/>
      <c r="Q159" s="465"/>
      <c r="R159" s="465"/>
      <c r="S159" s="465"/>
      <c r="T159" s="3315"/>
      <c r="U159" s="355"/>
      <c r="V159" s="463"/>
      <c r="W159" s="464"/>
      <c r="X159" s="464"/>
      <c r="Y159" s="465"/>
      <c r="Z159" s="465"/>
      <c r="AA159" s="465"/>
      <c r="AB159" s="464"/>
      <c r="AC159" s="3321"/>
      <c r="AD159" s="355"/>
      <c r="AE159" s="377">
        <f t="shared" si="113"/>
        <v>0</v>
      </c>
      <c r="AF159" s="501"/>
      <c r="AG159" s="516"/>
      <c r="AH159" s="507">
        <f t="shared" si="114"/>
        <v>0</v>
      </c>
      <c r="AI159" s="412"/>
      <c r="AJ159" s="508">
        <f t="shared" si="116"/>
        <v>0</v>
      </c>
    </row>
    <row r="160" spans="1:39" s="283" customFormat="1" ht="21" thickBot="1">
      <c r="A160" s="466"/>
      <c r="B160" s="467"/>
      <c r="C160" s="467"/>
      <c r="D160" s="468"/>
      <c r="E160" s="469">
        <f>SUM(E154:E159)</f>
        <v>0</v>
      </c>
      <c r="F160" s="469">
        <f t="shared" ref="F160:K160" si="117">SUM(F154:F159)</f>
        <v>0</v>
      </c>
      <c r="G160" s="469">
        <f t="shared" si="117"/>
        <v>0</v>
      </c>
      <c r="H160" s="469">
        <f t="shared" si="117"/>
        <v>0</v>
      </c>
      <c r="I160" s="469">
        <f t="shared" si="117"/>
        <v>0</v>
      </c>
      <c r="J160" s="469">
        <f t="shared" si="117"/>
        <v>0</v>
      </c>
      <c r="K160" s="469">
        <f t="shared" si="117"/>
        <v>0</v>
      </c>
      <c r="L160" s="482"/>
      <c r="M160" s="439">
        <f>SUM(M154:M159)</f>
        <v>0</v>
      </c>
      <c r="N160" s="439">
        <f t="shared" ref="N160:T160" si="118">SUM(N154:N159)</f>
        <v>0</v>
      </c>
      <c r="O160" s="439">
        <f t="shared" si="118"/>
        <v>0</v>
      </c>
      <c r="P160" s="439">
        <f t="shared" si="118"/>
        <v>0</v>
      </c>
      <c r="Q160" s="439">
        <f t="shared" si="118"/>
        <v>0</v>
      </c>
      <c r="R160" s="439">
        <f t="shared" si="118"/>
        <v>0</v>
      </c>
      <c r="S160" s="439">
        <f t="shared" si="118"/>
        <v>0</v>
      </c>
      <c r="T160" s="439">
        <f t="shared" si="118"/>
        <v>0</v>
      </c>
      <c r="U160" s="482"/>
      <c r="V160" s="439">
        <f>SUM(V154:V159)</f>
        <v>0</v>
      </c>
      <c r="W160" s="439">
        <f t="shared" ref="W160:AC160" si="119">SUM(W154:W159)</f>
        <v>0</v>
      </c>
      <c r="X160" s="439">
        <f t="shared" si="119"/>
        <v>0</v>
      </c>
      <c r="Y160" s="439">
        <f t="shared" si="119"/>
        <v>0</v>
      </c>
      <c r="Z160" s="439">
        <f t="shared" si="119"/>
        <v>0</v>
      </c>
      <c r="AA160" s="439">
        <f t="shared" si="119"/>
        <v>0</v>
      </c>
      <c r="AB160" s="439">
        <f t="shared" si="119"/>
        <v>0</v>
      </c>
      <c r="AC160" s="439">
        <f t="shared" si="119"/>
        <v>0</v>
      </c>
      <c r="AD160" s="482"/>
      <c r="AE160" s="494">
        <f>SUM(AE154:AE159)</f>
        <v>0</v>
      </c>
      <c r="AF160" s="502">
        <f>SUM(AF154:AF159)</f>
        <v>0</v>
      </c>
      <c r="AG160" s="509"/>
      <c r="AH160" s="514">
        <f>SUM(AH154:AH159)</f>
        <v>0</v>
      </c>
      <c r="AI160" s="494">
        <f>SUM(AI154:AI159)</f>
        <v>0</v>
      </c>
      <c r="AJ160" s="515">
        <f>SUM(AJ154:AJ159)</f>
        <v>0</v>
      </c>
    </row>
    <row r="161" spans="1:39" s="284" customFormat="1" ht="8.25" customHeight="1" thickBot="1">
      <c r="A161" s="425"/>
      <c r="B161" s="426"/>
      <c r="C161" s="426"/>
      <c r="D161" s="427"/>
      <c r="E161" s="428"/>
      <c r="F161" s="428"/>
      <c r="G161" s="428"/>
      <c r="H161" s="428"/>
      <c r="I161" s="428"/>
      <c r="J161" s="428"/>
      <c r="K161" s="428"/>
      <c r="L161" s="478"/>
      <c r="M161" s="479"/>
      <c r="N161" s="479"/>
      <c r="O161" s="479"/>
      <c r="P161" s="479"/>
      <c r="Q161" s="479"/>
      <c r="R161" s="479"/>
      <c r="S161" s="479"/>
      <c r="T161" s="479"/>
      <c r="U161" s="478"/>
      <c r="V161" s="479"/>
      <c r="W161" s="479"/>
      <c r="X161" s="479"/>
      <c r="Y161" s="479"/>
      <c r="Z161" s="479"/>
      <c r="AA161" s="479"/>
      <c r="AB161" s="479"/>
      <c r="AC161" s="479"/>
      <c r="AD161" s="478"/>
      <c r="AE161" s="479"/>
      <c r="AF161" s="479"/>
      <c r="AG161" s="479"/>
      <c r="AH161" s="479"/>
      <c r="AI161" s="479"/>
      <c r="AJ161" s="506"/>
      <c r="AK161" s="403"/>
      <c r="AL161" s="403"/>
      <c r="AM161" s="403"/>
    </row>
    <row r="162" spans="1:39" s="282" customFormat="1" ht="18.75" thickBot="1">
      <c r="A162" s="441" t="s">
        <v>143</v>
      </c>
      <c r="B162" s="287" t="s">
        <v>68</v>
      </c>
      <c r="C162" s="287" t="s">
        <v>69</v>
      </c>
      <c r="D162" s="288" t="s">
        <v>70</v>
      </c>
      <c r="E162" s="80" t="s">
        <v>86</v>
      </c>
      <c r="F162" s="744"/>
      <c r="G162" s="744"/>
      <c r="H162" s="49"/>
      <c r="I162" s="49"/>
      <c r="J162" s="49"/>
      <c r="K162" s="49"/>
      <c r="L162" s="79"/>
      <c r="M162" s="743" t="s">
        <v>71</v>
      </c>
      <c r="N162" s="744" t="s">
        <v>72</v>
      </c>
      <c r="O162" s="49" t="s">
        <v>100</v>
      </c>
      <c r="P162" s="744" t="s">
        <v>95</v>
      </c>
      <c r="Q162" s="744" t="s">
        <v>75</v>
      </c>
      <c r="R162" s="744" t="s">
        <v>223</v>
      </c>
      <c r="S162" s="50" t="s">
        <v>77</v>
      </c>
      <c r="T162" s="171" t="s">
        <v>101</v>
      </c>
      <c r="U162" s="79"/>
      <c r="V162" s="745" t="str">
        <f t="shared" ref="V162:AC162" si="120">V153</f>
        <v>S-W</v>
      </c>
      <c r="W162" s="716" t="s">
        <v>482</v>
      </c>
      <c r="X162" s="102" t="str">
        <f t="shared" si="120"/>
        <v>S-Black</v>
      </c>
      <c r="Y162" s="747" t="str">
        <f t="shared" si="120"/>
        <v>C.W</v>
      </c>
      <c r="Z162" s="744" t="str">
        <f t="shared" si="120"/>
        <v>M.Bz</v>
      </c>
      <c r="AA162" s="101" t="str">
        <f t="shared" si="120"/>
        <v>Brown</v>
      </c>
      <c r="AB162" s="748" t="str">
        <f t="shared" si="120"/>
        <v>R-W</v>
      </c>
      <c r="AC162" s="717" t="str">
        <f t="shared" si="120"/>
        <v>P-Silver</v>
      </c>
      <c r="AD162" s="79"/>
      <c r="AE162" s="371" t="s">
        <v>172</v>
      </c>
      <c r="AF162" s="372" t="s">
        <v>80</v>
      </c>
      <c r="AG162" s="385"/>
      <c r="AH162" s="386" t="s">
        <v>106</v>
      </c>
      <c r="AI162" s="385" t="s">
        <v>173</v>
      </c>
      <c r="AJ162" s="371" t="s">
        <v>108</v>
      </c>
    </row>
    <row r="163" spans="1:39" s="283" customFormat="1" ht="20.25">
      <c r="A163" s="471" t="s">
        <v>181</v>
      </c>
      <c r="B163" s="472"/>
      <c r="C163" s="472"/>
      <c r="D163" s="473"/>
      <c r="E163" s="474"/>
      <c r="F163" s="475"/>
      <c r="G163" s="475"/>
      <c r="H163" s="475"/>
      <c r="I163" s="476"/>
      <c r="J163" s="476"/>
      <c r="K163" s="475"/>
      <c r="L163" s="490"/>
      <c r="M163" s="491"/>
      <c r="N163" s="476"/>
      <c r="O163" s="476"/>
      <c r="P163" s="476"/>
      <c r="Q163" s="476"/>
      <c r="R163" s="476"/>
      <c r="S163" s="476"/>
      <c r="T163" s="493"/>
      <c r="U163" s="490"/>
      <c r="V163" s="474"/>
      <c r="W163" s="475"/>
      <c r="X163" s="475"/>
      <c r="Y163" s="476"/>
      <c r="Z163" s="476"/>
      <c r="AA163" s="476"/>
      <c r="AB163" s="475"/>
      <c r="AC163" s="503"/>
      <c r="AD163" s="490"/>
      <c r="AE163" s="504">
        <f>SUM(E163:AC163)</f>
        <v>0</v>
      </c>
      <c r="AF163" s="505"/>
      <c r="AG163" s="518"/>
      <c r="AH163" s="519">
        <f t="shared" ref="AH163:AH167" si="121">AE163+AF163</f>
        <v>0</v>
      </c>
      <c r="AI163" s="520"/>
      <c r="AJ163" s="521">
        <f>AH163+AI163</f>
        <v>0</v>
      </c>
    </row>
    <row r="164" spans="1:39" s="283" customFormat="1" ht="20.25">
      <c r="A164" s="445" t="s">
        <v>182</v>
      </c>
      <c r="B164" s="323"/>
      <c r="C164" s="323"/>
      <c r="D164" s="324"/>
      <c r="E164" s="325"/>
      <c r="F164" s="297"/>
      <c r="G164" s="297"/>
      <c r="H164" s="297"/>
      <c r="I164" s="298"/>
      <c r="J164" s="298"/>
      <c r="K164" s="297"/>
      <c r="L164" s="355"/>
      <c r="M164" s="343"/>
      <c r="N164" s="298"/>
      <c r="O164" s="298"/>
      <c r="P164" s="298"/>
      <c r="Q164" s="298"/>
      <c r="R164" s="298"/>
      <c r="S164" s="298"/>
      <c r="T164" s="367"/>
      <c r="U164" s="355"/>
      <c r="V164" s="325"/>
      <c r="W164" s="297"/>
      <c r="X164" s="297"/>
      <c r="Y164" s="298"/>
      <c r="Z164" s="298"/>
      <c r="AA164" s="298"/>
      <c r="AB164" s="297"/>
      <c r="AC164" s="375"/>
      <c r="AD164" s="355"/>
      <c r="AE164" s="376">
        <f>SUM(E164:AC164)</f>
        <v>0</v>
      </c>
      <c r="AF164" s="377"/>
      <c r="AG164" s="390"/>
      <c r="AH164" s="391">
        <f t="shared" si="121"/>
        <v>0</v>
      </c>
      <c r="AI164" s="412"/>
      <c r="AJ164" s="413">
        <f t="shared" ref="AJ164:AJ167" si="122">AH164+AI164</f>
        <v>0</v>
      </c>
    </row>
    <row r="165" spans="1:39" s="283" customFormat="1" ht="20.25">
      <c r="A165" s="445"/>
      <c r="B165" s="323"/>
      <c r="C165" s="323"/>
      <c r="D165" s="324"/>
      <c r="E165" s="325"/>
      <c r="F165" s="297"/>
      <c r="G165" s="297"/>
      <c r="H165" s="297"/>
      <c r="I165" s="298"/>
      <c r="J165" s="298"/>
      <c r="K165" s="297"/>
      <c r="L165" s="355"/>
      <c r="M165" s="343"/>
      <c r="N165" s="298"/>
      <c r="O165" s="298"/>
      <c r="P165" s="298"/>
      <c r="Q165" s="298"/>
      <c r="R165" s="298"/>
      <c r="S165" s="298"/>
      <c r="T165" s="367"/>
      <c r="U165" s="355"/>
      <c r="V165" s="325"/>
      <c r="W165" s="297"/>
      <c r="X165" s="297"/>
      <c r="Y165" s="298"/>
      <c r="Z165" s="298"/>
      <c r="AA165" s="298"/>
      <c r="AB165" s="297"/>
      <c r="AC165" s="375"/>
      <c r="AD165" s="355"/>
      <c r="AE165" s="376">
        <f>SUM(E165:AC165)</f>
        <v>0</v>
      </c>
      <c r="AF165" s="377"/>
      <c r="AG165" s="390"/>
      <c r="AH165" s="391">
        <f t="shared" si="121"/>
        <v>0</v>
      </c>
      <c r="AI165" s="412"/>
      <c r="AJ165" s="413">
        <f t="shared" si="122"/>
        <v>0</v>
      </c>
    </row>
    <row r="166" spans="1:39" s="283" customFormat="1" ht="20.25">
      <c r="A166" s="445"/>
      <c r="B166" s="323"/>
      <c r="C166" s="323"/>
      <c r="D166" s="324"/>
      <c r="E166" s="325"/>
      <c r="F166" s="297"/>
      <c r="G166" s="297"/>
      <c r="H166" s="297"/>
      <c r="I166" s="298"/>
      <c r="J166" s="298"/>
      <c r="K166" s="297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6">
        <f>SUM(E166:AC166)</f>
        <v>0</v>
      </c>
      <c r="AF166" s="377"/>
      <c r="AG166" s="390"/>
      <c r="AH166" s="391">
        <f t="shared" si="121"/>
        <v>0</v>
      </c>
      <c r="AI166" s="412"/>
      <c r="AJ166" s="413">
        <f t="shared" si="122"/>
        <v>0</v>
      </c>
    </row>
    <row r="167" spans="1:39" s="283" customFormat="1" ht="20.25">
      <c r="A167" s="322"/>
      <c r="B167" s="323"/>
      <c r="C167" s="323"/>
      <c r="D167" s="324"/>
      <c r="E167" s="325"/>
      <c r="F167" s="297"/>
      <c r="G167" s="297"/>
      <c r="H167" s="297"/>
      <c r="I167" s="298"/>
      <c r="J167" s="298"/>
      <c r="K167" s="297"/>
      <c r="L167" s="355"/>
      <c r="M167" s="343"/>
      <c r="N167" s="298"/>
      <c r="O167" s="298"/>
      <c r="P167" s="298"/>
      <c r="Q167" s="298"/>
      <c r="R167" s="298"/>
      <c r="S167" s="298"/>
      <c r="T167" s="367"/>
      <c r="U167" s="355"/>
      <c r="V167" s="325"/>
      <c r="W167" s="297"/>
      <c r="X167" s="297"/>
      <c r="Y167" s="298"/>
      <c r="Z167" s="298"/>
      <c r="AA167" s="298"/>
      <c r="AB167" s="297"/>
      <c r="AC167" s="375"/>
      <c r="AD167" s="355"/>
      <c r="AE167" s="377">
        <f>SUM(E167:AC167)</f>
        <v>0</v>
      </c>
      <c r="AF167" s="377"/>
      <c r="AG167" s="390"/>
      <c r="AH167" s="507">
        <f t="shared" si="121"/>
        <v>0</v>
      </c>
      <c r="AI167" s="412"/>
      <c r="AJ167" s="508">
        <f t="shared" si="122"/>
        <v>0</v>
      </c>
    </row>
    <row r="168" spans="1:39" s="283" customFormat="1" ht="20.25">
      <c r="A168" s="436"/>
      <c r="B168" s="437"/>
      <c r="C168" s="437"/>
      <c r="D168" s="438"/>
      <c r="E168" s="439">
        <f>SUM(E163:E167)</f>
        <v>0</v>
      </c>
      <c r="F168" s="440">
        <f t="shared" ref="F168:K168" si="123">SUM(F163:F167)</f>
        <v>0</v>
      </c>
      <c r="G168" s="440">
        <f t="shared" ref="G168" si="124">SUM(G163:G167)</f>
        <v>0</v>
      </c>
      <c r="H168" s="440">
        <f t="shared" si="123"/>
        <v>0</v>
      </c>
      <c r="I168" s="440">
        <f t="shared" si="123"/>
        <v>0</v>
      </c>
      <c r="J168" s="440">
        <f t="shared" si="123"/>
        <v>0</v>
      </c>
      <c r="K168" s="440">
        <f t="shared" si="123"/>
        <v>0</v>
      </c>
      <c r="L168" s="482"/>
      <c r="M168" s="439">
        <f t="shared" ref="M168:T168" si="125">SUM(M163:M167)</f>
        <v>0</v>
      </c>
      <c r="N168" s="440">
        <f t="shared" si="125"/>
        <v>0</v>
      </c>
      <c r="O168" s="440">
        <f t="shared" si="125"/>
        <v>0</v>
      </c>
      <c r="P168" s="440">
        <f t="shared" si="125"/>
        <v>0</v>
      </c>
      <c r="Q168" s="440">
        <f t="shared" si="125"/>
        <v>0</v>
      </c>
      <c r="R168" s="440">
        <f t="shared" si="125"/>
        <v>0</v>
      </c>
      <c r="S168" s="440">
        <f t="shared" si="125"/>
        <v>0</v>
      </c>
      <c r="T168" s="481">
        <f t="shared" si="125"/>
        <v>0</v>
      </c>
      <c r="U168" s="482"/>
      <c r="V168" s="439">
        <f t="shared" ref="V168:AC168" si="126">SUM(V163:V167)</f>
        <v>0</v>
      </c>
      <c r="W168" s="440">
        <f t="shared" si="126"/>
        <v>0</v>
      </c>
      <c r="X168" s="440">
        <f t="shared" si="126"/>
        <v>0</v>
      </c>
      <c r="Y168" s="440">
        <f t="shared" si="126"/>
        <v>0</v>
      </c>
      <c r="Z168" s="440">
        <f t="shared" si="126"/>
        <v>0</v>
      </c>
      <c r="AA168" s="440">
        <f t="shared" si="126"/>
        <v>0</v>
      </c>
      <c r="AB168" s="440">
        <f t="shared" si="126"/>
        <v>0</v>
      </c>
      <c r="AC168" s="481">
        <f t="shared" si="126"/>
        <v>0</v>
      </c>
      <c r="AD168" s="482"/>
      <c r="AE168" s="494">
        <f>SUM(AE163:AE167)</f>
        <v>0</v>
      </c>
      <c r="AF168" s="494">
        <f>SUM(AF163:AF167)</f>
        <v>0</v>
      </c>
      <c r="AG168" s="509"/>
      <c r="AH168" s="514">
        <f>SUM(AH163:AH167)</f>
        <v>0</v>
      </c>
      <c r="AI168" s="494">
        <f>SUM(AI163:AI167)</f>
        <v>0</v>
      </c>
      <c r="AJ168" s="515">
        <f>SUM(AJ163:AJ167)</f>
        <v>0</v>
      </c>
    </row>
    <row r="169" spans="1:39" s="284" customFormat="1" ht="8.25" customHeight="1">
      <c r="A169" s="522"/>
      <c r="B169" s="523"/>
      <c r="C169" s="523"/>
      <c r="D169" s="524"/>
      <c r="E169" s="525"/>
      <c r="F169" s="525"/>
      <c r="G169" s="525"/>
      <c r="H169" s="525"/>
      <c r="I169" s="525"/>
      <c r="J169" s="525"/>
      <c r="K169" s="525"/>
      <c r="L169" s="572"/>
      <c r="M169" s="573"/>
      <c r="N169" s="573"/>
      <c r="O169" s="573"/>
      <c r="P169" s="573"/>
      <c r="Q169" s="573"/>
      <c r="R169" s="573"/>
      <c r="S169" s="573"/>
      <c r="T169" s="573"/>
      <c r="U169" s="572"/>
      <c r="V169" s="573"/>
      <c r="W169" s="573"/>
      <c r="X169" s="573"/>
      <c r="Y169" s="573"/>
      <c r="Z169" s="573"/>
      <c r="AA169" s="573"/>
      <c r="AB169" s="573"/>
      <c r="AC169" s="573"/>
      <c r="AD169" s="572"/>
      <c r="AE169" s="573"/>
      <c r="AF169" s="573"/>
      <c r="AG169" s="599"/>
      <c r="AH169" s="573"/>
      <c r="AI169" s="573"/>
      <c r="AJ169" s="600"/>
      <c r="AK169" s="403"/>
      <c r="AL169" s="403"/>
      <c r="AM169" s="403"/>
    </row>
    <row r="170" spans="1:39" ht="20.25">
      <c r="A170" s="526" t="s">
        <v>145</v>
      </c>
      <c r="B170" s="527"/>
      <c r="C170" s="527"/>
      <c r="D170" s="528"/>
      <c r="E170" s="529">
        <f>E4+E39+E76+E94+E108+E136+E144+E151+E160+E168+E122</f>
        <v>0</v>
      </c>
      <c r="F170" s="529">
        <f t="shared" ref="F170:K170" si="127">F4+F39+F76+F94+F108+F136+F144+F151+F160+F168+F122</f>
        <v>0</v>
      </c>
      <c r="G170" s="529">
        <f t="shared" si="127"/>
        <v>0</v>
      </c>
      <c r="H170" s="529">
        <f t="shared" si="127"/>
        <v>0</v>
      </c>
      <c r="I170" s="529">
        <f t="shared" si="127"/>
        <v>0</v>
      </c>
      <c r="J170" s="529">
        <f t="shared" si="127"/>
        <v>0</v>
      </c>
      <c r="K170" s="529">
        <f t="shared" si="127"/>
        <v>0</v>
      </c>
      <c r="L170" s="529"/>
      <c r="M170" s="529">
        <f>M4+M39+M76+M94+M108+M144+M136+M151+M160+M168+M122</f>
        <v>0</v>
      </c>
      <c r="N170" s="529">
        <f t="shared" ref="N170:T170" si="128">N4+N39+N76+N94+N108+N144+N136+N151+N160+N168+N122</f>
        <v>0</v>
      </c>
      <c r="O170" s="529">
        <f t="shared" si="128"/>
        <v>0</v>
      </c>
      <c r="P170" s="529">
        <f t="shared" si="128"/>
        <v>0</v>
      </c>
      <c r="Q170" s="529">
        <f t="shared" si="128"/>
        <v>0</v>
      </c>
      <c r="R170" s="529">
        <f t="shared" si="128"/>
        <v>0</v>
      </c>
      <c r="S170" s="529">
        <f t="shared" si="128"/>
        <v>0</v>
      </c>
      <c r="T170" s="529">
        <f t="shared" si="128"/>
        <v>0</v>
      </c>
      <c r="U170" s="529"/>
      <c r="V170" s="529">
        <f>V4+V39+V76+V94+V108+V144+V136+V151+V160+V168+V122</f>
        <v>1056</v>
      </c>
      <c r="W170" s="529">
        <f t="shared" ref="W170:AC170" si="129">W4+W39+W76+W94+W108+W144+W136+W151+W160+W168+W122</f>
        <v>0</v>
      </c>
      <c r="X170" s="529">
        <f t="shared" si="129"/>
        <v>624</v>
      </c>
      <c r="Y170" s="529">
        <f t="shared" si="129"/>
        <v>0</v>
      </c>
      <c r="Z170" s="529">
        <f t="shared" si="129"/>
        <v>0</v>
      </c>
      <c r="AA170" s="529">
        <f t="shared" si="129"/>
        <v>0</v>
      </c>
      <c r="AB170" s="529">
        <f t="shared" si="129"/>
        <v>1424</v>
      </c>
      <c r="AC170" s="529">
        <f t="shared" si="129"/>
        <v>0</v>
      </c>
      <c r="AD170" s="529"/>
      <c r="AE170" s="529">
        <f>AE4+AE39+AE76+AE94+AE108+AE144+AE136+AE151+AE160+AE168+AE122</f>
        <v>3104</v>
      </c>
      <c r="AF170" s="529">
        <f>AF4+AF39+AF76+AF94+AF108+AF144+AF136+AF151+AF160+AF168+AF122</f>
        <v>34</v>
      </c>
      <c r="AG170" s="529">
        <f t="shared" ref="AG170" si="130">AG4+AG39+AG76+AG94+AG108+AG144+AG136+AG151+AG160+AG168</f>
        <v>0</v>
      </c>
      <c r="AH170" s="529">
        <f>AH4+AH39+AH76+AH94+AH108+AH144+AH136+AH151+AH160+AH168+AH122</f>
        <v>3138</v>
      </c>
      <c r="AI170" s="529">
        <f t="shared" ref="AI170:AJ170" si="131">AI4+AI39+AI76+AI94+AI108+AI144+AI136+AI151+AI160+AI168+AI122</f>
        <v>36</v>
      </c>
      <c r="AJ170" s="529">
        <f t="shared" si="131"/>
        <v>3174</v>
      </c>
    </row>
    <row r="171" spans="1:39" ht="20.25">
      <c r="A171" s="530" t="s">
        <v>152</v>
      </c>
      <c r="B171" s="531"/>
      <c r="C171" s="531"/>
      <c r="D171" s="532"/>
      <c r="E171" s="533">
        <f>E170/16</f>
        <v>0</v>
      </c>
      <c r="F171" s="533">
        <f t="shared" ref="F171:K171" si="132">F170/16</f>
        <v>0</v>
      </c>
      <c r="G171" s="533">
        <f t="shared" si="132"/>
        <v>0</v>
      </c>
      <c r="H171" s="533">
        <f t="shared" si="132"/>
        <v>0</v>
      </c>
      <c r="I171" s="533">
        <f t="shared" si="132"/>
        <v>0</v>
      </c>
      <c r="J171" s="533">
        <f t="shared" si="132"/>
        <v>0</v>
      </c>
      <c r="K171" s="533">
        <f t="shared" si="132"/>
        <v>0</v>
      </c>
      <c r="L171" s="533"/>
      <c r="M171" s="533">
        <f t="shared" ref="M171" si="133">M170/16</f>
        <v>0</v>
      </c>
      <c r="N171" s="533">
        <f t="shared" ref="N171" si="134">N170/16</f>
        <v>0</v>
      </c>
      <c r="O171" s="533">
        <f t="shared" ref="O171" si="135">O170/16</f>
        <v>0</v>
      </c>
      <c r="P171" s="533">
        <f t="shared" ref="P171" si="136">P170/16</f>
        <v>0</v>
      </c>
      <c r="Q171" s="533">
        <f t="shared" ref="Q171" si="137">Q170/16</f>
        <v>0</v>
      </c>
      <c r="R171" s="533">
        <f t="shared" ref="R171" si="138">R170/16</f>
        <v>0</v>
      </c>
      <c r="S171" s="533">
        <f t="shared" ref="S171" si="139">S170/16</f>
        <v>0</v>
      </c>
      <c r="T171" s="533">
        <f t="shared" ref="T171" si="140">T170/16</f>
        <v>0</v>
      </c>
      <c r="U171" s="533"/>
      <c r="V171" s="533">
        <f t="shared" ref="V171" si="141">V170/16</f>
        <v>66</v>
      </c>
      <c r="W171" s="533">
        <f t="shared" ref="W171" si="142">W170/16</f>
        <v>0</v>
      </c>
      <c r="X171" s="533">
        <f t="shared" ref="X171" si="143">X170/16</f>
        <v>39</v>
      </c>
      <c r="Y171" s="533">
        <f t="shared" ref="Y171" si="144">Y170/16</f>
        <v>0</v>
      </c>
      <c r="Z171" s="533">
        <f t="shared" ref="Z171" si="145">Z170/16</f>
        <v>0</v>
      </c>
      <c r="AA171" s="533">
        <f t="shared" ref="AA171:AB171" si="146">AA170/16</f>
        <v>0</v>
      </c>
      <c r="AB171" s="533">
        <f t="shared" si="146"/>
        <v>89</v>
      </c>
      <c r="AC171" s="533">
        <f t="shared" ref="AC171" si="147">AC170/16</f>
        <v>0</v>
      </c>
      <c r="AD171" s="533"/>
      <c r="AE171" s="533">
        <f t="shared" ref="AE171" si="148">AE170/16</f>
        <v>194</v>
      </c>
      <c r="AF171" s="533">
        <f t="shared" ref="AF171" si="149">AF170/16</f>
        <v>2.125</v>
      </c>
      <c r="AG171" s="533">
        <f t="shared" ref="AG171" si="150">AG170/16</f>
        <v>0</v>
      </c>
      <c r="AH171" s="533">
        <f t="shared" ref="AH171" si="151">AH170/16</f>
        <v>196.125</v>
      </c>
      <c r="AI171" s="533">
        <f t="shared" ref="AI171" si="152">AI170/16</f>
        <v>2.25</v>
      </c>
      <c r="AJ171" s="533">
        <f t="shared" ref="AJ171" si="153">AJ170/16</f>
        <v>198.375</v>
      </c>
    </row>
    <row r="172" spans="1:39" s="1" customFormat="1" ht="21" customHeight="1">
      <c r="A172" s="3755" t="s">
        <v>147</v>
      </c>
      <c r="B172" s="3755"/>
      <c r="C172" s="3755"/>
      <c r="D172" s="3755"/>
      <c r="E172" s="3756"/>
      <c r="F172" s="3756"/>
      <c r="G172" s="3756"/>
      <c r="H172" s="3756"/>
      <c r="I172" s="3756"/>
      <c r="J172" s="3756"/>
      <c r="K172" s="3756"/>
      <c r="L172" s="3755"/>
      <c r="M172" s="3755"/>
      <c r="N172" s="3755"/>
      <c r="O172" s="3755"/>
      <c r="P172" s="3755"/>
      <c r="Q172" s="3755"/>
      <c r="R172" s="3755"/>
      <c r="S172" s="3755"/>
      <c r="T172" s="3755"/>
      <c r="U172" s="3755"/>
      <c r="V172" s="3755"/>
      <c r="W172" s="3755"/>
      <c r="X172" s="3755"/>
      <c r="Y172" s="3755"/>
      <c r="Z172" s="3755"/>
      <c r="AA172" s="3755"/>
      <c r="AB172" s="3755"/>
      <c r="AC172" s="3755"/>
      <c r="AD172" s="3755"/>
      <c r="AE172" s="3755"/>
      <c r="AF172" s="3755"/>
      <c r="AG172" s="3755"/>
      <c r="AH172" s="3755"/>
      <c r="AI172" s="3755"/>
      <c r="AJ172" s="3755"/>
    </row>
    <row r="173" spans="1:39" ht="24" thickBot="1">
      <c r="A173" s="3888" t="s">
        <v>4</v>
      </c>
      <c r="B173" s="3889"/>
      <c r="C173" s="3889"/>
      <c r="D173" s="3890"/>
      <c r="E173" s="3891" t="s">
        <v>217</v>
      </c>
      <c r="F173" s="3892"/>
      <c r="G173" s="3892"/>
      <c r="H173" s="3892"/>
      <c r="I173" s="3892"/>
      <c r="J173" s="3892"/>
      <c r="K173" s="3892"/>
      <c r="L173" s="336"/>
      <c r="M173" s="3893" t="s">
        <v>218</v>
      </c>
      <c r="N173" s="3894"/>
      <c r="O173" s="3892"/>
      <c r="P173" s="3894"/>
      <c r="Q173" s="3894"/>
      <c r="R173" s="3894"/>
      <c r="S173" s="3894"/>
      <c r="T173" s="3895"/>
      <c r="U173" s="364"/>
      <c r="V173" s="3893" t="str">
        <f>V2</f>
        <v>7003 (Goli)</v>
      </c>
      <c r="W173" s="3894"/>
      <c r="X173" s="3894"/>
      <c r="Y173" s="3894"/>
      <c r="Z173" s="3894"/>
      <c r="AA173" s="3894"/>
      <c r="AB173" s="3894"/>
      <c r="AC173" s="3895"/>
      <c r="AD173" s="364"/>
      <c r="AE173" s="3893"/>
      <c r="AF173" s="3894"/>
      <c r="AG173" s="3894"/>
      <c r="AH173" s="3894"/>
      <c r="AI173" s="3894"/>
      <c r="AJ173" s="3895"/>
    </row>
    <row r="174" spans="1:39" s="276" customFormat="1" ht="30.75" thickBot="1">
      <c r="A174" s="535" t="s">
        <v>148</v>
      </c>
      <c r="B174" s="287" t="s">
        <v>68</v>
      </c>
      <c r="C174" s="536" t="s">
        <v>69</v>
      </c>
      <c r="D174" s="536" t="s">
        <v>70</v>
      </c>
      <c r="E174" s="80" t="s">
        <v>86</v>
      </c>
      <c r="F174" s="751"/>
      <c r="G174" s="751"/>
      <c r="H174" s="751"/>
      <c r="I174" s="751" t="s">
        <v>523</v>
      </c>
      <c r="J174" s="751"/>
      <c r="K174" s="751"/>
      <c r="L174" s="578"/>
      <c r="M174" s="750" t="s">
        <v>71</v>
      </c>
      <c r="N174" s="752" t="s">
        <v>72</v>
      </c>
      <c r="O174" s="48" t="s">
        <v>100</v>
      </c>
      <c r="P174" s="759" t="s">
        <v>95</v>
      </c>
      <c r="Q174" s="751" t="s">
        <v>75</v>
      </c>
      <c r="R174" s="744" t="s">
        <v>223</v>
      </c>
      <c r="S174" s="126" t="s">
        <v>466</v>
      </c>
      <c r="T174" s="171" t="s">
        <v>476</v>
      </c>
      <c r="U174" s="578"/>
      <c r="V174" s="764" t="str">
        <f>V3</f>
        <v>S-W</v>
      </c>
      <c r="W174" s="716" t="s">
        <v>482</v>
      </c>
      <c r="X174" s="766" t="str">
        <f>X138</f>
        <v>S-Black</v>
      </c>
      <c r="Y174" s="770" t="str">
        <f>Y138</f>
        <v>C.W</v>
      </c>
      <c r="Z174" s="770" t="str">
        <f>Z138</f>
        <v>M.Bz</v>
      </c>
      <c r="AA174" s="765" t="str">
        <f>AA138</f>
        <v>Brown</v>
      </c>
      <c r="AB174" s="771" t="str">
        <f>AB3</f>
        <v>R-W</v>
      </c>
      <c r="AC174" s="772" t="s">
        <v>82</v>
      </c>
      <c r="AD174" s="589"/>
      <c r="AE174" s="590" t="s">
        <v>172</v>
      </c>
      <c r="AF174" s="591" t="s">
        <v>80</v>
      </c>
      <c r="AG174" s="602" t="s">
        <v>150</v>
      </c>
      <c r="AH174" s="603" t="s">
        <v>106</v>
      </c>
      <c r="AI174" s="602" t="s">
        <v>173</v>
      </c>
      <c r="AJ174" s="604" t="s">
        <v>108</v>
      </c>
    </row>
    <row r="175" spans="1:39" s="234" customFormat="1" ht="20.25">
      <c r="A175" s="537"/>
      <c r="B175" s="539"/>
      <c r="C175" s="539"/>
      <c r="D175" s="544"/>
      <c r="E175" s="1174"/>
      <c r="F175" s="333"/>
      <c r="G175" s="333"/>
      <c r="H175" s="333"/>
      <c r="I175" s="334"/>
      <c r="J175" s="334"/>
      <c r="K175" s="333"/>
      <c r="L175" s="361"/>
      <c r="M175" s="362"/>
      <c r="N175" s="334"/>
      <c r="O175" s="334"/>
      <c r="P175" s="334"/>
      <c r="Q175" s="334"/>
      <c r="R175" s="334"/>
      <c r="S175" s="334"/>
      <c r="T175" s="360"/>
      <c r="U175" s="361"/>
      <c r="V175" s="362"/>
      <c r="W175" s="334"/>
      <c r="X175" s="334"/>
      <c r="Y175" s="334"/>
      <c r="Z175" s="334"/>
      <c r="AA175" s="334"/>
      <c r="AB175" s="334"/>
      <c r="AC175" s="383"/>
      <c r="AD175" s="361"/>
      <c r="AE175" s="419">
        <f>SUM(E175:AC175)</f>
        <v>0</v>
      </c>
      <c r="AF175" s="420"/>
      <c r="AG175" s="419"/>
      <c r="AH175" s="420">
        <f>AE175+AF175+AG175</f>
        <v>0</v>
      </c>
      <c r="AI175" s="421"/>
      <c r="AJ175" s="422">
        <f>AH175+AI175</f>
        <v>0</v>
      </c>
    </row>
    <row r="176" spans="1:39" s="276" customFormat="1" ht="20.25">
      <c r="A176" s="547" t="s">
        <v>618</v>
      </c>
      <c r="B176" s="545"/>
      <c r="C176" s="539"/>
      <c r="D176" s="544">
        <v>46116</v>
      </c>
      <c r="E176" s="1175"/>
      <c r="F176" s="542"/>
      <c r="G176" s="542"/>
      <c r="H176" s="542"/>
      <c r="I176" s="543"/>
      <c r="J176" s="543"/>
      <c r="K176" s="542"/>
      <c r="L176" s="580"/>
      <c r="M176" s="581"/>
      <c r="N176" s="543"/>
      <c r="O176" s="543"/>
      <c r="P176" s="543"/>
      <c r="Q176" s="543"/>
      <c r="R176" s="543"/>
      <c r="S176" s="543"/>
      <c r="T176" s="587"/>
      <c r="U176" s="580"/>
      <c r="V176" s="581"/>
      <c r="W176" s="543"/>
      <c r="X176" s="543"/>
      <c r="Y176" s="543"/>
      <c r="Z176" s="543"/>
      <c r="AA176" s="543"/>
      <c r="AB176" s="543">
        <f>2*16</f>
        <v>32</v>
      </c>
      <c r="AC176" s="592"/>
      <c r="AD176" s="580"/>
      <c r="AE176" s="593">
        <f t="shared" ref="AE176" si="154">SUM(E176:AC176)</f>
        <v>32</v>
      </c>
      <c r="AF176" s="594"/>
      <c r="AG176" s="593"/>
      <c r="AH176" s="594">
        <f t="shared" ref="AH176:AH177" si="155">AE176+AF176+AG176</f>
        <v>32</v>
      </c>
      <c r="AI176" s="605"/>
      <c r="AJ176" s="606">
        <f t="shared" ref="AJ176:AJ177" si="156">AH176+AI176</f>
        <v>32</v>
      </c>
    </row>
    <row r="177" spans="1:36" s="234" customFormat="1" ht="20.25">
      <c r="A177" s="537" t="s">
        <v>619</v>
      </c>
      <c r="B177" s="1112"/>
      <c r="C177" s="1113"/>
      <c r="D177" s="1114">
        <v>46116</v>
      </c>
      <c r="E177" s="794"/>
      <c r="F177" s="320"/>
      <c r="G177" s="320"/>
      <c r="H177" s="320"/>
      <c r="I177" s="321"/>
      <c r="J177" s="321"/>
      <c r="K177" s="320"/>
      <c r="L177" s="352"/>
      <c r="M177" s="353"/>
      <c r="N177" s="321"/>
      <c r="O177" s="321"/>
      <c r="P177" s="582"/>
      <c r="Q177" s="321"/>
      <c r="R177" s="321"/>
      <c r="S177" s="321"/>
      <c r="T177" s="354"/>
      <c r="U177" s="352"/>
      <c r="V177" s="353"/>
      <c r="W177" s="321"/>
      <c r="X177" s="321"/>
      <c r="Y177" s="321"/>
      <c r="Z177" s="321"/>
      <c r="AA177" s="321"/>
      <c r="AB177" s="321">
        <f>5*16</f>
        <v>80</v>
      </c>
      <c r="AC177" s="380"/>
      <c r="AD177" s="352"/>
      <c r="AE177" s="408">
        <f t="shared" ref="AE177" si="157">SUM(E177:AC177)</f>
        <v>80</v>
      </c>
      <c r="AF177" s="409"/>
      <c r="AG177" s="408"/>
      <c r="AH177" s="409">
        <f t="shared" si="155"/>
        <v>80</v>
      </c>
      <c r="AI177" s="410"/>
      <c r="AJ177" s="411">
        <f t="shared" si="156"/>
        <v>80</v>
      </c>
    </row>
    <row r="178" spans="1:36" s="276" customFormat="1" ht="18.75" customHeight="1">
      <c r="A178" s="537" t="s">
        <v>621</v>
      </c>
      <c r="B178" s="552"/>
      <c r="C178" s="553"/>
      <c r="D178" s="555">
        <v>46119</v>
      </c>
      <c r="E178" s="794"/>
      <c r="F178" s="320"/>
      <c r="G178" s="320"/>
      <c r="H178" s="320"/>
      <c r="I178" s="321"/>
      <c r="J178" s="321"/>
      <c r="K178" s="320"/>
      <c r="L178" s="352"/>
      <c r="M178" s="353"/>
      <c r="N178" s="321"/>
      <c r="O178" s="321"/>
      <c r="P178" s="321"/>
      <c r="Q178" s="321"/>
      <c r="R178" s="321"/>
      <c r="S178" s="321"/>
      <c r="T178" s="354"/>
      <c r="U178" s="352"/>
      <c r="V178" s="353">
        <f>1*16</f>
        <v>16</v>
      </c>
      <c r="W178" s="321"/>
      <c r="X178" s="582">
        <f>1*16</f>
        <v>16</v>
      </c>
      <c r="Y178" s="321"/>
      <c r="Z178" s="321"/>
      <c r="AA178" s="321"/>
      <c r="AB178" s="321">
        <f>1*16</f>
        <v>16</v>
      </c>
      <c r="AC178" s="380"/>
      <c r="AD178" s="352"/>
      <c r="AE178" s="408">
        <f t="shared" ref="AE178:AE207" si="158">SUM(E178:AC178)</f>
        <v>48</v>
      </c>
      <c r="AF178" s="409"/>
      <c r="AG178" s="408"/>
      <c r="AH178" s="409">
        <f t="shared" ref="AH178:AH234" si="159">AE178+AF178+AG178</f>
        <v>48</v>
      </c>
      <c r="AI178" s="410"/>
      <c r="AJ178" s="411">
        <f t="shared" ref="AJ178:AJ243" si="160">AH178+AI178</f>
        <v>48</v>
      </c>
    </row>
    <row r="179" spans="1:36" s="276" customFormat="1" ht="20.25">
      <c r="A179" s="537" t="s">
        <v>623</v>
      </c>
      <c r="B179" s="545"/>
      <c r="C179" s="539"/>
      <c r="D179" s="544">
        <v>46119</v>
      </c>
      <c r="E179" s="1175"/>
      <c r="F179" s="542"/>
      <c r="G179" s="542"/>
      <c r="H179" s="542"/>
      <c r="I179" s="543"/>
      <c r="J179" s="543"/>
      <c r="K179" s="542"/>
      <c r="L179" s="580"/>
      <c r="M179" s="581"/>
      <c r="N179" s="543"/>
      <c r="O179" s="543"/>
      <c r="P179" s="543"/>
      <c r="Q179" s="543"/>
      <c r="R179" s="543"/>
      <c r="S179" s="543"/>
      <c r="T179" s="587"/>
      <c r="U179" s="580"/>
      <c r="V179" s="581"/>
      <c r="W179" s="543"/>
      <c r="X179" s="543">
        <f>2*16</f>
        <v>32</v>
      </c>
      <c r="Y179" s="543"/>
      <c r="Z179" s="543"/>
      <c r="AA179" s="543"/>
      <c r="AB179" s="543">
        <f>2*16</f>
        <v>32</v>
      </c>
      <c r="AC179" s="592"/>
      <c r="AD179" s="580"/>
      <c r="AE179" s="593">
        <f t="shared" si="158"/>
        <v>64</v>
      </c>
      <c r="AF179" s="594"/>
      <c r="AG179" s="593"/>
      <c r="AH179" s="594">
        <f t="shared" si="159"/>
        <v>64</v>
      </c>
      <c r="AI179" s="605"/>
      <c r="AJ179" s="606">
        <f t="shared" si="160"/>
        <v>64</v>
      </c>
    </row>
    <row r="180" spans="1:36" s="234" customFormat="1" ht="20.25">
      <c r="A180" s="537" t="s">
        <v>628</v>
      </c>
      <c r="B180" s="1112"/>
      <c r="C180" s="1113"/>
      <c r="D180" s="1114">
        <v>46122</v>
      </c>
      <c r="E180" s="794"/>
      <c r="F180" s="320"/>
      <c r="G180" s="320"/>
      <c r="H180" s="320"/>
      <c r="I180" s="321"/>
      <c r="J180" s="321"/>
      <c r="K180" s="320"/>
      <c r="L180" s="352"/>
      <c r="M180" s="353"/>
      <c r="N180" s="321"/>
      <c r="O180" s="321"/>
      <c r="P180" s="582"/>
      <c r="Q180" s="321"/>
      <c r="R180" s="321"/>
      <c r="S180" s="321"/>
      <c r="T180" s="354"/>
      <c r="U180" s="352"/>
      <c r="V180" s="353"/>
      <c r="W180" s="321"/>
      <c r="X180" s="321"/>
      <c r="Y180" s="321"/>
      <c r="Z180" s="321"/>
      <c r="AA180" s="321"/>
      <c r="AB180" s="321">
        <f>1*16</f>
        <v>16</v>
      </c>
      <c r="AC180" s="380"/>
      <c r="AD180" s="352"/>
      <c r="AE180" s="408">
        <f t="shared" ref="AE180" si="161">SUM(E180:AC180)</f>
        <v>16</v>
      </c>
      <c r="AF180" s="409"/>
      <c r="AG180" s="408"/>
      <c r="AH180" s="409">
        <f t="shared" ref="AH180" si="162">AE180+AF180+AG180</f>
        <v>16</v>
      </c>
      <c r="AI180" s="410"/>
      <c r="AJ180" s="411">
        <f t="shared" ref="AJ180" si="163">AH180+AI180</f>
        <v>16</v>
      </c>
    </row>
    <row r="181" spans="1:36" s="276" customFormat="1" ht="20.25">
      <c r="A181" s="561" t="s">
        <v>619</v>
      </c>
      <c r="B181" s="550"/>
      <c r="C181" s="539"/>
      <c r="D181" s="544">
        <v>46130</v>
      </c>
      <c r="E181" s="1175"/>
      <c r="F181" s="542"/>
      <c r="G181" s="542"/>
      <c r="H181" s="542"/>
      <c r="I181" s="543"/>
      <c r="J181" s="543"/>
      <c r="K181" s="542"/>
      <c r="L181" s="580"/>
      <c r="M181" s="581"/>
      <c r="N181" s="543"/>
      <c r="O181" s="543"/>
      <c r="P181" s="543"/>
      <c r="Q181" s="543"/>
      <c r="R181" s="543"/>
      <c r="S181" s="543"/>
      <c r="T181" s="587"/>
      <c r="U181" s="580"/>
      <c r="V181" s="581"/>
      <c r="W181" s="543"/>
      <c r="X181" s="543"/>
      <c r="Y181" s="543"/>
      <c r="Z181" s="543"/>
      <c r="AA181" s="543"/>
      <c r="AB181" s="543">
        <f>5*16</f>
        <v>80</v>
      </c>
      <c r="AC181" s="592"/>
      <c r="AD181" s="580"/>
      <c r="AE181" s="593">
        <f t="shared" si="158"/>
        <v>80</v>
      </c>
      <c r="AF181" s="594"/>
      <c r="AG181" s="593"/>
      <c r="AH181" s="594">
        <f t="shared" si="159"/>
        <v>80</v>
      </c>
      <c r="AI181" s="605"/>
      <c r="AJ181" s="606">
        <f t="shared" si="160"/>
        <v>80</v>
      </c>
    </row>
    <row r="182" spans="1:36" s="276" customFormat="1" ht="20.25">
      <c r="A182" s="547" t="s">
        <v>647</v>
      </c>
      <c r="B182" s="548"/>
      <c r="C182" s="549"/>
      <c r="D182" s="544">
        <v>46130</v>
      </c>
      <c r="E182" s="794"/>
      <c r="F182" s="320"/>
      <c r="G182" s="320"/>
      <c r="H182" s="320"/>
      <c r="I182" s="321"/>
      <c r="J182" s="321"/>
      <c r="K182" s="320"/>
      <c r="L182" s="352"/>
      <c r="M182" s="353"/>
      <c r="N182" s="321"/>
      <c r="O182" s="321"/>
      <c r="P182" s="582"/>
      <c r="Q182" s="321"/>
      <c r="R182" s="321"/>
      <c r="S182" s="321"/>
      <c r="T182" s="354"/>
      <c r="U182" s="352"/>
      <c r="V182" s="353"/>
      <c r="W182" s="321"/>
      <c r="X182" s="321">
        <f>2*16</f>
        <v>32</v>
      </c>
      <c r="Y182" s="321"/>
      <c r="Z182" s="321"/>
      <c r="AA182" s="321"/>
      <c r="AB182" s="321"/>
      <c r="AC182" s="380"/>
      <c r="AD182" s="352"/>
      <c r="AE182" s="408">
        <f t="shared" si="158"/>
        <v>32</v>
      </c>
      <c r="AF182" s="409"/>
      <c r="AG182" s="408"/>
      <c r="AH182" s="409">
        <f t="shared" si="159"/>
        <v>32</v>
      </c>
      <c r="AI182" s="410"/>
      <c r="AJ182" s="411">
        <f t="shared" si="160"/>
        <v>32</v>
      </c>
    </row>
    <row r="183" spans="1:36" s="234" customFormat="1" ht="20.25">
      <c r="A183" s="547" t="s">
        <v>619</v>
      </c>
      <c r="B183" s="552"/>
      <c r="C183" s="553"/>
      <c r="D183" s="544">
        <v>46135</v>
      </c>
      <c r="E183" s="1175"/>
      <c r="F183" s="542"/>
      <c r="G183" s="542"/>
      <c r="H183" s="542"/>
      <c r="I183" s="543"/>
      <c r="J183" s="543"/>
      <c r="K183" s="542"/>
      <c r="L183" s="580"/>
      <c r="M183" s="581"/>
      <c r="N183" s="543"/>
      <c r="O183" s="543"/>
      <c r="P183" s="558"/>
      <c r="Q183" s="543"/>
      <c r="R183" s="543"/>
      <c r="S183" s="543"/>
      <c r="T183" s="587"/>
      <c r="U183" s="580"/>
      <c r="V183" s="581">
        <f>3*16</f>
        <v>48</v>
      </c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158"/>
        <v>48</v>
      </c>
      <c r="AF183" s="594"/>
      <c r="AG183" s="593"/>
      <c r="AH183" s="594">
        <f t="shared" si="159"/>
        <v>48</v>
      </c>
      <c r="AI183" s="605"/>
      <c r="AJ183" s="606">
        <f t="shared" si="160"/>
        <v>48</v>
      </c>
    </row>
    <row r="184" spans="1:36" s="234" customFormat="1" ht="20.25">
      <c r="A184" s="537" t="s">
        <v>680</v>
      </c>
      <c r="B184" s="552"/>
      <c r="C184" s="553"/>
      <c r="D184" s="544">
        <v>46139</v>
      </c>
      <c r="E184" s="1175"/>
      <c r="F184" s="542"/>
      <c r="G184" s="542"/>
      <c r="H184" s="542"/>
      <c r="I184" s="543"/>
      <c r="J184" s="543"/>
      <c r="K184" s="542"/>
      <c r="L184" s="580"/>
      <c r="M184" s="581"/>
      <c r="N184" s="543"/>
      <c r="O184" s="543"/>
      <c r="P184" s="558"/>
      <c r="Q184" s="543"/>
      <c r="R184" s="543"/>
      <c r="S184" s="543"/>
      <c r="T184" s="587"/>
      <c r="U184" s="580"/>
      <c r="V184" s="581">
        <f>4*16</f>
        <v>64</v>
      </c>
      <c r="W184" s="543"/>
      <c r="X184" s="543"/>
      <c r="Y184" s="543"/>
      <c r="Z184" s="543"/>
      <c r="AA184" s="543"/>
      <c r="AB184" s="543">
        <f>1*16</f>
        <v>16</v>
      </c>
      <c r="AC184" s="592"/>
      <c r="AD184" s="580"/>
      <c r="AE184" s="593">
        <f t="shared" si="158"/>
        <v>80</v>
      </c>
      <c r="AF184" s="594"/>
      <c r="AG184" s="593"/>
      <c r="AH184" s="594">
        <f t="shared" ref="AH184:AH185" si="164">AE184+AF184+AG184</f>
        <v>80</v>
      </c>
      <c r="AI184" s="605"/>
      <c r="AJ184" s="606">
        <f t="shared" ref="AJ184:AJ185" si="165">AH184+AI184</f>
        <v>80</v>
      </c>
    </row>
    <row r="185" spans="1:36" s="276" customFormat="1" ht="20.25">
      <c r="A185" s="547" t="s">
        <v>685</v>
      </c>
      <c r="B185" s="552"/>
      <c r="C185" s="553"/>
      <c r="D185" s="544">
        <v>46141</v>
      </c>
      <c r="E185" s="794"/>
      <c r="F185" s="320"/>
      <c r="G185" s="320"/>
      <c r="H185" s="320"/>
      <c r="I185" s="321"/>
      <c r="J185" s="321"/>
      <c r="K185" s="320"/>
      <c r="L185" s="352"/>
      <c r="M185" s="353"/>
      <c r="N185" s="321"/>
      <c r="O185" s="321"/>
      <c r="P185" s="582"/>
      <c r="Q185" s="321"/>
      <c r="R185" s="321"/>
      <c r="S185" s="321"/>
      <c r="T185" s="354"/>
      <c r="U185" s="352"/>
      <c r="V185" s="353">
        <f>5*16</f>
        <v>80</v>
      </c>
      <c r="W185" s="321"/>
      <c r="X185" s="321">
        <f>5*16</f>
        <v>80</v>
      </c>
      <c r="Y185" s="321"/>
      <c r="Z185" s="321"/>
      <c r="AA185" s="321"/>
      <c r="AB185" s="321"/>
      <c r="AC185" s="380"/>
      <c r="AD185" s="352"/>
      <c r="AE185" s="408">
        <f t="shared" ref="AE185" si="166">SUM(E185:AC185)</f>
        <v>160</v>
      </c>
      <c r="AF185" s="409"/>
      <c r="AG185" s="408"/>
      <c r="AH185" s="409">
        <f t="shared" si="164"/>
        <v>160</v>
      </c>
      <c r="AI185" s="410"/>
      <c r="AJ185" s="411">
        <f t="shared" si="165"/>
        <v>160</v>
      </c>
    </row>
    <row r="186" spans="1:36" s="234" customFormat="1" ht="20.25">
      <c r="A186" s="551" t="s">
        <v>619</v>
      </c>
      <c r="B186" s="1112"/>
      <c r="C186" s="1113"/>
      <c r="D186" s="1114">
        <v>46142</v>
      </c>
      <c r="E186" s="794"/>
      <c r="F186" s="320"/>
      <c r="G186" s="320"/>
      <c r="H186" s="320"/>
      <c r="I186" s="321"/>
      <c r="J186" s="321"/>
      <c r="K186" s="320"/>
      <c r="L186" s="352"/>
      <c r="M186" s="353"/>
      <c r="N186" s="321"/>
      <c r="O186" s="321"/>
      <c r="P186" s="582"/>
      <c r="Q186" s="321"/>
      <c r="R186" s="321"/>
      <c r="S186" s="321"/>
      <c r="T186" s="354"/>
      <c r="U186" s="352"/>
      <c r="V186" s="353">
        <f>5*16</f>
        <v>80</v>
      </c>
      <c r="W186" s="321"/>
      <c r="X186" s="321"/>
      <c r="Y186" s="321"/>
      <c r="Z186" s="321"/>
      <c r="AA186" s="321"/>
      <c r="AB186" s="321"/>
      <c r="AC186" s="380"/>
      <c r="AD186" s="352"/>
      <c r="AE186" s="408">
        <f t="shared" si="158"/>
        <v>80</v>
      </c>
      <c r="AF186" s="409"/>
      <c r="AG186" s="408"/>
      <c r="AH186" s="409">
        <f t="shared" si="159"/>
        <v>80</v>
      </c>
      <c r="AI186" s="410"/>
      <c r="AJ186" s="411">
        <f t="shared" si="160"/>
        <v>80</v>
      </c>
    </row>
    <row r="187" spans="1:36" s="276" customFormat="1" ht="20.25">
      <c r="A187" s="537"/>
      <c r="B187" s="552"/>
      <c r="C187" s="553"/>
      <c r="D187" s="544"/>
      <c r="E187" s="1175"/>
      <c r="F187" s="542"/>
      <c r="G187" s="542"/>
      <c r="H187" s="542"/>
      <c r="I187" s="543"/>
      <c r="J187" s="543"/>
      <c r="K187" s="542"/>
      <c r="L187" s="580"/>
      <c r="M187" s="581"/>
      <c r="N187" s="543"/>
      <c r="O187" s="543"/>
      <c r="P187" s="558"/>
      <c r="Q187" s="543"/>
      <c r="R187" s="543"/>
      <c r="S187" s="543"/>
      <c r="T187" s="587"/>
      <c r="U187" s="580"/>
      <c r="V187" s="581"/>
      <c r="W187" s="543"/>
      <c r="X187" s="543"/>
      <c r="Y187" s="543"/>
      <c r="Z187" s="543"/>
      <c r="AA187" s="543"/>
      <c r="AB187" s="543"/>
      <c r="AC187" s="592"/>
      <c r="AD187" s="580"/>
      <c r="AE187" s="593">
        <f t="shared" si="158"/>
        <v>0</v>
      </c>
      <c r="AF187" s="594"/>
      <c r="AG187" s="593"/>
      <c r="AH187" s="594">
        <f t="shared" si="159"/>
        <v>0</v>
      </c>
      <c r="AI187" s="605"/>
      <c r="AJ187" s="606">
        <f t="shared" si="160"/>
        <v>0</v>
      </c>
    </row>
    <row r="188" spans="1:36" s="234" customFormat="1" ht="20.25">
      <c r="A188" s="537"/>
      <c r="B188" s="550"/>
      <c r="C188" s="549"/>
      <c r="D188" s="544"/>
      <c r="E188" s="794"/>
      <c r="F188" s="320"/>
      <c r="G188" s="320"/>
      <c r="H188" s="320"/>
      <c r="I188" s="321"/>
      <c r="J188" s="321"/>
      <c r="K188" s="320"/>
      <c r="L188" s="352"/>
      <c r="M188" s="353"/>
      <c r="N188" s="321"/>
      <c r="O188" s="321"/>
      <c r="P188" s="582"/>
      <c r="Q188" s="321"/>
      <c r="R188" s="321"/>
      <c r="S188" s="321"/>
      <c r="T188" s="354"/>
      <c r="U188" s="352"/>
      <c r="V188" s="353"/>
      <c r="W188" s="321"/>
      <c r="X188" s="321"/>
      <c r="Y188" s="321"/>
      <c r="Z188" s="321"/>
      <c r="AA188" s="321"/>
      <c r="AB188" s="321"/>
      <c r="AC188" s="380"/>
      <c r="AD188" s="352"/>
      <c r="AE188" s="408">
        <f t="shared" si="158"/>
        <v>0</v>
      </c>
      <c r="AF188" s="409"/>
      <c r="AG188" s="408"/>
      <c r="AH188" s="409">
        <f t="shared" si="159"/>
        <v>0</v>
      </c>
      <c r="AI188" s="410"/>
      <c r="AJ188" s="411">
        <f t="shared" si="160"/>
        <v>0</v>
      </c>
    </row>
    <row r="189" spans="1:36" s="276" customFormat="1" ht="20.25">
      <c r="A189" s="537"/>
      <c r="B189" s="550"/>
      <c r="C189" s="549"/>
      <c r="D189" s="544"/>
      <c r="E189" s="1175"/>
      <c r="F189" s="542"/>
      <c r="G189" s="542"/>
      <c r="H189" s="542"/>
      <c r="I189" s="543"/>
      <c r="J189" s="543"/>
      <c r="K189" s="542"/>
      <c r="L189" s="580"/>
      <c r="M189" s="581"/>
      <c r="N189" s="543"/>
      <c r="O189" s="543"/>
      <c r="P189" s="558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158"/>
        <v>0</v>
      </c>
      <c r="AF189" s="594"/>
      <c r="AG189" s="593"/>
      <c r="AH189" s="594">
        <f t="shared" si="159"/>
        <v>0</v>
      </c>
      <c r="AI189" s="605"/>
      <c r="AJ189" s="606">
        <f t="shared" si="160"/>
        <v>0</v>
      </c>
    </row>
    <row r="190" spans="1:36" s="234" customFormat="1" ht="20.25">
      <c r="A190" s="1111"/>
      <c r="B190" s="550"/>
      <c r="C190" s="549"/>
      <c r="D190" s="544"/>
      <c r="E190" s="794"/>
      <c r="F190" s="320"/>
      <c r="G190" s="320"/>
      <c r="H190" s="320"/>
      <c r="I190" s="321"/>
      <c r="J190" s="321"/>
      <c r="K190" s="320"/>
      <c r="L190" s="352"/>
      <c r="M190" s="353"/>
      <c r="N190" s="321"/>
      <c r="O190" s="321"/>
      <c r="P190" s="582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408">
        <f t="shared" si="158"/>
        <v>0</v>
      </c>
      <c r="AF190" s="409"/>
      <c r="AG190" s="408"/>
      <c r="AH190" s="409">
        <f t="shared" si="159"/>
        <v>0</v>
      </c>
      <c r="AI190" s="410"/>
      <c r="AJ190" s="411">
        <f t="shared" si="160"/>
        <v>0</v>
      </c>
    </row>
    <row r="191" spans="1:36" s="276" customFormat="1" ht="20.25">
      <c r="A191" s="1111"/>
      <c r="B191" s="550"/>
      <c r="C191" s="549"/>
      <c r="D191" s="544"/>
      <c r="E191" s="1175"/>
      <c r="F191" s="542"/>
      <c r="G191" s="542"/>
      <c r="H191" s="542"/>
      <c r="I191" s="543"/>
      <c r="J191" s="543"/>
      <c r="K191" s="542"/>
      <c r="L191" s="580"/>
      <c r="M191" s="581"/>
      <c r="N191" s="543"/>
      <c r="O191" s="543"/>
      <c r="P191" s="558"/>
      <c r="Q191" s="543"/>
      <c r="R191" s="543"/>
      <c r="S191" s="543"/>
      <c r="T191" s="58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si="158"/>
        <v>0</v>
      </c>
      <c r="AF191" s="594"/>
      <c r="AG191" s="593"/>
      <c r="AH191" s="594">
        <f t="shared" si="159"/>
        <v>0</v>
      </c>
      <c r="AI191" s="605"/>
      <c r="AJ191" s="606">
        <f t="shared" si="160"/>
        <v>0</v>
      </c>
    </row>
    <row r="192" spans="1:36" s="234" customFormat="1" ht="20.25">
      <c r="A192" s="537"/>
      <c r="B192" s="550"/>
      <c r="C192" s="549"/>
      <c r="D192" s="544"/>
      <c r="E192" s="794"/>
      <c r="F192" s="320"/>
      <c r="G192" s="320"/>
      <c r="H192" s="320"/>
      <c r="I192" s="321"/>
      <c r="J192" s="321"/>
      <c r="K192" s="320"/>
      <c r="L192" s="352"/>
      <c r="M192" s="353"/>
      <c r="N192" s="321"/>
      <c r="O192" s="321"/>
      <c r="P192" s="321"/>
      <c r="Q192" s="321"/>
      <c r="R192" s="321"/>
      <c r="S192" s="321"/>
      <c r="T192" s="354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158"/>
        <v>0</v>
      </c>
      <c r="AF192" s="409"/>
      <c r="AG192" s="408"/>
      <c r="AH192" s="409">
        <f t="shared" si="159"/>
        <v>0</v>
      </c>
      <c r="AI192" s="410"/>
      <c r="AJ192" s="411">
        <f t="shared" si="160"/>
        <v>0</v>
      </c>
    </row>
    <row r="193" spans="1:36" s="276" customFormat="1" ht="20.25">
      <c r="A193" s="551"/>
      <c r="B193" s="552"/>
      <c r="C193" s="553"/>
      <c r="D193" s="544"/>
      <c r="E193" s="794"/>
      <c r="F193" s="320"/>
      <c r="G193" s="320"/>
      <c r="H193" s="320"/>
      <c r="I193" s="321"/>
      <c r="J193" s="321"/>
      <c r="K193" s="320"/>
      <c r="L193" s="352"/>
      <c r="M193" s="353"/>
      <c r="N193" s="321"/>
      <c r="O193" s="321"/>
      <c r="P193" s="321"/>
      <c r="Q193" s="321"/>
      <c r="R193" s="321"/>
      <c r="S193" s="321"/>
      <c r="T193" s="354"/>
      <c r="U193" s="580"/>
      <c r="V193" s="831"/>
      <c r="W193" s="321"/>
      <c r="X193" s="321"/>
      <c r="Y193" s="321"/>
      <c r="Z193" s="321"/>
      <c r="AA193" s="321"/>
      <c r="AB193" s="321"/>
      <c r="AC193" s="380"/>
      <c r="AD193" s="580"/>
      <c r="AE193" s="593">
        <f t="shared" si="158"/>
        <v>0</v>
      </c>
      <c r="AF193" s="594"/>
      <c r="AG193" s="593"/>
      <c r="AH193" s="594">
        <f t="shared" si="159"/>
        <v>0</v>
      </c>
      <c r="AI193" s="605"/>
      <c r="AJ193" s="606">
        <f t="shared" si="160"/>
        <v>0</v>
      </c>
    </row>
    <row r="194" spans="1:36" s="234" customFormat="1" ht="20.25">
      <c r="A194" s="537"/>
      <c r="B194" s="550"/>
      <c r="C194" s="549"/>
      <c r="D194" s="544"/>
      <c r="E194" s="794"/>
      <c r="F194" s="320"/>
      <c r="G194" s="320"/>
      <c r="H194" s="320"/>
      <c r="I194" s="321"/>
      <c r="J194" s="321"/>
      <c r="K194" s="320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582"/>
      <c r="Y194" s="321"/>
      <c r="Z194" s="321"/>
      <c r="AA194" s="321"/>
      <c r="AB194" s="321"/>
      <c r="AC194" s="380"/>
      <c r="AD194" s="352"/>
      <c r="AE194" s="408">
        <f t="shared" si="158"/>
        <v>0</v>
      </c>
      <c r="AF194" s="409"/>
      <c r="AG194" s="408"/>
      <c r="AH194" s="409">
        <f t="shared" si="159"/>
        <v>0</v>
      </c>
      <c r="AI194" s="410"/>
      <c r="AJ194" s="411">
        <f t="shared" si="160"/>
        <v>0</v>
      </c>
    </row>
    <row r="195" spans="1:36" s="276" customFormat="1" ht="20.25">
      <c r="A195" s="551"/>
      <c r="B195" s="552"/>
      <c r="C195" s="553"/>
      <c r="D195" s="544"/>
      <c r="E195" s="794"/>
      <c r="F195" s="320"/>
      <c r="G195" s="320"/>
      <c r="H195" s="320"/>
      <c r="I195" s="321"/>
      <c r="J195" s="321"/>
      <c r="K195" s="320"/>
      <c r="L195" s="352"/>
      <c r="M195" s="353"/>
      <c r="N195" s="321"/>
      <c r="O195" s="321"/>
      <c r="P195" s="321"/>
      <c r="Q195" s="321"/>
      <c r="R195" s="321"/>
      <c r="S195" s="321"/>
      <c r="T195" s="354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158"/>
        <v>0</v>
      </c>
      <c r="AF195" s="594"/>
      <c r="AG195" s="593"/>
      <c r="AH195" s="594">
        <f t="shared" si="159"/>
        <v>0</v>
      </c>
      <c r="AI195" s="605"/>
      <c r="AJ195" s="606">
        <f t="shared" si="160"/>
        <v>0</v>
      </c>
    </row>
    <row r="196" spans="1:36" s="234" customFormat="1" ht="20.25">
      <c r="A196" s="551"/>
      <c r="B196" s="552"/>
      <c r="C196" s="553"/>
      <c r="D196" s="544"/>
      <c r="E196" s="1175"/>
      <c r="F196" s="542"/>
      <c r="G196" s="542"/>
      <c r="H196" s="542"/>
      <c r="I196" s="543"/>
      <c r="J196" s="543"/>
      <c r="K196" s="542"/>
      <c r="L196" s="580"/>
      <c r="M196" s="581"/>
      <c r="N196" s="543"/>
      <c r="O196" s="543"/>
      <c r="P196" s="543"/>
      <c r="Q196" s="543"/>
      <c r="R196" s="543"/>
      <c r="S196" s="543"/>
      <c r="T196" s="587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158"/>
        <v>0</v>
      </c>
      <c r="AF196" s="409"/>
      <c r="AG196" s="408"/>
      <c r="AH196" s="409">
        <f t="shared" si="159"/>
        <v>0</v>
      </c>
      <c r="AI196" s="410"/>
      <c r="AJ196" s="411">
        <f t="shared" si="160"/>
        <v>0</v>
      </c>
    </row>
    <row r="197" spans="1:36" s="276" customFormat="1" ht="20.25">
      <c r="A197" s="1111"/>
      <c r="B197" s="1112"/>
      <c r="C197" s="1113"/>
      <c r="D197" s="1114"/>
      <c r="E197" s="794"/>
      <c r="F197" s="320"/>
      <c r="G197" s="320"/>
      <c r="H197" s="320"/>
      <c r="I197" s="321"/>
      <c r="J197" s="321"/>
      <c r="K197" s="320"/>
      <c r="L197" s="352"/>
      <c r="M197" s="353"/>
      <c r="N197" s="321"/>
      <c r="O197" s="321"/>
      <c r="P197" s="321"/>
      <c r="Q197" s="321"/>
      <c r="R197" s="321"/>
      <c r="S197" s="321"/>
      <c r="T197" s="354"/>
      <c r="U197" s="580"/>
      <c r="V197" s="581"/>
      <c r="W197" s="543"/>
      <c r="X197" s="543"/>
      <c r="Y197" s="543"/>
      <c r="Z197" s="543"/>
      <c r="AA197" s="543"/>
      <c r="AB197" s="543"/>
      <c r="AC197" s="592"/>
      <c r="AD197" s="580"/>
      <c r="AE197" s="593">
        <f t="shared" si="158"/>
        <v>0</v>
      </c>
      <c r="AF197" s="594"/>
      <c r="AG197" s="593"/>
      <c r="AH197" s="594">
        <f t="shared" si="159"/>
        <v>0</v>
      </c>
      <c r="AI197" s="605"/>
      <c r="AJ197" s="606">
        <f t="shared" si="160"/>
        <v>0</v>
      </c>
    </row>
    <row r="198" spans="1:36" s="234" customFormat="1" ht="20.25">
      <c r="A198" s="537"/>
      <c r="B198" s="550"/>
      <c r="C198" s="549"/>
      <c r="D198" s="544"/>
      <c r="E198" s="1175"/>
      <c r="F198" s="542"/>
      <c r="G198" s="542"/>
      <c r="H198" s="542"/>
      <c r="I198" s="543"/>
      <c r="J198" s="543"/>
      <c r="K198" s="542"/>
      <c r="L198" s="580"/>
      <c r="M198" s="581"/>
      <c r="N198" s="543"/>
      <c r="O198" s="543"/>
      <c r="P198" s="543"/>
      <c r="Q198" s="543"/>
      <c r="R198" s="543"/>
      <c r="S198" s="543"/>
      <c r="T198" s="587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158"/>
        <v>0</v>
      </c>
      <c r="AF198" s="409"/>
      <c r="AG198" s="408"/>
      <c r="AH198" s="409">
        <f t="shared" si="159"/>
        <v>0</v>
      </c>
      <c r="AI198" s="410"/>
      <c r="AJ198" s="411">
        <f t="shared" si="160"/>
        <v>0</v>
      </c>
    </row>
    <row r="199" spans="1:36" s="276" customFormat="1" ht="20.25">
      <c r="A199" s="551"/>
      <c r="B199" s="552"/>
      <c r="C199" s="553"/>
      <c r="D199" s="544"/>
      <c r="E199" s="794"/>
      <c r="F199" s="320"/>
      <c r="G199" s="320"/>
      <c r="H199" s="320"/>
      <c r="I199" s="321"/>
      <c r="J199" s="321"/>
      <c r="K199" s="320"/>
      <c r="L199" s="352"/>
      <c r="M199" s="353"/>
      <c r="N199" s="321"/>
      <c r="O199" s="321"/>
      <c r="P199" s="321"/>
      <c r="Q199" s="321"/>
      <c r="R199" s="321"/>
      <c r="S199" s="321"/>
      <c r="T199" s="354"/>
      <c r="U199" s="580"/>
      <c r="V199" s="581"/>
      <c r="W199" s="543"/>
      <c r="X199" s="543"/>
      <c r="Y199" s="543"/>
      <c r="Z199" s="543"/>
      <c r="AA199" s="543"/>
      <c r="AB199" s="543"/>
      <c r="AC199" s="592"/>
      <c r="AD199" s="1176"/>
      <c r="AE199" s="593">
        <f t="shared" si="158"/>
        <v>0</v>
      </c>
      <c r="AF199" s="594"/>
      <c r="AG199" s="593"/>
      <c r="AH199" s="594">
        <f t="shared" si="159"/>
        <v>0</v>
      </c>
      <c r="AI199" s="605"/>
      <c r="AJ199" s="606">
        <f t="shared" si="160"/>
        <v>0</v>
      </c>
    </row>
    <row r="200" spans="1:36" s="234" customFormat="1" ht="20.25">
      <c r="A200" s="537"/>
      <c r="B200" s="550"/>
      <c r="C200" s="549"/>
      <c r="D200" s="544"/>
      <c r="E200" s="1175"/>
      <c r="F200" s="542"/>
      <c r="G200" s="542"/>
      <c r="H200" s="542"/>
      <c r="I200" s="543"/>
      <c r="J200" s="543"/>
      <c r="K200" s="542"/>
      <c r="L200" s="580"/>
      <c r="M200" s="581"/>
      <c r="N200" s="543"/>
      <c r="O200" s="543"/>
      <c r="P200" s="543"/>
      <c r="Q200" s="543"/>
      <c r="R200" s="319"/>
      <c r="S200" s="320"/>
      <c r="T200" s="320"/>
      <c r="U200" s="320"/>
      <c r="V200" s="321"/>
      <c r="W200" s="321"/>
      <c r="X200" s="320"/>
      <c r="Y200" s="842"/>
      <c r="Z200" s="1177"/>
      <c r="AA200" s="321"/>
      <c r="AB200" s="321"/>
      <c r="AC200" s="1178"/>
      <c r="AD200" s="419"/>
      <c r="AE200" s="1177">
        <f t="shared" si="158"/>
        <v>0</v>
      </c>
      <c r="AF200" s="321"/>
      <c r="AG200" s="354"/>
      <c r="AH200" s="409">
        <f t="shared" si="159"/>
        <v>0</v>
      </c>
      <c r="AI200" s="410"/>
      <c r="AJ200" s="411">
        <f t="shared" si="160"/>
        <v>0</v>
      </c>
    </row>
    <row r="201" spans="1:36" s="276" customFormat="1" ht="20.25">
      <c r="A201" s="537"/>
      <c r="B201" s="550"/>
      <c r="C201" s="549"/>
      <c r="D201" s="544"/>
      <c r="E201" s="778"/>
      <c r="F201" s="320"/>
      <c r="G201" s="320"/>
      <c r="H201" s="320"/>
      <c r="I201" s="321"/>
      <c r="J201" s="321"/>
      <c r="K201" s="320"/>
      <c r="L201" s="352"/>
      <c r="M201" s="353"/>
      <c r="N201" s="321"/>
      <c r="O201" s="321"/>
      <c r="P201" s="321"/>
      <c r="Q201" s="321"/>
      <c r="R201" s="321"/>
      <c r="S201" s="321"/>
      <c r="T201" s="354"/>
      <c r="U201" s="580"/>
      <c r="V201" s="581"/>
      <c r="W201" s="543"/>
      <c r="X201" s="543"/>
      <c r="Y201" s="543"/>
      <c r="Z201" s="543"/>
      <c r="AA201" s="543"/>
      <c r="AB201" s="543"/>
      <c r="AC201" s="592"/>
      <c r="AD201" s="1179"/>
      <c r="AE201" s="593">
        <f t="shared" si="158"/>
        <v>0</v>
      </c>
      <c r="AF201" s="594"/>
      <c r="AG201" s="593"/>
      <c r="AH201" s="594">
        <f t="shared" si="159"/>
        <v>0</v>
      </c>
      <c r="AI201" s="605"/>
      <c r="AJ201" s="606">
        <f t="shared" si="160"/>
        <v>0</v>
      </c>
    </row>
    <row r="202" spans="1:36" s="234" customFormat="1" ht="20.25">
      <c r="A202" s="1111"/>
      <c r="B202" s="1112"/>
      <c r="C202" s="1113"/>
      <c r="D202" s="1114"/>
      <c r="E202" s="1175"/>
      <c r="F202" s="542"/>
      <c r="G202" s="542"/>
      <c r="H202" s="542"/>
      <c r="I202" s="543"/>
      <c r="J202" s="543"/>
      <c r="K202" s="542"/>
      <c r="L202" s="580"/>
      <c r="M202" s="581"/>
      <c r="N202" s="543"/>
      <c r="O202" s="543"/>
      <c r="P202" s="543"/>
      <c r="Q202" s="543"/>
      <c r="R202" s="543"/>
      <c r="S202" s="543"/>
      <c r="T202" s="587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158"/>
        <v>0</v>
      </c>
      <c r="AF202" s="409"/>
      <c r="AG202" s="408"/>
      <c r="AH202" s="409">
        <f t="shared" si="159"/>
        <v>0</v>
      </c>
      <c r="AI202" s="410"/>
      <c r="AJ202" s="411">
        <f t="shared" si="160"/>
        <v>0</v>
      </c>
    </row>
    <row r="203" spans="1:36" s="276" customFormat="1" ht="20.25">
      <c r="A203" s="537"/>
      <c r="B203" s="550"/>
      <c r="C203" s="549"/>
      <c r="D203" s="544"/>
      <c r="E203" s="794"/>
      <c r="F203" s="320"/>
      <c r="G203" s="320"/>
      <c r="H203" s="320"/>
      <c r="I203" s="321"/>
      <c r="J203" s="321"/>
      <c r="K203" s="320"/>
      <c r="L203" s="352"/>
      <c r="M203" s="353"/>
      <c r="N203" s="321"/>
      <c r="O203" s="321"/>
      <c r="P203" s="321"/>
      <c r="Q203" s="321"/>
      <c r="R203" s="321"/>
      <c r="S203" s="321"/>
      <c r="T203" s="354"/>
      <c r="U203" s="580"/>
      <c r="V203" s="581"/>
      <c r="W203" s="543"/>
      <c r="X203" s="543"/>
      <c r="Y203" s="543"/>
      <c r="Z203" s="543"/>
      <c r="AA203" s="543"/>
      <c r="AB203" s="543"/>
      <c r="AC203" s="592"/>
      <c r="AD203" s="580"/>
      <c r="AE203" s="593">
        <f t="shared" si="158"/>
        <v>0</v>
      </c>
      <c r="AF203" s="594"/>
      <c r="AG203" s="593"/>
      <c r="AH203" s="594">
        <f t="shared" si="159"/>
        <v>0</v>
      </c>
      <c r="AI203" s="605"/>
      <c r="AJ203" s="606">
        <f t="shared" si="160"/>
        <v>0</v>
      </c>
    </row>
    <row r="204" spans="1:36" s="234" customFormat="1" ht="20.25">
      <c r="A204" s="537"/>
      <c r="B204" s="550"/>
      <c r="C204" s="549"/>
      <c r="D204" s="544"/>
      <c r="E204" s="1175"/>
      <c r="F204" s="542"/>
      <c r="G204" s="542"/>
      <c r="H204" s="542"/>
      <c r="I204" s="543"/>
      <c r="J204" s="543"/>
      <c r="K204" s="542"/>
      <c r="L204" s="580"/>
      <c r="M204" s="581"/>
      <c r="N204" s="543"/>
      <c r="O204" s="543"/>
      <c r="P204" s="543"/>
      <c r="Q204" s="543"/>
      <c r="R204" s="543"/>
      <c r="S204" s="543"/>
      <c r="T204" s="587"/>
      <c r="U204" s="352"/>
      <c r="V204" s="831"/>
      <c r="W204" s="321"/>
      <c r="X204" s="321"/>
      <c r="Y204" s="321"/>
      <c r="Z204" s="321"/>
      <c r="AA204" s="321"/>
      <c r="AB204" s="321"/>
      <c r="AC204" s="380"/>
      <c r="AD204" s="352"/>
      <c r="AE204" s="408">
        <f t="shared" si="158"/>
        <v>0</v>
      </c>
      <c r="AF204" s="409"/>
      <c r="AG204" s="408"/>
      <c r="AH204" s="409">
        <f t="shared" si="159"/>
        <v>0</v>
      </c>
      <c r="AI204" s="410"/>
      <c r="AJ204" s="411">
        <f t="shared" si="160"/>
        <v>0</v>
      </c>
    </row>
    <row r="205" spans="1:36" s="276" customFormat="1" ht="20.25">
      <c r="A205" s="537"/>
      <c r="B205" s="550"/>
      <c r="C205" s="549"/>
      <c r="D205" s="544"/>
      <c r="E205" s="794"/>
      <c r="F205" s="320"/>
      <c r="G205" s="320"/>
      <c r="H205" s="320"/>
      <c r="I205" s="321"/>
      <c r="J205" s="321"/>
      <c r="K205" s="320"/>
      <c r="L205" s="352"/>
      <c r="M205" s="353"/>
      <c r="N205" s="321"/>
      <c r="O205" s="321"/>
      <c r="P205" s="321"/>
      <c r="Q205" s="321"/>
      <c r="R205" s="321"/>
      <c r="S205" s="321"/>
      <c r="T205" s="354"/>
      <c r="U205" s="580"/>
      <c r="V205" s="585"/>
      <c r="W205" s="543"/>
      <c r="X205" s="543"/>
      <c r="Y205" s="543"/>
      <c r="Z205" s="543"/>
      <c r="AA205" s="543"/>
      <c r="AB205" s="543"/>
      <c r="AC205" s="592"/>
      <c r="AD205" s="580"/>
      <c r="AE205" s="593">
        <f t="shared" si="158"/>
        <v>0</v>
      </c>
      <c r="AF205" s="594"/>
      <c r="AG205" s="593"/>
      <c r="AH205" s="594">
        <f t="shared" si="159"/>
        <v>0</v>
      </c>
      <c r="AI205" s="605"/>
      <c r="AJ205" s="606">
        <f t="shared" si="160"/>
        <v>0</v>
      </c>
    </row>
    <row r="206" spans="1:36" s="234" customFormat="1" ht="20.25">
      <c r="A206" s="537"/>
      <c r="B206" s="550"/>
      <c r="C206" s="549"/>
      <c r="D206" s="544"/>
      <c r="E206" s="1175"/>
      <c r="F206" s="542"/>
      <c r="G206" s="542"/>
      <c r="H206" s="542"/>
      <c r="I206" s="543"/>
      <c r="J206" s="543"/>
      <c r="K206" s="542"/>
      <c r="L206" s="580"/>
      <c r="M206" s="581"/>
      <c r="N206" s="543"/>
      <c r="O206" s="543"/>
      <c r="P206" s="543"/>
      <c r="Q206" s="543"/>
      <c r="R206" s="543"/>
      <c r="S206" s="543"/>
      <c r="T206" s="587"/>
      <c r="U206" s="352"/>
      <c r="V206" s="353"/>
      <c r="W206" s="321"/>
      <c r="X206" s="321"/>
      <c r="Y206" s="321"/>
      <c r="Z206" s="321"/>
      <c r="AA206" s="321"/>
      <c r="AB206" s="321"/>
      <c r="AC206" s="380"/>
      <c r="AD206" s="352"/>
      <c r="AE206" s="408">
        <f t="shared" si="158"/>
        <v>0</v>
      </c>
      <c r="AF206" s="409"/>
      <c r="AG206" s="408"/>
      <c r="AH206" s="409">
        <f t="shared" si="159"/>
        <v>0</v>
      </c>
      <c r="AI206" s="410"/>
      <c r="AJ206" s="411">
        <f t="shared" si="160"/>
        <v>0</v>
      </c>
    </row>
    <row r="207" spans="1:36" s="276" customFormat="1" ht="20.25">
      <c r="A207" s="537"/>
      <c r="B207" s="550"/>
      <c r="C207" s="549"/>
      <c r="D207" s="544"/>
      <c r="E207" s="794"/>
      <c r="F207" s="320"/>
      <c r="G207" s="320"/>
      <c r="H207" s="320"/>
      <c r="I207" s="321"/>
      <c r="J207" s="321"/>
      <c r="K207" s="320"/>
      <c r="L207" s="352"/>
      <c r="M207" s="353"/>
      <c r="N207" s="321"/>
      <c r="O207" s="321"/>
      <c r="P207" s="321"/>
      <c r="Q207" s="321"/>
      <c r="R207" s="321"/>
      <c r="S207" s="321"/>
      <c r="T207" s="354"/>
      <c r="U207" s="580"/>
      <c r="V207" s="581"/>
      <c r="W207" s="543"/>
      <c r="X207" s="543"/>
      <c r="Y207" s="543"/>
      <c r="Z207" s="543"/>
      <c r="AA207" s="543"/>
      <c r="AB207" s="543"/>
      <c r="AC207" s="592"/>
      <c r="AD207" s="580"/>
      <c r="AE207" s="593">
        <f t="shared" si="158"/>
        <v>0</v>
      </c>
      <c r="AF207" s="594"/>
      <c r="AG207" s="593"/>
      <c r="AH207" s="594">
        <f t="shared" si="159"/>
        <v>0</v>
      </c>
      <c r="AI207" s="605"/>
      <c r="AJ207" s="606">
        <f t="shared" si="160"/>
        <v>0</v>
      </c>
    </row>
    <row r="208" spans="1:36" s="234" customFormat="1" ht="20.25">
      <c r="A208" s="537"/>
      <c r="B208" s="538"/>
      <c r="C208" s="539"/>
      <c r="D208" s="544"/>
      <c r="E208" s="1175"/>
      <c r="F208" s="542"/>
      <c r="G208" s="542"/>
      <c r="H208" s="542"/>
      <c r="I208" s="543"/>
      <c r="J208" s="543"/>
      <c r="K208" s="542"/>
      <c r="L208" s="580"/>
      <c r="M208" s="581"/>
      <c r="N208" s="543"/>
      <c r="O208" s="543"/>
      <c r="P208" s="543"/>
      <c r="Q208" s="543"/>
      <c r="R208" s="543"/>
      <c r="S208" s="543"/>
      <c r="T208" s="587"/>
      <c r="U208" s="352"/>
      <c r="V208" s="353"/>
      <c r="W208" s="321"/>
      <c r="X208" s="321"/>
      <c r="Y208" s="321"/>
      <c r="Z208" s="321"/>
      <c r="AA208" s="321"/>
      <c r="AB208" s="321"/>
      <c r="AC208" s="380"/>
      <c r="AD208" s="352"/>
      <c r="AE208" s="408">
        <f t="shared" ref="AE208:AE235" si="167">SUM(E208:AC208)</f>
        <v>0</v>
      </c>
      <c r="AF208" s="409"/>
      <c r="AG208" s="408"/>
      <c r="AH208" s="409">
        <f t="shared" si="159"/>
        <v>0</v>
      </c>
      <c r="AI208" s="410"/>
      <c r="AJ208" s="411">
        <f t="shared" si="160"/>
        <v>0</v>
      </c>
    </row>
    <row r="209" spans="1:36" s="276" customFormat="1" ht="20.25">
      <c r="A209" s="537"/>
      <c r="B209" s="550"/>
      <c r="C209" s="549"/>
      <c r="D209" s="544"/>
      <c r="E209" s="794"/>
      <c r="F209" s="320"/>
      <c r="G209" s="320"/>
      <c r="H209" s="320"/>
      <c r="I209" s="321"/>
      <c r="J209" s="321"/>
      <c r="K209" s="320"/>
      <c r="L209" s="352"/>
      <c r="M209" s="353"/>
      <c r="N209" s="321"/>
      <c r="O209" s="321"/>
      <c r="P209" s="321"/>
      <c r="Q209" s="321"/>
      <c r="R209" s="321"/>
      <c r="S209" s="321"/>
      <c r="T209" s="354"/>
      <c r="U209" s="580"/>
      <c r="V209" s="581"/>
      <c r="W209" s="543"/>
      <c r="X209" s="543"/>
      <c r="Y209" s="543"/>
      <c r="Z209" s="543"/>
      <c r="AA209" s="543"/>
      <c r="AB209" s="543"/>
      <c r="AC209" s="592"/>
      <c r="AD209" s="580"/>
      <c r="AE209" s="593">
        <f t="shared" si="167"/>
        <v>0</v>
      </c>
      <c r="AF209" s="594"/>
      <c r="AG209" s="593"/>
      <c r="AH209" s="594">
        <f t="shared" si="159"/>
        <v>0</v>
      </c>
      <c r="AI209" s="605"/>
      <c r="AJ209" s="606">
        <f t="shared" si="160"/>
        <v>0</v>
      </c>
    </row>
    <row r="210" spans="1:36" s="234" customFormat="1" ht="20.25">
      <c r="A210" s="551"/>
      <c r="B210" s="552"/>
      <c r="C210" s="553"/>
      <c r="D210" s="544"/>
      <c r="E210" s="1175"/>
      <c r="F210" s="542"/>
      <c r="G210" s="542"/>
      <c r="H210" s="542"/>
      <c r="I210" s="543"/>
      <c r="J210" s="543"/>
      <c r="K210" s="542"/>
      <c r="L210" s="580"/>
      <c r="M210" s="581"/>
      <c r="N210" s="543"/>
      <c r="O210" s="543"/>
      <c r="P210" s="543"/>
      <c r="Q210" s="543"/>
      <c r="R210" s="543"/>
      <c r="S210" s="543"/>
      <c r="T210" s="587"/>
      <c r="U210" s="352"/>
      <c r="V210" s="353"/>
      <c r="W210" s="321"/>
      <c r="X210" s="321"/>
      <c r="Y210" s="321"/>
      <c r="Z210" s="321"/>
      <c r="AA210" s="321"/>
      <c r="AB210" s="321"/>
      <c r="AC210" s="380"/>
      <c r="AD210" s="352"/>
      <c r="AE210" s="408">
        <f t="shared" si="167"/>
        <v>0</v>
      </c>
      <c r="AF210" s="409"/>
      <c r="AG210" s="408"/>
      <c r="AH210" s="409">
        <f t="shared" si="159"/>
        <v>0</v>
      </c>
      <c r="AI210" s="410"/>
      <c r="AJ210" s="411">
        <f t="shared" si="160"/>
        <v>0</v>
      </c>
    </row>
    <row r="211" spans="1:36" s="276" customFormat="1" ht="20.25">
      <c r="A211" s="537"/>
      <c r="B211" s="550"/>
      <c r="C211" s="549"/>
      <c r="D211" s="544"/>
      <c r="E211" s="794"/>
      <c r="F211" s="320"/>
      <c r="G211" s="320"/>
      <c r="H211" s="320"/>
      <c r="I211" s="321"/>
      <c r="J211" s="321"/>
      <c r="K211" s="320"/>
      <c r="L211" s="352"/>
      <c r="M211" s="353"/>
      <c r="N211" s="321"/>
      <c r="O211" s="321"/>
      <c r="P211" s="321"/>
      <c r="Q211" s="321"/>
      <c r="R211" s="321"/>
      <c r="S211" s="321"/>
      <c r="T211" s="354"/>
      <c r="U211" s="580"/>
      <c r="V211" s="581"/>
      <c r="W211" s="543"/>
      <c r="X211" s="543"/>
      <c r="Y211" s="543"/>
      <c r="Z211" s="543"/>
      <c r="AA211" s="543"/>
      <c r="AB211" s="543"/>
      <c r="AC211" s="592"/>
      <c r="AD211" s="580"/>
      <c r="AE211" s="593">
        <f t="shared" si="167"/>
        <v>0</v>
      </c>
      <c r="AF211" s="594"/>
      <c r="AG211" s="593"/>
      <c r="AH211" s="594">
        <f t="shared" si="159"/>
        <v>0</v>
      </c>
      <c r="AI211" s="605"/>
      <c r="AJ211" s="606">
        <f t="shared" si="160"/>
        <v>0</v>
      </c>
    </row>
    <row r="212" spans="1:36" s="234" customFormat="1" ht="20.25">
      <c r="A212" s="537"/>
      <c r="B212" s="550"/>
      <c r="C212" s="549"/>
      <c r="D212" s="544"/>
      <c r="E212" s="1175"/>
      <c r="F212" s="542"/>
      <c r="G212" s="542"/>
      <c r="H212" s="542"/>
      <c r="I212" s="543"/>
      <c r="J212" s="543"/>
      <c r="K212" s="542"/>
      <c r="L212" s="580"/>
      <c r="M212" s="581"/>
      <c r="N212" s="543"/>
      <c r="O212" s="543"/>
      <c r="P212" s="543"/>
      <c r="Q212" s="543"/>
      <c r="R212" s="543"/>
      <c r="S212" s="543"/>
      <c r="T212" s="587"/>
      <c r="U212" s="352"/>
      <c r="V212" s="353"/>
      <c r="W212" s="321"/>
      <c r="X212" s="321"/>
      <c r="Y212" s="321"/>
      <c r="Z212" s="321"/>
      <c r="AA212" s="321"/>
      <c r="AB212" s="321"/>
      <c r="AC212" s="380"/>
      <c r="AD212" s="352"/>
      <c r="AE212" s="408">
        <f t="shared" si="167"/>
        <v>0</v>
      </c>
      <c r="AF212" s="409"/>
      <c r="AG212" s="408"/>
      <c r="AH212" s="409">
        <f t="shared" si="159"/>
        <v>0</v>
      </c>
      <c r="AI212" s="410"/>
      <c r="AJ212" s="411">
        <f t="shared" si="160"/>
        <v>0</v>
      </c>
    </row>
    <row r="213" spans="1:36" s="234" customFormat="1" ht="20.25">
      <c r="A213" s="537"/>
      <c r="B213" s="550"/>
      <c r="C213" s="549"/>
      <c r="D213" s="544"/>
      <c r="E213" s="794"/>
      <c r="F213" s="320"/>
      <c r="G213" s="320"/>
      <c r="H213" s="320"/>
      <c r="I213" s="321"/>
      <c r="J213" s="321"/>
      <c r="K213" s="320"/>
      <c r="L213" s="352"/>
      <c r="M213" s="353"/>
      <c r="N213" s="321"/>
      <c r="O213" s="321"/>
      <c r="P213" s="321"/>
      <c r="Q213" s="321"/>
      <c r="R213" s="321"/>
      <c r="S213" s="321"/>
      <c r="T213" s="354"/>
      <c r="U213" s="580"/>
      <c r="V213" s="581"/>
      <c r="W213" s="543"/>
      <c r="X213" s="543"/>
      <c r="Y213" s="543"/>
      <c r="Z213" s="543"/>
      <c r="AA213" s="543"/>
      <c r="AB213" s="543"/>
      <c r="AC213" s="592"/>
      <c r="AD213" s="580"/>
      <c r="AE213" s="593">
        <f t="shared" si="167"/>
        <v>0</v>
      </c>
      <c r="AF213" s="594"/>
      <c r="AG213" s="593"/>
      <c r="AH213" s="594">
        <f t="shared" si="159"/>
        <v>0</v>
      </c>
      <c r="AI213" s="605"/>
      <c r="AJ213" s="606">
        <f t="shared" si="160"/>
        <v>0</v>
      </c>
    </row>
    <row r="214" spans="1:36" s="276" customFormat="1" ht="20.25">
      <c r="A214" s="537"/>
      <c r="B214" s="550"/>
      <c r="C214" s="549"/>
      <c r="D214" s="544"/>
      <c r="E214" s="1175"/>
      <c r="F214" s="542"/>
      <c r="G214" s="542"/>
      <c r="H214" s="542"/>
      <c r="I214" s="543"/>
      <c r="J214" s="543"/>
      <c r="K214" s="542"/>
      <c r="L214" s="580"/>
      <c r="M214" s="581"/>
      <c r="N214" s="543"/>
      <c r="O214" s="543"/>
      <c r="P214" s="543"/>
      <c r="Q214" s="543"/>
      <c r="R214" s="543"/>
      <c r="S214" s="543"/>
      <c r="T214" s="587"/>
      <c r="U214" s="352"/>
      <c r="V214" s="353"/>
      <c r="W214" s="321"/>
      <c r="X214" s="321"/>
      <c r="Y214" s="321"/>
      <c r="Z214" s="321"/>
      <c r="AA214" s="321"/>
      <c r="AB214" s="321"/>
      <c r="AC214" s="380"/>
      <c r="AD214" s="352"/>
      <c r="AE214" s="408">
        <f t="shared" si="167"/>
        <v>0</v>
      </c>
      <c r="AF214" s="409"/>
      <c r="AG214" s="408"/>
      <c r="AH214" s="409">
        <f t="shared" si="159"/>
        <v>0</v>
      </c>
      <c r="AI214" s="410"/>
      <c r="AJ214" s="411">
        <f t="shared" si="160"/>
        <v>0</v>
      </c>
    </row>
    <row r="215" spans="1:36" s="276" customFormat="1" ht="20.25">
      <c r="A215" s="537"/>
      <c r="B215" s="550"/>
      <c r="C215" s="549"/>
      <c r="D215" s="544"/>
      <c r="E215" s="794"/>
      <c r="F215" s="320"/>
      <c r="G215" s="320"/>
      <c r="H215" s="320"/>
      <c r="I215" s="321"/>
      <c r="J215" s="321"/>
      <c r="K215" s="320"/>
      <c r="L215" s="352"/>
      <c r="M215" s="353"/>
      <c r="N215" s="321"/>
      <c r="O215" s="321"/>
      <c r="P215" s="321"/>
      <c r="Q215" s="321"/>
      <c r="R215" s="321"/>
      <c r="S215" s="321"/>
      <c r="T215" s="354"/>
      <c r="U215" s="352"/>
      <c r="V215" s="353"/>
      <c r="W215" s="321"/>
      <c r="X215" s="321"/>
      <c r="Y215" s="321"/>
      <c r="Z215" s="321"/>
      <c r="AA215" s="321"/>
      <c r="AB215" s="321"/>
      <c r="AC215" s="380"/>
      <c r="AD215" s="352"/>
      <c r="AE215" s="408">
        <f t="shared" si="167"/>
        <v>0</v>
      </c>
      <c r="AF215" s="409"/>
      <c r="AG215" s="408"/>
      <c r="AH215" s="409">
        <f t="shared" si="159"/>
        <v>0</v>
      </c>
      <c r="AI215" s="410"/>
      <c r="AJ215" s="411">
        <f t="shared" si="160"/>
        <v>0</v>
      </c>
    </row>
    <row r="216" spans="1:36" s="234" customFormat="1" ht="20.25">
      <c r="A216" s="551"/>
      <c r="B216" s="567"/>
      <c r="C216" s="553"/>
      <c r="D216" s="838"/>
      <c r="E216" s="794"/>
      <c r="F216" s="320"/>
      <c r="G216" s="320"/>
      <c r="H216" s="320"/>
      <c r="I216" s="321"/>
      <c r="J216" s="321"/>
      <c r="K216" s="320"/>
      <c r="L216" s="352"/>
      <c r="M216" s="353"/>
      <c r="N216" s="321"/>
      <c r="O216" s="321"/>
      <c r="P216" s="321"/>
      <c r="Q216" s="321"/>
      <c r="R216" s="321"/>
      <c r="S216" s="321"/>
      <c r="T216" s="354"/>
      <c r="U216" s="580"/>
      <c r="V216" s="581"/>
      <c r="W216" s="543"/>
      <c r="X216" s="543"/>
      <c r="Y216" s="543"/>
      <c r="Z216" s="543"/>
      <c r="AA216" s="543"/>
      <c r="AB216" s="543"/>
      <c r="AC216" s="592"/>
      <c r="AD216" s="580"/>
      <c r="AE216" s="593">
        <f t="shared" si="167"/>
        <v>0</v>
      </c>
      <c r="AF216" s="594"/>
      <c r="AG216" s="593"/>
      <c r="AH216" s="594">
        <f t="shared" si="159"/>
        <v>0</v>
      </c>
      <c r="AI216" s="605"/>
      <c r="AJ216" s="606">
        <f t="shared" si="160"/>
        <v>0</v>
      </c>
    </row>
    <row r="217" spans="1:36" s="276" customFormat="1" ht="20.25">
      <c r="A217" s="551"/>
      <c r="B217" s="567"/>
      <c r="C217" s="553"/>
      <c r="D217" s="838"/>
      <c r="E217" s="1175"/>
      <c r="F217" s="542"/>
      <c r="G217" s="542"/>
      <c r="H217" s="542"/>
      <c r="I217" s="543"/>
      <c r="J217" s="543"/>
      <c r="K217" s="542"/>
      <c r="L217" s="580"/>
      <c r="M217" s="581"/>
      <c r="N217" s="543"/>
      <c r="O217" s="543"/>
      <c r="P217" s="543"/>
      <c r="Q217" s="543"/>
      <c r="R217" s="543"/>
      <c r="S217" s="543"/>
      <c r="T217" s="587"/>
      <c r="U217" s="580"/>
      <c r="V217" s="581"/>
      <c r="W217" s="543"/>
      <c r="X217" s="543"/>
      <c r="Y217" s="543"/>
      <c r="Z217" s="543"/>
      <c r="AA217" s="543"/>
      <c r="AB217" s="543"/>
      <c r="AC217" s="592"/>
      <c r="AD217" s="580"/>
      <c r="AE217" s="593">
        <f t="shared" si="167"/>
        <v>0</v>
      </c>
      <c r="AF217" s="594"/>
      <c r="AG217" s="593"/>
      <c r="AH217" s="594">
        <f t="shared" si="159"/>
        <v>0</v>
      </c>
      <c r="AI217" s="605"/>
      <c r="AJ217" s="606">
        <f t="shared" si="160"/>
        <v>0</v>
      </c>
    </row>
    <row r="218" spans="1:36" s="276" customFormat="1" ht="20.25">
      <c r="A218" s="551"/>
      <c r="B218" s="567"/>
      <c r="C218" s="553"/>
      <c r="D218" s="838"/>
      <c r="E218" s="1175"/>
      <c r="F218" s="542"/>
      <c r="G218" s="542"/>
      <c r="H218" s="542"/>
      <c r="I218" s="543"/>
      <c r="J218" s="543"/>
      <c r="K218" s="542"/>
      <c r="L218" s="580"/>
      <c r="M218" s="581"/>
      <c r="N218" s="543"/>
      <c r="O218" s="543"/>
      <c r="P218" s="543"/>
      <c r="Q218" s="543"/>
      <c r="R218" s="543"/>
      <c r="S218" s="543"/>
      <c r="T218" s="587"/>
      <c r="U218" s="352"/>
      <c r="V218" s="353"/>
      <c r="W218" s="321"/>
      <c r="X218" s="321"/>
      <c r="Y218" s="321"/>
      <c r="Z218" s="321"/>
      <c r="AA218" s="321"/>
      <c r="AB218" s="321"/>
      <c r="AC218" s="380"/>
      <c r="AD218" s="352"/>
      <c r="AE218" s="593">
        <f t="shared" si="167"/>
        <v>0</v>
      </c>
      <c r="AF218" s="409"/>
      <c r="AG218" s="408"/>
      <c r="AH218" s="409">
        <f t="shared" si="159"/>
        <v>0</v>
      </c>
      <c r="AI218" s="410"/>
      <c r="AJ218" s="411">
        <f t="shared" si="160"/>
        <v>0</v>
      </c>
    </row>
    <row r="219" spans="1:36" s="276" customFormat="1" ht="20.25">
      <c r="A219" s="551"/>
      <c r="B219" s="567"/>
      <c r="C219" s="553"/>
      <c r="D219" s="838"/>
      <c r="E219" s="794"/>
      <c r="F219" s="320"/>
      <c r="G219" s="320"/>
      <c r="H219" s="320"/>
      <c r="I219" s="321"/>
      <c r="J219" s="321"/>
      <c r="K219" s="320"/>
      <c r="L219" s="352"/>
      <c r="M219" s="353"/>
      <c r="N219" s="321"/>
      <c r="O219" s="321"/>
      <c r="P219" s="321"/>
      <c r="Q219" s="321"/>
      <c r="R219" s="321"/>
      <c r="S219" s="321"/>
      <c r="T219" s="354"/>
      <c r="U219" s="580"/>
      <c r="V219" s="581"/>
      <c r="W219" s="543"/>
      <c r="X219" s="543"/>
      <c r="Y219" s="543"/>
      <c r="Z219" s="543"/>
      <c r="AA219" s="543"/>
      <c r="AB219" s="543"/>
      <c r="AC219" s="592"/>
      <c r="AD219" s="580"/>
      <c r="AE219" s="593">
        <f t="shared" si="167"/>
        <v>0</v>
      </c>
      <c r="AF219" s="594"/>
      <c r="AG219" s="593"/>
      <c r="AH219" s="594">
        <f t="shared" ref="AH219" si="168">AE219+AF219+AG219</f>
        <v>0</v>
      </c>
      <c r="AI219" s="605"/>
      <c r="AJ219" s="606">
        <f t="shared" ref="AJ219" si="169">AH219+AI219</f>
        <v>0</v>
      </c>
    </row>
    <row r="220" spans="1:36" s="276" customFormat="1" ht="20.25">
      <c r="A220" s="551"/>
      <c r="B220" s="567"/>
      <c r="C220" s="553"/>
      <c r="D220" s="838"/>
      <c r="E220" s="1175"/>
      <c r="F220" s="542"/>
      <c r="G220" s="542"/>
      <c r="H220" s="542"/>
      <c r="I220" s="543"/>
      <c r="J220" s="543"/>
      <c r="K220" s="542"/>
      <c r="L220" s="580"/>
      <c r="M220" s="581"/>
      <c r="N220" s="543"/>
      <c r="O220" s="543"/>
      <c r="P220" s="543"/>
      <c r="Q220" s="543"/>
      <c r="R220" s="543"/>
      <c r="S220" s="543"/>
      <c r="T220" s="587"/>
      <c r="U220" s="580"/>
      <c r="V220" s="581"/>
      <c r="W220" s="543"/>
      <c r="X220" s="543"/>
      <c r="Y220" s="543"/>
      <c r="Z220" s="543"/>
      <c r="AA220" s="543"/>
      <c r="AB220" s="543"/>
      <c r="AC220" s="592"/>
      <c r="AD220" s="580"/>
      <c r="AE220" s="593">
        <f t="shared" si="167"/>
        <v>0</v>
      </c>
      <c r="AF220" s="594"/>
      <c r="AG220" s="593"/>
      <c r="AH220" s="594">
        <f t="shared" si="159"/>
        <v>0</v>
      </c>
      <c r="AI220" s="605"/>
      <c r="AJ220" s="606">
        <f t="shared" si="160"/>
        <v>0</v>
      </c>
    </row>
    <row r="221" spans="1:36" s="234" customFormat="1" ht="20.25">
      <c r="A221" s="537"/>
      <c r="B221" s="552"/>
      <c r="C221" s="553"/>
      <c r="D221" s="568"/>
      <c r="E221" s="794"/>
      <c r="F221" s="320"/>
      <c r="G221" s="320"/>
      <c r="H221" s="320"/>
      <c r="I221" s="321"/>
      <c r="J221" s="321"/>
      <c r="K221" s="320"/>
      <c r="L221" s="352"/>
      <c r="M221" s="353"/>
      <c r="N221" s="321"/>
      <c r="O221" s="321"/>
      <c r="P221" s="321"/>
      <c r="Q221" s="321"/>
      <c r="R221" s="321"/>
      <c r="S221" s="321"/>
      <c r="T221" s="354"/>
      <c r="U221" s="580"/>
      <c r="V221" s="581"/>
      <c r="W221" s="543"/>
      <c r="X221" s="543"/>
      <c r="Y221" s="543"/>
      <c r="Z221" s="543"/>
      <c r="AA221" s="543"/>
      <c r="AB221" s="543"/>
      <c r="AC221" s="592"/>
      <c r="AD221" s="580"/>
      <c r="AE221" s="593">
        <f t="shared" si="167"/>
        <v>0</v>
      </c>
      <c r="AF221" s="594"/>
      <c r="AG221" s="593"/>
      <c r="AH221" s="594">
        <f t="shared" si="159"/>
        <v>0</v>
      </c>
      <c r="AI221" s="605"/>
      <c r="AJ221" s="606">
        <f t="shared" si="160"/>
        <v>0</v>
      </c>
    </row>
    <row r="222" spans="1:36" s="276" customFormat="1" ht="20.25">
      <c r="A222" s="551"/>
      <c r="B222" s="552"/>
      <c r="C222" s="553"/>
      <c r="D222" s="568"/>
      <c r="E222" s="1175"/>
      <c r="F222" s="542"/>
      <c r="G222" s="542"/>
      <c r="H222" s="542"/>
      <c r="I222" s="543"/>
      <c r="J222" s="543"/>
      <c r="K222" s="542"/>
      <c r="L222" s="580"/>
      <c r="M222" s="581"/>
      <c r="N222" s="543"/>
      <c r="O222" s="543"/>
      <c r="P222" s="543"/>
      <c r="Q222" s="543"/>
      <c r="R222" s="543"/>
      <c r="S222" s="543"/>
      <c r="T222" s="587"/>
      <c r="U222" s="580"/>
      <c r="V222" s="581"/>
      <c r="W222" s="543"/>
      <c r="X222" s="543"/>
      <c r="Y222" s="543"/>
      <c r="Z222" s="543"/>
      <c r="AA222" s="543"/>
      <c r="AB222" s="543"/>
      <c r="AC222" s="592"/>
      <c r="AD222" s="580"/>
      <c r="AE222" s="593">
        <f t="shared" si="167"/>
        <v>0</v>
      </c>
      <c r="AF222" s="594"/>
      <c r="AG222" s="593"/>
      <c r="AH222" s="594">
        <f t="shared" si="159"/>
        <v>0</v>
      </c>
      <c r="AI222" s="605"/>
      <c r="AJ222" s="606">
        <f t="shared" si="160"/>
        <v>0</v>
      </c>
    </row>
    <row r="223" spans="1:36" s="234" customFormat="1" ht="20.25">
      <c r="A223" s="560"/>
      <c r="B223" s="552"/>
      <c r="C223" s="553"/>
      <c r="D223" s="568"/>
      <c r="E223" s="1175"/>
      <c r="F223" s="542"/>
      <c r="G223" s="542"/>
      <c r="H223" s="542"/>
      <c r="I223" s="543"/>
      <c r="J223" s="543"/>
      <c r="K223" s="542"/>
      <c r="L223" s="580"/>
      <c r="M223" s="581"/>
      <c r="N223" s="543"/>
      <c r="O223" s="543"/>
      <c r="P223" s="543"/>
      <c r="Q223" s="543"/>
      <c r="R223" s="543"/>
      <c r="S223" s="543"/>
      <c r="T223" s="587"/>
      <c r="U223" s="352"/>
      <c r="V223" s="353"/>
      <c r="W223" s="321"/>
      <c r="X223" s="321"/>
      <c r="Y223" s="321"/>
      <c r="Z223" s="321"/>
      <c r="AA223" s="321"/>
      <c r="AB223" s="321"/>
      <c r="AC223" s="380"/>
      <c r="AD223" s="352"/>
      <c r="AE223" s="408">
        <f t="shared" si="167"/>
        <v>0</v>
      </c>
      <c r="AF223" s="409"/>
      <c r="AG223" s="408"/>
      <c r="AH223" s="409">
        <f t="shared" si="159"/>
        <v>0</v>
      </c>
      <c r="AI223" s="410"/>
      <c r="AJ223" s="411">
        <f t="shared" si="160"/>
        <v>0</v>
      </c>
    </row>
    <row r="224" spans="1:36" s="276" customFormat="1" ht="20.25">
      <c r="A224" s="551"/>
      <c r="B224" s="552"/>
      <c r="C224" s="553"/>
      <c r="D224" s="568"/>
      <c r="E224" s="794"/>
      <c r="F224" s="320"/>
      <c r="G224" s="320"/>
      <c r="H224" s="320"/>
      <c r="I224" s="321"/>
      <c r="J224" s="321"/>
      <c r="K224" s="320"/>
      <c r="L224" s="352"/>
      <c r="M224" s="353"/>
      <c r="N224" s="321"/>
      <c r="O224" s="321"/>
      <c r="P224" s="321"/>
      <c r="Q224" s="321"/>
      <c r="R224" s="321"/>
      <c r="S224" s="321"/>
      <c r="T224" s="354"/>
      <c r="U224" s="580"/>
      <c r="V224" s="581"/>
      <c r="W224" s="543"/>
      <c r="X224" s="543"/>
      <c r="Y224" s="543"/>
      <c r="Z224" s="543"/>
      <c r="AA224" s="543"/>
      <c r="AB224" s="543"/>
      <c r="AC224" s="592"/>
      <c r="AD224" s="580"/>
      <c r="AE224" s="593">
        <f t="shared" si="167"/>
        <v>0</v>
      </c>
      <c r="AF224" s="594"/>
      <c r="AG224" s="593"/>
      <c r="AH224" s="594">
        <f t="shared" si="159"/>
        <v>0</v>
      </c>
      <c r="AI224" s="605"/>
      <c r="AJ224" s="606">
        <f t="shared" si="160"/>
        <v>0</v>
      </c>
    </row>
    <row r="225" spans="1:36" s="234" customFormat="1" ht="20.25">
      <c r="A225" s="551"/>
      <c r="B225" s="552"/>
      <c r="C225" s="553"/>
      <c r="D225" s="568"/>
      <c r="E225" s="1175"/>
      <c r="F225" s="542"/>
      <c r="G225" s="542"/>
      <c r="H225" s="542"/>
      <c r="I225" s="543"/>
      <c r="J225" s="543"/>
      <c r="K225" s="542"/>
      <c r="L225" s="580"/>
      <c r="M225" s="581"/>
      <c r="N225" s="543"/>
      <c r="O225" s="543"/>
      <c r="P225" s="543"/>
      <c r="Q225" s="543"/>
      <c r="R225" s="543"/>
      <c r="S225" s="543"/>
      <c r="T225" s="587"/>
      <c r="U225" s="352"/>
      <c r="V225" s="353"/>
      <c r="W225" s="321"/>
      <c r="X225" s="321"/>
      <c r="Y225" s="321"/>
      <c r="Z225" s="321"/>
      <c r="AA225" s="321"/>
      <c r="AB225" s="321"/>
      <c r="AC225" s="380"/>
      <c r="AD225" s="352"/>
      <c r="AE225" s="408">
        <f t="shared" si="167"/>
        <v>0</v>
      </c>
      <c r="AF225" s="409"/>
      <c r="AG225" s="408"/>
      <c r="AH225" s="409">
        <f t="shared" si="159"/>
        <v>0</v>
      </c>
      <c r="AI225" s="410"/>
      <c r="AJ225" s="411">
        <f t="shared" si="160"/>
        <v>0</v>
      </c>
    </row>
    <row r="226" spans="1:36" s="234" customFormat="1" ht="20.25">
      <c r="A226" s="551"/>
      <c r="B226" s="552"/>
      <c r="C226" s="553"/>
      <c r="D226" s="568"/>
      <c r="E226" s="794"/>
      <c r="F226" s="320"/>
      <c r="G226" s="320"/>
      <c r="H226" s="320"/>
      <c r="I226" s="321"/>
      <c r="J226" s="321"/>
      <c r="K226" s="320"/>
      <c r="L226" s="352"/>
      <c r="M226" s="353"/>
      <c r="N226" s="321"/>
      <c r="O226" s="321"/>
      <c r="P226" s="321"/>
      <c r="Q226" s="321"/>
      <c r="R226" s="321"/>
      <c r="S226" s="321"/>
      <c r="T226" s="354"/>
      <c r="U226" s="580"/>
      <c r="V226" s="581"/>
      <c r="W226" s="543"/>
      <c r="X226" s="543"/>
      <c r="Y226" s="543"/>
      <c r="Z226" s="543"/>
      <c r="AA226" s="543"/>
      <c r="AB226" s="543"/>
      <c r="AC226" s="592"/>
      <c r="AD226" s="580"/>
      <c r="AE226" s="593">
        <f t="shared" si="167"/>
        <v>0</v>
      </c>
      <c r="AF226" s="594"/>
      <c r="AG226" s="593"/>
      <c r="AH226" s="594">
        <f t="shared" si="159"/>
        <v>0</v>
      </c>
      <c r="AI226" s="605"/>
      <c r="AJ226" s="606">
        <f t="shared" si="160"/>
        <v>0</v>
      </c>
    </row>
    <row r="227" spans="1:36" s="234" customFormat="1" ht="20.25">
      <c r="A227" s="551"/>
      <c r="B227" s="569"/>
      <c r="C227" s="553"/>
      <c r="D227" s="793"/>
      <c r="E227" s="1175"/>
      <c r="F227" s="542"/>
      <c r="G227" s="542"/>
      <c r="H227" s="542"/>
      <c r="I227" s="543"/>
      <c r="J227" s="543"/>
      <c r="K227" s="542"/>
      <c r="L227" s="580"/>
      <c r="M227" s="581"/>
      <c r="N227" s="543"/>
      <c r="O227" s="543"/>
      <c r="P227" s="543"/>
      <c r="Q227" s="543"/>
      <c r="R227" s="543"/>
      <c r="S227" s="543"/>
      <c r="T227" s="587"/>
      <c r="U227" s="352"/>
      <c r="V227" s="353"/>
      <c r="W227" s="321"/>
      <c r="X227" s="321"/>
      <c r="Y227" s="321"/>
      <c r="Z227" s="321"/>
      <c r="AA227" s="321"/>
      <c r="AB227" s="321"/>
      <c r="AC227" s="380"/>
      <c r="AD227" s="352"/>
      <c r="AE227" s="408">
        <f t="shared" si="167"/>
        <v>0</v>
      </c>
      <c r="AF227" s="409"/>
      <c r="AG227" s="408"/>
      <c r="AH227" s="409">
        <f t="shared" si="159"/>
        <v>0</v>
      </c>
      <c r="AI227" s="410"/>
      <c r="AJ227" s="411">
        <f t="shared" si="160"/>
        <v>0</v>
      </c>
    </row>
    <row r="228" spans="1:36" s="234" customFormat="1" ht="20.25">
      <c r="A228" s="551"/>
      <c r="B228" s="567"/>
      <c r="C228" s="553"/>
      <c r="D228" s="838"/>
      <c r="E228" s="794"/>
      <c r="F228" s="320"/>
      <c r="G228" s="320"/>
      <c r="H228" s="320"/>
      <c r="I228" s="321"/>
      <c r="J228" s="321"/>
      <c r="K228" s="320"/>
      <c r="L228" s="352"/>
      <c r="M228" s="353"/>
      <c r="N228" s="321"/>
      <c r="O228" s="321"/>
      <c r="P228" s="321"/>
      <c r="Q228" s="321"/>
      <c r="R228" s="321"/>
      <c r="S228" s="321"/>
      <c r="T228" s="354"/>
      <c r="U228" s="352"/>
      <c r="V228" s="353"/>
      <c r="W228" s="321"/>
      <c r="X228" s="321"/>
      <c r="Y228" s="321"/>
      <c r="Z228" s="321"/>
      <c r="AA228" s="321"/>
      <c r="AB228" s="321"/>
      <c r="AC228" s="380"/>
      <c r="AD228" s="352"/>
      <c r="AE228" s="408">
        <f t="shared" si="167"/>
        <v>0</v>
      </c>
      <c r="AF228" s="409"/>
      <c r="AG228" s="408"/>
      <c r="AH228" s="409">
        <f t="shared" si="159"/>
        <v>0</v>
      </c>
      <c r="AI228" s="410"/>
      <c r="AJ228" s="411">
        <f t="shared" si="160"/>
        <v>0</v>
      </c>
    </row>
    <row r="229" spans="1:36" s="234" customFormat="1" ht="20.25">
      <c r="A229" s="551"/>
      <c r="B229" s="567"/>
      <c r="C229" s="553"/>
      <c r="D229" s="838"/>
      <c r="E229" s="794"/>
      <c r="F229" s="320"/>
      <c r="G229" s="320"/>
      <c r="H229" s="320"/>
      <c r="I229" s="321"/>
      <c r="J229" s="321"/>
      <c r="K229" s="320"/>
      <c r="L229" s="352"/>
      <c r="M229" s="353"/>
      <c r="N229" s="321"/>
      <c r="O229" s="321"/>
      <c r="P229" s="321"/>
      <c r="Q229" s="321"/>
      <c r="R229" s="321"/>
      <c r="S229" s="321"/>
      <c r="T229" s="354"/>
      <c r="U229" s="352"/>
      <c r="V229" s="353"/>
      <c r="W229" s="321"/>
      <c r="X229" s="321"/>
      <c r="Y229" s="321"/>
      <c r="Z229" s="321"/>
      <c r="AA229" s="321"/>
      <c r="AB229" s="321"/>
      <c r="AC229" s="380"/>
      <c r="AD229" s="352"/>
      <c r="AE229" s="408">
        <f t="shared" si="167"/>
        <v>0</v>
      </c>
      <c r="AF229" s="409"/>
      <c r="AG229" s="408"/>
      <c r="AH229" s="409">
        <f t="shared" si="159"/>
        <v>0</v>
      </c>
      <c r="AI229" s="410"/>
      <c r="AJ229" s="411">
        <f t="shared" si="160"/>
        <v>0</v>
      </c>
    </row>
    <row r="230" spans="1:36" s="234" customFormat="1" ht="20.25">
      <c r="A230" s="551"/>
      <c r="B230" s="567"/>
      <c r="C230" s="553"/>
      <c r="D230" s="568"/>
      <c r="E230" s="794"/>
      <c r="F230" s="320"/>
      <c r="G230" s="320"/>
      <c r="H230" s="320"/>
      <c r="I230" s="321"/>
      <c r="J230" s="321"/>
      <c r="K230" s="320"/>
      <c r="L230" s="352"/>
      <c r="M230" s="353"/>
      <c r="N230" s="321"/>
      <c r="O230" s="321"/>
      <c r="P230" s="321"/>
      <c r="Q230" s="321"/>
      <c r="R230" s="321"/>
      <c r="S230" s="321"/>
      <c r="T230" s="354"/>
      <c r="U230" s="352"/>
      <c r="V230" s="353"/>
      <c r="W230" s="321"/>
      <c r="X230" s="321"/>
      <c r="Y230" s="321"/>
      <c r="Z230" s="321"/>
      <c r="AA230" s="321"/>
      <c r="AB230" s="321"/>
      <c r="AC230" s="380"/>
      <c r="AD230" s="352"/>
      <c r="AE230" s="408">
        <f t="shared" si="167"/>
        <v>0</v>
      </c>
      <c r="AF230" s="409"/>
      <c r="AG230" s="408"/>
      <c r="AH230" s="409">
        <f t="shared" si="159"/>
        <v>0</v>
      </c>
      <c r="AI230" s="410"/>
      <c r="AJ230" s="411">
        <f t="shared" si="160"/>
        <v>0</v>
      </c>
    </row>
    <row r="231" spans="1:36" s="234" customFormat="1" ht="20.25">
      <c r="A231" s="1180"/>
      <c r="B231" s="727"/>
      <c r="C231" s="728"/>
      <c r="D231" s="1181"/>
      <c r="E231" s="794"/>
      <c r="F231" s="320"/>
      <c r="G231" s="320"/>
      <c r="H231" s="320"/>
      <c r="I231" s="321"/>
      <c r="J231" s="321"/>
      <c r="K231" s="320"/>
      <c r="L231" s="352"/>
      <c r="M231" s="353"/>
      <c r="N231" s="321"/>
      <c r="O231" s="321"/>
      <c r="P231" s="321"/>
      <c r="Q231" s="321"/>
      <c r="R231" s="321"/>
      <c r="S231" s="321"/>
      <c r="T231" s="354"/>
      <c r="U231" s="352"/>
      <c r="V231" s="353"/>
      <c r="W231" s="321"/>
      <c r="X231" s="321"/>
      <c r="Y231" s="321"/>
      <c r="Z231" s="321"/>
      <c r="AA231" s="321"/>
      <c r="AB231" s="321"/>
      <c r="AC231" s="380"/>
      <c r="AD231" s="352"/>
      <c r="AE231" s="408">
        <f t="shared" si="167"/>
        <v>0</v>
      </c>
      <c r="AF231" s="409"/>
      <c r="AG231" s="408"/>
      <c r="AH231" s="409">
        <f t="shared" si="159"/>
        <v>0</v>
      </c>
      <c r="AI231" s="410"/>
      <c r="AJ231" s="411">
        <f t="shared" si="160"/>
        <v>0</v>
      </c>
    </row>
    <row r="232" spans="1:36" s="234" customFormat="1" ht="20.25">
      <c r="A232" s="1180"/>
      <c r="B232" s="727"/>
      <c r="C232" s="728"/>
      <c r="D232" s="1181"/>
      <c r="E232" s="794"/>
      <c r="F232" s="320"/>
      <c r="G232" s="320"/>
      <c r="H232" s="320"/>
      <c r="I232" s="321"/>
      <c r="J232" s="321"/>
      <c r="K232" s="320"/>
      <c r="L232" s="352"/>
      <c r="M232" s="353"/>
      <c r="N232" s="321"/>
      <c r="O232" s="321"/>
      <c r="P232" s="321"/>
      <c r="Q232" s="321"/>
      <c r="R232" s="321"/>
      <c r="S232" s="321"/>
      <c r="T232" s="354"/>
      <c r="U232" s="352"/>
      <c r="V232" s="353"/>
      <c r="W232" s="321"/>
      <c r="X232" s="321"/>
      <c r="Y232" s="321"/>
      <c r="Z232" s="321"/>
      <c r="AA232" s="321"/>
      <c r="AB232" s="321"/>
      <c r="AC232" s="380"/>
      <c r="AD232" s="352"/>
      <c r="AE232" s="408">
        <f t="shared" si="167"/>
        <v>0</v>
      </c>
      <c r="AF232" s="409"/>
      <c r="AG232" s="408"/>
      <c r="AH232" s="409">
        <f t="shared" si="159"/>
        <v>0</v>
      </c>
      <c r="AI232" s="410"/>
      <c r="AJ232" s="411">
        <f t="shared" si="160"/>
        <v>0</v>
      </c>
    </row>
    <row r="233" spans="1:36" s="234" customFormat="1" ht="20.25">
      <c r="A233" s="1180"/>
      <c r="B233" s="727"/>
      <c r="C233" s="728"/>
      <c r="D233" s="1181"/>
      <c r="E233" s="794"/>
      <c r="F233" s="320"/>
      <c r="G233" s="320"/>
      <c r="H233" s="320"/>
      <c r="I233" s="321"/>
      <c r="J233" s="321"/>
      <c r="K233" s="320"/>
      <c r="L233" s="352"/>
      <c r="M233" s="353"/>
      <c r="N233" s="321"/>
      <c r="O233" s="321"/>
      <c r="P233" s="321"/>
      <c r="Q233" s="321"/>
      <c r="R233" s="321"/>
      <c r="S233" s="321"/>
      <c r="T233" s="354"/>
      <c r="U233" s="352"/>
      <c r="V233" s="353"/>
      <c r="W233" s="321"/>
      <c r="X233" s="321"/>
      <c r="Y233" s="321"/>
      <c r="Z233" s="321"/>
      <c r="AA233" s="321"/>
      <c r="AB233" s="321"/>
      <c r="AC233" s="380"/>
      <c r="AD233" s="352"/>
      <c r="AE233" s="408">
        <f t="shared" si="167"/>
        <v>0</v>
      </c>
      <c r="AF233" s="409"/>
      <c r="AG233" s="408"/>
      <c r="AH233" s="409">
        <f t="shared" si="159"/>
        <v>0</v>
      </c>
      <c r="AI233" s="410"/>
      <c r="AJ233" s="411">
        <f t="shared" si="160"/>
        <v>0</v>
      </c>
    </row>
    <row r="234" spans="1:36" s="234" customFormat="1" ht="20.25">
      <c r="A234" s="551"/>
      <c r="B234" s="567"/>
      <c r="C234" s="553"/>
      <c r="D234" s="568"/>
      <c r="E234" s="794"/>
      <c r="F234" s="320"/>
      <c r="G234" s="320"/>
      <c r="H234" s="320"/>
      <c r="I234" s="321"/>
      <c r="J234" s="321"/>
      <c r="K234" s="320"/>
      <c r="L234" s="352"/>
      <c r="M234" s="353"/>
      <c r="N234" s="321"/>
      <c r="O234" s="321"/>
      <c r="P234" s="321"/>
      <c r="Q234" s="321"/>
      <c r="R234" s="321"/>
      <c r="S234" s="321"/>
      <c r="T234" s="354"/>
      <c r="U234" s="654"/>
      <c r="V234" s="655"/>
      <c r="W234" s="613"/>
      <c r="X234" s="613"/>
      <c r="Y234" s="613"/>
      <c r="Z234" s="613"/>
      <c r="AA234" s="613"/>
      <c r="AB234" s="613"/>
      <c r="AC234" s="678"/>
      <c r="AD234" s="654"/>
      <c r="AE234" s="679">
        <f t="shared" si="167"/>
        <v>0</v>
      </c>
      <c r="AF234" s="680"/>
      <c r="AG234" s="679"/>
      <c r="AH234" s="680">
        <f t="shared" si="159"/>
        <v>0</v>
      </c>
      <c r="AI234" s="697"/>
      <c r="AJ234" s="698">
        <f t="shared" si="160"/>
        <v>0</v>
      </c>
    </row>
    <row r="235" spans="1:36" s="234" customFormat="1" ht="20.25">
      <c r="A235" s="551"/>
      <c r="B235" s="800"/>
      <c r="C235" s="1182"/>
      <c r="D235" s="1183"/>
      <c r="E235" s="1184"/>
      <c r="F235" s="612"/>
      <c r="G235" s="612"/>
      <c r="H235" s="612"/>
      <c r="I235" s="613"/>
      <c r="J235" s="613"/>
      <c r="K235" s="612"/>
      <c r="L235" s="654"/>
      <c r="M235" s="655"/>
      <c r="N235" s="613"/>
      <c r="O235" s="613"/>
      <c r="P235" s="613"/>
      <c r="Q235" s="613"/>
      <c r="R235" s="613"/>
      <c r="S235" s="613"/>
      <c r="T235" s="670"/>
      <c r="U235" s="657"/>
      <c r="V235" s="658"/>
      <c r="W235" s="619"/>
      <c r="X235" s="619"/>
      <c r="Y235" s="619"/>
      <c r="Z235" s="619"/>
      <c r="AA235" s="619"/>
      <c r="AB235" s="619"/>
      <c r="AC235" s="681"/>
      <c r="AD235" s="657"/>
      <c r="AE235" s="682">
        <f t="shared" si="167"/>
        <v>0</v>
      </c>
      <c r="AF235" s="683"/>
      <c r="AG235" s="682"/>
      <c r="AH235" s="683">
        <f t="shared" ref="AH235:AH243" si="170">AE235+AF235+AG235</f>
        <v>0</v>
      </c>
      <c r="AI235" s="699"/>
      <c r="AJ235" s="700">
        <f t="shared" si="160"/>
        <v>0</v>
      </c>
    </row>
    <row r="236" spans="1:36" s="234" customFormat="1" ht="20.25">
      <c r="A236" s="1180"/>
      <c r="B236" s="727"/>
      <c r="C236" s="728"/>
      <c r="D236" s="1181"/>
      <c r="E236" s="778"/>
      <c r="F236" s="618"/>
      <c r="G236" s="618"/>
      <c r="H236" s="618"/>
      <c r="I236" s="619"/>
      <c r="J236" s="619"/>
      <c r="K236" s="618"/>
      <c r="L236" s="657"/>
      <c r="M236" s="658"/>
      <c r="N236" s="619"/>
      <c r="O236" s="619"/>
      <c r="P236" s="619"/>
      <c r="Q236" s="619"/>
      <c r="R236" s="619"/>
      <c r="S236" s="619"/>
      <c r="T236" s="671"/>
      <c r="U236" s="657"/>
      <c r="V236" s="658"/>
      <c r="W236" s="619"/>
      <c r="X236" s="619"/>
      <c r="Y236" s="619"/>
      <c r="Z236" s="619"/>
      <c r="AA236" s="619"/>
      <c r="AB236" s="619"/>
      <c r="AC236" s="681"/>
      <c r="AD236" s="843"/>
      <c r="AE236" s="408">
        <f t="shared" ref="AE236:AE243" si="171">SUM(E236:AC236)</f>
        <v>0</v>
      </c>
      <c r="AF236" s="409"/>
      <c r="AG236" s="408"/>
      <c r="AH236" s="409">
        <f t="shared" si="170"/>
        <v>0</v>
      </c>
      <c r="AI236" s="410"/>
      <c r="AJ236" s="411">
        <f t="shared" ref="AJ236" si="172">AH236+AI236</f>
        <v>0</v>
      </c>
    </row>
    <row r="237" spans="1:36" s="234" customFormat="1" ht="20.25">
      <c r="A237" s="1180"/>
      <c r="B237" s="727"/>
      <c r="C237" s="728"/>
      <c r="D237" s="1181"/>
      <c r="E237" s="778"/>
      <c r="F237" s="618"/>
      <c r="G237" s="618"/>
      <c r="H237" s="618"/>
      <c r="I237" s="619"/>
      <c r="J237" s="619"/>
      <c r="K237" s="618"/>
      <c r="L237" s="657"/>
      <c r="M237" s="658"/>
      <c r="N237" s="619"/>
      <c r="O237" s="619"/>
      <c r="P237" s="619"/>
      <c r="Q237" s="619"/>
      <c r="R237" s="619"/>
      <c r="S237" s="619"/>
      <c r="T237" s="671"/>
      <c r="U237" s="657"/>
      <c r="V237" s="658"/>
      <c r="W237" s="619"/>
      <c r="X237" s="619"/>
      <c r="Y237" s="619"/>
      <c r="Z237" s="619"/>
      <c r="AA237" s="619"/>
      <c r="AB237" s="619"/>
      <c r="AC237" s="681"/>
      <c r="AD237" s="843"/>
      <c r="AE237" s="408">
        <f t="shared" si="171"/>
        <v>0</v>
      </c>
      <c r="AF237" s="409"/>
      <c r="AG237" s="408"/>
      <c r="AH237" s="409">
        <f t="shared" si="170"/>
        <v>0</v>
      </c>
      <c r="AI237" s="410"/>
      <c r="AJ237" s="411">
        <f t="shared" si="160"/>
        <v>0</v>
      </c>
    </row>
    <row r="238" spans="1:36" s="234" customFormat="1" ht="20.25">
      <c r="A238" s="1180"/>
      <c r="B238" s="727"/>
      <c r="C238" s="728"/>
      <c r="D238" s="1181"/>
      <c r="E238" s="778"/>
      <c r="F238" s="618"/>
      <c r="G238" s="618"/>
      <c r="H238" s="618"/>
      <c r="I238" s="619"/>
      <c r="J238" s="619"/>
      <c r="K238" s="618"/>
      <c r="L238" s="657"/>
      <c r="M238" s="658"/>
      <c r="N238" s="619"/>
      <c r="O238" s="619"/>
      <c r="P238" s="619"/>
      <c r="Q238" s="619"/>
      <c r="R238" s="619"/>
      <c r="S238" s="619"/>
      <c r="T238" s="671"/>
      <c r="U238" s="657"/>
      <c r="V238" s="658"/>
      <c r="W238" s="619"/>
      <c r="X238" s="619"/>
      <c r="Y238" s="619"/>
      <c r="Z238" s="619"/>
      <c r="AA238" s="619"/>
      <c r="AB238" s="619"/>
      <c r="AC238" s="681"/>
      <c r="AD238" s="843"/>
      <c r="AE238" s="408">
        <f t="shared" si="171"/>
        <v>0</v>
      </c>
      <c r="AF238" s="409"/>
      <c r="AG238" s="408"/>
      <c r="AH238" s="409">
        <f t="shared" si="170"/>
        <v>0</v>
      </c>
      <c r="AI238" s="410"/>
      <c r="AJ238" s="411">
        <f t="shared" ref="AJ238:AJ242" si="173">AH238+AI238</f>
        <v>0</v>
      </c>
    </row>
    <row r="239" spans="1:36" s="234" customFormat="1" ht="20.25">
      <c r="A239" s="1180"/>
      <c r="B239" s="727"/>
      <c r="C239" s="728"/>
      <c r="D239" s="1181"/>
      <c r="E239" s="778"/>
      <c r="F239" s="618"/>
      <c r="G239" s="618"/>
      <c r="H239" s="618"/>
      <c r="I239" s="619"/>
      <c r="J239" s="619"/>
      <c r="K239" s="618"/>
      <c r="L239" s="657"/>
      <c r="M239" s="658"/>
      <c r="N239" s="619"/>
      <c r="O239" s="619"/>
      <c r="P239" s="619"/>
      <c r="Q239" s="619"/>
      <c r="R239" s="619"/>
      <c r="S239" s="619"/>
      <c r="T239" s="671"/>
      <c r="U239" s="657"/>
      <c r="V239" s="658"/>
      <c r="W239" s="619"/>
      <c r="X239" s="619"/>
      <c r="Y239" s="619"/>
      <c r="Z239" s="619"/>
      <c r="AA239" s="619"/>
      <c r="AB239" s="619"/>
      <c r="AC239" s="681"/>
      <c r="AD239" s="773"/>
      <c r="AE239" s="408">
        <f t="shared" si="171"/>
        <v>0</v>
      </c>
      <c r="AF239" s="409"/>
      <c r="AG239" s="408"/>
      <c r="AH239" s="409">
        <f t="shared" si="170"/>
        <v>0</v>
      </c>
      <c r="AI239" s="410"/>
      <c r="AJ239" s="411">
        <f t="shared" si="173"/>
        <v>0</v>
      </c>
    </row>
    <row r="240" spans="1:36" s="234" customFormat="1" ht="20.25">
      <c r="A240" s="1180"/>
      <c r="B240" s="727"/>
      <c r="C240" s="728"/>
      <c r="D240" s="1181"/>
      <c r="E240" s="778"/>
      <c r="F240" s="618"/>
      <c r="G240" s="618"/>
      <c r="H240" s="618"/>
      <c r="I240" s="619"/>
      <c r="J240" s="619"/>
      <c r="K240" s="618"/>
      <c r="L240" s="657"/>
      <c r="M240" s="658"/>
      <c r="N240" s="619"/>
      <c r="O240" s="619"/>
      <c r="P240" s="619"/>
      <c r="Q240" s="619"/>
      <c r="R240" s="619"/>
      <c r="S240" s="619"/>
      <c r="T240" s="671"/>
      <c r="U240" s="657"/>
      <c r="V240" s="658"/>
      <c r="W240" s="619"/>
      <c r="X240" s="619"/>
      <c r="Y240" s="619"/>
      <c r="Z240" s="619"/>
      <c r="AA240" s="619"/>
      <c r="AB240" s="619"/>
      <c r="AC240" s="681"/>
      <c r="AD240" s="1189"/>
      <c r="AE240" s="408">
        <f t="shared" si="171"/>
        <v>0</v>
      </c>
      <c r="AF240" s="409"/>
      <c r="AG240" s="408"/>
      <c r="AH240" s="409">
        <f t="shared" si="170"/>
        <v>0</v>
      </c>
      <c r="AI240" s="410"/>
      <c r="AJ240" s="411">
        <f t="shared" ref="AJ240:AJ241" si="174">AH240+AI240</f>
        <v>0</v>
      </c>
    </row>
    <row r="241" spans="1:39" s="234" customFormat="1" ht="20.25">
      <c r="A241" s="1180"/>
      <c r="B241" s="727"/>
      <c r="C241" s="728"/>
      <c r="D241" s="1181"/>
      <c r="E241" s="778"/>
      <c r="F241" s="618"/>
      <c r="G241" s="618"/>
      <c r="H241" s="618"/>
      <c r="I241" s="619"/>
      <c r="J241" s="619"/>
      <c r="K241" s="618"/>
      <c r="L241" s="657"/>
      <c r="M241" s="658"/>
      <c r="N241" s="619"/>
      <c r="O241" s="619"/>
      <c r="P241" s="619"/>
      <c r="Q241" s="619"/>
      <c r="R241" s="619"/>
      <c r="S241" s="619"/>
      <c r="T241" s="671"/>
      <c r="U241" s="657"/>
      <c r="V241" s="658"/>
      <c r="W241" s="619"/>
      <c r="X241" s="619"/>
      <c r="Y241" s="619"/>
      <c r="Z241" s="619"/>
      <c r="AA241" s="619"/>
      <c r="AB241" s="619"/>
      <c r="AC241" s="681"/>
      <c r="AD241" s="1189"/>
      <c r="AE241" s="408">
        <f t="shared" si="171"/>
        <v>0</v>
      </c>
      <c r="AF241" s="409"/>
      <c r="AG241" s="408"/>
      <c r="AH241" s="409">
        <f t="shared" si="170"/>
        <v>0</v>
      </c>
      <c r="AI241" s="410"/>
      <c r="AJ241" s="411">
        <f t="shared" si="174"/>
        <v>0</v>
      </c>
    </row>
    <row r="242" spans="1:39" ht="20.25">
      <c r="A242" s="1180"/>
      <c r="B242" s="727"/>
      <c r="C242" s="728"/>
      <c r="D242" s="1181"/>
      <c r="E242" s="778"/>
      <c r="F242" s="618"/>
      <c r="G242" s="618"/>
      <c r="H242" s="618"/>
      <c r="I242" s="619"/>
      <c r="J242" s="619"/>
      <c r="K242" s="618"/>
      <c r="L242" s="657"/>
      <c r="M242" s="658"/>
      <c r="N242" s="619"/>
      <c r="O242" s="619"/>
      <c r="P242" s="619"/>
      <c r="Q242" s="619"/>
      <c r="R242" s="619"/>
      <c r="S242" s="619"/>
      <c r="T242" s="671"/>
      <c r="U242" s="657"/>
      <c r="V242" s="658"/>
      <c r="W242" s="619"/>
      <c r="X242" s="619"/>
      <c r="Y242" s="619"/>
      <c r="Z242" s="619"/>
      <c r="AA242" s="619"/>
      <c r="AB242" s="619"/>
      <c r="AC242" s="681"/>
      <c r="AD242" s="1189"/>
      <c r="AE242" s="408">
        <f t="shared" si="171"/>
        <v>0</v>
      </c>
      <c r="AF242" s="409"/>
      <c r="AG242" s="408"/>
      <c r="AH242" s="409">
        <f t="shared" si="170"/>
        <v>0</v>
      </c>
      <c r="AI242" s="410"/>
      <c r="AJ242" s="411">
        <f t="shared" si="173"/>
        <v>0</v>
      </c>
    </row>
    <row r="243" spans="1:39" ht="21" thickBot="1">
      <c r="A243" s="1185"/>
      <c r="B243" s="1186"/>
      <c r="C243" s="1187"/>
      <c r="D243" s="1188"/>
      <c r="E243" s="778"/>
      <c r="F243" s="618"/>
      <c r="G243" s="618"/>
      <c r="H243" s="618"/>
      <c r="I243" s="619"/>
      <c r="J243" s="619"/>
      <c r="K243" s="618"/>
      <c r="L243" s="657"/>
      <c r="M243" s="658"/>
      <c r="N243" s="619"/>
      <c r="O243" s="619"/>
      <c r="P243" s="619"/>
      <c r="Q243" s="619"/>
      <c r="R243" s="619"/>
      <c r="S243" s="619"/>
      <c r="T243" s="671"/>
      <c r="U243" s="657"/>
      <c r="V243" s="658"/>
      <c r="W243" s="619"/>
      <c r="X243" s="619"/>
      <c r="Y243" s="619"/>
      <c r="Z243" s="619"/>
      <c r="AA243" s="619"/>
      <c r="AB243" s="619"/>
      <c r="AC243" s="681"/>
      <c r="AD243" s="774"/>
      <c r="AE243" s="785">
        <f t="shared" si="171"/>
        <v>0</v>
      </c>
      <c r="AF243" s="786"/>
      <c r="AG243" s="785"/>
      <c r="AH243" s="786">
        <f t="shared" si="170"/>
        <v>0</v>
      </c>
      <c r="AI243" s="790"/>
      <c r="AJ243" s="791">
        <f t="shared" si="160"/>
        <v>0</v>
      </c>
    </row>
    <row r="244" spans="1:39" s="284" customFormat="1" ht="21" thickBot="1">
      <c r="A244" s="626" t="s">
        <v>151</v>
      </c>
      <c r="B244" s="627"/>
      <c r="C244" s="627"/>
      <c r="D244" s="628"/>
      <c r="E244" s="529">
        <f t="shared" ref="E244:K244" si="175">SUM(E175:E243)</f>
        <v>0</v>
      </c>
      <c r="F244" s="691">
        <f t="shared" si="175"/>
        <v>0</v>
      </c>
      <c r="G244" s="691">
        <f t="shared" si="175"/>
        <v>0</v>
      </c>
      <c r="H244" s="691">
        <f t="shared" si="175"/>
        <v>0</v>
      </c>
      <c r="I244" s="691">
        <f t="shared" si="175"/>
        <v>0</v>
      </c>
      <c r="J244" s="691">
        <f t="shared" si="175"/>
        <v>0</v>
      </c>
      <c r="K244" s="691">
        <f t="shared" si="175"/>
        <v>0</v>
      </c>
      <c r="L244" s="574"/>
      <c r="M244" s="529">
        <f t="shared" ref="M244:T244" si="176">SUM(M175:M243)</f>
        <v>0</v>
      </c>
      <c r="N244" s="691">
        <f t="shared" si="176"/>
        <v>0</v>
      </c>
      <c r="O244" s="691">
        <f t="shared" si="176"/>
        <v>0</v>
      </c>
      <c r="P244" s="691">
        <f t="shared" si="176"/>
        <v>0</v>
      </c>
      <c r="Q244" s="691">
        <f t="shared" si="176"/>
        <v>0</v>
      </c>
      <c r="R244" s="691">
        <f t="shared" si="176"/>
        <v>0</v>
      </c>
      <c r="S244" s="691">
        <f t="shared" si="176"/>
        <v>0</v>
      </c>
      <c r="T244" s="705">
        <f t="shared" si="176"/>
        <v>0</v>
      </c>
      <c r="U244" s="574"/>
      <c r="V244" s="529">
        <f t="shared" ref="V244:AC244" si="177">SUM(V175:V243)</f>
        <v>288</v>
      </c>
      <c r="W244" s="691">
        <f t="shared" si="177"/>
        <v>0</v>
      </c>
      <c r="X244" s="691">
        <f t="shared" si="177"/>
        <v>160</v>
      </c>
      <c r="Y244" s="691">
        <f t="shared" si="177"/>
        <v>0</v>
      </c>
      <c r="Z244" s="691">
        <f t="shared" si="177"/>
        <v>0</v>
      </c>
      <c r="AA244" s="691">
        <f t="shared" si="177"/>
        <v>0</v>
      </c>
      <c r="AB244" s="691">
        <f t="shared" si="177"/>
        <v>272</v>
      </c>
      <c r="AC244" s="705">
        <f t="shared" si="177"/>
        <v>0</v>
      </c>
      <c r="AD244" s="575"/>
      <c r="AE244" s="687">
        <f t="shared" ref="AE244:AJ244" si="178">SUM(AE175:AE243)</f>
        <v>720</v>
      </c>
      <c r="AF244" s="575">
        <f t="shared" si="178"/>
        <v>0</v>
      </c>
      <c r="AG244" s="687">
        <f t="shared" si="178"/>
        <v>0</v>
      </c>
      <c r="AH244" s="662">
        <f t="shared" si="178"/>
        <v>720</v>
      </c>
      <c r="AI244" s="575">
        <f t="shared" si="178"/>
        <v>0</v>
      </c>
      <c r="AJ244" s="687">
        <f t="shared" si="178"/>
        <v>720</v>
      </c>
      <c r="AK244" s="403"/>
      <c r="AL244" s="403"/>
      <c r="AM244" s="403"/>
    </row>
    <row r="245" spans="1:39" s="282" customFormat="1" ht="21" thickBot="1">
      <c r="A245" s="530" t="s">
        <v>152</v>
      </c>
      <c r="B245" s="531"/>
      <c r="C245" s="531"/>
      <c r="D245" s="630"/>
      <c r="E245" s="533">
        <f t="shared" ref="E245:T245" si="179">E244/16</f>
        <v>0</v>
      </c>
      <c r="F245" s="533">
        <f t="shared" si="179"/>
        <v>0</v>
      </c>
      <c r="G245" s="533">
        <f t="shared" si="179"/>
        <v>0</v>
      </c>
      <c r="H245" s="533">
        <f t="shared" si="179"/>
        <v>0</v>
      </c>
      <c r="I245" s="533">
        <f t="shared" si="179"/>
        <v>0</v>
      </c>
      <c r="J245" s="533">
        <f t="shared" si="179"/>
        <v>0</v>
      </c>
      <c r="K245" s="533">
        <f t="shared" si="179"/>
        <v>0</v>
      </c>
      <c r="L245" s="533"/>
      <c r="M245" s="533">
        <f t="shared" si="179"/>
        <v>0</v>
      </c>
      <c r="N245" s="533">
        <f t="shared" si="179"/>
        <v>0</v>
      </c>
      <c r="O245" s="533">
        <f t="shared" si="179"/>
        <v>0</v>
      </c>
      <c r="P245" s="533">
        <f t="shared" si="179"/>
        <v>0</v>
      </c>
      <c r="Q245" s="533">
        <f t="shared" si="179"/>
        <v>0</v>
      </c>
      <c r="R245" s="533">
        <f t="shared" si="179"/>
        <v>0</v>
      </c>
      <c r="S245" s="533">
        <f t="shared" si="179"/>
        <v>0</v>
      </c>
      <c r="T245" s="533">
        <f t="shared" si="179"/>
        <v>0</v>
      </c>
      <c r="U245" s="533"/>
      <c r="V245" s="533">
        <f t="shared" ref="V245:AJ245" si="180">V244/16</f>
        <v>18</v>
      </c>
      <c r="W245" s="533">
        <f t="shared" si="180"/>
        <v>0</v>
      </c>
      <c r="X245" s="533">
        <f t="shared" si="180"/>
        <v>10</v>
      </c>
      <c r="Y245" s="533">
        <f t="shared" si="180"/>
        <v>0</v>
      </c>
      <c r="Z245" s="533">
        <f t="shared" si="180"/>
        <v>0</v>
      </c>
      <c r="AA245" s="533">
        <f t="shared" si="180"/>
        <v>0</v>
      </c>
      <c r="AB245" s="533">
        <f t="shared" si="180"/>
        <v>17</v>
      </c>
      <c r="AC245" s="687">
        <f t="shared" si="180"/>
        <v>0</v>
      </c>
      <c r="AD245" s="533"/>
      <c r="AE245" s="533">
        <f t="shared" si="180"/>
        <v>45</v>
      </c>
      <c r="AF245" s="533">
        <f t="shared" si="180"/>
        <v>0</v>
      </c>
      <c r="AG245" s="533">
        <f t="shared" si="180"/>
        <v>0</v>
      </c>
      <c r="AH245" s="533">
        <f t="shared" si="180"/>
        <v>45</v>
      </c>
      <c r="AI245" s="533">
        <f t="shared" si="180"/>
        <v>0</v>
      </c>
      <c r="AJ245" s="533">
        <f t="shared" si="180"/>
        <v>45</v>
      </c>
    </row>
    <row r="246" spans="1:39" s="283" customFormat="1" ht="19.5" thickBot="1">
      <c r="A246" s="306"/>
      <c r="B246" s="307"/>
      <c r="C246" s="307"/>
      <c r="D246" s="308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346"/>
      <c r="V246" s="347"/>
      <c r="W246" s="347"/>
      <c r="X246" s="347"/>
      <c r="Y246" s="347"/>
      <c r="Z246" s="347"/>
      <c r="AA246" s="347"/>
      <c r="AB246" s="347"/>
      <c r="AC246" s="347"/>
      <c r="AD246" s="346"/>
      <c r="AE246" s="347"/>
      <c r="AF246" s="347"/>
      <c r="AG246" s="347"/>
      <c r="AH246" s="347"/>
      <c r="AI246" s="347"/>
      <c r="AJ246" s="402"/>
    </row>
    <row r="247" spans="1:39" s="283" customFormat="1" ht="16.5" thickBot="1">
      <c r="A247" s="3881" t="s">
        <v>183</v>
      </c>
      <c r="B247" s="3882"/>
      <c r="C247" s="3883"/>
      <c r="D247" s="288" t="s">
        <v>70</v>
      </c>
      <c r="E247" s="80" t="s">
        <v>86</v>
      </c>
      <c r="F247" s="744"/>
      <c r="G247" s="744"/>
      <c r="H247" s="744"/>
      <c r="I247" s="744"/>
      <c r="J247" s="744"/>
      <c r="K247" s="783"/>
      <c r="L247" s="79"/>
      <c r="M247" s="743" t="s">
        <v>71</v>
      </c>
      <c r="N247" s="744" t="s">
        <v>72</v>
      </c>
      <c r="O247" s="744" t="s">
        <v>118</v>
      </c>
      <c r="P247" s="744" t="s">
        <v>74</v>
      </c>
      <c r="Q247" s="744" t="s">
        <v>75</v>
      </c>
      <c r="R247" s="744" t="s">
        <v>223</v>
      </c>
      <c r="S247" s="50" t="s">
        <v>77</v>
      </c>
      <c r="T247" s="171" t="s">
        <v>101</v>
      </c>
      <c r="U247" s="79"/>
      <c r="V247" s="745" t="str">
        <f>V3</f>
        <v>S-W</v>
      </c>
      <c r="W247" s="746" t="str">
        <f>W3</f>
        <v>T.W</v>
      </c>
      <c r="X247" s="746" t="s">
        <v>100</v>
      </c>
      <c r="Y247" s="746" t="str">
        <f>Y3</f>
        <v>C.W</v>
      </c>
      <c r="Z247" s="746" t="str">
        <f>Z3</f>
        <v>M.Bz</v>
      </c>
      <c r="AA247" s="746" t="str">
        <f>AA3</f>
        <v>Brown</v>
      </c>
      <c r="AB247" s="746" t="str">
        <f>AB3</f>
        <v>R-W</v>
      </c>
      <c r="AC247" s="717" t="s">
        <v>82</v>
      </c>
      <c r="AD247" s="79"/>
      <c r="AE247" s="371" t="s">
        <v>172</v>
      </c>
      <c r="AF247" s="372" t="s">
        <v>80</v>
      </c>
      <c r="AG247" s="385"/>
      <c r="AH247" s="386" t="s">
        <v>106</v>
      </c>
      <c r="AI247" s="385" t="s">
        <v>173</v>
      </c>
      <c r="AJ247" s="371" t="s">
        <v>108</v>
      </c>
    </row>
    <row r="248" spans="1:39" s="283" customFormat="1" ht="19.5" customHeight="1">
      <c r="A248" s="631" t="s">
        <v>184</v>
      </c>
      <c r="B248" s="443"/>
      <c r="C248" s="443"/>
      <c r="D248" s="444"/>
      <c r="E248" s="433"/>
      <c r="F248" s="434"/>
      <c r="G248" s="434"/>
      <c r="H248" s="434"/>
      <c r="I248" s="435"/>
      <c r="J248" s="435"/>
      <c r="K248" s="434"/>
      <c r="L248" s="483"/>
      <c r="M248" s="484"/>
      <c r="N248" s="435"/>
      <c r="O248" s="435"/>
      <c r="P248" s="435"/>
      <c r="Q248" s="435"/>
      <c r="R248" s="435"/>
      <c r="S248" s="435"/>
      <c r="T248" s="492"/>
      <c r="U248" s="483"/>
      <c r="V248" s="433"/>
      <c r="W248" s="434"/>
      <c r="X248" s="434"/>
      <c r="Y248" s="435"/>
      <c r="Z248" s="435"/>
      <c r="AA248" s="435"/>
      <c r="AB248" s="434"/>
      <c r="AC248" s="495"/>
      <c r="AD248" s="483"/>
      <c r="AE248" s="496">
        <f>SUM(E248:AC248)</f>
        <v>0</v>
      </c>
      <c r="AF248" s="497"/>
      <c r="AG248" s="510"/>
      <c r="AH248" s="511">
        <f t="shared" ref="AH248:AH249" si="181">AE248+AF248</f>
        <v>0</v>
      </c>
      <c r="AI248" s="512"/>
      <c r="AJ248" s="703">
        <f>AH248+AI248</f>
        <v>0</v>
      </c>
    </row>
    <row r="249" spans="1:39" s="284" customFormat="1" ht="24.75" customHeight="1" thickBot="1">
      <c r="A249" s="322"/>
      <c r="B249" s="323"/>
      <c r="C249" s="323"/>
      <c r="D249" s="324"/>
      <c r="E249" s="325"/>
      <c r="F249" s="297"/>
      <c r="G249" s="297"/>
      <c r="H249" s="297"/>
      <c r="I249" s="298"/>
      <c r="J249" s="298"/>
      <c r="K249" s="297"/>
      <c r="L249" s="355"/>
      <c r="M249" s="343"/>
      <c r="N249" s="298"/>
      <c r="O249" s="298"/>
      <c r="P249" s="298"/>
      <c r="Q249" s="298"/>
      <c r="R249" s="298"/>
      <c r="S249" s="298"/>
      <c r="T249" s="367"/>
      <c r="U249" s="355"/>
      <c r="V249" s="325"/>
      <c r="W249" s="297"/>
      <c r="X249" s="297"/>
      <c r="Y249" s="298"/>
      <c r="Z249" s="298"/>
      <c r="AA249" s="298"/>
      <c r="AB249" s="297"/>
      <c r="AC249" s="375"/>
      <c r="AD249" s="355"/>
      <c r="AE249" s="377">
        <f>SUM(E249:AC249)</f>
        <v>0</v>
      </c>
      <c r="AF249" s="377"/>
      <c r="AG249" s="390"/>
      <c r="AH249" s="507">
        <f t="shared" si="181"/>
        <v>0</v>
      </c>
      <c r="AI249" s="412"/>
      <c r="AJ249" s="508">
        <f t="shared" ref="AJ249" si="182">AH249+AI249</f>
        <v>0</v>
      </c>
      <c r="AK249" s="403"/>
      <c r="AL249" s="403"/>
      <c r="AM249" s="403"/>
    </row>
    <row r="250" spans="1:39" s="1" customFormat="1" ht="21" thickBot="1">
      <c r="A250" s="436"/>
      <c r="B250" s="437"/>
      <c r="C250" s="437"/>
      <c r="D250" s="438"/>
      <c r="E250" s="439">
        <f>SUM(E248:E249)</f>
        <v>0</v>
      </c>
      <c r="F250" s="440">
        <f>SUM(F248:F249)</f>
        <v>0</v>
      </c>
      <c r="G250" s="440">
        <f t="shared" ref="G250" si="183">SUM(G248:G249)</f>
        <v>0</v>
      </c>
      <c r="H250" s="440">
        <f t="shared" ref="H250:K250" si="184">SUM(H248:H249)</f>
        <v>0</v>
      </c>
      <c r="I250" s="440">
        <f t="shared" si="184"/>
        <v>0</v>
      </c>
      <c r="J250" s="440">
        <f t="shared" si="184"/>
        <v>0</v>
      </c>
      <c r="K250" s="440">
        <f t="shared" si="184"/>
        <v>0</v>
      </c>
      <c r="L250" s="482"/>
      <c r="M250" s="439">
        <f t="shared" ref="M250:T250" si="185">SUM(M248:M249)</f>
        <v>0</v>
      </c>
      <c r="N250" s="440">
        <f t="shared" si="185"/>
        <v>0</v>
      </c>
      <c r="O250" s="440">
        <f t="shared" si="185"/>
        <v>0</v>
      </c>
      <c r="P250" s="440">
        <f t="shared" si="185"/>
        <v>0</v>
      </c>
      <c r="Q250" s="440">
        <f t="shared" si="185"/>
        <v>0</v>
      </c>
      <c r="R250" s="440">
        <f t="shared" si="185"/>
        <v>0</v>
      </c>
      <c r="S250" s="440">
        <f t="shared" si="185"/>
        <v>0</v>
      </c>
      <c r="T250" s="481">
        <f t="shared" si="185"/>
        <v>0</v>
      </c>
      <c r="U250" s="482"/>
      <c r="V250" s="439">
        <f t="shared" ref="V250:AC250" si="186">SUM(V248:V249)</f>
        <v>0</v>
      </c>
      <c r="W250" s="440">
        <f t="shared" si="186"/>
        <v>0</v>
      </c>
      <c r="X250" s="440">
        <f t="shared" si="186"/>
        <v>0</v>
      </c>
      <c r="Y250" s="440">
        <f t="shared" si="186"/>
        <v>0</v>
      </c>
      <c r="Z250" s="440">
        <f t="shared" si="186"/>
        <v>0</v>
      </c>
      <c r="AA250" s="440">
        <f t="shared" si="186"/>
        <v>0</v>
      </c>
      <c r="AB250" s="440">
        <f t="shared" si="186"/>
        <v>0</v>
      </c>
      <c r="AC250" s="481">
        <f t="shared" si="186"/>
        <v>0</v>
      </c>
      <c r="AD250" s="482"/>
      <c r="AE250" s="494">
        <f>SUM(AE248:AE249)</f>
        <v>0</v>
      </c>
      <c r="AF250" s="494">
        <f>SUM(AF248:AF249)</f>
        <v>0</v>
      </c>
      <c r="AG250" s="509"/>
      <c r="AH250" s="514">
        <f>SUM(AH248:AH249)</f>
        <v>0</v>
      </c>
      <c r="AI250" s="494">
        <f>SUM(AI248:AI249)</f>
        <v>0</v>
      </c>
      <c r="AJ250" s="515">
        <f>SUM(AJ248:AJ249)</f>
        <v>0</v>
      </c>
    </row>
    <row r="251" spans="1:39" ht="19.5" thickBot="1">
      <c r="A251" s="1118"/>
      <c r="B251" s="1119"/>
      <c r="C251" s="1119"/>
      <c r="D251" s="1120"/>
      <c r="E251" s="1121"/>
      <c r="F251" s="1121"/>
      <c r="G251" s="1121"/>
      <c r="H251" s="1121"/>
      <c r="I251" s="1121"/>
      <c r="J251" s="1121"/>
      <c r="K251" s="1121"/>
      <c r="L251" s="1133"/>
      <c r="M251" s="1134"/>
      <c r="N251" s="1134"/>
      <c r="O251" s="1134"/>
      <c r="P251" s="1134"/>
      <c r="Q251" s="1134"/>
      <c r="R251" s="1134"/>
      <c r="S251" s="1134"/>
      <c r="T251" s="1134"/>
      <c r="U251" s="1133"/>
      <c r="V251" s="1134"/>
      <c r="W251" s="1134"/>
      <c r="X251" s="1134"/>
      <c r="Y251" s="1134"/>
      <c r="Z251" s="1134"/>
      <c r="AA251" s="1134"/>
      <c r="AB251" s="1134"/>
      <c r="AC251" s="1134"/>
      <c r="AD251" s="1133"/>
      <c r="AE251" s="1134"/>
      <c r="AF251" s="1134"/>
      <c r="AG251" s="1162"/>
      <c r="AH251" s="1134"/>
      <c r="AI251" s="1134"/>
      <c r="AJ251" s="1163"/>
    </row>
    <row r="252" spans="1:39" ht="20.25">
      <c r="A252" s="122"/>
      <c r="B252" s="632"/>
      <c r="C252" s="632"/>
      <c r="D252" s="12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663"/>
      <c r="V252" s="3903"/>
      <c r="W252" s="3903"/>
      <c r="X252" s="3903"/>
      <c r="Y252" s="3903"/>
      <c r="Z252" s="3903"/>
      <c r="AA252" s="3903"/>
      <c r="AB252" s="3903"/>
      <c r="AC252" s="3903"/>
      <c r="AD252" s="688"/>
      <c r="AE252" s="689"/>
      <c r="AF252" s="673"/>
      <c r="AG252" s="673"/>
      <c r="AH252" s="689"/>
      <c r="AI252" s="689"/>
      <c r="AJ252" s="704"/>
    </row>
    <row r="253" spans="1:39" ht="21" thickBot="1">
      <c r="A253" s="634"/>
      <c r="B253" s="635"/>
      <c r="C253" s="635"/>
      <c r="D253" s="634"/>
      <c r="E253" s="3901"/>
      <c r="F253" s="3901"/>
      <c r="G253" s="3901"/>
      <c r="H253" s="3901"/>
      <c r="I253" s="3901"/>
      <c r="J253" s="3901"/>
      <c r="K253" s="3901"/>
      <c r="L253" s="633"/>
      <c r="M253" s="3902"/>
      <c r="N253" s="3902"/>
      <c r="O253" s="3902"/>
      <c r="P253" s="3902"/>
      <c r="Q253" s="3902"/>
      <c r="R253" s="3902"/>
      <c r="S253" s="3902"/>
      <c r="T253" s="3902"/>
      <c r="U253" s="634"/>
      <c r="V253" s="634"/>
      <c r="W253" s="634"/>
      <c r="X253" s="634"/>
      <c r="Y253" s="634"/>
      <c r="Z253" s="634"/>
      <c r="AA253" s="634"/>
      <c r="AB253" s="690"/>
      <c r="AC253" s="690"/>
      <c r="AD253" s="690"/>
      <c r="AE253" s="690"/>
      <c r="AF253" s="634"/>
      <c r="AG253" s="634"/>
      <c r="AH253" s="634"/>
      <c r="AI253" s="634"/>
      <c r="AJ253" s="634"/>
    </row>
    <row r="254" spans="1:39" ht="21" thickBot="1">
      <c r="A254" s="636" t="s">
        <v>185</v>
      </c>
      <c r="B254" s="637"/>
      <c r="C254" s="637"/>
      <c r="D254" s="638"/>
      <c r="E254" s="529">
        <f t="shared" ref="E254:K254" si="187">E170-E244+E250</f>
        <v>0</v>
      </c>
      <c r="F254" s="639">
        <f t="shared" si="187"/>
        <v>0</v>
      </c>
      <c r="G254" s="639">
        <f t="shared" si="187"/>
        <v>0</v>
      </c>
      <c r="H254" s="639">
        <f t="shared" si="187"/>
        <v>0</v>
      </c>
      <c r="I254" s="639">
        <f t="shared" si="187"/>
        <v>0</v>
      </c>
      <c r="J254" s="639">
        <f t="shared" si="187"/>
        <v>0</v>
      </c>
      <c r="K254" s="639">
        <f t="shared" si="187"/>
        <v>0</v>
      </c>
      <c r="L254" s="574"/>
      <c r="M254" s="665">
        <f t="shared" ref="M254:T254" si="188">M170-M244+M250</f>
        <v>0</v>
      </c>
      <c r="N254" s="666">
        <f t="shared" si="188"/>
        <v>0</v>
      </c>
      <c r="O254" s="666">
        <f t="shared" si="188"/>
        <v>0</v>
      </c>
      <c r="P254" s="666">
        <f t="shared" si="188"/>
        <v>0</v>
      </c>
      <c r="Q254" s="666">
        <f t="shared" si="188"/>
        <v>0</v>
      </c>
      <c r="R254" s="666">
        <f t="shared" si="188"/>
        <v>0</v>
      </c>
      <c r="S254" s="666">
        <f t="shared" si="188"/>
        <v>0</v>
      </c>
      <c r="T254" s="674">
        <f t="shared" si="188"/>
        <v>0</v>
      </c>
      <c r="U254" s="574"/>
      <c r="V254" s="665">
        <f t="shared" ref="V254:AC254" si="189">V170-V244+V250</f>
        <v>768</v>
      </c>
      <c r="W254" s="666">
        <f t="shared" si="189"/>
        <v>0</v>
      </c>
      <c r="X254" s="666">
        <f t="shared" si="189"/>
        <v>464</v>
      </c>
      <c r="Y254" s="666">
        <f t="shared" si="189"/>
        <v>0</v>
      </c>
      <c r="Z254" s="666">
        <f t="shared" si="189"/>
        <v>0</v>
      </c>
      <c r="AA254" s="666">
        <f t="shared" si="189"/>
        <v>0</v>
      </c>
      <c r="AB254" s="666">
        <f t="shared" si="189"/>
        <v>1152</v>
      </c>
      <c r="AC254" s="674">
        <f t="shared" si="189"/>
        <v>0</v>
      </c>
      <c r="AD254" s="691"/>
      <c r="AE254" s="529">
        <f>AE170-AE244+AE250</f>
        <v>2384</v>
      </c>
      <c r="AF254" s="3775">
        <f>AF170-AF244-AG244+AF250</f>
        <v>34</v>
      </c>
      <c r="AG254" s="3884"/>
      <c r="AH254" s="529">
        <f>AH170-AH244+AH250</f>
        <v>2418</v>
      </c>
      <c r="AI254" s="529">
        <f>AI170-AI244+AI250</f>
        <v>36</v>
      </c>
      <c r="AJ254" s="693">
        <f>AJ170-AJ244+AJ250</f>
        <v>2454</v>
      </c>
      <c r="AK254" s="1"/>
    </row>
    <row r="255" spans="1:39" ht="21" thickBot="1">
      <c r="A255" s="640" t="s">
        <v>186</v>
      </c>
      <c r="B255" s="641"/>
      <c r="C255" s="641"/>
      <c r="D255" s="642"/>
      <c r="E255" s="529">
        <f t="shared" ref="E255:T255" si="190">E254/16</f>
        <v>0</v>
      </c>
      <c r="F255" s="529">
        <f t="shared" si="190"/>
        <v>0</v>
      </c>
      <c r="G255" s="529">
        <f t="shared" si="190"/>
        <v>0</v>
      </c>
      <c r="H255" s="529">
        <f t="shared" si="190"/>
        <v>0</v>
      </c>
      <c r="I255" s="529">
        <f t="shared" si="190"/>
        <v>0</v>
      </c>
      <c r="J255" s="529">
        <f t="shared" si="190"/>
        <v>0</v>
      </c>
      <c r="K255" s="529">
        <f t="shared" si="190"/>
        <v>0</v>
      </c>
      <c r="L255" s="529"/>
      <c r="M255" s="529">
        <f t="shared" si="190"/>
        <v>0</v>
      </c>
      <c r="N255" s="529">
        <f t="shared" si="190"/>
        <v>0</v>
      </c>
      <c r="O255" s="529">
        <f t="shared" si="190"/>
        <v>0</v>
      </c>
      <c r="P255" s="529">
        <f t="shared" si="190"/>
        <v>0</v>
      </c>
      <c r="Q255" s="529">
        <f t="shared" si="190"/>
        <v>0</v>
      </c>
      <c r="R255" s="529">
        <f t="shared" si="190"/>
        <v>0</v>
      </c>
      <c r="S255" s="529">
        <f t="shared" si="190"/>
        <v>0</v>
      </c>
      <c r="T255" s="529">
        <f t="shared" si="190"/>
        <v>0</v>
      </c>
      <c r="U255" s="529"/>
      <c r="V255" s="529">
        <f t="shared" ref="V255:AC255" si="191">V254/16</f>
        <v>48</v>
      </c>
      <c r="W255" s="529">
        <f t="shared" si="191"/>
        <v>0</v>
      </c>
      <c r="X255" s="529">
        <f t="shared" si="191"/>
        <v>29</v>
      </c>
      <c r="Y255" s="529">
        <f t="shared" si="191"/>
        <v>0</v>
      </c>
      <c r="Z255" s="529">
        <f t="shared" si="191"/>
        <v>0</v>
      </c>
      <c r="AA255" s="529">
        <f t="shared" si="191"/>
        <v>0</v>
      </c>
      <c r="AB255" s="529">
        <f t="shared" si="191"/>
        <v>72</v>
      </c>
      <c r="AC255" s="529">
        <f t="shared" si="191"/>
        <v>0</v>
      </c>
      <c r="AD255" s="692"/>
      <c r="AE255" s="693">
        <f>AE254/16</f>
        <v>149</v>
      </c>
      <c r="AF255" s="3775">
        <f>AF254/16</f>
        <v>2.125</v>
      </c>
      <c r="AG255" s="3884"/>
      <c r="AH255" s="693">
        <f>AH254/16</f>
        <v>151.125</v>
      </c>
      <c r="AI255" s="693">
        <f t="shared" ref="AI255:AJ255" si="192">AI254/16</f>
        <v>2.25</v>
      </c>
      <c r="AJ255" s="693">
        <f t="shared" si="192"/>
        <v>153.375</v>
      </c>
    </row>
    <row r="256" spans="1:39" ht="21" thickBot="1">
      <c r="A256" s="643" t="s">
        <v>156</v>
      </c>
      <c r="B256" s="644"/>
      <c r="C256" s="644"/>
      <c r="D256" s="645"/>
      <c r="E256" s="3885">
        <f>SUM(E255:K255)</f>
        <v>0</v>
      </c>
      <c r="F256" s="3886"/>
      <c r="G256" s="3886"/>
      <c r="H256" s="3886"/>
      <c r="I256" s="3886"/>
      <c r="J256" s="3886"/>
      <c r="K256" s="3886"/>
      <c r="L256" s="667"/>
      <c r="M256" s="3775">
        <f>SUM(M255:T255)</f>
        <v>0</v>
      </c>
      <c r="N256" s="3887"/>
      <c r="O256" s="3887"/>
      <c r="P256" s="3887"/>
      <c r="Q256" s="3887"/>
      <c r="R256" s="3887"/>
      <c r="S256" s="3887"/>
      <c r="T256" s="3884"/>
      <c r="U256" s="675"/>
      <c r="V256" s="3778">
        <f>SUM(V255:AC255)</f>
        <v>149</v>
      </c>
      <c r="W256" s="3779"/>
      <c r="X256" s="3779"/>
      <c r="Y256" s="3779"/>
      <c r="Z256" s="3779"/>
      <c r="AA256" s="3779"/>
      <c r="AB256" s="3779"/>
      <c r="AC256" s="3780"/>
      <c r="AD256" s="694"/>
      <c r="AE256" s="694"/>
      <c r="AF256" s="694"/>
      <c r="AG256" s="694"/>
      <c r="AH256" s="694"/>
      <c r="AI256" s="694"/>
      <c r="AJ256" s="707"/>
    </row>
    <row r="257" spans="1:36" ht="21" thickBot="1">
      <c r="A257" s="646" t="s">
        <v>157</v>
      </c>
      <c r="B257" s="647"/>
      <c r="C257" s="647"/>
      <c r="D257" s="648"/>
      <c r="E257" s="3875">
        <f>SUM(E254:K254)</f>
        <v>0</v>
      </c>
      <c r="F257" s="3876"/>
      <c r="G257" s="3876"/>
      <c r="H257" s="3876"/>
      <c r="I257" s="3876"/>
      <c r="J257" s="3876"/>
      <c r="K257" s="3876"/>
      <c r="L257" s="669"/>
      <c r="M257" s="3877">
        <f>SUM(M254:T254)</f>
        <v>0</v>
      </c>
      <c r="N257" s="3878"/>
      <c r="O257" s="3878"/>
      <c r="P257" s="3878"/>
      <c r="Q257" s="3878"/>
      <c r="R257" s="3878"/>
      <c r="S257" s="3878"/>
      <c r="T257" s="3879"/>
      <c r="U257" s="676"/>
      <c r="V257" s="3781">
        <f>SUM(V254:AC254)</f>
        <v>2384</v>
      </c>
      <c r="W257" s="3788"/>
      <c r="X257" s="3788"/>
      <c r="Y257" s="3788"/>
      <c r="Z257" s="3788"/>
      <c r="AA257" s="3788"/>
      <c r="AB257" s="3788"/>
      <c r="AC257" s="3880"/>
      <c r="AD257" s="688"/>
      <c r="AE257" s="689"/>
      <c r="AF257" s="673"/>
      <c r="AG257" s="673"/>
      <c r="AH257" s="689"/>
      <c r="AI257" s="689"/>
      <c r="AJ257" s="704"/>
    </row>
    <row r="258" spans="1:36">
      <c r="A258" s="634"/>
      <c r="B258" s="635"/>
      <c r="C258" s="635"/>
      <c r="D258" s="649"/>
      <c r="U258" s="634"/>
      <c r="V258" s="634"/>
      <c r="W258" s="634"/>
      <c r="X258" s="634"/>
      <c r="Y258" s="634"/>
      <c r="Z258" s="634"/>
      <c r="AA258" s="634"/>
      <c r="AB258" s="690"/>
      <c r="AC258" s="690"/>
      <c r="AD258" s="690"/>
      <c r="AE258" s="690"/>
      <c r="AF258" s="634"/>
      <c r="AG258" s="634"/>
      <c r="AH258" s="634"/>
      <c r="AI258" s="634"/>
      <c r="AJ258" s="634"/>
    </row>
    <row r="259" spans="1:36" ht="21" thickBot="1">
      <c r="A259" s="650"/>
      <c r="B259" s="651"/>
      <c r="C259" s="651"/>
      <c r="D259" s="650"/>
      <c r="E259" s="634"/>
      <c r="F259" s="634"/>
      <c r="G259" s="634"/>
      <c r="H259" s="634"/>
      <c r="I259" s="634"/>
      <c r="J259" s="634"/>
      <c r="K259" s="634"/>
      <c r="L259" s="634"/>
      <c r="M259" s="634"/>
      <c r="N259" s="634"/>
      <c r="O259" s="634"/>
      <c r="P259" s="634"/>
      <c r="Q259" s="634"/>
      <c r="R259" s="634"/>
      <c r="S259" s="634"/>
      <c r="T259" s="634"/>
      <c r="U259" s="650"/>
      <c r="V259" s="650"/>
      <c r="W259" s="650"/>
      <c r="X259" s="650"/>
      <c r="Y259" s="650"/>
      <c r="Z259" s="650"/>
      <c r="AA259" s="650"/>
      <c r="AB259" s="650"/>
      <c r="AC259" s="650"/>
      <c r="AD259" s="650"/>
      <c r="AE259" s="650"/>
      <c r="AF259" s="650"/>
      <c r="AG259" s="650"/>
      <c r="AH259" s="650"/>
      <c r="AI259" s="650"/>
      <c r="AJ259" s="650"/>
    </row>
    <row r="260" spans="1:36" ht="27.75" thickBot="1">
      <c r="A260" s="634"/>
      <c r="B260" s="635"/>
      <c r="C260" s="635"/>
      <c r="D260" s="634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0"/>
      <c r="Q260" s="650"/>
      <c r="R260" s="650"/>
      <c r="S260" s="650"/>
      <c r="T260" s="650"/>
      <c r="U260" s="634"/>
      <c r="V260" s="634"/>
      <c r="W260" s="677"/>
      <c r="X260" s="3857" t="s">
        <v>158</v>
      </c>
      <c r="Y260" s="3858"/>
      <c r="Z260" s="3858"/>
      <c r="AA260" s="3858"/>
      <c r="AB260" s="3859"/>
      <c r="AC260" s="3802">
        <f>'BIG CHAIR'!CI325</f>
        <v>0</v>
      </c>
      <c r="AD260" s="3803"/>
      <c r="AE260" s="3804"/>
      <c r="AF260" s="634"/>
      <c r="AG260" s="634"/>
      <c r="AH260" s="634"/>
      <c r="AI260" s="634"/>
      <c r="AJ260" s="634"/>
    </row>
    <row r="261" spans="1:36" ht="27.75" thickBot="1">
      <c r="A261" s="634"/>
      <c r="B261" s="635"/>
      <c r="C261" s="635"/>
      <c r="D261" s="634"/>
      <c r="E261" s="634"/>
      <c r="F261" s="634"/>
      <c r="G261" s="634"/>
      <c r="H261" s="634"/>
      <c r="I261" s="634"/>
      <c r="J261" s="634"/>
      <c r="K261" s="634"/>
      <c r="L261" s="634"/>
      <c r="M261" s="634"/>
      <c r="N261" s="634"/>
      <c r="O261" s="634"/>
      <c r="P261" s="634"/>
      <c r="Q261" s="634"/>
      <c r="R261" s="634"/>
      <c r="S261" s="634"/>
      <c r="T261" s="634"/>
      <c r="U261" s="634"/>
      <c r="V261" s="634"/>
      <c r="W261" s="677"/>
      <c r="X261" s="3857" t="s">
        <v>159</v>
      </c>
      <c r="Y261" s="3858"/>
      <c r="Z261" s="3858"/>
      <c r="AA261" s="3858"/>
      <c r="AB261" s="3859"/>
      <c r="AC261" s="3872">
        <f>AE254</f>
        <v>2384</v>
      </c>
      <c r="AD261" s="3873"/>
      <c r="AE261" s="3874"/>
      <c r="AF261" s="634"/>
      <c r="AG261" s="634"/>
      <c r="AH261" s="634"/>
      <c r="AI261" s="634"/>
      <c r="AJ261" s="708"/>
    </row>
    <row r="262" spans="1:36" ht="27.75" thickBot="1">
      <c r="A262" s="634"/>
      <c r="B262" s="635"/>
      <c r="C262" s="635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77"/>
      <c r="X262" s="3857" t="s">
        <v>160</v>
      </c>
      <c r="Y262" s="3858"/>
      <c r="Z262" s="3858"/>
      <c r="AA262" s="3858"/>
      <c r="AB262" s="3859"/>
      <c r="AC262" s="3802">
        <f>'BIG CHAIR'!CJ325</f>
        <v>0</v>
      </c>
      <c r="AD262" s="3803"/>
      <c r="AE262" s="3804"/>
      <c r="AF262" s="634"/>
      <c r="AG262" s="634"/>
      <c r="AH262" s="634"/>
      <c r="AI262" s="634"/>
      <c r="AJ262" s="634"/>
    </row>
    <row r="263" spans="1:36" ht="32.25" customHeight="1" thickBot="1">
      <c r="A263" s="634"/>
      <c r="B263" s="635"/>
      <c r="C263" s="635"/>
      <c r="D263" s="634"/>
      <c r="E263" s="634"/>
      <c r="F263" s="634"/>
      <c r="G263" s="634"/>
      <c r="H263" s="634"/>
      <c r="I263" s="634"/>
      <c r="J263" s="634"/>
      <c r="K263" s="634"/>
      <c r="L263" s="634"/>
      <c r="M263" s="634"/>
      <c r="N263" s="634"/>
      <c r="O263" s="634"/>
      <c r="P263" s="634"/>
      <c r="Q263" s="634"/>
      <c r="R263" s="634"/>
      <c r="S263" s="634"/>
      <c r="T263" s="634"/>
      <c r="U263" s="634"/>
      <c r="V263" s="634"/>
      <c r="W263" s="677"/>
      <c r="X263" s="3857" t="s">
        <v>161</v>
      </c>
      <c r="Y263" s="3858"/>
      <c r="Z263" s="3858"/>
      <c r="AA263" s="3858"/>
      <c r="AB263" s="3858"/>
      <c r="AC263" s="3872">
        <f>AF254</f>
        <v>34</v>
      </c>
      <c r="AD263" s="3803"/>
      <c r="AE263" s="3804"/>
      <c r="AF263" s="634"/>
      <c r="AG263" s="634"/>
      <c r="AH263" s="634"/>
      <c r="AI263" s="634"/>
      <c r="AJ263" s="634"/>
    </row>
    <row r="264" spans="1:36" ht="27.75" thickBot="1">
      <c r="A264" s="634"/>
      <c r="B264" s="635"/>
      <c r="C264" s="635"/>
      <c r="D264" s="634"/>
      <c r="E264" s="634"/>
      <c r="F264" s="634"/>
      <c r="G264" s="634"/>
      <c r="H264" s="634"/>
      <c r="I264" s="634"/>
      <c r="J264" s="634"/>
      <c r="K264" s="634"/>
      <c r="L264" s="634"/>
      <c r="M264" s="634"/>
      <c r="N264" s="634"/>
      <c r="O264" s="634"/>
      <c r="P264" s="634"/>
      <c r="Q264" s="634"/>
      <c r="R264" s="634"/>
      <c r="S264" s="634"/>
      <c r="T264" s="634"/>
      <c r="U264" s="634"/>
      <c r="V264" s="634"/>
      <c r="W264" s="677"/>
      <c r="X264" s="3857" t="s">
        <v>162</v>
      </c>
      <c r="Y264" s="3858"/>
      <c r="Z264" s="3858"/>
      <c r="AA264" s="3858"/>
      <c r="AB264" s="3859"/>
      <c r="AC264" s="3802">
        <f>'Tea Table'!U285</f>
        <v>2676</v>
      </c>
      <c r="AD264" s="3803"/>
      <c r="AE264" s="3804"/>
      <c r="AF264" s="634"/>
      <c r="AG264" s="634"/>
      <c r="AH264" s="634"/>
      <c r="AI264" s="634"/>
      <c r="AJ264" s="634"/>
    </row>
    <row r="265" spans="1:36" ht="27.75" thickBot="1">
      <c r="A265" s="634"/>
      <c r="B265" s="635"/>
      <c r="C265" s="635"/>
      <c r="D265" s="634"/>
      <c r="E265" s="634"/>
      <c r="F265" s="634"/>
      <c r="G265" s="634"/>
      <c r="H265" s="63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4"/>
      <c r="S265" s="634"/>
      <c r="T265" s="634"/>
      <c r="U265" s="634"/>
      <c r="V265" s="634"/>
      <c r="W265" s="677"/>
      <c r="X265" s="3860" t="s">
        <v>163</v>
      </c>
      <c r="Y265" s="3861"/>
      <c r="Z265" s="3861"/>
      <c r="AA265" s="3861"/>
      <c r="AB265" s="3862"/>
      <c r="AC265" s="3863">
        <f>'Tea Table'!V285</f>
        <v>29</v>
      </c>
      <c r="AD265" s="3864"/>
      <c r="AE265" s="3865"/>
      <c r="AF265" s="634"/>
      <c r="AG265" s="634"/>
      <c r="AH265" s="634"/>
      <c r="AI265" s="634"/>
      <c r="AJ265" s="634"/>
    </row>
    <row r="266" spans="1:36" ht="28.5" thickTop="1" thickBot="1">
      <c r="A266" s="634"/>
      <c r="B266" s="635"/>
      <c r="C266" s="635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4"/>
      <c r="P266" s="634"/>
      <c r="Q266" s="634"/>
      <c r="R266" s="634"/>
      <c r="S266" s="634"/>
      <c r="T266" s="634"/>
      <c r="U266" s="634"/>
      <c r="V266" s="634"/>
      <c r="W266" s="677"/>
      <c r="X266" s="3866"/>
      <c r="Y266" s="3867"/>
      <c r="Z266" s="3867"/>
      <c r="AA266" s="3867"/>
      <c r="AB266" s="3868"/>
      <c r="AC266" s="3869"/>
      <c r="AD266" s="3870"/>
      <c r="AE266" s="3871"/>
      <c r="AF266" s="634"/>
      <c r="AG266" s="634"/>
      <c r="AH266" s="634"/>
      <c r="AI266" s="634"/>
      <c r="AJ266" s="634"/>
    </row>
    <row r="267" spans="1:36" ht="27.75" thickBot="1">
      <c r="A267" s="634"/>
      <c r="B267" s="635"/>
      <c r="C267" s="635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4"/>
      <c r="P267" s="634"/>
      <c r="Q267" s="634"/>
      <c r="R267" s="634"/>
      <c r="S267" s="634"/>
      <c r="T267" s="634"/>
      <c r="U267" s="634"/>
      <c r="V267" s="634"/>
      <c r="W267" s="677"/>
      <c r="X267" s="3857" t="s">
        <v>164</v>
      </c>
      <c r="Y267" s="3858"/>
      <c r="Z267" s="3858"/>
      <c r="AA267" s="3858"/>
      <c r="AB267" s="3859"/>
      <c r="AC267" s="3796">
        <f>SUM(AC260:AE266)</f>
        <v>5123</v>
      </c>
      <c r="AD267" s="3797"/>
      <c r="AE267" s="3798"/>
      <c r="AF267" s="634"/>
      <c r="AG267" s="634"/>
      <c r="AH267" s="634"/>
      <c r="AI267" s="634"/>
      <c r="AJ267" s="634"/>
    </row>
    <row r="268" spans="1:36" ht="27.75" thickBot="1">
      <c r="A268" s="634"/>
      <c r="B268" s="635"/>
      <c r="C268" s="635"/>
      <c r="D268" s="634"/>
      <c r="E268" s="634"/>
      <c r="F268" s="634"/>
      <c r="G268" s="634"/>
      <c r="H268" s="634"/>
      <c r="I268" s="634"/>
      <c r="J268" s="634"/>
      <c r="K268" s="634"/>
      <c r="L268" s="634"/>
      <c r="M268" s="634"/>
      <c r="N268" s="634"/>
      <c r="O268" s="634"/>
      <c r="P268" s="634"/>
      <c r="Q268" s="634"/>
      <c r="R268" s="634"/>
      <c r="S268" s="634"/>
      <c r="T268" s="634"/>
      <c r="U268" s="634"/>
      <c r="V268" s="634"/>
      <c r="W268" s="677"/>
      <c r="X268" s="3857" t="s">
        <v>165</v>
      </c>
      <c r="Y268" s="3858"/>
      <c r="Z268" s="3858"/>
      <c r="AA268" s="3858"/>
      <c r="AB268" s="3859"/>
      <c r="AC268" s="3796">
        <f>AE255+'BIG CHAIR'!CI326+'Tea Table'!U286</f>
        <v>372</v>
      </c>
      <c r="AD268" s="3797"/>
      <c r="AE268" s="3798"/>
      <c r="AF268" s="695"/>
      <c r="AG268" s="695"/>
      <c r="AH268" s="695"/>
      <c r="AI268" s="634"/>
      <c r="AJ268" s="634"/>
    </row>
    <row r="269" spans="1:36">
      <c r="B269" s="652"/>
      <c r="C269" s="652"/>
      <c r="E269" s="634"/>
      <c r="F269" s="634"/>
      <c r="G269" s="634"/>
      <c r="H269" s="634"/>
      <c r="I269" s="634"/>
      <c r="J269" s="634"/>
      <c r="K269" s="634"/>
      <c r="L269" s="634"/>
      <c r="M269" s="634"/>
      <c r="N269" s="634"/>
      <c r="O269" s="634"/>
      <c r="P269" s="634"/>
      <c r="Q269" s="634"/>
      <c r="R269" s="634"/>
      <c r="S269" s="634"/>
      <c r="T269" s="634"/>
      <c r="AB269" s="696"/>
      <c r="AC269" s="696"/>
      <c r="AD269" s="696"/>
      <c r="AE269" s="696"/>
    </row>
    <row r="270" spans="1:36">
      <c r="B270" s="652"/>
      <c r="C270" s="652"/>
      <c r="AB270" s="696"/>
      <c r="AC270" s="696"/>
      <c r="AD270" s="696"/>
      <c r="AE270" s="696"/>
    </row>
    <row r="271" spans="1:36">
      <c r="B271" s="652"/>
      <c r="C271" s="652"/>
      <c r="AB271" s="696"/>
      <c r="AC271" s="696"/>
      <c r="AD271" s="696"/>
      <c r="AE271" s="696"/>
    </row>
    <row r="272" spans="1:36">
      <c r="B272" s="652"/>
      <c r="C272" s="652"/>
      <c r="AB272" s="696"/>
      <c r="AC272" s="696"/>
      <c r="AD272" s="696"/>
      <c r="AE272" s="696"/>
    </row>
    <row r="273" spans="2:31">
      <c r="B273" s="652"/>
      <c r="C273" s="652"/>
      <c r="AB273" s="696"/>
      <c r="AC273" s="696"/>
      <c r="AD273" s="696"/>
      <c r="AE273" s="696"/>
    </row>
    <row r="274" spans="2:31">
      <c r="B274" s="652"/>
      <c r="C274" s="652"/>
      <c r="AB274" s="696"/>
      <c r="AC274" s="696"/>
      <c r="AD274" s="696"/>
      <c r="AE274" s="696"/>
    </row>
    <row r="275" spans="2:31">
      <c r="B275" s="652"/>
      <c r="C275" s="652"/>
      <c r="AB275" s="696"/>
      <c r="AC275" s="696"/>
      <c r="AD275" s="696"/>
      <c r="AE275" s="696"/>
    </row>
    <row r="276" spans="2:31">
      <c r="B276" s="652"/>
      <c r="C276" s="652"/>
      <c r="AB276" s="696"/>
      <c r="AC276" s="696"/>
      <c r="AD276" s="696"/>
      <c r="AE276" s="696"/>
    </row>
    <row r="277" spans="2:31">
      <c r="B277" s="652"/>
      <c r="C277" s="652"/>
      <c r="AB277" s="696"/>
      <c r="AC277" s="696"/>
      <c r="AD277" s="696"/>
      <c r="AE277" s="696"/>
    </row>
    <row r="278" spans="2:31">
      <c r="B278" s="652"/>
      <c r="C278" s="652"/>
      <c r="AB278" s="696"/>
      <c r="AC278" s="696"/>
      <c r="AD278" s="696"/>
      <c r="AE278" s="696"/>
    </row>
    <row r="279" spans="2:31">
      <c r="B279" s="652"/>
      <c r="C279" s="652"/>
      <c r="AB279" s="696"/>
      <c r="AC279" s="696"/>
      <c r="AD279" s="696"/>
      <c r="AE279" s="696"/>
    </row>
    <row r="280" spans="2:31">
      <c r="B280" s="652"/>
      <c r="C280" s="652"/>
      <c r="AB280" s="696"/>
      <c r="AC280" s="696"/>
      <c r="AD280" s="696"/>
      <c r="AE280" s="696"/>
    </row>
    <row r="281" spans="2:31">
      <c r="B281" s="652"/>
      <c r="C281" s="652"/>
      <c r="AB281" s="696"/>
      <c r="AC281" s="696"/>
      <c r="AD281" s="696"/>
      <c r="AE281" s="696"/>
    </row>
    <row r="282" spans="2:31">
      <c r="B282" s="652"/>
      <c r="C282" s="652"/>
      <c r="AB282" s="696"/>
      <c r="AC282" s="696"/>
      <c r="AD282" s="696"/>
      <c r="AE282" s="696"/>
    </row>
    <row r="283" spans="2:31">
      <c r="B283" s="652"/>
      <c r="C283" s="652"/>
      <c r="AB283" s="696"/>
      <c r="AC283" s="696"/>
      <c r="AD283" s="696"/>
      <c r="AE283" s="696"/>
    </row>
    <row r="284" spans="2:31">
      <c r="B284" s="652"/>
      <c r="C284" s="652"/>
      <c r="AB284" s="696"/>
      <c r="AC284" s="696"/>
      <c r="AD284" s="696"/>
      <c r="AE284" s="696"/>
    </row>
    <row r="285" spans="2:31">
      <c r="B285" s="652"/>
      <c r="C285" s="652"/>
      <c r="AB285" s="696"/>
      <c r="AC285" s="696"/>
      <c r="AD285" s="696"/>
      <c r="AE285" s="696"/>
    </row>
    <row r="286" spans="2:31">
      <c r="B286" s="652"/>
      <c r="C286" s="652"/>
      <c r="AB286" s="696"/>
      <c r="AC286" s="696"/>
      <c r="AD286" s="696"/>
      <c r="AE286" s="696"/>
    </row>
  </sheetData>
  <mergeCells count="41">
    <mergeCell ref="A2:D2"/>
    <mergeCell ref="E2:K2"/>
    <mergeCell ref="M2:T2"/>
    <mergeCell ref="V2:AC2"/>
    <mergeCell ref="AE2:AJ2"/>
    <mergeCell ref="A172:AJ172"/>
    <mergeCell ref="A173:D173"/>
    <mergeCell ref="E173:K173"/>
    <mergeCell ref="M173:T173"/>
    <mergeCell ref="V173:AC173"/>
    <mergeCell ref="AE173:AJ173"/>
    <mergeCell ref="A247:C247"/>
    <mergeCell ref="V252:AC252"/>
    <mergeCell ref="E253:K253"/>
    <mergeCell ref="M253:T253"/>
    <mergeCell ref="AF254:AG254"/>
    <mergeCell ref="AF255:AG255"/>
    <mergeCell ref="E256:K256"/>
    <mergeCell ref="M256:T256"/>
    <mergeCell ref="V256:AC256"/>
    <mergeCell ref="E257:K257"/>
    <mergeCell ref="M257:T257"/>
    <mergeCell ref="V257:AC257"/>
    <mergeCell ref="X260:AB260"/>
    <mergeCell ref="AC260:AE260"/>
    <mergeCell ref="X261:AB261"/>
    <mergeCell ref="AC261:AE261"/>
    <mergeCell ref="X262:AB262"/>
    <mergeCell ref="AC262:AE262"/>
    <mergeCell ref="X263:AB263"/>
    <mergeCell ref="AC263:AE263"/>
    <mergeCell ref="X264:AB264"/>
    <mergeCell ref="AC264:AE264"/>
    <mergeCell ref="X265:AB265"/>
    <mergeCell ref="AC265:AE265"/>
    <mergeCell ref="X266:AB266"/>
    <mergeCell ref="AC266:AE266"/>
    <mergeCell ref="X267:AB267"/>
    <mergeCell ref="AC267:AE267"/>
    <mergeCell ref="X268:AB268"/>
    <mergeCell ref="AC268:AE268"/>
  </mergeCells>
  <pageMargins left="0.69930555555555596" right="0.69930555555555596" top="0.75" bottom="0.75" header="0.3" footer="0.3"/>
  <pageSetup orientation="portrait" r:id="rId1"/>
  <ignoredErrors>
    <ignoredError sqref="AE176 AE178:AE179 AE181:AE193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4"/>
  <sheetViews>
    <sheetView topLeftCell="A143" zoomScale="102" zoomScaleNormal="102" workbookViewId="0">
      <selection activeCell="G153" sqref="G153"/>
    </sheetView>
  </sheetViews>
  <sheetFormatPr defaultColWidth="9" defaultRowHeight="15"/>
  <cols>
    <col min="1" max="1" width="55.42578125" customWidth="1"/>
    <col min="2" max="2" width="16.5703125" style="276" customWidth="1"/>
    <col min="3" max="3" width="7.7109375" style="276" bestFit="1" customWidth="1"/>
    <col min="4" max="4" width="20.85546875" customWidth="1"/>
    <col min="5" max="8" width="11.5703125" customWidth="1"/>
    <col min="9" max="9" width="11.85546875" bestFit="1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6" width="11.5703125" customWidth="1"/>
    <col min="17" max="17" width="15.140625" customWidth="1"/>
    <col min="18" max="18" width="11.5703125" customWidth="1"/>
    <col min="19" max="19" width="15.140625" customWidth="1"/>
    <col min="20" max="20" width="14.7109375" customWidth="1"/>
    <col min="21" max="21" width="1.5703125" customWidth="1"/>
    <col min="22" max="22" width="15.7109375" customWidth="1"/>
    <col min="23" max="23" width="11.5703125" customWidth="1"/>
    <col min="24" max="24" width="12.85546875" customWidth="1"/>
    <col min="25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7" thickBot="1">
      <c r="A1" s="285" t="s">
        <v>384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383</v>
      </c>
      <c r="F2" s="3892"/>
      <c r="G2" s="3892"/>
      <c r="H2" s="3892"/>
      <c r="I2" s="3892"/>
      <c r="J2" s="3892"/>
      <c r="K2" s="3904"/>
      <c r="L2" s="336"/>
      <c r="M2" s="3893"/>
      <c r="N2" s="3894"/>
      <c r="O2" s="3894"/>
      <c r="P2" s="3894"/>
      <c r="Q2" s="3894"/>
      <c r="R2" s="3894"/>
      <c r="S2" s="3894"/>
      <c r="T2" s="3895"/>
      <c r="U2" s="364"/>
      <c r="V2" s="3893"/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40" t="s">
        <v>382</v>
      </c>
      <c r="F3" s="41" t="s">
        <v>53</v>
      </c>
      <c r="G3" s="41" t="s">
        <v>206</v>
      </c>
      <c r="H3" s="41" t="s">
        <v>190</v>
      </c>
      <c r="I3" s="41" t="s">
        <v>94</v>
      </c>
      <c r="J3" s="40"/>
      <c r="K3" s="40" t="s">
        <v>469</v>
      </c>
      <c r="L3" s="40"/>
      <c r="M3" s="40" t="s">
        <v>85</v>
      </c>
      <c r="N3" s="41" t="s">
        <v>457</v>
      </c>
      <c r="O3" s="41" t="s">
        <v>250</v>
      </c>
      <c r="P3" s="41"/>
      <c r="Q3" s="30" t="s">
        <v>412</v>
      </c>
      <c r="R3" s="41"/>
      <c r="S3" s="81" t="s">
        <v>413</v>
      </c>
      <c r="T3" s="90" t="s">
        <v>416</v>
      </c>
      <c r="U3" s="79"/>
      <c r="V3" s="3335" t="s">
        <v>101</v>
      </c>
      <c r="W3" s="2711" t="s">
        <v>53</v>
      </c>
      <c r="X3" s="169" t="s">
        <v>215</v>
      </c>
      <c r="Y3" s="95" t="s">
        <v>94</v>
      </c>
      <c r="Z3" s="169"/>
      <c r="AA3" s="169" t="s">
        <v>96</v>
      </c>
      <c r="AB3" s="177" t="s">
        <v>86</v>
      </c>
      <c r="AC3" s="3308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>
        <f>78*20</f>
        <v>1560</v>
      </c>
      <c r="G4" s="293"/>
      <c r="H4" s="293"/>
      <c r="I4" s="337">
        <f>82*20</f>
        <v>1640</v>
      </c>
      <c r="J4" s="337"/>
      <c r="K4" s="338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3200</v>
      </c>
      <c r="AF4" s="374"/>
      <c r="AG4" s="373"/>
      <c r="AH4" s="387">
        <f>AF4+AE4</f>
        <v>3200</v>
      </c>
      <c r="AI4" s="388"/>
      <c r="AJ4" s="389">
        <f>AH4+AI4</f>
        <v>3200</v>
      </c>
    </row>
    <row r="5" spans="1:39" s="283" customFormat="1" ht="21" thickBot="1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7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1" thickBot="1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37" si="1">AE6+AF6</f>
        <v>0</v>
      </c>
      <c r="AI6" s="392"/>
      <c r="AJ6" s="393">
        <f t="shared" ref="AJ6:AJ37" si="2">AH6+AI6</f>
        <v>0</v>
      </c>
      <c r="AK6" s="394"/>
      <c r="AL6" s="54"/>
      <c r="AM6" s="394"/>
    </row>
    <row r="7" spans="1:39" s="283" customFormat="1" ht="21" thickBot="1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1" thickBot="1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1" thickBot="1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2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5">
        <f t="shared" si="2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9.5" thickBot="1">
      <c r="A38" s="302" t="s">
        <v>175</v>
      </c>
      <c r="B38" s="303"/>
      <c r="C38" s="303"/>
      <c r="D38" s="304"/>
      <c r="E38" s="305">
        <f t="shared" ref="E38:AJ38" si="3">SUM(E5:E37)</f>
        <v>0</v>
      </c>
      <c r="F38" s="305">
        <f t="shared" si="3"/>
        <v>0</v>
      </c>
      <c r="G38" s="305">
        <f t="shared" si="3"/>
        <v>0</v>
      </c>
      <c r="H38" s="305">
        <f t="shared" si="3"/>
        <v>0</v>
      </c>
      <c r="I38" s="305">
        <f t="shared" si="3"/>
        <v>0</v>
      </c>
      <c r="J38" s="305">
        <f t="shared" si="3"/>
        <v>0</v>
      </c>
      <c r="K38" s="305">
        <f t="shared" si="3"/>
        <v>0</v>
      </c>
      <c r="L38" s="305">
        <f t="shared" si="3"/>
        <v>0</v>
      </c>
      <c r="M38" s="305">
        <f t="shared" si="3"/>
        <v>0</v>
      </c>
      <c r="N38" s="305">
        <f t="shared" si="3"/>
        <v>0</v>
      </c>
      <c r="O38" s="305">
        <f t="shared" si="3"/>
        <v>0</v>
      </c>
      <c r="P38" s="305">
        <f t="shared" si="3"/>
        <v>0</v>
      </c>
      <c r="Q38" s="305">
        <f t="shared" si="3"/>
        <v>0</v>
      </c>
      <c r="R38" s="305">
        <f t="shared" si="3"/>
        <v>0</v>
      </c>
      <c r="S38" s="305">
        <f t="shared" si="3"/>
        <v>0</v>
      </c>
      <c r="T38" s="812">
        <f t="shared" si="3"/>
        <v>0</v>
      </c>
      <c r="U38" s="305">
        <f t="shared" si="3"/>
        <v>0</v>
      </c>
      <c r="V38" s="305">
        <f t="shared" si="3"/>
        <v>0</v>
      </c>
      <c r="W38" s="305">
        <f t="shared" si="3"/>
        <v>0</v>
      </c>
      <c r="X38" s="305">
        <f t="shared" si="3"/>
        <v>0</v>
      </c>
      <c r="Y38" s="305">
        <f t="shared" si="3"/>
        <v>0</v>
      </c>
      <c r="Z38" s="305">
        <f t="shared" si="3"/>
        <v>0</v>
      </c>
      <c r="AA38" s="305">
        <f t="shared" si="3"/>
        <v>0</v>
      </c>
      <c r="AB38" s="305">
        <f t="shared" si="3"/>
        <v>0</v>
      </c>
      <c r="AC38" s="305">
        <f t="shared" si="3"/>
        <v>0</v>
      </c>
      <c r="AD38" s="305">
        <f t="shared" si="3"/>
        <v>0</v>
      </c>
      <c r="AE38" s="305">
        <f t="shared" si="3"/>
        <v>0</v>
      </c>
      <c r="AF38" s="305">
        <f t="shared" si="3"/>
        <v>0</v>
      </c>
      <c r="AG38" s="305">
        <f t="shared" si="3"/>
        <v>0</v>
      </c>
      <c r="AH38" s="305">
        <f t="shared" si="3"/>
        <v>0</v>
      </c>
      <c r="AI38" s="305">
        <f t="shared" si="3"/>
        <v>0</v>
      </c>
      <c r="AJ38" s="305">
        <f t="shared" si="3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19.5" thickBot="1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608" t="s">
        <v>117</v>
      </c>
      <c r="B40" s="288" t="s">
        <v>68</v>
      </c>
      <c r="C40" s="722" t="s">
        <v>69</v>
      </c>
      <c r="D40" s="288" t="s">
        <v>70</v>
      </c>
      <c r="E40" s="80" t="s">
        <v>382</v>
      </c>
      <c r="F40" s="49" t="s">
        <v>53</v>
      </c>
      <c r="G40" s="49" t="s">
        <v>206</v>
      </c>
      <c r="H40" s="49" t="s">
        <v>190</v>
      </c>
      <c r="I40" s="49" t="s">
        <v>94</v>
      </c>
      <c r="J40" s="49"/>
      <c r="K40" s="126"/>
      <c r="L40" s="79"/>
      <c r="M40" s="80" t="s">
        <v>85</v>
      </c>
      <c r="N40" s="49" t="s">
        <v>457</v>
      </c>
      <c r="O40" s="49" t="s">
        <v>250</v>
      </c>
      <c r="P40" s="49"/>
      <c r="Q40" s="744" t="s">
        <v>412</v>
      </c>
      <c r="R40" s="49"/>
      <c r="S40" s="126" t="s">
        <v>413</v>
      </c>
      <c r="T40" s="171" t="s">
        <v>416</v>
      </c>
      <c r="U40" s="79"/>
      <c r="V40" s="99" t="s">
        <v>101</v>
      </c>
      <c r="W40" s="716" t="s">
        <v>53</v>
      </c>
      <c r="X40" s="104" t="s">
        <v>215</v>
      </c>
      <c r="Y40" s="103" t="s">
        <v>94</v>
      </c>
      <c r="Z40" s="104"/>
      <c r="AA40" s="104" t="s">
        <v>96</v>
      </c>
      <c r="AB40" s="121" t="s">
        <v>86</v>
      </c>
      <c r="AC40" s="844"/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1" thickBot="1">
      <c r="A41" s="2663" t="s">
        <v>176</v>
      </c>
      <c r="B41" s="724"/>
      <c r="C41" s="725"/>
      <c r="D41" s="291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4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1" thickBot="1">
      <c r="A42" s="1180" t="s">
        <v>120</v>
      </c>
      <c r="B42" s="727"/>
      <c r="C42" s="728"/>
      <c r="D42" s="291"/>
      <c r="E42" s="319"/>
      <c r="F42" s="320"/>
      <c r="G42" s="320"/>
      <c r="H42" s="321"/>
      <c r="I42" s="321"/>
      <c r="J42" s="320"/>
      <c r="K42" s="351"/>
      <c r="L42" s="352"/>
      <c r="M42" s="353"/>
      <c r="N42" s="321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4"/>
        <v>0</v>
      </c>
      <c r="AF42" s="381"/>
      <c r="AG42" s="408"/>
      <c r="AH42" s="409">
        <f t="shared" ref="AH42:AH52" si="5">AE42+AF42</f>
        <v>0</v>
      </c>
      <c r="AI42" s="410"/>
      <c r="AJ42" s="411">
        <f>AH42+AI42</f>
        <v>0</v>
      </c>
    </row>
    <row r="43" spans="1:39" s="234" customFormat="1" ht="21" thickBot="1">
      <c r="A43" s="1180" t="s">
        <v>120</v>
      </c>
      <c r="B43" s="729"/>
      <c r="C43" s="730"/>
      <c r="D43" s="291"/>
      <c r="E43" s="319"/>
      <c r="F43" s="320"/>
      <c r="G43" s="320"/>
      <c r="H43" s="321"/>
      <c r="I43" s="321"/>
      <c r="J43" s="320"/>
      <c r="K43" s="354"/>
      <c r="L43" s="352"/>
      <c r="M43" s="353"/>
      <c r="N43" s="320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4"/>
        <v>0</v>
      </c>
      <c r="AF43" s="381"/>
      <c r="AG43" s="408"/>
      <c r="AH43" s="409">
        <f t="shared" si="5"/>
        <v>0</v>
      </c>
      <c r="AI43" s="410"/>
      <c r="AJ43" s="411">
        <f>AH43+AI43</f>
        <v>0</v>
      </c>
    </row>
    <row r="44" spans="1:39" s="234" customFormat="1" ht="20.25">
      <c r="A44" s="1180" t="s">
        <v>120</v>
      </c>
      <c r="B44" s="729"/>
      <c r="C44" s="730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0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4"/>
        <v>0</v>
      </c>
      <c r="AF44" s="381"/>
      <c r="AG44" s="408"/>
      <c r="AH44" s="409">
        <f t="shared" si="5"/>
        <v>0</v>
      </c>
      <c r="AI44" s="410"/>
      <c r="AJ44" s="411">
        <f>AH44+AI44</f>
        <v>0</v>
      </c>
    </row>
    <row r="45" spans="1:39" s="234" customFormat="1" ht="20.25">
      <c r="A45" s="1180" t="s">
        <v>120</v>
      </c>
      <c r="B45" s="729"/>
      <c r="C45" s="730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4"/>
        <v>0</v>
      </c>
      <c r="AF45" s="381"/>
      <c r="AG45" s="408"/>
      <c r="AH45" s="409">
        <f t="shared" si="5"/>
        <v>0</v>
      </c>
      <c r="AI45" s="410"/>
      <c r="AJ45" s="411">
        <f t="shared" ref="AJ45:AJ52" si="6">AH45+AI45</f>
        <v>0</v>
      </c>
    </row>
    <row r="46" spans="1:39" s="234" customFormat="1" ht="20.25">
      <c r="A46" s="1180" t="s">
        <v>120</v>
      </c>
      <c r="B46" s="729"/>
      <c r="C46" s="730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7">SUM(E46:AC46)</f>
        <v>0</v>
      </c>
      <c r="AF46" s="381"/>
      <c r="AG46" s="408"/>
      <c r="AH46" s="409">
        <f t="shared" si="5"/>
        <v>0</v>
      </c>
      <c r="AI46" s="410"/>
      <c r="AJ46" s="411">
        <f t="shared" si="6"/>
        <v>0</v>
      </c>
    </row>
    <row r="47" spans="1:39" s="234" customFormat="1" ht="20.25">
      <c r="A47" s="1180" t="s">
        <v>120</v>
      </c>
      <c r="B47" s="729"/>
      <c r="C47" s="730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4"/>
        <v>0</v>
      </c>
      <c r="AF47" s="381"/>
      <c r="AG47" s="408"/>
      <c r="AH47" s="409">
        <f t="shared" si="5"/>
        <v>0</v>
      </c>
      <c r="AI47" s="410"/>
      <c r="AJ47" s="411">
        <f t="shared" si="6"/>
        <v>0</v>
      </c>
    </row>
    <row r="48" spans="1:39" s="234" customFormat="1" ht="20.25">
      <c r="A48" s="1180" t="s">
        <v>120</v>
      </c>
      <c r="B48" s="729"/>
      <c r="C48" s="730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4"/>
        <v>0</v>
      </c>
      <c r="AF48" s="381"/>
      <c r="AG48" s="408"/>
      <c r="AH48" s="409">
        <f t="shared" si="5"/>
        <v>0</v>
      </c>
      <c r="AI48" s="410"/>
      <c r="AJ48" s="411">
        <f t="shared" si="6"/>
        <v>0</v>
      </c>
    </row>
    <row r="49" spans="1:39" s="234" customFormat="1" ht="20.25">
      <c r="A49" s="1180" t="s">
        <v>120</v>
      </c>
      <c r="B49" s="729"/>
      <c r="C49" s="730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8">SUM(E49:AC49)</f>
        <v>0</v>
      </c>
      <c r="AF49" s="381"/>
      <c r="AG49" s="408"/>
      <c r="AH49" s="409">
        <f t="shared" si="5"/>
        <v>0</v>
      </c>
      <c r="AI49" s="410"/>
      <c r="AJ49" s="411">
        <f t="shared" si="6"/>
        <v>0</v>
      </c>
    </row>
    <row r="50" spans="1:39" s="234" customFormat="1" ht="20.25">
      <c r="A50" s="1180" t="s">
        <v>120</v>
      </c>
      <c r="B50" s="729"/>
      <c r="C50" s="730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8"/>
        <v>0</v>
      </c>
      <c r="AF50" s="381"/>
      <c r="AG50" s="408"/>
      <c r="AH50" s="409">
        <f t="shared" si="5"/>
        <v>0</v>
      </c>
      <c r="AI50" s="410"/>
      <c r="AJ50" s="411">
        <f t="shared" si="6"/>
        <v>0</v>
      </c>
    </row>
    <row r="51" spans="1:39" s="234" customFormat="1" ht="21" thickBot="1">
      <c r="A51" s="1180" t="s">
        <v>120</v>
      </c>
      <c r="B51" s="729"/>
      <c r="C51" s="730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4"/>
        <v>0</v>
      </c>
      <c r="AF51" s="381"/>
      <c r="AG51" s="408"/>
      <c r="AH51" s="409">
        <f t="shared" si="5"/>
        <v>0</v>
      </c>
      <c r="AI51" s="410"/>
      <c r="AJ51" s="411">
        <f t="shared" si="6"/>
        <v>0</v>
      </c>
    </row>
    <row r="52" spans="1:39" s="283" customFormat="1" ht="21" thickBot="1">
      <c r="A52" s="2582"/>
      <c r="B52" s="2564"/>
      <c r="C52" s="732"/>
      <c r="D52" s="324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9">SUM(E52:AC52)</f>
        <v>0</v>
      </c>
      <c r="AF52" s="377"/>
      <c r="AG52" s="390"/>
      <c r="AH52" s="391">
        <f t="shared" si="5"/>
        <v>0</v>
      </c>
      <c r="AI52" s="412"/>
      <c r="AJ52" s="413">
        <f t="shared" si="6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9.5" thickBot="1">
      <c r="A53" s="326" t="s">
        <v>177</v>
      </c>
      <c r="B53" s="327"/>
      <c r="C53" s="327"/>
      <c r="D53" s="328"/>
      <c r="E53" s="329">
        <f>SUM(E41:E52)</f>
        <v>0</v>
      </c>
      <c r="F53" s="329">
        <f t="shared" ref="F53:K53" si="10">SUM(F41:F52)</f>
        <v>0</v>
      </c>
      <c r="G53" s="329">
        <f t="shared" si="10"/>
        <v>0</v>
      </c>
      <c r="H53" s="329">
        <f t="shared" si="10"/>
        <v>0</v>
      </c>
      <c r="I53" s="329">
        <f t="shared" si="10"/>
        <v>0</v>
      </c>
      <c r="J53" s="329">
        <f t="shared" si="10"/>
        <v>0</v>
      </c>
      <c r="K53" s="329">
        <f t="shared" si="10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11">SUM(Q41:Q52)</f>
        <v>0</v>
      </c>
      <c r="R53" s="359">
        <f t="shared" si="11"/>
        <v>0</v>
      </c>
      <c r="S53" s="359">
        <f t="shared" si="11"/>
        <v>0</v>
      </c>
      <c r="T53" s="369">
        <f t="shared" si="11"/>
        <v>0</v>
      </c>
      <c r="U53" s="357"/>
      <c r="V53" s="358">
        <f t="shared" ref="V53:AC53" si="12">SUM(V41:V52)</f>
        <v>0</v>
      </c>
      <c r="W53" s="359">
        <f t="shared" si="12"/>
        <v>0</v>
      </c>
      <c r="X53" s="359">
        <f t="shared" si="12"/>
        <v>0</v>
      </c>
      <c r="Y53" s="359">
        <f t="shared" si="12"/>
        <v>0</v>
      </c>
      <c r="Z53" s="359">
        <f t="shared" si="12"/>
        <v>0</v>
      </c>
      <c r="AA53" s="359">
        <f t="shared" si="12"/>
        <v>0</v>
      </c>
      <c r="AB53" s="359">
        <f t="shared" si="12"/>
        <v>0</v>
      </c>
      <c r="AC53" s="369">
        <f t="shared" si="12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13">SUM(AG41:AG52)</f>
        <v>0</v>
      </c>
      <c r="AH53" s="417">
        <f t="shared" si="13"/>
        <v>0</v>
      </c>
      <c r="AI53" s="382">
        <f t="shared" si="13"/>
        <v>0</v>
      </c>
      <c r="AJ53" s="418">
        <f t="shared" si="13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19.5" thickBot="1">
      <c r="A54" s="306"/>
      <c r="B54" s="307"/>
      <c r="C54" s="307"/>
      <c r="D54" s="308"/>
      <c r="E54" s="309"/>
      <c r="F54" s="309"/>
      <c r="G54" s="309"/>
      <c r="H54" s="309"/>
      <c r="I54" s="309"/>
      <c r="J54" s="309"/>
      <c r="K54" s="309"/>
      <c r="L54" s="346"/>
      <c r="M54" s="347"/>
      <c r="N54" s="347"/>
      <c r="O54" s="347"/>
      <c r="P54" s="347"/>
      <c r="Q54" s="347"/>
      <c r="R54" s="347"/>
      <c r="S54" s="347"/>
      <c r="T54" s="347"/>
      <c r="U54" s="346"/>
      <c r="V54" s="347"/>
      <c r="W54" s="347"/>
      <c r="X54" s="347"/>
      <c r="Y54" s="347"/>
      <c r="Z54" s="347"/>
      <c r="AA54" s="347"/>
      <c r="AB54" s="347"/>
      <c r="AC54" s="347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608" t="s">
        <v>122</v>
      </c>
      <c r="B55" s="288" t="s">
        <v>68</v>
      </c>
      <c r="C55" s="722" t="s">
        <v>69</v>
      </c>
      <c r="D55" s="288" t="s">
        <v>70</v>
      </c>
      <c r="E55" s="80" t="s">
        <v>382</v>
      </c>
      <c r="F55" s="49" t="s">
        <v>53</v>
      </c>
      <c r="G55" s="49" t="s">
        <v>206</v>
      </c>
      <c r="H55" s="49" t="s">
        <v>190</v>
      </c>
      <c r="I55" s="49" t="s">
        <v>94</v>
      </c>
      <c r="J55" s="49" t="s">
        <v>123</v>
      </c>
      <c r="K55" s="126"/>
      <c r="L55" s="79"/>
      <c r="M55" s="80" t="s">
        <v>85</v>
      </c>
      <c r="N55" s="49"/>
      <c r="O55" s="49" t="s">
        <v>250</v>
      </c>
      <c r="P55" s="49"/>
      <c r="Q55" s="744" t="s">
        <v>412</v>
      </c>
      <c r="R55" s="49"/>
      <c r="S55" s="126" t="s">
        <v>413</v>
      </c>
      <c r="T55" s="171" t="s">
        <v>416</v>
      </c>
      <c r="U55" s="79"/>
      <c r="V55" s="99" t="s">
        <v>101</v>
      </c>
      <c r="W55" s="716" t="s">
        <v>53</v>
      </c>
      <c r="X55" s="104" t="s">
        <v>215</v>
      </c>
      <c r="Y55" s="103" t="s">
        <v>94</v>
      </c>
      <c r="Z55" s="104"/>
      <c r="AA55" s="104" t="s">
        <v>96</v>
      </c>
      <c r="AB55" s="121" t="s">
        <v>86</v>
      </c>
      <c r="AC55" s="844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2663" t="s">
        <v>125</v>
      </c>
      <c r="B56" s="724"/>
      <c r="C56" s="725"/>
      <c r="D56" s="312"/>
      <c r="E56" s="313"/>
      <c r="F56" s="314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14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1180" t="s">
        <v>125</v>
      </c>
      <c r="B57" s="727"/>
      <c r="C57" s="728"/>
      <c r="D57" s="318"/>
      <c r="E57" s="319"/>
      <c r="F57" s="320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14"/>
        <v>0</v>
      </c>
      <c r="AF57" s="381"/>
      <c r="AG57" s="408"/>
      <c r="AH57" s="409">
        <f t="shared" ref="AH57:AH67" si="15">AE57+AF57</f>
        <v>0</v>
      </c>
      <c r="AI57" s="410"/>
      <c r="AJ57" s="411">
        <f>AH57+AI57</f>
        <v>0</v>
      </c>
    </row>
    <row r="58" spans="1:39" s="234" customFormat="1" ht="20.25">
      <c r="A58" s="1180" t="s">
        <v>125</v>
      </c>
      <c r="B58" s="729"/>
      <c r="C58" s="730"/>
      <c r="D58" s="318"/>
      <c r="E58" s="319"/>
      <c r="F58" s="320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4"/>
        <v>0</v>
      </c>
      <c r="AF58" s="381"/>
      <c r="AG58" s="408"/>
      <c r="AH58" s="409">
        <f t="shared" si="15"/>
        <v>0</v>
      </c>
      <c r="AI58" s="410"/>
      <c r="AJ58" s="411">
        <f>AH58+AI58</f>
        <v>0</v>
      </c>
    </row>
    <row r="59" spans="1:39" s="234" customFormat="1" ht="20.25">
      <c r="A59" s="1180" t="s">
        <v>125</v>
      </c>
      <c r="B59" s="729"/>
      <c r="C59" s="730"/>
      <c r="D59" s="318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14"/>
        <v>0</v>
      </c>
      <c r="AF59" s="381"/>
      <c r="AG59" s="408"/>
      <c r="AH59" s="409">
        <f t="shared" si="15"/>
        <v>0</v>
      </c>
      <c r="AI59" s="410"/>
      <c r="AJ59" s="411">
        <f>AH59+AI59</f>
        <v>0</v>
      </c>
    </row>
    <row r="60" spans="1:39" s="234" customFormat="1" ht="20.25">
      <c r="A60" s="1180" t="s">
        <v>125</v>
      </c>
      <c r="B60" s="729"/>
      <c r="C60" s="730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67" si="16">SUM(E60:AC60)</f>
        <v>0</v>
      </c>
      <c r="AF60" s="381"/>
      <c r="AG60" s="408"/>
      <c r="AH60" s="409">
        <f t="shared" si="15"/>
        <v>0</v>
      </c>
      <c r="AI60" s="410"/>
      <c r="AJ60" s="411">
        <f t="shared" ref="AJ60:AJ67" si="17">AH60+AI60</f>
        <v>0</v>
      </c>
    </row>
    <row r="61" spans="1:39" s="234" customFormat="1" ht="20.25">
      <c r="A61" s="1180" t="s">
        <v>125</v>
      </c>
      <c r="B61" s="729"/>
      <c r="C61" s="730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6"/>
        <v>0</v>
      </c>
      <c r="AF61" s="381"/>
      <c r="AG61" s="408"/>
      <c r="AH61" s="409">
        <f t="shared" si="15"/>
        <v>0</v>
      </c>
      <c r="AI61" s="410"/>
      <c r="AJ61" s="411">
        <f t="shared" si="17"/>
        <v>0</v>
      </c>
    </row>
    <row r="62" spans="1:39" s="234" customFormat="1" ht="20.25">
      <c r="A62" s="1180" t="s">
        <v>125</v>
      </c>
      <c r="B62" s="729"/>
      <c r="C62" s="730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6"/>
        <v>0</v>
      </c>
      <c r="AF62" s="381"/>
      <c r="AG62" s="408"/>
      <c r="AH62" s="409">
        <f t="shared" si="15"/>
        <v>0</v>
      </c>
      <c r="AI62" s="410"/>
      <c r="AJ62" s="411">
        <f t="shared" si="17"/>
        <v>0</v>
      </c>
    </row>
    <row r="63" spans="1:39" s="234" customFormat="1" ht="20.25">
      <c r="A63" s="1180" t="s">
        <v>125</v>
      </c>
      <c r="B63" s="729"/>
      <c r="C63" s="730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6"/>
        <v>0</v>
      </c>
      <c r="AF63" s="381"/>
      <c r="AG63" s="408"/>
      <c r="AH63" s="409">
        <f t="shared" si="15"/>
        <v>0</v>
      </c>
      <c r="AI63" s="410"/>
      <c r="AJ63" s="411">
        <f t="shared" si="17"/>
        <v>0</v>
      </c>
    </row>
    <row r="64" spans="1:39" s="234" customFormat="1" ht="20.25">
      <c r="A64" s="1180" t="s">
        <v>125</v>
      </c>
      <c r="B64" s="729"/>
      <c r="C64" s="730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6"/>
        <v>0</v>
      </c>
      <c r="AF64" s="381"/>
      <c r="AG64" s="408"/>
      <c r="AH64" s="409">
        <f t="shared" si="15"/>
        <v>0</v>
      </c>
      <c r="AI64" s="410"/>
      <c r="AJ64" s="411">
        <f t="shared" si="17"/>
        <v>0</v>
      </c>
    </row>
    <row r="65" spans="1:39" s="234" customFormat="1" ht="20.25">
      <c r="A65" s="1180" t="s">
        <v>125</v>
      </c>
      <c r="B65" s="729"/>
      <c r="C65" s="730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6"/>
        <v>0</v>
      </c>
      <c r="AF65" s="381"/>
      <c r="AG65" s="408"/>
      <c r="AH65" s="409">
        <f t="shared" si="15"/>
        <v>0</v>
      </c>
      <c r="AI65" s="410"/>
      <c r="AJ65" s="411">
        <f t="shared" si="17"/>
        <v>0</v>
      </c>
    </row>
    <row r="66" spans="1:39" s="234" customFormat="1" ht="21" thickBot="1">
      <c r="A66" s="1180" t="s">
        <v>125</v>
      </c>
      <c r="B66" s="729"/>
      <c r="C66" s="730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6"/>
        <v>0</v>
      </c>
      <c r="AF66" s="381"/>
      <c r="AG66" s="408"/>
      <c r="AH66" s="409">
        <f t="shared" si="15"/>
        <v>0</v>
      </c>
      <c r="AI66" s="410"/>
      <c r="AJ66" s="411">
        <f t="shared" si="17"/>
        <v>0</v>
      </c>
    </row>
    <row r="67" spans="1:39" s="283" customFormat="1" ht="21" thickBot="1">
      <c r="A67" s="2582"/>
      <c r="B67" s="2564"/>
      <c r="C67" s="732"/>
      <c r="D67" s="324"/>
      <c r="E67" s="325"/>
      <c r="F67" s="297"/>
      <c r="G67" s="297"/>
      <c r="H67" s="298"/>
      <c r="I67" s="298"/>
      <c r="J67" s="297"/>
      <c r="K67" s="344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325"/>
      <c r="W67" s="297"/>
      <c r="X67" s="297"/>
      <c r="Y67" s="298"/>
      <c r="Z67" s="298"/>
      <c r="AA67" s="298"/>
      <c r="AB67" s="297"/>
      <c r="AC67" s="375"/>
      <c r="AD67" s="355"/>
      <c r="AE67" s="376">
        <f t="shared" si="16"/>
        <v>0</v>
      </c>
      <c r="AF67" s="377"/>
      <c r="AG67" s="390"/>
      <c r="AH67" s="391">
        <f t="shared" si="15"/>
        <v>0</v>
      </c>
      <c r="AI67" s="412"/>
      <c r="AJ67" s="413">
        <f t="shared" si="17"/>
        <v>0</v>
      </c>
      <c r="AK67" s="414" t="s">
        <v>8</v>
      </c>
      <c r="AL67" s="397" t="s">
        <v>23</v>
      </c>
      <c r="AM67" s="415" t="s">
        <v>174</v>
      </c>
    </row>
    <row r="68" spans="1:39" s="284" customFormat="1" ht="19.5" thickBot="1">
      <c r="A68" s="326" t="s">
        <v>126</v>
      </c>
      <c r="B68" s="327"/>
      <c r="C68" s="327"/>
      <c r="D68" s="328"/>
      <c r="E68" s="329">
        <f t="shared" ref="E68:K68" si="18">SUM(E56:E67)</f>
        <v>0</v>
      </c>
      <c r="F68" s="330">
        <f t="shared" si="18"/>
        <v>0</v>
      </c>
      <c r="G68" s="330">
        <f t="shared" si="18"/>
        <v>0</v>
      </c>
      <c r="H68" s="330">
        <f t="shared" si="18"/>
        <v>0</v>
      </c>
      <c r="I68" s="330">
        <f t="shared" si="18"/>
        <v>0</v>
      </c>
      <c r="J68" s="330">
        <f t="shared" si="18"/>
        <v>0</v>
      </c>
      <c r="K68" s="356">
        <f t="shared" si="18"/>
        <v>0</v>
      </c>
      <c r="L68" s="357"/>
      <c r="M68" s="358">
        <f>SUM(M56:M67)</f>
        <v>0</v>
      </c>
      <c r="N68" s="359">
        <f>SUM(N56:N67)</f>
        <v>0</v>
      </c>
      <c r="O68" s="359">
        <f>SUM(O56:O67)</f>
        <v>0</v>
      </c>
      <c r="P68" s="359">
        <f>SUM(P56:P67)</f>
        <v>0</v>
      </c>
      <c r="Q68" s="359">
        <f t="shared" ref="Q68:T68" si="19">SUM(Q56:Q67)</f>
        <v>0</v>
      </c>
      <c r="R68" s="359">
        <f t="shared" si="19"/>
        <v>0</v>
      </c>
      <c r="S68" s="359">
        <f t="shared" si="19"/>
        <v>0</v>
      </c>
      <c r="T68" s="369">
        <f t="shared" si="19"/>
        <v>0</v>
      </c>
      <c r="U68" s="357"/>
      <c r="V68" s="358">
        <f t="shared" ref="V68:AC68" si="20">SUM(V56:V67)</f>
        <v>0</v>
      </c>
      <c r="W68" s="359">
        <f t="shared" si="20"/>
        <v>0</v>
      </c>
      <c r="X68" s="359">
        <f t="shared" si="20"/>
        <v>0</v>
      </c>
      <c r="Y68" s="359">
        <f t="shared" si="20"/>
        <v>0</v>
      </c>
      <c r="Z68" s="359">
        <f t="shared" si="20"/>
        <v>0</v>
      </c>
      <c r="AA68" s="359">
        <f t="shared" si="20"/>
        <v>0</v>
      </c>
      <c r="AB68" s="359">
        <f t="shared" si="20"/>
        <v>0</v>
      </c>
      <c r="AC68" s="369">
        <f t="shared" si="20"/>
        <v>0</v>
      </c>
      <c r="AD68" s="357"/>
      <c r="AE68" s="382">
        <f>SUM(AE56:AE67)</f>
        <v>0</v>
      </c>
      <c r="AF68" s="382">
        <f>SUM(AF56:AF67)</f>
        <v>0</v>
      </c>
      <c r="AG68" s="416">
        <f t="shared" ref="AG68:AJ68" si="21">SUM(AG56:AG67)</f>
        <v>0</v>
      </c>
      <c r="AH68" s="417">
        <f t="shared" si="21"/>
        <v>0</v>
      </c>
      <c r="AI68" s="382">
        <f t="shared" si="21"/>
        <v>0</v>
      </c>
      <c r="AJ68" s="418">
        <f t="shared" si="21"/>
        <v>0</v>
      </c>
      <c r="AK68" s="399">
        <f>'BIG CHAIR'!CL91</f>
        <v>0</v>
      </c>
      <c r="AL68" s="400">
        <f>'Tea Table'!X181</f>
        <v>0</v>
      </c>
      <c r="AM68" s="401">
        <f>AH68+AK68+AL68</f>
        <v>0</v>
      </c>
    </row>
    <row r="69" spans="1:39" ht="24" thickBot="1">
      <c r="A69" s="3322" t="s">
        <v>127</v>
      </c>
      <c r="B69" s="288" t="s">
        <v>68</v>
      </c>
      <c r="C69" s="722" t="s">
        <v>69</v>
      </c>
      <c r="D69" s="288" t="s">
        <v>70</v>
      </c>
      <c r="E69" s="80" t="s">
        <v>382</v>
      </c>
      <c r="F69" s="49" t="s">
        <v>53</v>
      </c>
      <c r="G69" s="49" t="s">
        <v>206</v>
      </c>
      <c r="H69" s="49" t="s">
        <v>190</v>
      </c>
      <c r="I69" s="49" t="s">
        <v>94</v>
      </c>
      <c r="J69" s="49"/>
      <c r="K69" s="126"/>
      <c r="L69" s="79"/>
      <c r="M69" s="80" t="s">
        <v>85</v>
      </c>
      <c r="N69" s="49"/>
      <c r="O69" s="49" t="s">
        <v>250</v>
      </c>
      <c r="P69" s="49"/>
      <c r="Q69" s="49" t="s">
        <v>149</v>
      </c>
      <c r="R69" s="49"/>
      <c r="S69" s="126"/>
      <c r="T69" s="171"/>
      <c r="U69" s="79"/>
      <c r="V69" s="99" t="s">
        <v>101</v>
      </c>
      <c r="W69" s="716" t="s">
        <v>53</v>
      </c>
      <c r="X69" s="104" t="s">
        <v>215</v>
      </c>
      <c r="Y69" s="103" t="s">
        <v>94</v>
      </c>
      <c r="Z69" s="104"/>
      <c r="AA69" s="104" t="s">
        <v>96</v>
      </c>
      <c r="AB69" s="121" t="s">
        <v>86</v>
      </c>
      <c r="AC69" s="844"/>
      <c r="AD69" s="370"/>
      <c r="AE69" s="371" t="s">
        <v>172</v>
      </c>
      <c r="AF69" s="372" t="s">
        <v>80</v>
      </c>
      <c r="AG69" s="385"/>
      <c r="AH69" s="386" t="s">
        <v>106</v>
      </c>
      <c r="AI69" s="385" t="s">
        <v>173</v>
      </c>
      <c r="AJ69" s="371" t="s">
        <v>108</v>
      </c>
      <c r="AK69" s="282"/>
      <c r="AL69" s="282"/>
      <c r="AM69" s="282"/>
    </row>
    <row r="70" spans="1:39" ht="20.25">
      <c r="A70" s="2667" t="s">
        <v>128</v>
      </c>
      <c r="B70" s="724"/>
      <c r="C70" s="725"/>
      <c r="D70" s="312"/>
      <c r="E70" s="313"/>
      <c r="F70" s="314"/>
      <c r="G70" s="314"/>
      <c r="H70" s="315"/>
      <c r="I70" s="315"/>
      <c r="J70" s="314"/>
      <c r="K70" s="348"/>
      <c r="L70" s="349"/>
      <c r="M70" s="350"/>
      <c r="N70" s="315"/>
      <c r="O70" s="315"/>
      <c r="P70" s="315"/>
      <c r="Q70" s="315"/>
      <c r="R70" s="315"/>
      <c r="S70" s="315"/>
      <c r="T70" s="348"/>
      <c r="U70" s="349"/>
      <c r="V70" s="350"/>
      <c r="W70" s="315"/>
      <c r="X70" s="315"/>
      <c r="Y70" s="315"/>
      <c r="Z70" s="315"/>
      <c r="AA70" s="315"/>
      <c r="AB70" s="315"/>
      <c r="AC70" s="378"/>
      <c r="AD70" s="349"/>
      <c r="AE70" s="379">
        <f t="shared" ref="AE70:AE73" si="22">SUM(E70:AC70)</f>
        <v>0</v>
      </c>
      <c r="AF70" s="379"/>
      <c r="AG70" s="404"/>
      <c r="AH70" s="405">
        <f>AE70+AF70</f>
        <v>0</v>
      </c>
      <c r="AI70" s="406"/>
      <c r="AJ70" s="407">
        <f>AH70+AI70</f>
        <v>0</v>
      </c>
      <c r="AK70" s="234"/>
      <c r="AL70" s="234"/>
      <c r="AM70" s="234"/>
    </row>
    <row r="71" spans="1:39" ht="20.25">
      <c r="A71" s="2667" t="s">
        <v>128</v>
      </c>
      <c r="B71" s="727"/>
      <c r="C71" s="728"/>
      <c r="D71" s="318"/>
      <c r="E71" s="319"/>
      <c r="F71" s="320"/>
      <c r="G71" s="320"/>
      <c r="H71" s="321"/>
      <c r="I71" s="321"/>
      <c r="J71" s="320"/>
      <c r="K71" s="351"/>
      <c r="L71" s="352"/>
      <c r="M71" s="353"/>
      <c r="N71" s="320"/>
      <c r="O71" s="320"/>
      <c r="P71" s="321"/>
      <c r="Q71" s="321"/>
      <c r="R71" s="321"/>
      <c r="S71" s="320"/>
      <c r="T71" s="351"/>
      <c r="U71" s="352"/>
      <c r="V71" s="353"/>
      <c r="W71" s="321"/>
      <c r="X71" s="321"/>
      <c r="Y71" s="321"/>
      <c r="Z71" s="321"/>
      <c r="AA71" s="321"/>
      <c r="AB71" s="321"/>
      <c r="AC71" s="380"/>
      <c r="AD71" s="352"/>
      <c r="AE71" s="381">
        <f t="shared" si="22"/>
        <v>0</v>
      </c>
      <c r="AF71" s="381"/>
      <c r="AG71" s="408"/>
      <c r="AH71" s="409">
        <f t="shared" ref="AH71:AH81" si="23">AE71+AF71</f>
        <v>0</v>
      </c>
      <c r="AI71" s="410"/>
      <c r="AJ71" s="411">
        <f>AH71+AI71</f>
        <v>0</v>
      </c>
      <c r="AK71" s="234"/>
      <c r="AL71" s="234"/>
      <c r="AM71" s="234"/>
    </row>
    <row r="72" spans="1:39" ht="20.25">
      <c r="A72" s="2667" t="s">
        <v>128</v>
      </c>
      <c r="B72" s="729"/>
      <c r="C72" s="730"/>
      <c r="D72" s="318"/>
      <c r="E72" s="319"/>
      <c r="F72" s="320"/>
      <c r="G72" s="320"/>
      <c r="H72" s="321"/>
      <c r="I72" s="321"/>
      <c r="J72" s="320"/>
      <c r="K72" s="354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22"/>
        <v>0</v>
      </c>
      <c r="AF72" s="381"/>
      <c r="AG72" s="408"/>
      <c r="AH72" s="409">
        <f t="shared" si="23"/>
        <v>0</v>
      </c>
      <c r="AI72" s="410"/>
      <c r="AJ72" s="411">
        <f>AH72+AI72</f>
        <v>0</v>
      </c>
      <c r="AK72" s="234"/>
      <c r="AL72" s="234"/>
      <c r="AM72" s="234"/>
    </row>
    <row r="73" spans="1:39" ht="20.25">
      <c r="A73" s="2667" t="s">
        <v>128</v>
      </c>
      <c r="B73" s="2586"/>
      <c r="C73" s="730"/>
      <c r="D73" s="318"/>
      <c r="E73" s="319"/>
      <c r="F73" s="320"/>
      <c r="G73" s="320"/>
      <c r="H73" s="321"/>
      <c r="I73" s="321"/>
      <c r="J73" s="320"/>
      <c r="K73" s="354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22"/>
        <v>0</v>
      </c>
      <c r="AF73" s="381"/>
      <c r="AG73" s="408"/>
      <c r="AH73" s="409">
        <f t="shared" si="23"/>
        <v>0</v>
      </c>
      <c r="AI73" s="410"/>
      <c r="AJ73" s="411">
        <f>AH73+AI73</f>
        <v>0</v>
      </c>
      <c r="AK73" s="234"/>
      <c r="AL73" s="234"/>
      <c r="AM73" s="234"/>
    </row>
    <row r="74" spans="1:39" ht="20.25">
      <c r="A74" s="2667" t="s">
        <v>128</v>
      </c>
      <c r="B74" s="2586"/>
      <c r="C74" s="730"/>
      <c r="D74" s="318"/>
      <c r="E74" s="319"/>
      <c r="F74" s="320"/>
      <c r="G74" s="320"/>
      <c r="H74" s="321"/>
      <c r="I74" s="321"/>
      <c r="J74" s="320"/>
      <c r="K74" s="354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ref="AE74:AE81" si="24">SUM(E74:AC74)</f>
        <v>0</v>
      </c>
      <c r="AF74" s="381"/>
      <c r="AG74" s="408"/>
      <c r="AH74" s="409">
        <f t="shared" si="23"/>
        <v>0</v>
      </c>
      <c r="AI74" s="410"/>
      <c r="AJ74" s="411">
        <f t="shared" ref="AJ74:AJ81" si="25">AH74+AI74</f>
        <v>0</v>
      </c>
      <c r="AK74" s="234"/>
      <c r="AL74" s="234"/>
      <c r="AM74" s="234"/>
    </row>
    <row r="75" spans="1:39" ht="20.25">
      <c r="A75" s="2667" t="s">
        <v>128</v>
      </c>
      <c r="B75" s="729"/>
      <c r="C75" s="730"/>
      <c r="D75" s="318"/>
      <c r="E75" s="319"/>
      <c r="F75" s="320"/>
      <c r="G75" s="320"/>
      <c r="H75" s="321"/>
      <c r="I75" s="321"/>
      <c r="J75" s="320"/>
      <c r="K75" s="354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24"/>
        <v>0</v>
      </c>
      <c r="AF75" s="381"/>
      <c r="AG75" s="408"/>
      <c r="AH75" s="409">
        <f t="shared" si="23"/>
        <v>0</v>
      </c>
      <c r="AI75" s="410"/>
      <c r="AJ75" s="411">
        <f t="shared" si="25"/>
        <v>0</v>
      </c>
      <c r="AK75" s="234"/>
      <c r="AL75" s="234"/>
      <c r="AM75" s="234"/>
    </row>
    <row r="76" spans="1:39" ht="20.25">
      <c r="A76" s="2667" t="s">
        <v>128</v>
      </c>
      <c r="B76" s="729"/>
      <c r="C76" s="730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4"/>
        <v>0</v>
      </c>
      <c r="AF76" s="381"/>
      <c r="AG76" s="408"/>
      <c r="AH76" s="409">
        <f t="shared" si="23"/>
        <v>0</v>
      </c>
      <c r="AI76" s="410"/>
      <c r="AJ76" s="411">
        <f t="shared" si="25"/>
        <v>0</v>
      </c>
      <c r="AK76" s="234"/>
      <c r="AL76" s="234"/>
      <c r="AM76" s="234"/>
    </row>
    <row r="77" spans="1:39" ht="20.25">
      <c r="A77" s="2667" t="s">
        <v>128</v>
      </c>
      <c r="B77" s="729"/>
      <c r="C77" s="730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4"/>
        <v>0</v>
      </c>
      <c r="AF77" s="381"/>
      <c r="AG77" s="408"/>
      <c r="AH77" s="409">
        <f t="shared" si="23"/>
        <v>0</v>
      </c>
      <c r="AI77" s="410"/>
      <c r="AJ77" s="411">
        <f t="shared" si="25"/>
        <v>0</v>
      </c>
      <c r="AK77" s="234"/>
      <c r="AL77" s="234"/>
      <c r="AM77" s="234"/>
    </row>
    <row r="78" spans="1:39" ht="20.25">
      <c r="A78" s="2667" t="s">
        <v>128</v>
      </c>
      <c r="B78" s="729"/>
      <c r="C78" s="730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24"/>
        <v>0</v>
      </c>
      <c r="AF78" s="381"/>
      <c r="AG78" s="408"/>
      <c r="AH78" s="409">
        <f t="shared" si="23"/>
        <v>0</v>
      </c>
      <c r="AI78" s="410"/>
      <c r="AJ78" s="411">
        <f t="shared" si="25"/>
        <v>0</v>
      </c>
      <c r="AK78" s="234"/>
      <c r="AL78" s="234"/>
      <c r="AM78" s="234"/>
    </row>
    <row r="79" spans="1:39" ht="20.25">
      <c r="A79" s="2667" t="s">
        <v>128</v>
      </c>
      <c r="B79" s="729"/>
      <c r="C79" s="730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4"/>
        <v>0</v>
      </c>
      <c r="AF79" s="381"/>
      <c r="AG79" s="408"/>
      <c r="AH79" s="409">
        <f t="shared" si="23"/>
        <v>0</v>
      </c>
      <c r="AI79" s="410"/>
      <c r="AJ79" s="411">
        <f t="shared" si="25"/>
        <v>0</v>
      </c>
      <c r="AK79" s="234"/>
      <c r="AL79" s="234"/>
      <c r="AM79" s="234"/>
    </row>
    <row r="80" spans="1:39" ht="21" thickBot="1">
      <c r="A80" s="2667" t="s">
        <v>128</v>
      </c>
      <c r="B80" s="3323"/>
      <c r="C80" s="730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24"/>
        <v>0</v>
      </c>
      <c r="AF80" s="381"/>
      <c r="AG80" s="408"/>
      <c r="AH80" s="409">
        <f t="shared" si="23"/>
        <v>0</v>
      </c>
      <c r="AI80" s="410"/>
      <c r="AJ80" s="411">
        <f t="shared" si="25"/>
        <v>0</v>
      </c>
      <c r="AK80" s="234"/>
      <c r="AL80" s="234"/>
      <c r="AM80" s="234"/>
    </row>
    <row r="81" spans="1:39" ht="21" thickBot="1">
      <c r="A81" s="322"/>
      <c r="B81" s="443"/>
      <c r="C81" s="323"/>
      <c r="D81" s="324"/>
      <c r="E81" s="325"/>
      <c r="F81" s="297"/>
      <c r="G81" s="297"/>
      <c r="H81" s="298"/>
      <c r="I81" s="298"/>
      <c r="J81" s="297"/>
      <c r="K81" s="344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24"/>
        <v>0</v>
      </c>
      <c r="AF81" s="377"/>
      <c r="AG81" s="390"/>
      <c r="AH81" s="391">
        <f t="shared" si="23"/>
        <v>0</v>
      </c>
      <c r="AI81" s="412"/>
      <c r="AJ81" s="413">
        <f t="shared" si="25"/>
        <v>0</v>
      </c>
      <c r="AK81" s="414" t="s">
        <v>8</v>
      </c>
      <c r="AL81" s="397" t="s">
        <v>23</v>
      </c>
      <c r="AM81" s="415" t="s">
        <v>174</v>
      </c>
    </row>
    <row r="82" spans="1:39" ht="19.5" thickBot="1">
      <c r="A82" s="326" t="s">
        <v>129</v>
      </c>
      <c r="B82" s="327"/>
      <c r="C82" s="327"/>
      <c r="D82" s="328"/>
      <c r="E82" s="329">
        <f>SUM(E70:E81)</f>
        <v>0</v>
      </c>
      <c r="F82" s="329">
        <f t="shared" ref="F82:AI82" si="26">SUM(F70:F81)</f>
        <v>0</v>
      </c>
      <c r="G82" s="329">
        <f t="shared" si="26"/>
        <v>0</v>
      </c>
      <c r="H82" s="329">
        <f t="shared" si="26"/>
        <v>0</v>
      </c>
      <c r="I82" s="329">
        <f t="shared" si="26"/>
        <v>0</v>
      </c>
      <c r="J82" s="329">
        <f t="shared" si="26"/>
        <v>0</v>
      </c>
      <c r="K82" s="329">
        <f t="shared" si="26"/>
        <v>0</v>
      </c>
      <c r="L82" s="329">
        <f t="shared" si="26"/>
        <v>0</v>
      </c>
      <c r="M82" s="329">
        <f t="shared" si="26"/>
        <v>0</v>
      </c>
      <c r="N82" s="329">
        <f t="shared" si="26"/>
        <v>0</v>
      </c>
      <c r="O82" s="329">
        <f t="shared" si="26"/>
        <v>0</v>
      </c>
      <c r="P82" s="329">
        <f t="shared" si="26"/>
        <v>0</v>
      </c>
      <c r="Q82" s="329">
        <f t="shared" si="26"/>
        <v>0</v>
      </c>
      <c r="R82" s="329">
        <f t="shared" si="26"/>
        <v>0</v>
      </c>
      <c r="S82" s="329">
        <f t="shared" si="26"/>
        <v>0</v>
      </c>
      <c r="T82" s="329">
        <f t="shared" si="26"/>
        <v>0</v>
      </c>
      <c r="U82" s="329">
        <f t="shared" si="26"/>
        <v>0</v>
      </c>
      <c r="V82" s="329">
        <f t="shared" si="26"/>
        <v>0</v>
      </c>
      <c r="W82" s="329">
        <f t="shared" si="26"/>
        <v>0</v>
      </c>
      <c r="X82" s="329">
        <f t="shared" si="26"/>
        <v>0</v>
      </c>
      <c r="Y82" s="329">
        <f t="shared" si="26"/>
        <v>0</v>
      </c>
      <c r="Z82" s="329">
        <f t="shared" si="26"/>
        <v>0</v>
      </c>
      <c r="AA82" s="329">
        <f t="shared" si="26"/>
        <v>0</v>
      </c>
      <c r="AB82" s="329">
        <f t="shared" si="26"/>
        <v>0</v>
      </c>
      <c r="AC82" s="329">
        <f t="shared" si="26"/>
        <v>0</v>
      </c>
      <c r="AD82" s="329">
        <f t="shared" si="26"/>
        <v>0</v>
      </c>
      <c r="AE82" s="329">
        <f t="shared" si="26"/>
        <v>0</v>
      </c>
      <c r="AF82" s="329">
        <f t="shared" si="26"/>
        <v>0</v>
      </c>
      <c r="AG82" s="329">
        <f t="shared" si="26"/>
        <v>0</v>
      </c>
      <c r="AH82" s="329">
        <f t="shared" si="26"/>
        <v>0</v>
      </c>
      <c r="AI82" s="329">
        <f t="shared" si="26"/>
        <v>0</v>
      </c>
      <c r="AJ82" s="305">
        <f>SUM(AJ70:AJ81)</f>
        <v>0</v>
      </c>
      <c r="AK82" s="399">
        <f>'BIG CHAIR'!CL105</f>
        <v>0</v>
      </c>
      <c r="AL82" s="400">
        <f>'Tea Table'!X195</f>
        <v>0</v>
      </c>
      <c r="AM82" s="401">
        <f>AH82+AK82+AL82</f>
        <v>0</v>
      </c>
    </row>
    <row r="83" spans="1:39" ht="24" thickBot="1">
      <c r="A83" s="3322" t="s">
        <v>130</v>
      </c>
      <c r="B83" s="288" t="s">
        <v>68</v>
      </c>
      <c r="C83" s="722" t="s">
        <v>69</v>
      </c>
      <c r="D83" s="288" t="s">
        <v>70</v>
      </c>
      <c r="E83" s="80" t="s">
        <v>382</v>
      </c>
      <c r="F83" s="49" t="s">
        <v>53</v>
      </c>
      <c r="G83" s="49" t="s">
        <v>206</v>
      </c>
      <c r="H83" s="49" t="s">
        <v>190</v>
      </c>
      <c r="I83" s="49" t="s">
        <v>94</v>
      </c>
      <c r="J83" s="49"/>
      <c r="K83" s="126"/>
      <c r="L83" s="79"/>
      <c r="M83" s="80" t="s">
        <v>85</v>
      </c>
      <c r="N83" s="49"/>
      <c r="O83" s="49" t="s">
        <v>250</v>
      </c>
      <c r="P83" s="49"/>
      <c r="Q83" s="49" t="s">
        <v>149</v>
      </c>
      <c r="R83" s="49"/>
      <c r="S83" s="126"/>
      <c r="T83" s="171"/>
      <c r="U83" s="79"/>
      <c r="V83" s="99" t="s">
        <v>101</v>
      </c>
      <c r="W83" s="716" t="s">
        <v>53</v>
      </c>
      <c r="X83" s="104" t="s">
        <v>215</v>
      </c>
      <c r="Y83" s="103" t="s">
        <v>94</v>
      </c>
      <c r="Z83" s="104"/>
      <c r="AA83" s="104" t="s">
        <v>96</v>
      </c>
      <c r="AB83" s="121" t="s">
        <v>86</v>
      </c>
      <c r="AC83" s="844"/>
      <c r="AD83" s="370"/>
      <c r="AE83" s="371" t="s">
        <v>172</v>
      </c>
      <c r="AF83" s="372" t="s">
        <v>80</v>
      </c>
      <c r="AG83" s="385"/>
      <c r="AH83" s="386" t="s">
        <v>106</v>
      </c>
      <c r="AI83" s="385" t="s">
        <v>173</v>
      </c>
      <c r="AJ83" s="371" t="s">
        <v>108</v>
      </c>
      <c r="AK83" s="282"/>
      <c r="AL83" s="282"/>
      <c r="AM83" s="282"/>
    </row>
    <row r="84" spans="1:39" ht="20.25">
      <c r="A84" s="2667" t="s">
        <v>131</v>
      </c>
      <c r="B84" s="724"/>
      <c r="C84" s="725"/>
      <c r="D84" s="312"/>
      <c r="E84" s="313"/>
      <c r="F84" s="314"/>
      <c r="G84" s="314"/>
      <c r="H84" s="315"/>
      <c r="I84" s="315"/>
      <c r="J84" s="314"/>
      <c r="K84" s="348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ref="AE84:AE87" si="27">SUM(E84:AC84)</f>
        <v>0</v>
      </c>
      <c r="AF84" s="379"/>
      <c r="AG84" s="404"/>
      <c r="AH84" s="405">
        <f>AE84+AF84</f>
        <v>0</v>
      </c>
      <c r="AI84" s="406"/>
      <c r="AJ84" s="407">
        <f>AH84+AI84</f>
        <v>0</v>
      </c>
      <c r="AK84" s="234"/>
      <c r="AL84" s="234"/>
      <c r="AM84" s="234"/>
    </row>
    <row r="85" spans="1:39" ht="20.25">
      <c r="A85" s="2667" t="s">
        <v>131</v>
      </c>
      <c r="B85" s="727"/>
      <c r="C85" s="728"/>
      <c r="D85" s="318"/>
      <c r="E85" s="319"/>
      <c r="F85" s="320"/>
      <c r="G85" s="320"/>
      <c r="H85" s="321"/>
      <c r="I85" s="321"/>
      <c r="J85" s="320"/>
      <c r="K85" s="351"/>
      <c r="L85" s="352"/>
      <c r="M85" s="353"/>
      <c r="N85" s="320"/>
      <c r="O85" s="320"/>
      <c r="P85" s="321"/>
      <c r="Q85" s="321"/>
      <c r="R85" s="321"/>
      <c r="S85" s="320"/>
      <c r="T85" s="351"/>
      <c r="U85" s="352"/>
      <c r="V85" s="353"/>
      <c r="W85" s="321"/>
      <c r="X85" s="321"/>
      <c r="Y85" s="321"/>
      <c r="Z85" s="321"/>
      <c r="AA85" s="321"/>
      <c r="AB85" s="321"/>
      <c r="AC85" s="380"/>
      <c r="AD85" s="352"/>
      <c r="AE85" s="381">
        <f t="shared" si="27"/>
        <v>0</v>
      </c>
      <c r="AF85" s="381"/>
      <c r="AG85" s="408"/>
      <c r="AH85" s="409">
        <f t="shared" ref="AH85:AH95" si="28">AE85+AF85</f>
        <v>0</v>
      </c>
      <c r="AI85" s="410"/>
      <c r="AJ85" s="411">
        <f>AH85+AI85</f>
        <v>0</v>
      </c>
      <c r="AK85" s="234"/>
      <c r="AL85" s="234"/>
      <c r="AM85" s="234"/>
    </row>
    <row r="86" spans="1:39" ht="20.25">
      <c r="A86" s="2667" t="s">
        <v>131</v>
      </c>
      <c r="B86" s="729"/>
      <c r="C86" s="730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27"/>
        <v>0</v>
      </c>
      <c r="AF86" s="381"/>
      <c r="AG86" s="408"/>
      <c r="AH86" s="409">
        <f t="shared" si="28"/>
        <v>0</v>
      </c>
      <c r="AI86" s="410"/>
      <c r="AJ86" s="411">
        <f>AH86+AI86</f>
        <v>0</v>
      </c>
      <c r="AK86" s="234"/>
      <c r="AL86" s="234"/>
      <c r="AM86" s="234"/>
    </row>
    <row r="87" spans="1:39" ht="20.25">
      <c r="A87" s="2667" t="s">
        <v>131</v>
      </c>
      <c r="B87" s="2586"/>
      <c r="C87" s="730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27"/>
        <v>0</v>
      </c>
      <c r="AF87" s="381"/>
      <c r="AG87" s="408"/>
      <c r="AH87" s="409">
        <f t="shared" si="28"/>
        <v>0</v>
      </c>
      <c r="AI87" s="410"/>
      <c r="AJ87" s="411">
        <f>AH87+AI87</f>
        <v>0</v>
      </c>
      <c r="AK87" s="234"/>
      <c r="AL87" s="234"/>
      <c r="AM87" s="234"/>
    </row>
    <row r="88" spans="1:39" ht="20.25">
      <c r="A88" s="2667" t="s">
        <v>131</v>
      </c>
      <c r="B88" s="2586"/>
      <c r="C88" s="730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ref="AE88:AE95" si="29">SUM(E88:AC88)</f>
        <v>0</v>
      </c>
      <c r="AF88" s="381"/>
      <c r="AG88" s="408"/>
      <c r="AH88" s="409">
        <f t="shared" si="28"/>
        <v>0</v>
      </c>
      <c r="AI88" s="410"/>
      <c r="AJ88" s="411">
        <f t="shared" ref="AJ88:AJ95" si="30">AH88+AI88</f>
        <v>0</v>
      </c>
      <c r="AK88" s="234"/>
      <c r="AL88" s="234"/>
      <c r="AM88" s="234"/>
    </row>
    <row r="89" spans="1:39" ht="20.25">
      <c r="A89" s="2667" t="s">
        <v>131</v>
      </c>
      <c r="B89" s="729"/>
      <c r="C89" s="730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29"/>
        <v>0</v>
      </c>
      <c r="AF89" s="381"/>
      <c r="AG89" s="408"/>
      <c r="AH89" s="409">
        <f t="shared" si="28"/>
        <v>0</v>
      </c>
      <c r="AI89" s="410"/>
      <c r="AJ89" s="411">
        <f t="shared" si="30"/>
        <v>0</v>
      </c>
      <c r="AK89" s="234"/>
      <c r="AL89" s="234"/>
      <c r="AM89" s="234"/>
    </row>
    <row r="90" spans="1:39" ht="20.25">
      <c r="A90" s="2667" t="s">
        <v>131</v>
      </c>
      <c r="B90" s="729"/>
      <c r="C90" s="730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29"/>
        <v>0</v>
      </c>
      <c r="AF90" s="381"/>
      <c r="AG90" s="408"/>
      <c r="AH90" s="409">
        <f t="shared" si="28"/>
        <v>0</v>
      </c>
      <c r="AI90" s="410"/>
      <c r="AJ90" s="411">
        <f t="shared" si="30"/>
        <v>0</v>
      </c>
      <c r="AK90" s="234"/>
      <c r="AL90" s="234"/>
      <c r="AM90" s="234"/>
    </row>
    <row r="91" spans="1:39" ht="20.25">
      <c r="A91" s="2667" t="s">
        <v>131</v>
      </c>
      <c r="B91" s="729"/>
      <c r="C91" s="730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29"/>
        <v>0</v>
      </c>
      <c r="AF91" s="381"/>
      <c r="AG91" s="408"/>
      <c r="AH91" s="409">
        <f t="shared" si="28"/>
        <v>0</v>
      </c>
      <c r="AI91" s="410"/>
      <c r="AJ91" s="411">
        <f t="shared" si="30"/>
        <v>0</v>
      </c>
      <c r="AK91" s="234"/>
      <c r="AL91" s="234"/>
      <c r="AM91" s="234"/>
    </row>
    <row r="92" spans="1:39" ht="20.25">
      <c r="A92" s="2667" t="s">
        <v>131</v>
      </c>
      <c r="B92" s="729"/>
      <c r="C92" s="730"/>
      <c r="D92" s="318"/>
      <c r="E92" s="319"/>
      <c r="F92" s="320"/>
      <c r="G92" s="320"/>
      <c r="H92" s="321"/>
      <c r="I92" s="321"/>
      <c r="J92" s="320"/>
      <c r="K92" s="354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29"/>
        <v>0</v>
      </c>
      <c r="AF92" s="381"/>
      <c r="AG92" s="408"/>
      <c r="AH92" s="409">
        <f t="shared" si="28"/>
        <v>0</v>
      </c>
      <c r="AI92" s="410"/>
      <c r="AJ92" s="411">
        <f t="shared" si="30"/>
        <v>0</v>
      </c>
      <c r="AK92" s="234"/>
      <c r="AL92" s="234"/>
      <c r="AM92" s="234"/>
    </row>
    <row r="93" spans="1:39" ht="20.25">
      <c r="A93" s="2667" t="s">
        <v>131</v>
      </c>
      <c r="B93" s="729"/>
      <c r="C93" s="730"/>
      <c r="D93" s="318"/>
      <c r="E93" s="319"/>
      <c r="F93" s="320"/>
      <c r="G93" s="320"/>
      <c r="H93" s="321"/>
      <c r="I93" s="321"/>
      <c r="J93" s="320"/>
      <c r="K93" s="354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29"/>
        <v>0</v>
      </c>
      <c r="AF93" s="381"/>
      <c r="AG93" s="408"/>
      <c r="AH93" s="409">
        <f t="shared" si="28"/>
        <v>0</v>
      </c>
      <c r="AI93" s="410"/>
      <c r="AJ93" s="411">
        <f t="shared" si="30"/>
        <v>0</v>
      </c>
      <c r="AK93" s="234"/>
      <c r="AL93" s="234"/>
      <c r="AM93" s="234"/>
    </row>
    <row r="94" spans="1:39" ht="21" thickBot="1">
      <c r="A94" s="2667" t="s">
        <v>131</v>
      </c>
      <c r="B94" s="3323"/>
      <c r="C94" s="730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29"/>
        <v>0</v>
      </c>
      <c r="AF94" s="381"/>
      <c r="AG94" s="408"/>
      <c r="AH94" s="409">
        <f t="shared" si="28"/>
        <v>0</v>
      </c>
      <c r="AI94" s="410"/>
      <c r="AJ94" s="411">
        <f t="shared" si="30"/>
        <v>0</v>
      </c>
      <c r="AK94" s="234"/>
      <c r="AL94" s="234"/>
      <c r="AM94" s="234"/>
    </row>
    <row r="95" spans="1:39" ht="21" thickBot="1">
      <c r="A95" s="2667"/>
      <c r="B95" s="443"/>
      <c r="C95" s="323"/>
      <c r="D95" s="324"/>
      <c r="E95" s="325"/>
      <c r="F95" s="297"/>
      <c r="G95" s="297"/>
      <c r="H95" s="298"/>
      <c r="I95" s="298"/>
      <c r="J95" s="297"/>
      <c r="K95" s="344"/>
      <c r="L95" s="355"/>
      <c r="M95" s="343"/>
      <c r="N95" s="298"/>
      <c r="O95" s="298"/>
      <c r="P95" s="298"/>
      <c r="Q95" s="298"/>
      <c r="R95" s="298"/>
      <c r="S95" s="298"/>
      <c r="T95" s="367"/>
      <c r="U95" s="355"/>
      <c r="V95" s="325"/>
      <c r="W95" s="297"/>
      <c r="X95" s="297"/>
      <c r="Y95" s="298"/>
      <c r="Z95" s="298"/>
      <c r="AA95" s="298"/>
      <c r="AB95" s="297"/>
      <c r="AC95" s="375"/>
      <c r="AD95" s="355"/>
      <c r="AE95" s="376">
        <f t="shared" si="29"/>
        <v>0</v>
      </c>
      <c r="AF95" s="377"/>
      <c r="AG95" s="390"/>
      <c r="AH95" s="391">
        <f t="shared" si="28"/>
        <v>0</v>
      </c>
      <c r="AI95" s="412"/>
      <c r="AJ95" s="413">
        <f t="shared" si="30"/>
        <v>0</v>
      </c>
      <c r="AK95" s="414" t="s">
        <v>8</v>
      </c>
      <c r="AL95" s="397" t="s">
        <v>23</v>
      </c>
      <c r="AM95" s="415" t="s">
        <v>174</v>
      </c>
    </row>
    <row r="96" spans="1:39" ht="19.5" thickBot="1">
      <c r="A96" s="326" t="s">
        <v>132</v>
      </c>
      <c r="B96" s="327"/>
      <c r="C96" s="327"/>
      <c r="D96" s="328"/>
      <c r="E96" s="329">
        <f>SUM(E84:E95)</f>
        <v>0</v>
      </c>
      <c r="F96" s="329">
        <f t="shared" ref="F96:AI96" si="31">SUM(F84:F95)</f>
        <v>0</v>
      </c>
      <c r="G96" s="329">
        <f t="shared" si="31"/>
        <v>0</v>
      </c>
      <c r="H96" s="329">
        <f t="shared" si="31"/>
        <v>0</v>
      </c>
      <c r="I96" s="329">
        <f t="shared" si="31"/>
        <v>0</v>
      </c>
      <c r="J96" s="329">
        <f t="shared" si="31"/>
        <v>0</v>
      </c>
      <c r="K96" s="329">
        <f t="shared" si="31"/>
        <v>0</v>
      </c>
      <c r="L96" s="329">
        <f t="shared" si="31"/>
        <v>0</v>
      </c>
      <c r="M96" s="329">
        <f t="shared" si="31"/>
        <v>0</v>
      </c>
      <c r="N96" s="329">
        <f t="shared" si="31"/>
        <v>0</v>
      </c>
      <c r="O96" s="329">
        <f t="shared" si="31"/>
        <v>0</v>
      </c>
      <c r="P96" s="329">
        <f t="shared" si="31"/>
        <v>0</v>
      </c>
      <c r="Q96" s="329">
        <f t="shared" si="31"/>
        <v>0</v>
      </c>
      <c r="R96" s="329">
        <f t="shared" si="31"/>
        <v>0</v>
      </c>
      <c r="S96" s="329">
        <f t="shared" si="31"/>
        <v>0</v>
      </c>
      <c r="T96" s="329">
        <f t="shared" si="31"/>
        <v>0</v>
      </c>
      <c r="U96" s="329">
        <f t="shared" si="31"/>
        <v>0</v>
      </c>
      <c r="V96" s="329">
        <f t="shared" si="31"/>
        <v>0</v>
      </c>
      <c r="W96" s="329">
        <f t="shared" si="31"/>
        <v>0</v>
      </c>
      <c r="X96" s="329">
        <f t="shared" si="31"/>
        <v>0</v>
      </c>
      <c r="Y96" s="329">
        <f t="shared" si="31"/>
        <v>0</v>
      </c>
      <c r="Z96" s="329">
        <f t="shared" si="31"/>
        <v>0</v>
      </c>
      <c r="AA96" s="329">
        <f t="shared" si="31"/>
        <v>0</v>
      </c>
      <c r="AB96" s="329">
        <f t="shared" si="31"/>
        <v>0</v>
      </c>
      <c r="AC96" s="329">
        <f t="shared" si="31"/>
        <v>0</v>
      </c>
      <c r="AD96" s="329">
        <f t="shared" si="31"/>
        <v>0</v>
      </c>
      <c r="AE96" s="329">
        <f t="shared" si="31"/>
        <v>0</v>
      </c>
      <c r="AF96" s="329">
        <f t="shared" si="31"/>
        <v>0</v>
      </c>
      <c r="AG96" s="329">
        <f t="shared" si="31"/>
        <v>0</v>
      </c>
      <c r="AH96" s="329">
        <f t="shared" si="31"/>
        <v>0</v>
      </c>
      <c r="AI96" s="329">
        <f t="shared" si="31"/>
        <v>0</v>
      </c>
      <c r="AJ96" s="305">
        <f>SUM(AJ84:AJ95)</f>
        <v>0</v>
      </c>
      <c r="AK96" s="399">
        <f>'BIG CHAIR'!CL119</f>
        <v>0</v>
      </c>
      <c r="AL96" s="400">
        <f>'Tea Table'!X209</f>
        <v>144</v>
      </c>
      <c r="AM96" s="401">
        <f>AH96+AK96+AL96</f>
        <v>144</v>
      </c>
    </row>
    <row r="97" spans="1:39" ht="24" thickBot="1">
      <c r="A97" s="2608" t="s">
        <v>393</v>
      </c>
      <c r="B97" s="288" t="s">
        <v>68</v>
      </c>
      <c r="C97" s="722" t="s">
        <v>69</v>
      </c>
      <c r="D97" s="288" t="s">
        <v>70</v>
      </c>
      <c r="E97" s="80" t="s">
        <v>382</v>
      </c>
      <c r="F97" s="49" t="s">
        <v>53</v>
      </c>
      <c r="G97" s="49" t="s">
        <v>206</v>
      </c>
      <c r="H97" s="49" t="s">
        <v>190</v>
      </c>
      <c r="I97" s="49" t="s">
        <v>94</v>
      </c>
      <c r="J97" s="49"/>
      <c r="K97" s="126"/>
      <c r="L97" s="79"/>
      <c r="M97" s="80" t="s">
        <v>85</v>
      </c>
      <c r="N97" s="49" t="s">
        <v>457</v>
      </c>
      <c r="O97" s="49" t="s">
        <v>250</v>
      </c>
      <c r="P97" s="49"/>
      <c r="Q97" s="744" t="s">
        <v>412</v>
      </c>
      <c r="R97" s="49"/>
      <c r="S97" s="126" t="s">
        <v>413</v>
      </c>
      <c r="T97" s="171" t="s">
        <v>416</v>
      </c>
      <c r="U97" s="79"/>
      <c r="V97" s="99" t="s">
        <v>101</v>
      </c>
      <c r="W97" s="716" t="s">
        <v>53</v>
      </c>
      <c r="X97" s="104" t="s">
        <v>215</v>
      </c>
      <c r="Y97" s="103" t="s">
        <v>94</v>
      </c>
      <c r="Z97" s="104"/>
      <c r="AA97" s="104" t="s">
        <v>96</v>
      </c>
      <c r="AB97" s="121" t="s">
        <v>86</v>
      </c>
      <c r="AC97" s="844"/>
      <c r="AD97" s="370"/>
      <c r="AE97" s="371" t="s">
        <v>172</v>
      </c>
      <c r="AF97" s="372" t="s">
        <v>80</v>
      </c>
      <c r="AG97" s="385"/>
      <c r="AH97" s="386" t="s">
        <v>106</v>
      </c>
      <c r="AI97" s="385" t="s">
        <v>173</v>
      </c>
      <c r="AJ97" s="371" t="s">
        <v>108</v>
      </c>
      <c r="AK97" s="282"/>
      <c r="AL97" s="282"/>
      <c r="AM97" s="282"/>
    </row>
    <row r="98" spans="1:39" ht="20.25">
      <c r="A98" s="3135" t="s">
        <v>392</v>
      </c>
      <c r="B98" s="724"/>
      <c r="C98" s="725"/>
      <c r="D98" s="312"/>
      <c r="E98" s="313"/>
      <c r="F98" s="314"/>
      <c r="G98" s="314"/>
      <c r="H98" s="315"/>
      <c r="I98" s="315"/>
      <c r="J98" s="314"/>
      <c r="K98" s="477"/>
      <c r="L98" s="349"/>
      <c r="M98" s="350"/>
      <c r="N98" s="315"/>
      <c r="O98" s="315"/>
      <c r="P98" s="315"/>
      <c r="Q98" s="315"/>
      <c r="R98" s="315"/>
      <c r="S98" s="315"/>
      <c r="T98" s="477"/>
      <c r="U98" s="349"/>
      <c r="V98" s="350"/>
      <c r="W98" s="315"/>
      <c r="X98" s="315"/>
      <c r="Y98" s="315"/>
      <c r="Z98" s="315"/>
      <c r="AA98" s="315"/>
      <c r="AB98" s="315"/>
      <c r="AC98" s="378"/>
      <c r="AD98" s="349"/>
      <c r="AE98" s="379">
        <f t="shared" ref="AE98:AE101" si="32">SUM(E98:AC98)</f>
        <v>0</v>
      </c>
      <c r="AF98" s="379"/>
      <c r="AG98" s="404"/>
      <c r="AH98" s="405">
        <f>AE98+AF98</f>
        <v>0</v>
      </c>
      <c r="AI98" s="406"/>
      <c r="AJ98" s="407">
        <f>AH98+AI98</f>
        <v>0</v>
      </c>
      <c r="AK98" s="234"/>
      <c r="AL98" s="234"/>
      <c r="AM98" s="234"/>
    </row>
    <row r="99" spans="1:39" ht="20.25">
      <c r="A99" s="3135" t="s">
        <v>392</v>
      </c>
      <c r="B99" s="727"/>
      <c r="C99" s="728"/>
      <c r="D99" s="318"/>
      <c r="E99" s="319"/>
      <c r="F99" s="320"/>
      <c r="G99" s="320"/>
      <c r="H99" s="321"/>
      <c r="I99" s="321"/>
      <c r="J99" s="320"/>
      <c r="K99" s="351"/>
      <c r="L99" s="352"/>
      <c r="M99" s="353"/>
      <c r="N99" s="320"/>
      <c r="O99" s="320"/>
      <c r="P99" s="321"/>
      <c r="Q99" s="321"/>
      <c r="R99" s="321"/>
      <c r="S99" s="320"/>
      <c r="T99" s="351"/>
      <c r="U99" s="352"/>
      <c r="V99" s="353"/>
      <c r="W99" s="321"/>
      <c r="X99" s="321"/>
      <c r="Y99" s="321"/>
      <c r="Z99" s="321"/>
      <c r="AA99" s="321"/>
      <c r="AB99" s="321"/>
      <c r="AC99" s="380"/>
      <c r="AD99" s="352"/>
      <c r="AE99" s="381">
        <f t="shared" si="32"/>
        <v>0</v>
      </c>
      <c r="AF99" s="381"/>
      <c r="AG99" s="408"/>
      <c r="AH99" s="409">
        <f t="shared" ref="AH99:AH109" si="33">AE99+AF99</f>
        <v>0</v>
      </c>
      <c r="AI99" s="410"/>
      <c r="AJ99" s="411">
        <f>AH99+AI99</f>
        <v>0</v>
      </c>
      <c r="AK99" s="234"/>
      <c r="AL99" s="234"/>
      <c r="AM99" s="234"/>
    </row>
    <row r="100" spans="1:39" ht="20.25">
      <c r="A100" s="3135" t="s">
        <v>392</v>
      </c>
      <c r="B100" s="729"/>
      <c r="C100" s="730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32"/>
        <v>0</v>
      </c>
      <c r="AF100" s="381"/>
      <c r="AG100" s="408"/>
      <c r="AH100" s="409">
        <f t="shared" si="33"/>
        <v>0</v>
      </c>
      <c r="AI100" s="410"/>
      <c r="AJ100" s="411">
        <f>AH100+AI100</f>
        <v>0</v>
      </c>
      <c r="AK100" s="234"/>
      <c r="AL100" s="234"/>
      <c r="AM100" s="234"/>
    </row>
    <row r="101" spans="1:39" ht="20.25">
      <c r="A101" s="3135" t="s">
        <v>392</v>
      </c>
      <c r="B101" s="729"/>
      <c r="C101" s="730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32"/>
        <v>0</v>
      </c>
      <c r="AF101" s="381"/>
      <c r="AG101" s="408"/>
      <c r="AH101" s="409">
        <f t="shared" si="33"/>
        <v>0</v>
      </c>
      <c r="AI101" s="410"/>
      <c r="AJ101" s="411">
        <f>AH101+AI101</f>
        <v>0</v>
      </c>
      <c r="AK101" s="234"/>
      <c r="AL101" s="234"/>
      <c r="AM101" s="234"/>
    </row>
    <row r="102" spans="1:39" ht="20.25">
      <c r="A102" s="3135" t="s">
        <v>392</v>
      </c>
      <c r="B102" s="729"/>
      <c r="C102" s="730"/>
      <c r="D102" s="318"/>
      <c r="E102" s="1190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ref="AE102:AE109" si="34">SUM(E102:AC102)</f>
        <v>0</v>
      </c>
      <c r="AF102" s="381"/>
      <c r="AG102" s="408"/>
      <c r="AH102" s="409">
        <f t="shared" si="33"/>
        <v>0</v>
      </c>
      <c r="AI102" s="410"/>
      <c r="AJ102" s="411">
        <f t="shared" ref="AJ102:AJ109" si="35">AH102+AI102</f>
        <v>0</v>
      </c>
      <c r="AK102" s="234"/>
      <c r="AL102" s="234"/>
      <c r="AM102" s="234"/>
    </row>
    <row r="103" spans="1:39" ht="20.25">
      <c r="A103" s="3135" t="s">
        <v>392</v>
      </c>
      <c r="B103" s="729"/>
      <c r="C103" s="730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34"/>
        <v>0</v>
      </c>
      <c r="AF103" s="381"/>
      <c r="AG103" s="408"/>
      <c r="AH103" s="409">
        <f t="shared" si="33"/>
        <v>0</v>
      </c>
      <c r="AI103" s="410"/>
      <c r="AJ103" s="411">
        <f t="shared" si="35"/>
        <v>0</v>
      </c>
      <c r="AK103" s="234"/>
      <c r="AL103" s="234"/>
      <c r="AM103" s="234"/>
    </row>
    <row r="104" spans="1:39" ht="20.25">
      <c r="A104" s="3135" t="s">
        <v>392</v>
      </c>
      <c r="B104" s="729"/>
      <c r="C104" s="730"/>
      <c r="D104" s="318"/>
      <c r="E104" s="319"/>
      <c r="F104" s="320"/>
      <c r="G104" s="320"/>
      <c r="H104" s="321"/>
      <c r="I104" s="321"/>
      <c r="J104" s="320"/>
      <c r="K104" s="354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34"/>
        <v>0</v>
      </c>
      <c r="AF104" s="381"/>
      <c r="AG104" s="408"/>
      <c r="AH104" s="409">
        <f t="shared" si="33"/>
        <v>0</v>
      </c>
      <c r="AI104" s="410"/>
      <c r="AJ104" s="411">
        <f t="shared" si="35"/>
        <v>0</v>
      </c>
      <c r="AK104" s="234"/>
      <c r="AL104" s="234"/>
      <c r="AM104" s="234"/>
    </row>
    <row r="105" spans="1:39" ht="20.25">
      <c r="A105" s="3135" t="s">
        <v>392</v>
      </c>
      <c r="B105" s="729"/>
      <c r="C105" s="730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34"/>
        <v>0</v>
      </c>
      <c r="AF105" s="381"/>
      <c r="AG105" s="408"/>
      <c r="AH105" s="409">
        <f t="shared" si="33"/>
        <v>0</v>
      </c>
      <c r="AI105" s="410"/>
      <c r="AJ105" s="411">
        <f t="shared" si="35"/>
        <v>0</v>
      </c>
      <c r="AK105" s="234"/>
      <c r="AL105" s="234"/>
      <c r="AM105" s="234"/>
    </row>
    <row r="106" spans="1:39" ht="20.25">
      <c r="A106" s="3135" t="s">
        <v>392</v>
      </c>
      <c r="B106" s="729"/>
      <c r="C106" s="730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34"/>
        <v>0</v>
      </c>
      <c r="AF106" s="381"/>
      <c r="AG106" s="408"/>
      <c r="AH106" s="409">
        <f t="shared" si="33"/>
        <v>0</v>
      </c>
      <c r="AI106" s="410"/>
      <c r="AJ106" s="411">
        <f t="shared" si="35"/>
        <v>0</v>
      </c>
      <c r="AK106" s="234"/>
      <c r="AL106" s="234"/>
      <c r="AM106" s="234"/>
    </row>
    <row r="107" spans="1:39" ht="20.25">
      <c r="A107" s="3135" t="s">
        <v>392</v>
      </c>
      <c r="B107" s="729"/>
      <c r="C107" s="730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34"/>
        <v>0</v>
      </c>
      <c r="AF107" s="381"/>
      <c r="AG107" s="408"/>
      <c r="AH107" s="409">
        <f t="shared" si="33"/>
        <v>0</v>
      </c>
      <c r="AI107" s="410"/>
      <c r="AJ107" s="411">
        <f t="shared" si="35"/>
        <v>0</v>
      </c>
      <c r="AK107" s="234"/>
      <c r="AL107" s="234"/>
      <c r="AM107" s="234"/>
    </row>
    <row r="108" spans="1:39" ht="21" thickBot="1">
      <c r="A108" s="3135" t="s">
        <v>392</v>
      </c>
      <c r="B108" s="729"/>
      <c r="C108" s="730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34"/>
        <v>0</v>
      </c>
      <c r="AF108" s="381"/>
      <c r="AG108" s="408"/>
      <c r="AH108" s="409">
        <f t="shared" si="33"/>
        <v>0</v>
      </c>
      <c r="AI108" s="410"/>
      <c r="AJ108" s="411">
        <f t="shared" si="35"/>
        <v>0</v>
      </c>
      <c r="AK108" s="234"/>
      <c r="AL108" s="234"/>
      <c r="AM108" s="234"/>
    </row>
    <row r="109" spans="1:39" ht="21" thickBot="1">
      <c r="A109" s="2582"/>
      <c r="B109" s="2564"/>
      <c r="C109" s="732"/>
      <c r="D109" s="324"/>
      <c r="E109" s="325"/>
      <c r="F109" s="297"/>
      <c r="G109" s="297"/>
      <c r="H109" s="298"/>
      <c r="I109" s="298"/>
      <c r="J109" s="297"/>
      <c r="K109" s="344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si="34"/>
        <v>0</v>
      </c>
      <c r="AF109" s="377"/>
      <c r="AG109" s="390"/>
      <c r="AH109" s="391">
        <f t="shared" si="33"/>
        <v>0</v>
      </c>
      <c r="AI109" s="412"/>
      <c r="AJ109" s="413">
        <f t="shared" si="35"/>
        <v>0</v>
      </c>
      <c r="AK109" s="414" t="s">
        <v>8</v>
      </c>
      <c r="AL109" s="397" t="s">
        <v>23</v>
      </c>
      <c r="AM109" s="415" t="s">
        <v>174</v>
      </c>
    </row>
    <row r="110" spans="1:39" ht="19.5" thickBot="1">
      <c r="A110" s="326" t="s">
        <v>426</v>
      </c>
      <c r="B110" s="327"/>
      <c r="C110" s="327"/>
      <c r="D110" s="328"/>
      <c r="E110" s="329">
        <f>SUM(E98:E109)</f>
        <v>0</v>
      </c>
      <c r="F110" s="329">
        <f t="shared" ref="F110:AI110" si="36">SUM(F98:F109)</f>
        <v>0</v>
      </c>
      <c r="G110" s="329">
        <f t="shared" si="36"/>
        <v>0</v>
      </c>
      <c r="H110" s="329">
        <f t="shared" si="36"/>
        <v>0</v>
      </c>
      <c r="I110" s="329">
        <f t="shared" si="36"/>
        <v>0</v>
      </c>
      <c r="J110" s="329">
        <f t="shared" si="36"/>
        <v>0</v>
      </c>
      <c r="K110" s="329">
        <f t="shared" si="36"/>
        <v>0</v>
      </c>
      <c r="L110" s="329">
        <f t="shared" si="36"/>
        <v>0</v>
      </c>
      <c r="M110" s="329">
        <f t="shared" si="36"/>
        <v>0</v>
      </c>
      <c r="N110" s="329">
        <f t="shared" si="36"/>
        <v>0</v>
      </c>
      <c r="O110" s="329">
        <f t="shared" si="36"/>
        <v>0</v>
      </c>
      <c r="P110" s="329">
        <f t="shared" si="36"/>
        <v>0</v>
      </c>
      <c r="Q110" s="329">
        <f t="shared" si="36"/>
        <v>0</v>
      </c>
      <c r="R110" s="329">
        <f t="shared" si="36"/>
        <v>0</v>
      </c>
      <c r="S110" s="329">
        <f t="shared" si="36"/>
        <v>0</v>
      </c>
      <c r="T110" s="329">
        <f t="shared" si="36"/>
        <v>0</v>
      </c>
      <c r="U110" s="329">
        <f t="shared" si="36"/>
        <v>0</v>
      </c>
      <c r="V110" s="329">
        <f t="shared" si="36"/>
        <v>0</v>
      </c>
      <c r="W110" s="329">
        <f t="shared" si="36"/>
        <v>0</v>
      </c>
      <c r="X110" s="329">
        <f t="shared" si="36"/>
        <v>0</v>
      </c>
      <c r="Y110" s="329">
        <f t="shared" si="36"/>
        <v>0</v>
      </c>
      <c r="Z110" s="329">
        <f t="shared" si="36"/>
        <v>0</v>
      </c>
      <c r="AA110" s="329">
        <f t="shared" si="36"/>
        <v>0</v>
      </c>
      <c r="AB110" s="329">
        <f t="shared" si="36"/>
        <v>0</v>
      </c>
      <c r="AC110" s="329">
        <f t="shared" si="36"/>
        <v>0</v>
      </c>
      <c r="AD110" s="329">
        <f t="shared" si="36"/>
        <v>0</v>
      </c>
      <c r="AE110" s="329">
        <f t="shared" si="36"/>
        <v>0</v>
      </c>
      <c r="AF110" s="329">
        <f t="shared" si="36"/>
        <v>0</v>
      </c>
      <c r="AG110" s="329">
        <f t="shared" si="36"/>
        <v>0</v>
      </c>
      <c r="AH110" s="329">
        <f>SUM(AH98:AH109)</f>
        <v>0</v>
      </c>
      <c r="AI110" s="329">
        <f t="shared" si="36"/>
        <v>0</v>
      </c>
      <c r="AJ110" s="305">
        <f>SUM(AJ98:AJ109)</f>
        <v>0</v>
      </c>
      <c r="AK110" s="399">
        <f>'BIG CHAIR'!CL119</f>
        <v>0</v>
      </c>
      <c r="AL110" s="400">
        <f>'Tea Table'!X207</f>
        <v>120</v>
      </c>
      <c r="AM110" s="401">
        <f>AH110+AK110+AL110</f>
        <v>120</v>
      </c>
    </row>
    <row r="112" spans="1:39" s="284" customFormat="1" ht="18.75" customHeight="1" thickBot="1">
      <c r="A112" s="425"/>
      <c r="B112" s="426"/>
      <c r="C112" s="426"/>
      <c r="D112" s="427"/>
      <c r="E112" s="428"/>
      <c r="F112" s="428"/>
      <c r="G112" s="428"/>
      <c r="H112" s="428"/>
      <c r="I112" s="428"/>
      <c r="J112" s="428"/>
      <c r="K112" s="428"/>
      <c r="L112" s="478"/>
      <c r="M112" s="479"/>
      <c r="N112" s="479"/>
      <c r="O112" s="479"/>
      <c r="P112" s="479"/>
      <c r="Q112" s="479"/>
      <c r="R112" s="479"/>
      <c r="S112" s="479"/>
      <c r="T112" s="479"/>
      <c r="U112" s="478"/>
      <c r="V112" s="479"/>
      <c r="W112" s="479"/>
      <c r="X112" s="479"/>
      <c r="Y112" s="479"/>
      <c r="Z112" s="479"/>
      <c r="AA112" s="479"/>
      <c r="AB112" s="479"/>
      <c r="AC112" s="479"/>
      <c r="AD112" s="478"/>
      <c r="AE112" s="479"/>
      <c r="AF112" s="479"/>
      <c r="AG112" s="479"/>
      <c r="AH112" s="479"/>
      <c r="AI112" s="479"/>
      <c r="AJ112" s="506"/>
      <c r="AK112" s="403"/>
      <c r="AL112" s="403"/>
      <c r="AM112" s="403"/>
    </row>
    <row r="113" spans="1:39" s="282" customFormat="1" ht="16.5" thickBot="1">
      <c r="A113" s="2587" t="s">
        <v>179</v>
      </c>
      <c r="B113" s="288" t="s">
        <v>68</v>
      </c>
      <c r="C113" s="722" t="s">
        <v>69</v>
      </c>
      <c r="D113" s="288" t="s">
        <v>70</v>
      </c>
      <c r="E113" s="80" t="s">
        <v>382</v>
      </c>
      <c r="F113" s="49" t="s">
        <v>53</v>
      </c>
      <c r="G113" s="49" t="s">
        <v>206</v>
      </c>
      <c r="H113" s="49" t="s">
        <v>190</v>
      </c>
      <c r="I113" s="49" t="s">
        <v>94</v>
      </c>
      <c r="J113" s="49"/>
      <c r="K113" s="126"/>
      <c r="L113" s="79"/>
      <c r="M113" s="80" t="s">
        <v>85</v>
      </c>
      <c r="N113" s="49" t="s">
        <v>457</v>
      </c>
      <c r="O113" s="49" t="s">
        <v>250</v>
      </c>
      <c r="P113" s="49"/>
      <c r="Q113" s="744" t="s">
        <v>412</v>
      </c>
      <c r="R113" s="49"/>
      <c r="S113" s="126" t="s">
        <v>413</v>
      </c>
      <c r="T113" s="171" t="s">
        <v>416</v>
      </c>
      <c r="U113" s="79"/>
      <c r="V113" s="99" t="s">
        <v>101</v>
      </c>
      <c r="W113" s="716" t="s">
        <v>53</v>
      </c>
      <c r="X113" s="104" t="s">
        <v>215</v>
      </c>
      <c r="Y113" s="103" t="s">
        <v>94</v>
      </c>
      <c r="Z113" s="104"/>
      <c r="AA113" s="104" t="s">
        <v>96</v>
      </c>
      <c r="AB113" s="121" t="s">
        <v>86</v>
      </c>
      <c r="AC113" s="844"/>
      <c r="AD113" s="79"/>
      <c r="AE113" s="371" t="s">
        <v>172</v>
      </c>
      <c r="AF113" s="372" t="s">
        <v>80</v>
      </c>
      <c r="AG113" s="385"/>
      <c r="AH113" s="386" t="s">
        <v>106</v>
      </c>
      <c r="AI113" s="385" t="s">
        <v>173</v>
      </c>
      <c r="AJ113" s="371" t="s">
        <v>108</v>
      </c>
    </row>
    <row r="114" spans="1:39" s="283" customFormat="1" ht="20.25">
      <c r="A114" s="2582"/>
      <c r="B114" s="731"/>
      <c r="C114" s="732"/>
      <c r="D114" s="324"/>
      <c r="E114" s="433"/>
      <c r="F114" s="434"/>
      <c r="G114" s="434"/>
      <c r="H114" s="435"/>
      <c r="I114" s="435"/>
      <c r="J114" s="434"/>
      <c r="K114" s="480"/>
      <c r="L114" s="355"/>
      <c r="M114" s="343"/>
      <c r="N114" s="298"/>
      <c r="O114" s="298"/>
      <c r="P114" s="298"/>
      <c r="Q114" s="298"/>
      <c r="R114" s="298"/>
      <c r="S114" s="298"/>
      <c r="T114" s="367"/>
      <c r="U114" s="355"/>
      <c r="V114" s="433"/>
      <c r="W114" s="434"/>
      <c r="X114" s="434"/>
      <c r="Y114" s="435"/>
      <c r="Z114" s="435"/>
      <c r="AA114" s="435"/>
      <c r="AB114" s="434"/>
      <c r="AC114" s="495"/>
      <c r="AD114" s="355"/>
      <c r="AE114" s="377">
        <f t="shared" ref="AE114:AE116" si="37">SUM(E114:AC114)</f>
        <v>0</v>
      </c>
      <c r="AF114" s="377"/>
      <c r="AG114" s="390"/>
      <c r="AH114" s="507">
        <f t="shared" ref="AH114:AH118" si="38">AE114+AF114</f>
        <v>0</v>
      </c>
      <c r="AI114" s="412"/>
      <c r="AJ114" s="508">
        <f>AH114+AI114</f>
        <v>0</v>
      </c>
    </row>
    <row r="115" spans="1:39" s="283" customFormat="1" ht="20.25">
      <c r="A115" s="2582"/>
      <c r="B115" s="731"/>
      <c r="C115" s="732"/>
      <c r="D115" s="324"/>
      <c r="E115" s="325"/>
      <c r="F115" s="297"/>
      <c r="G115" s="297"/>
      <c r="H115" s="298"/>
      <c r="I115" s="298"/>
      <c r="J115" s="297"/>
      <c r="K115" s="344"/>
      <c r="L115" s="355"/>
      <c r="M115" s="343"/>
      <c r="N115" s="298"/>
      <c r="O115" s="298"/>
      <c r="P115" s="298"/>
      <c r="Q115" s="298"/>
      <c r="R115" s="298"/>
      <c r="S115" s="298"/>
      <c r="T115" s="367"/>
      <c r="U115" s="355"/>
      <c r="V115" s="325"/>
      <c r="W115" s="297"/>
      <c r="X115" s="297"/>
      <c r="Y115" s="298"/>
      <c r="Z115" s="298"/>
      <c r="AA115" s="298"/>
      <c r="AB115" s="297"/>
      <c r="AC115" s="375"/>
      <c r="AD115" s="355"/>
      <c r="AE115" s="377">
        <f t="shared" ref="AE115" si="39">SUM(E115:AC115)</f>
        <v>0</v>
      </c>
      <c r="AF115" s="377"/>
      <c r="AG115" s="390"/>
      <c r="AH115" s="507">
        <f t="shared" si="38"/>
        <v>0</v>
      </c>
      <c r="AI115" s="412"/>
      <c r="AJ115" s="508">
        <f>AH115+AI115</f>
        <v>0</v>
      </c>
    </row>
    <row r="116" spans="1:39" s="283" customFormat="1" ht="20.25">
      <c r="A116" s="2582"/>
      <c r="B116" s="731"/>
      <c r="C116" s="732"/>
      <c r="D116" s="324"/>
      <c r="E116" s="325"/>
      <c r="F116" s="297"/>
      <c r="G116" s="297"/>
      <c r="H116" s="298"/>
      <c r="I116" s="298"/>
      <c r="J116" s="297"/>
      <c r="K116" s="344"/>
      <c r="L116" s="355"/>
      <c r="M116" s="343"/>
      <c r="N116" s="298"/>
      <c r="O116" s="298"/>
      <c r="P116" s="298"/>
      <c r="Q116" s="298"/>
      <c r="R116" s="298"/>
      <c r="S116" s="298"/>
      <c r="T116" s="367"/>
      <c r="U116" s="355"/>
      <c r="V116" s="325"/>
      <c r="W116" s="297"/>
      <c r="X116" s="297"/>
      <c r="Y116" s="298"/>
      <c r="Z116" s="298"/>
      <c r="AA116" s="298"/>
      <c r="AB116" s="297"/>
      <c r="AC116" s="375"/>
      <c r="AD116" s="355"/>
      <c r="AE116" s="377">
        <f t="shared" si="37"/>
        <v>0</v>
      </c>
      <c r="AF116" s="377"/>
      <c r="AG116" s="390"/>
      <c r="AH116" s="507">
        <f t="shared" si="38"/>
        <v>0</v>
      </c>
      <c r="AI116" s="412"/>
      <c r="AJ116" s="508">
        <f>AH116+AI116</f>
        <v>0</v>
      </c>
    </row>
    <row r="117" spans="1:39" s="283" customFormat="1" ht="20.25">
      <c r="A117" s="2582"/>
      <c r="B117" s="731"/>
      <c r="C117" s="732"/>
      <c r="D117" s="324"/>
      <c r="E117" s="325"/>
      <c r="F117" s="297"/>
      <c r="G117" s="297"/>
      <c r="H117" s="298"/>
      <c r="I117" s="298"/>
      <c r="J117" s="297"/>
      <c r="K117" s="344"/>
      <c r="L117" s="355"/>
      <c r="M117" s="343"/>
      <c r="N117" s="298"/>
      <c r="O117" s="298"/>
      <c r="P117" s="298"/>
      <c r="Q117" s="298"/>
      <c r="R117" s="298"/>
      <c r="S117" s="298"/>
      <c r="T117" s="367"/>
      <c r="U117" s="355"/>
      <c r="V117" s="325"/>
      <c r="W117" s="297"/>
      <c r="X117" s="297"/>
      <c r="Y117" s="298"/>
      <c r="Z117" s="298"/>
      <c r="AA117" s="298"/>
      <c r="AB117" s="297"/>
      <c r="AC117" s="375"/>
      <c r="AD117" s="355"/>
      <c r="AE117" s="377">
        <f t="shared" ref="AE117:AE118" si="40">SUM(E117:AC117)</f>
        <v>0</v>
      </c>
      <c r="AF117" s="377"/>
      <c r="AG117" s="390"/>
      <c r="AH117" s="507">
        <f t="shared" si="38"/>
        <v>0</v>
      </c>
      <c r="AI117" s="412"/>
      <c r="AJ117" s="508">
        <f>AH117+AI117</f>
        <v>0</v>
      </c>
    </row>
    <row r="118" spans="1:39" s="283" customFormat="1" ht="21" thickBot="1">
      <c r="A118" s="2582"/>
      <c r="B118" s="731"/>
      <c r="C118" s="732"/>
      <c r="D118" s="324"/>
      <c r="E118" s="325"/>
      <c r="F118" s="297"/>
      <c r="G118" s="297"/>
      <c r="H118" s="298"/>
      <c r="I118" s="298"/>
      <c r="J118" s="297"/>
      <c r="K118" s="344"/>
      <c r="L118" s="355"/>
      <c r="M118" s="343"/>
      <c r="N118" s="298"/>
      <c r="O118" s="298"/>
      <c r="P118" s="298"/>
      <c r="Q118" s="298"/>
      <c r="R118" s="298"/>
      <c r="S118" s="298"/>
      <c r="T118" s="367"/>
      <c r="U118" s="355"/>
      <c r="V118" s="325"/>
      <c r="W118" s="297"/>
      <c r="X118" s="297"/>
      <c r="Y118" s="298"/>
      <c r="Z118" s="298"/>
      <c r="AA118" s="298"/>
      <c r="AB118" s="297"/>
      <c r="AC118" s="375"/>
      <c r="AD118" s="355"/>
      <c r="AE118" s="377">
        <f t="shared" si="40"/>
        <v>0</v>
      </c>
      <c r="AF118" s="377"/>
      <c r="AG118" s="390"/>
      <c r="AH118" s="507">
        <f t="shared" si="38"/>
        <v>0</v>
      </c>
      <c r="AI118" s="412"/>
      <c r="AJ118" s="508">
        <f t="shared" ref="AJ118" si="41">AH118+AI118</f>
        <v>0</v>
      </c>
    </row>
    <row r="119" spans="1:39" s="283" customFormat="1" ht="21" thickBot="1">
      <c r="A119" s="2619"/>
      <c r="B119" s="2623"/>
      <c r="C119" s="2621"/>
      <c r="D119" s="438"/>
      <c r="E119" s="439">
        <f t="shared" ref="E119:K119" si="42">SUM(E114:E118)</f>
        <v>0</v>
      </c>
      <c r="F119" s="440">
        <f t="shared" si="42"/>
        <v>0</v>
      </c>
      <c r="G119" s="440">
        <f t="shared" si="42"/>
        <v>0</v>
      </c>
      <c r="H119" s="440">
        <f t="shared" si="42"/>
        <v>0</v>
      </c>
      <c r="I119" s="440">
        <f t="shared" si="42"/>
        <v>0</v>
      </c>
      <c r="J119" s="440">
        <f t="shared" si="42"/>
        <v>0</v>
      </c>
      <c r="K119" s="481">
        <f t="shared" si="42"/>
        <v>0</v>
      </c>
      <c r="L119" s="482"/>
      <c r="M119" s="439">
        <f t="shared" ref="M119:T119" si="43">SUM(M114:M118)</f>
        <v>0</v>
      </c>
      <c r="N119" s="440">
        <f t="shared" si="43"/>
        <v>0</v>
      </c>
      <c r="O119" s="440">
        <f t="shared" si="43"/>
        <v>0</v>
      </c>
      <c r="P119" s="440">
        <f t="shared" si="43"/>
        <v>0</v>
      </c>
      <c r="Q119" s="440">
        <f t="shared" si="43"/>
        <v>0</v>
      </c>
      <c r="R119" s="440">
        <f t="shared" si="43"/>
        <v>0</v>
      </c>
      <c r="S119" s="440">
        <f t="shared" si="43"/>
        <v>0</v>
      </c>
      <c r="T119" s="481">
        <f t="shared" si="43"/>
        <v>0</v>
      </c>
      <c r="U119" s="482"/>
      <c r="V119" s="439">
        <f t="shared" ref="V119:AC119" si="44">SUM(V114:V118)</f>
        <v>0</v>
      </c>
      <c r="W119" s="440">
        <f t="shared" si="44"/>
        <v>0</v>
      </c>
      <c r="X119" s="440">
        <f t="shared" si="44"/>
        <v>0</v>
      </c>
      <c r="Y119" s="440">
        <f t="shared" si="44"/>
        <v>0</v>
      </c>
      <c r="Z119" s="440">
        <f t="shared" si="44"/>
        <v>0</v>
      </c>
      <c r="AA119" s="440">
        <f t="shared" si="44"/>
        <v>0</v>
      </c>
      <c r="AB119" s="440">
        <f t="shared" si="44"/>
        <v>0</v>
      </c>
      <c r="AC119" s="481">
        <f t="shared" si="44"/>
        <v>0</v>
      </c>
      <c r="AD119" s="482"/>
      <c r="AE119" s="494">
        <f t="shared" ref="AE119:AJ119" si="45">SUM(AE114:AE118)</f>
        <v>0</v>
      </c>
      <c r="AF119" s="494">
        <f t="shared" si="45"/>
        <v>0</v>
      </c>
      <c r="AG119" s="494">
        <f t="shared" si="45"/>
        <v>0</v>
      </c>
      <c r="AH119" s="509">
        <f t="shared" si="45"/>
        <v>0</v>
      </c>
      <c r="AI119" s="494">
        <f t="shared" si="45"/>
        <v>0</v>
      </c>
      <c r="AJ119" s="509">
        <f t="shared" si="45"/>
        <v>0</v>
      </c>
    </row>
    <row r="120" spans="1:39" s="284" customFormat="1" ht="8.25" customHeight="1" thickBot="1">
      <c r="A120" s="425"/>
      <c r="B120" s="426"/>
      <c r="C120" s="426"/>
      <c r="D120" s="427"/>
      <c r="E120" s="428"/>
      <c r="F120" s="428"/>
      <c r="G120" s="428"/>
      <c r="H120" s="428"/>
      <c r="I120" s="428"/>
      <c r="J120" s="428"/>
      <c r="K120" s="428"/>
      <c r="L120" s="478"/>
      <c r="M120" s="479"/>
      <c r="N120" s="479"/>
      <c r="O120" s="479"/>
      <c r="P120" s="479"/>
      <c r="Q120" s="479"/>
      <c r="R120" s="479"/>
      <c r="S120" s="479"/>
      <c r="T120" s="479"/>
      <c r="U120" s="478"/>
      <c r="V120" s="479"/>
      <c r="W120" s="479"/>
      <c r="X120" s="479"/>
      <c r="Y120" s="479"/>
      <c r="Z120" s="479"/>
      <c r="AA120" s="479"/>
      <c r="AB120" s="479"/>
      <c r="AC120" s="479"/>
      <c r="AD120" s="478"/>
      <c r="AE120" s="479"/>
      <c r="AF120" s="479"/>
      <c r="AG120" s="479"/>
      <c r="AH120" s="479"/>
      <c r="AI120" s="479"/>
      <c r="AJ120" s="506"/>
      <c r="AK120" s="403"/>
      <c r="AL120" s="403"/>
      <c r="AM120" s="403"/>
    </row>
    <row r="121" spans="1:39" s="282" customFormat="1" ht="18.75" thickBot="1">
      <c r="A121" s="441" t="s">
        <v>135</v>
      </c>
      <c r="B121" s="288" t="s">
        <v>68</v>
      </c>
      <c r="C121" s="722" t="s">
        <v>69</v>
      </c>
      <c r="D121" s="288" t="s">
        <v>70</v>
      </c>
      <c r="E121" s="80" t="s">
        <v>382</v>
      </c>
      <c r="F121" s="49" t="s">
        <v>53</v>
      </c>
      <c r="G121" s="49" t="s">
        <v>206</v>
      </c>
      <c r="H121" s="49" t="s">
        <v>190</v>
      </c>
      <c r="I121" s="49" t="s">
        <v>94</v>
      </c>
      <c r="J121" s="49"/>
      <c r="K121" s="126"/>
      <c r="L121" s="79"/>
      <c r="M121" s="80" t="s">
        <v>85</v>
      </c>
      <c r="N121" s="49" t="s">
        <v>457</v>
      </c>
      <c r="O121" s="49" t="s">
        <v>250</v>
      </c>
      <c r="P121" s="49"/>
      <c r="Q121" s="744" t="s">
        <v>412</v>
      </c>
      <c r="R121" s="49"/>
      <c r="S121" s="126" t="s">
        <v>413</v>
      </c>
      <c r="T121" s="171" t="s">
        <v>416</v>
      </c>
      <c r="U121" s="79"/>
      <c r="V121" s="99" t="s">
        <v>101</v>
      </c>
      <c r="W121" s="716" t="s">
        <v>53</v>
      </c>
      <c r="X121" s="104" t="s">
        <v>215</v>
      </c>
      <c r="Y121" s="103" t="s">
        <v>94</v>
      </c>
      <c r="Z121" s="104"/>
      <c r="AA121" s="104" t="s">
        <v>96</v>
      </c>
      <c r="AB121" s="121" t="s">
        <v>86</v>
      </c>
      <c r="AC121" s="844"/>
      <c r="AD121" s="79"/>
      <c r="AE121" s="371" t="s">
        <v>172</v>
      </c>
      <c r="AF121" s="372" t="s">
        <v>80</v>
      </c>
      <c r="AG121" s="385"/>
      <c r="AH121" s="386" t="s">
        <v>106</v>
      </c>
      <c r="AI121" s="385" t="s">
        <v>173</v>
      </c>
      <c r="AJ121" s="371" t="s">
        <v>108</v>
      </c>
    </row>
    <row r="122" spans="1:39" s="283" customFormat="1" ht="20.25">
      <c r="A122" s="2624"/>
      <c r="B122" s="2566"/>
      <c r="C122" s="2626"/>
      <c r="D122" s="444"/>
      <c r="E122" s="433"/>
      <c r="F122" s="434"/>
      <c r="G122" s="434"/>
      <c r="H122" s="435"/>
      <c r="I122" s="435"/>
      <c r="J122" s="434"/>
      <c r="K122" s="480"/>
      <c r="L122" s="483"/>
      <c r="M122" s="484"/>
      <c r="N122" s="435"/>
      <c r="O122" s="435"/>
      <c r="P122" s="435"/>
      <c r="Q122" s="435"/>
      <c r="R122" s="435"/>
      <c r="S122" s="435"/>
      <c r="T122" s="492"/>
      <c r="U122" s="483"/>
      <c r="V122" s="433"/>
      <c r="W122" s="434"/>
      <c r="X122" s="434"/>
      <c r="Y122" s="435"/>
      <c r="Z122" s="435"/>
      <c r="AA122" s="435"/>
      <c r="AB122" s="434"/>
      <c r="AC122" s="495"/>
      <c r="AD122" s="483"/>
      <c r="AE122" s="496">
        <f t="shared" ref="AE122:AE125" si="46">SUM(E122:AC122)</f>
        <v>0</v>
      </c>
      <c r="AF122" s="497"/>
      <c r="AG122" s="510"/>
      <c r="AH122" s="511">
        <f t="shared" ref="AH122:AH125" si="47">AE122+AF122</f>
        <v>0</v>
      </c>
      <c r="AI122" s="512"/>
      <c r="AJ122" s="513">
        <f>AH122+AI122</f>
        <v>0</v>
      </c>
    </row>
    <row r="123" spans="1:39" s="283" customFormat="1" ht="20.25">
      <c r="A123" s="2625"/>
      <c r="B123" s="731"/>
      <c r="C123" s="732"/>
      <c r="D123" s="324"/>
      <c r="E123" s="325"/>
      <c r="F123" s="297"/>
      <c r="G123" s="297"/>
      <c r="H123" s="298"/>
      <c r="I123" s="298"/>
      <c r="J123" s="297"/>
      <c r="K123" s="344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46"/>
        <v>0</v>
      </c>
      <c r="AF123" s="377"/>
      <c r="AG123" s="390"/>
      <c r="AH123" s="391">
        <f t="shared" si="47"/>
        <v>0</v>
      </c>
      <c r="AI123" s="412"/>
      <c r="AJ123" s="413">
        <f t="shared" ref="AJ123:AJ125" si="48">AH123+AI123</f>
        <v>0</v>
      </c>
    </row>
    <row r="124" spans="1:39" s="283" customFormat="1" ht="20.25">
      <c r="A124" s="2625"/>
      <c r="B124" s="731"/>
      <c r="C124" s="732"/>
      <c r="D124" s="324"/>
      <c r="E124" s="325"/>
      <c r="F124" s="297"/>
      <c r="G124" s="297"/>
      <c r="H124" s="298"/>
      <c r="I124" s="298"/>
      <c r="J124" s="297"/>
      <c r="K124" s="344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46"/>
        <v>0</v>
      </c>
      <c r="AF124" s="377"/>
      <c r="AG124" s="390"/>
      <c r="AH124" s="391">
        <f t="shared" si="47"/>
        <v>0</v>
      </c>
      <c r="AI124" s="412"/>
      <c r="AJ124" s="413">
        <f t="shared" si="48"/>
        <v>0</v>
      </c>
    </row>
    <row r="125" spans="1:39" s="283" customFormat="1" ht="21" thickBot="1">
      <c r="A125" s="2582"/>
      <c r="B125" s="731"/>
      <c r="C125" s="732"/>
      <c r="D125" s="324"/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7">
        <f t="shared" si="46"/>
        <v>0</v>
      </c>
      <c r="AF125" s="377"/>
      <c r="AG125" s="390"/>
      <c r="AH125" s="507">
        <f t="shared" si="47"/>
        <v>0</v>
      </c>
      <c r="AI125" s="412"/>
      <c r="AJ125" s="508">
        <f t="shared" si="48"/>
        <v>0</v>
      </c>
    </row>
    <row r="126" spans="1:39" s="283" customFormat="1" ht="21" thickBot="1">
      <c r="A126" s="2619"/>
      <c r="B126" s="2623"/>
      <c r="C126" s="2621"/>
      <c r="D126" s="438"/>
      <c r="E126" s="439">
        <f t="shared" ref="E126:K126" si="49">SUM(E123:E125)</f>
        <v>0</v>
      </c>
      <c r="F126" s="440">
        <f t="shared" si="49"/>
        <v>0</v>
      </c>
      <c r="G126" s="440">
        <f t="shared" si="49"/>
        <v>0</v>
      </c>
      <c r="H126" s="440">
        <f t="shared" si="49"/>
        <v>0</v>
      </c>
      <c r="I126" s="440">
        <f t="shared" si="49"/>
        <v>0</v>
      </c>
      <c r="J126" s="440">
        <f t="shared" si="49"/>
        <v>0</v>
      </c>
      <c r="K126" s="481">
        <f t="shared" si="49"/>
        <v>0</v>
      </c>
      <c r="L126" s="482"/>
      <c r="M126" s="439">
        <f t="shared" ref="M126:T126" si="50">SUM(M123:M125)</f>
        <v>0</v>
      </c>
      <c r="N126" s="440">
        <f t="shared" si="50"/>
        <v>0</v>
      </c>
      <c r="O126" s="440">
        <f t="shared" si="50"/>
        <v>0</v>
      </c>
      <c r="P126" s="440">
        <f t="shared" si="50"/>
        <v>0</v>
      </c>
      <c r="Q126" s="440">
        <f t="shared" si="50"/>
        <v>0</v>
      </c>
      <c r="R126" s="440">
        <f t="shared" si="50"/>
        <v>0</v>
      </c>
      <c r="S126" s="440">
        <f t="shared" si="50"/>
        <v>0</v>
      </c>
      <c r="T126" s="481">
        <f t="shared" si="50"/>
        <v>0</v>
      </c>
      <c r="U126" s="482"/>
      <c r="V126" s="439">
        <f t="shared" ref="V126:AC126" si="51">SUM(V123:V125)</f>
        <v>0</v>
      </c>
      <c r="W126" s="440">
        <f t="shared" si="51"/>
        <v>0</v>
      </c>
      <c r="X126" s="440">
        <f t="shared" si="51"/>
        <v>0</v>
      </c>
      <c r="Y126" s="440">
        <f t="shared" si="51"/>
        <v>0</v>
      </c>
      <c r="Z126" s="440">
        <f t="shared" si="51"/>
        <v>0</v>
      </c>
      <c r="AA126" s="440">
        <f t="shared" si="51"/>
        <v>0</v>
      </c>
      <c r="AB126" s="440">
        <f t="shared" si="51"/>
        <v>0</v>
      </c>
      <c r="AC126" s="481">
        <f t="shared" si="51"/>
        <v>0</v>
      </c>
      <c r="AD126" s="482"/>
      <c r="AE126" s="494">
        <f>SUM(AE122:AE125)</f>
        <v>0</v>
      </c>
      <c r="AF126" s="494">
        <f>SUM(AF122:AF125)</f>
        <v>0</v>
      </c>
      <c r="AG126" s="509"/>
      <c r="AH126" s="514">
        <f>SUM(AH122:AH125)</f>
        <v>0</v>
      </c>
      <c r="AI126" s="494">
        <f>SUM(AI122:AI125)</f>
        <v>0</v>
      </c>
      <c r="AJ126" s="515">
        <f>SUM(AJ122:AJ125)</f>
        <v>0</v>
      </c>
    </row>
    <row r="127" spans="1:39" s="284" customFormat="1" ht="8.25" customHeight="1" thickBot="1">
      <c r="A127" s="425"/>
      <c r="B127" s="426"/>
      <c r="C127" s="426"/>
      <c r="D127" s="427"/>
      <c r="E127" s="428"/>
      <c r="F127" s="428"/>
      <c r="G127" s="428"/>
      <c r="H127" s="428"/>
      <c r="I127" s="428"/>
      <c r="J127" s="428"/>
      <c r="K127" s="428"/>
      <c r="L127" s="478"/>
      <c r="M127" s="479"/>
      <c r="N127" s="479"/>
      <c r="O127" s="479"/>
      <c r="P127" s="479"/>
      <c r="Q127" s="479"/>
      <c r="R127" s="479"/>
      <c r="S127" s="479"/>
      <c r="T127" s="479"/>
      <c r="U127" s="478"/>
      <c r="V127" s="479"/>
      <c r="W127" s="479"/>
      <c r="X127" s="479"/>
      <c r="Y127" s="479"/>
      <c r="Z127" s="479"/>
      <c r="AA127" s="479"/>
      <c r="AB127" s="479"/>
      <c r="AC127" s="479"/>
      <c r="AD127" s="478"/>
      <c r="AE127" s="479"/>
      <c r="AF127" s="479"/>
      <c r="AG127" s="479"/>
      <c r="AH127" s="479"/>
      <c r="AI127" s="479"/>
      <c r="AJ127" s="506"/>
      <c r="AK127" s="403"/>
      <c r="AL127" s="403"/>
      <c r="AM127" s="403"/>
    </row>
    <row r="128" spans="1:39" s="282" customFormat="1" ht="16.5" thickBot="1">
      <c r="A128" s="446" t="s">
        <v>140</v>
      </c>
      <c r="B128" s="288" t="s">
        <v>68</v>
      </c>
      <c r="C128" s="2630" t="s">
        <v>69</v>
      </c>
      <c r="D128" s="448" t="s">
        <v>70</v>
      </c>
      <c r="E128" s="80" t="s">
        <v>382</v>
      </c>
      <c r="F128" s="49" t="s">
        <v>53</v>
      </c>
      <c r="G128" s="49" t="s">
        <v>206</v>
      </c>
      <c r="H128" s="49" t="s">
        <v>190</v>
      </c>
      <c r="I128" s="49" t="s">
        <v>94</v>
      </c>
      <c r="J128" s="80"/>
      <c r="K128" s="80"/>
      <c r="L128" s="79"/>
      <c r="M128" s="80" t="s">
        <v>85</v>
      </c>
      <c r="N128" s="49" t="s">
        <v>457</v>
      </c>
      <c r="O128" s="49" t="s">
        <v>250</v>
      </c>
      <c r="P128" s="49"/>
      <c r="Q128" s="744" t="s">
        <v>412</v>
      </c>
      <c r="R128" s="49"/>
      <c r="S128" s="126" t="s">
        <v>413</v>
      </c>
      <c r="T128" s="171" t="s">
        <v>416</v>
      </c>
      <c r="U128" s="79"/>
      <c r="V128" s="99" t="s">
        <v>101</v>
      </c>
      <c r="W128" s="716" t="s">
        <v>53</v>
      </c>
      <c r="X128" s="104" t="s">
        <v>215</v>
      </c>
      <c r="Y128" s="103" t="s">
        <v>94</v>
      </c>
      <c r="Z128" s="104"/>
      <c r="AA128" s="104" t="s">
        <v>96</v>
      </c>
      <c r="AB128" s="121" t="s">
        <v>86</v>
      </c>
      <c r="AC128" s="844"/>
      <c r="AD128" s="79"/>
      <c r="AE128" s="371" t="s">
        <v>172</v>
      </c>
      <c r="AF128" s="498" t="s">
        <v>80</v>
      </c>
      <c r="AG128" s="385"/>
      <c r="AH128" s="386" t="s">
        <v>106</v>
      </c>
      <c r="AI128" s="385" t="s">
        <v>173</v>
      </c>
      <c r="AJ128" s="371" t="s">
        <v>108</v>
      </c>
    </row>
    <row r="129" spans="1:39" s="283" customFormat="1" ht="20.25">
      <c r="A129" s="2627" t="s">
        <v>180</v>
      </c>
      <c r="B129" s="2633"/>
      <c r="C129" s="2631"/>
      <c r="D129" s="451"/>
      <c r="E129" s="452"/>
      <c r="F129" s="453"/>
      <c r="G129" s="453"/>
      <c r="H129" s="454"/>
      <c r="I129" s="454"/>
      <c r="J129" s="453"/>
      <c r="K129" s="485"/>
      <c r="L129" s="355"/>
      <c r="M129" s="343"/>
      <c r="N129" s="298"/>
      <c r="O129" s="298"/>
      <c r="P129" s="298"/>
      <c r="Q129" s="298"/>
      <c r="R129" s="435"/>
      <c r="S129" s="298"/>
      <c r="T129" s="367"/>
      <c r="U129" s="355"/>
      <c r="V129" s="433"/>
      <c r="W129" s="434"/>
      <c r="X129" s="434"/>
      <c r="Y129" s="435"/>
      <c r="Z129" s="435"/>
      <c r="AA129" s="435"/>
      <c r="AB129" s="434"/>
      <c r="AC129" s="495"/>
      <c r="AD129" s="355"/>
      <c r="AE129" s="376">
        <f t="shared" ref="AE129:AE134" si="52">SUM(E129:AC129)</f>
        <v>0</v>
      </c>
      <c r="AF129" s="499"/>
      <c r="AG129" s="516"/>
      <c r="AH129" s="391">
        <f t="shared" ref="AH129:AH134" si="53">AE129+AF129</f>
        <v>0</v>
      </c>
      <c r="AI129" s="412"/>
      <c r="AJ129" s="413">
        <f>AH129+AI129</f>
        <v>0</v>
      </c>
    </row>
    <row r="130" spans="1:39" s="283" customFormat="1" ht="20.25">
      <c r="A130" s="2625"/>
      <c r="B130" s="2598"/>
      <c r="C130" s="2614"/>
      <c r="D130" s="456"/>
      <c r="E130" s="457"/>
      <c r="F130" s="458"/>
      <c r="G130" s="458"/>
      <c r="H130" s="459"/>
      <c r="I130" s="459"/>
      <c r="J130" s="458"/>
      <c r="K130" s="486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52"/>
        <v>0</v>
      </c>
      <c r="AF130" s="500"/>
      <c r="AG130" s="516"/>
      <c r="AH130" s="391">
        <f t="shared" si="53"/>
        <v>0</v>
      </c>
      <c r="AI130" s="412"/>
      <c r="AJ130" s="413">
        <f t="shared" ref="AJ130:AJ134" si="54">AH130+AI130</f>
        <v>0</v>
      </c>
    </row>
    <row r="131" spans="1:39" s="283" customFormat="1" ht="22.5" customHeight="1">
      <c r="A131" s="2624"/>
      <c r="B131" s="2598"/>
      <c r="C131" s="2614"/>
      <c r="D131" s="456"/>
      <c r="E131" s="457"/>
      <c r="F131" s="458"/>
      <c r="G131" s="458"/>
      <c r="H131" s="459"/>
      <c r="I131" s="459"/>
      <c r="J131" s="458"/>
      <c r="K131" s="486"/>
      <c r="L131" s="483"/>
      <c r="M131" s="484"/>
      <c r="N131" s="435"/>
      <c r="O131" s="435"/>
      <c r="P131" s="435"/>
      <c r="Q131" s="435"/>
      <c r="R131" s="435"/>
      <c r="S131" s="435"/>
      <c r="T131" s="492"/>
      <c r="U131" s="483"/>
      <c r="V131" s="433"/>
      <c r="W131" s="434"/>
      <c r="X131" s="434"/>
      <c r="Y131" s="435"/>
      <c r="Z131" s="435"/>
      <c r="AA131" s="435"/>
      <c r="AB131" s="434"/>
      <c r="AC131" s="495"/>
      <c r="AD131" s="483"/>
      <c r="AE131" s="496">
        <f t="shared" si="52"/>
        <v>0</v>
      </c>
      <c r="AF131" s="500"/>
      <c r="AG131" s="517"/>
      <c r="AH131" s="511">
        <f t="shared" si="53"/>
        <v>0</v>
      </c>
      <c r="AI131" s="512"/>
      <c r="AJ131" s="513">
        <f t="shared" si="54"/>
        <v>0</v>
      </c>
    </row>
    <row r="132" spans="1:39" s="283" customFormat="1" ht="20.25">
      <c r="A132" s="2625"/>
      <c r="B132" s="2598"/>
      <c r="C132" s="2614"/>
      <c r="D132" s="456"/>
      <c r="E132" s="457"/>
      <c r="F132" s="458"/>
      <c r="G132" s="458"/>
      <c r="H132" s="459"/>
      <c r="I132" s="459"/>
      <c r="J132" s="458"/>
      <c r="K132" s="486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52"/>
        <v>0</v>
      </c>
      <c r="AF132" s="500"/>
      <c r="AG132" s="516"/>
      <c r="AH132" s="391">
        <f t="shared" si="53"/>
        <v>0</v>
      </c>
      <c r="AI132" s="412"/>
      <c r="AJ132" s="413">
        <f t="shared" si="54"/>
        <v>0</v>
      </c>
    </row>
    <row r="133" spans="1:39" s="283" customFormat="1" ht="20.25">
      <c r="A133" s="2625"/>
      <c r="B133" s="2598"/>
      <c r="C133" s="2614"/>
      <c r="D133" s="456"/>
      <c r="E133" s="457"/>
      <c r="F133" s="458"/>
      <c r="G133" s="458"/>
      <c r="H133" s="459"/>
      <c r="I133" s="459"/>
      <c r="J133" s="458"/>
      <c r="K133" s="486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52"/>
        <v>0</v>
      </c>
      <c r="AF133" s="500"/>
      <c r="AG133" s="516"/>
      <c r="AH133" s="391">
        <f t="shared" si="53"/>
        <v>0</v>
      </c>
      <c r="AI133" s="412"/>
      <c r="AJ133" s="413">
        <f t="shared" si="54"/>
        <v>0</v>
      </c>
    </row>
    <row r="134" spans="1:39" s="283" customFormat="1" ht="21" thickBot="1">
      <c r="A134" s="2628"/>
      <c r="B134" s="2564"/>
      <c r="C134" s="2632"/>
      <c r="D134" s="462"/>
      <c r="E134" s="463"/>
      <c r="F134" s="464"/>
      <c r="G134" s="464"/>
      <c r="H134" s="465"/>
      <c r="I134" s="465"/>
      <c r="J134" s="464"/>
      <c r="K134" s="48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7">
        <f t="shared" si="52"/>
        <v>0</v>
      </c>
      <c r="AF134" s="501"/>
      <c r="AG134" s="516"/>
      <c r="AH134" s="507">
        <f t="shared" si="53"/>
        <v>0</v>
      </c>
      <c r="AI134" s="412"/>
      <c r="AJ134" s="508">
        <f t="shared" si="54"/>
        <v>0</v>
      </c>
    </row>
    <row r="135" spans="1:39" s="283" customFormat="1" ht="21" thickBot="1">
      <c r="A135" s="466"/>
      <c r="B135" s="467"/>
      <c r="C135" s="467"/>
      <c r="D135" s="468"/>
      <c r="E135" s="469">
        <f t="shared" ref="E135:K135" si="55">SUM(E131:E134)</f>
        <v>0</v>
      </c>
      <c r="F135" s="470">
        <f t="shared" si="55"/>
        <v>0</v>
      </c>
      <c r="G135" s="470">
        <f t="shared" si="55"/>
        <v>0</v>
      </c>
      <c r="H135" s="470">
        <f t="shared" si="55"/>
        <v>0</v>
      </c>
      <c r="I135" s="470">
        <f t="shared" si="55"/>
        <v>0</v>
      </c>
      <c r="J135" s="470">
        <f t="shared" si="55"/>
        <v>0</v>
      </c>
      <c r="K135" s="488">
        <f t="shared" si="55"/>
        <v>0</v>
      </c>
      <c r="L135" s="482"/>
      <c r="M135" s="439">
        <f t="shared" ref="M135:T135" si="56">SUM(M131:M134)</f>
        <v>0</v>
      </c>
      <c r="N135" s="440">
        <f t="shared" si="56"/>
        <v>0</v>
      </c>
      <c r="O135" s="440">
        <f t="shared" si="56"/>
        <v>0</v>
      </c>
      <c r="P135" s="440">
        <f t="shared" si="56"/>
        <v>0</v>
      </c>
      <c r="Q135" s="440">
        <f t="shared" si="56"/>
        <v>0</v>
      </c>
      <c r="R135" s="440">
        <f t="shared" si="56"/>
        <v>0</v>
      </c>
      <c r="S135" s="440">
        <f t="shared" si="56"/>
        <v>0</v>
      </c>
      <c r="T135" s="481">
        <f t="shared" si="56"/>
        <v>0</v>
      </c>
      <c r="U135" s="482"/>
      <c r="V135" s="439">
        <f t="shared" ref="V135:AC135" si="57">SUM(V131:V134)</f>
        <v>0</v>
      </c>
      <c r="W135" s="440">
        <f t="shared" si="57"/>
        <v>0</v>
      </c>
      <c r="X135" s="440">
        <f t="shared" si="57"/>
        <v>0</v>
      </c>
      <c r="Y135" s="440">
        <f t="shared" si="57"/>
        <v>0</v>
      </c>
      <c r="Z135" s="440">
        <f t="shared" si="57"/>
        <v>0</v>
      </c>
      <c r="AA135" s="440">
        <f t="shared" si="57"/>
        <v>0</v>
      </c>
      <c r="AB135" s="440">
        <f t="shared" si="57"/>
        <v>0</v>
      </c>
      <c r="AC135" s="481">
        <f t="shared" si="57"/>
        <v>0</v>
      </c>
      <c r="AD135" s="482"/>
      <c r="AE135" s="494">
        <f>SUM(AE129:AE134)</f>
        <v>0</v>
      </c>
      <c r="AF135" s="502">
        <f>SUM(AF129:AF134)</f>
        <v>0</v>
      </c>
      <c r="AG135" s="509"/>
      <c r="AH135" s="514">
        <f>SUM(AH129:AH134)</f>
        <v>0</v>
      </c>
      <c r="AI135" s="494">
        <f>SUM(AI129:AI134)</f>
        <v>0</v>
      </c>
      <c r="AJ135" s="515">
        <f>SUM(AJ129:AJ134)</f>
        <v>0</v>
      </c>
    </row>
    <row r="136" spans="1:39" s="284" customFormat="1" ht="8.25" customHeight="1" thickBot="1">
      <c r="A136" s="425"/>
      <c r="B136" s="426"/>
      <c r="C136" s="426"/>
      <c r="D136" s="427"/>
      <c r="E136" s="428"/>
      <c r="F136" s="428"/>
      <c r="G136" s="428"/>
      <c r="H136" s="428"/>
      <c r="I136" s="428"/>
      <c r="J136" s="428"/>
      <c r="K136" s="428"/>
      <c r="L136" s="478"/>
      <c r="M136" s="479"/>
      <c r="N136" s="479"/>
      <c r="O136" s="479"/>
      <c r="P136" s="479"/>
      <c r="Q136" s="479"/>
      <c r="R136" s="479"/>
      <c r="S136" s="479"/>
      <c r="T136" s="479"/>
      <c r="U136" s="478"/>
      <c r="V136" s="479"/>
      <c r="W136" s="479"/>
      <c r="X136" s="479"/>
      <c r="Y136" s="479"/>
      <c r="Z136" s="479"/>
      <c r="AA136" s="479"/>
      <c r="AB136" s="479"/>
      <c r="AC136" s="479"/>
      <c r="AD136" s="478"/>
      <c r="AE136" s="479"/>
      <c r="AF136" s="479"/>
      <c r="AG136" s="479"/>
      <c r="AH136" s="479"/>
      <c r="AI136" s="479"/>
      <c r="AJ136" s="506"/>
      <c r="AK136" s="403"/>
      <c r="AL136" s="403"/>
      <c r="AM136" s="403"/>
    </row>
    <row r="137" spans="1:39" s="282" customFormat="1" ht="18.75" thickBot="1">
      <c r="A137" s="441" t="s">
        <v>143</v>
      </c>
      <c r="B137" s="288" t="s">
        <v>68</v>
      </c>
      <c r="C137" s="722" t="s">
        <v>69</v>
      </c>
      <c r="D137" s="288" t="s">
        <v>70</v>
      </c>
      <c r="E137" s="80" t="s">
        <v>382</v>
      </c>
      <c r="F137" s="49" t="s">
        <v>53</v>
      </c>
      <c r="G137" s="49" t="s">
        <v>206</v>
      </c>
      <c r="H137" s="49" t="s">
        <v>190</v>
      </c>
      <c r="I137" s="49" t="s">
        <v>94</v>
      </c>
      <c r="J137" s="49"/>
      <c r="K137" s="126"/>
      <c r="L137" s="79"/>
      <c r="M137" s="80" t="s">
        <v>85</v>
      </c>
      <c r="N137" s="49" t="s">
        <v>457</v>
      </c>
      <c r="O137" s="49" t="s">
        <v>250</v>
      </c>
      <c r="P137" s="49"/>
      <c r="Q137" s="744" t="s">
        <v>412</v>
      </c>
      <c r="R137" s="49"/>
      <c r="S137" s="126" t="s">
        <v>413</v>
      </c>
      <c r="T137" s="171" t="s">
        <v>416</v>
      </c>
      <c r="U137" s="79"/>
      <c r="V137" s="99" t="s">
        <v>101</v>
      </c>
      <c r="W137" s="716" t="s">
        <v>53</v>
      </c>
      <c r="X137" s="104" t="s">
        <v>215</v>
      </c>
      <c r="Y137" s="103" t="s">
        <v>94</v>
      </c>
      <c r="Z137" s="104"/>
      <c r="AA137" s="104" t="s">
        <v>96</v>
      </c>
      <c r="AB137" s="121" t="s">
        <v>86</v>
      </c>
      <c r="AC137" s="1191"/>
      <c r="AD137" s="79"/>
      <c r="AE137" s="371" t="s">
        <v>172</v>
      </c>
      <c r="AF137" s="372" t="s">
        <v>80</v>
      </c>
      <c r="AG137" s="385"/>
      <c r="AH137" s="386" t="s">
        <v>106</v>
      </c>
      <c r="AI137" s="385" t="s">
        <v>173</v>
      </c>
      <c r="AJ137" s="371" t="s">
        <v>108</v>
      </c>
    </row>
    <row r="138" spans="1:39" s="283" customFormat="1" ht="20.25">
      <c r="A138" s="3324" t="s">
        <v>181</v>
      </c>
      <c r="B138" s="3326"/>
      <c r="C138" s="3325"/>
      <c r="D138" s="473"/>
      <c r="E138" s="474"/>
      <c r="F138" s="475"/>
      <c r="G138" s="475"/>
      <c r="H138" s="476"/>
      <c r="I138" s="476"/>
      <c r="J138" s="475"/>
      <c r="K138" s="489"/>
      <c r="L138" s="490"/>
      <c r="M138" s="491"/>
      <c r="N138" s="476"/>
      <c r="O138" s="476"/>
      <c r="P138" s="476"/>
      <c r="Q138" s="476"/>
      <c r="R138" s="476"/>
      <c r="S138" s="476"/>
      <c r="T138" s="493"/>
      <c r="U138" s="490"/>
      <c r="V138" s="474"/>
      <c r="W138" s="475"/>
      <c r="X138" s="475"/>
      <c r="Y138" s="476"/>
      <c r="Z138" s="476"/>
      <c r="AA138" s="476"/>
      <c r="AB138" s="475"/>
      <c r="AC138" s="503"/>
      <c r="AD138" s="490"/>
      <c r="AE138" s="504">
        <f t="shared" ref="AE138:AE142" si="58">SUM(E138:AC138)</f>
        <v>0</v>
      </c>
      <c r="AF138" s="505"/>
      <c r="AG138" s="518"/>
      <c r="AH138" s="519">
        <f t="shared" ref="AH138:AH142" si="59">AE138+AF138</f>
        <v>0</v>
      </c>
      <c r="AI138" s="520"/>
      <c r="AJ138" s="521">
        <f>AH138+AI138</f>
        <v>0</v>
      </c>
    </row>
    <row r="139" spans="1:39" s="283" customFormat="1" ht="20.25">
      <c r="A139" s="2625" t="s">
        <v>182</v>
      </c>
      <c r="B139" s="731"/>
      <c r="C139" s="732"/>
      <c r="D139" s="324"/>
      <c r="E139" s="325"/>
      <c r="F139" s="297"/>
      <c r="G139" s="297"/>
      <c r="H139" s="298"/>
      <c r="I139" s="298"/>
      <c r="J139" s="297"/>
      <c r="K139" s="344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6">
        <f t="shared" si="58"/>
        <v>0</v>
      </c>
      <c r="AF139" s="377"/>
      <c r="AG139" s="390"/>
      <c r="AH139" s="391">
        <f t="shared" si="59"/>
        <v>0</v>
      </c>
      <c r="AI139" s="412"/>
      <c r="AJ139" s="413">
        <f t="shared" ref="AJ139:AJ142" si="60">AH139+AI139</f>
        <v>0</v>
      </c>
    </row>
    <row r="140" spans="1:39" s="283" customFormat="1" ht="20.25">
      <c r="A140" s="2625"/>
      <c r="B140" s="731"/>
      <c r="C140" s="732"/>
      <c r="D140" s="324"/>
      <c r="E140" s="325"/>
      <c r="F140" s="297"/>
      <c r="G140" s="297"/>
      <c r="H140" s="298"/>
      <c r="I140" s="298"/>
      <c r="J140" s="297"/>
      <c r="K140" s="344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58"/>
        <v>0</v>
      </c>
      <c r="AF140" s="377"/>
      <c r="AG140" s="390"/>
      <c r="AH140" s="391">
        <f t="shared" si="59"/>
        <v>0</v>
      </c>
      <c r="AI140" s="412"/>
      <c r="AJ140" s="413">
        <f t="shared" si="60"/>
        <v>0</v>
      </c>
    </row>
    <row r="141" spans="1:39" s="283" customFormat="1" ht="20.25">
      <c r="A141" s="2625"/>
      <c r="B141" s="731"/>
      <c r="C141" s="732"/>
      <c r="D141" s="324"/>
      <c r="E141" s="325"/>
      <c r="F141" s="297"/>
      <c r="G141" s="297"/>
      <c r="H141" s="298"/>
      <c r="I141" s="298"/>
      <c r="J141" s="297"/>
      <c r="K141" s="344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si="58"/>
        <v>0</v>
      </c>
      <c r="AF141" s="377"/>
      <c r="AG141" s="390"/>
      <c r="AH141" s="391">
        <f t="shared" si="59"/>
        <v>0</v>
      </c>
      <c r="AI141" s="412"/>
      <c r="AJ141" s="413">
        <f t="shared" si="60"/>
        <v>0</v>
      </c>
    </row>
    <row r="142" spans="1:39" s="283" customFormat="1" ht="21" thickBot="1">
      <c r="A142" s="2582"/>
      <c r="B142" s="731"/>
      <c r="C142" s="732"/>
      <c r="D142" s="324"/>
      <c r="E142" s="325"/>
      <c r="F142" s="297"/>
      <c r="G142" s="297"/>
      <c r="H142" s="298"/>
      <c r="I142" s="298"/>
      <c r="J142" s="297"/>
      <c r="K142" s="344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 t="shared" si="58"/>
        <v>0</v>
      </c>
      <c r="AF142" s="377"/>
      <c r="AG142" s="390"/>
      <c r="AH142" s="507">
        <f t="shared" si="59"/>
        <v>0</v>
      </c>
      <c r="AI142" s="412"/>
      <c r="AJ142" s="508">
        <f t="shared" si="60"/>
        <v>0</v>
      </c>
    </row>
    <row r="143" spans="1:39" s="283" customFormat="1" ht="21" thickBot="1">
      <c r="A143" s="2619"/>
      <c r="B143" s="2623"/>
      <c r="C143" s="2621"/>
      <c r="D143" s="438"/>
      <c r="E143" s="439">
        <f t="shared" ref="E143:K143" si="61">SUM(E138:E142)</f>
        <v>0</v>
      </c>
      <c r="F143" s="440">
        <f t="shared" si="61"/>
        <v>0</v>
      </c>
      <c r="G143" s="440">
        <f t="shared" si="61"/>
        <v>0</v>
      </c>
      <c r="H143" s="440">
        <f t="shared" si="61"/>
        <v>0</v>
      </c>
      <c r="I143" s="440">
        <f t="shared" si="61"/>
        <v>0</v>
      </c>
      <c r="J143" s="440">
        <f t="shared" si="61"/>
        <v>0</v>
      </c>
      <c r="K143" s="481">
        <f t="shared" si="61"/>
        <v>0</v>
      </c>
      <c r="L143" s="482"/>
      <c r="M143" s="439">
        <f t="shared" ref="M143:T143" si="62">SUM(M138:M142)</f>
        <v>0</v>
      </c>
      <c r="N143" s="440">
        <f t="shared" si="62"/>
        <v>0</v>
      </c>
      <c r="O143" s="440">
        <f t="shared" si="62"/>
        <v>0</v>
      </c>
      <c r="P143" s="440">
        <f t="shared" si="62"/>
        <v>0</v>
      </c>
      <c r="Q143" s="440">
        <f t="shared" si="62"/>
        <v>0</v>
      </c>
      <c r="R143" s="440">
        <f t="shared" si="62"/>
        <v>0</v>
      </c>
      <c r="S143" s="440">
        <f t="shared" si="62"/>
        <v>0</v>
      </c>
      <c r="T143" s="481">
        <f t="shared" si="62"/>
        <v>0</v>
      </c>
      <c r="U143" s="482"/>
      <c r="V143" s="439">
        <f t="shared" ref="V143:AC143" si="63">SUM(V138:V142)</f>
        <v>0</v>
      </c>
      <c r="W143" s="440">
        <f t="shared" si="63"/>
        <v>0</v>
      </c>
      <c r="X143" s="440">
        <f t="shared" si="63"/>
        <v>0</v>
      </c>
      <c r="Y143" s="440">
        <f t="shared" si="63"/>
        <v>0</v>
      </c>
      <c r="Z143" s="440">
        <f t="shared" si="63"/>
        <v>0</v>
      </c>
      <c r="AA143" s="440">
        <f t="shared" si="63"/>
        <v>0</v>
      </c>
      <c r="AB143" s="440">
        <f t="shared" si="63"/>
        <v>0</v>
      </c>
      <c r="AC143" s="481">
        <f t="shared" si="63"/>
        <v>0</v>
      </c>
      <c r="AD143" s="482"/>
      <c r="AE143" s="494">
        <f>SUM(AE138:AE142)</f>
        <v>0</v>
      </c>
      <c r="AF143" s="494">
        <f>SUM(AF138:AF142)</f>
        <v>0</v>
      </c>
      <c r="AG143" s="509"/>
      <c r="AH143" s="514">
        <f>SUM(AH138:AH142)</f>
        <v>0</v>
      </c>
      <c r="AI143" s="494">
        <f>SUM(AI138:AI142)</f>
        <v>0</v>
      </c>
      <c r="AJ143" s="509">
        <f>SUM(AJ138:AJ142)</f>
        <v>0</v>
      </c>
    </row>
    <row r="144" spans="1:39" s="284" customFormat="1" ht="8.25" customHeight="1" thickBot="1">
      <c r="A144" s="522"/>
      <c r="B144" s="523"/>
      <c r="C144" s="523"/>
      <c r="D144" s="524"/>
      <c r="E144" s="525"/>
      <c r="F144" s="525"/>
      <c r="G144" s="525"/>
      <c r="H144" s="525"/>
      <c r="I144" s="525"/>
      <c r="J144" s="525"/>
      <c r="K144" s="525"/>
      <c r="L144" s="572"/>
      <c r="M144" s="573"/>
      <c r="N144" s="573"/>
      <c r="O144" s="573"/>
      <c r="P144" s="573"/>
      <c r="Q144" s="573"/>
      <c r="R144" s="573"/>
      <c r="S144" s="573"/>
      <c r="T144" s="573"/>
      <c r="U144" s="572"/>
      <c r="V144" s="573"/>
      <c r="W144" s="573"/>
      <c r="X144" s="573"/>
      <c r="Y144" s="573"/>
      <c r="Z144" s="573"/>
      <c r="AA144" s="573"/>
      <c r="AB144" s="573"/>
      <c r="AC144" s="573"/>
      <c r="AD144" s="572"/>
      <c r="AE144" s="573"/>
      <c r="AF144" s="573"/>
      <c r="AG144" s="599"/>
      <c r="AH144" s="573"/>
      <c r="AI144" s="573"/>
      <c r="AJ144" s="600"/>
      <c r="AK144" s="403"/>
      <c r="AL144" s="403"/>
      <c r="AM144" s="403"/>
    </row>
    <row r="145" spans="1:36" ht="21" thickBot="1">
      <c r="A145" s="526" t="s">
        <v>145</v>
      </c>
      <c r="B145" s="527"/>
      <c r="C145" s="527"/>
      <c r="D145" s="528"/>
      <c r="E145" s="529">
        <f>E4+E38+E53+E110+E68+E82+E119+E126+E135+E143+E96</f>
        <v>0</v>
      </c>
      <c r="F145" s="529">
        <f t="shared" ref="F145:K145" si="64">F4+F38+F53+F110+F68+F82+F119+F126+F135+F143+F96</f>
        <v>1560</v>
      </c>
      <c r="G145" s="529">
        <f t="shared" si="64"/>
        <v>0</v>
      </c>
      <c r="H145" s="529">
        <f t="shared" si="64"/>
        <v>0</v>
      </c>
      <c r="I145" s="529">
        <f t="shared" si="64"/>
        <v>1640</v>
      </c>
      <c r="J145" s="529">
        <f t="shared" si="64"/>
        <v>0</v>
      </c>
      <c r="K145" s="529">
        <f t="shared" si="64"/>
        <v>0</v>
      </c>
      <c r="L145" s="574">
        <f>L4+L38+L53+L119</f>
        <v>0</v>
      </c>
      <c r="M145" s="529">
        <f>M4+M38+M53+M68+M82+M110+M119+M126+M135+M143+M96</f>
        <v>0</v>
      </c>
      <c r="N145" s="529">
        <f t="shared" ref="N145:S145" si="65">N4+N38+N53+N68+N82+N110+N119+N126+N135+N143+N96</f>
        <v>0</v>
      </c>
      <c r="O145" s="529">
        <f t="shared" si="65"/>
        <v>0</v>
      </c>
      <c r="P145" s="529">
        <f t="shared" si="65"/>
        <v>0</v>
      </c>
      <c r="Q145" s="529">
        <f t="shared" si="65"/>
        <v>0</v>
      </c>
      <c r="R145" s="529">
        <f t="shared" si="65"/>
        <v>0</v>
      </c>
      <c r="S145" s="529">
        <f t="shared" si="65"/>
        <v>0</v>
      </c>
      <c r="T145" s="529">
        <f>T4+T38+T53+T68+T82+T110+T119+T126+T135+T143+T96</f>
        <v>0</v>
      </c>
      <c r="U145" s="529">
        <f t="shared" ref="U145:AG145" si="66">U4+U38+U53+U68+U82+U110+U119+U126+U135+U143</f>
        <v>0</v>
      </c>
      <c r="V145" s="529">
        <f>V4+V38+V53+V68+V82+V110+V119+V126+V135+V143+V96</f>
        <v>0</v>
      </c>
      <c r="W145" s="529">
        <f>W4+W38+W53+W68+W82+W110+W119+W126+W135+W143+W96</f>
        <v>0</v>
      </c>
      <c r="X145" s="529">
        <f t="shared" ref="X145:AC145" si="67">X4+X38+X53+X68+X82+X110+X119+X126+X135+X143+X96</f>
        <v>0</v>
      </c>
      <c r="Y145" s="529">
        <f t="shared" si="67"/>
        <v>0</v>
      </c>
      <c r="Z145" s="529">
        <f t="shared" si="67"/>
        <v>0</v>
      </c>
      <c r="AA145" s="529">
        <f t="shared" si="67"/>
        <v>0</v>
      </c>
      <c r="AB145" s="529">
        <f t="shared" si="67"/>
        <v>0</v>
      </c>
      <c r="AC145" s="529">
        <f t="shared" si="67"/>
        <v>0</v>
      </c>
      <c r="AD145" s="529">
        <f t="shared" si="66"/>
        <v>0</v>
      </c>
      <c r="AE145" s="529">
        <f>AE4+AE38+AE53+AE68+AE82+AE110+AE119+AE126+AE135+AE143+AE96</f>
        <v>3200</v>
      </c>
      <c r="AF145" s="529">
        <f>AF4+AF38+AF53+AF68+AF82+AF110+AF119+AF126+AF135+AF143+AF96</f>
        <v>0</v>
      </c>
      <c r="AG145" s="529">
        <f t="shared" si="66"/>
        <v>0</v>
      </c>
      <c r="AH145" s="529">
        <f>AH4+AH38+AH53+AH68+AH82+AH110+AH119+AH126+AH135+AH143+AH96</f>
        <v>3200</v>
      </c>
      <c r="AI145" s="529">
        <f t="shared" ref="AI145:AJ145" si="68">AI4+AI38+AI53+AI68+AI82+AI110+AI119+AI126+AI135+AI143+AI96</f>
        <v>0</v>
      </c>
      <c r="AJ145" s="529">
        <f t="shared" si="68"/>
        <v>3200</v>
      </c>
    </row>
    <row r="146" spans="1:36" ht="21" thickBot="1">
      <c r="A146" s="530" t="s">
        <v>152</v>
      </c>
      <c r="B146" s="531"/>
      <c r="C146" s="531"/>
      <c r="D146" s="532"/>
      <c r="E146" s="533">
        <f>E145/20</f>
        <v>0</v>
      </c>
      <c r="F146" s="533">
        <f t="shared" ref="F146:K146" si="69">F145/20</f>
        <v>78</v>
      </c>
      <c r="G146" s="533">
        <f t="shared" si="69"/>
        <v>0</v>
      </c>
      <c r="H146" s="533">
        <f t="shared" si="69"/>
        <v>0</v>
      </c>
      <c r="I146" s="533">
        <f t="shared" si="69"/>
        <v>82</v>
      </c>
      <c r="J146" s="533">
        <f t="shared" si="69"/>
        <v>0</v>
      </c>
      <c r="K146" s="533">
        <f t="shared" si="69"/>
        <v>0</v>
      </c>
      <c r="L146" s="575"/>
      <c r="M146" s="576">
        <f>M145/20</f>
        <v>0</v>
      </c>
      <c r="N146" s="576">
        <f t="shared" ref="N146:T146" si="70">N145/20</f>
        <v>0</v>
      </c>
      <c r="O146" s="576">
        <f t="shared" si="70"/>
        <v>0</v>
      </c>
      <c r="P146" s="576">
        <f t="shared" si="70"/>
        <v>0</v>
      </c>
      <c r="Q146" s="576">
        <f t="shared" si="70"/>
        <v>0</v>
      </c>
      <c r="R146" s="576">
        <f t="shared" si="70"/>
        <v>0</v>
      </c>
      <c r="S146" s="576">
        <f t="shared" si="70"/>
        <v>0</v>
      </c>
      <c r="T146" s="576">
        <f t="shared" si="70"/>
        <v>0</v>
      </c>
      <c r="U146" s="575"/>
      <c r="V146" s="576">
        <f>V145/20</f>
        <v>0</v>
      </c>
      <c r="W146" s="577">
        <f t="shared" ref="W146:AD146" si="71">W145/20</f>
        <v>0</v>
      </c>
      <c r="X146" s="577">
        <f t="shared" si="71"/>
        <v>0</v>
      </c>
      <c r="Y146" s="577">
        <f t="shared" si="71"/>
        <v>0</v>
      </c>
      <c r="Z146" s="577">
        <f t="shared" si="71"/>
        <v>0</v>
      </c>
      <c r="AA146" s="577">
        <f t="shared" si="71"/>
        <v>0</v>
      </c>
      <c r="AB146" s="577">
        <f t="shared" si="71"/>
        <v>0</v>
      </c>
      <c r="AC146" s="529">
        <f>AC5+AC39+AC54+AC69+AC211+AC120+AC127+AC136+AC144</f>
        <v>0</v>
      </c>
      <c r="AD146" s="586">
        <f t="shared" si="71"/>
        <v>0</v>
      </c>
      <c r="AE146" s="586">
        <f>AE145/20</f>
        <v>160</v>
      </c>
      <c r="AF146" s="586">
        <f>AF145/20</f>
        <v>0</v>
      </c>
      <c r="AG146" s="586">
        <f t="shared" ref="AG146:AI146" si="72">AG145/20</f>
        <v>0</v>
      </c>
      <c r="AH146" s="586">
        <f>AH145/20</f>
        <v>160</v>
      </c>
      <c r="AI146" s="586">
        <f t="shared" si="72"/>
        <v>0</v>
      </c>
      <c r="AJ146" s="586">
        <f>AJ145/20</f>
        <v>160</v>
      </c>
    </row>
    <row r="147" spans="1:36" s="1" customFormat="1" ht="21" customHeight="1" thickBot="1">
      <c r="A147" s="3755"/>
      <c r="B147" s="3755"/>
      <c r="C147" s="3755"/>
      <c r="D147" s="3755"/>
      <c r="E147" s="3756"/>
      <c r="F147" s="3756"/>
      <c r="G147" s="3756"/>
      <c r="H147" s="3756"/>
      <c r="I147" s="3756"/>
      <c r="J147" s="3756"/>
      <c r="K147" s="3756"/>
      <c r="L147" s="3755"/>
      <c r="M147" s="3755"/>
      <c r="N147" s="3755"/>
      <c r="O147" s="3755"/>
      <c r="P147" s="3755"/>
      <c r="Q147" s="3755"/>
      <c r="R147" s="3755"/>
      <c r="S147" s="3755"/>
      <c r="T147" s="3755"/>
      <c r="U147" s="3755"/>
      <c r="V147" s="3755"/>
      <c r="W147" s="3755"/>
      <c r="X147" s="3755"/>
      <c r="Y147" s="3755"/>
      <c r="Z147" s="3755"/>
      <c r="AA147" s="3755"/>
      <c r="AB147" s="3755"/>
      <c r="AC147" s="3755"/>
      <c r="AD147" s="3755"/>
      <c r="AE147" s="3755"/>
      <c r="AF147" s="3755"/>
      <c r="AG147" s="3755"/>
      <c r="AH147" s="3755"/>
      <c r="AI147" s="3755"/>
      <c r="AJ147" s="3755"/>
    </row>
    <row r="148" spans="1:36" ht="24" thickBot="1">
      <c r="A148" s="3888" t="s">
        <v>4</v>
      </c>
      <c r="B148" s="3889"/>
      <c r="C148" s="3889"/>
      <c r="D148" s="3890"/>
      <c r="E148" s="3891" t="s">
        <v>387</v>
      </c>
      <c r="F148" s="3892"/>
      <c r="G148" s="3892"/>
      <c r="H148" s="3892"/>
      <c r="I148" s="3892"/>
      <c r="J148" s="3892"/>
      <c r="K148" s="3904"/>
      <c r="L148" s="336"/>
      <c r="M148" s="3893" t="s">
        <v>419</v>
      </c>
      <c r="N148" s="3894"/>
      <c r="O148" s="3894"/>
      <c r="P148" s="3894"/>
      <c r="Q148" s="3894"/>
      <c r="R148" s="3894"/>
      <c r="S148" s="3894"/>
      <c r="T148" s="3895"/>
      <c r="U148" s="364"/>
      <c r="V148" s="3893"/>
      <c r="W148" s="3894"/>
      <c r="X148" s="3894"/>
      <c r="Y148" s="3894"/>
      <c r="Z148" s="3894"/>
      <c r="AA148" s="3894"/>
      <c r="AB148" s="3894"/>
      <c r="AC148" s="3895"/>
      <c r="AD148" s="364"/>
      <c r="AE148" s="3893"/>
      <c r="AF148" s="3894"/>
      <c r="AG148" s="3894"/>
      <c r="AH148" s="3894"/>
      <c r="AI148" s="3894"/>
      <c r="AJ148" s="3895"/>
    </row>
    <row r="149" spans="1:36" s="276" customFormat="1" ht="30.75" thickBot="1">
      <c r="A149" s="535" t="s">
        <v>148</v>
      </c>
      <c r="B149" s="287" t="s">
        <v>68</v>
      </c>
      <c r="C149" s="536" t="s">
        <v>69</v>
      </c>
      <c r="D149" s="536" t="s">
        <v>70</v>
      </c>
      <c r="E149" s="80" t="s">
        <v>382</v>
      </c>
      <c r="F149" s="49" t="s">
        <v>53</v>
      </c>
      <c r="G149" s="49" t="s">
        <v>206</v>
      </c>
      <c r="H149" s="49" t="s">
        <v>190</v>
      </c>
      <c r="I149" s="49" t="s">
        <v>94</v>
      </c>
      <c r="J149" s="49"/>
      <c r="K149" s="783"/>
      <c r="L149" s="578"/>
      <c r="M149" s="80" t="s">
        <v>85</v>
      </c>
      <c r="N149" s="49" t="s">
        <v>457</v>
      </c>
      <c r="O149" s="49" t="s">
        <v>250</v>
      </c>
      <c r="P149" s="49" t="s">
        <v>96</v>
      </c>
      <c r="Q149" s="744" t="s">
        <v>412</v>
      </c>
      <c r="R149" s="49"/>
      <c r="S149" s="126" t="s">
        <v>413</v>
      </c>
      <c r="T149" s="171" t="s">
        <v>416</v>
      </c>
      <c r="U149" s="578"/>
      <c r="V149" s="100"/>
      <c r="W149" s="101"/>
      <c r="X149" s="102"/>
      <c r="Y149" s="747"/>
      <c r="Z149" s="102"/>
      <c r="AA149" s="102"/>
      <c r="AB149" s="3466" t="s">
        <v>86</v>
      </c>
      <c r="AC149" s="1192"/>
      <c r="AD149" s="589"/>
      <c r="AE149" s="590" t="s">
        <v>172</v>
      </c>
      <c r="AF149" s="591" t="s">
        <v>80</v>
      </c>
      <c r="AG149" s="602" t="s">
        <v>150</v>
      </c>
      <c r="AH149" s="603" t="s">
        <v>106</v>
      </c>
      <c r="AI149" s="602" t="s">
        <v>173</v>
      </c>
      <c r="AJ149" s="604" t="s">
        <v>108</v>
      </c>
    </row>
    <row r="150" spans="1:36" s="234" customFormat="1" ht="20.25">
      <c r="A150" s="537" t="s">
        <v>623</v>
      </c>
      <c r="B150" s="548"/>
      <c r="C150" s="549"/>
      <c r="D150" s="544">
        <v>46119</v>
      </c>
      <c r="E150" s="332"/>
      <c r="F150" s="320">
        <f>2*20</f>
        <v>40</v>
      </c>
      <c r="G150" s="320"/>
      <c r="H150" s="321"/>
      <c r="I150" s="321">
        <f>2*20</f>
        <v>40</v>
      </c>
      <c r="J150" s="320"/>
      <c r="K150" s="351"/>
      <c r="L150" s="352"/>
      <c r="M150" s="353"/>
      <c r="N150" s="321"/>
      <c r="O150" s="321"/>
      <c r="P150" s="582"/>
      <c r="Q150" s="321"/>
      <c r="R150" s="321"/>
      <c r="S150" s="321"/>
      <c r="T150" s="354"/>
      <c r="U150" s="352"/>
      <c r="V150" s="353"/>
      <c r="W150" s="321"/>
      <c r="X150" s="321"/>
      <c r="Y150" s="321"/>
      <c r="Z150" s="321"/>
      <c r="AA150" s="321"/>
      <c r="AB150" s="321"/>
      <c r="AC150" s="380"/>
      <c r="AD150" s="352"/>
      <c r="AE150" s="408">
        <f>SUM(E150:AC150)</f>
        <v>80</v>
      </c>
      <c r="AF150" s="409"/>
      <c r="AG150" s="408"/>
      <c r="AH150" s="409">
        <f>AE150+AF150+AG150</f>
        <v>80</v>
      </c>
      <c r="AI150" s="410"/>
      <c r="AJ150" s="411">
        <f>AH150+AI150</f>
        <v>80</v>
      </c>
    </row>
    <row r="151" spans="1:36" s="234" customFormat="1" ht="20.25">
      <c r="A151" s="537" t="s">
        <v>628</v>
      </c>
      <c r="B151" s="796"/>
      <c r="C151" s="797"/>
      <c r="D151" s="544">
        <v>46122</v>
      </c>
      <c r="E151" s="332"/>
      <c r="F151" s="333">
        <f>1*20</f>
        <v>20</v>
      </c>
      <c r="G151" s="333"/>
      <c r="H151" s="334"/>
      <c r="I151" s="334">
        <f>1*20</f>
        <v>20</v>
      </c>
      <c r="J151" s="333"/>
      <c r="K151" s="798"/>
      <c r="L151" s="361"/>
      <c r="M151" s="362"/>
      <c r="N151" s="334"/>
      <c r="O151" s="334"/>
      <c r="Q151" s="334"/>
      <c r="R151" s="334"/>
      <c r="S151" s="334"/>
      <c r="T151" s="360"/>
      <c r="U151" s="361"/>
      <c r="V151" s="362"/>
      <c r="W151" s="334"/>
      <c r="X151" s="334"/>
      <c r="Y151" s="334"/>
      <c r="Z151" s="334"/>
      <c r="AA151" s="334"/>
      <c r="AB151" s="334"/>
      <c r="AC151" s="383"/>
      <c r="AD151" s="361"/>
      <c r="AE151" s="419">
        <f t="shared" ref="AE151" si="73">SUM(E151:AC151)</f>
        <v>40</v>
      </c>
      <c r="AF151" s="420"/>
      <c r="AG151" s="419"/>
      <c r="AH151" s="420">
        <f>AE151+AF151+AG151</f>
        <v>40</v>
      </c>
      <c r="AI151" s="421"/>
      <c r="AJ151" s="422">
        <f>AH151+AI151</f>
        <v>40</v>
      </c>
    </row>
    <row r="152" spans="1:36" s="234" customFormat="1" ht="20.25">
      <c r="A152" s="561" t="s">
        <v>623</v>
      </c>
      <c r="B152" s="563"/>
      <c r="C152" s="553"/>
      <c r="D152" s="544">
        <v>46126</v>
      </c>
      <c r="E152" s="541"/>
      <c r="F152" s="542">
        <f>1*20</f>
        <v>20</v>
      </c>
      <c r="G152" s="542"/>
      <c r="H152" s="543"/>
      <c r="I152" s="543"/>
      <c r="J152" s="542"/>
      <c r="K152" s="579"/>
      <c r="L152" s="580"/>
      <c r="M152" s="581"/>
      <c r="N152" s="543"/>
      <c r="O152" s="543"/>
      <c r="P152" s="543"/>
      <c r="Q152" s="543"/>
      <c r="R152" s="543"/>
      <c r="S152" s="543"/>
      <c r="T152" s="587"/>
      <c r="U152" s="580"/>
      <c r="V152" s="581"/>
      <c r="W152" s="543"/>
      <c r="X152" s="543"/>
      <c r="Y152" s="543"/>
      <c r="Z152" s="543"/>
      <c r="AA152" s="543"/>
      <c r="AB152" s="543"/>
      <c r="AC152" s="592"/>
      <c r="AD152" s="580"/>
      <c r="AE152" s="593">
        <f t="shared" ref="AE152" si="74">SUM(E152:AC152)</f>
        <v>20</v>
      </c>
      <c r="AF152" s="594"/>
      <c r="AG152" s="593"/>
      <c r="AH152" s="594">
        <f t="shared" ref="AH152" si="75">AE152+AF152+AG152</f>
        <v>20</v>
      </c>
      <c r="AI152" s="605"/>
      <c r="AJ152" s="606">
        <f t="shared" ref="AJ152" si="76">AH152+AI152</f>
        <v>20</v>
      </c>
    </row>
    <row r="153" spans="1:36" s="276" customFormat="1" ht="20.25">
      <c r="A153" s="547" t="s">
        <v>661</v>
      </c>
      <c r="B153" s="548"/>
      <c r="C153" s="549"/>
      <c r="D153" s="544">
        <v>46133</v>
      </c>
      <c r="E153" s="319"/>
      <c r="F153" s="320">
        <f>5*20</f>
        <v>100</v>
      </c>
      <c r="G153" s="320"/>
      <c r="H153" s="321"/>
      <c r="I153" s="321"/>
      <c r="J153" s="320"/>
      <c r="K153" s="351"/>
      <c r="L153" s="352"/>
      <c r="M153" s="353"/>
      <c r="N153" s="321"/>
      <c r="O153" s="321"/>
      <c r="P153" s="321"/>
      <c r="Q153" s="334"/>
      <c r="R153" s="321"/>
      <c r="S153" s="321"/>
      <c r="T153" s="354"/>
      <c r="U153" s="352"/>
      <c r="V153" s="353"/>
      <c r="W153" s="321"/>
      <c r="X153" s="321"/>
      <c r="Y153" s="321"/>
      <c r="Z153" s="321"/>
      <c r="AA153" s="321"/>
      <c r="AB153" s="321"/>
      <c r="AC153" s="380"/>
      <c r="AD153" s="352"/>
      <c r="AE153" s="408">
        <f t="shared" ref="AE153:AE191" si="77">SUM(E153:AC153)</f>
        <v>100</v>
      </c>
      <c r="AF153" s="409"/>
      <c r="AG153" s="408"/>
      <c r="AH153" s="409">
        <f t="shared" ref="AH153:AH211" si="78">AE153+AF153+AG153</f>
        <v>100</v>
      </c>
      <c r="AI153" s="410"/>
      <c r="AJ153" s="411">
        <f t="shared" ref="AJ153:AJ211" si="79">AH153+AI153</f>
        <v>100</v>
      </c>
    </row>
    <row r="154" spans="1:36" s="234" customFormat="1" ht="20.25">
      <c r="A154" s="537"/>
      <c r="B154" s="552"/>
      <c r="C154" s="553"/>
      <c r="D154" s="544"/>
      <c r="E154" s="542"/>
      <c r="F154" s="542"/>
      <c r="G154" s="542"/>
      <c r="H154" s="543"/>
      <c r="I154" s="543"/>
      <c r="J154" s="542"/>
      <c r="K154" s="579"/>
      <c r="L154" s="580"/>
      <c r="M154" s="581"/>
      <c r="N154" s="543"/>
      <c r="O154" s="543"/>
      <c r="P154" s="543"/>
      <c r="Q154" s="545"/>
      <c r="R154" s="549"/>
      <c r="S154" s="3589"/>
      <c r="T154" s="587"/>
      <c r="U154" s="580"/>
      <c r="V154" s="581"/>
      <c r="W154" s="543"/>
      <c r="X154" s="543"/>
      <c r="Y154" s="543"/>
      <c r="Z154" s="543"/>
      <c r="AA154" s="543"/>
      <c r="AB154" s="543"/>
      <c r="AC154" s="592"/>
      <c r="AD154" s="580"/>
      <c r="AE154" s="593">
        <f t="shared" si="77"/>
        <v>0</v>
      </c>
      <c r="AF154" s="594"/>
      <c r="AG154" s="593"/>
      <c r="AH154" s="594">
        <f t="shared" si="78"/>
        <v>0</v>
      </c>
      <c r="AI154" s="605"/>
      <c r="AJ154" s="606">
        <f t="shared" si="79"/>
        <v>0</v>
      </c>
    </row>
    <row r="155" spans="1:36" s="276" customFormat="1" ht="20.25">
      <c r="A155" s="551"/>
      <c r="B155" s="552"/>
      <c r="C155" s="553"/>
      <c r="D155" s="544"/>
      <c r="E155" s="319"/>
      <c r="F155" s="320"/>
      <c r="G155" s="320"/>
      <c r="H155" s="321"/>
      <c r="I155" s="321"/>
      <c r="J155" s="320"/>
      <c r="K155" s="351"/>
      <c r="L155" s="352"/>
      <c r="M155" s="353"/>
      <c r="N155" s="321"/>
      <c r="O155" s="321"/>
      <c r="P155" s="321"/>
      <c r="Q155" s="321"/>
      <c r="R155" s="321"/>
      <c r="S155" s="321"/>
      <c r="T155" s="354"/>
      <c r="U155" s="352"/>
      <c r="V155" s="353"/>
      <c r="W155" s="321"/>
      <c r="X155" s="321"/>
      <c r="Y155" s="321"/>
      <c r="Z155" s="321"/>
      <c r="AA155" s="321"/>
      <c r="AB155" s="321"/>
      <c r="AC155" s="380"/>
      <c r="AD155" s="352"/>
      <c r="AE155" s="408">
        <f t="shared" si="77"/>
        <v>0</v>
      </c>
      <c r="AF155" s="409"/>
      <c r="AG155" s="408"/>
      <c r="AH155" s="409">
        <f t="shared" si="78"/>
        <v>0</v>
      </c>
      <c r="AI155" s="410"/>
      <c r="AJ155" s="411">
        <f t="shared" si="79"/>
        <v>0</v>
      </c>
    </row>
    <row r="156" spans="1:36" s="276" customFormat="1" ht="20.25">
      <c r="A156" s="537"/>
      <c r="B156" s="563"/>
      <c r="C156" s="553"/>
      <c r="D156" s="544"/>
      <c r="E156" s="541"/>
      <c r="F156" s="542"/>
      <c r="G156" s="542"/>
      <c r="H156" s="543"/>
      <c r="I156" s="543"/>
      <c r="J156" s="542"/>
      <c r="K156" s="579"/>
      <c r="L156" s="580"/>
      <c r="M156" s="581"/>
      <c r="N156" s="543"/>
      <c r="O156" s="543"/>
      <c r="P156" s="543"/>
      <c r="Q156" s="543"/>
      <c r="R156" s="543"/>
      <c r="S156" s="543"/>
      <c r="T156" s="587"/>
      <c r="U156" s="580"/>
      <c r="V156" s="581"/>
      <c r="W156" s="543"/>
      <c r="X156" s="543"/>
      <c r="Y156" s="543"/>
      <c r="Z156" s="543"/>
      <c r="AA156" s="543"/>
      <c r="AB156" s="543"/>
      <c r="AC156" s="592"/>
      <c r="AD156" s="580"/>
      <c r="AE156" s="593">
        <f t="shared" si="77"/>
        <v>0</v>
      </c>
      <c r="AF156" s="594"/>
      <c r="AG156" s="593"/>
      <c r="AH156" s="594">
        <f t="shared" si="78"/>
        <v>0</v>
      </c>
      <c r="AI156" s="605"/>
      <c r="AJ156" s="606">
        <f t="shared" si="79"/>
        <v>0</v>
      </c>
    </row>
    <row r="157" spans="1:36" s="276" customFormat="1" ht="20.25">
      <c r="A157" s="547"/>
      <c r="B157" s="552"/>
      <c r="C157" s="553"/>
      <c r="D157" s="544"/>
      <c r="E157" s="541"/>
      <c r="F157" s="542"/>
      <c r="G157" s="542"/>
      <c r="H157" s="543"/>
      <c r="I157" s="543"/>
      <c r="J157" s="542"/>
      <c r="K157" s="579"/>
      <c r="L157" s="580"/>
      <c r="M157" s="581"/>
      <c r="N157" s="543"/>
      <c r="O157" s="543"/>
      <c r="P157" s="558"/>
      <c r="Q157" s="543"/>
      <c r="R157" s="543"/>
      <c r="S157" s="543"/>
      <c r="T157" s="587"/>
      <c r="U157" s="580"/>
      <c r="V157" s="581"/>
      <c r="W157" s="543"/>
      <c r="X157" s="543"/>
      <c r="Y157" s="543"/>
      <c r="Z157" s="543"/>
      <c r="AA157" s="543"/>
      <c r="AB157" s="543"/>
      <c r="AC157" s="592"/>
      <c r="AD157" s="580"/>
      <c r="AE157" s="593">
        <f t="shared" si="77"/>
        <v>0</v>
      </c>
      <c r="AF157" s="594"/>
      <c r="AG157" s="593"/>
      <c r="AH157" s="594">
        <f t="shared" si="78"/>
        <v>0</v>
      </c>
      <c r="AI157" s="605"/>
      <c r="AJ157" s="606">
        <f t="shared" si="79"/>
        <v>0</v>
      </c>
    </row>
    <row r="158" spans="1:36" s="234" customFormat="1" ht="20.25">
      <c r="A158" s="547"/>
      <c r="B158" s="552"/>
      <c r="C158" s="553"/>
      <c r="D158" s="544"/>
      <c r="E158" s="541"/>
      <c r="F158" s="542"/>
      <c r="G158" s="542"/>
      <c r="H158" s="543"/>
      <c r="I158" s="543"/>
      <c r="J158" s="542"/>
      <c r="K158" s="579"/>
      <c r="L158" s="580"/>
      <c r="M158" s="581"/>
      <c r="N158" s="543"/>
      <c r="O158" s="543"/>
      <c r="P158" s="558"/>
      <c r="Q158" s="543"/>
      <c r="R158" s="543"/>
      <c r="S158" s="543"/>
      <c r="T158" s="587"/>
      <c r="U158" s="580"/>
      <c r="V158" s="581"/>
      <c r="W158" s="543"/>
      <c r="X158" s="543"/>
      <c r="Y158" s="543"/>
      <c r="Z158" s="543"/>
      <c r="AA158" s="543"/>
      <c r="AB158" s="543"/>
      <c r="AC158" s="592"/>
      <c r="AD158" s="580"/>
      <c r="AE158" s="593">
        <f t="shared" ref="AE158" si="80">SUM(E158:AC158)</f>
        <v>0</v>
      </c>
      <c r="AF158" s="594"/>
      <c r="AG158" s="593"/>
      <c r="AH158" s="594">
        <f t="shared" si="78"/>
        <v>0</v>
      </c>
      <c r="AI158" s="605"/>
      <c r="AJ158" s="606">
        <f t="shared" si="79"/>
        <v>0</v>
      </c>
    </row>
    <row r="159" spans="1:36" s="276" customFormat="1" ht="20.25">
      <c r="A159" s="547"/>
      <c r="B159" s="550"/>
      <c r="C159" s="549"/>
      <c r="D159" s="544"/>
      <c r="E159" s="319"/>
      <c r="F159" s="320"/>
      <c r="G159" s="320"/>
      <c r="H159" s="321"/>
      <c r="I159" s="321"/>
      <c r="J159" s="320"/>
      <c r="K159" s="351"/>
      <c r="L159" s="352"/>
      <c r="M159" s="353"/>
      <c r="N159" s="321"/>
      <c r="O159" s="321"/>
      <c r="P159" s="582"/>
      <c r="Q159" s="321"/>
      <c r="R159" s="321"/>
      <c r="S159" s="321"/>
      <c r="T159" s="354"/>
      <c r="U159" s="352"/>
      <c r="V159" s="353"/>
      <c r="W159" s="321"/>
      <c r="X159" s="321"/>
      <c r="Y159" s="321"/>
      <c r="Z159" s="321"/>
      <c r="AA159" s="321"/>
      <c r="AB159" s="321"/>
      <c r="AC159" s="380"/>
      <c r="AD159" s="352"/>
      <c r="AE159" s="408">
        <f t="shared" si="77"/>
        <v>0</v>
      </c>
      <c r="AF159" s="409"/>
      <c r="AG159" s="408"/>
      <c r="AH159" s="409">
        <f t="shared" si="78"/>
        <v>0</v>
      </c>
      <c r="AI159" s="410"/>
      <c r="AJ159" s="411">
        <f t="shared" si="79"/>
        <v>0</v>
      </c>
    </row>
    <row r="160" spans="1:36" s="234" customFormat="1" ht="20.25">
      <c r="A160" s="547"/>
      <c r="B160" s="1112"/>
      <c r="C160" s="1113"/>
      <c r="D160" s="1114"/>
      <c r="E160" s="556"/>
      <c r="F160" s="557"/>
      <c r="G160" s="557"/>
      <c r="H160" s="558"/>
      <c r="I160" s="558"/>
      <c r="J160" s="557"/>
      <c r="K160" s="583"/>
      <c r="L160" s="584"/>
      <c r="M160" s="585"/>
      <c r="N160" s="558"/>
      <c r="O160" s="558"/>
      <c r="P160" s="558"/>
      <c r="Q160" s="558"/>
      <c r="R160" s="558"/>
      <c r="S160" s="558"/>
      <c r="T160" s="588"/>
      <c r="U160" s="584"/>
      <c r="V160" s="585"/>
      <c r="W160" s="558"/>
      <c r="X160" s="558"/>
      <c r="Y160" s="558"/>
      <c r="Z160" s="558"/>
      <c r="AA160" s="558"/>
      <c r="AB160" s="558"/>
      <c r="AC160" s="595"/>
      <c r="AD160" s="584"/>
      <c r="AE160" s="596">
        <f t="shared" si="77"/>
        <v>0</v>
      </c>
      <c r="AF160" s="597"/>
      <c r="AG160" s="596"/>
      <c r="AH160" s="597">
        <f t="shared" si="78"/>
        <v>0</v>
      </c>
      <c r="AI160" s="607"/>
      <c r="AJ160" s="606">
        <f t="shared" si="79"/>
        <v>0</v>
      </c>
    </row>
    <row r="161" spans="1:36" s="276" customFormat="1" ht="20.25">
      <c r="A161" s="537"/>
      <c r="B161" s="552"/>
      <c r="C161" s="553"/>
      <c r="D161" s="544"/>
      <c r="E161" s="319"/>
      <c r="F161" s="320"/>
      <c r="G161" s="320"/>
      <c r="H161" s="321"/>
      <c r="I161" s="321"/>
      <c r="J161" s="320"/>
      <c r="K161" s="351"/>
      <c r="L161" s="352"/>
      <c r="M161" s="353"/>
      <c r="N161" s="321"/>
      <c r="O161" s="321"/>
      <c r="P161" s="582"/>
      <c r="Q161" s="321"/>
      <c r="R161" s="321"/>
      <c r="S161" s="321"/>
      <c r="T161" s="354"/>
      <c r="U161" s="352"/>
      <c r="V161" s="353"/>
      <c r="W161" s="321"/>
      <c r="X161" s="321"/>
      <c r="Y161" s="321"/>
      <c r="Z161" s="321"/>
      <c r="AA161" s="321"/>
      <c r="AB161" s="321"/>
      <c r="AC161" s="380"/>
      <c r="AD161" s="352"/>
      <c r="AE161" s="408">
        <f t="shared" si="77"/>
        <v>0</v>
      </c>
      <c r="AF161" s="409"/>
      <c r="AG161" s="408"/>
      <c r="AH161" s="409">
        <f t="shared" si="78"/>
        <v>0</v>
      </c>
      <c r="AI161" s="410"/>
      <c r="AJ161" s="411">
        <f t="shared" si="79"/>
        <v>0</v>
      </c>
    </row>
    <row r="162" spans="1:36" s="234" customFormat="1" ht="20.25">
      <c r="A162" s="537"/>
      <c r="B162" s="550"/>
      <c r="C162" s="549"/>
      <c r="D162" s="544"/>
      <c r="E162" s="541"/>
      <c r="F162" s="542"/>
      <c r="G162" s="542"/>
      <c r="H162" s="543"/>
      <c r="I162" s="543"/>
      <c r="J162" s="542"/>
      <c r="K162" s="579"/>
      <c r="L162" s="580"/>
      <c r="M162" s="581"/>
      <c r="N162" s="543"/>
      <c r="O162" s="543"/>
      <c r="P162" s="558"/>
      <c r="Q162" s="543"/>
      <c r="R162" s="543"/>
      <c r="S162" s="543"/>
      <c r="T162" s="587"/>
      <c r="U162" s="580"/>
      <c r="V162" s="581"/>
      <c r="W162" s="543"/>
      <c r="X162" s="543"/>
      <c r="Y162" s="543"/>
      <c r="Z162" s="543"/>
      <c r="AA162" s="543"/>
      <c r="AB162" s="543"/>
      <c r="AC162" s="592"/>
      <c r="AD162" s="580"/>
      <c r="AE162" s="593">
        <f t="shared" si="77"/>
        <v>0</v>
      </c>
      <c r="AF162" s="594"/>
      <c r="AG162" s="593"/>
      <c r="AH162" s="594">
        <f t="shared" si="78"/>
        <v>0</v>
      </c>
      <c r="AI162" s="605"/>
      <c r="AJ162" s="606">
        <f t="shared" si="79"/>
        <v>0</v>
      </c>
    </row>
    <row r="163" spans="1:36" s="276" customFormat="1" ht="20.25">
      <c r="A163" s="537"/>
      <c r="B163" s="550"/>
      <c r="C163" s="549"/>
      <c r="D163" s="544"/>
      <c r="E163" s="319"/>
      <c r="F163" s="320"/>
      <c r="G163" s="320"/>
      <c r="H163" s="321"/>
      <c r="I163" s="321"/>
      <c r="J163" s="320"/>
      <c r="K163" s="351"/>
      <c r="L163" s="352"/>
      <c r="M163" s="353"/>
      <c r="N163" s="321"/>
      <c r="O163" s="321"/>
      <c r="P163" s="582"/>
      <c r="Q163" s="321"/>
      <c r="R163" s="321"/>
      <c r="S163" s="321"/>
      <c r="T163" s="354"/>
      <c r="U163" s="352"/>
      <c r="V163" s="353"/>
      <c r="W163" s="321"/>
      <c r="X163" s="321"/>
      <c r="Y163" s="321"/>
      <c r="Z163" s="321"/>
      <c r="AA163" s="321"/>
      <c r="AB163" s="321"/>
      <c r="AC163" s="380"/>
      <c r="AD163" s="352"/>
      <c r="AE163" s="408">
        <f t="shared" si="77"/>
        <v>0</v>
      </c>
      <c r="AF163" s="409"/>
      <c r="AG163" s="408"/>
      <c r="AH163" s="409">
        <f t="shared" si="78"/>
        <v>0</v>
      </c>
      <c r="AI163" s="410"/>
      <c r="AJ163" s="411">
        <f t="shared" si="79"/>
        <v>0</v>
      </c>
    </row>
    <row r="164" spans="1:36" s="234" customFormat="1" ht="20.25">
      <c r="A164" s="537"/>
      <c r="B164" s="550"/>
      <c r="C164" s="549"/>
      <c r="D164" s="544"/>
      <c r="E164" s="541"/>
      <c r="F164" s="542"/>
      <c r="G164" s="542"/>
      <c r="H164" s="543"/>
      <c r="I164" s="543"/>
      <c r="J164" s="542"/>
      <c r="K164" s="579"/>
      <c r="L164" s="580"/>
      <c r="M164" s="581"/>
      <c r="N164" s="543"/>
      <c r="O164" s="543"/>
      <c r="P164" s="558"/>
      <c r="Q164" s="543"/>
      <c r="R164" s="543"/>
      <c r="S164" s="543"/>
      <c r="T164" s="587"/>
      <c r="U164" s="580"/>
      <c r="V164" s="581"/>
      <c r="W164" s="543"/>
      <c r="X164" s="543"/>
      <c r="Y164" s="543"/>
      <c r="Z164" s="543"/>
      <c r="AA164" s="543"/>
      <c r="AB164" s="543"/>
      <c r="AC164" s="592"/>
      <c r="AD164" s="580"/>
      <c r="AE164" s="593">
        <f t="shared" si="77"/>
        <v>0</v>
      </c>
      <c r="AF164" s="594"/>
      <c r="AG164" s="593"/>
      <c r="AH164" s="594">
        <f t="shared" si="78"/>
        <v>0</v>
      </c>
      <c r="AI164" s="605"/>
      <c r="AJ164" s="606">
        <f t="shared" si="79"/>
        <v>0</v>
      </c>
    </row>
    <row r="165" spans="1:36" s="276" customFormat="1" ht="20.25">
      <c r="A165" s="537"/>
      <c r="B165" s="550"/>
      <c r="C165" s="549"/>
      <c r="D165" s="544"/>
      <c r="E165" s="541"/>
      <c r="F165" s="542"/>
      <c r="G165" s="542"/>
      <c r="H165" s="543"/>
      <c r="I165" s="543"/>
      <c r="J165" s="542"/>
      <c r="K165" s="579"/>
      <c r="L165" s="580"/>
      <c r="M165" s="581"/>
      <c r="N165" s="543"/>
      <c r="O165" s="543"/>
      <c r="P165" s="558"/>
      <c r="Q165" s="543"/>
      <c r="R165" s="543"/>
      <c r="S165" s="543"/>
      <c r="T165" s="587"/>
      <c r="U165" s="580"/>
      <c r="V165" s="581"/>
      <c r="W165" s="543"/>
      <c r="X165" s="543"/>
      <c r="Y165" s="543"/>
      <c r="Z165" s="543"/>
      <c r="AA165" s="543"/>
      <c r="AB165" s="543"/>
      <c r="AC165" s="592"/>
      <c r="AD165" s="352"/>
      <c r="AE165" s="408">
        <f t="shared" si="77"/>
        <v>0</v>
      </c>
      <c r="AF165" s="409"/>
      <c r="AG165" s="408"/>
      <c r="AH165" s="409">
        <f t="shared" si="78"/>
        <v>0</v>
      </c>
      <c r="AI165" s="410"/>
      <c r="AJ165" s="411">
        <f t="shared" si="79"/>
        <v>0</v>
      </c>
    </row>
    <row r="166" spans="1:36" s="234" customFormat="1" ht="20.25">
      <c r="A166" s="537"/>
      <c r="B166" s="550"/>
      <c r="C166" s="549"/>
      <c r="D166" s="544"/>
      <c r="E166" s="541"/>
      <c r="F166" s="542"/>
      <c r="G166" s="542"/>
      <c r="H166" s="543"/>
      <c r="I166" s="543"/>
      <c r="J166" s="542"/>
      <c r="K166" s="579"/>
      <c r="L166" s="580"/>
      <c r="M166" s="581"/>
      <c r="N166" s="543"/>
      <c r="O166" s="543"/>
      <c r="P166" s="558"/>
      <c r="Q166" s="543"/>
      <c r="R166" s="543"/>
      <c r="S166" s="543"/>
      <c r="T166" s="587"/>
      <c r="U166" s="580"/>
      <c r="V166" s="581"/>
      <c r="W166" s="543"/>
      <c r="X166" s="543"/>
      <c r="Y166" s="543"/>
      <c r="Z166" s="543"/>
      <c r="AA166" s="543"/>
      <c r="AB166" s="543"/>
      <c r="AC166" s="592"/>
      <c r="AD166" s="580"/>
      <c r="AE166" s="593">
        <f t="shared" si="77"/>
        <v>0</v>
      </c>
      <c r="AF166" s="594"/>
      <c r="AG166" s="593"/>
      <c r="AH166" s="594">
        <f t="shared" si="78"/>
        <v>0</v>
      </c>
      <c r="AI166" s="605"/>
      <c r="AJ166" s="606">
        <f t="shared" si="79"/>
        <v>0</v>
      </c>
    </row>
    <row r="167" spans="1:36" s="234" customFormat="1" ht="20.25">
      <c r="A167" s="537"/>
      <c r="B167" s="550"/>
      <c r="C167" s="549"/>
      <c r="D167" s="544"/>
      <c r="E167" s="319"/>
      <c r="F167" s="320"/>
      <c r="G167" s="320"/>
      <c r="H167" s="321"/>
      <c r="I167" s="321"/>
      <c r="J167" s="320"/>
      <c r="K167" s="351"/>
      <c r="L167" s="352"/>
      <c r="M167" s="353"/>
      <c r="N167" s="321"/>
      <c r="O167" s="321"/>
      <c r="P167" s="321"/>
      <c r="Q167" s="321"/>
      <c r="R167" s="321"/>
      <c r="S167" s="321"/>
      <c r="T167" s="354"/>
      <c r="U167" s="352"/>
      <c r="V167" s="353"/>
      <c r="W167" s="321"/>
      <c r="X167" s="321"/>
      <c r="Y167" s="321"/>
      <c r="Z167" s="321"/>
      <c r="AA167" s="321"/>
      <c r="AB167" s="321"/>
      <c r="AC167" s="380"/>
      <c r="AD167" s="352"/>
      <c r="AE167" s="408">
        <f t="shared" si="77"/>
        <v>0</v>
      </c>
      <c r="AF167" s="409"/>
      <c r="AG167" s="408"/>
      <c r="AH167" s="409">
        <f t="shared" si="78"/>
        <v>0</v>
      </c>
      <c r="AI167" s="410"/>
      <c r="AJ167" s="411">
        <f t="shared" si="79"/>
        <v>0</v>
      </c>
    </row>
    <row r="168" spans="1:36" s="276" customFormat="1" ht="20.25">
      <c r="A168" s="537"/>
      <c r="B168" s="550"/>
      <c r="C168" s="549"/>
      <c r="D168" s="544"/>
      <c r="E168" s="319"/>
      <c r="F168" s="320"/>
      <c r="G168" s="320"/>
      <c r="H168" s="321"/>
      <c r="I168" s="321"/>
      <c r="J168" s="320"/>
      <c r="K168" s="351"/>
      <c r="L168" s="352"/>
      <c r="M168" s="353"/>
      <c r="N168" s="321"/>
      <c r="O168" s="321"/>
      <c r="P168" s="321"/>
      <c r="Q168" s="321"/>
      <c r="R168" s="321"/>
      <c r="S168" s="321"/>
      <c r="T168" s="354"/>
      <c r="U168" s="352"/>
      <c r="V168" s="353"/>
      <c r="W168" s="321"/>
      <c r="X168" s="321"/>
      <c r="Y168" s="321"/>
      <c r="Z168" s="321"/>
      <c r="AA168" s="321"/>
      <c r="AB168" s="321"/>
      <c r="AC168" s="380"/>
      <c r="AD168" s="352"/>
      <c r="AE168" s="408">
        <f t="shared" si="77"/>
        <v>0</v>
      </c>
      <c r="AF168" s="409"/>
      <c r="AG168" s="408"/>
      <c r="AH168" s="409">
        <f t="shared" si="78"/>
        <v>0</v>
      </c>
      <c r="AI168" s="410"/>
      <c r="AJ168" s="411">
        <f t="shared" si="79"/>
        <v>0</v>
      </c>
    </row>
    <row r="169" spans="1:36" s="234" customFormat="1" ht="20.25">
      <c r="A169" s="537"/>
      <c r="B169" s="550"/>
      <c r="C169" s="549"/>
      <c r="D169" s="544"/>
      <c r="E169" s="541"/>
      <c r="F169" s="542"/>
      <c r="G169" s="542"/>
      <c r="H169" s="543"/>
      <c r="I169" s="543"/>
      <c r="J169" s="542"/>
      <c r="K169" s="579"/>
      <c r="L169" s="580"/>
      <c r="M169" s="581"/>
      <c r="N169" s="543"/>
      <c r="O169" s="543"/>
      <c r="P169" s="543"/>
      <c r="Q169" s="543"/>
      <c r="R169" s="543"/>
      <c r="S169" s="543"/>
      <c r="T169" s="587"/>
      <c r="U169" s="580"/>
      <c r="V169" s="581"/>
      <c r="W169" s="543"/>
      <c r="X169" s="543"/>
      <c r="Y169" s="543"/>
      <c r="Z169" s="543"/>
      <c r="AA169" s="543"/>
      <c r="AB169" s="543"/>
      <c r="AC169" s="592"/>
      <c r="AD169" s="580"/>
      <c r="AE169" s="593">
        <f t="shared" ref="AE169" si="81">SUM(E169:AC169)</f>
        <v>0</v>
      </c>
      <c r="AF169" s="594"/>
      <c r="AG169" s="593"/>
      <c r="AH169" s="594">
        <f t="shared" si="78"/>
        <v>0</v>
      </c>
      <c r="AI169" s="605"/>
      <c r="AJ169" s="606">
        <f t="shared" si="79"/>
        <v>0</v>
      </c>
    </row>
    <row r="170" spans="1:36" s="276" customFormat="1" ht="20.25">
      <c r="A170" s="551"/>
      <c r="B170" s="563"/>
      <c r="C170" s="553"/>
      <c r="D170" s="544"/>
      <c r="E170" s="319"/>
      <c r="F170" s="320"/>
      <c r="G170" s="320"/>
      <c r="H170" s="321"/>
      <c r="I170" s="321"/>
      <c r="J170" s="320"/>
      <c r="K170" s="351"/>
      <c r="L170" s="352"/>
      <c r="M170" s="353"/>
      <c r="N170" s="321"/>
      <c r="O170" s="321"/>
      <c r="P170" s="321"/>
      <c r="Q170" s="321"/>
      <c r="R170" s="321"/>
      <c r="S170" s="321"/>
      <c r="T170" s="354"/>
      <c r="U170" s="352"/>
      <c r="V170" s="353"/>
      <c r="W170" s="321"/>
      <c r="X170" s="321"/>
      <c r="Y170" s="321"/>
      <c r="Z170" s="321"/>
      <c r="AA170" s="321"/>
      <c r="AB170" s="321"/>
      <c r="AC170" s="380"/>
      <c r="AD170" s="352"/>
      <c r="AE170" s="408">
        <f t="shared" si="77"/>
        <v>0</v>
      </c>
      <c r="AF170" s="409"/>
      <c r="AG170" s="408"/>
      <c r="AH170" s="409">
        <f t="shared" si="78"/>
        <v>0</v>
      </c>
      <c r="AI170" s="410"/>
      <c r="AJ170" s="411">
        <f t="shared" si="79"/>
        <v>0</v>
      </c>
    </row>
    <row r="171" spans="1:36" s="234" customFormat="1" ht="20.25">
      <c r="A171" s="537"/>
      <c r="B171" s="552"/>
      <c r="C171" s="553"/>
      <c r="D171" s="555"/>
      <c r="E171" s="541"/>
      <c r="F171" s="542"/>
      <c r="G171" s="542"/>
      <c r="H171" s="543"/>
      <c r="I171" s="543"/>
      <c r="J171" s="542"/>
      <c r="K171" s="579"/>
      <c r="L171" s="580"/>
      <c r="M171" s="581"/>
      <c r="N171" s="543"/>
      <c r="O171" s="543"/>
      <c r="P171" s="543"/>
      <c r="Q171" s="543"/>
      <c r="R171" s="543"/>
      <c r="S171" s="543"/>
      <c r="T171" s="587"/>
      <c r="U171" s="580"/>
      <c r="V171" s="581"/>
      <c r="W171" s="543"/>
      <c r="X171" s="543"/>
      <c r="Y171" s="543"/>
      <c r="Z171" s="543"/>
      <c r="AA171" s="543"/>
      <c r="AB171" s="543"/>
      <c r="AC171" s="592"/>
      <c r="AD171" s="580"/>
      <c r="AE171" s="593">
        <f t="shared" si="77"/>
        <v>0</v>
      </c>
      <c r="AF171" s="594"/>
      <c r="AG171" s="593"/>
      <c r="AH171" s="594">
        <f t="shared" si="78"/>
        <v>0</v>
      </c>
      <c r="AI171" s="605"/>
      <c r="AJ171" s="606">
        <f t="shared" si="79"/>
        <v>0</v>
      </c>
    </row>
    <row r="172" spans="1:36" s="276" customFormat="1" ht="20.25">
      <c r="A172" s="551"/>
      <c r="B172" s="552"/>
      <c r="C172" s="553"/>
      <c r="D172" s="544"/>
      <c r="E172" s="319"/>
      <c r="F172" s="320"/>
      <c r="G172" s="320"/>
      <c r="H172" s="321"/>
      <c r="I172" s="321"/>
      <c r="J172" s="320"/>
      <c r="K172" s="351"/>
      <c r="L172" s="352"/>
      <c r="M172" s="353"/>
      <c r="N172" s="321"/>
      <c r="O172" s="321"/>
      <c r="P172" s="321"/>
      <c r="Q172" s="321"/>
      <c r="R172" s="321"/>
      <c r="S172" s="321"/>
      <c r="T172" s="354"/>
      <c r="U172" s="352"/>
      <c r="V172" s="353"/>
      <c r="W172" s="321"/>
      <c r="X172" s="321"/>
      <c r="Y172" s="321"/>
      <c r="Z172" s="321"/>
      <c r="AA172" s="321"/>
      <c r="AB172" s="321"/>
      <c r="AC172" s="380"/>
      <c r="AD172" s="352"/>
      <c r="AE172" s="408">
        <f t="shared" si="77"/>
        <v>0</v>
      </c>
      <c r="AF172" s="409"/>
      <c r="AG172" s="408"/>
      <c r="AH172" s="409">
        <f t="shared" si="78"/>
        <v>0</v>
      </c>
      <c r="AI172" s="410"/>
      <c r="AJ172" s="411">
        <f t="shared" si="79"/>
        <v>0</v>
      </c>
    </row>
    <row r="173" spans="1:36" s="234" customFormat="1" ht="20.25">
      <c r="A173" s="551"/>
      <c r="B173" s="552"/>
      <c r="C173"/>
      <c r="D173" s="544"/>
      <c r="E173" s="541"/>
      <c r="F173" s="542"/>
      <c r="G173" s="542"/>
      <c r="H173" s="543"/>
      <c r="I173" s="543"/>
      <c r="J173" s="542"/>
      <c r="K173" s="579"/>
      <c r="L173" s="580"/>
      <c r="M173" s="581"/>
      <c r="N173" s="543"/>
      <c r="O173" s="543"/>
      <c r="P173" s="543"/>
      <c r="Q173" s="543"/>
      <c r="R173" s="543"/>
      <c r="S173" s="543"/>
      <c r="T173" s="587"/>
      <c r="U173" s="580"/>
      <c r="V173" s="581"/>
      <c r="W173" s="543"/>
      <c r="X173" s="543"/>
      <c r="Y173" s="543"/>
      <c r="Z173" s="543"/>
      <c r="AA173" s="543"/>
      <c r="AB173" s="543"/>
      <c r="AC173" s="592"/>
      <c r="AD173" s="580"/>
      <c r="AE173" s="593">
        <f t="shared" si="77"/>
        <v>0</v>
      </c>
      <c r="AF173" s="594"/>
      <c r="AG173" s="593"/>
      <c r="AH173" s="594">
        <f t="shared" si="78"/>
        <v>0</v>
      </c>
      <c r="AI173" s="605"/>
      <c r="AJ173" s="606">
        <f t="shared" si="79"/>
        <v>0</v>
      </c>
    </row>
    <row r="174" spans="1:36" s="276" customFormat="1" ht="20.25">
      <c r="A174" s="551"/>
      <c r="B174" s="552"/>
      <c r="C174" s="553"/>
      <c r="D174" s="544"/>
      <c r="E174" s="319"/>
      <c r="F174" s="320"/>
      <c r="G174" s="320"/>
      <c r="H174" s="321"/>
      <c r="I174" s="321"/>
      <c r="J174" s="320"/>
      <c r="K174" s="351"/>
      <c r="L174" s="352"/>
      <c r="M174" s="353"/>
      <c r="N174" s="321"/>
      <c r="O174" s="321"/>
      <c r="P174" s="321"/>
      <c r="Q174" s="321"/>
      <c r="R174" s="321"/>
      <c r="S174" s="321"/>
      <c r="T174" s="354"/>
      <c r="U174" s="352"/>
      <c r="V174" s="353"/>
      <c r="W174" s="321"/>
      <c r="X174" s="321"/>
      <c r="Y174" s="321"/>
      <c r="Z174" s="321"/>
      <c r="AA174" s="321"/>
      <c r="AB174" s="321"/>
      <c r="AC174" s="380"/>
      <c r="AD174" s="352"/>
      <c r="AE174" s="408">
        <f t="shared" si="77"/>
        <v>0</v>
      </c>
      <c r="AF174" s="409"/>
      <c r="AG174" s="408"/>
      <c r="AH174" s="409">
        <f t="shared" si="78"/>
        <v>0</v>
      </c>
      <c r="AI174" s="410"/>
      <c r="AJ174" s="411">
        <f t="shared" si="79"/>
        <v>0</v>
      </c>
    </row>
    <row r="175" spans="1:36" s="234" customFormat="1" ht="20.25">
      <c r="A175" s="537"/>
      <c r="B175" s="550"/>
      <c r="C175" s="549"/>
      <c r="D175" s="544"/>
      <c r="E175" s="541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/>
      <c r="P175" s="543"/>
      <c r="Q175" s="543"/>
      <c r="R175" s="543"/>
      <c r="S175" s="543"/>
      <c r="T175" s="587"/>
      <c r="U175" s="580"/>
      <c r="V175" s="581"/>
      <c r="W175" s="543"/>
      <c r="X175" s="543"/>
      <c r="Y175" s="543"/>
      <c r="Z175" s="543"/>
      <c r="AA175" s="543"/>
      <c r="AB175" s="543"/>
      <c r="AC175" s="592"/>
      <c r="AD175" s="580"/>
      <c r="AE175" s="593">
        <f t="shared" si="77"/>
        <v>0</v>
      </c>
      <c r="AF175" s="594"/>
      <c r="AG175" s="593"/>
      <c r="AH175" s="594">
        <f t="shared" si="78"/>
        <v>0</v>
      </c>
      <c r="AI175" s="605"/>
      <c r="AJ175" s="606">
        <f t="shared" si="79"/>
        <v>0</v>
      </c>
    </row>
    <row r="176" spans="1:36" s="276" customFormat="1" ht="20.25">
      <c r="A176" s="537"/>
      <c r="B176" s="550"/>
      <c r="C176" s="549"/>
      <c r="D176" s="544"/>
      <c r="E176" s="319"/>
      <c r="F176" s="320"/>
      <c r="G176" s="320"/>
      <c r="H176" s="321"/>
      <c r="I176" s="321"/>
      <c r="J176" s="320"/>
      <c r="K176" s="351"/>
      <c r="L176" s="352"/>
      <c r="M176" s="353"/>
      <c r="N176" s="321"/>
      <c r="O176" s="321"/>
      <c r="P176" s="321"/>
      <c r="Q176" s="321"/>
      <c r="R176" s="321"/>
      <c r="S176" s="321"/>
      <c r="T176" s="354"/>
      <c r="U176" s="352"/>
      <c r="V176" s="353"/>
      <c r="W176" s="321"/>
      <c r="X176" s="321"/>
      <c r="Y176" s="321"/>
      <c r="Z176" s="321"/>
      <c r="AA176" s="321"/>
      <c r="AB176" s="321"/>
      <c r="AC176" s="380"/>
      <c r="AD176" s="352"/>
      <c r="AE176" s="408">
        <f t="shared" si="77"/>
        <v>0</v>
      </c>
      <c r="AF176" s="409"/>
      <c r="AG176" s="408"/>
      <c r="AH176" s="409">
        <f t="shared" si="78"/>
        <v>0</v>
      </c>
      <c r="AI176" s="410"/>
      <c r="AJ176" s="411">
        <f t="shared" si="79"/>
        <v>0</v>
      </c>
    </row>
    <row r="177" spans="1:36" s="234" customFormat="1" ht="20.25">
      <c r="A177" s="551"/>
      <c r="B177" s="552"/>
      <c r="C177" s="553"/>
      <c r="D177" s="544"/>
      <c r="E177" s="541"/>
      <c r="F177" s="542"/>
      <c r="G177" s="542"/>
      <c r="H177" s="543"/>
      <c r="I177" s="543"/>
      <c r="J177" s="542"/>
      <c r="K177" s="579"/>
      <c r="L177" s="580"/>
      <c r="M177" s="581"/>
      <c r="N177" s="543"/>
      <c r="O177" s="543"/>
      <c r="P177" s="543"/>
      <c r="Q177" s="543"/>
      <c r="R177" s="543"/>
      <c r="S177" s="543"/>
      <c r="T177" s="587"/>
      <c r="U177" s="580"/>
      <c r="V177" s="581"/>
      <c r="W177" s="543"/>
      <c r="X177" s="543"/>
      <c r="Y177" s="543"/>
      <c r="Z177" s="543"/>
      <c r="AA177" s="543"/>
      <c r="AB177" s="543"/>
      <c r="AC177" s="592"/>
      <c r="AD177" s="580"/>
      <c r="AE177" s="593">
        <f t="shared" si="77"/>
        <v>0</v>
      </c>
      <c r="AF177" s="594"/>
      <c r="AG177" s="593"/>
      <c r="AH177" s="594">
        <f t="shared" si="78"/>
        <v>0</v>
      </c>
      <c r="AI177" s="605"/>
      <c r="AJ177" s="606">
        <f t="shared" si="79"/>
        <v>0</v>
      </c>
    </row>
    <row r="178" spans="1:36" s="234" customFormat="1" ht="20.25">
      <c r="A178" s="551"/>
      <c r="B178" s="552"/>
      <c r="C178" s="553"/>
      <c r="D178" s="544"/>
      <c r="E178" s="319"/>
      <c r="F178" s="320"/>
      <c r="G178" s="320"/>
      <c r="H178" s="321"/>
      <c r="I178" s="321"/>
      <c r="J178" s="320"/>
      <c r="K178" s="351"/>
      <c r="L178" s="352"/>
      <c r="M178" s="353"/>
      <c r="N178" s="321"/>
      <c r="O178" s="321"/>
      <c r="P178" s="321"/>
      <c r="Q178" s="321"/>
      <c r="R178" s="321"/>
      <c r="S178" s="321"/>
      <c r="T178" s="354"/>
      <c r="U178" s="352"/>
      <c r="V178" s="353"/>
      <c r="W178" s="321"/>
      <c r="X178" s="321"/>
      <c r="Y178" s="321"/>
      <c r="Z178" s="321"/>
      <c r="AA178" s="321"/>
      <c r="AB178" s="321"/>
      <c r="AC178" s="380"/>
      <c r="AD178" s="352"/>
      <c r="AE178" s="408">
        <f t="shared" si="77"/>
        <v>0</v>
      </c>
      <c r="AF178" s="409"/>
      <c r="AG178" s="408"/>
      <c r="AH178" s="409">
        <f t="shared" si="78"/>
        <v>0</v>
      </c>
      <c r="AI178" s="410"/>
      <c r="AJ178" s="411">
        <f t="shared" si="79"/>
        <v>0</v>
      </c>
    </row>
    <row r="179" spans="1:36" s="276" customFormat="1" ht="20.25">
      <c r="A179" s="551"/>
      <c r="B179" s="552"/>
      <c r="C179" s="553"/>
      <c r="D179" s="544"/>
      <c r="E179" s="319"/>
      <c r="F179" s="320"/>
      <c r="G179" s="320"/>
      <c r="H179" s="321"/>
      <c r="I179" s="321"/>
      <c r="J179" s="320"/>
      <c r="K179" s="351"/>
      <c r="L179" s="352"/>
      <c r="M179" s="353"/>
      <c r="N179" s="321"/>
      <c r="O179" s="321"/>
      <c r="P179" s="321"/>
      <c r="Q179" s="321"/>
      <c r="R179" s="321"/>
      <c r="S179" s="321"/>
      <c r="T179" s="354"/>
      <c r="U179" s="352"/>
      <c r="V179" s="353"/>
      <c r="W179" s="321"/>
      <c r="X179" s="321"/>
      <c r="Y179" s="321"/>
      <c r="Z179" s="543"/>
      <c r="AA179" s="321"/>
      <c r="AB179" s="321"/>
      <c r="AC179" s="380"/>
      <c r="AD179" s="352"/>
      <c r="AE179" s="408">
        <f t="shared" si="77"/>
        <v>0</v>
      </c>
      <c r="AF179" s="409"/>
      <c r="AG179" s="408"/>
      <c r="AH179" s="409">
        <f t="shared" si="78"/>
        <v>0</v>
      </c>
      <c r="AI179" s="410"/>
      <c r="AJ179" s="411">
        <f t="shared" si="79"/>
        <v>0</v>
      </c>
    </row>
    <row r="180" spans="1:36" s="234" customFormat="1" ht="20.25">
      <c r="A180" s="551"/>
      <c r="B180" s="552"/>
      <c r="C180" s="553"/>
      <c r="D180" s="544"/>
      <c r="E180" s="541"/>
      <c r="F180" s="542"/>
      <c r="G180" s="542"/>
      <c r="H180" s="543"/>
      <c r="I180" s="543"/>
      <c r="J180" s="542"/>
      <c r="K180" s="579"/>
      <c r="L180" s="580"/>
      <c r="M180" s="581"/>
      <c r="N180" s="543"/>
      <c r="O180" s="543"/>
      <c r="P180" s="543"/>
      <c r="Q180" s="543"/>
      <c r="R180" s="543"/>
      <c r="S180" s="543"/>
      <c r="T180" s="587"/>
      <c r="U180" s="580"/>
      <c r="V180" s="581"/>
      <c r="W180" s="543"/>
      <c r="X180" s="543"/>
      <c r="Y180" s="543"/>
      <c r="Z180" s="543"/>
      <c r="AA180" s="543"/>
      <c r="AB180" s="543"/>
      <c r="AC180" s="592"/>
      <c r="AD180" s="580"/>
      <c r="AE180" s="593">
        <f t="shared" si="77"/>
        <v>0</v>
      </c>
      <c r="AF180" s="594"/>
      <c r="AG180" s="593"/>
      <c r="AH180" s="594">
        <f t="shared" si="78"/>
        <v>0</v>
      </c>
      <c r="AI180" s="605"/>
      <c r="AJ180" s="606">
        <f t="shared" si="79"/>
        <v>0</v>
      </c>
    </row>
    <row r="181" spans="1:36" s="276" customFormat="1" ht="20.25">
      <c r="A181" s="551"/>
      <c r="B181" s="552"/>
      <c r="C181" s="553"/>
      <c r="D181" s="544"/>
      <c r="E181" s="319"/>
      <c r="F181" s="320"/>
      <c r="G181" s="320"/>
      <c r="H181" s="321"/>
      <c r="I181" s="321"/>
      <c r="J181" s="320"/>
      <c r="K181" s="351"/>
      <c r="L181" s="352"/>
      <c r="M181" s="353"/>
      <c r="N181" s="321"/>
      <c r="O181" s="321"/>
      <c r="P181" s="321"/>
      <c r="Q181" s="321"/>
      <c r="R181" s="321"/>
      <c r="S181" s="321"/>
      <c r="T181" s="354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408">
        <f t="shared" si="77"/>
        <v>0</v>
      </c>
      <c r="AF181" s="409"/>
      <c r="AG181" s="408"/>
      <c r="AH181" s="409">
        <f t="shared" si="78"/>
        <v>0</v>
      </c>
      <c r="AI181" s="410"/>
      <c r="AJ181" s="411">
        <f t="shared" si="79"/>
        <v>0</v>
      </c>
    </row>
    <row r="182" spans="1:36" s="234" customFormat="1" ht="20.25">
      <c r="A182" s="537"/>
      <c r="B182" s="550"/>
      <c r="C182" s="549"/>
      <c r="D182" s="544"/>
      <c r="E182" s="541"/>
      <c r="F182" s="542"/>
      <c r="G182" s="542"/>
      <c r="H182" s="543"/>
      <c r="I182" s="543"/>
      <c r="J182" s="542"/>
      <c r="K182" s="579"/>
      <c r="L182" s="580"/>
      <c r="M182" s="581"/>
      <c r="N182" s="543"/>
      <c r="O182" s="543"/>
      <c r="P182" s="543"/>
      <c r="Q182" s="543"/>
      <c r="R182" s="543"/>
      <c r="S182" s="543"/>
      <c r="T182" s="587"/>
      <c r="U182" s="580"/>
      <c r="V182" s="581"/>
      <c r="W182" s="543"/>
      <c r="X182" s="543"/>
      <c r="Y182" s="543"/>
      <c r="Z182" s="543"/>
      <c r="AA182" s="543"/>
      <c r="AB182" s="543"/>
      <c r="AC182" s="592"/>
      <c r="AD182" s="580"/>
      <c r="AE182" s="593">
        <f t="shared" si="77"/>
        <v>0</v>
      </c>
      <c r="AF182" s="594"/>
      <c r="AG182" s="593"/>
      <c r="AH182" s="594">
        <f t="shared" si="78"/>
        <v>0</v>
      </c>
      <c r="AI182" s="605"/>
      <c r="AJ182" s="606">
        <f t="shared" si="79"/>
        <v>0</v>
      </c>
    </row>
    <row r="183" spans="1:36" s="276" customFormat="1" ht="20.25">
      <c r="A183" s="537"/>
      <c r="B183" s="550"/>
      <c r="C183" s="549"/>
      <c r="D183" s="544"/>
      <c r="E183" s="319"/>
      <c r="F183" s="320"/>
      <c r="G183" s="320"/>
      <c r="H183" s="321"/>
      <c r="I183" s="321"/>
      <c r="J183" s="320"/>
      <c r="K183" s="351"/>
      <c r="L183" s="352"/>
      <c r="M183" s="353"/>
      <c r="N183" s="321"/>
      <c r="O183" s="321"/>
      <c r="P183" s="321"/>
      <c r="Q183" s="321"/>
      <c r="R183" s="321"/>
      <c r="S183" s="321"/>
      <c r="T183" s="354"/>
      <c r="U183" s="352"/>
      <c r="V183" s="353"/>
      <c r="W183" s="321"/>
      <c r="X183" s="321"/>
      <c r="Y183" s="321"/>
      <c r="Z183" s="321"/>
      <c r="AA183" s="321"/>
      <c r="AB183" s="321"/>
      <c r="AC183" s="380"/>
      <c r="AD183" s="352"/>
      <c r="AE183" s="408">
        <f t="shared" si="77"/>
        <v>0</v>
      </c>
      <c r="AF183" s="409"/>
      <c r="AG183" s="408"/>
      <c r="AH183" s="409">
        <f t="shared" si="78"/>
        <v>0</v>
      </c>
      <c r="AI183" s="410"/>
      <c r="AJ183" s="411">
        <f t="shared" si="79"/>
        <v>0</v>
      </c>
    </row>
    <row r="184" spans="1:36" s="234" customFormat="1" ht="20.25">
      <c r="A184" s="537"/>
      <c r="B184" s="550"/>
      <c r="C184" s="549"/>
      <c r="D184" s="544"/>
      <c r="E184" s="541"/>
      <c r="F184" s="542"/>
      <c r="G184" s="542"/>
      <c r="H184" s="543"/>
      <c r="I184" s="543"/>
      <c r="J184" s="542"/>
      <c r="K184" s="579"/>
      <c r="L184" s="580"/>
      <c r="M184" s="581"/>
      <c r="N184" s="543"/>
      <c r="O184" s="543"/>
      <c r="P184" s="543"/>
      <c r="Q184" s="543"/>
      <c r="R184" s="543"/>
      <c r="S184" s="543"/>
      <c r="T184" s="587"/>
      <c r="U184" s="580"/>
      <c r="V184" s="581"/>
      <c r="W184" s="543"/>
      <c r="X184" s="543"/>
      <c r="Y184" s="543"/>
      <c r="Z184" s="543"/>
      <c r="AA184" s="543"/>
      <c r="AB184" s="543"/>
      <c r="AC184" s="592"/>
      <c r="AD184" s="580"/>
      <c r="AE184" s="593">
        <f t="shared" si="77"/>
        <v>0</v>
      </c>
      <c r="AF184" s="594"/>
      <c r="AG184" s="593"/>
      <c r="AH184" s="594">
        <f t="shared" si="78"/>
        <v>0</v>
      </c>
      <c r="AI184" s="605"/>
      <c r="AJ184" s="606">
        <f t="shared" si="79"/>
        <v>0</v>
      </c>
    </row>
    <row r="185" spans="1:36" s="276" customFormat="1" ht="20.25">
      <c r="A185" s="537"/>
      <c r="B185" s="550"/>
      <c r="C185" s="549"/>
      <c r="D185" s="544"/>
      <c r="E185" s="319"/>
      <c r="F185" s="320"/>
      <c r="G185" s="320"/>
      <c r="H185" s="321"/>
      <c r="I185" s="321"/>
      <c r="J185" s="320"/>
      <c r="K185" s="351"/>
      <c r="L185" s="352"/>
      <c r="M185" s="353"/>
      <c r="N185" s="321"/>
      <c r="O185" s="321"/>
      <c r="P185" s="321"/>
      <c r="Q185" s="321"/>
      <c r="R185" s="321"/>
      <c r="S185" s="321"/>
      <c r="T185" s="354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si="77"/>
        <v>0</v>
      </c>
      <c r="AF185" s="409"/>
      <c r="AG185" s="408"/>
      <c r="AH185" s="409">
        <f t="shared" si="78"/>
        <v>0</v>
      </c>
      <c r="AI185" s="410"/>
      <c r="AJ185" s="411">
        <f t="shared" si="79"/>
        <v>0</v>
      </c>
    </row>
    <row r="186" spans="1:36" s="234" customFormat="1" ht="20.25">
      <c r="A186" s="564"/>
      <c r="B186" s="565"/>
      <c r="C186" s="565"/>
      <c r="D186" s="566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77"/>
        <v>0</v>
      </c>
      <c r="AF186" s="594"/>
      <c r="AG186" s="593"/>
      <c r="AH186" s="594">
        <f t="shared" si="78"/>
        <v>0</v>
      </c>
      <c r="AI186" s="605"/>
      <c r="AJ186" s="606">
        <f t="shared" si="79"/>
        <v>0</v>
      </c>
    </row>
    <row r="187" spans="1:36" s="234" customFormat="1" ht="20.25">
      <c r="A187" s="316"/>
      <c r="B187" s="570"/>
      <c r="C187" s="570"/>
      <c r="D187" s="571"/>
      <c r="E187" s="319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77"/>
        <v>0</v>
      </c>
      <c r="AF187" s="409"/>
      <c r="AG187" s="408"/>
      <c r="AH187" s="409">
        <f t="shared" si="78"/>
        <v>0</v>
      </c>
      <c r="AI187" s="410"/>
      <c r="AJ187" s="411">
        <f t="shared" si="79"/>
        <v>0</v>
      </c>
    </row>
    <row r="188" spans="1:36" s="276" customFormat="1" ht="20.25">
      <c r="A188" s="316"/>
      <c r="B188" s="570"/>
      <c r="C188" s="570"/>
      <c r="D188" s="571"/>
      <c r="E188" s="319"/>
      <c r="F188" s="320"/>
      <c r="G188" s="320"/>
      <c r="H188" s="321"/>
      <c r="I188" s="321"/>
      <c r="J188" s="320"/>
      <c r="K188" s="351"/>
      <c r="L188" s="352"/>
      <c r="M188" s="353"/>
      <c r="N188" s="321"/>
      <c r="O188" s="321"/>
      <c r="P188" s="321"/>
      <c r="Q188" s="321"/>
      <c r="R188" s="321"/>
      <c r="S188" s="321"/>
      <c r="T188" s="354"/>
      <c r="U188" s="352"/>
      <c r="V188" s="353"/>
      <c r="W188" s="321"/>
      <c r="X188" s="321"/>
      <c r="Y188" s="321"/>
      <c r="Z188" s="321"/>
      <c r="AA188" s="321"/>
      <c r="AB188" s="321"/>
      <c r="AC188" s="380"/>
      <c r="AD188" s="352"/>
      <c r="AE188" s="408">
        <f t="shared" si="77"/>
        <v>0</v>
      </c>
      <c r="AF188" s="409"/>
      <c r="AG188" s="408"/>
      <c r="AH188" s="409">
        <f t="shared" si="78"/>
        <v>0</v>
      </c>
      <c r="AI188" s="410"/>
      <c r="AJ188" s="411">
        <f t="shared" si="79"/>
        <v>0</v>
      </c>
    </row>
    <row r="189" spans="1:36" s="276" customFormat="1" ht="20.25">
      <c r="A189" s="564"/>
      <c r="B189" s="565"/>
      <c r="C189" s="565"/>
      <c r="D189" s="566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77"/>
        <v>0</v>
      </c>
      <c r="AF189" s="594"/>
      <c r="AG189" s="593"/>
      <c r="AH189" s="594">
        <f t="shared" si="78"/>
        <v>0</v>
      </c>
      <c r="AI189" s="605"/>
      <c r="AJ189" s="606">
        <f t="shared" si="79"/>
        <v>0</v>
      </c>
    </row>
    <row r="190" spans="1:36" s="234" customFormat="1" ht="20.25">
      <c r="A190" s="564"/>
      <c r="B190" s="565"/>
      <c r="C190" s="565"/>
      <c r="D190" s="566"/>
      <c r="E190" s="541"/>
      <c r="F190" s="542"/>
      <c r="G190" s="542"/>
      <c r="H190" s="543"/>
      <c r="I190" s="543"/>
      <c r="J190" s="542"/>
      <c r="K190" s="579"/>
      <c r="L190" s="580"/>
      <c r="M190" s="581"/>
      <c r="N190" s="543"/>
      <c r="O190" s="543"/>
      <c r="P190" s="543"/>
      <c r="Q190" s="543"/>
      <c r="R190" s="543"/>
      <c r="S190" s="543"/>
      <c r="T190" s="587"/>
      <c r="U190" s="580"/>
      <c r="V190" s="581"/>
      <c r="W190" s="543"/>
      <c r="X190" s="543"/>
      <c r="Y190" s="543"/>
      <c r="Z190" s="543"/>
      <c r="AA190" s="543"/>
      <c r="AB190" s="543"/>
      <c r="AC190" s="592"/>
      <c r="AD190" s="580"/>
      <c r="AE190" s="593">
        <f t="shared" si="77"/>
        <v>0</v>
      </c>
      <c r="AF190" s="594"/>
      <c r="AG190" s="593"/>
      <c r="AH190" s="594">
        <f t="shared" si="78"/>
        <v>0</v>
      </c>
      <c r="AI190" s="605"/>
      <c r="AJ190" s="606">
        <f t="shared" si="79"/>
        <v>0</v>
      </c>
    </row>
    <row r="191" spans="1:36" s="276" customFormat="1" ht="20.25">
      <c r="A191" s="316"/>
      <c r="B191" s="570"/>
      <c r="C191" s="570"/>
      <c r="D191" s="571"/>
      <c r="E191" s="319"/>
      <c r="F191" s="320"/>
      <c r="G191" s="320"/>
      <c r="H191" s="321"/>
      <c r="I191" s="321"/>
      <c r="J191" s="320"/>
      <c r="K191" s="351"/>
      <c r="L191" s="352"/>
      <c r="M191" s="353"/>
      <c r="N191" s="321"/>
      <c r="O191" s="321"/>
      <c r="P191" s="321"/>
      <c r="Q191" s="321"/>
      <c r="R191" s="321"/>
      <c r="S191" s="321"/>
      <c r="T191" s="354"/>
      <c r="U191" s="352"/>
      <c r="V191" s="353"/>
      <c r="W191" s="321"/>
      <c r="X191" s="321"/>
      <c r="Y191" s="321"/>
      <c r="Z191" s="321"/>
      <c r="AA191" s="321"/>
      <c r="AB191" s="321"/>
      <c r="AC191" s="380"/>
      <c r="AD191" s="352"/>
      <c r="AE191" s="593">
        <f t="shared" si="77"/>
        <v>0</v>
      </c>
      <c r="AF191" s="409"/>
      <c r="AG191" s="408"/>
      <c r="AH191" s="409">
        <f t="shared" si="78"/>
        <v>0</v>
      </c>
      <c r="AI191" s="410"/>
      <c r="AJ191" s="411">
        <f t="shared" si="79"/>
        <v>0</v>
      </c>
    </row>
    <row r="192" spans="1:36" s="276" customFormat="1" ht="20.25">
      <c r="A192" s="564"/>
      <c r="B192" s="565"/>
      <c r="C192" s="565"/>
      <c r="D192" s="566"/>
      <c r="E192" s="541"/>
      <c r="F192" s="542"/>
      <c r="G192" s="542"/>
      <c r="H192" s="543"/>
      <c r="I192" s="543"/>
      <c r="J192" s="542"/>
      <c r="K192" s="579"/>
      <c r="L192" s="580"/>
      <c r="M192" s="581"/>
      <c r="N192" s="543"/>
      <c r="O192" s="543"/>
      <c r="P192" s="543"/>
      <c r="Q192" s="543"/>
      <c r="R192" s="543"/>
      <c r="S192" s="543"/>
      <c r="T192" s="587"/>
      <c r="U192" s="580"/>
      <c r="V192" s="581"/>
      <c r="W192" s="543"/>
      <c r="X192" s="543"/>
      <c r="Y192" s="543"/>
      <c r="Z192" s="543"/>
      <c r="AA192" s="543"/>
      <c r="AB192" s="543"/>
      <c r="AC192" s="592"/>
      <c r="AD192" s="580"/>
      <c r="AE192" s="593">
        <f t="shared" ref="AE192:AE211" si="82">SUM(E192:AC192)</f>
        <v>0</v>
      </c>
      <c r="AF192" s="594"/>
      <c r="AG192" s="593"/>
      <c r="AH192" s="594">
        <f t="shared" si="78"/>
        <v>0</v>
      </c>
      <c r="AI192" s="605"/>
      <c r="AJ192" s="606">
        <f t="shared" si="79"/>
        <v>0</v>
      </c>
    </row>
    <row r="193" spans="1:36" s="234" customFormat="1" ht="20.25">
      <c r="A193" s="564"/>
      <c r="B193" s="565"/>
      <c r="C193" s="565"/>
      <c r="D193" s="566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58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si="82"/>
        <v>0</v>
      </c>
      <c r="AF193" s="594"/>
      <c r="AG193" s="593"/>
      <c r="AH193" s="594">
        <f t="shared" si="78"/>
        <v>0</v>
      </c>
      <c r="AI193" s="605"/>
      <c r="AJ193" s="606">
        <f t="shared" si="79"/>
        <v>0</v>
      </c>
    </row>
    <row r="194" spans="1:36" s="276" customFormat="1" ht="20.25">
      <c r="A194" s="316"/>
      <c r="B194" s="570"/>
      <c r="C194" s="570"/>
      <c r="D194" s="571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82"/>
        <v>0</v>
      </c>
      <c r="AF194" s="409"/>
      <c r="AG194" s="408"/>
      <c r="AH194" s="409">
        <f t="shared" si="78"/>
        <v>0</v>
      </c>
      <c r="AI194" s="410"/>
      <c r="AJ194" s="411">
        <f t="shared" si="79"/>
        <v>0</v>
      </c>
    </row>
    <row r="195" spans="1:36" s="276" customFormat="1" ht="20.25">
      <c r="A195" s="564"/>
      <c r="B195" s="565"/>
      <c r="C195" s="565"/>
      <c r="D195" s="566"/>
      <c r="E195" s="541"/>
      <c r="F195" s="542"/>
      <c r="G195" s="542"/>
      <c r="H195" s="543"/>
      <c r="I195" s="543"/>
      <c r="J195" s="542"/>
      <c r="K195" s="579"/>
      <c r="L195" s="580"/>
      <c r="M195" s="581"/>
      <c r="N195" s="543"/>
      <c r="O195" s="543"/>
      <c r="P195" s="543"/>
      <c r="Q195" s="543"/>
      <c r="R195" s="543"/>
      <c r="S195" s="543"/>
      <c r="T195" s="587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82"/>
        <v>0</v>
      </c>
      <c r="AF195" s="594"/>
      <c r="AG195" s="593"/>
      <c r="AH195" s="594">
        <f t="shared" si="78"/>
        <v>0</v>
      </c>
      <c r="AI195" s="605"/>
      <c r="AJ195" s="606">
        <f t="shared" si="79"/>
        <v>0</v>
      </c>
    </row>
    <row r="196" spans="1:36" s="234" customFormat="1" ht="20.25">
      <c r="A196" s="564"/>
      <c r="B196" s="565"/>
      <c r="C196" s="565"/>
      <c r="D196" s="566"/>
      <c r="E196" s="541"/>
      <c r="F196" s="542"/>
      <c r="G196" s="542"/>
      <c r="H196" s="543"/>
      <c r="I196" s="543"/>
      <c r="J196" s="542"/>
      <c r="K196" s="579"/>
      <c r="L196" s="580"/>
      <c r="M196" s="581"/>
      <c r="N196" s="543"/>
      <c r="O196" s="543"/>
      <c r="P196" s="543"/>
      <c r="Q196" s="543"/>
      <c r="R196" s="543"/>
      <c r="S196" s="543"/>
      <c r="T196" s="587"/>
      <c r="U196" s="580"/>
      <c r="V196" s="581"/>
      <c r="W196" s="543"/>
      <c r="X196" s="543"/>
      <c r="Y196" s="543"/>
      <c r="Z196" s="543"/>
      <c r="AA196" s="543"/>
      <c r="AB196" s="543"/>
      <c r="AC196" s="592"/>
      <c r="AD196" s="580"/>
      <c r="AE196" s="593">
        <f t="shared" si="82"/>
        <v>0</v>
      </c>
      <c r="AF196" s="594"/>
      <c r="AG196" s="593"/>
      <c r="AH196" s="594">
        <f t="shared" si="78"/>
        <v>0</v>
      </c>
      <c r="AI196" s="605"/>
      <c r="AJ196" s="606">
        <f t="shared" si="79"/>
        <v>0</v>
      </c>
    </row>
    <row r="197" spans="1:36" s="276" customFormat="1" ht="20.25">
      <c r="A197" s="316"/>
      <c r="B197" s="570"/>
      <c r="C197" s="570"/>
      <c r="D197" s="571"/>
      <c r="E197" s="319"/>
      <c r="F197" s="320"/>
      <c r="G197" s="320"/>
      <c r="H197" s="321"/>
      <c r="I197" s="321"/>
      <c r="J197" s="320"/>
      <c r="K197" s="351"/>
      <c r="L197" s="352"/>
      <c r="M197" s="353"/>
      <c r="N197" s="321"/>
      <c r="O197" s="321"/>
      <c r="P197" s="321"/>
      <c r="Q197" s="321"/>
      <c r="R197" s="321"/>
      <c r="S197" s="321"/>
      <c r="T197" s="354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si="82"/>
        <v>0</v>
      </c>
      <c r="AF197" s="409"/>
      <c r="AG197" s="408"/>
      <c r="AH197" s="409">
        <f t="shared" si="78"/>
        <v>0</v>
      </c>
      <c r="AI197" s="410"/>
      <c r="AJ197" s="411">
        <f t="shared" si="79"/>
        <v>0</v>
      </c>
    </row>
    <row r="198" spans="1:36" s="234" customFormat="1" ht="20.25">
      <c r="A198" s="564"/>
      <c r="B198" s="565"/>
      <c r="C198" s="565"/>
      <c r="D198" s="566"/>
      <c r="E198" s="541"/>
      <c r="F198" s="542"/>
      <c r="G198" s="542"/>
      <c r="H198" s="543"/>
      <c r="I198" s="543"/>
      <c r="J198" s="542"/>
      <c r="K198" s="579"/>
      <c r="L198" s="580"/>
      <c r="M198" s="581"/>
      <c r="N198" s="543"/>
      <c r="O198" s="543"/>
      <c r="P198" s="543"/>
      <c r="Q198" s="543"/>
      <c r="R198" s="543"/>
      <c r="S198" s="543"/>
      <c r="T198" s="587"/>
      <c r="U198" s="580"/>
      <c r="V198" s="581"/>
      <c r="W198" s="543"/>
      <c r="X198" s="543"/>
      <c r="Y198" s="543"/>
      <c r="Z198" s="543"/>
      <c r="AA198" s="543"/>
      <c r="AB198" s="543"/>
      <c r="AC198" s="592"/>
      <c r="AD198" s="580"/>
      <c r="AE198" s="593">
        <f t="shared" si="82"/>
        <v>0</v>
      </c>
      <c r="AF198" s="594"/>
      <c r="AG198" s="593"/>
      <c r="AH198" s="594">
        <f t="shared" si="78"/>
        <v>0</v>
      </c>
      <c r="AI198" s="605"/>
      <c r="AJ198" s="606">
        <f t="shared" si="79"/>
        <v>0</v>
      </c>
    </row>
    <row r="199" spans="1:36" s="276" customFormat="1" ht="20.25">
      <c r="A199" s="316"/>
      <c r="B199" s="570"/>
      <c r="C199" s="570"/>
      <c r="D199" s="571"/>
      <c r="E199" s="319"/>
      <c r="F199" s="320"/>
      <c r="G199" s="320"/>
      <c r="H199" s="321"/>
      <c r="I199" s="321"/>
      <c r="J199" s="320"/>
      <c r="K199" s="351"/>
      <c r="L199" s="352"/>
      <c r="M199" s="353"/>
      <c r="N199" s="321"/>
      <c r="O199" s="321"/>
      <c r="P199" s="321"/>
      <c r="Q199" s="321"/>
      <c r="R199" s="321"/>
      <c r="S199" s="321"/>
      <c r="T199" s="354"/>
      <c r="U199" s="352"/>
      <c r="V199" s="353"/>
      <c r="W199" s="321"/>
      <c r="X199" s="321"/>
      <c r="Y199" s="321"/>
      <c r="Z199" s="321"/>
      <c r="AA199" s="321"/>
      <c r="AB199" s="321"/>
      <c r="AC199" s="380"/>
      <c r="AD199" s="352"/>
      <c r="AE199" s="408">
        <f t="shared" si="82"/>
        <v>0</v>
      </c>
      <c r="AF199" s="409"/>
      <c r="AG199" s="408"/>
      <c r="AH199" s="409">
        <f t="shared" si="78"/>
        <v>0</v>
      </c>
      <c r="AI199" s="410"/>
      <c r="AJ199" s="411">
        <f t="shared" si="79"/>
        <v>0</v>
      </c>
    </row>
    <row r="200" spans="1:36" s="234" customFormat="1" ht="20.25">
      <c r="A200" s="564"/>
      <c r="B200" s="565"/>
      <c r="C200" s="565"/>
      <c r="D200" s="566"/>
      <c r="E200" s="541"/>
      <c r="F200" s="542"/>
      <c r="G200" s="542"/>
      <c r="H200" s="543"/>
      <c r="I200" s="543"/>
      <c r="J200" s="542"/>
      <c r="K200" s="579"/>
      <c r="L200" s="580"/>
      <c r="M200" s="581"/>
      <c r="N200" s="543"/>
      <c r="O200" s="543"/>
      <c r="P200" s="543"/>
      <c r="Q200" s="543"/>
      <c r="R200" s="543"/>
      <c r="S200" s="543"/>
      <c r="T200" s="587"/>
      <c r="U200" s="580"/>
      <c r="V200" s="581"/>
      <c r="W200" s="543"/>
      <c r="X200" s="543"/>
      <c r="Y200" s="543"/>
      <c r="Z200" s="543"/>
      <c r="AA200" s="543"/>
      <c r="AB200" s="543"/>
      <c r="AC200" s="592"/>
      <c r="AD200" s="580"/>
      <c r="AE200" s="593">
        <f t="shared" si="82"/>
        <v>0</v>
      </c>
      <c r="AF200" s="594"/>
      <c r="AG200" s="593"/>
      <c r="AH200" s="594">
        <f t="shared" si="78"/>
        <v>0</v>
      </c>
      <c r="AI200" s="605"/>
      <c r="AJ200" s="606">
        <f t="shared" si="79"/>
        <v>0</v>
      </c>
    </row>
    <row r="201" spans="1:36" s="234" customFormat="1" ht="20.25">
      <c r="A201" s="316"/>
      <c r="B201" s="570"/>
      <c r="C201" s="570"/>
      <c r="D201" s="571"/>
      <c r="E201" s="319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82"/>
        <v>0</v>
      </c>
      <c r="AF201" s="409"/>
      <c r="AG201" s="408"/>
      <c r="AH201" s="409">
        <f t="shared" si="78"/>
        <v>0</v>
      </c>
      <c r="AI201" s="410"/>
      <c r="AJ201" s="411">
        <f t="shared" si="79"/>
        <v>0</v>
      </c>
    </row>
    <row r="202" spans="1:36" s="234" customFormat="1" ht="20.25">
      <c r="A202" s="316"/>
      <c r="B202" s="570"/>
      <c r="C202" s="570"/>
      <c r="D202" s="571"/>
      <c r="E202" s="319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54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82"/>
        <v>0</v>
      </c>
      <c r="AF202" s="409"/>
      <c r="AG202" s="408"/>
      <c r="AH202" s="409">
        <f t="shared" si="78"/>
        <v>0</v>
      </c>
      <c r="AI202" s="410"/>
      <c r="AJ202" s="411">
        <f t="shared" si="79"/>
        <v>0</v>
      </c>
    </row>
    <row r="203" spans="1:36" s="234" customFormat="1" ht="20.25">
      <c r="A203" s="316"/>
      <c r="B203" s="570"/>
      <c r="C203" s="570"/>
      <c r="D203" s="571"/>
      <c r="E203" s="319"/>
      <c r="F203" s="320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/>
      <c r="X203" s="321"/>
      <c r="Y203" s="321"/>
      <c r="Z203" s="321"/>
      <c r="AA203" s="321"/>
      <c r="AB203" s="321"/>
      <c r="AC203" s="380"/>
      <c r="AD203" s="352"/>
      <c r="AE203" s="408">
        <f t="shared" si="82"/>
        <v>0</v>
      </c>
      <c r="AF203" s="409"/>
      <c r="AG203" s="408"/>
      <c r="AH203" s="409">
        <f t="shared" si="78"/>
        <v>0</v>
      </c>
      <c r="AI203" s="410"/>
      <c r="AJ203" s="411">
        <f t="shared" si="79"/>
        <v>0</v>
      </c>
    </row>
    <row r="204" spans="1:36" s="234" customFormat="1" ht="20.25">
      <c r="A204" s="316"/>
      <c r="B204" s="570"/>
      <c r="C204" s="570"/>
      <c r="D204" s="571"/>
      <c r="E204" s="319"/>
      <c r="F204" s="320"/>
      <c r="G204" s="320"/>
      <c r="H204" s="321"/>
      <c r="I204" s="321"/>
      <c r="J204" s="320"/>
      <c r="K204" s="351"/>
      <c r="L204" s="352"/>
      <c r="M204" s="353"/>
      <c r="N204" s="321"/>
      <c r="O204" s="321"/>
      <c r="P204" s="321"/>
      <c r="Q204" s="321"/>
      <c r="R204" s="321"/>
      <c r="S204" s="321"/>
      <c r="T204" s="354"/>
      <c r="U204" s="352"/>
      <c r="V204" s="353"/>
      <c r="W204" s="321"/>
      <c r="X204" s="321"/>
      <c r="Y204" s="321"/>
      <c r="Z204" s="321"/>
      <c r="AA204" s="321"/>
      <c r="AB204" s="321"/>
      <c r="AC204" s="380"/>
      <c r="AD204" s="352"/>
      <c r="AE204" s="408">
        <f t="shared" si="82"/>
        <v>0</v>
      </c>
      <c r="AF204" s="409"/>
      <c r="AG204" s="408"/>
      <c r="AH204" s="409">
        <f t="shared" si="78"/>
        <v>0</v>
      </c>
      <c r="AI204" s="410"/>
      <c r="AJ204" s="411">
        <f t="shared" si="79"/>
        <v>0</v>
      </c>
    </row>
    <row r="205" spans="1:36" s="234" customFormat="1" ht="20.25">
      <c r="A205" s="316"/>
      <c r="B205" s="570"/>
      <c r="C205" s="570"/>
      <c r="D205" s="571"/>
      <c r="E205" s="319"/>
      <c r="F205" s="320"/>
      <c r="G205" s="320"/>
      <c r="H205" s="321"/>
      <c r="I205" s="321"/>
      <c r="J205" s="320"/>
      <c r="K205" s="351"/>
      <c r="L205" s="352"/>
      <c r="M205" s="353"/>
      <c r="N205" s="321"/>
      <c r="O205" s="321"/>
      <c r="P205" s="321"/>
      <c r="Q205" s="321"/>
      <c r="R205" s="321"/>
      <c r="S205" s="321"/>
      <c r="T205" s="354"/>
      <c r="U205" s="352"/>
      <c r="V205" s="353"/>
      <c r="W205" s="321"/>
      <c r="X205" s="321"/>
      <c r="Y205" s="321"/>
      <c r="Z205" s="321"/>
      <c r="AA205" s="321"/>
      <c r="AB205" s="321"/>
      <c r="AC205" s="380"/>
      <c r="AD205" s="352"/>
      <c r="AE205" s="408">
        <f t="shared" si="82"/>
        <v>0</v>
      </c>
      <c r="AF205" s="409"/>
      <c r="AG205" s="408"/>
      <c r="AH205" s="409">
        <f t="shared" si="78"/>
        <v>0</v>
      </c>
      <c r="AI205" s="410"/>
      <c r="AJ205" s="411">
        <f t="shared" si="79"/>
        <v>0</v>
      </c>
    </row>
    <row r="206" spans="1:36" s="234" customFormat="1" ht="20.25">
      <c r="A206" s="316"/>
      <c r="B206" s="570"/>
      <c r="C206" s="570"/>
      <c r="D206" s="571"/>
      <c r="E206" s="319"/>
      <c r="F206" s="320"/>
      <c r="G206" s="320"/>
      <c r="H206" s="321"/>
      <c r="I206" s="321"/>
      <c r="J206" s="320"/>
      <c r="K206" s="351"/>
      <c r="L206" s="352"/>
      <c r="M206" s="353"/>
      <c r="N206" s="321"/>
      <c r="O206" s="321"/>
      <c r="P206" s="321"/>
      <c r="Q206" s="321"/>
      <c r="R206" s="321"/>
      <c r="S206" s="321"/>
      <c r="T206" s="354"/>
      <c r="U206" s="352"/>
      <c r="V206" s="353"/>
      <c r="W206" s="321"/>
      <c r="X206" s="321"/>
      <c r="Y206" s="321"/>
      <c r="Z206" s="321"/>
      <c r="AA206" s="321"/>
      <c r="AB206" s="321"/>
      <c r="AC206" s="380"/>
      <c r="AD206" s="352"/>
      <c r="AE206" s="408">
        <f t="shared" si="82"/>
        <v>0</v>
      </c>
      <c r="AF206" s="409"/>
      <c r="AG206" s="408"/>
      <c r="AH206" s="409">
        <f t="shared" si="78"/>
        <v>0</v>
      </c>
      <c r="AI206" s="410"/>
      <c r="AJ206" s="411">
        <f t="shared" si="79"/>
        <v>0</v>
      </c>
    </row>
    <row r="207" spans="1:36" s="234" customFormat="1" ht="20.25">
      <c r="A207" s="316"/>
      <c r="B207" s="570"/>
      <c r="C207" s="570"/>
      <c r="D207" s="571"/>
      <c r="E207" s="319"/>
      <c r="F207" s="320"/>
      <c r="G207" s="320"/>
      <c r="H207" s="321"/>
      <c r="I207" s="321"/>
      <c r="J207" s="320"/>
      <c r="K207" s="351"/>
      <c r="L207" s="352"/>
      <c r="M207" s="353"/>
      <c r="N207" s="321"/>
      <c r="O207" s="321"/>
      <c r="P207" s="321"/>
      <c r="Q207" s="321"/>
      <c r="R207" s="321"/>
      <c r="S207" s="321"/>
      <c r="T207" s="354"/>
      <c r="U207" s="352"/>
      <c r="V207" s="353"/>
      <c r="W207" s="321"/>
      <c r="X207" s="321"/>
      <c r="Y207" s="321"/>
      <c r="Z207" s="321"/>
      <c r="AA207" s="321"/>
      <c r="AB207" s="321"/>
      <c r="AC207" s="380"/>
      <c r="AD207" s="352"/>
      <c r="AE207" s="408">
        <f t="shared" si="82"/>
        <v>0</v>
      </c>
      <c r="AF207" s="409"/>
      <c r="AG207" s="408"/>
      <c r="AH207" s="409">
        <f t="shared" si="78"/>
        <v>0</v>
      </c>
      <c r="AI207" s="410"/>
      <c r="AJ207" s="411">
        <f t="shared" si="79"/>
        <v>0</v>
      </c>
    </row>
    <row r="208" spans="1:36" s="234" customFormat="1" ht="20.25">
      <c r="A208" s="316"/>
      <c r="B208" s="570"/>
      <c r="C208" s="570"/>
      <c r="D208" s="571"/>
      <c r="E208" s="319"/>
      <c r="F208" s="320"/>
      <c r="G208" s="320"/>
      <c r="H208" s="321"/>
      <c r="I208" s="321"/>
      <c r="J208" s="320"/>
      <c r="K208" s="351"/>
      <c r="L208" s="352"/>
      <c r="M208" s="353"/>
      <c r="N208" s="321"/>
      <c r="O208" s="321"/>
      <c r="P208" s="321"/>
      <c r="Q208" s="321"/>
      <c r="R208" s="321"/>
      <c r="S208" s="321"/>
      <c r="T208" s="354"/>
      <c r="U208" s="352"/>
      <c r="V208" s="353"/>
      <c r="W208" s="321"/>
      <c r="X208" s="321"/>
      <c r="Y208" s="321"/>
      <c r="Z208" s="321"/>
      <c r="AA208" s="321"/>
      <c r="AB208" s="321"/>
      <c r="AC208" s="380"/>
      <c r="AD208" s="352"/>
      <c r="AE208" s="408">
        <f t="shared" si="82"/>
        <v>0</v>
      </c>
      <c r="AF208" s="409"/>
      <c r="AG208" s="408"/>
      <c r="AH208" s="409">
        <f t="shared" si="78"/>
        <v>0</v>
      </c>
      <c r="AI208" s="410"/>
      <c r="AJ208" s="411">
        <f t="shared" si="79"/>
        <v>0</v>
      </c>
    </row>
    <row r="209" spans="1:39" s="234" customFormat="1" ht="20.25">
      <c r="A209" s="608"/>
      <c r="B209" s="609"/>
      <c r="C209" s="609"/>
      <c r="D209" s="610"/>
      <c r="E209" s="611"/>
      <c r="F209" s="612"/>
      <c r="G209" s="612"/>
      <c r="H209" s="613"/>
      <c r="I209" s="613"/>
      <c r="J209" s="612"/>
      <c r="K209" s="653"/>
      <c r="L209" s="654"/>
      <c r="M209" s="655"/>
      <c r="N209" s="613"/>
      <c r="O209" s="613"/>
      <c r="P209" s="613"/>
      <c r="Q209" s="613"/>
      <c r="R209" s="613"/>
      <c r="S209" s="613"/>
      <c r="T209" s="670"/>
      <c r="U209" s="654"/>
      <c r="V209" s="655"/>
      <c r="W209" s="613"/>
      <c r="X209" s="613"/>
      <c r="Y209" s="613"/>
      <c r="Z209" s="613"/>
      <c r="AA209" s="613"/>
      <c r="AB209" s="613"/>
      <c r="AC209" s="678"/>
      <c r="AD209" s="654"/>
      <c r="AE209" s="679">
        <f t="shared" si="82"/>
        <v>0</v>
      </c>
      <c r="AF209" s="680"/>
      <c r="AG209" s="679"/>
      <c r="AH209" s="680">
        <f t="shared" si="78"/>
        <v>0</v>
      </c>
      <c r="AI209" s="697"/>
      <c r="AJ209" s="698">
        <f t="shared" si="79"/>
        <v>0</v>
      </c>
    </row>
    <row r="210" spans="1:39" s="234" customFormat="1" ht="20.25">
      <c r="A210" s="614"/>
      <c r="B210" s="615"/>
      <c r="C210" s="615"/>
      <c r="D210" s="616"/>
      <c r="E210" s="617"/>
      <c r="F210" s="618"/>
      <c r="G210" s="618"/>
      <c r="H210" s="619"/>
      <c r="I210" s="619"/>
      <c r="J210" s="618"/>
      <c r="K210" s="656"/>
      <c r="L210" s="657"/>
      <c r="M210" s="658"/>
      <c r="N210" s="619"/>
      <c r="O210" s="619"/>
      <c r="P210" s="619"/>
      <c r="Q210" s="619"/>
      <c r="R210" s="619"/>
      <c r="S210" s="619"/>
      <c r="T210" s="671"/>
      <c r="U210" s="657"/>
      <c r="V210" s="658"/>
      <c r="W210" s="619"/>
      <c r="X210" s="619"/>
      <c r="Y210" s="619"/>
      <c r="Z210" s="619"/>
      <c r="AA210" s="619"/>
      <c r="AB210" s="619"/>
      <c r="AC210" s="681"/>
      <c r="AD210" s="657"/>
      <c r="AE210" s="682">
        <f t="shared" si="82"/>
        <v>0</v>
      </c>
      <c r="AF210" s="683"/>
      <c r="AG210" s="682"/>
      <c r="AH210" s="683">
        <f t="shared" si="78"/>
        <v>0</v>
      </c>
      <c r="AI210" s="699"/>
      <c r="AJ210" s="700">
        <f t="shared" si="79"/>
        <v>0</v>
      </c>
    </row>
    <row r="211" spans="1:39" ht="21" thickBot="1">
      <c r="A211" s="620"/>
      <c r="B211" s="621"/>
      <c r="C211" s="621"/>
      <c r="D211" s="622"/>
      <c r="E211" s="623"/>
      <c r="F211" s="624"/>
      <c r="G211" s="624"/>
      <c r="H211" s="625"/>
      <c r="I211" s="625"/>
      <c r="J211" s="624"/>
      <c r="K211" s="659"/>
      <c r="L211" s="660"/>
      <c r="M211" s="661"/>
      <c r="N211" s="625"/>
      <c r="O211" s="625"/>
      <c r="P211" s="625"/>
      <c r="Q211" s="625"/>
      <c r="R211" s="625"/>
      <c r="S211" s="625"/>
      <c r="T211" s="672"/>
      <c r="U211" s="660"/>
      <c r="V211" s="661"/>
      <c r="W211" s="625"/>
      <c r="X211" s="625"/>
      <c r="Y211" s="625"/>
      <c r="Z211" s="625"/>
      <c r="AA211" s="625"/>
      <c r="AB211" s="625"/>
      <c r="AC211" s="684"/>
      <c r="AD211" s="660"/>
      <c r="AE211" s="685">
        <f t="shared" si="82"/>
        <v>0</v>
      </c>
      <c r="AF211" s="686"/>
      <c r="AG211" s="685"/>
      <c r="AH211" s="686">
        <f t="shared" si="78"/>
        <v>0</v>
      </c>
      <c r="AI211" s="701"/>
      <c r="AJ211" s="702">
        <f t="shared" si="79"/>
        <v>0</v>
      </c>
    </row>
    <row r="212" spans="1:39" ht="21" thickBot="1">
      <c r="A212" s="626" t="s">
        <v>151</v>
      </c>
      <c r="B212" s="627"/>
      <c r="C212" s="627"/>
      <c r="D212" s="628"/>
      <c r="E212" s="533">
        <f t="shared" ref="E212:K212" si="83">SUM(E150:E211)</f>
        <v>0</v>
      </c>
      <c r="F212" s="533">
        <f t="shared" si="83"/>
        <v>180</v>
      </c>
      <c r="G212" s="533">
        <f t="shared" si="83"/>
        <v>0</v>
      </c>
      <c r="H212" s="533">
        <f t="shared" si="83"/>
        <v>0</v>
      </c>
      <c r="I212" s="533">
        <f t="shared" si="83"/>
        <v>60</v>
      </c>
      <c r="J212" s="533">
        <f t="shared" si="83"/>
        <v>0</v>
      </c>
      <c r="K212" s="533">
        <f t="shared" si="83"/>
        <v>0</v>
      </c>
      <c r="L212" s="575"/>
      <c r="M212" s="533">
        <f t="shared" ref="M212:T212" si="84">SUM(M150:M211)</f>
        <v>0</v>
      </c>
      <c r="N212" s="533">
        <f t="shared" si="84"/>
        <v>0</v>
      </c>
      <c r="O212" s="533">
        <f t="shared" si="84"/>
        <v>0</v>
      </c>
      <c r="P212" s="533">
        <f t="shared" si="84"/>
        <v>0</v>
      </c>
      <c r="Q212" s="533">
        <f t="shared" si="84"/>
        <v>0</v>
      </c>
      <c r="R212" s="533">
        <f t="shared" si="84"/>
        <v>0</v>
      </c>
      <c r="S212" s="533">
        <f t="shared" si="84"/>
        <v>0</v>
      </c>
      <c r="T212" s="533">
        <f t="shared" si="84"/>
        <v>0</v>
      </c>
      <c r="U212" s="575"/>
      <c r="V212" s="533">
        <f t="shared" ref="V212:AC212" si="85">SUM(V150:V211)</f>
        <v>0</v>
      </c>
      <c r="W212" s="533">
        <f t="shared" si="85"/>
        <v>0</v>
      </c>
      <c r="X212" s="533">
        <f t="shared" si="85"/>
        <v>0</v>
      </c>
      <c r="Y212" s="533">
        <f t="shared" si="85"/>
        <v>0</v>
      </c>
      <c r="Z212" s="533">
        <f t="shared" si="85"/>
        <v>0</v>
      </c>
      <c r="AA212" s="533">
        <f t="shared" si="85"/>
        <v>0</v>
      </c>
      <c r="AB212" s="533">
        <f t="shared" si="85"/>
        <v>0</v>
      </c>
      <c r="AC212" s="533">
        <f t="shared" si="85"/>
        <v>0</v>
      </c>
      <c r="AD212" s="575"/>
      <c r="AE212" s="687">
        <f t="shared" ref="AE212:AJ212" si="86">SUM(AE150:AE211)</f>
        <v>240</v>
      </c>
      <c r="AF212" s="687">
        <f t="shared" si="86"/>
        <v>0</v>
      </c>
      <c r="AG212" s="687">
        <f t="shared" si="86"/>
        <v>0</v>
      </c>
      <c r="AH212" s="687">
        <f t="shared" si="86"/>
        <v>240</v>
      </c>
      <c r="AI212" s="687">
        <f t="shared" si="86"/>
        <v>0</v>
      </c>
      <c r="AJ212" s="687">
        <f t="shared" si="86"/>
        <v>240</v>
      </c>
    </row>
    <row r="213" spans="1:39" s="284" customFormat="1" ht="21" thickBot="1">
      <c r="A213" s="530" t="s">
        <v>152</v>
      </c>
      <c r="B213" s="531"/>
      <c r="C213" s="531"/>
      <c r="D213" s="630"/>
      <c r="E213" s="533">
        <f>E212/20</f>
        <v>0</v>
      </c>
      <c r="F213" s="534">
        <f>F212/20</f>
        <v>9</v>
      </c>
      <c r="G213" s="534">
        <f>G212/20</f>
        <v>0</v>
      </c>
      <c r="H213" s="534">
        <f t="shared" ref="H213:K213" si="87">H212/20</f>
        <v>0</v>
      </c>
      <c r="I213" s="534">
        <f t="shared" si="87"/>
        <v>3</v>
      </c>
      <c r="J213" s="534">
        <f t="shared" si="87"/>
        <v>0</v>
      </c>
      <c r="K213" s="586">
        <f t="shared" si="87"/>
        <v>0</v>
      </c>
      <c r="L213" s="575"/>
      <c r="M213" s="576">
        <f>M212/20</f>
        <v>0</v>
      </c>
      <c r="N213" s="577">
        <f t="shared" ref="N213:T213" si="88">N212/20</f>
        <v>0</v>
      </c>
      <c r="O213" s="577">
        <f t="shared" si="88"/>
        <v>0</v>
      </c>
      <c r="P213" s="577">
        <f t="shared" si="88"/>
        <v>0</v>
      </c>
      <c r="Q213" s="577">
        <f t="shared" si="88"/>
        <v>0</v>
      </c>
      <c r="R213" s="577">
        <f t="shared" si="88"/>
        <v>0</v>
      </c>
      <c r="S213" s="577">
        <f t="shared" si="88"/>
        <v>0</v>
      </c>
      <c r="T213" s="586">
        <f t="shared" si="88"/>
        <v>0</v>
      </c>
      <c r="U213" s="575"/>
      <c r="V213" s="576">
        <f>V212/20</f>
        <v>0</v>
      </c>
      <c r="W213" s="577">
        <f t="shared" ref="W213:AC213" si="89">W212/20</f>
        <v>0</v>
      </c>
      <c r="X213" s="577">
        <f t="shared" si="89"/>
        <v>0</v>
      </c>
      <c r="Y213" s="577">
        <f t="shared" si="89"/>
        <v>0</v>
      </c>
      <c r="Z213" s="577">
        <f t="shared" si="89"/>
        <v>0</v>
      </c>
      <c r="AA213" s="577">
        <f t="shared" si="89"/>
        <v>0</v>
      </c>
      <c r="AB213" s="577">
        <f t="shared" si="89"/>
        <v>0</v>
      </c>
      <c r="AC213" s="586">
        <f t="shared" si="89"/>
        <v>0</v>
      </c>
      <c r="AD213" s="575"/>
      <c r="AE213" s="668">
        <f>SUM(E213:AC213)</f>
        <v>12</v>
      </c>
      <c r="AF213" s="687">
        <f>AF212/20</f>
        <v>0</v>
      </c>
      <c r="AG213" s="687">
        <f>AG212/20</f>
        <v>0</v>
      </c>
      <c r="AH213" s="575">
        <f t="shared" ref="AH213:AJ213" si="90">AH212/20</f>
        <v>12</v>
      </c>
      <c r="AI213" s="687">
        <f t="shared" si="90"/>
        <v>0</v>
      </c>
      <c r="AJ213" s="662">
        <f t="shared" si="90"/>
        <v>12</v>
      </c>
      <c r="AK213" s="403"/>
      <c r="AL213" s="403"/>
      <c r="AM213" s="403"/>
    </row>
    <row r="214" spans="1:39" s="282" customFormat="1" ht="19.5" thickBot="1">
      <c r="A214" s="306"/>
      <c r="B214" s="307"/>
      <c r="C214" s="307"/>
      <c r="D214" s="308"/>
      <c r="E214" s="309"/>
      <c r="F214" s="309"/>
      <c r="G214" s="309"/>
      <c r="H214" s="309"/>
      <c r="I214" s="309"/>
      <c r="J214" s="309"/>
      <c r="K214" s="309"/>
      <c r="L214" s="346"/>
      <c r="M214" s="347"/>
      <c r="N214" s="347"/>
      <c r="O214" s="347"/>
      <c r="P214" s="347"/>
      <c r="Q214" s="347"/>
      <c r="R214" s="347"/>
      <c r="S214" s="347"/>
      <c r="T214" s="347"/>
      <c r="U214" s="346"/>
      <c r="V214" s="347"/>
      <c r="W214" s="347"/>
      <c r="X214" s="347"/>
      <c r="Y214" s="347"/>
      <c r="Z214" s="347"/>
      <c r="AA214" s="347"/>
      <c r="AB214" s="347"/>
      <c r="AC214" s="347"/>
      <c r="AD214" s="346"/>
      <c r="AE214" s="347"/>
      <c r="AF214" s="347"/>
      <c r="AG214" s="347"/>
      <c r="AH214" s="347"/>
      <c r="AI214" s="347"/>
      <c r="AJ214" s="402"/>
    </row>
    <row r="215" spans="1:39" s="283" customFormat="1" ht="16.5" thickBot="1">
      <c r="A215" s="3881" t="s">
        <v>183</v>
      </c>
      <c r="B215" s="3882"/>
      <c r="C215" s="3883"/>
      <c r="D215" s="288" t="s">
        <v>70</v>
      </c>
      <c r="E215" s="80" t="s">
        <v>382</v>
      </c>
      <c r="F215" s="49" t="s">
        <v>53</v>
      </c>
      <c r="G215" s="49" t="s">
        <v>206</v>
      </c>
      <c r="H215" s="49" t="s">
        <v>190</v>
      </c>
      <c r="I215" s="49" t="s">
        <v>94</v>
      </c>
      <c r="J215" s="744"/>
      <c r="K215" s="783"/>
      <c r="L215" s="79"/>
      <c r="M215" s="80" t="s">
        <v>85</v>
      </c>
      <c r="N215" s="49" t="s">
        <v>457</v>
      </c>
      <c r="O215" s="49" t="s">
        <v>250</v>
      </c>
      <c r="P215" s="49"/>
      <c r="Q215" s="744" t="s">
        <v>412</v>
      </c>
      <c r="R215" s="49"/>
      <c r="S215" s="126" t="s">
        <v>413</v>
      </c>
      <c r="T215" s="171" t="s">
        <v>416</v>
      </c>
      <c r="U215" s="79"/>
      <c r="V215" s="100"/>
      <c r="W215" s="101"/>
      <c r="X215" s="102"/>
      <c r="Y215" s="747"/>
      <c r="Z215" s="102"/>
      <c r="AA215" s="102"/>
      <c r="AB215" s="799"/>
      <c r="AC215" s="844"/>
      <c r="AD215" s="79"/>
      <c r="AE215" s="371" t="s">
        <v>172</v>
      </c>
      <c r="AF215" s="372" t="s">
        <v>80</v>
      </c>
      <c r="AG215" s="385"/>
      <c r="AH215" s="386" t="s">
        <v>106</v>
      </c>
      <c r="AI215" s="385" t="s">
        <v>173</v>
      </c>
      <c r="AJ215" s="371" t="s">
        <v>108</v>
      </c>
    </row>
    <row r="216" spans="1:39" s="283" customFormat="1" ht="20.25">
      <c r="A216" s="631" t="s">
        <v>184</v>
      </c>
      <c r="B216" s="443"/>
      <c r="C216" s="443"/>
      <c r="D216" s="444"/>
      <c r="E216" s="433"/>
      <c r="F216" s="434"/>
      <c r="G216" s="434"/>
      <c r="H216" s="435"/>
      <c r="I216" s="435"/>
      <c r="J216" s="434"/>
      <c r="K216" s="480"/>
      <c r="L216" s="483"/>
      <c r="M216" s="484"/>
      <c r="N216" s="435"/>
      <c r="O216" s="435"/>
      <c r="P216" s="435"/>
      <c r="Q216" s="435"/>
      <c r="R216" s="435"/>
      <c r="S216" s="435"/>
      <c r="T216" s="492"/>
      <c r="U216" s="483"/>
      <c r="V216" s="433"/>
      <c r="W216" s="434"/>
      <c r="X216" s="434"/>
      <c r="Y216" s="435"/>
      <c r="Z216" s="435"/>
      <c r="AA216" s="435"/>
      <c r="AB216" s="434"/>
      <c r="AC216" s="495"/>
      <c r="AD216" s="483"/>
      <c r="AE216" s="496">
        <f t="shared" ref="AE216:AE217" si="91">SUM(E216:AC216)</f>
        <v>0</v>
      </c>
      <c r="AF216" s="497"/>
      <c r="AG216" s="510"/>
      <c r="AH216" s="511">
        <f t="shared" ref="AH216:AH217" si="92">AE216+AF216</f>
        <v>0</v>
      </c>
      <c r="AI216" s="512"/>
      <c r="AJ216" s="703">
        <f>AH216+AI216</f>
        <v>0</v>
      </c>
    </row>
    <row r="217" spans="1:39" s="283" customFormat="1" ht="21" thickBot="1">
      <c r="A217" s="322"/>
      <c r="B217" s="323"/>
      <c r="C217" s="323"/>
      <c r="D217" s="324"/>
      <c r="E217" s="325"/>
      <c r="F217" s="297"/>
      <c r="G217" s="297"/>
      <c r="H217" s="298"/>
      <c r="I217" s="298"/>
      <c r="J217" s="297"/>
      <c r="K217" s="344"/>
      <c r="L217" s="355"/>
      <c r="M217" s="343"/>
      <c r="N217" s="298"/>
      <c r="O217" s="298"/>
      <c r="P217" s="298"/>
      <c r="Q217" s="298"/>
      <c r="R217" s="298"/>
      <c r="S217" s="298"/>
      <c r="T217" s="367"/>
      <c r="U217" s="355"/>
      <c r="V217" s="325"/>
      <c r="W217" s="297"/>
      <c r="X217" s="297"/>
      <c r="Y217" s="298"/>
      <c r="Z217" s="298"/>
      <c r="AA217" s="298"/>
      <c r="AB217" s="297"/>
      <c r="AC217" s="375"/>
      <c r="AD217" s="355"/>
      <c r="AE217" s="377">
        <f t="shared" si="91"/>
        <v>0</v>
      </c>
      <c r="AF217" s="377"/>
      <c r="AG217" s="390"/>
      <c r="AH217" s="507">
        <f t="shared" si="92"/>
        <v>0</v>
      </c>
      <c r="AI217" s="412"/>
      <c r="AJ217" s="508">
        <f t="shared" ref="AJ217" si="93">AH217+AI217</f>
        <v>0</v>
      </c>
    </row>
    <row r="218" spans="1:39" s="284" customFormat="1" ht="8.25" customHeight="1" thickBot="1">
      <c r="A218" s="436"/>
      <c r="B218" s="437"/>
      <c r="C218" s="437"/>
      <c r="D218" s="438"/>
      <c r="E218" s="439">
        <f t="shared" ref="E218:K218" si="94">SUM(E216:E217)</f>
        <v>0</v>
      </c>
      <c r="F218" s="440">
        <f t="shared" si="94"/>
        <v>0</v>
      </c>
      <c r="G218" s="440">
        <f t="shared" si="94"/>
        <v>0</v>
      </c>
      <c r="H218" s="440">
        <f t="shared" si="94"/>
        <v>0</v>
      </c>
      <c r="I218" s="440">
        <f t="shared" si="94"/>
        <v>0</v>
      </c>
      <c r="J218" s="440">
        <f t="shared" si="94"/>
        <v>0</v>
      </c>
      <c r="K218" s="481">
        <f t="shared" si="94"/>
        <v>0</v>
      </c>
      <c r="L218" s="482"/>
      <c r="M218" s="439">
        <f t="shared" ref="M218:T218" si="95">SUM(M216:M217)</f>
        <v>0</v>
      </c>
      <c r="N218" s="440">
        <f t="shared" si="95"/>
        <v>0</v>
      </c>
      <c r="O218" s="440">
        <f t="shared" si="95"/>
        <v>0</v>
      </c>
      <c r="P218" s="440">
        <f t="shared" si="95"/>
        <v>0</v>
      </c>
      <c r="Q218" s="440">
        <f t="shared" si="95"/>
        <v>0</v>
      </c>
      <c r="R218" s="440">
        <f t="shared" si="95"/>
        <v>0</v>
      </c>
      <c r="S218" s="440">
        <f t="shared" si="95"/>
        <v>0</v>
      </c>
      <c r="T218" s="481">
        <f t="shared" si="95"/>
        <v>0</v>
      </c>
      <c r="U218" s="482"/>
      <c r="V218" s="439">
        <f t="shared" ref="V218:AC218" si="96">SUM(V216:V217)</f>
        <v>0</v>
      </c>
      <c r="W218" s="440">
        <f t="shared" si="96"/>
        <v>0</v>
      </c>
      <c r="X218" s="440">
        <f t="shared" si="96"/>
        <v>0</v>
      </c>
      <c r="Y218" s="440">
        <f t="shared" si="96"/>
        <v>0</v>
      </c>
      <c r="Z218" s="440">
        <f t="shared" si="96"/>
        <v>0</v>
      </c>
      <c r="AA218" s="440">
        <f t="shared" si="96"/>
        <v>0</v>
      </c>
      <c r="AB218" s="440">
        <f t="shared" si="96"/>
        <v>0</v>
      </c>
      <c r="AC218" s="481">
        <f t="shared" si="96"/>
        <v>0</v>
      </c>
      <c r="AD218" s="482"/>
      <c r="AE218" s="494">
        <f>SUM(AE216:AE217)</f>
        <v>0</v>
      </c>
      <c r="AF218" s="494">
        <f>SUM(AF216:AF217)</f>
        <v>0</v>
      </c>
      <c r="AG218" s="509"/>
      <c r="AH218" s="514">
        <f>SUM(AH216:AH217)</f>
        <v>0</v>
      </c>
      <c r="AI218" s="494">
        <f>SUM(AI216:AI217)</f>
        <v>0</v>
      </c>
      <c r="AJ218" s="509">
        <f>SUM(AJ216:AJ217)</f>
        <v>0</v>
      </c>
      <c r="AK218" s="403"/>
      <c r="AL218" s="403"/>
      <c r="AM218" s="403"/>
    </row>
    <row r="219" spans="1:39" s="1" customFormat="1" ht="18.75">
      <c r="A219" s="522"/>
      <c r="B219" s="523"/>
      <c r="C219" s="523"/>
      <c r="D219" s="524"/>
      <c r="E219" s="525"/>
      <c r="F219" s="525"/>
      <c r="G219" s="525"/>
      <c r="H219" s="525"/>
      <c r="I219" s="525"/>
      <c r="J219" s="525"/>
      <c r="K219" s="525"/>
      <c r="L219" s="572"/>
      <c r="M219" s="573"/>
      <c r="N219" s="573"/>
      <c r="O219" s="573"/>
      <c r="P219" s="573"/>
      <c r="Q219" s="573"/>
      <c r="R219" s="573"/>
      <c r="S219" s="573"/>
      <c r="T219" s="573"/>
      <c r="U219" s="572"/>
      <c r="V219" s="573"/>
      <c r="W219" s="573"/>
      <c r="X219" s="573"/>
      <c r="Y219" s="573"/>
      <c r="Z219" s="573"/>
      <c r="AA219" s="573"/>
      <c r="AB219" s="573"/>
      <c r="AC219" s="573"/>
      <c r="AD219" s="572"/>
      <c r="AE219" s="573"/>
      <c r="AF219" s="573"/>
      <c r="AG219" s="599"/>
      <c r="AH219" s="573"/>
      <c r="AI219" s="573"/>
      <c r="AJ219" s="600"/>
    </row>
    <row r="220" spans="1:39" ht="20.25">
      <c r="A220" s="122"/>
      <c r="B220" s="632"/>
      <c r="C220" s="632"/>
      <c r="D220" s="122"/>
      <c r="E220" s="3901"/>
      <c r="F220" s="3901"/>
      <c r="G220" s="3901"/>
      <c r="H220" s="3901"/>
      <c r="I220" s="3901"/>
      <c r="J220" s="3901"/>
      <c r="K220" s="3901"/>
      <c r="L220" s="633"/>
      <c r="M220" s="3902"/>
      <c r="N220" s="3902"/>
      <c r="O220" s="3902"/>
      <c r="P220" s="3902"/>
      <c r="Q220" s="3902"/>
      <c r="R220" s="3902"/>
      <c r="S220" s="3902"/>
      <c r="T220" s="3902"/>
      <c r="U220" s="663"/>
      <c r="V220" s="3903"/>
      <c r="W220" s="3903"/>
      <c r="X220" s="3903"/>
      <c r="Y220" s="3903"/>
      <c r="Z220" s="3903"/>
      <c r="AA220" s="3903"/>
      <c r="AB220" s="3903"/>
      <c r="AC220" s="3903"/>
      <c r="AD220" s="688"/>
      <c r="AE220" s="689"/>
      <c r="AF220" s="673"/>
      <c r="AG220" s="673"/>
      <c r="AH220" s="689"/>
      <c r="AI220" s="689"/>
      <c r="AJ220" s="704"/>
    </row>
    <row r="221" spans="1:39" ht="15.75" thickBot="1">
      <c r="A221" s="634"/>
      <c r="B221" s="635"/>
      <c r="C221" s="635"/>
      <c r="D221" s="634"/>
      <c r="E221" s="634"/>
      <c r="F221" s="634"/>
      <c r="G221" s="634"/>
      <c r="H221" s="634"/>
      <c r="I221" s="634"/>
      <c r="J221" s="634"/>
      <c r="K221" s="634"/>
      <c r="L221" s="634"/>
      <c r="M221" s="634"/>
      <c r="N221" s="634"/>
      <c r="O221" s="634"/>
      <c r="P221" s="634"/>
      <c r="Q221" s="634"/>
      <c r="R221" s="634"/>
      <c r="S221" s="634"/>
      <c r="T221" s="634"/>
      <c r="U221" s="634"/>
      <c r="V221" s="634"/>
      <c r="W221" s="634"/>
      <c r="X221" s="634"/>
      <c r="Y221" s="634"/>
      <c r="Z221" s="634"/>
      <c r="AA221" s="634"/>
      <c r="AB221" s="690"/>
      <c r="AC221" s="690"/>
      <c r="AD221" s="690"/>
      <c r="AE221" s="690"/>
      <c r="AF221" s="634"/>
      <c r="AG221" s="634"/>
      <c r="AH221" s="634"/>
      <c r="AI221" s="634"/>
      <c r="AJ221" s="634"/>
    </row>
    <row r="222" spans="1:39" ht="21" thickBot="1">
      <c r="A222" s="636" t="s">
        <v>185</v>
      </c>
      <c r="B222" s="637"/>
      <c r="C222" s="637"/>
      <c r="D222" s="638"/>
      <c r="E222" s="529">
        <f t="shared" ref="E222:K222" si="97">E145-E212+E218</f>
        <v>0</v>
      </c>
      <c r="F222" s="639">
        <f t="shared" si="97"/>
        <v>1380</v>
      </c>
      <c r="G222" s="639">
        <f t="shared" si="97"/>
        <v>0</v>
      </c>
      <c r="H222" s="639">
        <f t="shared" si="97"/>
        <v>0</v>
      </c>
      <c r="I222" s="639">
        <f t="shared" si="97"/>
        <v>1580</v>
      </c>
      <c r="J222" s="639">
        <f t="shared" si="97"/>
        <v>0</v>
      </c>
      <c r="K222" s="664">
        <f t="shared" si="97"/>
        <v>0</v>
      </c>
      <c r="L222" s="574"/>
      <c r="M222" s="639">
        <f t="shared" ref="M222:T222" si="98">M145-M212+M218</f>
        <v>0</v>
      </c>
      <c r="N222" s="639">
        <f t="shared" si="98"/>
        <v>0</v>
      </c>
      <c r="O222" s="639">
        <f t="shared" si="98"/>
        <v>0</v>
      </c>
      <c r="P222" s="639">
        <f t="shared" si="98"/>
        <v>0</v>
      </c>
      <c r="Q222" s="639">
        <f t="shared" si="98"/>
        <v>0</v>
      </c>
      <c r="R222" s="639">
        <f t="shared" si="98"/>
        <v>0</v>
      </c>
      <c r="S222" s="639">
        <f t="shared" si="98"/>
        <v>0</v>
      </c>
      <c r="T222" s="639">
        <f t="shared" si="98"/>
        <v>0</v>
      </c>
      <c r="U222" s="574"/>
      <c r="V222" s="665">
        <f t="shared" ref="V222:AC222" si="99">V145-V212+V218</f>
        <v>0</v>
      </c>
      <c r="W222" s="665">
        <f t="shared" si="99"/>
        <v>0</v>
      </c>
      <c r="X222" s="665">
        <f t="shared" si="99"/>
        <v>0</v>
      </c>
      <c r="Y222" s="665">
        <f t="shared" si="99"/>
        <v>0</v>
      </c>
      <c r="Z222" s="665">
        <f t="shared" si="99"/>
        <v>0</v>
      </c>
      <c r="AA222" s="665">
        <f t="shared" si="99"/>
        <v>0</v>
      </c>
      <c r="AB222" s="665">
        <f t="shared" si="99"/>
        <v>0</v>
      </c>
      <c r="AC222" s="665">
        <f t="shared" si="99"/>
        <v>0</v>
      </c>
      <c r="AD222" s="691"/>
      <c r="AE222" s="529">
        <f>AE145-AE212+AE218</f>
        <v>2960</v>
      </c>
      <c r="AF222" s="3775">
        <f>AF145-AF212-AG212+AF218</f>
        <v>0</v>
      </c>
      <c r="AG222" s="3884"/>
      <c r="AH222" s="529">
        <f>AH145-AH212+AH218</f>
        <v>2960</v>
      </c>
      <c r="AI222" s="529">
        <f>AI145-AI212+AI218</f>
        <v>0</v>
      </c>
      <c r="AJ222" s="693">
        <f>AJ145-AJ212+AJ218</f>
        <v>2960</v>
      </c>
    </row>
    <row r="223" spans="1:39" ht="21" thickBot="1">
      <c r="A223" s="640" t="s">
        <v>152</v>
      </c>
      <c r="B223" s="641"/>
      <c r="C223" s="641"/>
      <c r="D223" s="642"/>
      <c r="E223" s="529">
        <f>E222/20</f>
        <v>0</v>
      </c>
      <c r="F223" s="529">
        <f t="shared" ref="F223:K223" si="100">F222/20</f>
        <v>69</v>
      </c>
      <c r="G223" s="529">
        <f t="shared" si="100"/>
        <v>0</v>
      </c>
      <c r="H223" s="529">
        <f t="shared" si="100"/>
        <v>0</v>
      </c>
      <c r="I223" s="529">
        <f t="shared" si="100"/>
        <v>79</v>
      </c>
      <c r="J223" s="529">
        <f t="shared" si="100"/>
        <v>0</v>
      </c>
      <c r="K223" s="529">
        <f t="shared" si="100"/>
        <v>0</v>
      </c>
      <c r="L223" s="529"/>
      <c r="M223" s="529">
        <f>M222/20</f>
        <v>0</v>
      </c>
      <c r="N223" s="529">
        <f>N222/20</f>
        <v>0</v>
      </c>
      <c r="O223" s="529">
        <f>O222/20</f>
        <v>0</v>
      </c>
      <c r="P223" s="529">
        <f>P222/20</f>
        <v>0</v>
      </c>
      <c r="Q223" s="529">
        <f>Q222/20</f>
        <v>0</v>
      </c>
      <c r="R223" s="529">
        <f t="shared" ref="R223:T223" si="101">R222/20</f>
        <v>0</v>
      </c>
      <c r="S223" s="529">
        <f t="shared" si="101"/>
        <v>0</v>
      </c>
      <c r="T223" s="529">
        <f t="shared" si="101"/>
        <v>0</v>
      </c>
      <c r="U223" s="529"/>
      <c r="V223" s="529">
        <f>V222/20</f>
        <v>0</v>
      </c>
      <c r="W223" s="529">
        <f>W222/20</f>
        <v>0</v>
      </c>
      <c r="X223" s="529">
        <f>X222/20</f>
        <v>0</v>
      </c>
      <c r="Y223" s="529">
        <f>Y222/20</f>
        <v>0</v>
      </c>
      <c r="Z223" s="529">
        <f>Z222/12</f>
        <v>0</v>
      </c>
      <c r="AA223" s="529">
        <f>AA222/20</f>
        <v>0</v>
      </c>
      <c r="AB223" s="529">
        <f>AB222/12</f>
        <v>0</v>
      </c>
      <c r="AC223" s="529">
        <f>AC222/12</f>
        <v>0</v>
      </c>
      <c r="AD223" s="692"/>
      <c r="AE223" s="693">
        <f>AE222/20</f>
        <v>148</v>
      </c>
      <c r="AF223" s="3775">
        <f>AF222/20</f>
        <v>0</v>
      </c>
      <c r="AG223" s="3884"/>
      <c r="AH223" s="693">
        <f>AH222/20</f>
        <v>148</v>
      </c>
      <c r="AI223" s="574">
        <f>AI222/20</f>
        <v>0</v>
      </c>
      <c r="AJ223" s="706">
        <f>AJ222/20</f>
        <v>148</v>
      </c>
      <c r="AK223" s="1"/>
    </row>
    <row r="224" spans="1:39" ht="21" thickBot="1">
      <c r="A224" s="643" t="s">
        <v>156</v>
      </c>
      <c r="B224" s="644"/>
      <c r="C224" s="644"/>
      <c r="D224" s="645"/>
      <c r="E224" s="3897">
        <f>SUM(E223:K223)</f>
        <v>148</v>
      </c>
      <c r="F224" s="3898"/>
      <c r="G224" s="3898"/>
      <c r="H224" s="3898"/>
      <c r="I224" s="3898"/>
      <c r="J224" s="3898"/>
      <c r="K224" s="3899"/>
      <c r="L224" s="667"/>
      <c r="M224" s="3778">
        <f>SUM(M223:T223)</f>
        <v>0</v>
      </c>
      <c r="N224" s="3779"/>
      <c r="O224" s="3779"/>
      <c r="P224" s="3779"/>
      <c r="Q224" s="3779"/>
      <c r="R224" s="3779"/>
      <c r="S224" s="3779"/>
      <c r="T224" s="3780"/>
      <c r="U224" s="675"/>
      <c r="V224" s="3778">
        <f>SUM(V223:AC223)</f>
        <v>0</v>
      </c>
      <c r="W224" s="3779"/>
      <c r="X224" s="3779"/>
      <c r="Y224" s="3779"/>
      <c r="Z224" s="3779"/>
      <c r="AA224" s="3779"/>
      <c r="AB224" s="3779"/>
      <c r="AC224" s="3780"/>
      <c r="AD224" s="694"/>
      <c r="AE224" s="694"/>
      <c r="AF224" s="694"/>
      <c r="AG224" s="694"/>
      <c r="AH224" s="694"/>
      <c r="AI224" s="694"/>
      <c r="AJ224" s="707"/>
    </row>
    <row r="225" spans="1:36" ht="21" thickBot="1">
      <c r="A225" s="646" t="s">
        <v>157</v>
      </c>
      <c r="B225" s="647"/>
      <c r="C225" s="647"/>
      <c r="D225" s="648"/>
      <c r="E225" s="3875">
        <f>SUM(E222:K222)</f>
        <v>2960</v>
      </c>
      <c r="F225" s="3876"/>
      <c r="G225" s="3876"/>
      <c r="H225" s="3876"/>
      <c r="I225" s="3876"/>
      <c r="J225" s="3876"/>
      <c r="K225" s="3900"/>
      <c r="L225" s="669"/>
      <c r="M225" s="3877">
        <f>SUM(M222:T222)</f>
        <v>0</v>
      </c>
      <c r="N225" s="3878"/>
      <c r="O225" s="3878"/>
      <c r="P225" s="3878"/>
      <c r="Q225" s="3878"/>
      <c r="R225" s="3878"/>
      <c r="S225" s="3878"/>
      <c r="T225" s="3879"/>
      <c r="U225" s="676"/>
      <c r="V225" s="3781">
        <f>SUM(V222:AC222)</f>
        <v>0</v>
      </c>
      <c r="W225" s="3788"/>
      <c r="X225" s="3788"/>
      <c r="Y225" s="3788"/>
      <c r="Z225" s="3788"/>
      <c r="AA225" s="3788"/>
      <c r="AB225" s="3788"/>
      <c r="AC225" s="3880"/>
      <c r="AD225" s="688"/>
      <c r="AE225" s="689"/>
      <c r="AF225" s="673"/>
      <c r="AG225" s="673"/>
      <c r="AH225" s="689"/>
      <c r="AI225" s="689"/>
      <c r="AJ225" s="704"/>
    </row>
    <row r="226" spans="1:36">
      <c r="A226" s="634"/>
      <c r="B226" s="635"/>
      <c r="C226" s="635"/>
      <c r="D226" s="649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4"/>
      <c r="P226" s="634"/>
      <c r="Q226" s="634"/>
      <c r="R226" s="634"/>
      <c r="S226" s="634"/>
      <c r="T226" s="634"/>
      <c r="U226" s="634"/>
      <c r="V226" s="634"/>
      <c r="W226" s="634"/>
      <c r="X226" s="634"/>
      <c r="Y226" s="634"/>
      <c r="Z226" s="634"/>
      <c r="AA226" s="634"/>
      <c r="AB226" s="690"/>
      <c r="AC226" s="690"/>
      <c r="AD226" s="690"/>
      <c r="AE226" s="690"/>
      <c r="AF226" s="634"/>
      <c r="AG226" s="634"/>
      <c r="AH226" s="634"/>
      <c r="AI226" s="634"/>
      <c r="AJ226" s="634"/>
    </row>
    <row r="227" spans="1:36" ht="21" thickBot="1">
      <c r="A227" s="650"/>
      <c r="B227" s="651"/>
      <c r="C227" s="651"/>
      <c r="D227" s="650"/>
      <c r="E227" s="650"/>
      <c r="F227" s="650"/>
      <c r="G227" s="650"/>
      <c r="H227" s="650"/>
      <c r="I227" s="650"/>
      <c r="J227" s="650"/>
      <c r="K227" s="650"/>
      <c r="L227" s="650"/>
      <c r="M227" s="650"/>
      <c r="N227" s="650"/>
      <c r="O227" s="650"/>
      <c r="P227" s="650"/>
      <c r="Q227" s="650"/>
      <c r="R227" s="650"/>
      <c r="S227" s="650"/>
      <c r="T227" s="650"/>
      <c r="U227" s="650"/>
      <c r="V227" s="650"/>
      <c r="W227" s="650"/>
      <c r="X227" s="650"/>
      <c r="Y227" s="650"/>
      <c r="Z227" s="650"/>
      <c r="AA227" s="650"/>
      <c r="AB227" s="650"/>
      <c r="AC227" s="650"/>
      <c r="AD227" s="650"/>
      <c r="AE227" s="650"/>
      <c r="AF227" s="650"/>
      <c r="AG227" s="650"/>
      <c r="AH227" s="650"/>
      <c r="AI227" s="650"/>
      <c r="AJ227" s="650"/>
    </row>
    <row r="228" spans="1:36" ht="27.75" thickBot="1">
      <c r="A228" s="634"/>
      <c r="B228" s="635"/>
      <c r="C228" s="635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4"/>
      <c r="P228" s="634"/>
      <c r="Q228" s="634"/>
      <c r="R228" s="634"/>
      <c r="S228" s="634"/>
      <c r="T228" s="634"/>
      <c r="U228" s="634"/>
      <c r="V228" s="634"/>
      <c r="W228" s="677"/>
      <c r="X228" s="3857" t="s">
        <v>158</v>
      </c>
      <c r="Y228" s="3858"/>
      <c r="Z228" s="3858"/>
      <c r="AA228" s="3858"/>
      <c r="AB228" s="3859"/>
      <c r="AC228" s="3802">
        <f>'BIG CHAIR'!CI325</f>
        <v>0</v>
      </c>
      <c r="AD228" s="3803"/>
      <c r="AE228" s="3804"/>
      <c r="AF228" s="634"/>
      <c r="AG228" s="634"/>
      <c r="AH228" s="634"/>
      <c r="AI228" s="634"/>
      <c r="AJ228" s="634"/>
    </row>
    <row r="229" spans="1:36" ht="27.75" thickBot="1">
      <c r="A229" s="634"/>
      <c r="B229" s="635"/>
      <c r="C229" s="635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4"/>
      <c r="S229" s="634"/>
      <c r="T229" s="634"/>
      <c r="U229" s="634"/>
      <c r="V229" s="634"/>
      <c r="W229" s="677"/>
      <c r="X229" s="3857" t="s">
        <v>159</v>
      </c>
      <c r="Y229" s="3858"/>
      <c r="Z229" s="3858"/>
      <c r="AA229" s="3858"/>
      <c r="AB229" s="3859"/>
      <c r="AC229" s="3872">
        <f>AE222</f>
        <v>2960</v>
      </c>
      <c r="AD229" s="3873"/>
      <c r="AE229" s="3874"/>
      <c r="AF229" s="634"/>
      <c r="AG229" s="634"/>
      <c r="AH229" s="634"/>
      <c r="AI229" s="634"/>
      <c r="AJ229" s="708"/>
    </row>
    <row r="230" spans="1:36" ht="27.75" thickBot="1">
      <c r="A230" s="634"/>
      <c r="B230" s="635"/>
      <c r="C230" s="635"/>
      <c r="D230" s="634"/>
      <c r="E230" s="634"/>
      <c r="F230" s="634"/>
      <c r="G230" s="634"/>
      <c r="H230" s="634"/>
      <c r="I230" s="634"/>
      <c r="J230" s="634"/>
      <c r="K230" s="634"/>
      <c r="L230" s="634"/>
      <c r="M230" s="634"/>
      <c r="N230" s="634"/>
      <c r="O230" s="634"/>
      <c r="P230" s="634"/>
      <c r="Q230" s="634"/>
      <c r="R230" s="634"/>
      <c r="S230" s="634"/>
      <c r="T230" s="634"/>
      <c r="U230" s="634"/>
      <c r="V230" s="634"/>
      <c r="W230" s="677"/>
      <c r="X230" s="3857" t="s">
        <v>160</v>
      </c>
      <c r="Y230" s="3858"/>
      <c r="Z230" s="3858"/>
      <c r="AA230" s="3858"/>
      <c r="AB230" s="3859"/>
      <c r="AC230" s="3802">
        <f>'BIG CHAIR'!CJ325</f>
        <v>0</v>
      </c>
      <c r="AD230" s="3803"/>
      <c r="AE230" s="3804"/>
      <c r="AF230" s="634"/>
      <c r="AG230" s="634"/>
      <c r="AH230" s="634"/>
      <c r="AI230" s="634"/>
      <c r="AJ230" s="634"/>
    </row>
    <row r="231" spans="1:36" ht="27.75" thickBot="1">
      <c r="A231" s="634"/>
      <c r="B231" s="635"/>
      <c r="C231" s="635"/>
      <c r="D231" s="634"/>
      <c r="E231" s="634"/>
      <c r="F231" s="634"/>
      <c r="G231" s="634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77"/>
      <c r="X231" s="3857" t="s">
        <v>161</v>
      </c>
      <c r="Y231" s="3858"/>
      <c r="Z231" s="3858"/>
      <c r="AA231" s="3858"/>
      <c r="AB231" s="3858"/>
      <c r="AC231" s="3872">
        <f>AF222</f>
        <v>0</v>
      </c>
      <c r="AD231" s="3803"/>
      <c r="AE231" s="3804"/>
      <c r="AF231" s="634"/>
      <c r="AG231" s="634"/>
      <c r="AH231" s="634"/>
      <c r="AI231" s="634"/>
      <c r="AJ231" s="634"/>
    </row>
    <row r="232" spans="1:36" ht="27.75" thickBot="1">
      <c r="A232" s="634"/>
      <c r="B232" s="635"/>
      <c r="C232" s="635"/>
      <c r="D232" s="634"/>
      <c r="E232" s="634"/>
      <c r="F232" s="634"/>
      <c r="G232" s="634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4"/>
      <c r="S232" s="634"/>
      <c r="T232" s="634"/>
      <c r="U232" s="634"/>
      <c r="V232" s="634"/>
      <c r="W232" s="677"/>
      <c r="X232" s="3857" t="s">
        <v>162</v>
      </c>
      <c r="Y232" s="3858"/>
      <c r="Z232" s="3858"/>
      <c r="AA232" s="3858"/>
      <c r="AB232" s="3859"/>
      <c r="AC232" s="3802">
        <f>'Tea Table'!U285</f>
        <v>2676</v>
      </c>
      <c r="AD232" s="3803"/>
      <c r="AE232" s="3804"/>
      <c r="AF232" s="634"/>
      <c r="AG232" s="634"/>
      <c r="AH232" s="634"/>
      <c r="AI232" s="634"/>
      <c r="AJ232" s="634"/>
    </row>
    <row r="233" spans="1:36" ht="27.75" thickBot="1">
      <c r="A233" s="634"/>
      <c r="B233" s="635"/>
      <c r="C233" s="635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77"/>
      <c r="X233" s="3860" t="s">
        <v>163</v>
      </c>
      <c r="Y233" s="3861"/>
      <c r="Z233" s="3861"/>
      <c r="AA233" s="3861"/>
      <c r="AB233" s="3862"/>
      <c r="AC233" s="3863">
        <f>'Tea Table'!V285</f>
        <v>29</v>
      </c>
      <c r="AD233" s="3864"/>
      <c r="AE233" s="3865"/>
      <c r="AF233" s="634"/>
      <c r="AG233" s="634"/>
      <c r="AH233" s="634"/>
      <c r="AI233" s="634"/>
      <c r="AJ233" s="634"/>
    </row>
    <row r="234" spans="1:36" ht="28.5" thickTop="1" thickBot="1">
      <c r="A234" s="634"/>
      <c r="B234" s="635"/>
      <c r="C234" s="635"/>
      <c r="D234" s="634"/>
      <c r="E234" s="634"/>
      <c r="F234" s="634"/>
      <c r="G234" s="634"/>
      <c r="H234" s="634"/>
      <c r="I234" s="634"/>
      <c r="J234" s="634"/>
      <c r="K234" s="634"/>
      <c r="L234" s="634"/>
      <c r="M234" s="634"/>
      <c r="N234" s="634"/>
      <c r="O234" s="634"/>
      <c r="P234" s="634"/>
      <c r="Q234" s="634"/>
      <c r="R234" s="634"/>
      <c r="S234" s="634"/>
      <c r="T234" s="634"/>
      <c r="U234" s="634"/>
      <c r="V234" s="634"/>
      <c r="W234" s="677"/>
      <c r="X234" s="3866"/>
      <c r="Y234" s="3867"/>
      <c r="Z234" s="3867"/>
      <c r="AA234" s="3867"/>
      <c r="AB234" s="3868"/>
      <c r="AC234" s="3869"/>
      <c r="AD234" s="3870"/>
      <c r="AE234" s="3871"/>
      <c r="AF234" s="634"/>
      <c r="AG234" s="634"/>
      <c r="AH234" s="634"/>
      <c r="AI234" s="634"/>
      <c r="AJ234" s="634"/>
    </row>
    <row r="235" spans="1:36" ht="27.75" thickBot="1">
      <c r="A235" s="634"/>
      <c r="B235" s="635"/>
      <c r="C235" s="635"/>
      <c r="D235" s="634"/>
      <c r="E235" s="634"/>
      <c r="F235" s="634"/>
      <c r="G235" s="634"/>
      <c r="H235" s="634"/>
      <c r="I235" s="634"/>
      <c r="J235" s="634"/>
      <c r="K235" s="634"/>
      <c r="L235" s="634"/>
      <c r="M235" s="634"/>
      <c r="N235" s="634"/>
      <c r="O235" s="634"/>
      <c r="P235" s="634"/>
      <c r="Q235" s="634"/>
      <c r="R235" s="634"/>
      <c r="S235" s="634"/>
      <c r="T235" s="634"/>
      <c r="U235" s="634"/>
      <c r="V235" s="634"/>
      <c r="W235" s="677"/>
      <c r="X235" s="3857" t="s">
        <v>164</v>
      </c>
      <c r="Y235" s="3858"/>
      <c r="Z235" s="3858"/>
      <c r="AA235" s="3858"/>
      <c r="AB235" s="3859"/>
      <c r="AC235" s="3796">
        <f>SUM(AC228:AE234)</f>
        <v>5665</v>
      </c>
      <c r="AD235" s="3797"/>
      <c r="AE235" s="3798"/>
      <c r="AF235" s="634"/>
      <c r="AG235" s="634"/>
      <c r="AH235" s="634"/>
      <c r="AI235" s="634"/>
      <c r="AJ235" s="634"/>
    </row>
    <row r="236" spans="1:36" ht="27.75" thickBot="1">
      <c r="A236" s="634"/>
      <c r="B236" s="635"/>
      <c r="C236" s="635"/>
      <c r="D236" s="634"/>
      <c r="E236" s="634"/>
      <c r="F236" s="634"/>
      <c r="G236" s="634"/>
      <c r="H236" s="634"/>
      <c r="I236" s="634"/>
      <c r="J236" s="634"/>
      <c r="K236" s="634"/>
      <c r="L236" s="634"/>
      <c r="M236" s="634"/>
      <c r="N236" s="634"/>
      <c r="O236" s="634"/>
      <c r="P236" s="634"/>
      <c r="Q236" s="634"/>
      <c r="R236" s="634"/>
      <c r="S236" s="634"/>
      <c r="T236" s="634"/>
      <c r="U236" s="634"/>
      <c r="V236" s="634"/>
      <c r="W236" s="677"/>
      <c r="X236" s="3857" t="s">
        <v>165</v>
      </c>
      <c r="Y236" s="3858"/>
      <c r="Z236" s="3858"/>
      <c r="AA236" s="3858"/>
      <c r="AB236" s="3859"/>
      <c r="AC236" s="3796">
        <f>AE223+'BIG CHAIR'!CI326+'Tea Table'!U286</f>
        <v>371</v>
      </c>
      <c r="AD236" s="3797"/>
      <c r="AE236" s="3798"/>
      <c r="AF236" s="695"/>
      <c r="AG236" s="695"/>
      <c r="AH236" s="695"/>
      <c r="AI236" s="634"/>
      <c r="AJ236" s="634"/>
    </row>
    <row r="237" spans="1:36">
      <c r="A237" s="634"/>
      <c r="B237" s="635"/>
      <c r="C237" s="635"/>
      <c r="D237" s="634"/>
      <c r="AB237" s="696"/>
      <c r="AC237" s="696"/>
      <c r="AD237" s="696"/>
      <c r="AE237" s="696"/>
    </row>
    <row r="238" spans="1:36">
      <c r="B238" s="652"/>
      <c r="C238" s="652"/>
      <c r="AB238" s="696"/>
      <c r="AC238" s="696"/>
      <c r="AD238" s="696"/>
      <c r="AE238" s="696"/>
    </row>
    <row r="239" spans="1:36">
      <c r="B239" s="652"/>
      <c r="C239" s="652"/>
      <c r="AB239" s="696"/>
      <c r="AC239" s="696"/>
      <c r="AD239" s="696"/>
      <c r="AE239" s="696"/>
    </row>
    <row r="240" spans="1:36">
      <c r="B240" s="652"/>
      <c r="C240" s="652"/>
      <c r="AB240" s="696"/>
      <c r="AC240" s="696"/>
      <c r="AD240" s="696"/>
      <c r="AE240" s="696"/>
    </row>
    <row r="241" spans="2:31">
      <c r="B241" s="652"/>
      <c r="C241" s="652"/>
      <c r="AB241" s="696"/>
      <c r="AC241" s="696"/>
      <c r="AD241" s="696"/>
      <c r="AE241" s="696"/>
    </row>
    <row r="242" spans="2:31">
      <c r="B242" s="652"/>
      <c r="C242" s="652"/>
      <c r="AB242" s="696"/>
      <c r="AC242" s="696"/>
      <c r="AD242" s="696"/>
      <c r="AE242" s="696"/>
    </row>
    <row r="243" spans="2:31">
      <c r="B243" s="652"/>
      <c r="C243" s="652"/>
      <c r="AB243" s="696"/>
      <c r="AC243" s="696"/>
      <c r="AD243" s="696"/>
      <c r="AE243" s="696"/>
    </row>
    <row r="244" spans="2:31">
      <c r="B244" s="652"/>
      <c r="C244" s="652"/>
      <c r="AB244" s="696"/>
      <c r="AC244" s="696"/>
      <c r="AD244" s="696"/>
      <c r="AE244" s="696"/>
    </row>
    <row r="245" spans="2:31">
      <c r="B245" s="652"/>
      <c r="C245" s="652"/>
      <c r="AB245" s="696"/>
      <c r="AC245" s="696"/>
      <c r="AD245" s="696"/>
      <c r="AE245" s="696"/>
    </row>
    <row r="246" spans="2:31">
      <c r="B246" s="652"/>
      <c r="C246" s="652"/>
      <c r="AB246" s="696"/>
      <c r="AC246" s="696"/>
      <c r="AD246" s="696"/>
      <c r="AE246" s="696"/>
    </row>
    <row r="247" spans="2:31">
      <c r="B247" s="652"/>
      <c r="C247" s="652"/>
      <c r="AB247" s="696"/>
      <c r="AC247" s="696"/>
      <c r="AD247" s="696"/>
      <c r="AE247" s="696"/>
    </row>
    <row r="248" spans="2:31">
      <c r="B248" s="652"/>
      <c r="C248" s="652"/>
      <c r="AB248" s="696"/>
      <c r="AC248" s="696"/>
      <c r="AD248" s="696"/>
      <c r="AE248" s="696"/>
    </row>
    <row r="249" spans="2:31">
      <c r="B249" s="652"/>
      <c r="C249" s="652"/>
      <c r="AB249" s="696"/>
      <c r="AC249" s="696"/>
      <c r="AD249" s="696"/>
      <c r="AE249" s="696"/>
    </row>
    <row r="250" spans="2:31">
      <c r="B250" s="652"/>
      <c r="C250" s="652"/>
      <c r="AB250" s="696"/>
      <c r="AC250" s="696"/>
      <c r="AD250" s="696"/>
      <c r="AE250" s="696"/>
    </row>
    <row r="251" spans="2:31">
      <c r="B251" s="652"/>
      <c r="C251" s="652"/>
      <c r="AB251" s="696"/>
      <c r="AC251" s="696"/>
      <c r="AD251" s="696"/>
      <c r="AE251" s="696"/>
    </row>
    <row r="252" spans="2:31">
      <c r="B252" s="652"/>
      <c r="C252" s="652"/>
      <c r="AB252" s="696"/>
      <c r="AC252" s="696"/>
      <c r="AD252" s="696"/>
      <c r="AE252" s="696"/>
    </row>
    <row r="253" spans="2:31">
      <c r="B253" s="652"/>
      <c r="C253" s="652"/>
      <c r="AB253" s="696"/>
      <c r="AC253" s="696"/>
      <c r="AD253" s="696"/>
      <c r="AE253" s="696"/>
    </row>
    <row r="254" spans="2:31">
      <c r="B254" s="652"/>
      <c r="C254" s="652"/>
      <c r="AB254" s="696"/>
      <c r="AC254" s="696"/>
      <c r="AD254" s="696"/>
      <c r="AE254" s="696"/>
    </row>
  </sheetData>
  <mergeCells count="41">
    <mergeCell ref="X236:AB236"/>
    <mergeCell ref="AC236:AE236"/>
    <mergeCell ref="X233:AB233"/>
    <mergeCell ref="AC233:AE233"/>
    <mergeCell ref="X234:AB234"/>
    <mergeCell ref="AC234:AE234"/>
    <mergeCell ref="X235:AB235"/>
    <mergeCell ref="AC235:AE235"/>
    <mergeCell ref="X230:AB230"/>
    <mergeCell ref="AC230:AE230"/>
    <mergeCell ref="X231:AB231"/>
    <mergeCell ref="AC231:AE231"/>
    <mergeCell ref="X232:AB232"/>
    <mergeCell ref="AC232:AE232"/>
    <mergeCell ref="X229:AB229"/>
    <mergeCell ref="AC229:AE229"/>
    <mergeCell ref="E220:K220"/>
    <mergeCell ref="M220:T220"/>
    <mergeCell ref="V220:AC220"/>
    <mergeCell ref="E225:K225"/>
    <mergeCell ref="M225:T225"/>
    <mergeCell ref="V225:AC225"/>
    <mergeCell ref="X228:AB228"/>
    <mergeCell ref="AC228:AE228"/>
    <mergeCell ref="AF222:AG222"/>
    <mergeCell ref="AF223:AG223"/>
    <mergeCell ref="E224:K224"/>
    <mergeCell ref="M224:T224"/>
    <mergeCell ref="V224:AC224"/>
    <mergeCell ref="AE2:AJ2"/>
    <mergeCell ref="A147:AJ147"/>
    <mergeCell ref="A215:C215"/>
    <mergeCell ref="A2:D2"/>
    <mergeCell ref="E2:K2"/>
    <mergeCell ref="M2:T2"/>
    <mergeCell ref="V2:AC2"/>
    <mergeCell ref="A148:D148"/>
    <mergeCell ref="E148:K148"/>
    <mergeCell ref="M148:T148"/>
    <mergeCell ref="V148:AC148"/>
    <mergeCell ref="AE148:AJ148"/>
  </mergeCells>
  <phoneticPr fontId="222" type="noConversion"/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M298"/>
  <sheetViews>
    <sheetView workbookViewId="0">
      <pane ySplit="3" topLeftCell="A208" activePane="bottomLeft" state="frozen"/>
      <selection activeCell="A181" sqref="A181"/>
      <selection pane="bottomLeft" activeCell="A215" sqref="A215"/>
    </sheetView>
  </sheetViews>
  <sheetFormatPr defaultColWidth="9" defaultRowHeight="15"/>
  <cols>
    <col min="1" max="1" width="58.42578125" customWidth="1"/>
    <col min="2" max="2" width="19.28515625" style="276" customWidth="1"/>
    <col min="3" max="3" width="14.140625" style="276" customWidth="1"/>
    <col min="4" max="4" width="20.85546875" customWidth="1"/>
    <col min="5" max="5" width="11.5703125" customWidth="1"/>
    <col min="6" max="6" width="13" bestFit="1" customWidth="1"/>
    <col min="7" max="7" width="12.140625" customWidth="1"/>
    <col min="8" max="8" width="16.7109375" bestFit="1" customWidth="1"/>
    <col min="9" max="9" width="9.7109375" customWidth="1"/>
    <col min="10" max="10" width="16.5703125" customWidth="1"/>
    <col min="11" max="11" width="18" customWidth="1"/>
    <col min="12" max="12" width="1.42578125" customWidth="1"/>
    <col min="13" max="14" width="13.7109375" customWidth="1"/>
    <col min="15" max="15" width="16.7109375" customWidth="1"/>
    <col min="16" max="17" width="11.5703125" customWidth="1"/>
    <col min="18" max="18" width="14" customWidth="1"/>
    <col min="19" max="19" width="11.5703125" customWidth="1"/>
    <col min="20" max="20" width="15.140625" customWidth="1"/>
    <col min="21" max="21" width="1.5703125" customWidth="1"/>
    <col min="22" max="22" width="15.7109375" customWidth="1"/>
    <col min="23" max="23" width="16" customWidth="1"/>
    <col min="24" max="24" width="11.5703125" customWidth="1"/>
    <col min="25" max="25" width="13.5703125" customWidth="1"/>
    <col min="26" max="26" width="12.85546875" customWidth="1"/>
    <col min="27" max="27" width="11.5703125" customWidth="1"/>
    <col min="28" max="28" width="18.140625" bestFit="1" customWidth="1"/>
    <col min="29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7" thickBot="1">
      <c r="A1" s="285" t="s">
        <v>374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>
        <v>501</v>
      </c>
      <c r="F2" s="3892"/>
      <c r="G2" s="3892"/>
      <c r="H2" s="3892"/>
      <c r="I2" s="3892"/>
      <c r="J2" s="3892"/>
      <c r="K2" s="3904"/>
      <c r="L2" s="336"/>
      <c r="M2" s="3893">
        <v>502</v>
      </c>
      <c r="N2" s="3894"/>
      <c r="O2" s="3894"/>
      <c r="P2" s="3894"/>
      <c r="Q2" s="3894"/>
      <c r="R2" s="3894"/>
      <c r="S2" s="3894"/>
      <c r="T2" s="3895"/>
      <c r="U2" s="364"/>
      <c r="V2" s="3893">
        <v>503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2697" t="s">
        <v>53</v>
      </c>
      <c r="F3" s="2698" t="s">
        <v>442</v>
      </c>
      <c r="G3" s="2698" t="s">
        <v>372</v>
      </c>
      <c r="H3" s="2698" t="s">
        <v>473</v>
      </c>
      <c r="I3" s="2698" t="s">
        <v>94</v>
      </c>
      <c r="J3" s="2698" t="s">
        <v>505</v>
      </c>
      <c r="K3" s="2702" t="s">
        <v>95</v>
      </c>
      <c r="L3" s="2699"/>
      <c r="M3" s="2697" t="s">
        <v>53</v>
      </c>
      <c r="N3" s="2698" t="s">
        <v>190</v>
      </c>
      <c r="O3" s="2698" t="s">
        <v>467</v>
      </c>
      <c r="P3" s="2698" t="s">
        <v>206</v>
      </c>
      <c r="Q3" s="2698" t="s">
        <v>94</v>
      </c>
      <c r="R3" s="2698" t="s">
        <v>446</v>
      </c>
      <c r="S3" s="2702" t="s">
        <v>96</v>
      </c>
      <c r="T3" s="2700" t="s">
        <v>86</v>
      </c>
      <c r="U3" s="2699"/>
      <c r="V3" s="2697" t="s">
        <v>53</v>
      </c>
      <c r="W3" s="2698" t="s">
        <v>487</v>
      </c>
      <c r="X3" s="2698" t="s">
        <v>372</v>
      </c>
      <c r="Y3" s="2698" t="s">
        <v>304</v>
      </c>
      <c r="Z3" s="2698" t="s">
        <v>94</v>
      </c>
      <c r="AA3" s="2698" t="s">
        <v>170</v>
      </c>
      <c r="AB3" s="2702" t="s">
        <v>373</v>
      </c>
      <c r="AC3" s="2700" t="s">
        <v>509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471</v>
      </c>
      <c r="C4" s="290"/>
      <c r="D4" s="291"/>
      <c r="E4" s="292"/>
      <c r="F4" s="293"/>
      <c r="G4" s="293"/>
      <c r="H4" s="293"/>
      <c r="I4" s="337"/>
      <c r="J4" s="337">
        <f>14*12</f>
        <v>168</v>
      </c>
      <c r="K4" s="338"/>
      <c r="L4" s="339"/>
      <c r="M4" s="340"/>
      <c r="N4" s="293">
        <f>2*12</f>
        <v>24</v>
      </c>
      <c r="O4" s="337">
        <f>36*12</f>
        <v>432</v>
      </c>
      <c r="P4" s="337">
        <f>7*12</f>
        <v>84</v>
      </c>
      <c r="Q4" s="337"/>
      <c r="R4" s="337">
        <f>15*12</f>
        <v>180</v>
      </c>
      <c r="S4" s="365"/>
      <c r="T4" s="338">
        <f>32*12</f>
        <v>384</v>
      </c>
      <c r="U4" s="339"/>
      <c r="V4" s="366"/>
      <c r="W4" s="293">
        <f>110*12+4*12</f>
        <v>1368</v>
      </c>
      <c r="X4" s="293">
        <f>28*12</f>
        <v>336</v>
      </c>
      <c r="Y4" s="337">
        <f>2*12</f>
        <v>24</v>
      </c>
      <c r="Z4" s="337">
        <f>22*12</f>
        <v>264</v>
      </c>
      <c r="AA4" s="337"/>
      <c r="AB4" s="293"/>
      <c r="AC4" s="338">
        <f>20*12</f>
        <v>240</v>
      </c>
      <c r="AD4" s="339"/>
      <c r="AE4" s="373">
        <f>SUM(E4:AC4)</f>
        <v>3504</v>
      </c>
      <c r="AF4" s="373"/>
      <c r="AG4" s="373"/>
      <c r="AH4" s="373">
        <f>AE4+AF4</f>
        <v>3504</v>
      </c>
      <c r="AI4" s="373"/>
      <c r="AJ4" s="373">
        <f>SUM(E4:AC4)</f>
        <v>3504</v>
      </c>
    </row>
    <row r="5" spans="1:39" s="283" customFormat="1" ht="21" thickBot="1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7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1" thickBot="1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37" si="1">AE6+AF6</f>
        <v>0</v>
      </c>
      <c r="AI6" s="392"/>
      <c r="AJ6" s="393">
        <f t="shared" ref="AJ6:AJ37" si="2">AH6+AI6</f>
        <v>0</v>
      </c>
      <c r="AK6" s="394"/>
      <c r="AL6" s="54"/>
      <c r="AM6" s="394"/>
    </row>
    <row r="7" spans="1:39" s="283" customFormat="1" ht="21" thickBot="1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1" thickBot="1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1" thickBot="1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2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5">
        <f t="shared" si="2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9.5" thickBot="1">
      <c r="A38" s="302" t="s">
        <v>175</v>
      </c>
      <c r="B38" s="303"/>
      <c r="C38" s="303"/>
      <c r="D38" s="304"/>
      <c r="E38" s="305">
        <f t="shared" ref="E38:AJ38" si="3">SUM(E5:E37)</f>
        <v>0</v>
      </c>
      <c r="F38" s="305">
        <f t="shared" si="3"/>
        <v>0</v>
      </c>
      <c r="G38" s="305">
        <f t="shared" si="3"/>
        <v>0</v>
      </c>
      <c r="H38" s="305">
        <f t="shared" si="3"/>
        <v>0</v>
      </c>
      <c r="I38" s="305">
        <f t="shared" si="3"/>
        <v>0</v>
      </c>
      <c r="J38" s="305">
        <f t="shared" si="3"/>
        <v>0</v>
      </c>
      <c r="K38" s="305">
        <f t="shared" si="3"/>
        <v>0</v>
      </c>
      <c r="L38" s="305">
        <f t="shared" si="3"/>
        <v>0</v>
      </c>
      <c r="M38" s="305">
        <f t="shared" si="3"/>
        <v>0</v>
      </c>
      <c r="N38" s="305">
        <f t="shared" si="3"/>
        <v>0</v>
      </c>
      <c r="O38" s="305">
        <f t="shared" si="3"/>
        <v>0</v>
      </c>
      <c r="P38" s="305">
        <f t="shared" si="3"/>
        <v>0</v>
      </c>
      <c r="Q38" s="305">
        <f t="shared" si="3"/>
        <v>0</v>
      </c>
      <c r="R38" s="305">
        <f t="shared" si="3"/>
        <v>0</v>
      </c>
      <c r="S38" s="305">
        <f t="shared" si="3"/>
        <v>0</v>
      </c>
      <c r="T38" s="812">
        <f t="shared" si="3"/>
        <v>0</v>
      </c>
      <c r="U38" s="305">
        <f t="shared" si="3"/>
        <v>0</v>
      </c>
      <c r="V38" s="305">
        <f t="shared" si="3"/>
        <v>0</v>
      </c>
      <c r="W38" s="305">
        <f t="shared" si="3"/>
        <v>0</v>
      </c>
      <c r="X38" s="305">
        <f t="shared" si="3"/>
        <v>0</v>
      </c>
      <c r="Y38" s="305">
        <f t="shared" si="3"/>
        <v>0</v>
      </c>
      <c r="Z38" s="305">
        <f t="shared" si="3"/>
        <v>0</v>
      </c>
      <c r="AA38" s="305">
        <f t="shared" si="3"/>
        <v>0</v>
      </c>
      <c r="AB38" s="305">
        <f t="shared" si="3"/>
        <v>0</v>
      </c>
      <c r="AC38" s="305">
        <f t="shared" si="3"/>
        <v>0</v>
      </c>
      <c r="AD38" s="305">
        <f t="shared" si="3"/>
        <v>0</v>
      </c>
      <c r="AE38" s="305">
        <f t="shared" si="3"/>
        <v>0</v>
      </c>
      <c r="AF38" s="305">
        <f t="shared" si="3"/>
        <v>0</v>
      </c>
      <c r="AG38" s="305">
        <f t="shared" si="3"/>
        <v>0</v>
      </c>
      <c r="AH38" s="305">
        <f t="shared" si="3"/>
        <v>0</v>
      </c>
      <c r="AI38" s="305">
        <f t="shared" si="3"/>
        <v>0</v>
      </c>
      <c r="AJ38" s="305">
        <f t="shared" si="3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24" thickBot="1">
      <c r="A39" s="306"/>
      <c r="B39" s="307"/>
      <c r="C39" s="307"/>
      <c r="D39" s="308"/>
      <c r="E39" s="3891">
        <v>501</v>
      </c>
      <c r="F39" s="3892"/>
      <c r="G39" s="3892"/>
      <c r="H39" s="3892"/>
      <c r="I39" s="3892"/>
      <c r="J39" s="3892"/>
      <c r="K39" s="3904"/>
      <c r="L39" s="336"/>
      <c r="M39" s="3893">
        <v>502</v>
      </c>
      <c r="N39" s="3894"/>
      <c r="O39" s="3894"/>
      <c r="P39" s="3894"/>
      <c r="Q39" s="3894"/>
      <c r="R39" s="3894"/>
      <c r="S39" s="3894"/>
      <c r="T39" s="3895"/>
      <c r="U39" s="364"/>
      <c r="V39" s="3893">
        <v>503</v>
      </c>
      <c r="W39" s="3894"/>
      <c r="X39" s="3894"/>
      <c r="Y39" s="3894"/>
      <c r="Z39" s="3894"/>
      <c r="AA39" s="3894"/>
      <c r="AB39" s="3894"/>
      <c r="AC39" s="3895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86" t="s">
        <v>117</v>
      </c>
      <c r="B40" s="287" t="s">
        <v>68</v>
      </c>
      <c r="C40" s="287" t="s">
        <v>69</v>
      </c>
      <c r="D40" s="288" t="s">
        <v>70</v>
      </c>
      <c r="E40" s="2697" t="s">
        <v>53</v>
      </c>
      <c r="F40" s="2698" t="s">
        <v>442</v>
      </c>
      <c r="G40" s="2698" t="s">
        <v>372</v>
      </c>
      <c r="H40" s="2698" t="s">
        <v>473</v>
      </c>
      <c r="I40" s="2698" t="s">
        <v>94</v>
      </c>
      <c r="J40" s="2698"/>
      <c r="K40" s="2702" t="s">
        <v>95</v>
      </c>
      <c r="L40" s="2699"/>
      <c r="M40" s="2697" t="s">
        <v>53</v>
      </c>
      <c r="N40" s="2698" t="s">
        <v>190</v>
      </c>
      <c r="O40" s="2698" t="s">
        <v>467</v>
      </c>
      <c r="P40" s="2698" t="s">
        <v>206</v>
      </c>
      <c r="Q40" s="2698" t="s">
        <v>94</v>
      </c>
      <c r="R40" s="2698" t="s">
        <v>446</v>
      </c>
      <c r="S40" s="2702" t="s">
        <v>96</v>
      </c>
      <c r="T40" s="2700" t="s">
        <v>86</v>
      </c>
      <c r="U40" s="2699"/>
      <c r="V40" s="2697" t="s">
        <v>53</v>
      </c>
      <c r="W40" s="2698"/>
      <c r="X40" s="2698" t="s">
        <v>372</v>
      </c>
      <c r="Y40" s="2698" t="s">
        <v>304</v>
      </c>
      <c r="Z40" s="2698" t="s">
        <v>94</v>
      </c>
      <c r="AA40" s="2698" t="s">
        <v>170</v>
      </c>
      <c r="AB40" s="2702"/>
      <c r="AC40" s="2700"/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0.25">
      <c r="A41" s="310" t="s">
        <v>176</v>
      </c>
      <c r="B41" s="311"/>
      <c r="C41" s="311"/>
      <c r="D41" s="312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4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316" t="s">
        <v>120</v>
      </c>
      <c r="B42" s="317"/>
      <c r="C42" s="317"/>
      <c r="D42" s="318"/>
      <c r="E42" s="319"/>
      <c r="F42" s="320"/>
      <c r="G42" s="320"/>
      <c r="H42" s="321"/>
      <c r="I42" s="321"/>
      <c r="J42" s="320"/>
      <c r="K42" s="351"/>
      <c r="L42" s="352"/>
      <c r="M42" s="353"/>
      <c r="N42" s="320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4"/>
        <v>0</v>
      </c>
      <c r="AF42" s="381"/>
      <c r="AG42" s="408"/>
      <c r="AH42" s="409">
        <f t="shared" ref="AH42:AH52" si="5">AE42+AF42</f>
        <v>0</v>
      </c>
      <c r="AI42" s="410"/>
      <c r="AJ42" s="411">
        <f>AH42+AI42</f>
        <v>0</v>
      </c>
    </row>
    <row r="43" spans="1:39" s="234" customFormat="1" ht="20.25">
      <c r="A43" s="316" t="s">
        <v>120</v>
      </c>
      <c r="B43" s="295"/>
      <c r="C43" s="295"/>
      <c r="D43" s="318"/>
      <c r="E43" s="319"/>
      <c r="F43" s="320"/>
      <c r="G43" s="320"/>
      <c r="H43" s="321"/>
      <c r="I43" s="321"/>
      <c r="J43" s="320"/>
      <c r="K43" s="354"/>
      <c r="L43" s="352"/>
      <c r="M43" s="353"/>
      <c r="N43" s="321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4"/>
        <v>0</v>
      </c>
      <c r="AF43" s="381"/>
      <c r="AG43" s="408"/>
      <c r="AH43" s="409">
        <f t="shared" si="5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295"/>
      <c r="C44" s="295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4"/>
        <v>0</v>
      </c>
      <c r="AF44" s="381"/>
      <c r="AG44" s="408"/>
      <c r="AH44" s="409">
        <f t="shared" si="5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295"/>
      <c r="C45" s="295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4"/>
        <v>0</v>
      </c>
      <c r="AF45" s="381"/>
      <c r="AG45" s="408"/>
      <c r="AH45" s="409">
        <f t="shared" si="5"/>
        <v>0</v>
      </c>
      <c r="AI45" s="410"/>
      <c r="AJ45" s="411">
        <f t="shared" ref="AJ45:AJ52" si="6">AH45+AI45</f>
        <v>0</v>
      </c>
    </row>
    <row r="46" spans="1:39" s="234" customFormat="1" ht="20.25">
      <c r="A46" s="316" t="s">
        <v>120</v>
      </c>
      <c r="B46" s="295"/>
      <c r="C46" s="295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7">SUM(E46:AC46)</f>
        <v>0</v>
      </c>
      <c r="AF46" s="381"/>
      <c r="AG46" s="408"/>
      <c r="AH46" s="409">
        <f t="shared" si="5"/>
        <v>0</v>
      </c>
      <c r="AI46" s="410"/>
      <c r="AJ46" s="411">
        <f t="shared" si="6"/>
        <v>0</v>
      </c>
    </row>
    <row r="47" spans="1:39" s="234" customFormat="1" ht="20.25">
      <c r="A47" s="316" t="s">
        <v>120</v>
      </c>
      <c r="B47" s="295"/>
      <c r="C47" s="295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4"/>
        <v>0</v>
      </c>
      <c r="AF47" s="381"/>
      <c r="AG47" s="408"/>
      <c r="AH47" s="409">
        <f t="shared" si="5"/>
        <v>0</v>
      </c>
      <c r="AI47" s="410"/>
      <c r="AJ47" s="411">
        <f t="shared" si="6"/>
        <v>0</v>
      </c>
    </row>
    <row r="48" spans="1:39" s="234" customFormat="1" ht="20.25">
      <c r="A48" s="316" t="s">
        <v>120</v>
      </c>
      <c r="B48" s="295"/>
      <c r="C48" s="295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4"/>
        <v>0</v>
      </c>
      <c r="AF48" s="381"/>
      <c r="AG48" s="408"/>
      <c r="AH48" s="409">
        <f t="shared" si="5"/>
        <v>0</v>
      </c>
      <c r="AI48" s="410"/>
      <c r="AJ48" s="411">
        <f t="shared" si="6"/>
        <v>0</v>
      </c>
    </row>
    <row r="49" spans="1:39" s="234" customFormat="1" ht="20.25">
      <c r="A49" s="316" t="s">
        <v>120</v>
      </c>
      <c r="B49" s="295"/>
      <c r="C49" s="295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8">SUM(E49:AC49)</f>
        <v>0</v>
      </c>
      <c r="AF49" s="381"/>
      <c r="AG49" s="408"/>
      <c r="AH49" s="409">
        <f t="shared" si="5"/>
        <v>0</v>
      </c>
      <c r="AI49" s="410"/>
      <c r="AJ49" s="411">
        <f t="shared" si="6"/>
        <v>0</v>
      </c>
    </row>
    <row r="50" spans="1:39" s="234" customFormat="1" ht="20.25">
      <c r="A50" s="316" t="s">
        <v>120</v>
      </c>
      <c r="B50" s="295"/>
      <c r="C50" s="295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8"/>
        <v>0</v>
      </c>
      <c r="AF50" s="381"/>
      <c r="AG50" s="408"/>
      <c r="AH50" s="409">
        <f t="shared" si="5"/>
        <v>0</v>
      </c>
      <c r="AI50" s="410"/>
      <c r="AJ50" s="411">
        <f t="shared" si="6"/>
        <v>0</v>
      </c>
    </row>
    <row r="51" spans="1:39" s="234" customFormat="1" ht="21" thickBot="1">
      <c r="A51" s="316" t="s">
        <v>120</v>
      </c>
      <c r="B51" s="295"/>
      <c r="C51" s="295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4"/>
        <v>0</v>
      </c>
      <c r="AF51" s="381"/>
      <c r="AG51" s="408"/>
      <c r="AH51" s="409">
        <f t="shared" si="5"/>
        <v>0</v>
      </c>
      <c r="AI51" s="410"/>
      <c r="AJ51" s="411">
        <f t="shared" si="6"/>
        <v>0</v>
      </c>
    </row>
    <row r="52" spans="1:39" s="283" customFormat="1" ht="21" thickBot="1">
      <c r="A52" s="322"/>
      <c r="B52" s="323"/>
      <c r="C52" s="323"/>
      <c r="D52" s="324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9">SUM(E52:AC52)</f>
        <v>0</v>
      </c>
      <c r="AF52" s="377"/>
      <c r="AG52" s="390"/>
      <c r="AH52" s="391">
        <f t="shared" si="5"/>
        <v>0</v>
      </c>
      <c r="AI52" s="412"/>
      <c r="AJ52" s="413">
        <f t="shared" si="6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9.5" thickBot="1">
      <c r="A53" s="326" t="s">
        <v>177</v>
      </c>
      <c r="B53" s="327"/>
      <c r="C53" s="327"/>
      <c r="D53" s="328"/>
      <c r="E53" s="329">
        <f t="shared" ref="E53:K53" si="10">SUM(E41:E52)</f>
        <v>0</v>
      </c>
      <c r="F53" s="330">
        <f t="shared" si="10"/>
        <v>0</v>
      </c>
      <c r="G53" s="330">
        <f t="shared" si="10"/>
        <v>0</v>
      </c>
      <c r="H53" s="330">
        <f t="shared" si="10"/>
        <v>0</v>
      </c>
      <c r="I53" s="330">
        <f t="shared" si="10"/>
        <v>0</v>
      </c>
      <c r="J53" s="330">
        <f t="shared" si="10"/>
        <v>0</v>
      </c>
      <c r="K53" s="356">
        <f t="shared" si="10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11">SUM(Q41:Q52)</f>
        <v>0</v>
      </c>
      <c r="R53" s="359">
        <f t="shared" si="11"/>
        <v>0</v>
      </c>
      <c r="S53" s="359">
        <f t="shared" si="11"/>
        <v>0</v>
      </c>
      <c r="T53" s="369">
        <f t="shared" si="11"/>
        <v>0</v>
      </c>
      <c r="U53" s="357"/>
      <c r="V53" s="358">
        <f t="shared" ref="V53:AC53" si="12">SUM(V41:V52)</f>
        <v>0</v>
      </c>
      <c r="W53" s="359">
        <f t="shared" si="12"/>
        <v>0</v>
      </c>
      <c r="X53" s="359">
        <f t="shared" si="12"/>
        <v>0</v>
      </c>
      <c r="Y53" s="359">
        <f t="shared" si="12"/>
        <v>0</v>
      </c>
      <c r="Z53" s="359">
        <f t="shared" si="12"/>
        <v>0</v>
      </c>
      <c r="AA53" s="359">
        <f t="shared" si="12"/>
        <v>0</v>
      </c>
      <c r="AB53" s="359">
        <f t="shared" si="12"/>
        <v>0</v>
      </c>
      <c r="AC53" s="369">
        <f t="shared" si="12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13">SUM(AG41:AG52)</f>
        <v>0</v>
      </c>
      <c r="AH53" s="417">
        <f t="shared" si="13"/>
        <v>0</v>
      </c>
      <c r="AI53" s="382">
        <f t="shared" si="13"/>
        <v>0</v>
      </c>
      <c r="AJ53" s="418">
        <f t="shared" si="13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24" thickBot="1">
      <c r="A54" s="306"/>
      <c r="B54" s="307"/>
      <c r="C54" s="307"/>
      <c r="D54" s="308"/>
      <c r="E54" s="3891">
        <v>501</v>
      </c>
      <c r="F54" s="3892"/>
      <c r="G54" s="3892"/>
      <c r="H54" s="3892"/>
      <c r="I54" s="3892"/>
      <c r="J54" s="3892"/>
      <c r="K54" s="3904"/>
      <c r="L54" s="336"/>
      <c r="M54" s="3893">
        <v>502</v>
      </c>
      <c r="N54" s="3894"/>
      <c r="O54" s="3894"/>
      <c r="P54" s="3894"/>
      <c r="Q54" s="3894"/>
      <c r="R54" s="3894"/>
      <c r="S54" s="3894"/>
      <c r="T54" s="3895"/>
      <c r="U54" s="364"/>
      <c r="V54" s="3893">
        <v>503</v>
      </c>
      <c r="W54" s="3894"/>
      <c r="X54" s="3894"/>
      <c r="Y54" s="3894"/>
      <c r="Z54" s="3894"/>
      <c r="AA54" s="3894"/>
      <c r="AB54" s="3894"/>
      <c r="AC54" s="3895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86" t="s">
        <v>122</v>
      </c>
      <c r="B55" s="287" t="s">
        <v>68</v>
      </c>
      <c r="C55" s="287" t="s">
        <v>69</v>
      </c>
      <c r="D55" s="288" t="s">
        <v>70</v>
      </c>
      <c r="E55" s="2697" t="s">
        <v>53</v>
      </c>
      <c r="F55" s="2698" t="s">
        <v>442</v>
      </c>
      <c r="G55" s="2698" t="s">
        <v>372</v>
      </c>
      <c r="H55" s="2698" t="s">
        <v>473</v>
      </c>
      <c r="I55" s="2698" t="s">
        <v>94</v>
      </c>
      <c r="J55" s="2698"/>
      <c r="K55" s="2702" t="s">
        <v>95</v>
      </c>
      <c r="L55" s="2699"/>
      <c r="M55" s="2697" t="s">
        <v>53</v>
      </c>
      <c r="N55" s="2698" t="s">
        <v>190</v>
      </c>
      <c r="O55" s="2698" t="s">
        <v>467</v>
      </c>
      <c r="P55" s="2698" t="s">
        <v>206</v>
      </c>
      <c r="Q55" s="2698" t="s">
        <v>94</v>
      </c>
      <c r="R55" s="2698" t="s">
        <v>446</v>
      </c>
      <c r="S55" s="2702" t="s">
        <v>96</v>
      </c>
      <c r="T55" s="2700" t="s">
        <v>86</v>
      </c>
      <c r="U55" s="2700"/>
      <c r="V55" s="2697" t="s">
        <v>53</v>
      </c>
      <c r="W55" s="2698"/>
      <c r="X55" s="2698" t="s">
        <v>372</v>
      </c>
      <c r="Y55" s="2698" t="s">
        <v>304</v>
      </c>
      <c r="Z55" s="2698" t="s">
        <v>94</v>
      </c>
      <c r="AA55" s="2698" t="s">
        <v>170</v>
      </c>
      <c r="AB55" s="2702"/>
      <c r="AC55" s="2700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310" t="s">
        <v>125</v>
      </c>
      <c r="B56" s="311"/>
      <c r="C56" s="311"/>
      <c r="D56" s="312"/>
      <c r="E56" s="313"/>
      <c r="F56" s="313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14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316" t="s">
        <v>125</v>
      </c>
      <c r="B57" s="317"/>
      <c r="C57" s="317"/>
      <c r="D57" s="318"/>
      <c r="E57" s="319"/>
      <c r="F57" s="319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14"/>
        <v>0</v>
      </c>
      <c r="AF57" s="381"/>
      <c r="AG57" s="408"/>
      <c r="AH57" s="409">
        <f t="shared" ref="AH57:AH71" si="15">AE57+AF57</f>
        <v>0</v>
      </c>
      <c r="AI57" s="410"/>
      <c r="AJ57" s="411">
        <f>AH57+AI57</f>
        <v>0</v>
      </c>
    </row>
    <row r="58" spans="1:39" s="234" customFormat="1" ht="20.25">
      <c r="A58" s="316" t="s">
        <v>125</v>
      </c>
      <c r="B58" s="710"/>
      <c r="C58" s="295"/>
      <c r="D58" s="318"/>
      <c r="E58" s="319"/>
      <c r="F58" s="319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4"/>
        <v>0</v>
      </c>
      <c r="AF58" s="381"/>
      <c r="AG58" s="408"/>
      <c r="AH58" s="409">
        <f t="shared" si="15"/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318"/>
      <c r="E59" s="319"/>
      <c r="F59" s="319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14"/>
        <v>0</v>
      </c>
      <c r="AF59" s="381"/>
      <c r="AG59" s="408"/>
      <c r="AH59" s="409">
        <f t="shared" si="15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71" si="16">SUM(E60:AC60)</f>
        <v>0</v>
      </c>
      <c r="AF60" s="381"/>
      <c r="AG60" s="408"/>
      <c r="AH60" s="409">
        <f t="shared" si="15"/>
        <v>0</v>
      </c>
      <c r="AI60" s="410"/>
      <c r="AJ60" s="411">
        <f t="shared" ref="AJ60:AJ71" si="17">AH60+AI60</f>
        <v>0</v>
      </c>
    </row>
    <row r="61" spans="1:39" s="234" customFormat="1" ht="20.25">
      <c r="A61" s="316" t="s">
        <v>125</v>
      </c>
      <c r="B61" s="295"/>
      <c r="C61" s="295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6"/>
        <v>0</v>
      </c>
      <c r="AF61" s="381"/>
      <c r="AG61" s="408"/>
      <c r="AH61" s="409">
        <f t="shared" si="15"/>
        <v>0</v>
      </c>
      <c r="AI61" s="410"/>
      <c r="AJ61" s="411">
        <f t="shared" si="17"/>
        <v>0</v>
      </c>
    </row>
    <row r="62" spans="1:39" s="234" customFormat="1" ht="20.25">
      <c r="A62" s="316" t="s">
        <v>125</v>
      </c>
      <c r="B62" s="295"/>
      <c r="C62" s="295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6"/>
        <v>0</v>
      </c>
      <c r="AF62" s="381"/>
      <c r="AG62" s="408"/>
      <c r="AH62" s="409">
        <f t="shared" si="15"/>
        <v>0</v>
      </c>
      <c r="AI62" s="410"/>
      <c r="AJ62" s="411">
        <f t="shared" si="17"/>
        <v>0</v>
      </c>
    </row>
    <row r="63" spans="1:39" s="234" customFormat="1" ht="20.25">
      <c r="A63" s="316" t="s">
        <v>125</v>
      </c>
      <c r="B63" s="295"/>
      <c r="C63" s="295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6"/>
        <v>0</v>
      </c>
      <c r="AF63" s="381"/>
      <c r="AG63" s="408"/>
      <c r="AH63" s="409">
        <f t="shared" si="15"/>
        <v>0</v>
      </c>
      <c r="AI63" s="410"/>
      <c r="AJ63" s="411">
        <f t="shared" si="17"/>
        <v>0</v>
      </c>
    </row>
    <row r="64" spans="1:39" s="234" customFormat="1" ht="20.25">
      <c r="A64" s="316" t="s">
        <v>125</v>
      </c>
      <c r="B64" s="295"/>
      <c r="C64" s="295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6"/>
        <v>0</v>
      </c>
      <c r="AF64" s="381"/>
      <c r="AG64" s="408"/>
      <c r="AH64" s="409">
        <f t="shared" si="15"/>
        <v>0</v>
      </c>
      <c r="AI64" s="410"/>
      <c r="AJ64" s="411">
        <f t="shared" si="17"/>
        <v>0</v>
      </c>
    </row>
    <row r="65" spans="1:39" s="234" customFormat="1" ht="20.25">
      <c r="A65" s="316" t="s">
        <v>125</v>
      </c>
      <c r="B65" s="295"/>
      <c r="C65" s="295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6"/>
        <v>0</v>
      </c>
      <c r="AF65" s="381"/>
      <c r="AG65" s="408"/>
      <c r="AH65" s="409">
        <f t="shared" si="15"/>
        <v>0</v>
      </c>
      <c r="AI65" s="410"/>
      <c r="AJ65" s="411">
        <f t="shared" si="17"/>
        <v>0</v>
      </c>
    </row>
    <row r="66" spans="1:39" s="234" customFormat="1" ht="20.25">
      <c r="A66" s="316" t="s">
        <v>125</v>
      </c>
      <c r="B66" s="295"/>
      <c r="C66" s="295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6"/>
        <v>0</v>
      </c>
      <c r="AF66" s="381"/>
      <c r="AG66" s="408"/>
      <c r="AH66" s="409">
        <f t="shared" si="15"/>
        <v>0</v>
      </c>
      <c r="AI66" s="410"/>
      <c r="AJ66" s="411">
        <f t="shared" si="17"/>
        <v>0</v>
      </c>
    </row>
    <row r="67" spans="1:39" s="234" customFormat="1" ht="20.25">
      <c r="A67" s="316" t="s">
        <v>125</v>
      </c>
      <c r="B67" s="295"/>
      <c r="C67" s="295"/>
      <c r="D67" s="318"/>
      <c r="E67" s="319"/>
      <c r="F67" s="320"/>
      <c r="G67" s="320"/>
      <c r="H67" s="321"/>
      <c r="I67" s="321"/>
      <c r="J67" s="320"/>
      <c r="K67" s="354"/>
      <c r="L67" s="352"/>
      <c r="M67" s="353"/>
      <c r="N67" s="321"/>
      <c r="O67" s="321"/>
      <c r="P67" s="321"/>
      <c r="Q67" s="321"/>
      <c r="R67" s="321"/>
      <c r="S67" s="321"/>
      <c r="T67" s="351"/>
      <c r="U67" s="352"/>
      <c r="V67" s="319"/>
      <c r="W67" s="320"/>
      <c r="X67" s="320"/>
      <c r="Y67" s="321"/>
      <c r="Z67" s="321"/>
      <c r="AA67" s="321"/>
      <c r="AB67" s="320"/>
      <c r="AC67" s="380"/>
      <c r="AD67" s="352"/>
      <c r="AE67" s="381">
        <f t="shared" si="16"/>
        <v>0</v>
      </c>
      <c r="AF67" s="381"/>
      <c r="AG67" s="408"/>
      <c r="AH67" s="409">
        <f t="shared" si="15"/>
        <v>0</v>
      </c>
      <c r="AI67" s="410"/>
      <c r="AJ67" s="411">
        <f t="shared" si="17"/>
        <v>0</v>
      </c>
    </row>
    <row r="68" spans="1:39" s="234" customFormat="1" ht="20.25">
      <c r="A68" s="316" t="s">
        <v>125</v>
      </c>
      <c r="B68" s="295"/>
      <c r="C68" s="295"/>
      <c r="D68" s="318"/>
      <c r="E68" s="319"/>
      <c r="F68" s="320"/>
      <c r="G68" s="320"/>
      <c r="H68" s="321"/>
      <c r="I68" s="321"/>
      <c r="J68" s="320"/>
      <c r="K68" s="354"/>
      <c r="L68" s="352"/>
      <c r="M68" s="353"/>
      <c r="N68" s="321"/>
      <c r="O68" s="321"/>
      <c r="P68" s="321"/>
      <c r="Q68" s="321"/>
      <c r="R68" s="321"/>
      <c r="S68" s="321"/>
      <c r="T68" s="351"/>
      <c r="U68" s="352"/>
      <c r="V68" s="319"/>
      <c r="W68" s="320"/>
      <c r="X68" s="320"/>
      <c r="Y68" s="321"/>
      <c r="Z68" s="321"/>
      <c r="AA68" s="321"/>
      <c r="AB68" s="320"/>
      <c r="AC68" s="380"/>
      <c r="AD68" s="352"/>
      <c r="AE68" s="381">
        <f t="shared" si="16"/>
        <v>0</v>
      </c>
      <c r="AF68" s="381"/>
      <c r="AG68" s="408"/>
      <c r="AH68" s="409">
        <f t="shared" si="15"/>
        <v>0</v>
      </c>
      <c r="AI68" s="410"/>
      <c r="AJ68" s="411">
        <f t="shared" si="17"/>
        <v>0</v>
      </c>
    </row>
    <row r="69" spans="1:39" s="234" customFormat="1" ht="20.25">
      <c r="A69" s="316" t="s">
        <v>125</v>
      </c>
      <c r="B69" s="295"/>
      <c r="C69" s="295"/>
      <c r="D69" s="318"/>
      <c r="E69" s="319"/>
      <c r="F69" s="320"/>
      <c r="G69" s="320"/>
      <c r="H69" s="321"/>
      <c r="I69" s="321"/>
      <c r="J69" s="320"/>
      <c r="K69" s="354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/>
      <c r="Z69" s="321"/>
      <c r="AA69" s="321"/>
      <c r="AB69" s="320"/>
      <c r="AC69" s="380"/>
      <c r="AD69" s="352"/>
      <c r="AE69" s="381">
        <f t="shared" si="16"/>
        <v>0</v>
      </c>
      <c r="AF69" s="381"/>
      <c r="AG69" s="408"/>
      <c r="AH69" s="409">
        <f t="shared" si="15"/>
        <v>0</v>
      </c>
      <c r="AI69" s="410"/>
      <c r="AJ69" s="411">
        <f t="shared" si="17"/>
        <v>0</v>
      </c>
    </row>
    <row r="70" spans="1:39" s="234" customFormat="1" ht="21" thickBot="1">
      <c r="A70" s="316" t="s">
        <v>125</v>
      </c>
      <c r="B70" s="295"/>
      <c r="C70" s="295"/>
      <c r="D70" s="318"/>
      <c r="E70" s="319"/>
      <c r="F70" s="320"/>
      <c r="G70" s="320"/>
      <c r="H70" s="321"/>
      <c r="I70" s="321"/>
      <c r="J70" s="320"/>
      <c r="K70" s="354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16"/>
        <v>0</v>
      </c>
      <c r="AF70" s="381"/>
      <c r="AG70" s="408"/>
      <c r="AH70" s="409">
        <f t="shared" si="15"/>
        <v>0</v>
      </c>
      <c r="AI70" s="410"/>
      <c r="AJ70" s="411">
        <f t="shared" si="17"/>
        <v>0</v>
      </c>
    </row>
    <row r="71" spans="1:39" s="283" customFormat="1" ht="21" thickBot="1">
      <c r="A71" s="316" t="s">
        <v>125</v>
      </c>
      <c r="B71" s="323"/>
      <c r="C71" s="323"/>
      <c r="D71" s="324"/>
      <c r="E71" s="325"/>
      <c r="F71" s="297"/>
      <c r="G71" s="297"/>
      <c r="H71" s="298"/>
      <c r="I71" s="298"/>
      <c r="J71" s="297"/>
      <c r="K71" s="344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325"/>
      <c r="W71" s="297"/>
      <c r="X71" s="297"/>
      <c r="Y71" s="298"/>
      <c r="Z71" s="298"/>
      <c r="AA71" s="298"/>
      <c r="AB71" s="297"/>
      <c r="AC71" s="375"/>
      <c r="AD71" s="355"/>
      <c r="AE71" s="376">
        <f t="shared" si="16"/>
        <v>0</v>
      </c>
      <c r="AF71" s="377"/>
      <c r="AG71" s="390"/>
      <c r="AH71" s="391">
        <f t="shared" si="15"/>
        <v>0</v>
      </c>
      <c r="AI71" s="412"/>
      <c r="AJ71" s="413">
        <f t="shared" si="17"/>
        <v>0</v>
      </c>
      <c r="AK71" s="414" t="s">
        <v>8</v>
      </c>
      <c r="AL71" s="397" t="s">
        <v>23</v>
      </c>
      <c r="AM71" s="415" t="s">
        <v>174</v>
      </c>
    </row>
    <row r="72" spans="1:39" s="284" customFormat="1" ht="19.5" thickBot="1">
      <c r="A72" s="326" t="s">
        <v>126</v>
      </c>
      <c r="B72" s="327"/>
      <c r="C72" s="327"/>
      <c r="D72" s="328"/>
      <c r="E72" s="852">
        <f t="shared" ref="E72:K72" si="18">SUM(E56:E71)</f>
        <v>0</v>
      </c>
      <c r="F72" s="330">
        <f t="shared" si="18"/>
        <v>0</v>
      </c>
      <c r="G72" s="330">
        <f t="shared" si="18"/>
        <v>0</v>
      </c>
      <c r="H72" s="330">
        <f t="shared" si="18"/>
        <v>0</v>
      </c>
      <c r="I72" s="330">
        <f t="shared" si="18"/>
        <v>0</v>
      </c>
      <c r="J72" s="330">
        <f t="shared" si="18"/>
        <v>0</v>
      </c>
      <c r="K72" s="356">
        <f t="shared" si="18"/>
        <v>0</v>
      </c>
      <c r="L72" s="357"/>
      <c r="M72" s="358">
        <f>SUM(M56:M71)</f>
        <v>0</v>
      </c>
      <c r="N72" s="359">
        <f>SUM(N56:N71)</f>
        <v>0</v>
      </c>
      <c r="O72" s="359">
        <f>SUM(O56:O71)</f>
        <v>0</v>
      </c>
      <c r="P72" s="359">
        <f>SUM(P56:P71)</f>
        <v>0</v>
      </c>
      <c r="Q72" s="359">
        <f t="shared" ref="Q72:T72" si="19">SUM(Q56:Q71)</f>
        <v>0</v>
      </c>
      <c r="R72" s="359">
        <f t="shared" si="19"/>
        <v>0</v>
      </c>
      <c r="S72" s="359">
        <f t="shared" si="19"/>
        <v>0</v>
      </c>
      <c r="T72" s="369">
        <f t="shared" si="19"/>
        <v>0</v>
      </c>
      <c r="U72" s="357"/>
      <c r="V72" s="358">
        <f t="shared" ref="V72:AC72" si="20">SUM(V56:V71)</f>
        <v>0</v>
      </c>
      <c r="W72" s="359">
        <f t="shared" si="20"/>
        <v>0</v>
      </c>
      <c r="X72" s="359">
        <f t="shared" si="20"/>
        <v>0</v>
      </c>
      <c r="Y72" s="359">
        <f t="shared" si="20"/>
        <v>0</v>
      </c>
      <c r="Z72" s="359">
        <f t="shared" si="20"/>
        <v>0</v>
      </c>
      <c r="AA72" s="359">
        <f t="shared" si="20"/>
        <v>0</v>
      </c>
      <c r="AB72" s="359">
        <f t="shared" si="20"/>
        <v>0</v>
      </c>
      <c r="AC72" s="369">
        <f t="shared" si="20"/>
        <v>0</v>
      </c>
      <c r="AD72" s="357"/>
      <c r="AE72" s="382">
        <f>SUM(AE56:AE71)</f>
        <v>0</v>
      </c>
      <c r="AF72" s="382">
        <f>SUM(AF56:AF71)</f>
        <v>0</v>
      </c>
      <c r="AG72" s="416">
        <f t="shared" ref="AG72:AJ72" si="21">SUM(AG56:AG71)</f>
        <v>0</v>
      </c>
      <c r="AH72" s="417">
        <f t="shared" si="21"/>
        <v>0</v>
      </c>
      <c r="AI72" s="382">
        <f t="shared" si="21"/>
        <v>0</v>
      </c>
      <c r="AJ72" s="418">
        <f t="shared" si="21"/>
        <v>0</v>
      </c>
      <c r="AK72" s="399">
        <f>'BIG CHAIR'!CL91</f>
        <v>0</v>
      </c>
      <c r="AL72" s="400">
        <f>'Tea Table'!X181</f>
        <v>0</v>
      </c>
      <c r="AM72" s="401">
        <f>AH72+AK72+AL72</f>
        <v>0</v>
      </c>
    </row>
    <row r="73" spans="1:39" ht="24" thickBot="1">
      <c r="A73" s="721" t="s">
        <v>127</v>
      </c>
      <c r="B73" s="722" t="s">
        <v>68</v>
      </c>
      <c r="C73" s="287" t="s">
        <v>69</v>
      </c>
      <c r="D73" s="288" t="s">
        <v>70</v>
      </c>
      <c r="E73" s="2697" t="s">
        <v>53</v>
      </c>
      <c r="F73" s="2698" t="s">
        <v>442</v>
      </c>
      <c r="G73" s="2698" t="s">
        <v>372</v>
      </c>
      <c r="H73" s="2698" t="s">
        <v>473</v>
      </c>
      <c r="I73" s="2698" t="s">
        <v>94</v>
      </c>
      <c r="J73" s="2698"/>
      <c r="K73" s="2702" t="s">
        <v>95</v>
      </c>
      <c r="L73" s="2699"/>
      <c r="M73" s="2697" t="s">
        <v>53</v>
      </c>
      <c r="N73" s="2698" t="s">
        <v>190</v>
      </c>
      <c r="O73" s="2698" t="s">
        <v>467</v>
      </c>
      <c r="P73" s="2698" t="s">
        <v>206</v>
      </c>
      <c r="Q73" s="2698" t="s">
        <v>94</v>
      </c>
      <c r="R73" s="2698" t="s">
        <v>446</v>
      </c>
      <c r="S73" s="2702" t="s">
        <v>96</v>
      </c>
      <c r="T73" s="2700" t="s">
        <v>86</v>
      </c>
      <c r="U73" s="2699"/>
      <c r="V73" s="2697" t="s">
        <v>53</v>
      </c>
      <c r="W73" s="2698"/>
      <c r="X73" s="2698" t="s">
        <v>372</v>
      </c>
      <c r="Y73" s="2698" t="s">
        <v>304</v>
      </c>
      <c r="Z73" s="2698" t="s">
        <v>94</v>
      </c>
      <c r="AA73" s="2698"/>
      <c r="AB73" s="2702"/>
      <c r="AC73" s="2700"/>
      <c r="AD73" s="370"/>
      <c r="AE73" s="371" t="s">
        <v>172</v>
      </c>
      <c r="AF73" s="372" t="s">
        <v>80</v>
      </c>
      <c r="AG73" s="385"/>
      <c r="AH73" s="386" t="s">
        <v>106</v>
      </c>
      <c r="AI73" s="385" t="s">
        <v>173</v>
      </c>
      <c r="AJ73" s="371" t="s">
        <v>108</v>
      </c>
      <c r="AK73" s="282"/>
      <c r="AL73" s="282"/>
      <c r="AM73" s="282"/>
    </row>
    <row r="74" spans="1:39" ht="20.25">
      <c r="A74" s="792" t="s">
        <v>128</v>
      </c>
      <c r="B74" s="311"/>
      <c r="C74" s="311"/>
      <c r="D74" s="312"/>
      <c r="E74" s="313"/>
      <c r="F74" s="314"/>
      <c r="G74" s="314"/>
      <c r="H74" s="315"/>
      <c r="I74" s="315"/>
      <c r="J74" s="314"/>
      <c r="K74" s="348"/>
      <c r="L74" s="349"/>
      <c r="M74" s="350"/>
      <c r="N74" s="315"/>
      <c r="O74" s="315"/>
      <c r="P74" s="315"/>
      <c r="Q74" s="315"/>
      <c r="R74" s="315"/>
      <c r="S74" s="315"/>
      <c r="T74" s="348"/>
      <c r="U74" s="349"/>
      <c r="V74" s="350"/>
      <c r="W74" s="315"/>
      <c r="X74" s="315"/>
      <c r="Y74" s="315"/>
      <c r="Z74" s="315"/>
      <c r="AA74" s="315"/>
      <c r="AB74" s="315"/>
      <c r="AC74" s="378"/>
      <c r="AD74" s="349"/>
      <c r="AE74" s="379">
        <f t="shared" ref="AE74:AE77" si="22">SUM(E74:AC74)</f>
        <v>0</v>
      </c>
      <c r="AF74" s="379"/>
      <c r="AG74" s="404"/>
      <c r="AH74" s="405">
        <f>AE74+AF74</f>
        <v>0</v>
      </c>
      <c r="AI74" s="406"/>
      <c r="AJ74" s="407">
        <f>AH74+AI74</f>
        <v>0</v>
      </c>
      <c r="AK74" s="234"/>
      <c r="AL74" s="234"/>
      <c r="AM74" s="234"/>
    </row>
    <row r="75" spans="1:39" ht="20.25">
      <c r="A75" s="424" t="s">
        <v>128</v>
      </c>
      <c r="B75" s="317"/>
      <c r="C75" s="317"/>
      <c r="D75" s="318"/>
      <c r="E75" s="319"/>
      <c r="F75" s="320"/>
      <c r="G75" s="320"/>
      <c r="H75" s="321"/>
      <c r="I75" s="321"/>
      <c r="J75" s="320"/>
      <c r="K75" s="351"/>
      <c r="L75" s="352"/>
      <c r="M75" s="353"/>
      <c r="N75" s="320"/>
      <c r="O75" s="320"/>
      <c r="P75" s="321"/>
      <c r="Q75" s="321"/>
      <c r="R75" s="321"/>
      <c r="S75" s="320"/>
      <c r="T75" s="351"/>
      <c r="U75" s="352"/>
      <c r="V75" s="353"/>
      <c r="W75" s="321"/>
      <c r="X75" s="321"/>
      <c r="Y75" s="321"/>
      <c r="Z75" s="321"/>
      <c r="AA75" s="321"/>
      <c r="AB75" s="321"/>
      <c r="AC75" s="380"/>
      <c r="AD75" s="352"/>
      <c r="AE75" s="381">
        <f t="shared" si="22"/>
        <v>0</v>
      </c>
      <c r="AF75" s="381"/>
      <c r="AG75" s="408"/>
      <c r="AH75" s="409">
        <f t="shared" ref="AH75:AH92" si="23">AE75+AF75</f>
        <v>0</v>
      </c>
      <c r="AI75" s="410"/>
      <c r="AJ75" s="411">
        <f>AH75+AI75</f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2"/>
        <v>0</v>
      </c>
      <c r="AF76" s="381"/>
      <c r="AG76" s="408"/>
      <c r="AH76" s="409">
        <f t="shared" si="23"/>
        <v>0</v>
      </c>
      <c r="AI76" s="410"/>
      <c r="AJ76" s="411">
        <f>AH76+AI76</f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2"/>
        <v>0</v>
      </c>
      <c r="AF77" s="381"/>
      <c r="AG77" s="408"/>
      <c r="AH77" s="409">
        <f t="shared" si="23"/>
        <v>0</v>
      </c>
      <c r="AI77" s="410"/>
      <c r="AJ77" s="411">
        <f>AH77+AI77</f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:AE92" si="24">SUM(E78:AC78)</f>
        <v>0</v>
      </c>
      <c r="AF78" s="381"/>
      <c r="AG78" s="408"/>
      <c r="AH78" s="409">
        <f t="shared" si="23"/>
        <v>0</v>
      </c>
      <c r="AI78" s="410"/>
      <c r="AJ78" s="411">
        <f t="shared" ref="AJ78:AJ92" si="25">AH78+AI78</f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4"/>
        <v>0</v>
      </c>
      <c r="AF79" s="381"/>
      <c r="AG79" s="408"/>
      <c r="AH79" s="409">
        <f t="shared" si="23"/>
        <v>0</v>
      </c>
      <c r="AI79" s="410"/>
      <c r="AJ79" s="411">
        <f t="shared" si="25"/>
        <v>0</v>
      </c>
      <c r="AK79" s="234"/>
      <c r="AL79" s="234"/>
      <c r="AM79" s="234"/>
    </row>
    <row r="80" spans="1:39" ht="20.25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24"/>
        <v>0</v>
      </c>
      <c r="AF80" s="381"/>
      <c r="AG80" s="408"/>
      <c r="AH80" s="409">
        <f t="shared" si="23"/>
        <v>0</v>
      </c>
      <c r="AI80" s="410"/>
      <c r="AJ80" s="411">
        <f t="shared" si="25"/>
        <v>0</v>
      </c>
      <c r="AK80" s="234"/>
      <c r="AL80" s="234"/>
      <c r="AM80" s="234"/>
    </row>
    <row r="81" spans="1:39" ht="20.25">
      <c r="A81" s="424" t="s">
        <v>128</v>
      </c>
      <c r="B81" s="295"/>
      <c r="C81" s="295"/>
      <c r="D81" s="318"/>
      <c r="E81" s="319"/>
      <c r="F81" s="320"/>
      <c r="G81" s="320"/>
      <c r="H81" s="321"/>
      <c r="I81" s="321"/>
      <c r="J81" s="320"/>
      <c r="K81" s="354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24"/>
        <v>0</v>
      </c>
      <c r="AF81" s="381"/>
      <c r="AG81" s="408"/>
      <c r="AH81" s="409">
        <f t="shared" si="23"/>
        <v>0</v>
      </c>
      <c r="AI81" s="410"/>
      <c r="AJ81" s="411">
        <f t="shared" si="25"/>
        <v>0</v>
      </c>
      <c r="AK81" s="234"/>
      <c r="AL81" s="234"/>
      <c r="AM81" s="234"/>
    </row>
    <row r="82" spans="1:39" ht="20.25">
      <c r="A82" s="424" t="s">
        <v>128</v>
      </c>
      <c r="B82" s="295"/>
      <c r="C82" s="295"/>
      <c r="D82" s="318"/>
      <c r="E82" s="319"/>
      <c r="F82" s="320"/>
      <c r="G82" s="320"/>
      <c r="H82" s="321"/>
      <c r="I82" s="321"/>
      <c r="J82" s="320"/>
      <c r="K82" s="354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24"/>
        <v>0</v>
      </c>
      <c r="AF82" s="381"/>
      <c r="AG82" s="408"/>
      <c r="AH82" s="409">
        <f t="shared" si="23"/>
        <v>0</v>
      </c>
      <c r="AI82" s="410"/>
      <c r="AJ82" s="411">
        <f t="shared" si="25"/>
        <v>0</v>
      </c>
      <c r="AK82" s="234"/>
      <c r="AL82" s="234"/>
      <c r="AM82" s="234"/>
    </row>
    <row r="83" spans="1:39" ht="20.25">
      <c r="A83" s="424" t="s">
        <v>128</v>
      </c>
      <c r="B83" s="295"/>
      <c r="C83" s="295"/>
      <c r="D83" s="318"/>
      <c r="E83" s="319"/>
      <c r="F83" s="320"/>
      <c r="G83" s="320"/>
      <c r="H83" s="321"/>
      <c r="I83" s="321"/>
      <c r="J83" s="320"/>
      <c r="K83" s="354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24"/>
        <v>0</v>
      </c>
      <c r="AF83" s="381"/>
      <c r="AG83" s="408"/>
      <c r="AH83" s="409">
        <f t="shared" si="23"/>
        <v>0</v>
      </c>
      <c r="AI83" s="410"/>
      <c r="AJ83" s="411">
        <f t="shared" si="25"/>
        <v>0</v>
      </c>
      <c r="AK83" s="234"/>
      <c r="AL83" s="234"/>
      <c r="AM83" s="234"/>
    </row>
    <row r="84" spans="1:39" ht="20.25">
      <c r="A84" s="424" t="s">
        <v>128</v>
      </c>
      <c r="B84" s="295"/>
      <c r="C84" s="295"/>
      <c r="D84" s="318"/>
      <c r="E84" s="319"/>
      <c r="F84" s="320"/>
      <c r="G84" s="320"/>
      <c r="H84" s="321"/>
      <c r="I84" s="321"/>
      <c r="J84" s="320"/>
      <c r="K84" s="354"/>
      <c r="L84" s="352"/>
      <c r="M84" s="353"/>
      <c r="N84" s="321"/>
      <c r="O84" s="321"/>
      <c r="P84" s="321"/>
      <c r="Q84" s="321"/>
      <c r="R84" s="321"/>
      <c r="S84" s="321"/>
      <c r="T84" s="351"/>
      <c r="U84" s="352"/>
      <c r="V84" s="319"/>
      <c r="W84" s="320"/>
      <c r="X84" s="320"/>
      <c r="Y84" s="321"/>
      <c r="Z84" s="321"/>
      <c r="AA84" s="321"/>
      <c r="AB84" s="320"/>
      <c r="AC84" s="380"/>
      <c r="AD84" s="352"/>
      <c r="AE84" s="381">
        <f t="shared" si="24"/>
        <v>0</v>
      </c>
      <c r="AF84" s="381"/>
      <c r="AG84" s="408"/>
      <c r="AH84" s="409">
        <f t="shared" si="23"/>
        <v>0</v>
      </c>
      <c r="AI84" s="410"/>
      <c r="AJ84" s="411">
        <f t="shared" si="25"/>
        <v>0</v>
      </c>
      <c r="AK84" s="234"/>
      <c r="AL84" s="234"/>
      <c r="AM84" s="234"/>
    </row>
    <row r="85" spans="1:39" ht="20.25">
      <c r="A85" s="424" t="s">
        <v>128</v>
      </c>
      <c r="B85" s="295"/>
      <c r="C85" s="295"/>
      <c r="D85" s="318"/>
      <c r="E85" s="319"/>
      <c r="F85" s="320"/>
      <c r="G85" s="320"/>
      <c r="H85" s="321"/>
      <c r="I85" s="321"/>
      <c r="J85" s="320"/>
      <c r="K85" s="354"/>
      <c r="L85" s="352"/>
      <c r="M85" s="353"/>
      <c r="N85" s="321"/>
      <c r="O85" s="321"/>
      <c r="P85" s="321"/>
      <c r="Q85" s="321"/>
      <c r="R85" s="321"/>
      <c r="S85" s="321"/>
      <c r="T85" s="351"/>
      <c r="U85" s="352"/>
      <c r="V85" s="319"/>
      <c r="W85" s="320"/>
      <c r="X85" s="320"/>
      <c r="Y85" s="321"/>
      <c r="Z85" s="321"/>
      <c r="AA85" s="321"/>
      <c r="AB85" s="320"/>
      <c r="AC85" s="380"/>
      <c r="AD85" s="352"/>
      <c r="AE85" s="381">
        <f t="shared" si="24"/>
        <v>0</v>
      </c>
      <c r="AF85" s="381"/>
      <c r="AG85" s="408"/>
      <c r="AH85" s="409">
        <f t="shared" si="23"/>
        <v>0</v>
      </c>
      <c r="AI85" s="410"/>
      <c r="AJ85" s="411">
        <f t="shared" si="25"/>
        <v>0</v>
      </c>
      <c r="AK85" s="234"/>
      <c r="AL85" s="234"/>
      <c r="AM85" s="234"/>
    </row>
    <row r="86" spans="1:39" ht="20.25">
      <c r="A86" s="424" t="s">
        <v>128</v>
      </c>
      <c r="B86" s="295"/>
      <c r="C86" s="295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24"/>
        <v>0</v>
      </c>
      <c r="AF86" s="381"/>
      <c r="AG86" s="408"/>
      <c r="AH86" s="409">
        <f t="shared" si="23"/>
        <v>0</v>
      </c>
      <c r="AI86" s="410"/>
      <c r="AJ86" s="411">
        <f t="shared" si="25"/>
        <v>0</v>
      </c>
      <c r="AK86" s="234"/>
      <c r="AL86" s="234"/>
      <c r="AM86" s="234"/>
    </row>
    <row r="87" spans="1:39" ht="20.25">
      <c r="A87" s="424" t="s">
        <v>128</v>
      </c>
      <c r="B87" s="295"/>
      <c r="C87" s="295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24"/>
        <v>0</v>
      </c>
      <c r="AF87" s="381"/>
      <c r="AG87" s="408"/>
      <c r="AH87" s="409">
        <f t="shared" si="23"/>
        <v>0</v>
      </c>
      <c r="AI87" s="410"/>
      <c r="AJ87" s="411">
        <f t="shared" si="25"/>
        <v>0</v>
      </c>
      <c r="AK87" s="234"/>
      <c r="AL87" s="234"/>
      <c r="AM87" s="234"/>
    </row>
    <row r="88" spans="1:39" ht="20.25">
      <c r="A88" s="424" t="s">
        <v>128</v>
      </c>
      <c r="B88" s="295"/>
      <c r="C88" s="295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si="24"/>
        <v>0</v>
      </c>
      <c r="AF88" s="381"/>
      <c r="AG88" s="408"/>
      <c r="AH88" s="409">
        <f t="shared" si="23"/>
        <v>0</v>
      </c>
      <c r="AI88" s="410"/>
      <c r="AJ88" s="411">
        <f t="shared" si="25"/>
        <v>0</v>
      </c>
      <c r="AK88" s="234"/>
      <c r="AL88" s="234"/>
      <c r="AM88" s="234"/>
    </row>
    <row r="89" spans="1:39" ht="20.25">
      <c r="A89" s="424" t="s">
        <v>128</v>
      </c>
      <c r="B89" s="295"/>
      <c r="C89" s="295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24"/>
        <v>0</v>
      </c>
      <c r="AF89" s="381"/>
      <c r="AG89" s="408"/>
      <c r="AH89" s="409">
        <f t="shared" si="23"/>
        <v>0</v>
      </c>
      <c r="AI89" s="410"/>
      <c r="AJ89" s="411">
        <f t="shared" si="25"/>
        <v>0</v>
      </c>
      <c r="AK89" s="234"/>
      <c r="AL89" s="234"/>
      <c r="AM89" s="234"/>
    </row>
    <row r="90" spans="1:39" ht="20.25">
      <c r="A90" s="424" t="s">
        <v>128</v>
      </c>
      <c r="B90" s="295"/>
      <c r="C90" s="295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24"/>
        <v>0</v>
      </c>
      <c r="AF90" s="381"/>
      <c r="AG90" s="408"/>
      <c r="AH90" s="409">
        <f t="shared" si="23"/>
        <v>0</v>
      </c>
      <c r="AI90" s="410"/>
      <c r="AJ90" s="411">
        <f t="shared" si="25"/>
        <v>0</v>
      </c>
      <c r="AK90" s="234"/>
      <c r="AL90" s="234"/>
      <c r="AM90" s="234"/>
    </row>
    <row r="91" spans="1:39" ht="21" thickBot="1">
      <c r="A91" s="424" t="s">
        <v>128</v>
      </c>
      <c r="B91" s="295"/>
      <c r="C91" s="295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24"/>
        <v>0</v>
      </c>
      <c r="AF91" s="381"/>
      <c r="AG91" s="408"/>
      <c r="AH91" s="409">
        <f t="shared" si="23"/>
        <v>0</v>
      </c>
      <c r="AI91" s="410"/>
      <c r="AJ91" s="411">
        <f t="shared" si="25"/>
        <v>0</v>
      </c>
      <c r="AK91" s="234"/>
      <c r="AL91" s="234"/>
      <c r="AM91" s="234"/>
    </row>
    <row r="92" spans="1:39" ht="21" thickBot="1">
      <c r="A92" s="322"/>
      <c r="B92" s="323"/>
      <c r="C92" s="323"/>
      <c r="D92" s="324"/>
      <c r="E92" s="325"/>
      <c r="F92" s="297"/>
      <c r="G92" s="297"/>
      <c r="H92" s="298"/>
      <c r="I92" s="298"/>
      <c r="J92" s="297"/>
      <c r="K92" s="344"/>
      <c r="L92" s="355"/>
      <c r="M92" s="343"/>
      <c r="N92" s="298"/>
      <c r="O92" s="298"/>
      <c r="P92" s="298"/>
      <c r="Q92" s="298"/>
      <c r="R92" s="298"/>
      <c r="S92" s="298"/>
      <c r="T92" s="367"/>
      <c r="U92" s="355"/>
      <c r="V92" s="325"/>
      <c r="W92" s="297"/>
      <c r="X92" s="297"/>
      <c r="Y92" s="298"/>
      <c r="Z92" s="298"/>
      <c r="AA92" s="298"/>
      <c r="AB92" s="297"/>
      <c r="AC92" s="375"/>
      <c r="AD92" s="355"/>
      <c r="AE92" s="376">
        <f t="shared" si="24"/>
        <v>0</v>
      </c>
      <c r="AF92" s="377"/>
      <c r="AG92" s="390"/>
      <c r="AH92" s="391">
        <f t="shared" si="23"/>
        <v>0</v>
      </c>
      <c r="AI92" s="412"/>
      <c r="AJ92" s="413">
        <f t="shared" si="25"/>
        <v>0</v>
      </c>
      <c r="AK92" s="414" t="s">
        <v>8</v>
      </c>
      <c r="AL92" s="397" t="s">
        <v>23</v>
      </c>
      <c r="AM92" s="415" t="s">
        <v>174</v>
      </c>
    </row>
    <row r="93" spans="1:39" ht="19.5" thickBot="1">
      <c r="A93" s="326" t="s">
        <v>129</v>
      </c>
      <c r="B93" s="327"/>
      <c r="C93" s="327"/>
      <c r="D93" s="328"/>
      <c r="E93" s="329">
        <f>SUM(E74:E92)</f>
        <v>0</v>
      </c>
      <c r="F93" s="329">
        <f t="shared" ref="F93:AJ93" si="26">SUM(F74:F92)</f>
        <v>0</v>
      </c>
      <c r="G93" s="329">
        <f t="shared" si="26"/>
        <v>0</v>
      </c>
      <c r="H93" s="329">
        <f t="shared" si="26"/>
        <v>0</v>
      </c>
      <c r="I93" s="329">
        <f t="shared" si="26"/>
        <v>0</v>
      </c>
      <c r="J93" s="329">
        <f t="shared" si="26"/>
        <v>0</v>
      </c>
      <c r="K93" s="329">
        <f t="shared" si="26"/>
        <v>0</v>
      </c>
      <c r="L93" s="329"/>
      <c r="M93" s="329">
        <f t="shared" si="26"/>
        <v>0</v>
      </c>
      <c r="N93" s="329">
        <f t="shared" si="26"/>
        <v>0</v>
      </c>
      <c r="O93" s="329">
        <f t="shared" si="26"/>
        <v>0</v>
      </c>
      <c r="P93" s="329">
        <f t="shared" si="26"/>
        <v>0</v>
      </c>
      <c r="Q93" s="329">
        <f t="shared" si="26"/>
        <v>0</v>
      </c>
      <c r="R93" s="329">
        <f t="shared" si="26"/>
        <v>0</v>
      </c>
      <c r="S93" s="329">
        <f t="shared" si="26"/>
        <v>0</v>
      </c>
      <c r="T93" s="329">
        <f t="shared" si="26"/>
        <v>0</v>
      </c>
      <c r="U93" s="329">
        <f t="shared" si="26"/>
        <v>0</v>
      </c>
      <c r="V93" s="329">
        <f t="shared" si="26"/>
        <v>0</v>
      </c>
      <c r="W93" s="329">
        <f t="shared" si="26"/>
        <v>0</v>
      </c>
      <c r="X93" s="329">
        <f t="shared" si="26"/>
        <v>0</v>
      </c>
      <c r="Y93" s="329">
        <f t="shared" si="26"/>
        <v>0</v>
      </c>
      <c r="Z93" s="329">
        <f t="shared" si="26"/>
        <v>0</v>
      </c>
      <c r="AA93" s="329">
        <f t="shared" si="26"/>
        <v>0</v>
      </c>
      <c r="AB93" s="329">
        <f t="shared" si="26"/>
        <v>0</v>
      </c>
      <c r="AC93" s="329">
        <f t="shared" si="26"/>
        <v>0</v>
      </c>
      <c r="AD93" s="329">
        <f t="shared" si="26"/>
        <v>0</v>
      </c>
      <c r="AE93" s="329">
        <f t="shared" si="26"/>
        <v>0</v>
      </c>
      <c r="AF93" s="329">
        <f t="shared" si="26"/>
        <v>0</v>
      </c>
      <c r="AG93" s="329">
        <f t="shared" si="26"/>
        <v>0</v>
      </c>
      <c r="AH93" s="329">
        <f t="shared" si="26"/>
        <v>0</v>
      </c>
      <c r="AI93" s="329">
        <f t="shared" si="26"/>
        <v>0</v>
      </c>
      <c r="AJ93" s="329">
        <f t="shared" si="26"/>
        <v>0</v>
      </c>
      <c r="AK93" s="399">
        <f>'BIG CHAIR'!CL105</f>
        <v>0</v>
      </c>
      <c r="AL93" s="400">
        <f>'Tea Table'!X195</f>
        <v>0</v>
      </c>
      <c r="AM93" s="401">
        <f>AH93+AK93+AL93</f>
        <v>0</v>
      </c>
    </row>
    <row r="94" spans="1:39" ht="24" thickBot="1">
      <c r="A94" s="721" t="s">
        <v>130</v>
      </c>
      <c r="B94" s="722" t="s">
        <v>68</v>
      </c>
      <c r="C94" s="287" t="s">
        <v>69</v>
      </c>
      <c r="D94" s="288" t="s">
        <v>70</v>
      </c>
      <c r="E94" s="2697" t="s">
        <v>53</v>
      </c>
      <c r="F94" s="2698" t="s">
        <v>442</v>
      </c>
      <c r="G94" s="2698" t="s">
        <v>372</v>
      </c>
      <c r="H94" s="2698" t="s">
        <v>473</v>
      </c>
      <c r="I94" s="2698" t="s">
        <v>94</v>
      </c>
      <c r="J94" s="2698"/>
      <c r="K94" s="2702" t="s">
        <v>95</v>
      </c>
      <c r="L94" s="2699"/>
      <c r="M94" s="2697" t="s">
        <v>53</v>
      </c>
      <c r="N94" s="2698" t="s">
        <v>190</v>
      </c>
      <c r="O94" s="2698" t="s">
        <v>372</v>
      </c>
      <c r="P94" s="2698" t="s">
        <v>206</v>
      </c>
      <c r="Q94" s="2698" t="s">
        <v>94</v>
      </c>
      <c r="R94" s="2698" t="s">
        <v>446</v>
      </c>
      <c r="S94" s="2702" t="s">
        <v>96</v>
      </c>
      <c r="T94" s="2700" t="s">
        <v>86</v>
      </c>
      <c r="U94" s="2699"/>
      <c r="V94" s="2697" t="s">
        <v>53</v>
      </c>
      <c r="W94" s="2698"/>
      <c r="X94" s="2698" t="s">
        <v>372</v>
      </c>
      <c r="Y94" s="2698" t="s">
        <v>304</v>
      </c>
      <c r="Z94" s="2698" t="s">
        <v>94</v>
      </c>
      <c r="AA94" s="2698" t="s">
        <v>170</v>
      </c>
      <c r="AB94" s="2702" t="s">
        <v>444</v>
      </c>
      <c r="AC94" s="2700"/>
      <c r="AD94" s="370"/>
      <c r="AE94" s="371" t="s">
        <v>172</v>
      </c>
      <c r="AF94" s="372" t="s">
        <v>80</v>
      </c>
      <c r="AG94" s="385"/>
      <c r="AH94" s="386" t="s">
        <v>106</v>
      </c>
      <c r="AI94" s="385" t="s">
        <v>173</v>
      </c>
      <c r="AJ94" s="371" t="s">
        <v>108</v>
      </c>
      <c r="AK94" s="282"/>
      <c r="AL94" s="282"/>
      <c r="AM94" s="282"/>
    </row>
    <row r="95" spans="1:39" ht="20.25">
      <c r="A95" s="792" t="s">
        <v>131</v>
      </c>
      <c r="B95" s="311"/>
      <c r="C95" s="311"/>
      <c r="D95" s="312"/>
      <c r="E95" s="313"/>
      <c r="F95" s="314"/>
      <c r="G95" s="314"/>
      <c r="H95" s="315"/>
      <c r="I95" s="315"/>
      <c r="J95" s="314"/>
      <c r="K95" s="348"/>
      <c r="L95" s="349"/>
      <c r="M95" s="350"/>
      <c r="N95" s="315"/>
      <c r="O95" s="315"/>
      <c r="P95" s="315"/>
      <c r="Q95" s="315"/>
      <c r="R95" s="315"/>
      <c r="S95" s="315"/>
      <c r="T95" s="348"/>
      <c r="U95" s="349"/>
      <c r="V95" s="350"/>
      <c r="W95" s="315"/>
      <c r="X95" s="315"/>
      <c r="Y95" s="315"/>
      <c r="Z95" s="315"/>
      <c r="AA95" s="315"/>
      <c r="AB95" s="315"/>
      <c r="AC95" s="378"/>
      <c r="AD95" s="349"/>
      <c r="AE95" s="379">
        <f t="shared" ref="AE95:AE98" si="27">SUM(E95:AC95)</f>
        <v>0</v>
      </c>
      <c r="AF95" s="379"/>
      <c r="AG95" s="404"/>
      <c r="AH95" s="405">
        <f>AE95+AF95</f>
        <v>0</v>
      </c>
      <c r="AI95" s="406"/>
      <c r="AJ95" s="407">
        <f>AH95+AI95</f>
        <v>0</v>
      </c>
      <c r="AK95" s="234"/>
      <c r="AL95" s="234"/>
      <c r="AM95" s="234"/>
    </row>
    <row r="96" spans="1:39" ht="20.25">
      <c r="A96" s="792" t="s">
        <v>131</v>
      </c>
      <c r="B96" s="317"/>
      <c r="C96" s="317"/>
      <c r="D96" s="318"/>
      <c r="E96" s="319"/>
      <c r="F96" s="320"/>
      <c r="G96" s="320"/>
      <c r="H96" s="321"/>
      <c r="I96" s="321"/>
      <c r="J96" s="320"/>
      <c r="K96" s="351"/>
      <c r="L96" s="352"/>
      <c r="M96" s="353"/>
      <c r="N96" s="320"/>
      <c r="O96" s="320"/>
      <c r="P96" s="321"/>
      <c r="Q96" s="321"/>
      <c r="R96" s="321"/>
      <c r="S96" s="320"/>
      <c r="T96" s="351"/>
      <c r="U96" s="352"/>
      <c r="V96" s="353"/>
      <c r="W96" s="321"/>
      <c r="X96" s="321"/>
      <c r="Y96" s="321"/>
      <c r="Z96" s="321"/>
      <c r="AA96" s="321"/>
      <c r="AB96" s="321"/>
      <c r="AC96" s="380"/>
      <c r="AD96" s="352"/>
      <c r="AE96" s="381">
        <f t="shared" si="27"/>
        <v>0</v>
      </c>
      <c r="AF96" s="381"/>
      <c r="AG96" s="408"/>
      <c r="AH96" s="409">
        <f t="shared" ref="AH96:AH113" si="28">AE96+AF96</f>
        <v>0</v>
      </c>
      <c r="AI96" s="410"/>
      <c r="AJ96" s="411">
        <f>AH96+AI96</f>
        <v>0</v>
      </c>
      <c r="AK96" s="234"/>
      <c r="AL96" s="234"/>
      <c r="AM96" s="234"/>
    </row>
    <row r="97" spans="1:39" ht="20.25">
      <c r="A97" s="792" t="s">
        <v>131</v>
      </c>
      <c r="B97" s="295"/>
      <c r="C97" s="295"/>
      <c r="D97" s="318"/>
      <c r="E97" s="319"/>
      <c r="F97" s="320"/>
      <c r="G97" s="320"/>
      <c r="H97" s="321"/>
      <c r="I97" s="321"/>
      <c r="J97" s="320"/>
      <c r="K97" s="354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27"/>
        <v>0</v>
      </c>
      <c r="AF97" s="381"/>
      <c r="AG97" s="408"/>
      <c r="AH97" s="409">
        <f t="shared" si="28"/>
        <v>0</v>
      </c>
      <c r="AI97" s="410"/>
      <c r="AJ97" s="411">
        <f>AH97+AI97</f>
        <v>0</v>
      </c>
      <c r="AK97" s="234"/>
      <c r="AL97" s="234"/>
      <c r="AM97" s="234"/>
    </row>
    <row r="98" spans="1:39" ht="20.25">
      <c r="A98" s="792" t="s">
        <v>131</v>
      </c>
      <c r="B98" s="295"/>
      <c r="C98" s="295"/>
      <c r="D98" s="318"/>
      <c r="E98" s="319"/>
      <c r="F98" s="320"/>
      <c r="G98" s="320"/>
      <c r="H98" s="321"/>
      <c r="I98" s="321"/>
      <c r="J98" s="320"/>
      <c r="K98" s="354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27"/>
        <v>0</v>
      </c>
      <c r="AF98" s="381"/>
      <c r="AG98" s="408"/>
      <c r="AH98" s="409">
        <f t="shared" si="28"/>
        <v>0</v>
      </c>
      <c r="AI98" s="410"/>
      <c r="AJ98" s="411">
        <f>AH98+AI98</f>
        <v>0</v>
      </c>
      <c r="AK98" s="234"/>
      <c r="AL98" s="234"/>
      <c r="AM98" s="234"/>
    </row>
    <row r="99" spans="1:39" ht="20.25">
      <c r="A99" s="792" t="s">
        <v>131</v>
      </c>
      <c r="B99" s="295"/>
      <c r="C99" s="295"/>
      <c r="D99" s="318"/>
      <c r="E99" s="319"/>
      <c r="F99" s="320"/>
      <c r="G99" s="320"/>
      <c r="H99" s="321"/>
      <c r="I99" s="321"/>
      <c r="J99" s="320"/>
      <c r="K99" s="354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ref="AE99:AE113" si="29">SUM(E99:AC99)</f>
        <v>0</v>
      </c>
      <c r="AF99" s="381"/>
      <c r="AG99" s="408"/>
      <c r="AH99" s="409">
        <f t="shared" si="28"/>
        <v>0</v>
      </c>
      <c r="AI99" s="410"/>
      <c r="AJ99" s="411">
        <f t="shared" ref="AJ99:AJ113" si="30">AH99+AI99</f>
        <v>0</v>
      </c>
      <c r="AK99" s="234"/>
      <c r="AL99" s="234"/>
      <c r="AM99" s="234"/>
    </row>
    <row r="100" spans="1:39" ht="20.25">
      <c r="A100" s="792" t="s">
        <v>131</v>
      </c>
      <c r="B100" s="295"/>
      <c r="C100" s="295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29"/>
        <v>0</v>
      </c>
      <c r="AF100" s="381"/>
      <c r="AG100" s="408"/>
      <c r="AH100" s="409">
        <f t="shared" si="28"/>
        <v>0</v>
      </c>
      <c r="AI100" s="410"/>
      <c r="AJ100" s="411">
        <f t="shared" si="30"/>
        <v>0</v>
      </c>
      <c r="AK100" s="234"/>
      <c r="AL100" s="234"/>
      <c r="AM100" s="234"/>
    </row>
    <row r="101" spans="1:39" ht="20.25">
      <c r="A101" s="792" t="s">
        <v>131</v>
      </c>
      <c r="B101" s="295"/>
      <c r="C101" s="295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29"/>
        <v>0</v>
      </c>
      <c r="AF101" s="381"/>
      <c r="AG101" s="408"/>
      <c r="AH101" s="409">
        <f t="shared" si="28"/>
        <v>0</v>
      </c>
      <c r="AI101" s="410"/>
      <c r="AJ101" s="411">
        <f t="shared" si="30"/>
        <v>0</v>
      </c>
      <c r="AK101" s="234"/>
      <c r="AL101" s="234"/>
      <c r="AM101" s="234"/>
    </row>
    <row r="102" spans="1:39" ht="20.25">
      <c r="A102" s="792" t="s">
        <v>131</v>
      </c>
      <c r="B102" s="295"/>
      <c r="C102" s="295"/>
      <c r="D102" s="318"/>
      <c r="E102" s="319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29"/>
        <v>0</v>
      </c>
      <c r="AF102" s="381"/>
      <c r="AG102" s="408"/>
      <c r="AH102" s="409">
        <f t="shared" si="28"/>
        <v>0</v>
      </c>
      <c r="AI102" s="410"/>
      <c r="AJ102" s="411">
        <f t="shared" si="30"/>
        <v>0</v>
      </c>
      <c r="AK102" s="234"/>
      <c r="AL102" s="234"/>
      <c r="AM102" s="234"/>
    </row>
    <row r="103" spans="1:39" ht="20.25">
      <c r="A103" s="792" t="s">
        <v>131</v>
      </c>
      <c r="B103" s="295"/>
      <c r="C103" s="295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29"/>
        <v>0</v>
      </c>
      <c r="AF103" s="381"/>
      <c r="AG103" s="408"/>
      <c r="AH103" s="409">
        <f t="shared" si="28"/>
        <v>0</v>
      </c>
      <c r="AI103" s="410"/>
      <c r="AJ103" s="411">
        <f t="shared" si="30"/>
        <v>0</v>
      </c>
      <c r="AK103" s="234"/>
      <c r="AL103" s="234"/>
      <c r="AM103" s="234"/>
    </row>
    <row r="104" spans="1:39" ht="20.25">
      <c r="A104" s="792" t="s">
        <v>131</v>
      </c>
      <c r="B104" s="295"/>
      <c r="C104" s="295"/>
      <c r="D104" s="318"/>
      <c r="E104" s="319"/>
      <c r="F104" s="320"/>
      <c r="G104" s="320"/>
      <c r="H104" s="321"/>
      <c r="I104" s="321"/>
      <c r="J104" s="320"/>
      <c r="K104" s="354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29"/>
        <v>0</v>
      </c>
      <c r="AF104" s="381"/>
      <c r="AG104" s="408"/>
      <c r="AH104" s="409">
        <f t="shared" si="28"/>
        <v>0</v>
      </c>
      <c r="AI104" s="410"/>
      <c r="AJ104" s="411">
        <f t="shared" si="30"/>
        <v>0</v>
      </c>
      <c r="AK104" s="234"/>
      <c r="AL104" s="234"/>
      <c r="AM104" s="234"/>
    </row>
    <row r="105" spans="1:39" ht="20.25">
      <c r="A105" s="792" t="s">
        <v>131</v>
      </c>
      <c r="B105" s="295"/>
      <c r="C105" s="295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29"/>
        <v>0</v>
      </c>
      <c r="AF105" s="381"/>
      <c r="AG105" s="408"/>
      <c r="AH105" s="409">
        <f t="shared" si="28"/>
        <v>0</v>
      </c>
      <c r="AI105" s="410"/>
      <c r="AJ105" s="411">
        <f t="shared" si="30"/>
        <v>0</v>
      </c>
      <c r="AK105" s="234"/>
      <c r="AL105" s="234"/>
      <c r="AM105" s="234"/>
    </row>
    <row r="106" spans="1:39" ht="20.25">
      <c r="A106" s="792" t="s">
        <v>131</v>
      </c>
      <c r="B106" s="295"/>
      <c r="C106" s="295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29"/>
        <v>0</v>
      </c>
      <c r="AF106" s="381"/>
      <c r="AG106" s="408"/>
      <c r="AH106" s="409">
        <f t="shared" si="28"/>
        <v>0</v>
      </c>
      <c r="AI106" s="410"/>
      <c r="AJ106" s="411">
        <f t="shared" si="30"/>
        <v>0</v>
      </c>
      <c r="AK106" s="234"/>
      <c r="AL106" s="234"/>
      <c r="AM106" s="234"/>
    </row>
    <row r="107" spans="1:39" ht="20.25">
      <c r="A107" s="792" t="s">
        <v>131</v>
      </c>
      <c r="B107" s="295"/>
      <c r="C107" s="295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29"/>
        <v>0</v>
      </c>
      <c r="AF107" s="381"/>
      <c r="AG107" s="408"/>
      <c r="AH107" s="409">
        <f t="shared" si="28"/>
        <v>0</v>
      </c>
      <c r="AI107" s="410"/>
      <c r="AJ107" s="411">
        <f t="shared" si="30"/>
        <v>0</v>
      </c>
      <c r="AK107" s="234"/>
      <c r="AL107" s="234"/>
      <c r="AM107" s="234"/>
    </row>
    <row r="108" spans="1:39" ht="20.25">
      <c r="A108" s="792" t="s">
        <v>131</v>
      </c>
      <c r="B108" s="295"/>
      <c r="C108" s="295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29"/>
        <v>0</v>
      </c>
      <c r="AF108" s="381"/>
      <c r="AG108" s="408"/>
      <c r="AH108" s="409">
        <f t="shared" si="28"/>
        <v>0</v>
      </c>
      <c r="AI108" s="410"/>
      <c r="AJ108" s="411">
        <f t="shared" si="30"/>
        <v>0</v>
      </c>
      <c r="AK108" s="234"/>
      <c r="AL108" s="234"/>
      <c r="AM108" s="234"/>
    </row>
    <row r="109" spans="1:39" ht="20.25">
      <c r="A109" s="792" t="s">
        <v>131</v>
      </c>
      <c r="B109" s="295"/>
      <c r="C109" s="295"/>
      <c r="D109" s="318"/>
      <c r="E109" s="319"/>
      <c r="F109" s="320"/>
      <c r="G109" s="320"/>
      <c r="H109" s="321"/>
      <c r="I109" s="321"/>
      <c r="J109" s="320"/>
      <c r="K109" s="354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29"/>
        <v>0</v>
      </c>
      <c r="AF109" s="381"/>
      <c r="AG109" s="408"/>
      <c r="AH109" s="409">
        <f t="shared" si="28"/>
        <v>0</v>
      </c>
      <c r="AI109" s="410"/>
      <c r="AJ109" s="411">
        <f t="shared" si="30"/>
        <v>0</v>
      </c>
      <c r="AK109" s="234"/>
      <c r="AL109" s="234"/>
      <c r="AM109" s="234"/>
    </row>
    <row r="110" spans="1:39" ht="20.25">
      <c r="A110" s="792" t="s">
        <v>131</v>
      </c>
      <c r="B110" s="295"/>
      <c r="C110" s="295"/>
      <c r="D110" s="318"/>
      <c r="E110" s="319"/>
      <c r="F110" s="320"/>
      <c r="G110" s="320"/>
      <c r="H110" s="321"/>
      <c r="I110" s="321"/>
      <c r="J110" s="320"/>
      <c r="K110" s="354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/>
      <c r="AD110" s="352"/>
      <c r="AE110" s="381">
        <f t="shared" si="29"/>
        <v>0</v>
      </c>
      <c r="AF110" s="381"/>
      <c r="AG110" s="408"/>
      <c r="AH110" s="409">
        <f t="shared" si="28"/>
        <v>0</v>
      </c>
      <c r="AI110" s="410"/>
      <c r="AJ110" s="411">
        <f t="shared" si="30"/>
        <v>0</v>
      </c>
      <c r="AK110" s="234"/>
      <c r="AL110" s="234"/>
      <c r="AM110" s="234"/>
    </row>
    <row r="111" spans="1:39" ht="20.25">
      <c r="A111" s="792" t="s">
        <v>131</v>
      </c>
      <c r="B111" s="295"/>
      <c r="C111" s="295"/>
      <c r="D111" s="318"/>
      <c r="E111" s="319"/>
      <c r="F111" s="320"/>
      <c r="G111" s="320"/>
      <c r="H111" s="321"/>
      <c r="I111" s="321"/>
      <c r="J111" s="320"/>
      <c r="K111" s="354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29"/>
        <v>0</v>
      </c>
      <c r="AF111" s="381"/>
      <c r="AG111" s="408"/>
      <c r="AH111" s="409">
        <f t="shared" si="28"/>
        <v>0</v>
      </c>
      <c r="AI111" s="410"/>
      <c r="AJ111" s="411">
        <f t="shared" si="30"/>
        <v>0</v>
      </c>
      <c r="AK111" s="234"/>
      <c r="AL111" s="234"/>
      <c r="AM111" s="234"/>
    </row>
    <row r="112" spans="1:39" ht="21" thickBot="1">
      <c r="A112" s="792" t="s">
        <v>131</v>
      </c>
      <c r="B112" s="295"/>
      <c r="C112" s="295"/>
      <c r="D112" s="318"/>
      <c r="E112" s="319"/>
      <c r="F112" s="320"/>
      <c r="G112" s="320"/>
      <c r="H112" s="321"/>
      <c r="I112" s="321"/>
      <c r="J112" s="320"/>
      <c r="K112" s="354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29"/>
        <v>0</v>
      </c>
      <c r="AF112" s="381"/>
      <c r="AG112" s="408"/>
      <c r="AH112" s="409">
        <f t="shared" si="28"/>
        <v>0</v>
      </c>
      <c r="AI112" s="410"/>
      <c r="AJ112" s="411">
        <f t="shared" si="30"/>
        <v>0</v>
      </c>
      <c r="AK112" s="234"/>
      <c r="AL112" s="234"/>
      <c r="AM112" s="234"/>
    </row>
    <row r="113" spans="1:39" ht="21" thickBot="1">
      <c r="A113" s="322"/>
      <c r="B113" s="323"/>
      <c r="C113" s="323"/>
      <c r="D113" s="324"/>
      <c r="E113" s="325"/>
      <c r="F113" s="297"/>
      <c r="G113" s="297"/>
      <c r="H113" s="298"/>
      <c r="I113" s="298"/>
      <c r="J113" s="297"/>
      <c r="K113" s="344"/>
      <c r="L113" s="355"/>
      <c r="M113" s="343"/>
      <c r="N113" s="298"/>
      <c r="O113" s="298"/>
      <c r="P113" s="298"/>
      <c r="Q113" s="298"/>
      <c r="R113" s="298"/>
      <c r="S113" s="298"/>
      <c r="T113" s="367"/>
      <c r="U113" s="355"/>
      <c r="V113" s="325"/>
      <c r="W113" s="297"/>
      <c r="X113" s="297"/>
      <c r="Y113" s="298"/>
      <c r="Z113" s="298"/>
      <c r="AA113" s="298"/>
      <c r="AB113" s="297"/>
      <c r="AC113" s="375"/>
      <c r="AD113" s="355"/>
      <c r="AE113" s="376">
        <f t="shared" si="29"/>
        <v>0</v>
      </c>
      <c r="AF113" s="377"/>
      <c r="AG113" s="390"/>
      <c r="AH113" s="391">
        <f t="shared" si="28"/>
        <v>0</v>
      </c>
      <c r="AI113" s="412"/>
      <c r="AJ113" s="413">
        <f t="shared" si="30"/>
        <v>0</v>
      </c>
      <c r="AK113" s="414" t="s">
        <v>8</v>
      </c>
      <c r="AL113" s="397" t="s">
        <v>23</v>
      </c>
      <c r="AM113" s="415" t="s">
        <v>174</v>
      </c>
    </row>
    <row r="114" spans="1:39" ht="19.5" thickBot="1">
      <c r="A114" s="326" t="s">
        <v>132</v>
      </c>
      <c r="B114" s="327"/>
      <c r="C114" s="327"/>
      <c r="D114" s="328"/>
      <c r="E114" s="329">
        <f>SUM(E95:E113)</f>
        <v>0</v>
      </c>
      <c r="F114" s="329">
        <f t="shared" ref="F114:K114" si="31">SUM(F95:F113)</f>
        <v>0</v>
      </c>
      <c r="G114" s="329">
        <f t="shared" si="31"/>
        <v>0</v>
      </c>
      <c r="H114" s="329">
        <f t="shared" si="31"/>
        <v>0</v>
      </c>
      <c r="I114" s="329">
        <f t="shared" si="31"/>
        <v>0</v>
      </c>
      <c r="J114" s="329">
        <f t="shared" si="31"/>
        <v>0</v>
      </c>
      <c r="K114" s="329">
        <f t="shared" si="31"/>
        <v>0</v>
      </c>
      <c r="L114" s="329"/>
      <c r="M114" s="329">
        <f t="shared" ref="M114:AJ114" si="32">SUM(M95:M113)</f>
        <v>0</v>
      </c>
      <c r="N114" s="329">
        <f t="shared" si="32"/>
        <v>0</v>
      </c>
      <c r="O114" s="329">
        <f t="shared" si="32"/>
        <v>0</v>
      </c>
      <c r="P114" s="329">
        <f t="shared" si="32"/>
        <v>0</v>
      </c>
      <c r="Q114" s="329">
        <f t="shared" si="32"/>
        <v>0</v>
      </c>
      <c r="R114" s="329">
        <f t="shared" si="32"/>
        <v>0</v>
      </c>
      <c r="S114" s="329">
        <f t="shared" si="32"/>
        <v>0</v>
      </c>
      <c r="T114" s="329">
        <f t="shared" si="32"/>
        <v>0</v>
      </c>
      <c r="U114" s="329">
        <f t="shared" si="32"/>
        <v>0</v>
      </c>
      <c r="V114" s="329">
        <f t="shared" si="32"/>
        <v>0</v>
      </c>
      <c r="W114" s="329">
        <f t="shared" si="32"/>
        <v>0</v>
      </c>
      <c r="X114" s="329">
        <f t="shared" si="32"/>
        <v>0</v>
      </c>
      <c r="Y114" s="329">
        <f t="shared" si="32"/>
        <v>0</v>
      </c>
      <c r="Z114" s="329">
        <f t="shared" si="32"/>
        <v>0</v>
      </c>
      <c r="AA114" s="329">
        <f t="shared" si="32"/>
        <v>0</v>
      </c>
      <c r="AB114" s="329">
        <f t="shared" si="32"/>
        <v>0</v>
      </c>
      <c r="AC114" s="329">
        <f t="shared" si="32"/>
        <v>0</v>
      </c>
      <c r="AD114" s="329">
        <f t="shared" si="32"/>
        <v>0</v>
      </c>
      <c r="AE114" s="329">
        <f t="shared" si="32"/>
        <v>0</v>
      </c>
      <c r="AF114" s="329">
        <f t="shared" si="32"/>
        <v>0</v>
      </c>
      <c r="AG114" s="329">
        <f t="shared" si="32"/>
        <v>0</v>
      </c>
      <c r="AH114" s="329">
        <f t="shared" si="32"/>
        <v>0</v>
      </c>
      <c r="AI114" s="329">
        <f t="shared" si="32"/>
        <v>0</v>
      </c>
      <c r="AJ114" s="329">
        <f t="shared" si="32"/>
        <v>0</v>
      </c>
      <c r="AK114" s="399">
        <f>'BIG CHAIR'!CL126</f>
        <v>0</v>
      </c>
      <c r="AL114" s="400">
        <f>'Tea Table'!X220</f>
        <v>72</v>
      </c>
      <c r="AM114" s="401">
        <f>AH114+AK114+AL114</f>
        <v>72</v>
      </c>
    </row>
    <row r="115" spans="1:39" ht="24" thickBot="1">
      <c r="A115" s="853"/>
      <c r="B115" s="327"/>
      <c r="C115" s="327"/>
      <c r="D115" s="328"/>
      <c r="E115" s="3891">
        <v>501</v>
      </c>
      <c r="F115" s="3892"/>
      <c r="G115" s="3892"/>
      <c r="H115" s="3892"/>
      <c r="I115" s="3892"/>
      <c r="J115" s="3892"/>
      <c r="K115" s="3904"/>
      <c r="L115" s="336"/>
      <c r="M115" s="3893">
        <v>502</v>
      </c>
      <c r="N115" s="3894"/>
      <c r="O115" s="3894"/>
      <c r="P115" s="3894"/>
      <c r="Q115" s="3894"/>
      <c r="R115" s="3894"/>
      <c r="S115" s="3894"/>
      <c r="T115" s="3895"/>
      <c r="U115" s="364"/>
      <c r="V115" s="3893">
        <v>503</v>
      </c>
      <c r="W115" s="3894"/>
      <c r="X115" s="3894"/>
      <c r="Y115" s="3894"/>
      <c r="Z115" s="3894"/>
      <c r="AA115" s="3894"/>
      <c r="AB115" s="3894"/>
      <c r="AC115" s="3895"/>
      <c r="AD115" s="859"/>
      <c r="AE115" s="857"/>
      <c r="AF115" s="858"/>
      <c r="AG115" s="857"/>
      <c r="AH115" s="858"/>
      <c r="AI115" s="857"/>
      <c r="AJ115" s="857"/>
      <c r="AK115" s="403"/>
      <c r="AL115" s="403"/>
      <c r="AM115" s="403"/>
    </row>
    <row r="116" spans="1:39" ht="24" thickBot="1">
      <c r="A116" s="721" t="s">
        <v>393</v>
      </c>
      <c r="B116" s="722" t="s">
        <v>68</v>
      </c>
      <c r="C116" s="287" t="s">
        <v>69</v>
      </c>
      <c r="D116" s="288" t="s">
        <v>70</v>
      </c>
      <c r="E116" s="2697" t="s">
        <v>53</v>
      </c>
      <c r="F116" s="2698" t="s">
        <v>442</v>
      </c>
      <c r="G116" s="2698" t="s">
        <v>372</v>
      </c>
      <c r="H116" s="2698" t="s">
        <v>473</v>
      </c>
      <c r="I116" s="2698" t="s">
        <v>94</v>
      </c>
      <c r="J116" s="2698"/>
      <c r="K116" s="2702" t="s">
        <v>95</v>
      </c>
      <c r="L116" s="2700"/>
      <c r="M116" s="2697" t="s">
        <v>53</v>
      </c>
      <c r="N116" s="2698" t="s">
        <v>190</v>
      </c>
      <c r="O116" s="2698" t="s">
        <v>467</v>
      </c>
      <c r="P116" s="2698" t="s">
        <v>206</v>
      </c>
      <c r="Q116" s="2698" t="s">
        <v>94</v>
      </c>
      <c r="R116" s="2698" t="s">
        <v>446</v>
      </c>
      <c r="S116" s="2702" t="s">
        <v>96</v>
      </c>
      <c r="T116" s="2700" t="s">
        <v>86</v>
      </c>
      <c r="U116" s="2699"/>
      <c r="V116" s="2697" t="s">
        <v>53</v>
      </c>
      <c r="W116" s="2698" t="s">
        <v>487</v>
      </c>
      <c r="X116" s="2698" t="s">
        <v>372</v>
      </c>
      <c r="Y116" s="2698" t="s">
        <v>304</v>
      </c>
      <c r="Z116" s="2698" t="s">
        <v>94</v>
      </c>
      <c r="AA116" s="2698" t="s">
        <v>170</v>
      </c>
      <c r="AB116" s="2702" t="s">
        <v>505</v>
      </c>
      <c r="AC116" s="2700" t="s">
        <v>506</v>
      </c>
      <c r="AD116" s="370"/>
      <c r="AE116" s="371" t="s">
        <v>172</v>
      </c>
      <c r="AF116" s="372" t="s">
        <v>80</v>
      </c>
      <c r="AG116" s="385"/>
      <c r="AH116" s="386" t="s">
        <v>106</v>
      </c>
      <c r="AI116" s="385" t="s">
        <v>173</v>
      </c>
      <c r="AJ116" s="371" t="s">
        <v>108</v>
      </c>
      <c r="AK116" s="282"/>
      <c r="AL116" s="282"/>
      <c r="AM116" s="282"/>
    </row>
    <row r="117" spans="1:39" ht="20.25">
      <c r="A117" s="792" t="s">
        <v>392</v>
      </c>
      <c r="B117" s="295"/>
      <c r="C117" s="295"/>
      <c r="D117" s="318">
        <v>46116</v>
      </c>
      <c r="E117" s="319"/>
      <c r="F117" s="320"/>
      <c r="G117" s="320"/>
      <c r="H117" s="321"/>
      <c r="I117" s="321"/>
      <c r="J117" s="320"/>
      <c r="K117" s="354"/>
      <c r="L117" s="352"/>
      <c r="M117" s="353"/>
      <c r="N117" s="321"/>
      <c r="O117" s="321"/>
      <c r="P117" s="321"/>
      <c r="Q117" s="321"/>
      <c r="R117" s="321"/>
      <c r="S117" s="321"/>
      <c r="T117" s="351"/>
      <c r="U117" s="352"/>
      <c r="V117" s="319"/>
      <c r="W117" s="320">
        <f>23*12</f>
        <v>276</v>
      </c>
      <c r="X117" s="320"/>
      <c r="Y117" s="321"/>
      <c r="Z117" s="321"/>
      <c r="AA117" s="321"/>
      <c r="AB117" s="320"/>
      <c r="AC117" s="380"/>
      <c r="AD117" s="352"/>
      <c r="AE117" s="381">
        <f>SUM(E117:AC117)</f>
        <v>276</v>
      </c>
      <c r="AF117" s="381"/>
      <c r="AG117" s="408"/>
      <c r="AH117" s="409">
        <f>AE117+AF117</f>
        <v>276</v>
      </c>
      <c r="AI117" s="410">
        <v>5</v>
      </c>
      <c r="AJ117" s="411">
        <f>AH117+AI117</f>
        <v>281</v>
      </c>
      <c r="AK117" s="234"/>
      <c r="AL117" s="234"/>
      <c r="AM117" s="234"/>
    </row>
    <row r="118" spans="1:39" ht="20.25">
      <c r="A118" s="792" t="s">
        <v>392</v>
      </c>
      <c r="B118" s="295"/>
      <c r="C118" s="295"/>
      <c r="D118" s="318">
        <v>46119</v>
      </c>
      <c r="E118" s="319"/>
      <c r="F118" s="320"/>
      <c r="G118" s="320"/>
      <c r="H118" s="321"/>
      <c r="I118" s="321"/>
      <c r="J118" s="320"/>
      <c r="K118" s="354"/>
      <c r="L118" s="352"/>
      <c r="M118" s="353">
        <f>7*12+38*12</f>
        <v>540</v>
      </c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ref="AE118:AE141" si="33">SUM(E118:AC118)</f>
        <v>540</v>
      </c>
      <c r="AF118" s="381">
        <v>1</v>
      </c>
      <c r="AG118" s="408"/>
      <c r="AH118" s="409">
        <f t="shared" ref="AH118:AH141" si="34">AE118+AF118</f>
        <v>541</v>
      </c>
      <c r="AI118" s="410">
        <v>3</v>
      </c>
      <c r="AJ118" s="411">
        <f t="shared" ref="AJ118:AJ141" si="35">AH118+AI118</f>
        <v>544</v>
      </c>
      <c r="AK118" s="234"/>
      <c r="AL118" s="234"/>
      <c r="AM118" s="234"/>
    </row>
    <row r="119" spans="1:39" ht="20.25">
      <c r="A119" s="792" t="s">
        <v>392</v>
      </c>
      <c r="B119" s="295"/>
      <c r="C119" s="295"/>
      <c r="D119" s="318">
        <v>46120</v>
      </c>
      <c r="E119" s="319"/>
      <c r="F119" s="320"/>
      <c r="G119" s="320"/>
      <c r="H119" s="321"/>
      <c r="I119" s="321"/>
      <c r="J119" s="320"/>
      <c r="K119" s="354"/>
      <c r="L119" s="352"/>
      <c r="M119" s="353">
        <f>38*12+34*12</f>
        <v>864</v>
      </c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33"/>
        <v>864</v>
      </c>
      <c r="AF119" s="381"/>
      <c r="AG119" s="408"/>
      <c r="AH119" s="409">
        <f t="shared" si="34"/>
        <v>864</v>
      </c>
      <c r="AI119" s="410">
        <f>2+2</f>
        <v>4</v>
      </c>
      <c r="AJ119" s="411">
        <f t="shared" si="35"/>
        <v>868</v>
      </c>
      <c r="AK119" s="234"/>
      <c r="AL119" s="234"/>
      <c r="AM119" s="234"/>
    </row>
    <row r="120" spans="1:39" ht="20.25">
      <c r="A120" s="792" t="s">
        <v>392</v>
      </c>
      <c r="B120" s="295"/>
      <c r="C120" s="295"/>
      <c r="D120" s="318">
        <v>46121</v>
      </c>
      <c r="E120" s="319"/>
      <c r="F120" s="320"/>
      <c r="G120" s="320"/>
      <c r="H120" s="321"/>
      <c r="I120" s="321"/>
      <c r="J120" s="320"/>
      <c r="K120" s="354"/>
      <c r="L120" s="352"/>
      <c r="M120" s="353">
        <f>17*12+6*12</f>
        <v>276</v>
      </c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33"/>
        <v>276</v>
      </c>
      <c r="AF120" s="381">
        <v>4</v>
      </c>
      <c r="AG120" s="408"/>
      <c r="AH120" s="409">
        <f t="shared" si="34"/>
        <v>280</v>
      </c>
      <c r="AI120" s="410">
        <v>5</v>
      </c>
      <c r="AJ120" s="411">
        <f t="shared" si="35"/>
        <v>285</v>
      </c>
      <c r="AK120" s="234"/>
      <c r="AL120" s="234"/>
      <c r="AM120" s="234"/>
    </row>
    <row r="121" spans="1:39" ht="20.25">
      <c r="A121" s="792" t="s">
        <v>392</v>
      </c>
      <c r="B121" s="295"/>
      <c r="C121" s="295"/>
      <c r="D121" s="318">
        <v>46123</v>
      </c>
      <c r="E121" s="319"/>
      <c r="F121" s="320"/>
      <c r="G121" s="320"/>
      <c r="H121" s="321"/>
      <c r="I121" s="321"/>
      <c r="J121" s="320"/>
      <c r="K121" s="354"/>
      <c r="L121" s="352"/>
      <c r="M121" s="353">
        <f>16*12</f>
        <v>192</v>
      </c>
      <c r="N121" s="321"/>
      <c r="O121" s="321">
        <f>2*12</f>
        <v>24</v>
      </c>
      <c r="P121" s="321"/>
      <c r="Q121" s="321"/>
      <c r="R121" s="321"/>
      <c r="S121" s="321"/>
      <c r="T121" s="351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si="33"/>
        <v>216</v>
      </c>
      <c r="AF121" s="381"/>
      <c r="AG121" s="408"/>
      <c r="AH121" s="409">
        <f t="shared" si="34"/>
        <v>216</v>
      </c>
      <c r="AI121" s="410">
        <v>2</v>
      </c>
      <c r="AJ121" s="411">
        <f t="shared" si="35"/>
        <v>218</v>
      </c>
      <c r="AK121" s="234"/>
      <c r="AL121" s="234"/>
      <c r="AM121" s="234"/>
    </row>
    <row r="122" spans="1:39" ht="20.25">
      <c r="A122" s="792" t="s">
        <v>392</v>
      </c>
      <c r="B122" s="295"/>
      <c r="C122" s="295"/>
      <c r="D122" s="318">
        <v>46124</v>
      </c>
      <c r="E122" s="319"/>
      <c r="F122" s="320"/>
      <c r="G122" s="320"/>
      <c r="H122" s="321"/>
      <c r="I122" s="321"/>
      <c r="J122" s="320"/>
      <c r="K122" s="354"/>
      <c r="L122" s="352"/>
      <c r="M122" s="353">
        <f>7*12</f>
        <v>84</v>
      </c>
      <c r="N122" s="321"/>
      <c r="O122" s="321"/>
      <c r="P122" s="321"/>
      <c r="Q122" s="321"/>
      <c r="R122" s="321"/>
      <c r="S122" s="321"/>
      <c r="T122" s="351"/>
      <c r="U122" s="352"/>
      <c r="V122" s="319"/>
      <c r="W122" s="320">
        <f>21*12</f>
        <v>252</v>
      </c>
      <c r="X122" s="320"/>
      <c r="Y122" s="321"/>
      <c r="Z122" s="321"/>
      <c r="AA122" s="321"/>
      <c r="AB122" s="320"/>
      <c r="AC122" s="380"/>
      <c r="AD122" s="352"/>
      <c r="AE122" s="381">
        <f t="shared" si="33"/>
        <v>336</v>
      </c>
      <c r="AF122" s="381">
        <v>1</v>
      </c>
      <c r="AG122" s="408"/>
      <c r="AH122" s="409">
        <f t="shared" si="34"/>
        <v>337</v>
      </c>
      <c r="AI122" s="410">
        <v>3</v>
      </c>
      <c r="AJ122" s="411">
        <f t="shared" si="35"/>
        <v>340</v>
      </c>
      <c r="AK122" s="234"/>
      <c r="AL122" s="234"/>
      <c r="AM122" s="234"/>
    </row>
    <row r="123" spans="1:39" ht="20.25">
      <c r="A123" s="792" t="s">
        <v>392</v>
      </c>
      <c r="B123" s="295"/>
      <c r="C123" s="295"/>
      <c r="D123" s="318">
        <v>46125</v>
      </c>
      <c r="E123" s="319"/>
      <c r="F123" s="320"/>
      <c r="G123" s="320"/>
      <c r="H123" s="321"/>
      <c r="I123" s="321"/>
      <c r="J123" s="320"/>
      <c r="K123" s="354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>
        <f>41*12</f>
        <v>492</v>
      </c>
      <c r="X123" s="320"/>
      <c r="Y123" s="321"/>
      <c r="Z123" s="321"/>
      <c r="AA123" s="321"/>
      <c r="AB123" s="320"/>
      <c r="AC123" s="380"/>
      <c r="AD123" s="352"/>
      <c r="AE123" s="381">
        <f t="shared" si="33"/>
        <v>492</v>
      </c>
      <c r="AF123" s="381"/>
      <c r="AG123" s="408"/>
      <c r="AH123" s="409">
        <f t="shared" si="34"/>
        <v>492</v>
      </c>
      <c r="AI123" s="410">
        <v>3</v>
      </c>
      <c r="AJ123" s="411">
        <f t="shared" si="35"/>
        <v>495</v>
      </c>
      <c r="AK123" s="234"/>
      <c r="AL123" s="234"/>
      <c r="AM123" s="234"/>
    </row>
    <row r="124" spans="1:39" ht="21" thickBot="1">
      <c r="A124" s="792" t="s">
        <v>392</v>
      </c>
      <c r="B124" s="295"/>
      <c r="C124" s="295"/>
      <c r="D124" s="318">
        <v>46126</v>
      </c>
      <c r="E124" s="319"/>
      <c r="F124" s="320"/>
      <c r="G124" s="320"/>
      <c r="H124" s="321"/>
      <c r="I124" s="321"/>
      <c r="J124" s="320"/>
      <c r="K124" s="354"/>
      <c r="L124" s="352"/>
      <c r="M124" s="353"/>
      <c r="N124" s="321"/>
      <c r="O124" s="321"/>
      <c r="P124" s="321"/>
      <c r="Q124" s="321"/>
      <c r="R124" s="321"/>
      <c r="S124" s="321"/>
      <c r="T124" s="351"/>
      <c r="U124" s="352"/>
      <c r="V124" s="319"/>
      <c r="W124" s="320">
        <f>30*12</f>
        <v>360</v>
      </c>
      <c r="X124" s="320"/>
      <c r="Y124" s="321"/>
      <c r="Z124" s="321"/>
      <c r="AA124" s="321"/>
      <c r="AB124" s="320"/>
      <c r="AC124" s="380"/>
      <c r="AD124" s="352"/>
      <c r="AE124" s="381">
        <f t="shared" si="33"/>
        <v>360</v>
      </c>
      <c r="AF124" s="381"/>
      <c r="AG124" s="408"/>
      <c r="AH124" s="409">
        <f t="shared" si="34"/>
        <v>360</v>
      </c>
      <c r="AI124" s="410">
        <v>7</v>
      </c>
      <c r="AJ124" s="411">
        <f>SUM(AH124:AI124)</f>
        <v>367</v>
      </c>
      <c r="AK124" s="234"/>
      <c r="AL124" s="234"/>
      <c r="AM124" s="234"/>
    </row>
    <row r="125" spans="1:39" ht="21" thickBot="1">
      <c r="A125" s="792" t="s">
        <v>392</v>
      </c>
      <c r="B125" s="323"/>
      <c r="C125" s="323"/>
      <c r="D125" s="324">
        <v>46127</v>
      </c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>
        <f>17*12</f>
        <v>204</v>
      </c>
      <c r="X125" s="297"/>
      <c r="Y125" s="298"/>
      <c r="Z125" s="298"/>
      <c r="AA125" s="298"/>
      <c r="AB125" s="297"/>
      <c r="AC125" s="375"/>
      <c r="AD125" s="355"/>
      <c r="AE125" s="376">
        <f t="shared" si="33"/>
        <v>204</v>
      </c>
      <c r="AF125" s="377"/>
      <c r="AG125" s="390"/>
      <c r="AH125" s="391">
        <f t="shared" si="34"/>
        <v>204</v>
      </c>
      <c r="AI125" s="412">
        <v>7</v>
      </c>
      <c r="AJ125" s="413">
        <f t="shared" si="35"/>
        <v>211</v>
      </c>
      <c r="AK125" s="414" t="s">
        <v>8</v>
      </c>
      <c r="AL125" s="397" t="s">
        <v>23</v>
      </c>
      <c r="AM125" s="415" t="s">
        <v>174</v>
      </c>
    </row>
    <row r="126" spans="1:39" ht="21" thickBot="1">
      <c r="A126" s="792" t="s">
        <v>392</v>
      </c>
      <c r="B126" s="323"/>
      <c r="C126" s="323"/>
      <c r="D126" s="324">
        <v>46128</v>
      </c>
      <c r="E126" s="325"/>
      <c r="F126" s="297"/>
      <c r="G126" s="297"/>
      <c r="H126" s="298"/>
      <c r="I126" s="298"/>
      <c r="J126" s="297"/>
      <c r="K126" s="344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>
        <f>16*12</f>
        <v>192</v>
      </c>
      <c r="X126" s="297"/>
      <c r="Y126" s="298"/>
      <c r="Z126" s="298"/>
      <c r="AA126" s="298"/>
      <c r="AB126" s="297"/>
      <c r="AC126" s="375"/>
      <c r="AD126" s="355"/>
      <c r="AE126" s="376">
        <f t="shared" si="33"/>
        <v>192</v>
      </c>
      <c r="AF126" s="377"/>
      <c r="AG126" s="390"/>
      <c r="AH126" s="391">
        <f t="shared" si="34"/>
        <v>192</v>
      </c>
      <c r="AI126" s="412">
        <v>8</v>
      </c>
      <c r="AJ126" s="413">
        <f t="shared" si="35"/>
        <v>200</v>
      </c>
      <c r="AK126" s="414" t="s">
        <v>8</v>
      </c>
      <c r="AL126" s="397" t="s">
        <v>23</v>
      </c>
      <c r="AM126" s="415" t="s">
        <v>174</v>
      </c>
    </row>
    <row r="127" spans="1:39" ht="21" thickBot="1">
      <c r="A127" s="792" t="s">
        <v>392</v>
      </c>
      <c r="B127" s="323"/>
      <c r="C127" s="323"/>
      <c r="D127" s="324">
        <v>46131</v>
      </c>
      <c r="E127" s="325"/>
      <c r="F127" s="297"/>
      <c r="G127" s="297"/>
      <c r="H127" s="298"/>
      <c r="I127" s="298"/>
      <c r="J127" s="297"/>
      <c r="K127" s="344"/>
      <c r="L127" s="355"/>
      <c r="M127" s="343"/>
      <c r="N127" s="298"/>
      <c r="O127" s="298">
        <f>27*12</f>
        <v>324</v>
      </c>
      <c r="P127" s="298"/>
      <c r="Q127" s="298"/>
      <c r="R127" s="298"/>
      <c r="S127" s="298"/>
      <c r="T127" s="367"/>
      <c r="U127" s="355"/>
      <c r="V127" s="325"/>
      <c r="W127" s="297">
        <f>1*12</f>
        <v>12</v>
      </c>
      <c r="X127" s="297"/>
      <c r="Y127" s="298"/>
      <c r="Z127" s="298"/>
      <c r="AA127" s="298"/>
      <c r="AB127" s="297"/>
      <c r="AC127" s="375"/>
      <c r="AD127" s="355"/>
      <c r="AE127" s="376">
        <f t="shared" si="33"/>
        <v>336</v>
      </c>
      <c r="AF127" s="377"/>
      <c r="AG127" s="390"/>
      <c r="AH127" s="391">
        <f t="shared" si="34"/>
        <v>336</v>
      </c>
      <c r="AI127" s="412">
        <v>4</v>
      </c>
      <c r="AJ127" s="413">
        <f t="shared" si="35"/>
        <v>340</v>
      </c>
      <c r="AK127" s="414" t="s">
        <v>8</v>
      </c>
      <c r="AL127" s="397" t="s">
        <v>23</v>
      </c>
      <c r="AM127" s="415" t="s">
        <v>174</v>
      </c>
    </row>
    <row r="128" spans="1:39" ht="21" thickBot="1">
      <c r="A128" s="792" t="s">
        <v>392</v>
      </c>
      <c r="B128" s="323"/>
      <c r="C128" s="323"/>
      <c r="D128" s="324">
        <v>46132</v>
      </c>
      <c r="E128" s="325"/>
      <c r="F128" s="297"/>
      <c r="G128" s="297"/>
      <c r="H128" s="298"/>
      <c r="I128" s="298"/>
      <c r="J128" s="297"/>
      <c r="K128" s="344"/>
      <c r="L128" s="355"/>
      <c r="M128" s="343"/>
      <c r="N128" s="298"/>
      <c r="O128" s="298">
        <f>31*12</f>
        <v>372</v>
      </c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6">
        <f t="shared" si="33"/>
        <v>372</v>
      </c>
      <c r="AF128" s="377"/>
      <c r="AG128" s="390"/>
      <c r="AH128" s="391">
        <f t="shared" si="34"/>
        <v>372</v>
      </c>
      <c r="AI128" s="412">
        <v>14</v>
      </c>
      <c r="AJ128" s="413">
        <f t="shared" si="35"/>
        <v>386</v>
      </c>
      <c r="AK128" s="414" t="s">
        <v>8</v>
      </c>
      <c r="AL128" s="397" t="s">
        <v>23</v>
      </c>
      <c r="AM128" s="415" t="s">
        <v>174</v>
      </c>
    </row>
    <row r="129" spans="1:39" ht="21" thickBot="1">
      <c r="A129" s="792" t="s">
        <v>392</v>
      </c>
      <c r="B129" s="323"/>
      <c r="C129" s="323"/>
      <c r="D129" s="324">
        <v>46133</v>
      </c>
      <c r="E129" s="325"/>
      <c r="F129" s="297"/>
      <c r="G129" s="297"/>
      <c r="H129" s="298"/>
      <c r="I129" s="298"/>
      <c r="J129" s="297"/>
      <c r="K129" s="344"/>
      <c r="L129" s="355"/>
      <c r="M129" s="343"/>
      <c r="N129" s="298"/>
      <c r="O129" s="298">
        <f>37*12</f>
        <v>444</v>
      </c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si="33"/>
        <v>444</v>
      </c>
      <c r="AF129" s="377"/>
      <c r="AG129" s="390"/>
      <c r="AH129" s="391">
        <f t="shared" si="34"/>
        <v>444</v>
      </c>
      <c r="AI129" s="412">
        <v>2</v>
      </c>
      <c r="AJ129" s="413">
        <f t="shared" si="35"/>
        <v>446</v>
      </c>
      <c r="AK129" s="414" t="s">
        <v>8</v>
      </c>
      <c r="AL129" s="397" t="s">
        <v>23</v>
      </c>
      <c r="AM129" s="415" t="s">
        <v>174</v>
      </c>
    </row>
    <row r="130" spans="1:39" ht="21" thickBot="1">
      <c r="A130" s="792" t="s">
        <v>392</v>
      </c>
      <c r="B130" s="323"/>
      <c r="C130" s="323"/>
      <c r="D130" s="324">
        <v>46134</v>
      </c>
      <c r="E130" s="325"/>
      <c r="F130" s="297"/>
      <c r="G130" s="297"/>
      <c r="H130" s="298"/>
      <c r="I130" s="298"/>
      <c r="J130" s="297"/>
      <c r="K130" s="344"/>
      <c r="L130" s="355"/>
      <c r="M130" s="343"/>
      <c r="N130" s="298"/>
      <c r="O130" s="298">
        <f>32*12</f>
        <v>384</v>
      </c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33"/>
        <v>384</v>
      </c>
      <c r="AF130" s="377"/>
      <c r="AG130" s="390"/>
      <c r="AH130" s="391">
        <f t="shared" si="34"/>
        <v>384</v>
      </c>
      <c r="AI130" s="412">
        <v>8</v>
      </c>
      <c r="AJ130" s="413">
        <f t="shared" si="35"/>
        <v>392</v>
      </c>
      <c r="AK130" s="414" t="s">
        <v>8</v>
      </c>
      <c r="AL130" s="397" t="s">
        <v>23</v>
      </c>
      <c r="AM130" s="415" t="s">
        <v>174</v>
      </c>
    </row>
    <row r="131" spans="1:39" ht="21" thickBot="1">
      <c r="A131" s="792" t="s">
        <v>392</v>
      </c>
      <c r="B131" s="323"/>
      <c r="C131" s="323"/>
      <c r="D131" s="324">
        <v>46135</v>
      </c>
      <c r="E131" s="325"/>
      <c r="F131" s="297"/>
      <c r="G131" s="297"/>
      <c r="H131" s="298"/>
      <c r="I131" s="298"/>
      <c r="J131" s="297"/>
      <c r="K131" s="344"/>
      <c r="L131" s="355"/>
      <c r="M131" s="343"/>
      <c r="N131" s="298"/>
      <c r="O131" s="298">
        <f>17*12</f>
        <v>204</v>
      </c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ref="AE131:AE132" si="36">SUM(E131:AC131)</f>
        <v>204</v>
      </c>
      <c r="AF131" s="377"/>
      <c r="AG131" s="390"/>
      <c r="AH131" s="391">
        <f t="shared" ref="AH131:AH132" si="37">AE131+AF131</f>
        <v>204</v>
      </c>
      <c r="AI131" s="412">
        <v>5</v>
      </c>
      <c r="AJ131" s="413">
        <f t="shared" ref="AJ131:AJ132" si="38">AH131+AI131</f>
        <v>209</v>
      </c>
      <c r="AK131" s="414" t="s">
        <v>8</v>
      </c>
      <c r="AL131" s="397" t="s">
        <v>23</v>
      </c>
      <c r="AM131" s="415" t="s">
        <v>174</v>
      </c>
    </row>
    <row r="132" spans="1:39" ht="21" thickBot="1">
      <c r="A132" s="792" t="s">
        <v>392</v>
      </c>
      <c r="B132" s="323"/>
      <c r="C132" s="323"/>
      <c r="D132" s="324">
        <v>46136</v>
      </c>
      <c r="E132" s="325"/>
      <c r="F132" s="297"/>
      <c r="G132" s="297"/>
      <c r="H132" s="298"/>
      <c r="I132" s="298"/>
      <c r="J132" s="297"/>
      <c r="K132" s="344"/>
      <c r="L132" s="355"/>
      <c r="M132" s="343"/>
      <c r="N132" s="298"/>
      <c r="O132" s="298">
        <f>33*12</f>
        <v>396</v>
      </c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36"/>
        <v>396</v>
      </c>
      <c r="AF132" s="377"/>
      <c r="AG132" s="390"/>
      <c r="AH132" s="391">
        <f t="shared" si="37"/>
        <v>396</v>
      </c>
      <c r="AI132" s="412">
        <v>11</v>
      </c>
      <c r="AJ132" s="413">
        <f t="shared" si="38"/>
        <v>407</v>
      </c>
      <c r="AK132" s="414" t="s">
        <v>8</v>
      </c>
      <c r="AL132" s="397" t="s">
        <v>23</v>
      </c>
      <c r="AM132" s="415" t="s">
        <v>174</v>
      </c>
    </row>
    <row r="133" spans="1:39" ht="21" thickBot="1">
      <c r="A133" s="792" t="s">
        <v>392</v>
      </c>
      <c r="B133" s="323"/>
      <c r="C133" s="323"/>
      <c r="D133" s="324">
        <v>46137</v>
      </c>
      <c r="E133" s="325"/>
      <c r="F133" s="297"/>
      <c r="G133" s="297"/>
      <c r="H133" s="298"/>
      <c r="I133" s="298"/>
      <c r="J133" s="297"/>
      <c r="K133" s="344"/>
      <c r="L133" s="355"/>
      <c r="M133" s="343"/>
      <c r="N133" s="298"/>
      <c r="O133" s="298">
        <f>34*12</f>
        <v>408</v>
      </c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33"/>
        <v>408</v>
      </c>
      <c r="AF133" s="377"/>
      <c r="AG133" s="390"/>
      <c r="AH133" s="391">
        <f t="shared" si="34"/>
        <v>408</v>
      </c>
      <c r="AI133" s="412">
        <v>8</v>
      </c>
      <c r="AJ133" s="413">
        <f t="shared" si="35"/>
        <v>416</v>
      </c>
      <c r="AK133" s="414" t="s">
        <v>8</v>
      </c>
      <c r="AL133" s="397" t="s">
        <v>23</v>
      </c>
      <c r="AM133" s="415" t="s">
        <v>174</v>
      </c>
    </row>
    <row r="134" spans="1:39" ht="21" thickBot="1">
      <c r="A134" s="792" t="s">
        <v>392</v>
      </c>
      <c r="B134" s="323"/>
      <c r="C134" s="323"/>
      <c r="D134" s="324">
        <v>46138</v>
      </c>
      <c r="E134" s="325"/>
      <c r="F134" s="297"/>
      <c r="G134" s="297"/>
      <c r="H134" s="298"/>
      <c r="I134" s="298"/>
      <c r="J134" s="297"/>
      <c r="K134" s="344"/>
      <c r="L134" s="355"/>
      <c r="M134" s="343"/>
      <c r="N134" s="298"/>
      <c r="O134" s="298">
        <f>2*12</f>
        <v>24</v>
      </c>
      <c r="P134" s="298"/>
      <c r="Q134" s="298"/>
      <c r="R134" s="298"/>
      <c r="S134" s="298"/>
      <c r="T134" s="367"/>
      <c r="U134" s="355"/>
      <c r="V134" s="325"/>
      <c r="W134" s="297">
        <f>31*12</f>
        <v>372</v>
      </c>
      <c r="X134" s="297"/>
      <c r="Y134" s="298"/>
      <c r="Z134" s="298"/>
      <c r="AA134" s="298"/>
      <c r="AB134" s="297"/>
      <c r="AC134" s="375"/>
      <c r="AD134" s="355"/>
      <c r="AE134" s="376">
        <f t="shared" ref="AE134:AE135" si="39">SUM(E134:AC134)</f>
        <v>396</v>
      </c>
      <c r="AF134" s="377"/>
      <c r="AG134" s="390"/>
      <c r="AH134" s="391">
        <f t="shared" ref="AH134:AH135" si="40">AE134+AF134</f>
        <v>396</v>
      </c>
      <c r="AI134" s="412">
        <f>6+20</f>
        <v>26</v>
      </c>
      <c r="AJ134" s="413">
        <f t="shared" ref="AJ134:AJ135" si="41">AH134+AI134</f>
        <v>422</v>
      </c>
      <c r="AK134" s="414" t="s">
        <v>8</v>
      </c>
      <c r="AL134" s="397" t="s">
        <v>23</v>
      </c>
      <c r="AM134" s="415" t="s">
        <v>174</v>
      </c>
    </row>
    <row r="135" spans="1:39" ht="21" thickBot="1">
      <c r="A135" s="792" t="s">
        <v>392</v>
      </c>
      <c r="B135" s="323"/>
      <c r="C135" s="323"/>
      <c r="D135" s="324">
        <v>46139</v>
      </c>
      <c r="E135" s="325"/>
      <c r="F135" s="297"/>
      <c r="G135" s="297"/>
      <c r="H135" s="298"/>
      <c r="I135" s="298"/>
      <c r="J135" s="297"/>
      <c r="K135" s="344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>
        <f>28*12</f>
        <v>336</v>
      </c>
      <c r="X135" s="297"/>
      <c r="Y135" s="298"/>
      <c r="Z135" s="298"/>
      <c r="AA135" s="298"/>
      <c r="AB135" s="297"/>
      <c r="AC135" s="375"/>
      <c r="AD135" s="355"/>
      <c r="AE135" s="376">
        <f t="shared" si="39"/>
        <v>336</v>
      </c>
      <c r="AF135" s="377"/>
      <c r="AG135" s="390"/>
      <c r="AH135" s="391">
        <f t="shared" si="40"/>
        <v>336</v>
      </c>
      <c r="AI135" s="412">
        <v>24</v>
      </c>
      <c r="AJ135" s="413">
        <f t="shared" si="41"/>
        <v>360</v>
      </c>
      <c r="AK135" s="414" t="s">
        <v>8</v>
      </c>
      <c r="AL135" s="397" t="s">
        <v>23</v>
      </c>
      <c r="AM135" s="415" t="s">
        <v>174</v>
      </c>
    </row>
    <row r="136" spans="1:39" ht="21" thickBot="1">
      <c r="A136" s="792" t="s">
        <v>392</v>
      </c>
      <c r="B136" s="323"/>
      <c r="C136" s="323"/>
      <c r="D136" s="324">
        <v>46140</v>
      </c>
      <c r="E136" s="325"/>
      <c r="F136" s="297"/>
      <c r="G136" s="297"/>
      <c r="H136" s="298"/>
      <c r="I136" s="298"/>
      <c r="J136" s="297"/>
      <c r="K136" s="344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>
        <f>23*12</f>
        <v>276</v>
      </c>
      <c r="X136" s="297"/>
      <c r="Y136" s="298"/>
      <c r="Z136" s="298"/>
      <c r="AA136" s="298"/>
      <c r="AB136" s="297"/>
      <c r="AC136" s="375"/>
      <c r="AD136" s="355"/>
      <c r="AE136" s="376">
        <f t="shared" ref="AE136:AE137" si="42">SUM(E136:AC136)</f>
        <v>276</v>
      </c>
      <c r="AF136" s="377"/>
      <c r="AG136" s="390"/>
      <c r="AH136" s="391">
        <f t="shared" ref="AH136:AH137" si="43">AE136+AF136</f>
        <v>276</v>
      </c>
      <c r="AI136" s="412">
        <v>17</v>
      </c>
      <c r="AJ136" s="413">
        <f t="shared" ref="AJ136:AJ137" si="44">AH136+AI136</f>
        <v>293</v>
      </c>
      <c r="AK136" s="399">
        <f>'BIG CHAIR'!CL119</f>
        <v>0</v>
      </c>
      <c r="AL136" s="400">
        <f>'Tea Table'!X207</f>
        <v>120</v>
      </c>
      <c r="AM136" s="401">
        <f>AH142+AK136+AL136</f>
        <v>7746</v>
      </c>
    </row>
    <row r="137" spans="1:39" ht="20.25">
      <c r="A137" s="792" t="s">
        <v>392</v>
      </c>
      <c r="B137" s="323"/>
      <c r="C137" s="323"/>
      <c r="D137" s="324">
        <v>46141</v>
      </c>
      <c r="E137" s="325"/>
      <c r="F137" s="297"/>
      <c r="G137" s="297"/>
      <c r="H137" s="298"/>
      <c r="I137" s="298"/>
      <c r="J137" s="297"/>
      <c r="K137" s="344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>
        <f>26*12</f>
        <v>312</v>
      </c>
      <c r="X137" s="297"/>
      <c r="Y137" s="298"/>
      <c r="Z137" s="298"/>
      <c r="AA137" s="298"/>
      <c r="AB137" s="297"/>
      <c r="AC137" s="375"/>
      <c r="AD137" s="355"/>
      <c r="AE137" s="376">
        <f t="shared" si="42"/>
        <v>312</v>
      </c>
      <c r="AF137" s="377"/>
      <c r="AG137" s="390"/>
      <c r="AH137" s="391">
        <f t="shared" si="43"/>
        <v>312</v>
      </c>
      <c r="AI137" s="412">
        <v>11</v>
      </c>
      <c r="AJ137" s="413">
        <f t="shared" si="44"/>
        <v>323</v>
      </c>
    </row>
    <row r="138" spans="1:39" s="284" customFormat="1" ht="15.75" customHeight="1">
      <c r="A138" s="792" t="s">
        <v>392</v>
      </c>
      <c r="B138" s="323"/>
      <c r="C138" s="323"/>
      <c r="D138" s="324"/>
      <c r="E138" s="325"/>
      <c r="F138" s="297"/>
      <c r="G138" s="297"/>
      <c r="H138" s="298"/>
      <c r="I138" s="298"/>
      <c r="J138" s="297"/>
      <c r="K138" s="344"/>
      <c r="L138" s="355"/>
      <c r="M138" s="343"/>
      <c r="N138" s="298"/>
      <c r="O138" s="298"/>
      <c r="P138" s="298"/>
      <c r="Q138" s="298"/>
      <c r="R138" s="298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6">
        <f t="shared" ref="AE138:AE139" si="45">SUM(E138:AC138)</f>
        <v>0</v>
      </c>
      <c r="AF138" s="377"/>
      <c r="AG138" s="390"/>
      <c r="AH138" s="391">
        <f t="shared" ref="AH138:AH139" si="46">AE138+AF138</f>
        <v>0</v>
      </c>
      <c r="AI138" s="412"/>
      <c r="AJ138" s="413">
        <f t="shared" ref="AJ138:AJ139" si="47">AH138+AI138</f>
        <v>0</v>
      </c>
      <c r="AK138" s="403"/>
      <c r="AL138" s="403"/>
      <c r="AM138" s="403"/>
    </row>
    <row r="139" spans="1:39" s="282" customFormat="1" ht="20.25">
      <c r="A139" s="792" t="s">
        <v>392</v>
      </c>
      <c r="B139" s="323"/>
      <c r="C139" s="323"/>
      <c r="D139" s="324"/>
      <c r="E139" s="325"/>
      <c r="F139" s="297"/>
      <c r="G139" s="297"/>
      <c r="H139" s="298"/>
      <c r="I139" s="298"/>
      <c r="J139" s="297"/>
      <c r="K139" s="344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6">
        <f t="shared" si="45"/>
        <v>0</v>
      </c>
      <c r="AF139" s="377"/>
      <c r="AG139" s="390"/>
      <c r="AH139" s="391">
        <f t="shared" si="46"/>
        <v>0</v>
      </c>
      <c r="AI139" s="412"/>
      <c r="AJ139" s="413">
        <f t="shared" si="47"/>
        <v>0</v>
      </c>
    </row>
    <row r="140" spans="1:39" s="283" customFormat="1" ht="20.25">
      <c r="A140" s="792" t="s">
        <v>392</v>
      </c>
      <c r="B140" s="323"/>
      <c r="C140" s="323"/>
      <c r="D140" s="324"/>
      <c r="E140" s="325"/>
      <c r="F140" s="297"/>
      <c r="G140" s="297"/>
      <c r="H140" s="298"/>
      <c r="I140" s="298"/>
      <c r="J140" s="297"/>
      <c r="K140" s="344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33"/>
        <v>0</v>
      </c>
      <c r="AF140" s="377"/>
      <c r="AG140" s="390"/>
      <c r="AH140" s="391">
        <f t="shared" si="34"/>
        <v>0</v>
      </c>
      <c r="AI140" s="412"/>
      <c r="AJ140" s="413">
        <f t="shared" si="35"/>
        <v>0</v>
      </c>
    </row>
    <row r="141" spans="1:39" s="283" customFormat="1" ht="21" thickBot="1">
      <c r="A141" s="792" t="s">
        <v>392</v>
      </c>
      <c r="B141" s="323"/>
      <c r="C141" s="323"/>
      <c r="D141" s="324"/>
      <c r="E141" s="325"/>
      <c r="F141" s="297"/>
      <c r="G141" s="297"/>
      <c r="H141" s="298"/>
      <c r="I141" s="298"/>
      <c r="J141" s="297"/>
      <c r="K141" s="344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si="33"/>
        <v>0</v>
      </c>
      <c r="AF141" s="377"/>
      <c r="AG141" s="390"/>
      <c r="AH141" s="391">
        <f t="shared" si="34"/>
        <v>0</v>
      </c>
      <c r="AI141" s="412"/>
      <c r="AJ141" s="413">
        <f t="shared" si="35"/>
        <v>0</v>
      </c>
    </row>
    <row r="142" spans="1:39" s="283" customFormat="1" ht="18.75" thickBot="1">
      <c r="A142" s="792" t="s">
        <v>392</v>
      </c>
      <c r="B142" s="327"/>
      <c r="C142" s="327"/>
      <c r="D142" s="328"/>
      <c r="E142" s="329">
        <f t="shared" ref="E142:AC142" si="48">SUM(E117:E141)</f>
        <v>0</v>
      </c>
      <c r="F142" s="329">
        <f t="shared" si="48"/>
        <v>0</v>
      </c>
      <c r="G142" s="329">
        <f t="shared" si="48"/>
        <v>0</v>
      </c>
      <c r="H142" s="329">
        <f t="shared" si="48"/>
        <v>0</v>
      </c>
      <c r="I142" s="329">
        <f t="shared" si="48"/>
        <v>0</v>
      </c>
      <c r="J142" s="329">
        <f t="shared" si="48"/>
        <v>0</v>
      </c>
      <c r="K142" s="329">
        <f t="shared" si="48"/>
        <v>0</v>
      </c>
      <c r="L142" s="329">
        <f t="shared" si="48"/>
        <v>0</v>
      </c>
      <c r="M142" s="329">
        <f t="shared" si="48"/>
        <v>1956</v>
      </c>
      <c r="N142" s="329">
        <f t="shared" si="48"/>
        <v>0</v>
      </c>
      <c r="O142" s="329">
        <f t="shared" si="48"/>
        <v>2580</v>
      </c>
      <c r="P142" s="329">
        <f t="shared" si="48"/>
        <v>0</v>
      </c>
      <c r="Q142" s="329">
        <f t="shared" si="48"/>
        <v>0</v>
      </c>
      <c r="R142" s="329">
        <f t="shared" si="48"/>
        <v>0</v>
      </c>
      <c r="S142" s="329">
        <f t="shared" si="48"/>
        <v>0</v>
      </c>
      <c r="T142" s="329">
        <f t="shared" si="48"/>
        <v>0</v>
      </c>
      <c r="U142" s="329">
        <f t="shared" si="48"/>
        <v>0</v>
      </c>
      <c r="V142" s="329">
        <f t="shared" si="48"/>
        <v>0</v>
      </c>
      <c r="W142" s="329">
        <f t="shared" si="48"/>
        <v>3084</v>
      </c>
      <c r="X142" s="329">
        <f t="shared" si="48"/>
        <v>0</v>
      </c>
      <c r="Y142" s="329">
        <f t="shared" si="48"/>
        <v>0</v>
      </c>
      <c r="Z142" s="329">
        <f t="shared" si="48"/>
        <v>0</v>
      </c>
      <c r="AA142" s="329">
        <f t="shared" si="48"/>
        <v>0</v>
      </c>
      <c r="AB142" s="329">
        <f t="shared" si="48"/>
        <v>0</v>
      </c>
      <c r="AC142" s="329">
        <f t="shared" si="48"/>
        <v>0</v>
      </c>
      <c r="AD142" s="329"/>
      <c r="AE142" s="329">
        <f t="shared" ref="AE142:AJ142" si="49">SUM(AE117:AE141)</f>
        <v>7620</v>
      </c>
      <c r="AF142" s="329">
        <f t="shared" si="49"/>
        <v>6</v>
      </c>
      <c r="AG142" s="329">
        <f t="shared" si="49"/>
        <v>0</v>
      </c>
      <c r="AH142" s="329">
        <f t="shared" si="49"/>
        <v>7626</v>
      </c>
      <c r="AI142" s="329">
        <f t="shared" si="49"/>
        <v>177</v>
      </c>
      <c r="AJ142" s="329">
        <f t="shared" si="49"/>
        <v>7803</v>
      </c>
    </row>
    <row r="143" spans="1:39" s="283" customFormat="1" ht="24" thickBot="1">
      <c r="A143"/>
      <c r="B143" s="276"/>
      <c r="C143" s="276"/>
      <c r="D143"/>
      <c r="E143" s="3891">
        <v>501</v>
      </c>
      <c r="F143" s="3892"/>
      <c r="G143" s="3892"/>
      <c r="H143" s="3892"/>
      <c r="I143" s="3892"/>
      <c r="J143" s="3892"/>
      <c r="K143" s="3904"/>
      <c r="L143" s="336"/>
      <c r="M143" s="3893">
        <v>502</v>
      </c>
      <c r="N143" s="3894"/>
      <c r="O143" s="3894"/>
      <c r="P143" s="3894"/>
      <c r="Q143" s="3894"/>
      <c r="R143" s="3894"/>
      <c r="S143" s="3894"/>
      <c r="T143" s="3895"/>
      <c r="U143" s="364"/>
      <c r="V143" s="3893">
        <v>503</v>
      </c>
      <c r="W143" s="3894"/>
      <c r="X143" s="3894"/>
      <c r="Y143" s="3894"/>
      <c r="Z143" s="3894"/>
      <c r="AA143" s="3894"/>
      <c r="AB143" s="3894"/>
      <c r="AC143" s="3895"/>
      <c r="AD143"/>
      <c r="AE143"/>
      <c r="AF143"/>
      <c r="AG143"/>
      <c r="AH143"/>
      <c r="AI143"/>
      <c r="AJ143"/>
    </row>
    <row r="144" spans="1:39" s="283" customFormat="1" ht="19.5" thickBot="1">
      <c r="A144" s="425"/>
      <c r="B144" s="426"/>
      <c r="C144" s="426"/>
      <c r="D144" s="427"/>
      <c r="E144" s="428"/>
      <c r="F144" s="428"/>
      <c r="G144" s="428"/>
      <c r="H144" s="428"/>
      <c r="I144" s="428"/>
      <c r="J144" s="428"/>
      <c r="K144" s="428"/>
      <c r="L144" s="478"/>
      <c r="M144" s="479"/>
      <c r="N144" s="479"/>
      <c r="O144" s="479"/>
      <c r="P144" s="479"/>
      <c r="Q144" s="479"/>
      <c r="R144" s="479"/>
      <c r="S144" s="479"/>
      <c r="T144" s="479"/>
      <c r="U144" s="478"/>
      <c r="V144" s="479"/>
      <c r="W144" s="479"/>
      <c r="X144" s="479"/>
      <c r="Y144" s="479"/>
      <c r="Z144" s="479"/>
      <c r="AA144" s="479"/>
      <c r="AB144" s="479"/>
      <c r="AC144" s="479"/>
      <c r="AD144" s="478"/>
      <c r="AE144" s="479"/>
      <c r="AF144" s="479"/>
      <c r="AG144" s="479"/>
      <c r="AH144" s="479"/>
      <c r="AI144" s="479"/>
      <c r="AJ144" s="506"/>
    </row>
    <row r="145" spans="1:39" s="283" customFormat="1" ht="18.75" thickBot="1">
      <c r="A145" s="429" t="s">
        <v>179</v>
      </c>
      <c r="B145" s="287" t="s">
        <v>68</v>
      </c>
      <c r="C145" s="287" t="s">
        <v>69</v>
      </c>
      <c r="D145" s="288" t="s">
        <v>70</v>
      </c>
      <c r="E145" s="2697" t="s">
        <v>53</v>
      </c>
      <c r="F145" s="2698" t="s">
        <v>442</v>
      </c>
      <c r="G145" s="2698" t="s">
        <v>372</v>
      </c>
      <c r="H145" s="2698" t="s">
        <v>473</v>
      </c>
      <c r="I145" s="2698" t="s">
        <v>94</v>
      </c>
      <c r="J145" s="2698"/>
      <c r="K145" s="2702" t="s">
        <v>95</v>
      </c>
      <c r="L145" s="2699"/>
      <c r="M145" s="2697" t="s">
        <v>53</v>
      </c>
      <c r="N145" s="2698" t="s">
        <v>190</v>
      </c>
      <c r="O145" s="2698" t="s">
        <v>467</v>
      </c>
      <c r="P145" s="2698" t="s">
        <v>206</v>
      </c>
      <c r="Q145" s="2698" t="s">
        <v>94</v>
      </c>
      <c r="R145" s="2698" t="s">
        <v>446</v>
      </c>
      <c r="S145" s="2702" t="s">
        <v>96</v>
      </c>
      <c r="T145" s="2700" t="s">
        <v>86</v>
      </c>
      <c r="U145" s="2699"/>
      <c r="V145" s="2697" t="s">
        <v>53</v>
      </c>
      <c r="W145" s="2698"/>
      <c r="X145" s="2698" t="s">
        <v>372</v>
      </c>
      <c r="Y145" s="2698" t="s">
        <v>304</v>
      </c>
      <c r="Z145" s="2698"/>
      <c r="AA145" s="2698"/>
      <c r="AB145" s="2702"/>
      <c r="AC145" s="2700"/>
      <c r="AD145" s="79"/>
      <c r="AE145" s="371" t="s">
        <v>172</v>
      </c>
      <c r="AF145" s="372" t="s">
        <v>80</v>
      </c>
      <c r="AG145" s="385"/>
      <c r="AH145" s="386" t="s">
        <v>106</v>
      </c>
      <c r="AI145" s="385" t="s">
        <v>173</v>
      </c>
      <c r="AJ145" s="371" t="s">
        <v>108</v>
      </c>
    </row>
    <row r="146" spans="1:39" s="284" customFormat="1" ht="22.5" customHeight="1">
      <c r="A146" s="430"/>
      <c r="B146" s="431"/>
      <c r="C146" s="431"/>
      <c r="D146" s="432"/>
      <c r="E146" s="325"/>
      <c r="F146" s="297"/>
      <c r="G146" s="297"/>
      <c r="H146" s="298"/>
      <c r="I146" s="298"/>
      <c r="J146" s="297"/>
      <c r="K146" s="344"/>
      <c r="L146" s="355"/>
      <c r="M146" s="343"/>
      <c r="N146" s="435"/>
      <c r="O146" s="298"/>
      <c r="P146" s="298"/>
      <c r="Q146" s="298"/>
      <c r="R146" s="298"/>
      <c r="S146" s="298"/>
      <c r="T146" s="367"/>
      <c r="U146" s="355"/>
      <c r="V146" s="325"/>
      <c r="W146" s="297"/>
      <c r="X146" s="297"/>
      <c r="Y146" s="298"/>
      <c r="Z146" s="298"/>
      <c r="AA146" s="298"/>
      <c r="AB146" s="297"/>
      <c r="AC146" s="375"/>
      <c r="AD146" s="355"/>
      <c r="AE146" s="377">
        <f t="shared" ref="AE146:AE148" si="50">SUM(E146:AC146)</f>
        <v>0</v>
      </c>
      <c r="AF146" s="377"/>
      <c r="AG146" s="390"/>
      <c r="AH146" s="507">
        <f t="shared" ref="AH146:AH150" si="51">AE146+AF146</f>
        <v>0</v>
      </c>
      <c r="AI146" s="412"/>
      <c r="AJ146" s="508">
        <f>AH146+AI146</f>
        <v>0</v>
      </c>
      <c r="AK146" s="403"/>
      <c r="AL146" s="403"/>
      <c r="AM146" s="403"/>
    </row>
    <row r="147" spans="1:39" s="282" customFormat="1" ht="20.25">
      <c r="A147" s="322"/>
      <c r="B147" s="323"/>
      <c r="C147" s="323"/>
      <c r="D147" s="324"/>
      <c r="E147" s="325"/>
      <c r="F147" s="297"/>
      <c r="G147" s="297"/>
      <c r="H147" s="298"/>
      <c r="I147" s="298"/>
      <c r="J147" s="297"/>
      <c r="K147" s="344"/>
      <c r="L147" s="355"/>
      <c r="M147" s="343"/>
      <c r="N147" s="298"/>
      <c r="O147" s="298"/>
      <c r="P147" s="298"/>
      <c r="Q147" s="298"/>
      <c r="R147" s="298"/>
      <c r="S147" s="298"/>
      <c r="T147" s="367"/>
      <c r="U147" s="355"/>
      <c r="V147" s="325"/>
      <c r="W147" s="297"/>
      <c r="X147" s="297"/>
      <c r="Y147" s="298"/>
      <c r="Z147" s="298"/>
      <c r="AA147" s="298"/>
      <c r="AB147" s="297"/>
      <c r="AC147" s="375"/>
      <c r="AD147" s="355"/>
      <c r="AE147" s="377">
        <f t="shared" ref="AE147" si="52">SUM(E147:AC147)</f>
        <v>0</v>
      </c>
      <c r="AF147" s="377"/>
      <c r="AG147" s="390"/>
      <c r="AH147" s="507">
        <f t="shared" si="51"/>
        <v>0</v>
      </c>
      <c r="AI147" s="412"/>
      <c r="AJ147" s="508">
        <f>AH147+AI147</f>
        <v>0</v>
      </c>
    </row>
    <row r="148" spans="1:39" s="283" customFormat="1" ht="20.25">
      <c r="A148" s="322"/>
      <c r="B148" s="323"/>
      <c r="C148" s="323"/>
      <c r="D148" s="324"/>
      <c r="E148" s="325"/>
      <c r="F148" s="297"/>
      <c r="G148" s="297"/>
      <c r="H148" s="298"/>
      <c r="I148" s="298"/>
      <c r="J148" s="297"/>
      <c r="K148" s="344"/>
      <c r="L148" s="355"/>
      <c r="M148" s="343"/>
      <c r="N148" s="298"/>
      <c r="O148" s="298"/>
      <c r="P148" s="298"/>
      <c r="Q148" s="298"/>
      <c r="R148" s="298"/>
      <c r="S148" s="298"/>
      <c r="T148" s="367"/>
      <c r="U148" s="355"/>
      <c r="V148" s="325"/>
      <c r="W148" s="297"/>
      <c r="X148" s="297"/>
      <c r="Y148" s="298"/>
      <c r="Z148" s="298"/>
      <c r="AA148" s="298"/>
      <c r="AB148" s="297"/>
      <c r="AC148" s="375"/>
      <c r="AD148" s="355"/>
      <c r="AE148" s="377">
        <f t="shared" si="50"/>
        <v>0</v>
      </c>
      <c r="AF148" s="377"/>
      <c r="AG148" s="390"/>
      <c r="AH148" s="507">
        <f t="shared" si="51"/>
        <v>0</v>
      </c>
      <c r="AI148" s="412"/>
      <c r="AJ148" s="508">
        <f>AH148+AI148</f>
        <v>0</v>
      </c>
    </row>
    <row r="149" spans="1:39" s="283" customFormat="1" ht="20.25">
      <c r="A149" s="322"/>
      <c r="B149" s="323"/>
      <c r="C149" s="323"/>
      <c r="D149" s="324"/>
      <c r="E149" s="325"/>
      <c r="F149" s="297"/>
      <c r="G149" s="297"/>
      <c r="H149" s="298"/>
      <c r="I149" s="298"/>
      <c r="J149" s="297"/>
      <c r="K149" s="344"/>
      <c r="L149" s="355"/>
      <c r="M149" s="343"/>
      <c r="N149" s="298"/>
      <c r="O149" s="298"/>
      <c r="P149" s="298"/>
      <c r="Q149" s="298"/>
      <c r="R149" s="298"/>
      <c r="S149" s="298"/>
      <c r="T149" s="367"/>
      <c r="U149" s="355"/>
      <c r="V149" s="325"/>
      <c r="W149" s="297"/>
      <c r="X149" s="297"/>
      <c r="Y149" s="298"/>
      <c r="Z149" s="298"/>
      <c r="AA149" s="298"/>
      <c r="AB149" s="297"/>
      <c r="AC149" s="375"/>
      <c r="AD149" s="355"/>
      <c r="AE149" s="377">
        <f t="shared" ref="AE149:AE150" si="53">SUM(E149:AC149)</f>
        <v>0</v>
      </c>
      <c r="AF149" s="377"/>
      <c r="AG149" s="390"/>
      <c r="AH149" s="507">
        <f t="shared" si="51"/>
        <v>0</v>
      </c>
      <c r="AI149" s="412"/>
      <c r="AJ149" s="508">
        <f>AH149+AI149</f>
        <v>0</v>
      </c>
    </row>
    <row r="150" spans="1:39" s="283" customFormat="1" ht="21" thickBot="1">
      <c r="A150" s="322"/>
      <c r="B150" s="323"/>
      <c r="C150" s="323"/>
      <c r="D150" s="324"/>
      <c r="E150" s="325"/>
      <c r="F150" s="297"/>
      <c r="G150" s="297"/>
      <c r="H150" s="298"/>
      <c r="I150" s="298"/>
      <c r="J150" s="297"/>
      <c r="K150" s="344"/>
      <c r="L150" s="355"/>
      <c r="M150" s="343"/>
      <c r="N150" s="298"/>
      <c r="O150" s="298"/>
      <c r="P150" s="298"/>
      <c r="Q150" s="298"/>
      <c r="R150" s="298"/>
      <c r="S150" s="298"/>
      <c r="T150" s="367"/>
      <c r="U150" s="355"/>
      <c r="V150" s="325"/>
      <c r="W150" s="297"/>
      <c r="X150" s="297"/>
      <c r="Y150" s="298"/>
      <c r="Z150" s="298"/>
      <c r="AA150" s="298"/>
      <c r="AB150" s="297"/>
      <c r="AC150" s="375"/>
      <c r="AD150" s="355"/>
      <c r="AE150" s="377">
        <f t="shared" si="53"/>
        <v>0</v>
      </c>
      <c r="AF150" s="377"/>
      <c r="AG150" s="390"/>
      <c r="AH150" s="507">
        <f t="shared" si="51"/>
        <v>0</v>
      </c>
      <c r="AI150" s="412"/>
      <c r="AJ150" s="508">
        <f t="shared" ref="AJ150" si="54">AH150+AI150</f>
        <v>0</v>
      </c>
    </row>
    <row r="151" spans="1:39" s="283" customFormat="1" ht="21" thickBot="1">
      <c r="A151" s="436"/>
      <c r="B151" s="437"/>
      <c r="C151" s="437"/>
      <c r="D151" s="438"/>
      <c r="E151" s="439">
        <f t="shared" ref="E151:K151" si="55">SUM(E146:E150)</f>
        <v>0</v>
      </c>
      <c r="F151" s="440">
        <f t="shared" si="55"/>
        <v>0</v>
      </c>
      <c r="G151" s="440">
        <f t="shared" si="55"/>
        <v>0</v>
      </c>
      <c r="H151" s="440">
        <f t="shared" si="55"/>
        <v>0</v>
      </c>
      <c r="I151" s="440">
        <f t="shared" si="55"/>
        <v>0</v>
      </c>
      <c r="J151" s="440">
        <f t="shared" si="55"/>
        <v>0</v>
      </c>
      <c r="K151" s="481">
        <f t="shared" si="55"/>
        <v>0</v>
      </c>
      <c r="L151" s="482"/>
      <c r="M151" s="439">
        <f t="shared" ref="M151:T151" si="56">SUM(M146:M150)</f>
        <v>0</v>
      </c>
      <c r="N151" s="440">
        <f t="shared" si="56"/>
        <v>0</v>
      </c>
      <c r="O151" s="440">
        <f t="shared" si="56"/>
        <v>0</v>
      </c>
      <c r="P151" s="440">
        <f t="shared" si="56"/>
        <v>0</v>
      </c>
      <c r="Q151" s="440">
        <f t="shared" si="56"/>
        <v>0</v>
      </c>
      <c r="R151" s="440">
        <f t="shared" si="56"/>
        <v>0</v>
      </c>
      <c r="S151" s="440">
        <f t="shared" si="56"/>
        <v>0</v>
      </c>
      <c r="T151" s="481">
        <f t="shared" si="56"/>
        <v>0</v>
      </c>
      <c r="U151" s="482"/>
      <c r="V151" s="439">
        <f t="shared" ref="V151:AC151" si="57">SUM(V146:V150)</f>
        <v>0</v>
      </c>
      <c r="W151" s="440">
        <f t="shared" si="57"/>
        <v>0</v>
      </c>
      <c r="X151" s="440">
        <f t="shared" si="57"/>
        <v>0</v>
      </c>
      <c r="Y151" s="440">
        <f t="shared" si="57"/>
        <v>0</v>
      </c>
      <c r="Z151" s="440">
        <f t="shared" si="57"/>
        <v>0</v>
      </c>
      <c r="AA151" s="440">
        <f t="shared" si="57"/>
        <v>0</v>
      </c>
      <c r="AB151" s="440">
        <f t="shared" si="57"/>
        <v>0</v>
      </c>
      <c r="AC151" s="481">
        <f t="shared" si="57"/>
        <v>0</v>
      </c>
      <c r="AD151" s="482"/>
      <c r="AE151" s="494">
        <f>SUM(AE146:AE150)</f>
        <v>0</v>
      </c>
      <c r="AF151" s="494">
        <f t="shared" ref="AF151:AJ151" si="58">SUM(AF146:AF150)</f>
        <v>0</v>
      </c>
      <c r="AG151" s="494">
        <f t="shared" si="58"/>
        <v>0</v>
      </c>
      <c r="AH151" s="509">
        <f t="shared" si="58"/>
        <v>0</v>
      </c>
      <c r="AI151" s="494">
        <f t="shared" si="58"/>
        <v>0</v>
      </c>
      <c r="AJ151" s="509">
        <f t="shared" si="58"/>
        <v>0</v>
      </c>
    </row>
    <row r="152" spans="1:39" s="283" customFormat="1" ht="19.5" thickBot="1">
      <c r="A152" s="425"/>
      <c r="B152" s="426"/>
      <c r="C152" s="426"/>
      <c r="D152" s="427"/>
      <c r="E152" s="428"/>
      <c r="F152" s="428"/>
      <c r="G152" s="428"/>
      <c r="H152" s="428"/>
      <c r="I152" s="428"/>
      <c r="J152" s="428"/>
      <c r="K152" s="428"/>
      <c r="L152" s="478"/>
      <c r="M152" s="479"/>
      <c r="N152" s="479"/>
      <c r="O152" s="479"/>
      <c r="P152" s="479"/>
      <c r="Q152" s="479"/>
      <c r="R152" s="479"/>
      <c r="S152" s="479"/>
      <c r="T152" s="479"/>
      <c r="U152" s="478"/>
      <c r="V152" s="479"/>
      <c r="W152" s="479"/>
      <c r="X152" s="479"/>
      <c r="Y152" s="479"/>
      <c r="Z152" s="479"/>
      <c r="AA152" s="479"/>
      <c r="AB152" s="479"/>
      <c r="AC152" s="479"/>
      <c r="AD152" s="478"/>
      <c r="AE152" s="479"/>
      <c r="AF152" s="479"/>
      <c r="AG152" s="479"/>
      <c r="AH152" s="479"/>
      <c r="AI152" s="479"/>
      <c r="AJ152" s="506"/>
    </row>
    <row r="153" spans="1:39" s="284" customFormat="1" ht="21.75" customHeight="1" thickBot="1">
      <c r="A153" s="441" t="s">
        <v>135</v>
      </c>
      <c r="B153" s="287" t="s">
        <v>68</v>
      </c>
      <c r="C153" s="287" t="s">
        <v>69</v>
      </c>
      <c r="D153" s="288" t="s">
        <v>70</v>
      </c>
      <c r="E153" s="2697" t="s">
        <v>53</v>
      </c>
      <c r="F153" s="2698" t="s">
        <v>442</v>
      </c>
      <c r="G153" s="2698" t="s">
        <v>372</v>
      </c>
      <c r="H153" s="2698" t="s">
        <v>473</v>
      </c>
      <c r="I153" s="2698" t="s">
        <v>94</v>
      </c>
      <c r="J153" s="2698"/>
      <c r="K153" s="2702" t="s">
        <v>95</v>
      </c>
      <c r="L153" s="2699"/>
      <c r="M153" s="2697" t="s">
        <v>53</v>
      </c>
      <c r="N153" s="2698" t="s">
        <v>190</v>
      </c>
      <c r="O153" s="2698" t="s">
        <v>467</v>
      </c>
      <c r="P153" s="2698"/>
      <c r="Q153" s="2698" t="s">
        <v>94</v>
      </c>
      <c r="R153" s="2698" t="s">
        <v>446</v>
      </c>
      <c r="S153" s="2702" t="s">
        <v>96</v>
      </c>
      <c r="T153" s="2700" t="s">
        <v>86</v>
      </c>
      <c r="U153" s="2699"/>
      <c r="V153" s="2697" t="s">
        <v>53</v>
      </c>
      <c r="W153" s="2698"/>
      <c r="X153" s="2698" t="s">
        <v>372</v>
      </c>
      <c r="Y153" s="2698" t="s">
        <v>304</v>
      </c>
      <c r="Z153" s="2698"/>
      <c r="AA153" s="2698" t="s">
        <v>170</v>
      </c>
      <c r="AB153" s="2702"/>
      <c r="AC153" s="2700"/>
      <c r="AD153" s="79"/>
      <c r="AE153" s="371" t="s">
        <v>172</v>
      </c>
      <c r="AF153" s="372" t="s">
        <v>80</v>
      </c>
      <c r="AG153" s="385"/>
      <c r="AH153" s="386" t="s">
        <v>106</v>
      </c>
      <c r="AI153" s="385" t="s">
        <v>173</v>
      </c>
      <c r="AJ153" s="371" t="s">
        <v>108</v>
      </c>
      <c r="AK153" s="403"/>
      <c r="AL153" s="403"/>
      <c r="AM153" s="403"/>
    </row>
    <row r="154" spans="1:39" s="282" customFormat="1" ht="20.25">
      <c r="A154" s="442"/>
      <c r="B154" s="443"/>
      <c r="C154" s="443"/>
      <c r="D154" s="444"/>
      <c r="E154" s="433"/>
      <c r="F154" s="434"/>
      <c r="G154" s="434"/>
      <c r="H154" s="435"/>
      <c r="I154" s="435"/>
      <c r="J154" s="434"/>
      <c r="K154" s="480"/>
      <c r="L154" s="483"/>
      <c r="M154" s="484"/>
      <c r="N154" s="435"/>
      <c r="O154" s="435"/>
      <c r="P154" s="435"/>
      <c r="Q154" s="435"/>
      <c r="R154" s="435"/>
      <c r="S154" s="435"/>
      <c r="T154" s="492"/>
      <c r="U154" s="483"/>
      <c r="V154" s="433"/>
      <c r="W154" s="434"/>
      <c r="X154" s="434"/>
      <c r="Y154" s="435"/>
      <c r="Z154" s="435"/>
      <c r="AA154" s="435"/>
      <c r="AB154" s="434"/>
      <c r="AC154" s="495"/>
      <c r="AD154" s="483"/>
      <c r="AE154" s="496">
        <f t="shared" ref="AE154:AE157" si="59">SUM(E154:AC154)</f>
        <v>0</v>
      </c>
      <c r="AF154" s="497"/>
      <c r="AG154" s="510"/>
      <c r="AH154" s="511">
        <f t="shared" ref="AH154:AH157" si="60">AE154+AF154</f>
        <v>0</v>
      </c>
      <c r="AI154" s="512"/>
      <c r="AJ154" s="513">
        <f>AH154+AI154</f>
        <v>0</v>
      </c>
    </row>
    <row r="155" spans="1:39" s="283" customFormat="1" ht="20.25">
      <c r="A155" s="445"/>
      <c r="B155" s="323"/>
      <c r="C155" s="323"/>
      <c r="D155" s="324"/>
      <c r="E155" s="325"/>
      <c r="F155" s="297"/>
      <c r="G155" s="297"/>
      <c r="H155" s="298"/>
      <c r="I155" s="298"/>
      <c r="J155" s="297"/>
      <c r="K155" s="344"/>
      <c r="L155" s="355"/>
      <c r="M155" s="343"/>
      <c r="N155" s="298"/>
      <c r="O155" s="298"/>
      <c r="P155" s="298"/>
      <c r="Q155" s="298"/>
      <c r="R155" s="298"/>
      <c r="S155" s="298"/>
      <c r="T155" s="367"/>
      <c r="U155" s="355"/>
      <c r="V155" s="325"/>
      <c r="W155" s="297"/>
      <c r="X155" s="297"/>
      <c r="Y155" s="298"/>
      <c r="Z155" s="298"/>
      <c r="AA155" s="298"/>
      <c r="AB155" s="297"/>
      <c r="AC155" s="375"/>
      <c r="AD155" s="355"/>
      <c r="AE155" s="376">
        <f t="shared" si="59"/>
        <v>0</v>
      </c>
      <c r="AF155" s="377"/>
      <c r="AG155" s="390"/>
      <c r="AH155" s="391">
        <f t="shared" si="60"/>
        <v>0</v>
      </c>
      <c r="AI155" s="412"/>
      <c r="AJ155" s="413">
        <f t="shared" ref="AJ155:AJ157" si="61">AH155+AI155</f>
        <v>0</v>
      </c>
    </row>
    <row r="156" spans="1:39" s="283" customFormat="1" ht="20.25">
      <c r="A156" s="445"/>
      <c r="B156" s="323"/>
      <c r="C156" s="323"/>
      <c r="D156" s="324"/>
      <c r="E156" s="325"/>
      <c r="F156" s="297"/>
      <c r="G156" s="297"/>
      <c r="H156" s="298"/>
      <c r="I156" s="298"/>
      <c r="J156" s="297"/>
      <c r="K156" s="344"/>
      <c r="L156" s="355"/>
      <c r="M156" s="343"/>
      <c r="N156" s="298"/>
      <c r="O156" s="298"/>
      <c r="P156" s="298"/>
      <c r="Q156" s="298"/>
      <c r="R156" s="298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6">
        <f t="shared" si="59"/>
        <v>0</v>
      </c>
      <c r="AF156" s="377"/>
      <c r="AG156" s="390"/>
      <c r="AH156" s="391">
        <f t="shared" si="60"/>
        <v>0</v>
      </c>
      <c r="AI156" s="412"/>
      <c r="AJ156" s="413">
        <f t="shared" si="61"/>
        <v>0</v>
      </c>
    </row>
    <row r="157" spans="1:39" s="283" customFormat="1" ht="21" thickBot="1">
      <c r="A157" s="322"/>
      <c r="B157" s="323"/>
      <c r="C157" s="323"/>
      <c r="D157" s="324"/>
      <c r="E157" s="325"/>
      <c r="F157" s="297"/>
      <c r="G157" s="297"/>
      <c r="H157" s="298"/>
      <c r="I157" s="298"/>
      <c r="J157" s="297"/>
      <c r="K157" s="344"/>
      <c r="L157" s="355"/>
      <c r="M157" s="343"/>
      <c r="N157" s="298"/>
      <c r="O157" s="298"/>
      <c r="P157" s="298"/>
      <c r="Q157" s="298"/>
      <c r="R157" s="298"/>
      <c r="S157" s="298"/>
      <c r="T157" s="367"/>
      <c r="U157" s="355"/>
      <c r="V157" s="325"/>
      <c r="W157" s="297"/>
      <c r="X157" s="297"/>
      <c r="Y157" s="298"/>
      <c r="Z157" s="298"/>
      <c r="AA157" s="298"/>
      <c r="AB157" s="297"/>
      <c r="AC157" s="375"/>
      <c r="AD157" s="355"/>
      <c r="AE157" s="377">
        <f t="shared" si="59"/>
        <v>0</v>
      </c>
      <c r="AF157" s="377"/>
      <c r="AG157" s="390"/>
      <c r="AH157" s="507">
        <f t="shared" si="60"/>
        <v>0</v>
      </c>
      <c r="AI157" s="412"/>
      <c r="AJ157" s="508">
        <f t="shared" si="61"/>
        <v>0</v>
      </c>
    </row>
    <row r="158" spans="1:39" s="283" customFormat="1" ht="21" thickBot="1">
      <c r="A158" s="436"/>
      <c r="B158" s="437"/>
      <c r="C158" s="437"/>
      <c r="D158" s="438"/>
      <c r="E158" s="439">
        <f t="shared" ref="E158:K158" si="62">SUM(E155:E157)</f>
        <v>0</v>
      </c>
      <c r="F158" s="440">
        <f t="shared" si="62"/>
        <v>0</v>
      </c>
      <c r="G158" s="440">
        <f t="shared" si="62"/>
        <v>0</v>
      </c>
      <c r="H158" s="440">
        <f t="shared" si="62"/>
        <v>0</v>
      </c>
      <c r="I158" s="440">
        <f t="shared" si="62"/>
        <v>0</v>
      </c>
      <c r="J158" s="440">
        <f t="shared" si="62"/>
        <v>0</v>
      </c>
      <c r="K158" s="481">
        <f t="shared" si="62"/>
        <v>0</v>
      </c>
      <c r="L158" s="482"/>
      <c r="M158" s="439">
        <f t="shared" ref="M158:T158" si="63">SUM(M155:M157)</f>
        <v>0</v>
      </c>
      <c r="N158" s="440">
        <f t="shared" si="63"/>
        <v>0</v>
      </c>
      <c r="O158" s="440">
        <f t="shared" si="63"/>
        <v>0</v>
      </c>
      <c r="P158" s="440">
        <f t="shared" si="63"/>
        <v>0</v>
      </c>
      <c r="Q158" s="440">
        <f t="shared" si="63"/>
        <v>0</v>
      </c>
      <c r="R158" s="440">
        <f t="shared" si="63"/>
        <v>0</v>
      </c>
      <c r="S158" s="440">
        <f t="shared" si="63"/>
        <v>0</v>
      </c>
      <c r="T158" s="481">
        <f t="shared" si="63"/>
        <v>0</v>
      </c>
      <c r="U158" s="482"/>
      <c r="V158" s="439">
        <f t="shared" ref="V158:AC158" si="64">SUM(V155:V157)</f>
        <v>0</v>
      </c>
      <c r="W158" s="440">
        <f t="shared" si="64"/>
        <v>0</v>
      </c>
      <c r="X158" s="440">
        <f t="shared" si="64"/>
        <v>0</v>
      </c>
      <c r="Y158" s="440">
        <f t="shared" si="64"/>
        <v>0</v>
      </c>
      <c r="Z158" s="440">
        <f t="shared" si="64"/>
        <v>0</v>
      </c>
      <c r="AA158" s="440">
        <f t="shared" si="64"/>
        <v>0</v>
      </c>
      <c r="AB158" s="440">
        <f t="shared" si="64"/>
        <v>0</v>
      </c>
      <c r="AC158" s="481">
        <f t="shared" si="64"/>
        <v>0</v>
      </c>
      <c r="AD158" s="482"/>
      <c r="AE158" s="494">
        <f>SUM(AE154:AE157)</f>
        <v>0</v>
      </c>
      <c r="AF158" s="494">
        <f>SUM(AF154:AF157)</f>
        <v>0</v>
      </c>
      <c r="AG158" s="509"/>
      <c r="AH158" s="514">
        <f>SUM(AH154:AH157)</f>
        <v>0</v>
      </c>
      <c r="AI158" s="494">
        <f>SUM(AI154:AI157)</f>
        <v>0</v>
      </c>
      <c r="AJ158" s="515">
        <f>SUM(AJ154:AJ157)</f>
        <v>0</v>
      </c>
    </row>
    <row r="159" spans="1:39" s="283" customFormat="1" ht="19.5" thickBot="1">
      <c r="A159" s="425"/>
      <c r="B159" s="426"/>
      <c r="C159" s="426"/>
      <c r="D159" s="427"/>
      <c r="E159" s="428"/>
      <c r="F159" s="428"/>
      <c r="G159" s="428"/>
      <c r="H159" s="428"/>
      <c r="I159" s="428"/>
      <c r="J159" s="428"/>
      <c r="K159" s="428"/>
      <c r="L159" s="478"/>
      <c r="M159" s="479"/>
      <c r="N159" s="479"/>
      <c r="O159" s="479"/>
      <c r="P159" s="479"/>
      <c r="Q159" s="479"/>
      <c r="R159" s="479"/>
      <c r="S159" s="479"/>
      <c r="T159" s="479"/>
      <c r="U159" s="478"/>
      <c r="V159" s="479"/>
      <c r="W159" s="479"/>
      <c r="X159" s="479"/>
      <c r="Y159" s="479"/>
      <c r="Z159" s="479"/>
      <c r="AA159" s="479"/>
      <c r="AB159" s="479"/>
      <c r="AC159" s="479"/>
      <c r="AD159" s="478"/>
      <c r="AE159" s="479"/>
      <c r="AF159" s="479"/>
      <c r="AG159" s="479"/>
      <c r="AH159" s="479"/>
      <c r="AI159" s="479"/>
      <c r="AJ159" s="506"/>
    </row>
    <row r="160" spans="1:39" s="283" customFormat="1" ht="18.75" thickBot="1">
      <c r="A160" s="446" t="s">
        <v>140</v>
      </c>
      <c r="B160" s="287" t="s">
        <v>68</v>
      </c>
      <c r="C160" s="447" t="s">
        <v>69</v>
      </c>
      <c r="D160" s="448" t="s">
        <v>70</v>
      </c>
      <c r="E160" s="2697" t="s">
        <v>53</v>
      </c>
      <c r="F160" s="2698" t="s">
        <v>442</v>
      </c>
      <c r="G160" s="2698" t="s">
        <v>372</v>
      </c>
      <c r="H160" s="2698" t="s">
        <v>473</v>
      </c>
      <c r="I160" s="2698" t="s">
        <v>94</v>
      </c>
      <c r="J160" s="2698"/>
      <c r="K160" s="2702" t="s">
        <v>95</v>
      </c>
      <c r="L160" s="2699"/>
      <c r="M160" s="2697" t="s">
        <v>53</v>
      </c>
      <c r="N160" s="2698" t="s">
        <v>190</v>
      </c>
      <c r="O160" s="2698" t="s">
        <v>372</v>
      </c>
      <c r="P160" s="2698"/>
      <c r="Q160" s="2698" t="s">
        <v>94</v>
      </c>
      <c r="R160" s="2698" t="s">
        <v>446</v>
      </c>
      <c r="S160" s="2702" t="s">
        <v>96</v>
      </c>
      <c r="T160" s="2700" t="s">
        <v>86</v>
      </c>
      <c r="U160" s="2699"/>
      <c r="V160" s="2697" t="s">
        <v>53</v>
      </c>
      <c r="W160" s="2698"/>
      <c r="X160" s="2698" t="s">
        <v>372</v>
      </c>
      <c r="Y160" s="2698" t="s">
        <v>304</v>
      </c>
      <c r="Z160" s="2698" t="s">
        <v>94</v>
      </c>
      <c r="AA160" s="2698"/>
      <c r="AB160" s="2702"/>
      <c r="AC160" s="2700"/>
      <c r="AD160" s="79"/>
      <c r="AE160" s="371" t="s">
        <v>172</v>
      </c>
      <c r="AF160" s="498" t="s">
        <v>80</v>
      </c>
      <c r="AG160" s="385"/>
      <c r="AH160" s="386" t="s">
        <v>106</v>
      </c>
      <c r="AI160" s="385" t="s">
        <v>173</v>
      </c>
      <c r="AJ160" s="371" t="s">
        <v>108</v>
      </c>
    </row>
    <row r="161" spans="1:39" s="283" customFormat="1" ht="20.25">
      <c r="A161" s="449" t="s">
        <v>180</v>
      </c>
      <c r="B161" s="450"/>
      <c r="C161" s="450"/>
      <c r="D161" s="451"/>
      <c r="E161" s="452"/>
      <c r="F161" s="453"/>
      <c r="G161" s="453"/>
      <c r="H161" s="454"/>
      <c r="I161" s="454"/>
      <c r="J161" s="453"/>
      <c r="K161" s="485"/>
      <c r="L161" s="355"/>
      <c r="M161" s="343"/>
      <c r="N161" s="435"/>
      <c r="O161" s="298"/>
      <c r="P161" s="298"/>
      <c r="Q161" s="298"/>
      <c r="R161" s="435"/>
      <c r="S161" s="298"/>
      <c r="T161" s="367"/>
      <c r="U161" s="355"/>
      <c r="V161" s="325"/>
      <c r="W161" s="297"/>
      <c r="X161" s="297"/>
      <c r="Y161" s="298"/>
      <c r="Z161" s="298"/>
      <c r="AA161" s="298"/>
      <c r="AB161" s="297"/>
      <c r="AC161" s="375"/>
      <c r="AD161" s="355"/>
      <c r="AE161" s="376">
        <f t="shared" ref="AE161:AE166" si="65">SUM(E161:AC161)</f>
        <v>0</v>
      </c>
      <c r="AF161" s="499"/>
      <c r="AG161" s="516"/>
      <c r="AH161" s="391">
        <f t="shared" ref="AH161:AH166" si="66">AE161+AF161</f>
        <v>0</v>
      </c>
      <c r="AI161" s="412"/>
      <c r="AJ161" s="413">
        <f>AH161+AI161</f>
        <v>0</v>
      </c>
    </row>
    <row r="162" spans="1:39" s="284" customFormat="1" ht="8.25" customHeight="1">
      <c r="A162" s="445"/>
      <c r="B162" s="455"/>
      <c r="C162" s="455"/>
      <c r="D162" s="456"/>
      <c r="E162" s="457"/>
      <c r="F162" s="458"/>
      <c r="G162" s="458"/>
      <c r="H162" s="459"/>
      <c r="I162" s="459"/>
      <c r="J162" s="458"/>
      <c r="K162" s="486"/>
      <c r="L162" s="355"/>
      <c r="M162" s="343"/>
      <c r="N162" s="298"/>
      <c r="O162" s="298"/>
      <c r="P162" s="298"/>
      <c r="Q162" s="298"/>
      <c r="R162" s="298"/>
      <c r="S162" s="298"/>
      <c r="T162" s="367"/>
      <c r="U162" s="355"/>
      <c r="V162" s="325"/>
      <c r="W162" s="297"/>
      <c r="X162" s="297"/>
      <c r="Y162" s="298"/>
      <c r="Z162" s="298"/>
      <c r="AA162" s="298"/>
      <c r="AB162" s="297"/>
      <c r="AC162" s="375"/>
      <c r="AD162" s="355"/>
      <c r="AE162" s="376">
        <f t="shared" si="65"/>
        <v>0</v>
      </c>
      <c r="AF162" s="500"/>
      <c r="AG162" s="516"/>
      <c r="AH162" s="391">
        <f t="shared" si="66"/>
        <v>0</v>
      </c>
      <c r="AI162" s="412"/>
      <c r="AJ162" s="413">
        <f t="shared" ref="AJ162:AJ166" si="67">AH162+AI162</f>
        <v>0</v>
      </c>
      <c r="AK162" s="403"/>
      <c r="AL162" s="403"/>
      <c r="AM162" s="403"/>
    </row>
    <row r="163" spans="1:39" s="282" customFormat="1" ht="20.25">
      <c r="A163" s="442"/>
      <c r="B163" s="455"/>
      <c r="C163" s="455"/>
      <c r="D163" s="456"/>
      <c r="E163" s="457"/>
      <c r="F163" s="458"/>
      <c r="G163" s="458"/>
      <c r="H163" s="459"/>
      <c r="I163" s="459"/>
      <c r="J163" s="458"/>
      <c r="K163" s="486"/>
      <c r="L163" s="483"/>
      <c r="M163" s="484"/>
      <c r="N163" s="435"/>
      <c r="O163" s="435"/>
      <c r="P163" s="435"/>
      <c r="Q163" s="435"/>
      <c r="R163" s="435"/>
      <c r="S163" s="435"/>
      <c r="T163" s="492"/>
      <c r="U163" s="483"/>
      <c r="V163" s="433"/>
      <c r="W163" s="434"/>
      <c r="X163" s="434"/>
      <c r="Y163" s="435"/>
      <c r="Z163" s="435"/>
      <c r="AA163" s="435"/>
      <c r="AB163" s="434"/>
      <c r="AC163" s="495"/>
      <c r="AD163" s="483"/>
      <c r="AE163" s="496">
        <f t="shared" si="65"/>
        <v>0</v>
      </c>
      <c r="AF163" s="500"/>
      <c r="AG163" s="517"/>
      <c r="AH163" s="511">
        <f t="shared" si="66"/>
        <v>0</v>
      </c>
      <c r="AI163" s="512"/>
      <c r="AJ163" s="513">
        <f t="shared" si="67"/>
        <v>0</v>
      </c>
    </row>
    <row r="164" spans="1:39" s="283" customFormat="1" ht="20.25">
      <c r="A164" s="445"/>
      <c r="B164" s="455"/>
      <c r="C164" s="455"/>
      <c r="D164" s="456"/>
      <c r="E164" s="457"/>
      <c r="F164" s="458"/>
      <c r="G164" s="458"/>
      <c r="H164" s="459"/>
      <c r="I164" s="459"/>
      <c r="J164" s="458"/>
      <c r="K164" s="486"/>
      <c r="L164" s="355"/>
      <c r="M164" s="343"/>
      <c r="N164" s="298"/>
      <c r="O164" s="298"/>
      <c r="P164" s="298"/>
      <c r="Q164" s="298"/>
      <c r="R164" s="298"/>
      <c r="S164" s="298"/>
      <c r="T164" s="367"/>
      <c r="U164" s="355"/>
      <c r="V164" s="325"/>
      <c r="W164" s="297"/>
      <c r="X164" s="297"/>
      <c r="Y164" s="298"/>
      <c r="Z164" s="298"/>
      <c r="AA164" s="298"/>
      <c r="AB164" s="297"/>
      <c r="AC164" s="375"/>
      <c r="AD164" s="355"/>
      <c r="AE164" s="376">
        <f t="shared" si="65"/>
        <v>0</v>
      </c>
      <c r="AF164" s="500"/>
      <c r="AG164" s="516"/>
      <c r="AH164" s="391">
        <f t="shared" si="66"/>
        <v>0</v>
      </c>
      <c r="AI164" s="412"/>
      <c r="AJ164" s="413">
        <f t="shared" si="67"/>
        <v>0</v>
      </c>
    </row>
    <row r="165" spans="1:39" s="283" customFormat="1" ht="20.25">
      <c r="A165" s="445"/>
      <c r="B165" s="455"/>
      <c r="C165" s="455"/>
      <c r="D165" s="456"/>
      <c r="E165" s="457"/>
      <c r="F165" s="458"/>
      <c r="G165" s="458"/>
      <c r="H165" s="459"/>
      <c r="I165" s="459"/>
      <c r="J165" s="458"/>
      <c r="K165" s="486"/>
      <c r="L165" s="355"/>
      <c r="M165" s="343"/>
      <c r="N165" s="298"/>
      <c r="O165" s="298"/>
      <c r="P165" s="298"/>
      <c r="Q165" s="298"/>
      <c r="R165" s="298"/>
      <c r="S165" s="298"/>
      <c r="T165" s="367"/>
      <c r="U165" s="355"/>
      <c r="V165" s="325"/>
      <c r="W165" s="297"/>
      <c r="X165" s="297"/>
      <c r="Y165" s="298"/>
      <c r="Z165" s="298"/>
      <c r="AA165" s="298"/>
      <c r="AB165" s="297"/>
      <c r="AC165" s="375"/>
      <c r="AD165" s="355"/>
      <c r="AE165" s="376">
        <f t="shared" si="65"/>
        <v>0</v>
      </c>
      <c r="AF165" s="500"/>
      <c r="AG165" s="516"/>
      <c r="AH165" s="391">
        <f t="shared" si="66"/>
        <v>0</v>
      </c>
      <c r="AI165" s="412"/>
      <c r="AJ165" s="413">
        <f t="shared" si="67"/>
        <v>0</v>
      </c>
    </row>
    <row r="166" spans="1:39" s="283" customFormat="1" ht="21" thickBot="1">
      <c r="A166" s="460"/>
      <c r="B166" s="461"/>
      <c r="C166" s="461"/>
      <c r="D166" s="462"/>
      <c r="E166" s="463"/>
      <c r="F166" s="464"/>
      <c r="G166" s="464"/>
      <c r="H166" s="465"/>
      <c r="I166" s="465"/>
      <c r="J166" s="464"/>
      <c r="K166" s="487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7">
        <f t="shared" si="65"/>
        <v>0</v>
      </c>
      <c r="AF166" s="501"/>
      <c r="AG166" s="516"/>
      <c r="AH166" s="507">
        <f t="shared" si="66"/>
        <v>0</v>
      </c>
      <c r="AI166" s="412"/>
      <c r="AJ166" s="508">
        <f t="shared" si="67"/>
        <v>0</v>
      </c>
    </row>
    <row r="167" spans="1:39" s="283" customFormat="1" ht="21" thickBot="1">
      <c r="A167" s="466"/>
      <c r="B167" s="467"/>
      <c r="C167" s="467"/>
      <c r="D167" s="468"/>
      <c r="E167" s="469">
        <f t="shared" ref="E167:K167" si="68">SUM(E163:E166)</f>
        <v>0</v>
      </c>
      <c r="F167" s="470">
        <f t="shared" si="68"/>
        <v>0</v>
      </c>
      <c r="G167" s="470">
        <f t="shared" si="68"/>
        <v>0</v>
      </c>
      <c r="H167" s="470">
        <f t="shared" si="68"/>
        <v>0</v>
      </c>
      <c r="I167" s="470">
        <f t="shared" si="68"/>
        <v>0</v>
      </c>
      <c r="J167" s="470">
        <f t="shared" si="68"/>
        <v>0</v>
      </c>
      <c r="K167" s="488">
        <f t="shared" si="68"/>
        <v>0</v>
      </c>
      <c r="L167" s="482"/>
      <c r="M167" s="439">
        <f t="shared" ref="M167:T167" si="69">SUM(M163:M166)</f>
        <v>0</v>
      </c>
      <c r="N167" s="440">
        <f t="shared" si="69"/>
        <v>0</v>
      </c>
      <c r="O167" s="440">
        <f t="shared" si="69"/>
        <v>0</v>
      </c>
      <c r="P167" s="440">
        <f t="shared" si="69"/>
        <v>0</v>
      </c>
      <c r="Q167" s="440">
        <f t="shared" si="69"/>
        <v>0</v>
      </c>
      <c r="R167" s="440">
        <f t="shared" si="69"/>
        <v>0</v>
      </c>
      <c r="S167" s="440">
        <f t="shared" si="69"/>
        <v>0</v>
      </c>
      <c r="T167" s="481">
        <f t="shared" si="69"/>
        <v>0</v>
      </c>
      <c r="U167" s="482"/>
      <c r="V167" s="439">
        <f t="shared" ref="V167:AC167" si="70">SUM(V163:V166)</f>
        <v>0</v>
      </c>
      <c r="W167" s="440">
        <f t="shared" si="70"/>
        <v>0</v>
      </c>
      <c r="X167" s="440">
        <f t="shared" si="70"/>
        <v>0</v>
      </c>
      <c r="Y167" s="440">
        <f t="shared" si="70"/>
        <v>0</v>
      </c>
      <c r="Z167" s="440">
        <f t="shared" si="70"/>
        <v>0</v>
      </c>
      <c r="AA167" s="440">
        <f t="shared" si="70"/>
        <v>0</v>
      </c>
      <c r="AB167" s="440">
        <f t="shared" si="70"/>
        <v>0</v>
      </c>
      <c r="AC167" s="481">
        <f t="shared" si="70"/>
        <v>0</v>
      </c>
      <c r="AD167" s="482"/>
      <c r="AE167" s="494">
        <f>SUM(AE161:AE166)</f>
        <v>0</v>
      </c>
      <c r="AF167" s="502">
        <f>SUM(AF161:AF166)</f>
        <v>0</v>
      </c>
      <c r="AG167" s="509"/>
      <c r="AH167" s="514">
        <f>SUM(AH161:AH166)</f>
        <v>0</v>
      </c>
      <c r="AI167" s="494">
        <f>SUM(AI161:AI166)</f>
        <v>0</v>
      </c>
      <c r="AJ167" s="515">
        <f>SUM(AJ161:AJ166)</f>
        <v>0</v>
      </c>
    </row>
    <row r="168" spans="1:39" s="283" customFormat="1" ht="19.5" thickBot="1">
      <c r="A168" s="425"/>
      <c r="B168" s="426"/>
      <c r="C168" s="426"/>
      <c r="D168" s="427"/>
      <c r="E168" s="428"/>
      <c r="F168" s="428"/>
      <c r="G168" s="428"/>
      <c r="H168" s="428"/>
      <c r="I168" s="428"/>
      <c r="J168" s="428"/>
      <c r="K168" s="428"/>
      <c r="L168" s="478"/>
      <c r="M168" s="479"/>
      <c r="N168" s="479"/>
      <c r="O168" s="479"/>
      <c r="P168" s="479"/>
      <c r="Q168" s="479"/>
      <c r="R168" s="479"/>
      <c r="S168" s="479"/>
      <c r="T168" s="479"/>
      <c r="U168" s="478"/>
      <c r="V168" s="479"/>
      <c r="W168" s="479"/>
      <c r="X168" s="479"/>
      <c r="Y168" s="479"/>
      <c r="Z168" s="479"/>
      <c r="AA168" s="479"/>
      <c r="AB168" s="479"/>
      <c r="AC168" s="479"/>
      <c r="AD168" s="478"/>
      <c r="AE168" s="479"/>
      <c r="AF168" s="479"/>
      <c r="AG168" s="479"/>
      <c r="AH168" s="479"/>
      <c r="AI168" s="479"/>
      <c r="AJ168" s="506"/>
    </row>
    <row r="169" spans="1:39" s="283" customFormat="1" ht="18.75" thickBot="1">
      <c r="A169" s="441" t="s">
        <v>143</v>
      </c>
      <c r="B169" s="287" t="s">
        <v>68</v>
      </c>
      <c r="C169" s="287" t="s">
        <v>69</v>
      </c>
      <c r="D169" s="288" t="s">
        <v>70</v>
      </c>
      <c r="E169" s="2697" t="s">
        <v>53</v>
      </c>
      <c r="F169" s="2698" t="s">
        <v>442</v>
      </c>
      <c r="G169" s="2698" t="s">
        <v>372</v>
      </c>
      <c r="H169" s="2698" t="s">
        <v>473</v>
      </c>
      <c r="I169" s="2698" t="s">
        <v>94</v>
      </c>
      <c r="J169" s="2698"/>
      <c r="K169" s="2702" t="s">
        <v>95</v>
      </c>
      <c r="L169" s="2699"/>
      <c r="M169" s="2697" t="s">
        <v>53</v>
      </c>
      <c r="N169" s="2698" t="s">
        <v>190</v>
      </c>
      <c r="O169" s="2698" t="s">
        <v>467</v>
      </c>
      <c r="P169" s="2698" t="s">
        <v>206</v>
      </c>
      <c r="Q169" s="2698" t="s">
        <v>94</v>
      </c>
      <c r="R169" s="2698" t="s">
        <v>446</v>
      </c>
      <c r="S169" s="2702" t="s">
        <v>96</v>
      </c>
      <c r="T169" s="2700" t="s">
        <v>86</v>
      </c>
      <c r="U169" s="2699"/>
      <c r="V169" s="2697" t="s">
        <v>53</v>
      </c>
      <c r="W169" s="2698"/>
      <c r="X169" s="2698" t="s">
        <v>372</v>
      </c>
      <c r="Y169" s="2698" t="s">
        <v>304</v>
      </c>
      <c r="Z169" s="2698" t="s">
        <v>94</v>
      </c>
      <c r="AA169" s="2698" t="s">
        <v>170</v>
      </c>
      <c r="AB169" s="2702"/>
      <c r="AC169" s="2700"/>
      <c r="AD169" s="79"/>
      <c r="AE169" s="371" t="s">
        <v>172</v>
      </c>
      <c r="AF169" s="372" t="s">
        <v>80</v>
      </c>
      <c r="AG169" s="385"/>
      <c r="AH169" s="386" t="s">
        <v>106</v>
      </c>
      <c r="AI169" s="385" t="s">
        <v>173</v>
      </c>
      <c r="AJ169" s="371" t="s">
        <v>108</v>
      </c>
    </row>
    <row r="170" spans="1:39" s="284" customFormat="1" ht="23.25" customHeight="1">
      <c r="A170" s="471" t="s">
        <v>181</v>
      </c>
      <c r="B170" s="472"/>
      <c r="C170" s="472"/>
      <c r="D170" s="473"/>
      <c r="E170" s="474"/>
      <c r="F170" s="475"/>
      <c r="G170" s="475"/>
      <c r="H170" s="476"/>
      <c r="I170" s="476"/>
      <c r="J170" s="475"/>
      <c r="K170" s="489"/>
      <c r="L170" s="490"/>
      <c r="M170" s="491"/>
      <c r="N170" s="476"/>
      <c r="O170" s="476"/>
      <c r="P170" s="476"/>
      <c r="Q170" s="476"/>
      <c r="R170" s="476"/>
      <c r="S170" s="476"/>
      <c r="T170" s="493"/>
      <c r="U170" s="490"/>
      <c r="V170" s="474"/>
      <c r="W170" s="475"/>
      <c r="X170" s="475"/>
      <c r="Y170" s="476"/>
      <c r="Z170" s="476"/>
      <c r="AA170" s="476"/>
      <c r="AB170" s="475"/>
      <c r="AC170" s="503"/>
      <c r="AD170" s="490"/>
      <c r="AE170" s="504">
        <f t="shared" ref="AE170:AE174" si="71">SUM(E170:AC170)</f>
        <v>0</v>
      </c>
      <c r="AF170" s="505"/>
      <c r="AG170" s="518"/>
      <c r="AH170" s="519">
        <f t="shared" ref="AH170:AH174" si="72">AE170+AF170</f>
        <v>0</v>
      </c>
      <c r="AI170" s="520"/>
      <c r="AJ170" s="521">
        <f>AH170+AI170</f>
        <v>0</v>
      </c>
      <c r="AK170" s="403"/>
      <c r="AL170" s="403"/>
      <c r="AM170" s="403"/>
    </row>
    <row r="171" spans="1:39" ht="20.25">
      <c r="A171" s="445" t="s">
        <v>182</v>
      </c>
      <c r="B171" s="323"/>
      <c r="C171" s="323"/>
      <c r="D171" s="324"/>
      <c r="E171" s="325"/>
      <c r="F171" s="297"/>
      <c r="G171" s="297"/>
      <c r="H171" s="298"/>
      <c r="I171" s="298"/>
      <c r="J171" s="297"/>
      <c r="K171" s="344"/>
      <c r="L171" s="355"/>
      <c r="M171" s="343"/>
      <c r="N171" s="298"/>
      <c r="O171" s="298"/>
      <c r="P171" s="298"/>
      <c r="Q171" s="298"/>
      <c r="R171" s="298"/>
      <c r="S171" s="298"/>
      <c r="T171" s="367"/>
      <c r="U171" s="355"/>
      <c r="V171" s="325"/>
      <c r="W171" s="297"/>
      <c r="X171" s="297"/>
      <c r="Y171" s="298"/>
      <c r="Z171" s="298"/>
      <c r="AA171" s="298"/>
      <c r="AB171" s="297"/>
      <c r="AC171" s="375"/>
      <c r="AD171" s="355"/>
      <c r="AE171" s="376">
        <f t="shared" si="71"/>
        <v>0</v>
      </c>
      <c r="AF171" s="377"/>
      <c r="AG171" s="390"/>
      <c r="AH171" s="391">
        <f t="shared" si="72"/>
        <v>0</v>
      </c>
      <c r="AI171" s="412"/>
      <c r="AJ171" s="413">
        <f t="shared" ref="AJ171:AJ174" si="73">AH171+AI171</f>
        <v>0</v>
      </c>
    </row>
    <row r="172" spans="1:39" ht="20.25">
      <c r="A172" s="445"/>
      <c r="B172" s="323"/>
      <c r="C172" s="323"/>
      <c r="D172" s="324"/>
      <c r="E172" s="325"/>
      <c r="F172" s="297"/>
      <c r="G172" s="297"/>
      <c r="H172" s="298"/>
      <c r="I172" s="298"/>
      <c r="J172" s="297"/>
      <c r="K172" s="344"/>
      <c r="L172" s="355"/>
      <c r="M172" s="343"/>
      <c r="N172" s="298"/>
      <c r="O172" s="298"/>
      <c r="P172" s="298"/>
      <c r="Q172" s="298"/>
      <c r="R172" s="298"/>
      <c r="S172" s="298"/>
      <c r="T172" s="367"/>
      <c r="U172" s="355"/>
      <c r="V172" s="325"/>
      <c r="W172" s="297"/>
      <c r="X172" s="297"/>
      <c r="Y172" s="298"/>
      <c r="Z172" s="298"/>
      <c r="AA172" s="298"/>
      <c r="AB172" s="297"/>
      <c r="AC172" s="375"/>
      <c r="AD172" s="355"/>
      <c r="AE172" s="376">
        <f t="shared" si="71"/>
        <v>0</v>
      </c>
      <c r="AF172" s="377"/>
      <c r="AG172" s="390"/>
      <c r="AH172" s="391">
        <f t="shared" si="72"/>
        <v>0</v>
      </c>
      <c r="AI172" s="412"/>
      <c r="AJ172" s="413">
        <f t="shared" si="73"/>
        <v>0</v>
      </c>
    </row>
    <row r="173" spans="1:39" s="1" customFormat="1" ht="21" customHeight="1">
      <c r="A173" s="445"/>
      <c r="B173" s="323"/>
      <c r="C173" s="323"/>
      <c r="D173" s="324"/>
      <c r="E173" s="325"/>
      <c r="F173" s="297"/>
      <c r="G173" s="297"/>
      <c r="H173" s="298"/>
      <c r="I173" s="298"/>
      <c r="J173" s="297"/>
      <c r="K173" s="344"/>
      <c r="L173" s="355"/>
      <c r="M173" s="343"/>
      <c r="N173" s="298"/>
      <c r="O173" s="298"/>
      <c r="P173" s="298"/>
      <c r="Q173" s="298"/>
      <c r="R173" s="298"/>
      <c r="S173" s="298"/>
      <c r="T173" s="367"/>
      <c r="U173" s="355"/>
      <c r="V173" s="325"/>
      <c r="W173" s="297"/>
      <c r="X173" s="297"/>
      <c r="Y173" s="298"/>
      <c r="Z173" s="298"/>
      <c r="AA173" s="298"/>
      <c r="AB173" s="297"/>
      <c r="AC173" s="375"/>
      <c r="AD173" s="355"/>
      <c r="AE173" s="376">
        <f t="shared" si="71"/>
        <v>0</v>
      </c>
      <c r="AF173" s="377"/>
      <c r="AG173" s="390"/>
      <c r="AH173" s="391">
        <f t="shared" si="72"/>
        <v>0</v>
      </c>
      <c r="AI173" s="412"/>
      <c r="AJ173" s="413">
        <f t="shared" si="73"/>
        <v>0</v>
      </c>
    </row>
    <row r="174" spans="1:39" ht="21" thickBot="1">
      <c r="A174" s="322"/>
      <c r="B174" s="323"/>
      <c r="C174" s="323"/>
      <c r="D174" s="324"/>
      <c r="E174" s="325"/>
      <c r="F174" s="297"/>
      <c r="G174" s="297"/>
      <c r="H174" s="298"/>
      <c r="I174" s="298"/>
      <c r="J174" s="297"/>
      <c r="K174" s="344"/>
      <c r="L174" s="355"/>
      <c r="M174" s="343"/>
      <c r="N174" s="298"/>
      <c r="O174" s="298"/>
      <c r="P174" s="298"/>
      <c r="Q174" s="298"/>
      <c r="R174" s="298"/>
      <c r="S174" s="298"/>
      <c r="T174" s="367"/>
      <c r="U174" s="355"/>
      <c r="V174" s="325"/>
      <c r="W174" s="297"/>
      <c r="X174" s="297"/>
      <c r="Y174" s="298"/>
      <c r="Z174" s="298"/>
      <c r="AA174" s="298"/>
      <c r="AB174" s="297"/>
      <c r="AC174" s="375"/>
      <c r="AD174" s="355"/>
      <c r="AE174" s="377">
        <f t="shared" si="71"/>
        <v>0</v>
      </c>
      <c r="AF174" s="377"/>
      <c r="AG174" s="390"/>
      <c r="AH174" s="507">
        <f t="shared" si="72"/>
        <v>0</v>
      </c>
      <c r="AI174" s="412"/>
      <c r="AJ174" s="508">
        <f t="shared" si="73"/>
        <v>0</v>
      </c>
    </row>
    <row r="175" spans="1:39" s="276" customFormat="1" ht="21" thickBot="1">
      <c r="A175" s="436"/>
      <c r="B175" s="437"/>
      <c r="C175" s="437"/>
      <c r="D175" s="438"/>
      <c r="E175" s="439">
        <f t="shared" ref="E175:K175" si="74">SUM(E170:E174)</f>
        <v>0</v>
      </c>
      <c r="F175" s="440">
        <f t="shared" si="74"/>
        <v>0</v>
      </c>
      <c r="G175" s="440">
        <f t="shared" si="74"/>
        <v>0</v>
      </c>
      <c r="H175" s="440">
        <f t="shared" si="74"/>
        <v>0</v>
      </c>
      <c r="I175" s="440">
        <f t="shared" si="74"/>
        <v>0</v>
      </c>
      <c r="J175" s="440">
        <f t="shared" si="74"/>
        <v>0</v>
      </c>
      <c r="K175" s="481">
        <f t="shared" si="74"/>
        <v>0</v>
      </c>
      <c r="L175" s="482"/>
      <c r="M175" s="439">
        <f t="shared" ref="M175:T175" si="75">SUM(M170:M174)</f>
        <v>0</v>
      </c>
      <c r="N175" s="440">
        <f t="shared" si="75"/>
        <v>0</v>
      </c>
      <c r="O175" s="440">
        <f t="shared" si="75"/>
        <v>0</v>
      </c>
      <c r="P175" s="440">
        <f t="shared" si="75"/>
        <v>0</v>
      </c>
      <c r="Q175" s="440">
        <f t="shared" si="75"/>
        <v>0</v>
      </c>
      <c r="R175" s="440">
        <f t="shared" si="75"/>
        <v>0</v>
      </c>
      <c r="S175" s="440">
        <f t="shared" si="75"/>
        <v>0</v>
      </c>
      <c r="T175" s="481">
        <f t="shared" si="75"/>
        <v>0</v>
      </c>
      <c r="U175" s="482"/>
      <c r="V175" s="439">
        <f t="shared" ref="V175:AC175" si="76">SUM(V170:V174)</f>
        <v>0</v>
      </c>
      <c r="W175" s="440">
        <f t="shared" si="76"/>
        <v>0</v>
      </c>
      <c r="X175" s="440">
        <f t="shared" si="76"/>
        <v>0</v>
      </c>
      <c r="Y175" s="440">
        <f t="shared" si="76"/>
        <v>0</v>
      </c>
      <c r="Z175" s="440">
        <f t="shared" si="76"/>
        <v>0</v>
      </c>
      <c r="AA175" s="440">
        <f t="shared" si="76"/>
        <v>0</v>
      </c>
      <c r="AB175" s="440">
        <f t="shared" si="76"/>
        <v>0</v>
      </c>
      <c r="AC175" s="481">
        <f t="shared" si="76"/>
        <v>0</v>
      </c>
      <c r="AD175" s="482"/>
      <c r="AE175" s="494">
        <f>SUM(AE170:AE174)</f>
        <v>0</v>
      </c>
      <c r="AF175" s="494">
        <f>SUM(AF170:AF174)</f>
        <v>0</v>
      </c>
      <c r="AG175" s="509"/>
      <c r="AH175" s="514">
        <f>SUM(AH170:AH174)</f>
        <v>0</v>
      </c>
      <c r="AI175" s="494">
        <f>SUM(AI170:AI174)</f>
        <v>0</v>
      </c>
      <c r="AJ175" s="509">
        <f>SUM(AJ170:AJ174)</f>
        <v>0</v>
      </c>
    </row>
    <row r="176" spans="1:39" s="234" customFormat="1" ht="19.5" thickBot="1">
      <c r="A176" s="522"/>
      <c r="B176" s="523"/>
      <c r="C176" s="523"/>
      <c r="D176" s="524"/>
      <c r="E176" s="525"/>
      <c r="F176" s="525"/>
      <c r="G176" s="525"/>
      <c r="H176" s="525"/>
      <c r="I176" s="525"/>
      <c r="J176" s="525"/>
      <c r="K176" s="525"/>
      <c r="L176" s="572"/>
      <c r="M176" s="573"/>
      <c r="N176" s="573"/>
      <c r="O176" s="573"/>
      <c r="P176" s="573"/>
      <c r="Q176" s="573"/>
      <c r="R176" s="573"/>
      <c r="S176" s="573"/>
      <c r="T176" s="573"/>
      <c r="U176" s="572"/>
      <c r="V176" s="573"/>
      <c r="W176" s="573"/>
      <c r="X176" s="573"/>
      <c r="Y176" s="573"/>
      <c r="Z176" s="573"/>
      <c r="AA176" s="573"/>
      <c r="AB176" s="573"/>
      <c r="AC176" s="573"/>
      <c r="AD176" s="572"/>
      <c r="AE176" s="573"/>
      <c r="AF176" s="573"/>
      <c r="AG176" s="599"/>
      <c r="AH176" s="573"/>
      <c r="AI176" s="573"/>
      <c r="AJ176" s="600"/>
    </row>
    <row r="177" spans="1:36" s="276" customFormat="1" ht="21" thickBot="1">
      <c r="A177" s="526" t="s">
        <v>145</v>
      </c>
      <c r="B177" s="527"/>
      <c r="C177" s="527"/>
      <c r="D177" s="528"/>
      <c r="E177" s="529">
        <f t="shared" ref="E177:K177" si="77">E4+E38+E53+E72+E93+E151+E158+E167+E175+E142+E114</f>
        <v>0</v>
      </c>
      <c r="F177" s="529">
        <f t="shared" si="77"/>
        <v>0</v>
      </c>
      <c r="G177" s="529">
        <f t="shared" si="77"/>
        <v>0</v>
      </c>
      <c r="H177" s="529">
        <f t="shared" si="77"/>
        <v>0</v>
      </c>
      <c r="I177" s="529">
        <f t="shared" si="77"/>
        <v>0</v>
      </c>
      <c r="J177" s="529">
        <f t="shared" si="77"/>
        <v>168</v>
      </c>
      <c r="K177" s="529">
        <f t="shared" si="77"/>
        <v>0</v>
      </c>
      <c r="L177" s="529"/>
      <c r="M177" s="529">
        <f t="shared" ref="M177:T177" si="78">M4+M38+M53+M72+M93+M151+M158+M167+M175+M142+M114</f>
        <v>1956</v>
      </c>
      <c r="N177" s="529">
        <f t="shared" si="78"/>
        <v>24</v>
      </c>
      <c r="O177" s="529">
        <f t="shared" si="78"/>
        <v>3012</v>
      </c>
      <c r="P177" s="529">
        <f t="shared" si="78"/>
        <v>84</v>
      </c>
      <c r="Q177" s="529">
        <f t="shared" si="78"/>
        <v>0</v>
      </c>
      <c r="R177" s="529">
        <f t="shared" si="78"/>
        <v>180</v>
      </c>
      <c r="S177" s="529">
        <f t="shared" si="78"/>
        <v>0</v>
      </c>
      <c r="T177" s="529">
        <f t="shared" si="78"/>
        <v>384</v>
      </c>
      <c r="U177" s="529"/>
      <c r="V177" s="529">
        <f t="shared" ref="V177:AC177" si="79">V4+V38+V53+V72+V93+V151+V158+V167+V175+V142+V114</f>
        <v>0</v>
      </c>
      <c r="W177" s="529">
        <f t="shared" si="79"/>
        <v>4452</v>
      </c>
      <c r="X177" s="529">
        <f t="shared" si="79"/>
        <v>336</v>
      </c>
      <c r="Y177" s="529">
        <f t="shared" si="79"/>
        <v>24</v>
      </c>
      <c r="Z177" s="529">
        <f t="shared" si="79"/>
        <v>264</v>
      </c>
      <c r="AA177" s="529">
        <f t="shared" si="79"/>
        <v>0</v>
      </c>
      <c r="AB177" s="529">
        <f t="shared" si="79"/>
        <v>0</v>
      </c>
      <c r="AC177" s="529">
        <f t="shared" si="79"/>
        <v>240</v>
      </c>
      <c r="AD177" s="529"/>
      <c r="AE177" s="529">
        <f t="shared" ref="AE177:AJ177" si="80">AE4+AE38+AE53+AE72+AE93+AE151+AE158+AE167+AE175+AE142+AE114</f>
        <v>11124</v>
      </c>
      <c r="AF177" s="529">
        <f t="shared" si="80"/>
        <v>6</v>
      </c>
      <c r="AG177" s="529">
        <f t="shared" si="80"/>
        <v>0</v>
      </c>
      <c r="AH177" s="529">
        <f t="shared" si="80"/>
        <v>11130</v>
      </c>
      <c r="AI177" s="529">
        <f t="shared" si="80"/>
        <v>177</v>
      </c>
      <c r="AJ177" s="529">
        <f t="shared" si="80"/>
        <v>11307</v>
      </c>
    </row>
    <row r="178" spans="1:36" s="234" customFormat="1" ht="21" thickBot="1">
      <c r="A178" s="530" t="s">
        <v>152</v>
      </c>
      <c r="B178" s="531"/>
      <c r="C178" s="531"/>
      <c r="D178" s="532"/>
      <c r="E178" s="533">
        <f>E177/12</f>
        <v>0</v>
      </c>
      <c r="F178" s="533">
        <f t="shared" ref="F178:AJ178" si="81">F177/12</f>
        <v>0</v>
      </c>
      <c r="G178" s="533">
        <f t="shared" si="81"/>
        <v>0</v>
      </c>
      <c r="H178" s="533">
        <f t="shared" si="81"/>
        <v>0</v>
      </c>
      <c r="I178" s="533">
        <f t="shared" si="81"/>
        <v>0</v>
      </c>
      <c r="J178" s="533">
        <f t="shared" si="81"/>
        <v>14</v>
      </c>
      <c r="K178" s="533">
        <f t="shared" si="81"/>
        <v>0</v>
      </c>
      <c r="L178" s="533"/>
      <c r="M178" s="533">
        <f t="shared" si="81"/>
        <v>163</v>
      </c>
      <c r="N178" s="533">
        <f t="shared" si="81"/>
        <v>2</v>
      </c>
      <c r="O178" s="533">
        <f t="shared" si="81"/>
        <v>251</v>
      </c>
      <c r="P178" s="533">
        <f t="shared" si="81"/>
        <v>7</v>
      </c>
      <c r="Q178" s="533">
        <f t="shared" si="81"/>
        <v>0</v>
      </c>
      <c r="R178" s="533">
        <f t="shared" si="81"/>
        <v>15</v>
      </c>
      <c r="S178" s="533">
        <f t="shared" si="81"/>
        <v>0</v>
      </c>
      <c r="T178" s="533">
        <f t="shared" si="81"/>
        <v>32</v>
      </c>
      <c r="U178" s="533"/>
      <c r="V178" s="533">
        <f t="shared" si="81"/>
        <v>0</v>
      </c>
      <c r="W178" s="533">
        <f t="shared" si="81"/>
        <v>371</v>
      </c>
      <c r="X178" s="533">
        <f t="shared" si="81"/>
        <v>28</v>
      </c>
      <c r="Y178" s="533">
        <f t="shared" si="81"/>
        <v>2</v>
      </c>
      <c r="Z178" s="533">
        <f t="shared" si="81"/>
        <v>22</v>
      </c>
      <c r="AA178" s="533">
        <f t="shared" si="81"/>
        <v>0</v>
      </c>
      <c r="AB178" s="533">
        <f t="shared" si="81"/>
        <v>0</v>
      </c>
      <c r="AC178" s="533">
        <f t="shared" si="81"/>
        <v>20</v>
      </c>
      <c r="AD178" s="533"/>
      <c r="AE178" s="533">
        <f t="shared" si="81"/>
        <v>927</v>
      </c>
      <c r="AF178" s="533">
        <f t="shared" si="81"/>
        <v>0.5</v>
      </c>
      <c r="AG178" s="533">
        <f t="shared" si="81"/>
        <v>0</v>
      </c>
      <c r="AH178" s="533">
        <f t="shared" si="81"/>
        <v>927.5</v>
      </c>
      <c r="AI178" s="533">
        <f t="shared" si="81"/>
        <v>14.75</v>
      </c>
      <c r="AJ178" s="533">
        <f t="shared" si="81"/>
        <v>942.25</v>
      </c>
    </row>
    <row r="179" spans="1:36" s="276" customFormat="1" ht="21" customHeight="1" thickBot="1">
      <c r="A179" s="3755" t="s">
        <v>147</v>
      </c>
      <c r="B179" s="3755"/>
      <c r="C179" s="3755"/>
      <c r="D179" s="3755"/>
      <c r="E179" s="3756"/>
      <c r="F179" s="3756"/>
      <c r="G179" s="3756"/>
      <c r="H179" s="3756"/>
      <c r="I179" s="3756"/>
      <c r="J179" s="3756"/>
      <c r="K179" s="3756"/>
      <c r="L179" s="3755"/>
      <c r="M179" s="3755"/>
      <c r="N179" s="3755"/>
      <c r="O179" s="3755"/>
      <c r="P179" s="3755"/>
      <c r="Q179" s="3755"/>
      <c r="R179" s="3755"/>
      <c r="S179" s="3755"/>
      <c r="T179" s="3755"/>
      <c r="U179" s="3755"/>
      <c r="V179" s="3755"/>
      <c r="W179" s="3755"/>
      <c r="X179" s="3755"/>
      <c r="Y179" s="3755"/>
      <c r="Z179" s="3755"/>
      <c r="AA179" s="3755"/>
      <c r="AB179" s="3755"/>
      <c r="AC179" s="3755"/>
      <c r="AD179" s="3755"/>
      <c r="AE179" s="3755"/>
      <c r="AF179" s="3755"/>
      <c r="AG179" s="3755"/>
      <c r="AH179" s="3755"/>
      <c r="AI179" s="3755"/>
      <c r="AJ179" s="3755"/>
    </row>
    <row r="180" spans="1:36" s="234" customFormat="1" ht="24" thickBot="1">
      <c r="A180" s="3888" t="s">
        <v>4</v>
      </c>
      <c r="B180" s="3889"/>
      <c r="C180" s="3889"/>
      <c r="D180" s="3890"/>
      <c r="E180" s="3891">
        <v>501</v>
      </c>
      <c r="F180" s="3892"/>
      <c r="G180" s="3892"/>
      <c r="H180" s="3892"/>
      <c r="I180" s="3892"/>
      <c r="J180" s="3892"/>
      <c r="K180" s="3904"/>
      <c r="L180" s="336"/>
      <c r="M180" s="3893">
        <v>502</v>
      </c>
      <c r="N180" s="3894"/>
      <c r="O180" s="3894"/>
      <c r="P180" s="3894"/>
      <c r="Q180" s="3894"/>
      <c r="R180" s="3894"/>
      <c r="S180" s="3894"/>
      <c r="T180" s="3895"/>
      <c r="U180" s="364"/>
      <c r="V180" s="3893">
        <v>503</v>
      </c>
      <c r="W180" s="3894"/>
      <c r="X180" s="3894"/>
      <c r="Y180" s="3894"/>
      <c r="Z180" s="3894"/>
      <c r="AA180" s="3894"/>
      <c r="AB180" s="3894"/>
      <c r="AC180" s="3895"/>
      <c r="AD180" s="364"/>
      <c r="AE180" s="3893"/>
      <c r="AF180" s="3894"/>
      <c r="AG180" s="3894"/>
      <c r="AH180" s="3894"/>
      <c r="AI180" s="3894"/>
      <c r="AJ180" s="3895"/>
    </row>
    <row r="181" spans="1:36" s="276" customFormat="1" ht="30.75" thickBot="1">
      <c r="A181" s="535" t="s">
        <v>148</v>
      </c>
      <c r="B181" s="287" t="s">
        <v>68</v>
      </c>
      <c r="C181" s="536" t="s">
        <v>69</v>
      </c>
      <c r="D181" s="536" t="s">
        <v>70</v>
      </c>
      <c r="E181" s="2697" t="s">
        <v>53</v>
      </c>
      <c r="F181" s="2698" t="s">
        <v>442</v>
      </c>
      <c r="G181" s="2698" t="s">
        <v>372</v>
      </c>
      <c r="H181" s="2698" t="s">
        <v>473</v>
      </c>
      <c r="I181" s="2698" t="s">
        <v>94</v>
      </c>
      <c r="J181" s="2698" t="s">
        <v>505</v>
      </c>
      <c r="K181" s="2702" t="s">
        <v>95</v>
      </c>
      <c r="L181" s="2699"/>
      <c r="M181" s="2697" t="s">
        <v>53</v>
      </c>
      <c r="N181" s="2698" t="s">
        <v>190</v>
      </c>
      <c r="O181" s="2698" t="s">
        <v>467</v>
      </c>
      <c r="P181" s="2698" t="s">
        <v>206</v>
      </c>
      <c r="Q181" s="2698" t="s">
        <v>94</v>
      </c>
      <c r="R181" s="2698" t="s">
        <v>446</v>
      </c>
      <c r="S181" s="2702" t="s">
        <v>96</v>
      </c>
      <c r="T181" s="2700" t="s">
        <v>86</v>
      </c>
      <c r="U181" s="2699"/>
      <c r="V181" s="2703" t="s">
        <v>53</v>
      </c>
      <c r="W181" s="2698" t="s">
        <v>487</v>
      </c>
      <c r="X181" s="2701" t="s">
        <v>372</v>
      </c>
      <c r="Y181" s="2698" t="s">
        <v>304</v>
      </c>
      <c r="Z181" s="2701" t="s">
        <v>94</v>
      </c>
      <c r="AA181" s="2698" t="s">
        <v>170</v>
      </c>
      <c r="AB181" s="2704"/>
      <c r="AC181" s="2700" t="s">
        <v>506</v>
      </c>
      <c r="AD181" s="589"/>
      <c r="AE181" s="590" t="s">
        <v>172</v>
      </c>
      <c r="AF181" s="591" t="s">
        <v>80</v>
      </c>
      <c r="AG181" s="602" t="s">
        <v>150</v>
      </c>
      <c r="AH181" s="603" t="s">
        <v>106</v>
      </c>
      <c r="AI181" s="602" t="s">
        <v>173</v>
      </c>
      <c r="AJ181" s="604" t="s">
        <v>108</v>
      </c>
    </row>
    <row r="182" spans="1:36" s="234" customFormat="1" ht="20.25">
      <c r="A182" s="547" t="s">
        <v>618</v>
      </c>
      <c r="B182" s="545"/>
      <c r="C182" s="539"/>
      <c r="D182" s="544">
        <v>46116</v>
      </c>
      <c r="E182" s="332"/>
      <c r="F182" s="333"/>
      <c r="G182" s="333"/>
      <c r="H182" s="334"/>
      <c r="I182" s="334"/>
      <c r="J182" s="333"/>
      <c r="K182" s="798"/>
      <c r="L182" s="361"/>
      <c r="M182" s="362"/>
      <c r="N182" s="334"/>
      <c r="O182" s="334"/>
      <c r="P182" s="334"/>
      <c r="Q182" s="334"/>
      <c r="R182" s="334"/>
      <c r="S182" s="334"/>
      <c r="T182" s="818"/>
      <c r="U182" s="361"/>
      <c r="V182" s="362"/>
      <c r="W182" s="334">
        <f>12*12</f>
        <v>144</v>
      </c>
      <c r="X182" s="334"/>
      <c r="Y182" s="334"/>
      <c r="Z182" s="334"/>
      <c r="AA182" s="334"/>
      <c r="AB182" s="334"/>
      <c r="AC182" s="383"/>
      <c r="AD182" s="361"/>
      <c r="AE182" s="419">
        <f t="shared" ref="AE182" si="82">SUM(E182:AC182)</f>
        <v>144</v>
      </c>
      <c r="AF182" s="420"/>
      <c r="AG182" s="419"/>
      <c r="AH182" s="420">
        <f>AE182+AF182+AG182</f>
        <v>144</v>
      </c>
      <c r="AI182" s="421"/>
      <c r="AJ182" s="422">
        <f>AH182+AI182</f>
        <v>144</v>
      </c>
    </row>
    <row r="183" spans="1:36" s="276" customFormat="1" ht="20.25">
      <c r="A183" s="537" t="s">
        <v>619</v>
      </c>
      <c r="B183" s="545"/>
      <c r="C183" s="539"/>
      <c r="D183" s="544">
        <v>46116</v>
      </c>
      <c r="E183" s="54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>
        <f>3*12</f>
        <v>36</v>
      </c>
      <c r="P183" s="543"/>
      <c r="Q183" s="543"/>
      <c r="R183" s="542"/>
      <c r="S183" s="543"/>
      <c r="T183" s="587"/>
      <c r="U183" s="580"/>
      <c r="V183" s="581"/>
      <c r="W183" s="543">
        <f>3*12</f>
        <v>36</v>
      </c>
      <c r="X183" s="543"/>
      <c r="Y183" s="543"/>
      <c r="Z183" s="543"/>
      <c r="AA183" s="543"/>
      <c r="AB183" s="543"/>
      <c r="AC183" s="592"/>
      <c r="AD183" s="580"/>
      <c r="AE183" s="593">
        <f t="shared" ref="AE183:AE186" si="83">SUM(E183:AC183)</f>
        <v>72</v>
      </c>
      <c r="AF183" s="594"/>
      <c r="AG183" s="593"/>
      <c r="AH183" s="594">
        <f t="shared" ref="AH183:AH252" si="84">AE183+AF183+AG183</f>
        <v>72</v>
      </c>
      <c r="AI183" s="605"/>
      <c r="AJ183" s="606">
        <f t="shared" ref="AJ183:AJ252" si="85">AH183+AI183</f>
        <v>72</v>
      </c>
    </row>
    <row r="184" spans="1:36" s="234" customFormat="1" ht="20.25">
      <c r="A184" s="537" t="s">
        <v>620</v>
      </c>
      <c r="B184" s="545"/>
      <c r="C184" s="539"/>
      <c r="D184" s="544">
        <v>46117</v>
      </c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>
        <f>5*12</f>
        <v>60</v>
      </c>
      <c r="P184" s="582"/>
      <c r="Q184" s="321"/>
      <c r="R184" s="321"/>
      <c r="S184" s="321"/>
      <c r="T184" s="354"/>
      <c r="U184" s="352"/>
      <c r="V184" s="353"/>
      <c r="W184" s="321">
        <f>15*12</f>
        <v>180</v>
      </c>
      <c r="X184" s="321"/>
      <c r="Y184" s="321"/>
      <c r="Z184" s="321"/>
      <c r="AA184" s="321"/>
      <c r="AB184" s="321"/>
      <c r="AC184" s="380"/>
      <c r="AD184" s="352"/>
      <c r="AE184" s="408">
        <f t="shared" si="83"/>
        <v>240</v>
      </c>
      <c r="AF184" s="409"/>
      <c r="AG184" s="408"/>
      <c r="AH184" s="409">
        <f t="shared" si="84"/>
        <v>240</v>
      </c>
      <c r="AI184" s="410"/>
      <c r="AJ184" s="411">
        <f t="shared" si="85"/>
        <v>240</v>
      </c>
    </row>
    <row r="185" spans="1:36" s="276" customFormat="1" ht="20.25">
      <c r="A185" s="537" t="s">
        <v>621</v>
      </c>
      <c r="B185" s="545"/>
      <c r="C185" s="539"/>
      <c r="D185" s="544">
        <v>46119</v>
      </c>
      <c r="E185" s="541"/>
      <c r="F185" s="542"/>
      <c r="G185" s="542"/>
      <c r="H185" s="543"/>
      <c r="I185" s="543"/>
      <c r="J185" s="542"/>
      <c r="K185" s="579"/>
      <c r="L185" s="580"/>
      <c r="M185" s="581">
        <f>10*12</f>
        <v>120</v>
      </c>
      <c r="N185" s="543"/>
      <c r="O185" s="543">
        <f>15*12</f>
        <v>180</v>
      </c>
      <c r="P185" s="558"/>
      <c r="Q185" s="543"/>
      <c r="R185" s="543"/>
      <c r="S185" s="543"/>
      <c r="T185" s="587"/>
      <c r="U185" s="580"/>
      <c r="V185" s="581"/>
      <c r="W185" s="543"/>
      <c r="X185" s="543">
        <f>10*12</f>
        <v>120</v>
      </c>
      <c r="Y185" s="543"/>
      <c r="Z185" s="543"/>
      <c r="AA185" s="543"/>
      <c r="AB185" s="543"/>
      <c r="AC185" s="592"/>
      <c r="AD185" s="580"/>
      <c r="AE185" s="593">
        <f t="shared" ref="AE185" si="86">SUM(E185:AC185)</f>
        <v>420</v>
      </c>
      <c r="AF185" s="594"/>
      <c r="AG185" s="593"/>
      <c r="AH185" s="594">
        <f t="shared" si="84"/>
        <v>420</v>
      </c>
      <c r="AI185" s="605"/>
      <c r="AJ185" s="606">
        <f t="shared" si="85"/>
        <v>420</v>
      </c>
    </row>
    <row r="186" spans="1:36" s="234" customFormat="1" ht="20.25">
      <c r="A186" s="537" t="s">
        <v>623</v>
      </c>
      <c r="B186" s="548"/>
      <c r="C186" s="549"/>
      <c r="D186" s="544">
        <v>46119</v>
      </c>
      <c r="E186" s="319"/>
      <c r="F186" s="320"/>
      <c r="G186" s="320"/>
      <c r="H186" s="321"/>
      <c r="I186" s="321"/>
      <c r="J186" s="320"/>
      <c r="K186" s="351"/>
      <c r="L186" s="352"/>
      <c r="M186" s="353"/>
      <c r="N186" s="321"/>
      <c r="O186" s="321"/>
      <c r="P186" s="582"/>
      <c r="Q186" s="321"/>
      <c r="R186" s="321"/>
      <c r="S186" s="321"/>
      <c r="T186" s="363"/>
      <c r="U186" s="352"/>
      <c r="V186" s="353"/>
      <c r="W186" s="321">
        <f>2*12</f>
        <v>24</v>
      </c>
      <c r="X186" s="321"/>
      <c r="Y186" s="321"/>
      <c r="Z186" s="321"/>
      <c r="AA186" s="321"/>
      <c r="AB186" s="321"/>
      <c r="AC186" s="380"/>
      <c r="AD186" s="352"/>
      <c r="AE186" s="408">
        <f t="shared" si="83"/>
        <v>24</v>
      </c>
      <c r="AF186" s="409"/>
      <c r="AG186" s="408"/>
      <c r="AH186" s="409">
        <f t="shared" si="84"/>
        <v>24</v>
      </c>
      <c r="AI186" s="410"/>
      <c r="AJ186" s="411">
        <f t="shared" si="85"/>
        <v>24</v>
      </c>
    </row>
    <row r="187" spans="1:36" s="276" customFormat="1" ht="20.25">
      <c r="A187" s="537" t="s">
        <v>624</v>
      </c>
      <c r="B187" s="552"/>
      <c r="C187" s="553"/>
      <c r="D187" s="555">
        <v>46120</v>
      </c>
      <c r="E187" s="556"/>
      <c r="F187" s="557"/>
      <c r="G187" s="557"/>
      <c r="H187" s="558"/>
      <c r="I187" s="558"/>
      <c r="J187" s="557"/>
      <c r="K187" s="583"/>
      <c r="L187" s="584"/>
      <c r="M187" s="585"/>
      <c r="N187" s="558"/>
      <c r="O187" s="558">
        <f>2*12</f>
        <v>24</v>
      </c>
      <c r="P187" s="558"/>
      <c r="Q187" s="558"/>
      <c r="R187" s="558"/>
      <c r="S187" s="558"/>
      <c r="T187" s="819"/>
      <c r="U187" s="584"/>
      <c r="V187" s="585"/>
      <c r="W187" s="558">
        <f>2*12</f>
        <v>24</v>
      </c>
      <c r="X187" s="558"/>
      <c r="Y187" s="558"/>
      <c r="Z187" s="558"/>
      <c r="AA187" s="558"/>
      <c r="AB187" s="558"/>
      <c r="AC187" s="595"/>
      <c r="AD187" s="584"/>
      <c r="AE187" s="596">
        <f t="shared" ref="AE187:AE255" si="87">SUM(E187:AC187)</f>
        <v>48</v>
      </c>
      <c r="AF187" s="597"/>
      <c r="AG187" s="596"/>
      <c r="AH187" s="597">
        <f t="shared" si="84"/>
        <v>48</v>
      </c>
      <c r="AI187" s="607"/>
      <c r="AJ187" s="606">
        <f t="shared" si="85"/>
        <v>48</v>
      </c>
    </row>
    <row r="188" spans="1:36" s="234" customFormat="1" ht="20.25">
      <c r="A188" s="537" t="s">
        <v>625</v>
      </c>
      <c r="B188" s="545"/>
      <c r="C188" s="539"/>
      <c r="D188" s="544">
        <v>46121</v>
      </c>
      <c r="E188" s="319"/>
      <c r="F188" s="320"/>
      <c r="G188" s="320"/>
      <c r="H188" s="321"/>
      <c r="I188" s="321"/>
      <c r="J188" s="320"/>
      <c r="K188" s="351"/>
      <c r="L188" s="352"/>
      <c r="M188" s="353"/>
      <c r="N188" s="321"/>
      <c r="O188" s="321">
        <f>10*12</f>
        <v>120</v>
      </c>
      <c r="P188" s="582"/>
      <c r="Q188" s="321"/>
      <c r="R188" s="321"/>
      <c r="S188" s="321"/>
      <c r="T188" s="354"/>
      <c r="U188" s="352"/>
      <c r="V188" s="353"/>
      <c r="W188" s="321">
        <f>15*12</f>
        <v>180</v>
      </c>
      <c r="X188" s="321"/>
      <c r="Y188" s="321"/>
      <c r="Z188" s="321"/>
      <c r="AA188" s="321"/>
      <c r="AB188" s="321"/>
      <c r="AC188" s="380"/>
      <c r="AD188" s="352"/>
      <c r="AE188" s="408">
        <f t="shared" si="87"/>
        <v>300</v>
      </c>
      <c r="AF188" s="409"/>
      <c r="AG188" s="408"/>
      <c r="AH188" s="409">
        <f t="shared" si="84"/>
        <v>300</v>
      </c>
      <c r="AI188" s="410"/>
      <c r="AJ188" s="411">
        <f t="shared" si="85"/>
        <v>300</v>
      </c>
    </row>
    <row r="189" spans="1:36" s="234" customFormat="1" ht="20.25">
      <c r="A189" s="537" t="s">
        <v>628</v>
      </c>
      <c r="B189" s="550"/>
      <c r="C189" s="539"/>
      <c r="D189" s="544">
        <v>46122</v>
      </c>
      <c r="E189" s="541"/>
      <c r="F189" s="542"/>
      <c r="G189" s="542"/>
      <c r="H189" s="543"/>
      <c r="I189" s="543"/>
      <c r="J189" s="542"/>
      <c r="K189" s="579"/>
      <c r="L189" s="580"/>
      <c r="M189" s="581">
        <f>5*12</f>
        <v>60</v>
      </c>
      <c r="N189" s="543"/>
      <c r="O189" s="543"/>
      <c r="P189" s="558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87"/>
        <v>60</v>
      </c>
      <c r="AF189" s="594"/>
      <c r="AG189" s="593"/>
      <c r="AH189" s="594">
        <f t="shared" si="84"/>
        <v>60</v>
      </c>
      <c r="AI189" s="605"/>
      <c r="AJ189" s="606">
        <f t="shared" si="85"/>
        <v>60</v>
      </c>
    </row>
    <row r="190" spans="1:36" s="276" customFormat="1" ht="20.25">
      <c r="A190" s="537" t="s">
        <v>629</v>
      </c>
      <c r="B190" s="796"/>
      <c r="C190" s="797"/>
      <c r="D190" s="544">
        <v>46122</v>
      </c>
      <c r="E190" s="319"/>
      <c r="F190" s="320"/>
      <c r="G190" s="320"/>
      <c r="H190" s="321"/>
      <c r="I190" s="321"/>
      <c r="J190" s="320"/>
      <c r="K190" s="351"/>
      <c r="L190" s="352"/>
      <c r="M190" s="353">
        <f>30*12</f>
        <v>360</v>
      </c>
      <c r="N190" s="321"/>
      <c r="O190" s="321"/>
      <c r="P190" s="582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408">
        <f t="shared" ref="AE190:AE192" si="88">SUM(E190:AC190)</f>
        <v>360</v>
      </c>
      <c r="AF190" s="409"/>
      <c r="AG190" s="408"/>
      <c r="AH190" s="409">
        <f t="shared" ref="AH190:AH192" si="89">AE190+AF190+AG190</f>
        <v>360</v>
      </c>
      <c r="AI190" s="410"/>
      <c r="AJ190" s="411">
        <f t="shared" ref="AJ190:AJ192" si="90">AH190+AI190</f>
        <v>360</v>
      </c>
    </row>
    <row r="191" spans="1:36" s="234" customFormat="1" ht="20.25">
      <c r="A191" s="537" t="s">
        <v>631</v>
      </c>
      <c r="B191" s="796"/>
      <c r="C191" s="797"/>
      <c r="D191" s="544">
        <v>46122</v>
      </c>
      <c r="E191" s="319"/>
      <c r="F191" s="320"/>
      <c r="G191" s="320"/>
      <c r="H191" s="321"/>
      <c r="I191" s="321"/>
      <c r="J191" s="320"/>
      <c r="K191" s="351"/>
      <c r="L191" s="352"/>
      <c r="M191" s="353"/>
      <c r="N191" s="321"/>
      <c r="O191" s="321"/>
      <c r="P191" s="582"/>
      <c r="Q191" s="321"/>
      <c r="R191" s="321"/>
      <c r="S191" s="321"/>
      <c r="T191" s="354"/>
      <c r="U191" s="352"/>
      <c r="V191" s="353"/>
      <c r="W191" s="321">
        <f>16*12</f>
        <v>192</v>
      </c>
      <c r="X191" s="321"/>
      <c r="Y191" s="321"/>
      <c r="Z191" s="321"/>
      <c r="AA191" s="321"/>
      <c r="AB191" s="321"/>
      <c r="AC191" s="380"/>
      <c r="AD191" s="352"/>
      <c r="AE191" s="408">
        <f t="shared" si="88"/>
        <v>192</v>
      </c>
      <c r="AF191" s="409"/>
      <c r="AG191" s="408"/>
      <c r="AH191" s="409">
        <f t="shared" si="89"/>
        <v>192</v>
      </c>
      <c r="AI191" s="410"/>
      <c r="AJ191" s="411">
        <f t="shared" si="90"/>
        <v>192</v>
      </c>
    </row>
    <row r="192" spans="1:36" s="276" customFormat="1" ht="20.25">
      <c r="A192" s="537" t="s">
        <v>633</v>
      </c>
      <c r="B192" s="796"/>
      <c r="C192" s="797"/>
      <c r="D192" s="544">
        <v>46124</v>
      </c>
      <c r="E192" s="319"/>
      <c r="F192" s="320"/>
      <c r="G192" s="320"/>
      <c r="H192" s="321"/>
      <c r="I192" s="321"/>
      <c r="J192" s="320"/>
      <c r="K192" s="351"/>
      <c r="L192" s="352"/>
      <c r="M192" s="353"/>
      <c r="N192" s="321"/>
      <c r="O192" s="321">
        <f>6*12</f>
        <v>72</v>
      </c>
      <c r="P192" s="582"/>
      <c r="Q192" s="321"/>
      <c r="R192" s="321"/>
      <c r="S192" s="321"/>
      <c r="T192" s="354"/>
      <c r="U192" s="352"/>
      <c r="V192" s="353"/>
      <c r="W192" s="321">
        <f>4*12</f>
        <v>48</v>
      </c>
      <c r="X192" s="321"/>
      <c r="Y192" s="321"/>
      <c r="Z192" s="321"/>
      <c r="AA192" s="321"/>
      <c r="AB192" s="321"/>
      <c r="AC192" s="380"/>
      <c r="AD192" s="352"/>
      <c r="AE192" s="408">
        <f t="shared" si="88"/>
        <v>120</v>
      </c>
      <c r="AF192" s="409"/>
      <c r="AG192" s="408"/>
      <c r="AH192" s="409">
        <f t="shared" si="89"/>
        <v>120</v>
      </c>
      <c r="AI192" s="410"/>
      <c r="AJ192" s="411">
        <f t="shared" si="90"/>
        <v>120</v>
      </c>
    </row>
    <row r="193" spans="1:36" s="234" customFormat="1" ht="20.25">
      <c r="A193" s="537" t="s">
        <v>634</v>
      </c>
      <c r="B193" s="796"/>
      <c r="C193" s="797"/>
      <c r="D193" s="544">
        <v>46124</v>
      </c>
      <c r="E193" s="319"/>
      <c r="F193" s="320"/>
      <c r="G193" s="320"/>
      <c r="H193" s="321"/>
      <c r="I193" s="321"/>
      <c r="J193" s="320"/>
      <c r="K193" s="351"/>
      <c r="L193" s="352"/>
      <c r="M193" s="353"/>
      <c r="N193" s="321"/>
      <c r="O193" s="321"/>
      <c r="P193" s="582"/>
      <c r="Q193" s="321"/>
      <c r="R193" s="321"/>
      <c r="S193" s="321"/>
      <c r="T193" s="354"/>
      <c r="U193" s="352"/>
      <c r="V193" s="353"/>
      <c r="W193" s="321">
        <f>18*12</f>
        <v>216</v>
      </c>
      <c r="X193" s="321"/>
      <c r="Y193" s="321"/>
      <c r="Z193" s="321"/>
      <c r="AA193" s="321"/>
      <c r="AB193" s="321"/>
      <c r="AC193" s="380"/>
      <c r="AD193" s="352"/>
      <c r="AE193" s="408">
        <f t="shared" si="87"/>
        <v>216</v>
      </c>
      <c r="AF193" s="409"/>
      <c r="AG193" s="408"/>
      <c r="AH193" s="409">
        <f t="shared" si="84"/>
        <v>216</v>
      </c>
      <c r="AI193" s="410"/>
      <c r="AJ193" s="411">
        <f t="shared" si="85"/>
        <v>216</v>
      </c>
    </row>
    <row r="194" spans="1:36" s="276" customFormat="1" ht="20.25">
      <c r="A194" s="537" t="s">
        <v>635</v>
      </c>
      <c r="B194" s="552"/>
      <c r="C194" s="553"/>
      <c r="D194" s="544">
        <v>46125</v>
      </c>
      <c r="E194" s="319"/>
      <c r="F194" s="320"/>
      <c r="G194" s="320"/>
      <c r="H194" s="321"/>
      <c r="I194" s="321"/>
      <c r="J194" s="320"/>
      <c r="K194" s="351"/>
      <c r="L194" s="352"/>
      <c r="M194" s="353">
        <f>2*12</f>
        <v>24</v>
      </c>
      <c r="N194" s="321"/>
      <c r="O194" s="321"/>
      <c r="P194" s="321"/>
      <c r="Q194" s="321"/>
      <c r="R194" s="321"/>
      <c r="S194" s="321"/>
      <c r="T194" s="363"/>
      <c r="U194" s="352"/>
      <c r="V194" s="353"/>
      <c r="W194" s="321">
        <f>2*12</f>
        <v>24</v>
      </c>
      <c r="X194" s="321"/>
      <c r="Y194" s="321"/>
      <c r="Z194" s="321"/>
      <c r="AA194" s="321"/>
      <c r="AB194" s="321"/>
      <c r="AC194" s="380"/>
      <c r="AD194" s="352"/>
      <c r="AE194" s="408">
        <f t="shared" ref="AE194" si="91">SUM(E194:AC194)</f>
        <v>48</v>
      </c>
      <c r="AF194" s="409"/>
      <c r="AG194" s="408"/>
      <c r="AH194" s="409">
        <f t="shared" ref="AH194" si="92">AE194+AF194+AG194</f>
        <v>48</v>
      </c>
      <c r="AI194" s="410"/>
      <c r="AJ194" s="411">
        <f t="shared" ref="AJ194" si="93">AH194+AI194</f>
        <v>48</v>
      </c>
    </row>
    <row r="195" spans="1:36" s="276" customFormat="1" ht="20.25">
      <c r="A195" s="561" t="s">
        <v>623</v>
      </c>
      <c r="B195" s="796"/>
      <c r="C195" s="797"/>
      <c r="D195" s="544">
        <v>45761</v>
      </c>
      <c r="E195" s="541"/>
      <c r="F195" s="542"/>
      <c r="G195" s="542"/>
      <c r="H195" s="543"/>
      <c r="I195" s="543"/>
      <c r="J195" s="542"/>
      <c r="K195" s="579"/>
      <c r="L195" s="580"/>
      <c r="M195" s="581">
        <f>1*12</f>
        <v>12</v>
      </c>
      <c r="N195" s="543"/>
      <c r="O195" s="543"/>
      <c r="P195" s="558"/>
      <c r="Q195" s="543"/>
      <c r="R195" s="543"/>
      <c r="S195" s="543"/>
      <c r="T195" s="863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87"/>
        <v>12</v>
      </c>
      <c r="AF195" s="594"/>
      <c r="AG195" s="593"/>
      <c r="AH195" s="594">
        <f t="shared" si="84"/>
        <v>12</v>
      </c>
      <c r="AI195" s="605"/>
      <c r="AJ195" s="606">
        <f t="shared" si="85"/>
        <v>12</v>
      </c>
    </row>
    <row r="196" spans="1:36" s="234" customFormat="1" ht="20.25">
      <c r="A196" s="561" t="s">
        <v>639</v>
      </c>
      <c r="B196" s="796"/>
      <c r="C196" s="797"/>
      <c r="D196" s="544">
        <v>45761</v>
      </c>
      <c r="E196" s="319"/>
      <c r="F196" s="320"/>
      <c r="G196" s="320"/>
      <c r="H196" s="321"/>
      <c r="I196" s="321"/>
      <c r="J196" s="320">
        <f>2*12</f>
        <v>24</v>
      </c>
      <c r="K196" s="351"/>
      <c r="L196" s="352"/>
      <c r="M196" s="353"/>
      <c r="N196" s="321"/>
      <c r="O196" s="321"/>
      <c r="P196" s="582"/>
      <c r="Q196" s="321"/>
      <c r="R196" s="321"/>
      <c r="S196" s="321"/>
      <c r="T196" s="354">
        <f>3*12</f>
        <v>36</v>
      </c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87"/>
        <v>60</v>
      </c>
      <c r="AF196" s="409"/>
      <c r="AG196" s="408"/>
      <c r="AH196" s="409">
        <f t="shared" si="84"/>
        <v>60</v>
      </c>
      <c r="AI196" s="410"/>
      <c r="AJ196" s="411">
        <f t="shared" si="85"/>
        <v>60</v>
      </c>
    </row>
    <row r="197" spans="1:36" s="276" customFormat="1" ht="20.25">
      <c r="A197" s="561" t="s">
        <v>627</v>
      </c>
      <c r="B197" s="548"/>
      <c r="C197" s="549"/>
      <c r="D197" s="544">
        <v>45763</v>
      </c>
      <c r="E197" s="861"/>
      <c r="F197" s="542"/>
      <c r="G197" s="542"/>
      <c r="H197" s="543"/>
      <c r="I197" s="543"/>
      <c r="J197" s="542"/>
      <c r="K197" s="579"/>
      <c r="L197" s="580"/>
      <c r="M197" s="581"/>
      <c r="N197" s="543"/>
      <c r="O197" s="543">
        <f>3*12</f>
        <v>36</v>
      </c>
      <c r="P197" s="558"/>
      <c r="Q197" s="543"/>
      <c r="R197" s="543"/>
      <c r="S197" s="543"/>
      <c r="T197" s="587"/>
      <c r="U197" s="580"/>
      <c r="V197" s="581"/>
      <c r="W197" s="543">
        <f>14*12</f>
        <v>168</v>
      </c>
      <c r="X197" s="543"/>
      <c r="Y197" s="543"/>
      <c r="Z197" s="543"/>
      <c r="AA197" s="543"/>
      <c r="AB197" s="543"/>
      <c r="AC197" s="592"/>
      <c r="AD197" s="580"/>
      <c r="AE197" s="593">
        <f t="shared" si="87"/>
        <v>204</v>
      </c>
      <c r="AF197" s="594"/>
      <c r="AG197" s="593"/>
      <c r="AH197" s="594">
        <f t="shared" si="84"/>
        <v>204</v>
      </c>
      <c r="AI197" s="605"/>
      <c r="AJ197" s="606">
        <f t="shared" si="85"/>
        <v>204</v>
      </c>
    </row>
    <row r="198" spans="1:36" s="234" customFormat="1" ht="20.25">
      <c r="A198" s="561" t="s">
        <v>624</v>
      </c>
      <c r="B198" s="552"/>
      <c r="C198" s="553"/>
      <c r="D198" s="544">
        <v>46129</v>
      </c>
      <c r="E198" s="319"/>
      <c r="F198" s="320"/>
      <c r="G198" s="320"/>
      <c r="H198" s="321"/>
      <c r="I198" s="321"/>
      <c r="J198" s="320"/>
      <c r="K198" s="351"/>
      <c r="L198" s="352"/>
      <c r="M198" s="353">
        <f>2*12</f>
        <v>24</v>
      </c>
      <c r="N198" s="321"/>
      <c r="O198" s="321"/>
      <c r="P198" s="321"/>
      <c r="Q198" s="321"/>
      <c r="R198" s="321"/>
      <c r="S198" s="321"/>
      <c r="T198" s="363"/>
      <c r="U198" s="352"/>
      <c r="V198" s="353"/>
      <c r="W198" s="321">
        <f>3*12</f>
        <v>36</v>
      </c>
      <c r="X198" s="321"/>
      <c r="Y198" s="321"/>
      <c r="Z198" s="321"/>
      <c r="AA198" s="321"/>
      <c r="AB198" s="321"/>
      <c r="AC198" s="380"/>
      <c r="AD198" s="352"/>
      <c r="AE198" s="408">
        <f t="shared" si="87"/>
        <v>60</v>
      </c>
      <c r="AF198" s="409"/>
      <c r="AG198" s="408"/>
      <c r="AH198" s="409">
        <f t="shared" si="84"/>
        <v>60</v>
      </c>
      <c r="AI198" s="410"/>
      <c r="AJ198" s="411">
        <f t="shared" si="85"/>
        <v>60</v>
      </c>
    </row>
    <row r="199" spans="1:36" s="276" customFormat="1" ht="20.25">
      <c r="A199" s="561" t="s">
        <v>619</v>
      </c>
      <c r="B199" s="550"/>
      <c r="C199" s="539"/>
      <c r="D199" s="555">
        <v>46130</v>
      </c>
      <c r="E199" s="319"/>
      <c r="F199" s="319"/>
      <c r="G199" s="320"/>
      <c r="H199" s="321"/>
      <c r="I199" s="321"/>
      <c r="J199" s="320"/>
      <c r="K199" s="351"/>
      <c r="L199" s="352"/>
      <c r="M199" s="353">
        <f>1*12</f>
        <v>12</v>
      </c>
      <c r="N199" s="321"/>
      <c r="O199" s="321"/>
      <c r="P199" s="321"/>
      <c r="Q199" s="321"/>
      <c r="R199" s="321"/>
      <c r="S199" s="321"/>
      <c r="T199" s="354"/>
      <c r="U199" s="352"/>
      <c r="V199" s="353"/>
      <c r="W199" s="321">
        <f>2*12</f>
        <v>24</v>
      </c>
      <c r="X199" s="321"/>
      <c r="Y199" s="321"/>
      <c r="Z199" s="321"/>
      <c r="AA199" s="321"/>
      <c r="AB199" s="321"/>
      <c r="AC199" s="380"/>
      <c r="AD199" s="352"/>
      <c r="AE199" s="408">
        <f t="shared" si="87"/>
        <v>36</v>
      </c>
      <c r="AF199" s="409"/>
      <c r="AG199" s="408"/>
      <c r="AH199" s="409">
        <f t="shared" si="84"/>
        <v>36</v>
      </c>
      <c r="AI199" s="410"/>
      <c r="AJ199" s="411">
        <f t="shared" si="85"/>
        <v>36</v>
      </c>
    </row>
    <row r="200" spans="1:36" s="276" customFormat="1" ht="21" thickBot="1">
      <c r="A200" s="547" t="s">
        <v>647</v>
      </c>
      <c r="B200" s="552"/>
      <c r="C200" s="553"/>
      <c r="D200" s="544">
        <v>46130</v>
      </c>
      <c r="E200" s="541"/>
      <c r="F200" s="541"/>
      <c r="G200" s="542"/>
      <c r="H200" s="543"/>
      <c r="I200" s="543"/>
      <c r="J200" s="542"/>
      <c r="K200" s="579"/>
      <c r="L200" s="580"/>
      <c r="M200" s="581"/>
      <c r="N200" s="543"/>
      <c r="O200" s="543"/>
      <c r="P200" s="543">
        <f>3*12</f>
        <v>36</v>
      </c>
      <c r="Q200" s="543"/>
      <c r="R200" s="543"/>
      <c r="S200" s="543"/>
      <c r="T200" s="587"/>
      <c r="U200" s="580"/>
      <c r="V200" s="581"/>
      <c r="W200" s="543">
        <f>5*12+3*12</f>
        <v>96</v>
      </c>
      <c r="X200" s="543"/>
      <c r="Y200" s="543"/>
      <c r="Z200" s="543"/>
      <c r="AA200" s="543"/>
      <c r="AB200" s="543"/>
      <c r="AC200" s="592"/>
      <c r="AD200" s="580"/>
      <c r="AE200" s="593">
        <f t="shared" si="87"/>
        <v>132</v>
      </c>
      <c r="AF200" s="594"/>
      <c r="AG200" s="593"/>
      <c r="AH200" s="594">
        <f t="shared" si="84"/>
        <v>132</v>
      </c>
      <c r="AI200" s="605"/>
      <c r="AJ200" s="606">
        <f t="shared" si="85"/>
        <v>132</v>
      </c>
    </row>
    <row r="201" spans="1:36" s="234" customFormat="1" ht="21" thickBot="1">
      <c r="A201" s="547" t="s">
        <v>653</v>
      </c>
      <c r="B201" s="552"/>
      <c r="C201" s="553"/>
      <c r="D201" s="2569">
        <v>46130</v>
      </c>
      <c r="E201" s="319"/>
      <c r="F201" s="319"/>
      <c r="G201" s="320"/>
      <c r="H201" s="321"/>
      <c r="I201" s="321"/>
      <c r="J201" s="320"/>
      <c r="K201" s="351"/>
      <c r="L201" s="352"/>
      <c r="M201" s="353">
        <f>16*12</f>
        <v>192</v>
      </c>
      <c r="N201" s="321"/>
      <c r="O201" s="321"/>
      <c r="P201" s="321">
        <f>4*12</f>
        <v>48</v>
      </c>
      <c r="Q201" s="321"/>
      <c r="R201" s="321"/>
      <c r="S201" s="321"/>
      <c r="T201" s="354"/>
      <c r="U201" s="352"/>
      <c r="V201" s="353"/>
      <c r="W201" s="321">
        <f>5*12+2*12</f>
        <v>84</v>
      </c>
      <c r="X201" s="321">
        <f>1*12</f>
        <v>12</v>
      </c>
      <c r="Y201" s="321"/>
      <c r="Z201" s="321"/>
      <c r="AA201" s="321"/>
      <c r="AB201" s="321"/>
      <c r="AC201" s="380"/>
      <c r="AD201" s="352"/>
      <c r="AE201" s="408">
        <f t="shared" si="87"/>
        <v>336</v>
      </c>
      <c r="AF201" s="409"/>
      <c r="AG201" s="408"/>
      <c r="AH201" s="409">
        <f t="shared" si="84"/>
        <v>336</v>
      </c>
      <c r="AI201" s="410"/>
      <c r="AJ201" s="411">
        <f t="shared" si="85"/>
        <v>336</v>
      </c>
    </row>
    <row r="202" spans="1:36" s="276" customFormat="1" ht="20.25">
      <c r="A202" s="547" t="s">
        <v>655</v>
      </c>
      <c r="B202" s="552"/>
      <c r="C202" s="553"/>
      <c r="D202" s="544">
        <v>46131</v>
      </c>
      <c r="E202" s="541"/>
      <c r="F202" s="541"/>
      <c r="G202" s="542"/>
      <c r="H202" s="543"/>
      <c r="I202" s="543"/>
      <c r="J202" s="542"/>
      <c r="K202" s="579"/>
      <c r="L202" s="580"/>
      <c r="M202" s="581">
        <f>2*12</f>
        <v>24</v>
      </c>
      <c r="N202" s="543"/>
      <c r="O202" s="543"/>
      <c r="P202" s="543"/>
      <c r="Q202" s="543"/>
      <c r="R202" s="543"/>
      <c r="S202" s="543"/>
      <c r="T202" s="587"/>
      <c r="U202" s="580"/>
      <c r="V202" s="581"/>
      <c r="W202" s="543">
        <f>2*12</f>
        <v>24</v>
      </c>
      <c r="X202" s="543"/>
      <c r="Y202" s="543"/>
      <c r="Z202" s="543"/>
      <c r="AA202" s="543"/>
      <c r="AB202" s="543"/>
      <c r="AC202" s="592"/>
      <c r="AD202" s="580"/>
      <c r="AE202" s="593">
        <f t="shared" si="87"/>
        <v>48</v>
      </c>
      <c r="AF202" s="594"/>
      <c r="AG202" s="593"/>
      <c r="AH202" s="594">
        <f t="shared" si="84"/>
        <v>48</v>
      </c>
      <c r="AI202" s="605"/>
      <c r="AJ202" s="606">
        <f t="shared" si="85"/>
        <v>48</v>
      </c>
    </row>
    <row r="203" spans="1:36" s="276" customFormat="1" ht="22.5" customHeight="1">
      <c r="A203" s="547" t="s">
        <v>634</v>
      </c>
      <c r="B203" s="552"/>
      <c r="C203" s="553"/>
      <c r="D203" s="544">
        <v>46131</v>
      </c>
      <c r="E203" s="319"/>
      <c r="F203" s="319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>
        <f>10*12</f>
        <v>120</v>
      </c>
      <c r="X203" s="321"/>
      <c r="Y203" s="321"/>
      <c r="Z203" s="321"/>
      <c r="AA203" s="321"/>
      <c r="AB203" s="321"/>
      <c r="AC203" s="380"/>
      <c r="AD203" s="352"/>
      <c r="AE203" s="408">
        <f t="shared" si="87"/>
        <v>120</v>
      </c>
      <c r="AF203" s="409"/>
      <c r="AG203" s="408"/>
      <c r="AH203" s="409">
        <f t="shared" si="84"/>
        <v>120</v>
      </c>
      <c r="AI203" s="410"/>
      <c r="AJ203" s="411">
        <f t="shared" si="85"/>
        <v>120</v>
      </c>
    </row>
    <row r="204" spans="1:36" s="234" customFormat="1" ht="20.25">
      <c r="A204" s="561" t="s">
        <v>656</v>
      </c>
      <c r="B204" s="552"/>
      <c r="C204" s="553"/>
      <c r="D204" s="544">
        <v>46131</v>
      </c>
      <c r="E204" s="541"/>
      <c r="F204" s="541"/>
      <c r="G204" s="542"/>
      <c r="H204" s="543"/>
      <c r="I204" s="543"/>
      <c r="J204" s="542"/>
      <c r="K204" s="579"/>
      <c r="L204" s="580"/>
      <c r="M204" s="581">
        <f>2*12</f>
        <v>24</v>
      </c>
      <c r="N204" s="543"/>
      <c r="O204" s="543"/>
      <c r="P204" s="543"/>
      <c r="Q204" s="543"/>
      <c r="R204" s="543"/>
      <c r="S204" s="543"/>
      <c r="T204" s="587"/>
      <c r="U204" s="580"/>
      <c r="V204" s="581"/>
      <c r="W204" s="543">
        <f>3*12</f>
        <v>36</v>
      </c>
      <c r="X204" s="543"/>
      <c r="Y204" s="543"/>
      <c r="Z204" s="543"/>
      <c r="AA204" s="543"/>
      <c r="AB204" s="543"/>
      <c r="AC204" s="592"/>
      <c r="AD204" s="580"/>
      <c r="AE204" s="593">
        <f t="shared" si="87"/>
        <v>60</v>
      </c>
      <c r="AF204" s="594"/>
      <c r="AG204" s="593"/>
      <c r="AH204" s="594">
        <f t="shared" si="84"/>
        <v>60</v>
      </c>
      <c r="AI204" s="605"/>
      <c r="AJ204" s="606">
        <f t="shared" si="85"/>
        <v>60</v>
      </c>
    </row>
    <row r="205" spans="1:36" s="276" customFormat="1" ht="20.25">
      <c r="A205" s="547" t="s">
        <v>658</v>
      </c>
      <c r="B205" s="552"/>
      <c r="C205" s="553"/>
      <c r="D205" s="559">
        <v>46132</v>
      </c>
      <c r="E205" s="541"/>
      <c r="F205" s="542"/>
      <c r="G205" s="542"/>
      <c r="H205" s="543"/>
      <c r="I205" s="543"/>
      <c r="J205" s="542"/>
      <c r="K205" s="579"/>
      <c r="L205" s="580"/>
      <c r="M205" s="581">
        <f>3*12</f>
        <v>36</v>
      </c>
      <c r="N205" s="543"/>
      <c r="O205" s="543">
        <f>5*12</f>
        <v>60</v>
      </c>
      <c r="P205" s="543"/>
      <c r="Q205" s="543"/>
      <c r="R205" s="543"/>
      <c r="S205" s="543"/>
      <c r="T205" s="767"/>
      <c r="U205" s="580"/>
      <c r="V205" s="581"/>
      <c r="W205" s="543">
        <f>5*12</f>
        <v>60</v>
      </c>
      <c r="X205" s="543"/>
      <c r="Y205" s="543"/>
      <c r="Z205" s="543"/>
      <c r="AA205" s="543"/>
      <c r="AB205" s="543"/>
      <c r="AC205" s="592"/>
      <c r="AD205" s="580"/>
      <c r="AE205" s="593">
        <f t="shared" si="87"/>
        <v>156</v>
      </c>
      <c r="AF205" s="594"/>
      <c r="AG205" s="593"/>
      <c r="AH205" s="594">
        <f t="shared" si="84"/>
        <v>156</v>
      </c>
      <c r="AI205" s="605"/>
      <c r="AJ205" s="606">
        <f t="shared" si="85"/>
        <v>156</v>
      </c>
    </row>
    <row r="206" spans="1:36" s="234" customFormat="1" ht="20.25">
      <c r="A206" s="547" t="s">
        <v>659</v>
      </c>
      <c r="B206" s="552"/>
      <c r="C206" s="553"/>
      <c r="D206" s="544">
        <v>46132</v>
      </c>
      <c r="E206" s="319"/>
      <c r="F206" s="320"/>
      <c r="G206" s="320"/>
      <c r="H206" s="321"/>
      <c r="I206" s="321"/>
      <c r="J206" s="320"/>
      <c r="K206" s="351"/>
      <c r="L206" s="352"/>
      <c r="M206" s="353">
        <f>4*12</f>
        <v>48</v>
      </c>
      <c r="N206" s="321"/>
      <c r="O206" s="321">
        <f>3*12</f>
        <v>36</v>
      </c>
      <c r="P206" s="321"/>
      <c r="Q206" s="321"/>
      <c r="R206" s="321"/>
      <c r="S206" s="321"/>
      <c r="T206" s="354"/>
      <c r="U206" s="352"/>
      <c r="V206" s="353"/>
      <c r="W206" s="321">
        <f>3*12</f>
        <v>36</v>
      </c>
      <c r="X206" s="321"/>
      <c r="Y206" s="321"/>
      <c r="Z206" s="321"/>
      <c r="AA206" s="321"/>
      <c r="AB206" s="321"/>
      <c r="AC206" s="380"/>
      <c r="AD206" s="352"/>
      <c r="AE206" s="408">
        <f t="shared" si="87"/>
        <v>120</v>
      </c>
      <c r="AF206" s="409"/>
      <c r="AG206" s="408"/>
      <c r="AH206" s="409">
        <f t="shared" si="84"/>
        <v>120</v>
      </c>
      <c r="AI206" s="410"/>
      <c r="AJ206" s="411">
        <f t="shared" si="85"/>
        <v>120</v>
      </c>
    </row>
    <row r="207" spans="1:36" s="276" customFormat="1" ht="20.25">
      <c r="A207" s="547" t="s">
        <v>660</v>
      </c>
      <c r="B207" s="552"/>
      <c r="C207" s="553"/>
      <c r="D207" s="544">
        <v>46133</v>
      </c>
      <c r="E207" s="541"/>
      <c r="F207" s="542"/>
      <c r="G207" s="542"/>
      <c r="H207" s="543"/>
      <c r="I207" s="543"/>
      <c r="J207" s="542"/>
      <c r="K207" s="579"/>
      <c r="L207" s="580"/>
      <c r="M207" s="581">
        <f>3*12</f>
        <v>36</v>
      </c>
      <c r="N207" s="543"/>
      <c r="O207" s="543">
        <f>2*12</f>
        <v>24</v>
      </c>
      <c r="P207" s="543"/>
      <c r="Q207" s="543"/>
      <c r="R207" s="543"/>
      <c r="S207" s="543"/>
      <c r="T207" s="767"/>
      <c r="U207" s="580"/>
      <c r="V207" s="581"/>
      <c r="W207" s="543">
        <f>2*12</f>
        <v>24</v>
      </c>
      <c r="X207" s="543"/>
      <c r="Y207" s="543"/>
      <c r="Z207" s="543"/>
      <c r="AA207" s="543"/>
      <c r="AB207" s="543"/>
      <c r="AC207" s="592"/>
      <c r="AD207" s="580"/>
      <c r="AE207" s="593">
        <f t="shared" si="87"/>
        <v>84</v>
      </c>
      <c r="AF207" s="594"/>
      <c r="AG207" s="593"/>
      <c r="AH207" s="594">
        <f t="shared" si="84"/>
        <v>84</v>
      </c>
      <c r="AI207" s="605"/>
      <c r="AJ207" s="606">
        <f t="shared" si="85"/>
        <v>84</v>
      </c>
    </row>
    <row r="208" spans="1:36" s="234" customFormat="1" ht="17.25" customHeight="1">
      <c r="A208" s="547" t="s">
        <v>661</v>
      </c>
      <c r="B208" s="552"/>
      <c r="C208" s="553"/>
      <c r="D208" s="544">
        <v>46133</v>
      </c>
      <c r="E208" s="319"/>
      <c r="F208" s="320"/>
      <c r="G208" s="320"/>
      <c r="H208" s="321"/>
      <c r="I208" s="321"/>
      <c r="J208" s="320"/>
      <c r="K208" s="351"/>
      <c r="L208" s="352"/>
      <c r="M208" s="353"/>
      <c r="N208" s="321"/>
      <c r="O208" s="321"/>
      <c r="P208" s="321"/>
      <c r="Q208" s="321"/>
      <c r="R208" s="321"/>
      <c r="S208" s="321"/>
      <c r="T208" s="354"/>
      <c r="U208" s="352"/>
      <c r="V208" s="353"/>
      <c r="W208" s="321">
        <f>2*12</f>
        <v>24</v>
      </c>
      <c r="X208" s="321"/>
      <c r="Y208" s="321"/>
      <c r="Z208" s="321"/>
      <c r="AA208" s="321"/>
      <c r="AB208" s="321"/>
      <c r="AC208" s="380"/>
      <c r="AD208" s="352"/>
      <c r="AE208" s="408">
        <f t="shared" si="87"/>
        <v>24</v>
      </c>
      <c r="AF208" s="409"/>
      <c r="AG208" s="408"/>
      <c r="AH208" s="409">
        <f t="shared" si="84"/>
        <v>24</v>
      </c>
      <c r="AI208" s="410"/>
      <c r="AJ208" s="411">
        <f t="shared" si="85"/>
        <v>24</v>
      </c>
    </row>
    <row r="209" spans="1:36" s="276" customFormat="1" ht="20.25">
      <c r="A209" s="547" t="s">
        <v>623</v>
      </c>
      <c r="B209" s="563"/>
      <c r="C209" s="553"/>
      <c r="D209" s="544">
        <v>46133</v>
      </c>
      <c r="E209" s="541"/>
      <c r="F209" s="542"/>
      <c r="G209" s="542"/>
      <c r="H209" s="543"/>
      <c r="I209" s="543"/>
      <c r="J209" s="542"/>
      <c r="K209" s="579"/>
      <c r="L209" s="580"/>
      <c r="M209" s="581"/>
      <c r="N209" s="543"/>
      <c r="O209" s="543"/>
      <c r="P209" s="543"/>
      <c r="Q209" s="543"/>
      <c r="R209" s="543"/>
      <c r="S209" s="543"/>
      <c r="T209" s="587"/>
      <c r="U209" s="580"/>
      <c r="V209" s="581"/>
      <c r="W209" s="543">
        <f>2*12</f>
        <v>24</v>
      </c>
      <c r="X209" s="543"/>
      <c r="Y209" s="543"/>
      <c r="Z209" s="543"/>
      <c r="AA209" s="543"/>
      <c r="AB209" s="543"/>
      <c r="AC209" s="592"/>
      <c r="AD209" s="580"/>
      <c r="AE209" s="593">
        <f t="shared" si="87"/>
        <v>24</v>
      </c>
      <c r="AF209" s="594"/>
      <c r="AG209" s="593"/>
      <c r="AH209" s="594">
        <f t="shared" si="84"/>
        <v>24</v>
      </c>
      <c r="AI209" s="605"/>
      <c r="AJ209" s="606">
        <f t="shared" si="85"/>
        <v>24</v>
      </c>
    </row>
    <row r="210" spans="1:36" s="234" customFormat="1" ht="20.25">
      <c r="A210" s="551" t="s">
        <v>634</v>
      </c>
      <c r="B210" s="552"/>
      <c r="C210" s="553"/>
      <c r="D210" s="544">
        <v>46133</v>
      </c>
      <c r="E210" s="541"/>
      <c r="F210" s="542"/>
      <c r="G210" s="542"/>
      <c r="H210" s="543"/>
      <c r="I210" s="543"/>
      <c r="J210" s="542"/>
      <c r="K210" s="579"/>
      <c r="L210" s="580"/>
      <c r="M210" s="581"/>
      <c r="N210" s="543"/>
      <c r="O210" s="543"/>
      <c r="P210" s="543"/>
      <c r="Q210" s="543"/>
      <c r="R210" s="543"/>
      <c r="S210" s="543"/>
      <c r="T210" s="587"/>
      <c r="U210" s="580"/>
      <c r="V210" s="581"/>
      <c r="W210" s="543">
        <f>4*12</f>
        <v>48</v>
      </c>
      <c r="X210" s="543"/>
      <c r="Y210" s="543"/>
      <c r="Z210" s="543"/>
      <c r="AA210" s="543"/>
      <c r="AB210" s="543"/>
      <c r="AC210" s="592"/>
      <c r="AD210" s="580"/>
      <c r="AE210" s="593">
        <f t="shared" si="87"/>
        <v>48</v>
      </c>
      <c r="AF210" s="594"/>
      <c r="AG210" s="593"/>
      <c r="AH210" s="594">
        <f t="shared" si="84"/>
        <v>48</v>
      </c>
      <c r="AI210" s="605"/>
      <c r="AJ210" s="606">
        <f t="shared" si="85"/>
        <v>48</v>
      </c>
    </row>
    <row r="211" spans="1:36" s="276" customFormat="1" ht="20.25">
      <c r="A211" s="537" t="s">
        <v>664</v>
      </c>
      <c r="B211" s="538"/>
      <c r="C211" s="3079"/>
      <c r="D211" s="544">
        <v>46134</v>
      </c>
      <c r="E211" s="319"/>
      <c r="F211" s="320"/>
      <c r="G211" s="320"/>
      <c r="H211" s="321"/>
      <c r="I211" s="321"/>
      <c r="J211" s="320"/>
      <c r="K211" s="351"/>
      <c r="L211" s="352"/>
      <c r="M211" s="353"/>
      <c r="N211" s="321"/>
      <c r="O211" s="321">
        <f>2*12</f>
        <v>24</v>
      </c>
      <c r="P211" s="321"/>
      <c r="Q211" s="321"/>
      <c r="R211" s="321"/>
      <c r="S211" s="321"/>
      <c r="T211" s="354"/>
      <c r="U211" s="352"/>
      <c r="V211" s="353"/>
      <c r="W211" s="321">
        <f>4*12</f>
        <v>48</v>
      </c>
      <c r="X211" s="321"/>
      <c r="Y211" s="321"/>
      <c r="Z211" s="321"/>
      <c r="AA211" s="321"/>
      <c r="AB211" s="321"/>
      <c r="AC211" s="380"/>
      <c r="AD211" s="352"/>
      <c r="AE211" s="408">
        <f t="shared" si="87"/>
        <v>72</v>
      </c>
      <c r="AF211" s="409"/>
      <c r="AG211" s="408"/>
      <c r="AH211" s="409">
        <f t="shared" si="84"/>
        <v>72</v>
      </c>
      <c r="AI211" s="410"/>
      <c r="AJ211" s="411">
        <f t="shared" si="85"/>
        <v>72</v>
      </c>
    </row>
    <row r="212" spans="1:36" s="234" customFormat="1" ht="26.25">
      <c r="A212" s="561" t="s">
        <v>665</v>
      </c>
      <c r="B212" s="552"/>
      <c r="C212" s="553"/>
      <c r="D212" s="544">
        <v>46134</v>
      </c>
      <c r="E212" s="541"/>
      <c r="F212" s="542"/>
      <c r="G212" s="542"/>
      <c r="H212" s="543"/>
      <c r="I212" s="543"/>
      <c r="J212" s="542"/>
      <c r="K212" s="579"/>
      <c r="L212" s="580"/>
      <c r="M212" s="581"/>
      <c r="N212" s="543"/>
      <c r="O212" s="543">
        <f>8*12</f>
        <v>96</v>
      </c>
      <c r="P212" s="543"/>
      <c r="Q212" s="543"/>
      <c r="R212" s="543"/>
      <c r="S212" s="543"/>
      <c r="T212" s="863"/>
      <c r="U212" s="580"/>
      <c r="V212" s="581"/>
      <c r="W212" s="543"/>
      <c r="X212" s="543"/>
      <c r="Y212" s="543"/>
      <c r="Z212" s="864"/>
      <c r="AA212" s="543"/>
      <c r="AB212" s="543"/>
      <c r="AC212" s="592"/>
      <c r="AD212" s="580"/>
      <c r="AE212" s="593">
        <f t="shared" si="87"/>
        <v>96</v>
      </c>
      <c r="AF212" s="594"/>
      <c r="AG212" s="593"/>
      <c r="AH212" s="594">
        <f t="shared" si="84"/>
        <v>96</v>
      </c>
      <c r="AI212" s="605"/>
      <c r="AJ212" s="606">
        <f t="shared" si="85"/>
        <v>96</v>
      </c>
    </row>
    <row r="213" spans="1:36" s="234" customFormat="1" ht="26.25">
      <c r="A213" s="547" t="s">
        <v>621</v>
      </c>
      <c r="B213" s="550"/>
      <c r="C213" s="549"/>
      <c r="D213" s="544">
        <v>46134</v>
      </c>
      <c r="E213" s="541"/>
      <c r="F213" s="542"/>
      <c r="G213" s="542"/>
      <c r="H213" s="543"/>
      <c r="I213" s="543"/>
      <c r="J213" s="542"/>
      <c r="K213" s="579"/>
      <c r="L213" s="580"/>
      <c r="M213" s="581">
        <f>12*12</f>
        <v>144</v>
      </c>
      <c r="N213" s="543"/>
      <c r="O213" s="543">
        <f>12*12</f>
        <v>144</v>
      </c>
      <c r="P213" s="543"/>
      <c r="Q213" s="543"/>
      <c r="R213" s="543"/>
      <c r="S213" s="543"/>
      <c r="T213" s="863"/>
      <c r="U213" s="580"/>
      <c r="V213" s="581"/>
      <c r="W213" s="543"/>
      <c r="X213" s="543">
        <f>3*12</f>
        <v>36</v>
      </c>
      <c r="Y213" s="543"/>
      <c r="Z213" s="598"/>
      <c r="AA213" s="543"/>
      <c r="AB213" s="543"/>
      <c r="AC213" s="592"/>
      <c r="AD213" s="580"/>
      <c r="AE213" s="593">
        <f t="shared" si="87"/>
        <v>324</v>
      </c>
      <c r="AF213" s="594"/>
      <c r="AG213" s="593"/>
      <c r="AH213" s="594">
        <f t="shared" si="84"/>
        <v>324</v>
      </c>
      <c r="AI213" s="605"/>
      <c r="AJ213" s="606">
        <f t="shared" si="85"/>
        <v>324</v>
      </c>
    </row>
    <row r="214" spans="1:36" s="276" customFormat="1" ht="20.25">
      <c r="A214" s="537" t="s">
        <v>668</v>
      </c>
      <c r="B214" s="538"/>
      <c r="C214" s="539"/>
      <c r="D214" s="544">
        <v>46135</v>
      </c>
      <c r="E214" s="319"/>
      <c r="F214" s="320"/>
      <c r="G214" s="320"/>
      <c r="H214" s="321"/>
      <c r="I214" s="321"/>
      <c r="J214" s="320"/>
      <c r="K214" s="351"/>
      <c r="L214" s="352"/>
      <c r="M214" s="353"/>
      <c r="N214" s="321"/>
      <c r="O214" s="321">
        <f>4*12</f>
        <v>48</v>
      </c>
      <c r="P214" s="321"/>
      <c r="Q214" s="321"/>
      <c r="R214" s="321"/>
      <c r="S214" s="321"/>
      <c r="T214" s="363"/>
      <c r="U214" s="352"/>
      <c r="V214" s="353"/>
      <c r="W214" s="321">
        <f>4*12</f>
        <v>48</v>
      </c>
      <c r="X214" s="321"/>
      <c r="Y214" s="321"/>
      <c r="Z214" s="543"/>
      <c r="AA214" s="321"/>
      <c r="AB214" s="321"/>
      <c r="AC214" s="380"/>
      <c r="AD214" s="352"/>
      <c r="AE214" s="408">
        <f t="shared" si="87"/>
        <v>96</v>
      </c>
      <c r="AF214" s="409"/>
      <c r="AG214" s="408"/>
      <c r="AH214" s="409">
        <f t="shared" si="84"/>
        <v>96</v>
      </c>
      <c r="AI214" s="410"/>
      <c r="AJ214" s="411">
        <f t="shared" si="85"/>
        <v>96</v>
      </c>
    </row>
    <row r="215" spans="1:36" s="276" customFormat="1" ht="20.25">
      <c r="A215" s="561"/>
      <c r="B215" s="1112"/>
      <c r="C215" s="1113"/>
      <c r="D215" s="1114"/>
      <c r="E215" s="541"/>
      <c r="F215" s="542"/>
      <c r="G215" s="542"/>
      <c r="H215" s="543"/>
      <c r="I215" s="543"/>
      <c r="J215" s="542"/>
      <c r="K215" s="579"/>
      <c r="L215" s="580"/>
      <c r="M215" s="581"/>
      <c r="N215" s="543"/>
      <c r="O215" s="543"/>
      <c r="P215" s="543"/>
      <c r="Q215" s="543"/>
      <c r="R215" s="543"/>
      <c r="S215" s="543"/>
      <c r="T215" s="767"/>
      <c r="U215" s="580"/>
      <c r="V215" s="581"/>
      <c r="W215" s="543"/>
      <c r="X215" s="543"/>
      <c r="Y215" s="543"/>
      <c r="Z215" s="543"/>
      <c r="AA215" s="543"/>
      <c r="AB215" s="543"/>
      <c r="AC215" s="592"/>
      <c r="AD215" s="580"/>
      <c r="AE215" s="593">
        <f t="shared" si="87"/>
        <v>0</v>
      </c>
      <c r="AF215" s="594"/>
      <c r="AG215" s="593"/>
      <c r="AH215" s="594">
        <f t="shared" si="84"/>
        <v>0</v>
      </c>
      <c r="AI215" s="605"/>
      <c r="AJ215" s="606">
        <f t="shared" si="85"/>
        <v>0</v>
      </c>
    </row>
    <row r="216" spans="1:36" s="234" customFormat="1" ht="20.25">
      <c r="A216" s="551" t="s">
        <v>627</v>
      </c>
      <c r="B216" s="1112"/>
      <c r="C216" s="1113"/>
      <c r="D216" s="1114">
        <v>46136</v>
      </c>
      <c r="E216" s="319"/>
      <c r="F216" s="320"/>
      <c r="G216" s="320"/>
      <c r="H216" s="321"/>
      <c r="I216" s="321"/>
      <c r="J216" s="320"/>
      <c r="K216" s="351"/>
      <c r="L216" s="352"/>
      <c r="M216" s="353"/>
      <c r="N216" s="321"/>
      <c r="O216" s="321">
        <f>8*12</f>
        <v>96</v>
      </c>
      <c r="P216" s="321"/>
      <c r="Q216" s="321"/>
      <c r="R216" s="321"/>
      <c r="S216" s="321"/>
      <c r="T216" s="363"/>
      <c r="U216" s="352"/>
      <c r="V216" s="353"/>
      <c r="W216" s="321">
        <f>10*12</f>
        <v>120</v>
      </c>
      <c r="X216" s="321"/>
      <c r="Y216" s="321"/>
      <c r="Z216" s="321"/>
      <c r="AA216" s="321"/>
      <c r="AB216" s="321"/>
      <c r="AC216" s="380"/>
      <c r="AD216" s="352"/>
      <c r="AE216" s="408">
        <f t="shared" si="87"/>
        <v>216</v>
      </c>
      <c r="AF216" s="409"/>
      <c r="AG216" s="408"/>
      <c r="AH216" s="409">
        <f t="shared" si="84"/>
        <v>216</v>
      </c>
      <c r="AI216" s="410"/>
      <c r="AJ216" s="411">
        <f t="shared" si="85"/>
        <v>216</v>
      </c>
    </row>
    <row r="217" spans="1:36" s="276" customFormat="1" ht="20.25">
      <c r="A217" s="551" t="s">
        <v>672</v>
      </c>
      <c r="B217" s="552"/>
      <c r="C217" s="553"/>
      <c r="D217" s="544">
        <v>46136</v>
      </c>
      <c r="E217" s="541"/>
      <c r="F217" s="542"/>
      <c r="G217" s="542"/>
      <c r="H217" s="543"/>
      <c r="I217" s="543"/>
      <c r="J217" s="542"/>
      <c r="K217" s="579"/>
      <c r="L217" s="580"/>
      <c r="M217" s="581"/>
      <c r="N217" s="543"/>
      <c r="O217" s="543"/>
      <c r="P217" s="543"/>
      <c r="Q217" s="543"/>
      <c r="R217" s="543"/>
      <c r="S217" s="543"/>
      <c r="T217" s="767"/>
      <c r="U217" s="580"/>
      <c r="V217" s="581"/>
      <c r="W217" s="543">
        <f>14*12</f>
        <v>168</v>
      </c>
      <c r="X217" s="543">
        <f>1*12</f>
        <v>12</v>
      </c>
      <c r="Y217" s="543"/>
      <c r="Z217" s="543"/>
      <c r="AA217" s="543"/>
      <c r="AB217" s="543"/>
      <c r="AC217" s="592"/>
      <c r="AD217" s="580"/>
      <c r="AE217" s="593">
        <f t="shared" si="87"/>
        <v>180</v>
      </c>
      <c r="AF217" s="594"/>
      <c r="AG217" s="593"/>
      <c r="AH217" s="594">
        <f t="shared" si="84"/>
        <v>180</v>
      </c>
      <c r="AI217" s="605"/>
      <c r="AJ217" s="606">
        <f t="shared" si="85"/>
        <v>180</v>
      </c>
    </row>
    <row r="218" spans="1:36" s="276" customFormat="1" ht="20.25">
      <c r="A218" s="547" t="s">
        <v>674</v>
      </c>
      <c r="B218" s="550"/>
      <c r="C218" s="549"/>
      <c r="D218" s="544">
        <v>46137</v>
      </c>
      <c r="E218" s="319"/>
      <c r="F218" s="320"/>
      <c r="G218" s="320"/>
      <c r="H218" s="321"/>
      <c r="I218" s="321"/>
      <c r="J218" s="320"/>
      <c r="K218" s="351"/>
      <c r="L218" s="352"/>
      <c r="M218" s="353"/>
      <c r="N218" s="321"/>
      <c r="O218" s="321">
        <f>15*12</f>
        <v>180</v>
      </c>
      <c r="P218" s="321"/>
      <c r="Q218" s="321"/>
      <c r="R218" s="321"/>
      <c r="S218" s="321"/>
      <c r="T218" s="363"/>
      <c r="U218" s="352"/>
      <c r="V218" s="353"/>
      <c r="W218" s="321">
        <f>15*12</f>
        <v>180</v>
      </c>
      <c r="X218" s="321"/>
      <c r="Y218" s="321"/>
      <c r="Z218" s="321"/>
      <c r="AA218" s="321"/>
      <c r="AB218" s="321"/>
      <c r="AC218" s="380"/>
      <c r="AD218" s="352"/>
      <c r="AE218" s="408">
        <f t="shared" si="87"/>
        <v>360</v>
      </c>
      <c r="AF218" s="409"/>
      <c r="AG218" s="408"/>
      <c r="AH218" s="409">
        <f t="shared" si="84"/>
        <v>360</v>
      </c>
      <c r="AI218" s="410"/>
      <c r="AJ218" s="411">
        <f t="shared" si="85"/>
        <v>360</v>
      </c>
    </row>
    <row r="219" spans="1:36" s="276" customFormat="1" ht="20.25">
      <c r="A219" s="547" t="s">
        <v>676</v>
      </c>
      <c r="B219" s="550"/>
      <c r="C219" s="549"/>
      <c r="D219" s="544">
        <v>46138</v>
      </c>
      <c r="E219" s="541"/>
      <c r="F219" s="542"/>
      <c r="G219" s="542"/>
      <c r="H219" s="543"/>
      <c r="I219" s="543"/>
      <c r="J219" s="542"/>
      <c r="K219" s="579"/>
      <c r="L219" s="580"/>
      <c r="M219" s="581"/>
      <c r="N219" s="543"/>
      <c r="O219" s="543">
        <f>9*12</f>
        <v>108</v>
      </c>
      <c r="P219" s="543"/>
      <c r="Q219" s="543">
        <f>3*12</f>
        <v>36</v>
      </c>
      <c r="R219" s="543"/>
      <c r="S219" s="543"/>
      <c r="T219" s="767"/>
      <c r="U219" s="580"/>
      <c r="V219" s="581"/>
      <c r="W219" s="543">
        <f>7*12</f>
        <v>84</v>
      </c>
      <c r="X219" s="543"/>
      <c r="Y219" s="543"/>
      <c r="Z219" s="543"/>
      <c r="AA219" s="543"/>
      <c r="AB219" s="543"/>
      <c r="AC219" s="592"/>
      <c r="AD219" s="580"/>
      <c r="AE219" s="593">
        <f t="shared" si="87"/>
        <v>228</v>
      </c>
      <c r="AF219" s="594"/>
      <c r="AG219" s="593"/>
      <c r="AH219" s="594">
        <f t="shared" si="84"/>
        <v>228</v>
      </c>
      <c r="AI219" s="605"/>
      <c r="AJ219" s="606">
        <f t="shared" si="85"/>
        <v>228</v>
      </c>
    </row>
    <row r="220" spans="1:36" s="234" customFormat="1" ht="20.25">
      <c r="A220" s="537" t="s">
        <v>629</v>
      </c>
      <c r="B220" s="550"/>
      <c r="C220" s="549"/>
      <c r="D220" s="544">
        <v>46138</v>
      </c>
      <c r="E220" s="541"/>
      <c r="F220" s="542"/>
      <c r="G220" s="542"/>
      <c r="H220" s="543"/>
      <c r="I220" s="543"/>
      <c r="J220" s="542"/>
      <c r="K220" s="579"/>
      <c r="L220" s="580"/>
      <c r="M220" s="581">
        <f>15*12</f>
        <v>180</v>
      </c>
      <c r="N220" s="543"/>
      <c r="O220" s="543"/>
      <c r="P220" s="543"/>
      <c r="Q220" s="543"/>
      <c r="R220" s="543"/>
      <c r="S220" s="543"/>
      <c r="T220" s="587"/>
      <c r="U220" s="580"/>
      <c r="V220" s="581"/>
      <c r="W220" s="543"/>
      <c r="X220" s="543"/>
      <c r="Y220" s="543"/>
      <c r="Z220" s="543"/>
      <c r="AA220" s="543"/>
      <c r="AB220" s="543"/>
      <c r="AC220" s="592"/>
      <c r="AD220" s="580"/>
      <c r="AE220" s="593">
        <f t="shared" ref="AE220:AE221" si="94">SUM(E220:AC220)</f>
        <v>180</v>
      </c>
      <c r="AF220" s="594"/>
      <c r="AG220" s="593"/>
      <c r="AH220" s="594">
        <f t="shared" ref="AH220:AH221" si="95">AE220+AF220+AG220</f>
        <v>180</v>
      </c>
      <c r="AI220" s="605"/>
      <c r="AJ220" s="606">
        <f t="shared" ref="AJ220:AJ221" si="96">AH220+AI220</f>
        <v>180</v>
      </c>
    </row>
    <row r="221" spans="1:36" s="276" customFormat="1" ht="20.25">
      <c r="A221" s="547" t="s">
        <v>677</v>
      </c>
      <c r="B221" s="550"/>
      <c r="C221" s="549"/>
      <c r="D221" s="544">
        <v>46138</v>
      </c>
      <c r="E221" s="541"/>
      <c r="F221" s="542"/>
      <c r="G221" s="542"/>
      <c r="H221" s="543"/>
      <c r="I221" s="543"/>
      <c r="J221" s="542"/>
      <c r="K221" s="579"/>
      <c r="L221" s="580"/>
      <c r="M221" s="581">
        <f>5*12</f>
        <v>60</v>
      </c>
      <c r="N221" s="543"/>
      <c r="O221" s="543"/>
      <c r="P221" s="543"/>
      <c r="Q221" s="543"/>
      <c r="R221" s="543"/>
      <c r="S221" s="543"/>
      <c r="T221" s="587"/>
      <c r="U221" s="580"/>
      <c r="V221" s="581"/>
      <c r="W221" s="543">
        <f>12*12</f>
        <v>144</v>
      </c>
      <c r="X221" s="543"/>
      <c r="Y221" s="543"/>
      <c r="Z221" s="543"/>
      <c r="AA221" s="543"/>
      <c r="AB221" s="543"/>
      <c r="AC221" s="592"/>
      <c r="AD221" s="580"/>
      <c r="AE221" s="593">
        <f t="shared" si="94"/>
        <v>204</v>
      </c>
      <c r="AF221" s="594"/>
      <c r="AG221" s="593"/>
      <c r="AH221" s="594">
        <f t="shared" si="95"/>
        <v>204</v>
      </c>
      <c r="AI221" s="605"/>
      <c r="AJ221" s="606">
        <f t="shared" si="96"/>
        <v>204</v>
      </c>
    </row>
    <row r="222" spans="1:36" s="276" customFormat="1" ht="20.25">
      <c r="A222" s="551" t="s">
        <v>634</v>
      </c>
      <c r="B222" s="550"/>
      <c r="C222" s="549"/>
      <c r="D222" s="544">
        <v>46138</v>
      </c>
      <c r="E222" s="319"/>
      <c r="F222" s="320"/>
      <c r="G222" s="320"/>
      <c r="H222" s="321"/>
      <c r="I222" s="321"/>
      <c r="J222" s="320"/>
      <c r="K222" s="351"/>
      <c r="L222" s="352"/>
      <c r="M222" s="353"/>
      <c r="N222" s="321"/>
      <c r="O222" s="321"/>
      <c r="P222" s="321"/>
      <c r="Q222" s="321"/>
      <c r="R222" s="321"/>
      <c r="S222" s="321"/>
      <c r="T222" s="363"/>
      <c r="U222" s="352"/>
      <c r="V222" s="353"/>
      <c r="W222" s="321">
        <f>5*12</f>
        <v>60</v>
      </c>
      <c r="X222" s="321"/>
      <c r="Y222" s="321"/>
      <c r="Z222" s="321"/>
      <c r="AA222" s="321"/>
      <c r="AB222" s="321"/>
      <c r="AC222" s="380"/>
      <c r="AD222" s="352"/>
      <c r="AE222" s="408">
        <f t="shared" si="87"/>
        <v>60</v>
      </c>
      <c r="AF222" s="409"/>
      <c r="AG222" s="408"/>
      <c r="AH222" s="409">
        <f t="shared" si="84"/>
        <v>60</v>
      </c>
      <c r="AI222" s="410"/>
      <c r="AJ222" s="411">
        <f t="shared" si="85"/>
        <v>60</v>
      </c>
    </row>
    <row r="223" spans="1:36" s="234" customFormat="1" ht="20.25">
      <c r="A223" s="547" t="s">
        <v>683</v>
      </c>
      <c r="B223" s="550"/>
      <c r="C223" s="549"/>
      <c r="D223" s="544">
        <v>46140</v>
      </c>
      <c r="E223" s="541"/>
      <c r="F223" s="542"/>
      <c r="G223" s="542"/>
      <c r="H223" s="543"/>
      <c r="I223" s="543"/>
      <c r="J223" s="542"/>
      <c r="K223" s="579"/>
      <c r="L223" s="580"/>
      <c r="M223" s="581"/>
      <c r="N223" s="543"/>
      <c r="O223" s="543">
        <f>2*12</f>
        <v>24</v>
      </c>
      <c r="P223" s="543"/>
      <c r="Q223" s="543"/>
      <c r="R223" s="543"/>
      <c r="S223" s="543"/>
      <c r="T223" s="767"/>
      <c r="U223" s="580"/>
      <c r="V223" s="581"/>
      <c r="W223" s="543">
        <f>2*12</f>
        <v>24</v>
      </c>
      <c r="X223" s="543"/>
      <c r="Y223" s="543"/>
      <c r="Z223" s="543"/>
      <c r="AA223" s="543"/>
      <c r="AB223" s="543"/>
      <c r="AC223" s="592"/>
      <c r="AD223" s="580"/>
      <c r="AE223" s="593">
        <f t="shared" si="87"/>
        <v>48</v>
      </c>
      <c r="AF223" s="594"/>
      <c r="AG223" s="593"/>
      <c r="AH223" s="594">
        <f t="shared" si="84"/>
        <v>48</v>
      </c>
      <c r="AI223" s="605"/>
      <c r="AJ223" s="606">
        <f t="shared" si="85"/>
        <v>48</v>
      </c>
    </row>
    <row r="224" spans="1:36" s="276" customFormat="1" ht="20.25">
      <c r="A224" s="537" t="s">
        <v>684</v>
      </c>
      <c r="B224" s="550"/>
      <c r="C224" s="549"/>
      <c r="D224" s="544">
        <v>46140</v>
      </c>
      <c r="E224" s="319"/>
      <c r="F224" s="741"/>
      <c r="G224" s="320"/>
      <c r="H224" s="321"/>
      <c r="I224" s="321"/>
      <c r="J224" s="320"/>
      <c r="K224" s="351"/>
      <c r="L224" s="352"/>
      <c r="M224" s="353"/>
      <c r="N224" s="321"/>
      <c r="O224" s="321">
        <f>4*12+1*12</f>
        <v>60</v>
      </c>
      <c r="P224" s="321"/>
      <c r="Q224" s="321"/>
      <c r="R224" s="321"/>
      <c r="S224" s="321"/>
      <c r="T224" s="363"/>
      <c r="U224" s="352"/>
      <c r="V224" s="353"/>
      <c r="W224" s="321">
        <f>4*12</f>
        <v>48</v>
      </c>
      <c r="X224" s="321"/>
      <c r="Y224" s="321"/>
      <c r="Z224" s="321"/>
      <c r="AA224" s="321"/>
      <c r="AB224" s="321"/>
      <c r="AC224" s="380"/>
      <c r="AD224" s="352"/>
      <c r="AE224" s="408">
        <f t="shared" si="87"/>
        <v>108</v>
      </c>
      <c r="AF224" s="409"/>
      <c r="AG224" s="408"/>
      <c r="AH224" s="409">
        <f t="shared" si="84"/>
        <v>108</v>
      </c>
      <c r="AI224" s="410"/>
      <c r="AJ224" s="411">
        <f t="shared" si="85"/>
        <v>108</v>
      </c>
    </row>
    <row r="225" spans="1:36" s="234" customFormat="1" ht="20.25">
      <c r="A225" s="537" t="s">
        <v>639</v>
      </c>
      <c r="B225" s="550"/>
      <c r="C225" s="549"/>
      <c r="D225" s="544">
        <v>46140</v>
      </c>
      <c r="E225" s="319"/>
      <c r="F225" s="320"/>
      <c r="G225" s="320"/>
      <c r="H225" s="321"/>
      <c r="I225" s="321"/>
      <c r="J225" s="320"/>
      <c r="K225" s="351"/>
      <c r="L225" s="352"/>
      <c r="M225" s="353"/>
      <c r="N225" s="321"/>
      <c r="O225" s="321">
        <f>5*12</f>
        <v>60</v>
      </c>
      <c r="P225" s="321"/>
      <c r="Q225" s="321"/>
      <c r="R225" s="321">
        <f>1*12</f>
        <v>12</v>
      </c>
      <c r="S225" s="321"/>
      <c r="T225" s="354"/>
      <c r="U225" s="352"/>
      <c r="V225" s="353"/>
      <c r="W225" s="321">
        <f>7*12</f>
        <v>84</v>
      </c>
      <c r="X225" s="321"/>
      <c r="Y225" s="321"/>
      <c r="Z225" s="321"/>
      <c r="AA225" s="321"/>
      <c r="AB225" s="321"/>
      <c r="AC225" s="380"/>
      <c r="AD225" s="352"/>
      <c r="AE225" s="408">
        <f t="shared" si="87"/>
        <v>156</v>
      </c>
      <c r="AF225" s="409"/>
      <c r="AG225" s="408"/>
      <c r="AH225" s="409">
        <f t="shared" si="84"/>
        <v>156</v>
      </c>
      <c r="AI225" s="410"/>
      <c r="AJ225" s="411">
        <f t="shared" si="85"/>
        <v>156</v>
      </c>
    </row>
    <row r="226" spans="1:36" s="276" customFormat="1" ht="20.25">
      <c r="A226" s="537" t="s">
        <v>635</v>
      </c>
      <c r="B226" s="550"/>
      <c r="C226" s="549"/>
      <c r="D226" s="544">
        <v>46141</v>
      </c>
      <c r="E226" s="541"/>
      <c r="F226" s="557"/>
      <c r="G226" s="542"/>
      <c r="H226" s="543"/>
      <c r="I226" s="543"/>
      <c r="J226" s="542"/>
      <c r="K226" s="579"/>
      <c r="L226" s="580"/>
      <c r="M226" s="581">
        <f>2*12</f>
        <v>24</v>
      </c>
      <c r="N226" s="543"/>
      <c r="O226" s="543"/>
      <c r="P226" s="543"/>
      <c r="Q226" s="543"/>
      <c r="R226" s="543"/>
      <c r="S226" s="543"/>
      <c r="T226" s="587"/>
      <c r="U226" s="580"/>
      <c r="V226" s="581"/>
      <c r="W226" s="543">
        <f>2*12</f>
        <v>24</v>
      </c>
      <c r="X226" s="543"/>
      <c r="Y226" s="543"/>
      <c r="Z226" s="543"/>
      <c r="AA226" s="543"/>
      <c r="AB226" s="543"/>
      <c r="AC226" s="592"/>
      <c r="AD226" s="580"/>
      <c r="AE226" s="593">
        <f t="shared" si="87"/>
        <v>48</v>
      </c>
      <c r="AF226" s="594"/>
      <c r="AG226" s="593"/>
      <c r="AH226" s="594">
        <f t="shared" si="84"/>
        <v>48</v>
      </c>
      <c r="AI226" s="605"/>
      <c r="AJ226" s="606">
        <f t="shared" si="85"/>
        <v>48</v>
      </c>
    </row>
    <row r="227" spans="1:36" s="234" customFormat="1" ht="20.25">
      <c r="A227" s="547" t="s">
        <v>686</v>
      </c>
      <c r="B227" s="550"/>
      <c r="C227" s="549"/>
      <c r="D227" s="544">
        <v>46141</v>
      </c>
      <c r="E227" s="541"/>
      <c r="F227" s="542"/>
      <c r="G227" s="542"/>
      <c r="H227" s="543"/>
      <c r="I227" s="543"/>
      <c r="J227" s="542"/>
      <c r="K227" s="579"/>
      <c r="L227" s="580"/>
      <c r="M227" s="581">
        <f>5*12</f>
        <v>60</v>
      </c>
      <c r="N227" s="543"/>
      <c r="O227" s="543"/>
      <c r="P227" s="543"/>
      <c r="Q227" s="543"/>
      <c r="R227" s="543"/>
      <c r="S227" s="543"/>
      <c r="T227" s="587"/>
      <c r="U227" s="580"/>
      <c r="V227" s="581"/>
      <c r="W227" s="543"/>
      <c r="X227" s="543"/>
      <c r="Y227" s="543"/>
      <c r="Z227" s="543">
        <f>3*12</f>
        <v>36</v>
      </c>
      <c r="AA227" s="543"/>
      <c r="AB227" s="543"/>
      <c r="AC227" s="592"/>
      <c r="AD227" s="580"/>
      <c r="AE227" s="593">
        <f t="shared" si="87"/>
        <v>96</v>
      </c>
      <c r="AF227" s="594"/>
      <c r="AG227" s="593"/>
      <c r="AH227" s="594">
        <f t="shared" si="84"/>
        <v>96</v>
      </c>
      <c r="AI227" s="605"/>
      <c r="AJ227" s="606">
        <f t="shared" si="85"/>
        <v>96</v>
      </c>
    </row>
    <row r="228" spans="1:36" s="234" customFormat="1" ht="20.25">
      <c r="A228" s="537" t="s">
        <v>687</v>
      </c>
      <c r="B228" s="550"/>
      <c r="C228" s="549"/>
      <c r="D228" s="544">
        <v>46141</v>
      </c>
      <c r="E228" s="319"/>
      <c r="F228" s="320"/>
      <c r="G228" s="320"/>
      <c r="H228" s="321"/>
      <c r="I228" s="321"/>
      <c r="J228" s="320"/>
      <c r="K228" s="351"/>
      <c r="L228" s="352"/>
      <c r="M228" s="353">
        <f>4*12</f>
        <v>48</v>
      </c>
      <c r="N228" s="321"/>
      <c r="O228" s="321">
        <f>3*12</f>
        <v>36</v>
      </c>
      <c r="P228" s="321"/>
      <c r="Q228" s="321"/>
      <c r="R228" s="321"/>
      <c r="S228" s="321"/>
      <c r="T228" s="354"/>
      <c r="U228" s="352"/>
      <c r="V228" s="353"/>
      <c r="W228" s="321"/>
      <c r="X228" s="321">
        <f>1*12</f>
        <v>12</v>
      </c>
      <c r="Y228" s="321"/>
      <c r="Z228" s="321">
        <f>1*12</f>
        <v>12</v>
      </c>
      <c r="AA228" s="321"/>
      <c r="AB228" s="321"/>
      <c r="AC228" s="380"/>
      <c r="AD228" s="352"/>
      <c r="AE228" s="593">
        <f t="shared" si="87"/>
        <v>108</v>
      </c>
      <c r="AF228" s="409"/>
      <c r="AG228" s="408"/>
      <c r="AH228" s="409">
        <f t="shared" si="84"/>
        <v>108</v>
      </c>
      <c r="AI228" s="410"/>
      <c r="AJ228" s="411">
        <f t="shared" si="85"/>
        <v>108</v>
      </c>
    </row>
    <row r="229" spans="1:36" s="234" customFormat="1" ht="20.25">
      <c r="A229" s="551" t="s">
        <v>670</v>
      </c>
      <c r="B229" s="550"/>
      <c r="C229" s="549"/>
      <c r="D229" s="544">
        <v>46142</v>
      </c>
      <c r="E229" s="541"/>
      <c r="F229" s="542"/>
      <c r="G229" s="542"/>
      <c r="H229" s="543"/>
      <c r="I229" s="543"/>
      <c r="J229" s="542"/>
      <c r="K229" s="579"/>
      <c r="L229" s="580"/>
      <c r="M229" s="581">
        <f>10*12</f>
        <v>120</v>
      </c>
      <c r="N229" s="543"/>
      <c r="O229" s="543">
        <f>10*12</f>
        <v>120</v>
      </c>
      <c r="P229" s="543"/>
      <c r="Q229" s="543"/>
      <c r="R229" s="543"/>
      <c r="S229" s="543"/>
      <c r="T229" s="587"/>
      <c r="U229" s="580"/>
      <c r="V229" s="581"/>
      <c r="W229" s="543">
        <f>10*12</f>
        <v>120</v>
      </c>
      <c r="X229" s="543"/>
      <c r="Y229" s="543"/>
      <c r="Z229" s="543"/>
      <c r="AA229" s="543"/>
      <c r="AB229" s="543"/>
      <c r="AC229" s="592"/>
      <c r="AD229" s="580"/>
      <c r="AE229" s="593">
        <f t="shared" si="87"/>
        <v>360</v>
      </c>
      <c r="AF229" s="594"/>
      <c r="AG229" s="593"/>
      <c r="AH229" s="594">
        <f t="shared" si="84"/>
        <v>360</v>
      </c>
      <c r="AI229" s="605"/>
      <c r="AJ229" s="606">
        <f t="shared" si="85"/>
        <v>360</v>
      </c>
    </row>
    <row r="230" spans="1:36" s="234" customFormat="1" ht="20.25">
      <c r="A230" s="537" t="s">
        <v>659</v>
      </c>
      <c r="B230" s="552"/>
      <c r="C230" s="553"/>
      <c r="D230" s="544">
        <v>46142</v>
      </c>
      <c r="E230" s="541"/>
      <c r="F230" s="542"/>
      <c r="G230" s="542"/>
      <c r="H230" s="543"/>
      <c r="I230" s="543"/>
      <c r="J230" s="542"/>
      <c r="K230" s="579"/>
      <c r="L230" s="580"/>
      <c r="M230" s="581">
        <f>4*12</f>
        <v>48</v>
      </c>
      <c r="N230" s="543"/>
      <c r="O230" s="543">
        <f>4*12</f>
        <v>48</v>
      </c>
      <c r="P230" s="543"/>
      <c r="Q230" s="543"/>
      <c r="R230" s="543"/>
      <c r="S230" s="543"/>
      <c r="T230" s="587"/>
      <c r="U230" s="580"/>
      <c r="V230" s="581"/>
      <c r="W230" s="543">
        <f>6*12</f>
        <v>72</v>
      </c>
      <c r="X230" s="543"/>
      <c r="Y230" s="543"/>
      <c r="Z230" s="543"/>
      <c r="AA230" s="543"/>
      <c r="AB230" s="543"/>
      <c r="AC230" s="592"/>
      <c r="AD230" s="580"/>
      <c r="AE230" s="593">
        <f t="shared" si="87"/>
        <v>168</v>
      </c>
      <c r="AF230" s="594"/>
      <c r="AG230" s="593"/>
      <c r="AH230" s="594">
        <f t="shared" si="84"/>
        <v>168</v>
      </c>
      <c r="AI230" s="605"/>
      <c r="AJ230" s="606">
        <f t="shared" si="85"/>
        <v>168</v>
      </c>
    </row>
    <row r="231" spans="1:36" s="234" customFormat="1" ht="20.25">
      <c r="A231" s="537" t="s">
        <v>665</v>
      </c>
      <c r="B231" s="550"/>
      <c r="C231" s="549"/>
      <c r="D231" s="544">
        <v>46142</v>
      </c>
      <c r="E231" s="541"/>
      <c r="F231" s="542"/>
      <c r="G231" s="542"/>
      <c r="H231" s="543"/>
      <c r="I231" s="543"/>
      <c r="J231" s="542"/>
      <c r="K231" s="579"/>
      <c r="L231" s="580"/>
      <c r="M231" s="581">
        <f>6*12</f>
        <v>72</v>
      </c>
      <c r="N231" s="543"/>
      <c r="O231" s="543"/>
      <c r="P231" s="543"/>
      <c r="Q231" s="543"/>
      <c r="R231" s="543"/>
      <c r="S231" s="543"/>
      <c r="T231" s="587"/>
      <c r="U231" s="580"/>
      <c r="V231" s="581"/>
      <c r="W231" s="543"/>
      <c r="X231" s="543"/>
      <c r="Y231" s="543"/>
      <c r="Z231" s="543"/>
      <c r="AA231" s="543"/>
      <c r="AB231" s="543"/>
      <c r="AC231" s="592"/>
      <c r="AD231" s="580"/>
      <c r="AE231" s="593">
        <f t="shared" si="87"/>
        <v>72</v>
      </c>
      <c r="AF231" s="594"/>
      <c r="AG231" s="593"/>
      <c r="AH231" s="594">
        <f t="shared" si="84"/>
        <v>72</v>
      </c>
      <c r="AI231" s="605"/>
      <c r="AJ231" s="606">
        <f t="shared" si="85"/>
        <v>72</v>
      </c>
    </row>
    <row r="232" spans="1:36" s="234" customFormat="1" ht="20.25">
      <c r="A232" s="537"/>
      <c r="B232" s="550"/>
      <c r="C232" s="549"/>
      <c r="D232" s="544"/>
      <c r="E232" s="319"/>
      <c r="F232" s="320"/>
      <c r="G232" s="320"/>
      <c r="H232" s="321"/>
      <c r="I232" s="321"/>
      <c r="J232" s="320"/>
      <c r="K232" s="351"/>
      <c r="L232" s="352"/>
      <c r="M232" s="353"/>
      <c r="N232" s="321"/>
      <c r="O232" s="321"/>
      <c r="P232" s="321"/>
      <c r="Q232" s="321"/>
      <c r="R232" s="321"/>
      <c r="S232" s="321"/>
      <c r="T232" s="354"/>
      <c r="U232" s="352"/>
      <c r="V232" s="353"/>
      <c r="W232" s="321"/>
      <c r="X232" s="321"/>
      <c r="Y232" s="321"/>
      <c r="Z232" s="321"/>
      <c r="AA232" s="321"/>
      <c r="AB232" s="321"/>
      <c r="AC232" s="380"/>
      <c r="AD232" s="352"/>
      <c r="AE232" s="408">
        <f t="shared" si="87"/>
        <v>0</v>
      </c>
      <c r="AF232" s="409"/>
      <c r="AG232" s="408"/>
      <c r="AH232" s="409">
        <f t="shared" si="84"/>
        <v>0</v>
      </c>
      <c r="AI232" s="410"/>
      <c r="AJ232" s="411">
        <f t="shared" si="85"/>
        <v>0</v>
      </c>
    </row>
    <row r="233" spans="1:36" s="234" customFormat="1" ht="20.25">
      <c r="A233" s="537"/>
      <c r="B233" s="550"/>
      <c r="C233" s="549"/>
      <c r="D233" s="544"/>
      <c r="E233" s="541"/>
      <c r="F233" s="542"/>
      <c r="G233" s="542"/>
      <c r="H233" s="543"/>
      <c r="I233" s="543"/>
      <c r="J233" s="542"/>
      <c r="K233" s="579"/>
      <c r="L233" s="580"/>
      <c r="M233" s="581"/>
      <c r="N233" s="543"/>
      <c r="O233" s="543"/>
      <c r="P233" s="543"/>
      <c r="Q233" s="543"/>
      <c r="R233" s="543"/>
      <c r="S233" s="543"/>
      <c r="T233" s="587"/>
      <c r="U233" s="580"/>
      <c r="V233" s="581"/>
      <c r="W233" s="543"/>
      <c r="X233" s="543"/>
      <c r="Y233" s="543"/>
      <c r="Z233" s="543"/>
      <c r="AA233" s="543"/>
      <c r="AB233" s="543"/>
      <c r="AC233" s="592"/>
      <c r="AD233" s="580"/>
      <c r="AE233" s="593">
        <f t="shared" si="87"/>
        <v>0</v>
      </c>
      <c r="AF233" s="594"/>
      <c r="AG233" s="593"/>
      <c r="AH233" s="594">
        <f t="shared" si="84"/>
        <v>0</v>
      </c>
      <c r="AI233" s="605"/>
      <c r="AJ233" s="606">
        <f t="shared" si="85"/>
        <v>0</v>
      </c>
    </row>
    <row r="234" spans="1:36" s="234" customFormat="1" ht="20.25">
      <c r="A234" s="561"/>
      <c r="B234" s="552"/>
      <c r="C234" s="553"/>
      <c r="D234" s="568"/>
      <c r="E234" s="541"/>
      <c r="F234" s="542"/>
      <c r="G234" s="542"/>
      <c r="H234" s="543"/>
      <c r="I234" s="543"/>
      <c r="J234" s="542"/>
      <c r="K234" s="579"/>
      <c r="L234" s="580"/>
      <c r="M234" s="581"/>
      <c r="N234" s="543"/>
      <c r="O234" s="543"/>
      <c r="P234" s="543"/>
      <c r="Q234" s="543"/>
      <c r="R234" s="543"/>
      <c r="S234" s="543"/>
      <c r="T234" s="587"/>
      <c r="U234" s="580"/>
      <c r="V234" s="581"/>
      <c r="W234" s="543"/>
      <c r="X234" s="543"/>
      <c r="Y234" s="543"/>
      <c r="Z234" s="543"/>
      <c r="AA234" s="543"/>
      <c r="AB234" s="543"/>
      <c r="AC234" s="592"/>
      <c r="AD234" s="580"/>
      <c r="AE234" s="593">
        <f t="shared" si="87"/>
        <v>0</v>
      </c>
      <c r="AF234" s="594"/>
      <c r="AG234" s="593"/>
      <c r="AH234" s="594">
        <f t="shared" si="84"/>
        <v>0</v>
      </c>
      <c r="AI234" s="605"/>
      <c r="AJ234" s="606">
        <f t="shared" si="85"/>
        <v>0</v>
      </c>
    </row>
    <row r="235" spans="1:36" s="234" customFormat="1" ht="20.25">
      <c r="A235" s="537"/>
      <c r="B235" s="552"/>
      <c r="C235" s="553"/>
      <c r="D235" s="568"/>
      <c r="E235" s="319"/>
      <c r="F235" s="320"/>
      <c r="G235" s="320"/>
      <c r="H235" s="321"/>
      <c r="I235" s="321"/>
      <c r="J235" s="320"/>
      <c r="K235" s="351"/>
      <c r="L235" s="352"/>
      <c r="M235" s="353"/>
      <c r="N235" s="321"/>
      <c r="O235" s="321"/>
      <c r="P235" s="321"/>
      <c r="Q235" s="321"/>
      <c r="R235" s="321"/>
      <c r="S235" s="321"/>
      <c r="T235" s="354"/>
      <c r="U235" s="352"/>
      <c r="V235" s="353"/>
      <c r="W235" s="321"/>
      <c r="X235" s="321"/>
      <c r="Y235" s="321"/>
      <c r="Z235" s="321"/>
      <c r="AA235" s="321"/>
      <c r="AB235" s="321"/>
      <c r="AC235" s="380"/>
      <c r="AD235" s="352"/>
      <c r="AE235" s="408">
        <f t="shared" si="87"/>
        <v>0</v>
      </c>
      <c r="AF235" s="409"/>
      <c r="AG235" s="408"/>
      <c r="AH235" s="409">
        <f t="shared" si="84"/>
        <v>0</v>
      </c>
      <c r="AI235" s="410"/>
      <c r="AJ235" s="411">
        <f t="shared" si="85"/>
        <v>0</v>
      </c>
    </row>
    <row r="236" spans="1:36" s="234" customFormat="1" ht="20.25">
      <c r="A236" s="537"/>
      <c r="B236" s="552"/>
      <c r="C236" s="553"/>
      <c r="D236" s="568"/>
      <c r="E236" s="541"/>
      <c r="F236" s="542"/>
      <c r="G236" s="542"/>
      <c r="H236" s="543"/>
      <c r="I236" s="543"/>
      <c r="J236" s="542"/>
      <c r="K236" s="579"/>
      <c r="L236" s="580"/>
      <c r="M236" s="581"/>
      <c r="N236" s="543"/>
      <c r="O236" s="543"/>
      <c r="P236" s="543"/>
      <c r="Q236" s="543"/>
      <c r="R236" s="543"/>
      <c r="S236" s="543"/>
      <c r="T236" s="587"/>
      <c r="U236" s="580"/>
      <c r="V236" s="581"/>
      <c r="W236" s="543"/>
      <c r="X236" s="543"/>
      <c r="Y236" s="543"/>
      <c r="Z236" s="543"/>
      <c r="AA236" s="543"/>
      <c r="AB236" s="543"/>
      <c r="AC236" s="592"/>
      <c r="AD236" s="580"/>
      <c r="AE236" s="593">
        <f t="shared" si="87"/>
        <v>0</v>
      </c>
      <c r="AF236" s="594"/>
      <c r="AG236" s="593"/>
      <c r="AH236" s="594">
        <f t="shared" si="84"/>
        <v>0</v>
      </c>
      <c r="AI236" s="605"/>
      <c r="AJ236" s="606">
        <f t="shared" si="85"/>
        <v>0</v>
      </c>
    </row>
    <row r="237" spans="1:36" s="234" customFormat="1" ht="20.25">
      <c r="A237" s="537"/>
      <c r="B237" s="552"/>
      <c r="C237" s="553"/>
      <c r="D237" s="568"/>
      <c r="E237" s="319"/>
      <c r="F237" s="320"/>
      <c r="G237" s="320"/>
      <c r="H237" s="321"/>
      <c r="I237" s="321"/>
      <c r="J237" s="320"/>
      <c r="K237" s="351"/>
      <c r="L237" s="352"/>
      <c r="M237" s="353"/>
      <c r="N237" s="321"/>
      <c r="O237" s="321"/>
      <c r="P237" s="321"/>
      <c r="Q237" s="321"/>
      <c r="R237" s="321"/>
      <c r="S237" s="321"/>
      <c r="T237" s="354"/>
      <c r="U237" s="352"/>
      <c r="V237" s="353"/>
      <c r="W237" s="321"/>
      <c r="X237" s="321"/>
      <c r="Y237" s="321"/>
      <c r="Z237" s="321"/>
      <c r="AA237" s="321"/>
      <c r="AB237" s="321"/>
      <c r="AC237" s="380"/>
      <c r="AD237" s="352"/>
      <c r="AE237" s="408">
        <f t="shared" si="87"/>
        <v>0</v>
      </c>
      <c r="AF237" s="409"/>
      <c r="AG237" s="408"/>
      <c r="AH237" s="409">
        <f t="shared" si="84"/>
        <v>0</v>
      </c>
      <c r="AI237" s="410"/>
      <c r="AJ237" s="411">
        <f t="shared" si="85"/>
        <v>0</v>
      </c>
    </row>
    <row r="238" spans="1:36" s="234" customFormat="1" ht="20.25">
      <c r="A238" s="551"/>
      <c r="B238" s="552"/>
      <c r="C238" s="553"/>
      <c r="D238" s="568"/>
      <c r="E238" s="541"/>
      <c r="F238" s="542"/>
      <c r="G238" s="542"/>
      <c r="H238" s="543"/>
      <c r="I238" s="543"/>
      <c r="J238" s="542"/>
      <c r="K238" s="579"/>
      <c r="L238" s="580"/>
      <c r="M238" s="581"/>
      <c r="N238" s="543"/>
      <c r="O238" s="543"/>
      <c r="P238" s="543"/>
      <c r="Q238" s="543"/>
      <c r="R238" s="543"/>
      <c r="S238" s="543"/>
      <c r="T238" s="587"/>
      <c r="U238" s="580"/>
      <c r="V238" s="581"/>
      <c r="W238" s="543"/>
      <c r="X238" s="543"/>
      <c r="Y238" s="543"/>
      <c r="Z238" s="543"/>
      <c r="AA238" s="543"/>
      <c r="AB238" s="543"/>
      <c r="AC238" s="592"/>
      <c r="AD238" s="580"/>
      <c r="AE238" s="593">
        <f t="shared" si="87"/>
        <v>0</v>
      </c>
      <c r="AF238" s="594"/>
      <c r="AG238" s="593"/>
      <c r="AH238" s="594">
        <f t="shared" si="84"/>
        <v>0</v>
      </c>
      <c r="AI238" s="605"/>
      <c r="AJ238" s="606">
        <f t="shared" si="85"/>
        <v>0</v>
      </c>
    </row>
    <row r="239" spans="1:36" s="234" customFormat="1" ht="20.25">
      <c r="A239" s="551"/>
      <c r="B239" s="552"/>
      <c r="C239" s="553"/>
      <c r="D239" s="568"/>
      <c r="E239" s="319"/>
      <c r="F239" s="320"/>
      <c r="G239" s="320"/>
      <c r="H239" s="321"/>
      <c r="I239" s="321"/>
      <c r="J239" s="320"/>
      <c r="K239" s="351"/>
      <c r="L239" s="352"/>
      <c r="M239" s="353"/>
      <c r="N239" s="321"/>
      <c r="O239" s="321"/>
      <c r="P239" s="321"/>
      <c r="Q239" s="321"/>
      <c r="R239" s="321"/>
      <c r="S239" s="321"/>
      <c r="T239" s="354"/>
      <c r="U239" s="352"/>
      <c r="V239" s="353"/>
      <c r="W239" s="321"/>
      <c r="X239" s="321"/>
      <c r="Y239" s="321"/>
      <c r="Z239" s="321"/>
      <c r="AA239" s="321"/>
      <c r="AB239" s="321"/>
      <c r="AC239" s="380"/>
      <c r="AD239" s="352"/>
      <c r="AE239" s="408">
        <f t="shared" si="87"/>
        <v>0</v>
      </c>
      <c r="AF239" s="409"/>
      <c r="AG239" s="408"/>
      <c r="AH239" s="409">
        <f t="shared" si="84"/>
        <v>0</v>
      </c>
      <c r="AI239" s="410"/>
      <c r="AJ239" s="411">
        <f t="shared" si="85"/>
        <v>0</v>
      </c>
    </row>
    <row r="240" spans="1:36" s="234" customFormat="1" ht="20.25">
      <c r="A240" s="537"/>
      <c r="B240" s="552"/>
      <c r="C240" s="615"/>
      <c r="D240" s="616"/>
      <c r="E240" s="319"/>
      <c r="F240" s="320"/>
      <c r="G240" s="320"/>
      <c r="H240" s="321"/>
      <c r="I240" s="321"/>
      <c r="J240" s="320"/>
      <c r="K240" s="351"/>
      <c r="L240" s="352"/>
      <c r="M240" s="353"/>
      <c r="N240" s="321"/>
      <c r="O240" s="321"/>
      <c r="P240" s="321"/>
      <c r="Q240" s="321"/>
      <c r="R240" s="321"/>
      <c r="S240" s="321"/>
      <c r="T240" s="354"/>
      <c r="U240" s="352"/>
      <c r="V240" s="353"/>
      <c r="W240" s="321"/>
      <c r="X240" s="321"/>
      <c r="Y240" s="321"/>
      <c r="Z240" s="321"/>
      <c r="AA240" s="321"/>
      <c r="AB240" s="321"/>
      <c r="AC240" s="380"/>
      <c r="AD240" s="352"/>
      <c r="AE240" s="408">
        <f t="shared" si="87"/>
        <v>0</v>
      </c>
      <c r="AF240" s="409"/>
      <c r="AG240" s="408"/>
      <c r="AH240" s="409">
        <f t="shared" si="84"/>
        <v>0</v>
      </c>
      <c r="AI240" s="410"/>
      <c r="AJ240" s="411">
        <f t="shared" si="85"/>
        <v>0</v>
      </c>
    </row>
    <row r="241" spans="1:39" s="234" customFormat="1" ht="20.25">
      <c r="A241" s="551"/>
      <c r="B241" s="552"/>
      <c r="C241" s="553"/>
      <c r="D241" s="568"/>
      <c r="E241" s="319"/>
      <c r="F241" s="320"/>
      <c r="G241" s="320"/>
      <c r="H241" s="321"/>
      <c r="I241" s="321"/>
      <c r="J241" s="320"/>
      <c r="K241" s="351"/>
      <c r="L241" s="352"/>
      <c r="M241" s="353"/>
      <c r="N241" s="321"/>
      <c r="O241" s="321"/>
      <c r="P241" s="321"/>
      <c r="Q241" s="321"/>
      <c r="R241" s="321"/>
      <c r="S241" s="321"/>
      <c r="T241" s="354"/>
      <c r="U241" s="352"/>
      <c r="V241" s="353"/>
      <c r="W241" s="321"/>
      <c r="X241" s="321"/>
      <c r="Y241" s="321"/>
      <c r="Z241" s="321"/>
      <c r="AA241" s="321"/>
      <c r="AB241" s="321"/>
      <c r="AC241" s="380"/>
      <c r="AD241" s="352"/>
      <c r="AE241" s="408">
        <f t="shared" si="87"/>
        <v>0</v>
      </c>
      <c r="AF241" s="409"/>
      <c r="AG241" s="408"/>
      <c r="AH241" s="409">
        <f t="shared" si="84"/>
        <v>0</v>
      </c>
      <c r="AI241" s="410"/>
      <c r="AJ241" s="411">
        <f t="shared" si="85"/>
        <v>0</v>
      </c>
    </row>
    <row r="242" spans="1:39" s="234" customFormat="1" ht="20.25">
      <c r="A242" s="551"/>
      <c r="B242" s="552"/>
      <c r="C242" s="553"/>
      <c r="D242" s="568"/>
      <c r="E242" s="319"/>
      <c r="F242" s="320"/>
      <c r="G242" s="320"/>
      <c r="H242" s="321"/>
      <c r="I242" s="321"/>
      <c r="J242" s="320"/>
      <c r="K242" s="351"/>
      <c r="L242" s="352"/>
      <c r="M242" s="353"/>
      <c r="N242" s="321"/>
      <c r="O242" s="321"/>
      <c r="P242" s="321"/>
      <c r="Q242" s="321"/>
      <c r="R242" s="321"/>
      <c r="S242" s="321"/>
      <c r="T242" s="354"/>
      <c r="U242" s="352"/>
      <c r="V242" s="353"/>
      <c r="W242" s="321"/>
      <c r="X242" s="321"/>
      <c r="Y242" s="321"/>
      <c r="Z242" s="321"/>
      <c r="AA242" s="321"/>
      <c r="AB242" s="321"/>
      <c r="AC242" s="380"/>
      <c r="AD242" s="352"/>
      <c r="AE242" s="408">
        <f t="shared" si="87"/>
        <v>0</v>
      </c>
      <c r="AF242" s="409"/>
      <c r="AG242" s="408"/>
      <c r="AH242" s="409">
        <f t="shared" si="84"/>
        <v>0</v>
      </c>
      <c r="AI242" s="410"/>
      <c r="AJ242" s="411">
        <f t="shared" si="85"/>
        <v>0</v>
      </c>
    </row>
    <row r="243" spans="1:39" s="234" customFormat="1" ht="20.25">
      <c r="A243" s="551"/>
      <c r="B243" s="569"/>
      <c r="C243" s="553"/>
      <c r="D243" s="793"/>
      <c r="E243" s="319"/>
      <c r="F243" s="320"/>
      <c r="G243" s="320"/>
      <c r="H243" s="321"/>
      <c r="I243" s="321"/>
      <c r="J243" s="320"/>
      <c r="K243" s="351"/>
      <c r="L243" s="352"/>
      <c r="M243" s="353"/>
      <c r="N243" s="321"/>
      <c r="O243" s="321"/>
      <c r="P243" s="321"/>
      <c r="Q243" s="321"/>
      <c r="R243" s="321"/>
      <c r="S243" s="321"/>
      <c r="T243" s="354"/>
      <c r="U243" s="352"/>
      <c r="V243" s="353"/>
      <c r="W243" s="321"/>
      <c r="X243" s="321"/>
      <c r="Y243" s="321"/>
      <c r="Z243" s="321"/>
      <c r="AA243" s="321"/>
      <c r="AB243" s="321"/>
      <c r="AC243" s="380"/>
      <c r="AD243" s="352"/>
      <c r="AE243" s="408">
        <f t="shared" si="87"/>
        <v>0</v>
      </c>
      <c r="AF243" s="409"/>
      <c r="AG243" s="408"/>
      <c r="AH243" s="409">
        <f t="shared" si="84"/>
        <v>0</v>
      </c>
      <c r="AI243" s="410"/>
      <c r="AJ243" s="411">
        <f t="shared" si="85"/>
        <v>0</v>
      </c>
    </row>
    <row r="244" spans="1:39" ht="20.25">
      <c r="A244" s="551"/>
      <c r="B244" s="569"/>
      <c r="C244" s="553"/>
      <c r="D244" s="793"/>
      <c r="E244" s="319"/>
      <c r="F244" s="320"/>
      <c r="G244" s="320"/>
      <c r="H244" s="321"/>
      <c r="I244" s="321"/>
      <c r="J244" s="320"/>
      <c r="K244" s="351"/>
      <c r="L244" s="352"/>
      <c r="M244" s="353"/>
      <c r="N244" s="321"/>
      <c r="O244" s="321"/>
      <c r="P244" s="321"/>
      <c r="Q244" s="321"/>
      <c r="R244" s="321"/>
      <c r="S244" s="321"/>
      <c r="T244" s="354"/>
      <c r="U244" s="352"/>
      <c r="V244" s="353"/>
      <c r="W244" s="321"/>
      <c r="X244" s="321"/>
      <c r="Y244" s="321"/>
      <c r="Z244" s="321"/>
      <c r="AA244" s="321"/>
      <c r="AB244" s="321"/>
      <c r="AC244" s="380"/>
      <c r="AD244" s="352"/>
      <c r="AE244" s="408">
        <f t="shared" si="87"/>
        <v>0</v>
      </c>
      <c r="AF244" s="409"/>
      <c r="AG244" s="408"/>
      <c r="AH244" s="409">
        <f t="shared" si="84"/>
        <v>0</v>
      </c>
      <c r="AI244" s="410"/>
      <c r="AJ244" s="411">
        <f t="shared" si="85"/>
        <v>0</v>
      </c>
      <c r="AL244" s="694"/>
    </row>
    <row r="245" spans="1:39" ht="20.25">
      <c r="A245" s="551"/>
      <c r="B245" s="569"/>
      <c r="C245" s="553"/>
      <c r="D245" s="793"/>
      <c r="E245" s="319"/>
      <c r="F245" s="320"/>
      <c r="G245" s="320"/>
      <c r="H245" s="321"/>
      <c r="I245" s="321"/>
      <c r="J245" s="320"/>
      <c r="K245" s="351"/>
      <c r="L245" s="352"/>
      <c r="M245" s="353"/>
      <c r="N245" s="321"/>
      <c r="O245" s="321"/>
      <c r="P245" s="321"/>
      <c r="Q245" s="321"/>
      <c r="R245" s="321"/>
      <c r="S245" s="321"/>
      <c r="T245" s="354"/>
      <c r="U245" s="352"/>
      <c r="V245" s="353"/>
      <c r="W245" s="321"/>
      <c r="X245" s="321"/>
      <c r="Y245" s="321"/>
      <c r="Z245" s="321"/>
      <c r="AA245" s="321"/>
      <c r="AB245" s="321"/>
      <c r="AC245" s="380"/>
      <c r="AD245" s="352"/>
      <c r="AE245" s="408">
        <f t="shared" si="87"/>
        <v>0</v>
      </c>
      <c r="AF245" s="409"/>
      <c r="AG245" s="408"/>
      <c r="AH245" s="409">
        <f t="shared" si="84"/>
        <v>0</v>
      </c>
      <c r="AI245" s="410"/>
      <c r="AJ245" s="411">
        <f t="shared" si="85"/>
        <v>0</v>
      </c>
    </row>
    <row r="246" spans="1:39" s="284" customFormat="1" ht="20.25">
      <c r="A246" s="551"/>
      <c r="B246" s="569"/>
      <c r="C246" s="553"/>
      <c r="D246" s="793"/>
      <c r="E246" s="319"/>
      <c r="F246" s="320"/>
      <c r="G246" s="320"/>
      <c r="H246" s="321"/>
      <c r="I246" s="321"/>
      <c r="J246" s="320"/>
      <c r="K246" s="351"/>
      <c r="L246" s="352"/>
      <c r="M246" s="353"/>
      <c r="N246" s="321"/>
      <c r="O246" s="321"/>
      <c r="P246" s="321"/>
      <c r="Q246" s="321"/>
      <c r="R246" s="321"/>
      <c r="S246" s="321"/>
      <c r="T246" s="354"/>
      <c r="U246" s="352"/>
      <c r="V246" s="353"/>
      <c r="W246" s="321"/>
      <c r="X246" s="321"/>
      <c r="Y246" s="321"/>
      <c r="Z246" s="321"/>
      <c r="AA246" s="321"/>
      <c r="AB246" s="321"/>
      <c r="AC246" s="380"/>
      <c r="AD246" s="352"/>
      <c r="AE246" s="408">
        <f t="shared" si="87"/>
        <v>0</v>
      </c>
      <c r="AF246" s="409"/>
      <c r="AG246" s="408"/>
      <c r="AH246" s="409">
        <f t="shared" si="84"/>
        <v>0</v>
      </c>
      <c r="AI246" s="410"/>
      <c r="AJ246" s="411">
        <f t="shared" si="85"/>
        <v>0</v>
      </c>
      <c r="AK246" s="403"/>
      <c r="AL246" s="403"/>
      <c r="AM246" s="403"/>
    </row>
    <row r="247" spans="1:39" s="282" customFormat="1" ht="20.25">
      <c r="A247" s="551"/>
      <c r="B247" s="569"/>
      <c r="C247" s="553"/>
      <c r="D247" s="793"/>
      <c r="E247" s="611"/>
      <c r="F247" s="612"/>
      <c r="G247" s="612"/>
      <c r="H247" s="613"/>
      <c r="I247" s="613"/>
      <c r="J247" s="612"/>
      <c r="K247" s="653"/>
      <c r="L247" s="654"/>
      <c r="M247" s="655"/>
      <c r="N247" s="613"/>
      <c r="O247" s="613"/>
      <c r="P247" s="613"/>
      <c r="Q247" s="613"/>
      <c r="R247" s="613"/>
      <c r="S247" s="613"/>
      <c r="T247" s="670"/>
      <c r="U247" s="654"/>
      <c r="V247" s="655"/>
      <c r="W247" s="613"/>
      <c r="X247" s="613"/>
      <c r="Y247" s="613"/>
      <c r="Z247" s="613"/>
      <c r="AA247" s="613"/>
      <c r="AB247" s="613"/>
      <c r="AC247" s="678"/>
      <c r="AD247" s="654"/>
      <c r="AE247" s="679">
        <f t="shared" si="87"/>
        <v>0</v>
      </c>
      <c r="AF247" s="680"/>
      <c r="AG247" s="679"/>
      <c r="AH247" s="680">
        <f t="shared" si="84"/>
        <v>0</v>
      </c>
      <c r="AI247" s="697"/>
      <c r="AJ247" s="698">
        <f t="shared" si="85"/>
        <v>0</v>
      </c>
    </row>
    <row r="248" spans="1:39" s="283" customFormat="1" ht="20.25">
      <c r="A248" s="551"/>
      <c r="B248" s="567"/>
      <c r="C248" s="553"/>
      <c r="D248" s="838"/>
      <c r="E248" s="617"/>
      <c r="F248" s="618"/>
      <c r="G248" s="618"/>
      <c r="H248" s="619"/>
      <c r="I248" s="619"/>
      <c r="J248" s="618"/>
      <c r="K248" s="656"/>
      <c r="L248" s="657"/>
      <c r="M248" s="658"/>
      <c r="N248" s="619"/>
      <c r="O248" s="619"/>
      <c r="P248" s="619"/>
      <c r="Q248" s="619"/>
      <c r="R248" s="619"/>
      <c r="S248" s="619"/>
      <c r="T248" s="671"/>
      <c r="U248" s="657"/>
      <c r="V248" s="658"/>
      <c r="W248" s="619"/>
      <c r="X248" s="619"/>
      <c r="Y248" s="619"/>
      <c r="Z248" s="619"/>
      <c r="AA248" s="619"/>
      <c r="AB248" s="619"/>
      <c r="AC248" s="681"/>
      <c r="AD248" s="657"/>
      <c r="AE248" s="682">
        <f t="shared" si="87"/>
        <v>0</v>
      </c>
      <c r="AF248" s="683"/>
      <c r="AG248" s="682"/>
      <c r="AH248" s="683">
        <f t="shared" si="84"/>
        <v>0</v>
      </c>
      <c r="AI248" s="699"/>
      <c r="AJ248" s="700">
        <f t="shared" si="85"/>
        <v>0</v>
      </c>
    </row>
    <row r="249" spans="1:39" s="283" customFormat="1" ht="20.25">
      <c r="A249" s="551"/>
      <c r="B249" s="569"/>
      <c r="C249" s="553"/>
      <c r="D249" s="865"/>
      <c r="E249" s="320"/>
      <c r="F249" s="320"/>
      <c r="G249" s="320"/>
      <c r="H249" s="321"/>
      <c r="I249" s="321"/>
      <c r="J249" s="320"/>
      <c r="K249" s="321"/>
      <c r="L249" s="842"/>
      <c r="M249" s="321"/>
      <c r="N249" s="321"/>
      <c r="O249" s="321"/>
      <c r="P249" s="321"/>
      <c r="Q249" s="321"/>
      <c r="R249" s="321"/>
      <c r="S249" s="321"/>
      <c r="T249" s="842"/>
      <c r="U249" s="842"/>
      <c r="V249" s="321"/>
      <c r="W249" s="321"/>
      <c r="X249" s="321"/>
      <c r="Y249" s="321"/>
      <c r="Z249" s="321"/>
      <c r="AA249" s="321"/>
      <c r="AB249" s="321"/>
      <c r="AC249" s="320"/>
      <c r="AD249" s="842"/>
      <c r="AE249" s="321">
        <f t="shared" si="87"/>
        <v>0</v>
      </c>
      <c r="AF249" s="321"/>
      <c r="AG249" s="321"/>
      <c r="AH249" s="321">
        <f t="shared" si="84"/>
        <v>0</v>
      </c>
      <c r="AI249" s="845"/>
      <c r="AJ249" s="846">
        <f t="shared" si="85"/>
        <v>0</v>
      </c>
    </row>
    <row r="250" spans="1:39" s="283" customFormat="1" ht="21.75" customHeight="1">
      <c r="A250" s="551"/>
      <c r="B250" s="567"/>
      <c r="C250" s="553"/>
      <c r="D250" s="838"/>
      <c r="E250" s="320"/>
      <c r="F250" s="320"/>
      <c r="G250" s="320"/>
      <c r="H250" s="321"/>
      <c r="I250" s="321"/>
      <c r="J250" s="320"/>
      <c r="K250" s="321"/>
      <c r="L250" s="842"/>
      <c r="M250" s="321"/>
      <c r="N250" s="321"/>
      <c r="O250" s="321"/>
      <c r="P250" s="321"/>
      <c r="Q250" s="321"/>
      <c r="R250" s="321"/>
      <c r="S250" s="321"/>
      <c r="T250" s="842"/>
      <c r="U250" s="842"/>
      <c r="V250" s="321"/>
      <c r="W250" s="321"/>
      <c r="X250" s="321"/>
      <c r="Y250" s="321"/>
      <c r="Z250" s="321"/>
      <c r="AA250" s="321"/>
      <c r="AB250" s="321"/>
      <c r="AC250" s="320"/>
      <c r="AD250" s="842"/>
      <c r="AE250" s="321">
        <f t="shared" si="87"/>
        <v>0</v>
      </c>
      <c r="AF250" s="321"/>
      <c r="AG250" s="321"/>
      <c r="AH250" s="321">
        <f t="shared" si="84"/>
        <v>0</v>
      </c>
      <c r="AI250" s="845"/>
      <c r="AJ250" s="846">
        <f t="shared" si="85"/>
        <v>0</v>
      </c>
    </row>
    <row r="251" spans="1:39" s="284" customFormat="1" ht="16.5" customHeight="1">
      <c r="A251" s="551"/>
      <c r="B251" s="567"/>
      <c r="C251" s="553"/>
      <c r="D251" s="838"/>
      <c r="E251" s="320"/>
      <c r="F251" s="320"/>
      <c r="G251" s="320"/>
      <c r="H251" s="321"/>
      <c r="I251" s="321"/>
      <c r="J251" s="320"/>
      <c r="K251" s="321"/>
      <c r="L251" s="842"/>
      <c r="M251" s="321"/>
      <c r="N251" s="321"/>
      <c r="O251" s="321"/>
      <c r="P251" s="321"/>
      <c r="Q251" s="321"/>
      <c r="R251" s="321"/>
      <c r="S251" s="321"/>
      <c r="T251" s="842"/>
      <c r="U251" s="842"/>
      <c r="V251" s="321"/>
      <c r="W251" s="321"/>
      <c r="X251" s="321"/>
      <c r="Y251" s="321"/>
      <c r="Z251" s="321"/>
      <c r="AA251" s="321"/>
      <c r="AB251" s="321"/>
      <c r="AC251" s="320"/>
      <c r="AD251" s="842"/>
      <c r="AE251" s="321">
        <f t="shared" si="87"/>
        <v>0</v>
      </c>
      <c r="AF251" s="321"/>
      <c r="AG251" s="321"/>
      <c r="AH251" s="321">
        <f t="shared" si="84"/>
        <v>0</v>
      </c>
      <c r="AI251" s="845"/>
      <c r="AJ251" s="846">
        <f t="shared" si="85"/>
        <v>0</v>
      </c>
      <c r="AK251" s="403"/>
      <c r="AL251" s="403"/>
      <c r="AM251" s="403"/>
    </row>
    <row r="252" spans="1:39" s="1" customFormat="1" ht="20.25">
      <c r="A252" s="551"/>
      <c r="B252" s="567"/>
      <c r="C252" s="553"/>
      <c r="D252" s="838"/>
      <c r="E252" s="320"/>
      <c r="F252" s="320"/>
      <c r="G252" s="320"/>
      <c r="H252" s="321"/>
      <c r="I252" s="321"/>
      <c r="J252" s="320"/>
      <c r="K252" s="321"/>
      <c r="L252" s="842"/>
      <c r="M252" s="321"/>
      <c r="N252" s="321"/>
      <c r="O252" s="321"/>
      <c r="P252" s="321"/>
      <c r="Q252" s="321"/>
      <c r="R252" s="321"/>
      <c r="S252" s="321"/>
      <c r="T252" s="842"/>
      <c r="U252" s="842"/>
      <c r="V252" s="321"/>
      <c r="W252" s="321"/>
      <c r="X252" s="321"/>
      <c r="Y252" s="321"/>
      <c r="Z252" s="321"/>
      <c r="AA252" s="321"/>
      <c r="AB252" s="321"/>
      <c r="AC252" s="320"/>
      <c r="AD252" s="842"/>
      <c r="AE252" s="321">
        <f t="shared" si="87"/>
        <v>0</v>
      </c>
      <c r="AF252" s="321"/>
      <c r="AG252" s="321"/>
      <c r="AH252" s="321">
        <f t="shared" si="84"/>
        <v>0</v>
      </c>
      <c r="AI252" s="845"/>
      <c r="AJ252" s="846">
        <f t="shared" si="85"/>
        <v>0</v>
      </c>
    </row>
    <row r="253" spans="1:39" ht="20.25">
      <c r="A253" s="551"/>
      <c r="B253" s="567"/>
      <c r="C253" s="553"/>
      <c r="D253" s="838"/>
      <c r="E253" s="320"/>
      <c r="F253" s="320"/>
      <c r="G253" s="320"/>
      <c r="H253" s="321"/>
      <c r="I253" s="321"/>
      <c r="J253" s="320"/>
      <c r="K253" s="321"/>
      <c r="L253" s="842"/>
      <c r="M253" s="321"/>
      <c r="N253" s="321"/>
      <c r="O253" s="321"/>
      <c r="P253" s="321"/>
      <c r="Q253" s="321"/>
      <c r="R253" s="321"/>
      <c r="S253" s="321"/>
      <c r="T253" s="842"/>
      <c r="U253" s="842"/>
      <c r="V253" s="321"/>
      <c r="W253" s="321"/>
      <c r="X253" s="321"/>
      <c r="Y253" s="321"/>
      <c r="Z253" s="321"/>
      <c r="AA253" s="321"/>
      <c r="AB253" s="321"/>
      <c r="AC253" s="320"/>
      <c r="AD253" s="842"/>
      <c r="AE253" s="321">
        <f t="shared" si="87"/>
        <v>0</v>
      </c>
      <c r="AF253" s="321"/>
      <c r="AG253" s="321"/>
      <c r="AH253" s="321">
        <f t="shared" ref="AH253:AH255" si="97">AE253+AF253+AG253</f>
        <v>0</v>
      </c>
      <c r="AI253" s="845"/>
      <c r="AJ253" s="846">
        <f t="shared" ref="AJ253:AJ255" si="98">AH253+AI253</f>
        <v>0</v>
      </c>
    </row>
    <row r="254" spans="1:39" ht="20.25">
      <c r="A254" s="551"/>
      <c r="B254" s="567"/>
      <c r="C254" s="553"/>
      <c r="D254" s="838"/>
      <c r="E254" s="320"/>
      <c r="F254" s="320"/>
      <c r="G254" s="320"/>
      <c r="H254" s="321"/>
      <c r="I254" s="321"/>
      <c r="J254" s="320"/>
      <c r="K254" s="321"/>
      <c r="L254" s="842"/>
      <c r="M254" s="321"/>
      <c r="N254" s="321"/>
      <c r="O254" s="321"/>
      <c r="P254" s="321"/>
      <c r="Q254" s="321"/>
      <c r="R254" s="321"/>
      <c r="S254" s="321"/>
      <c r="T254" s="842"/>
      <c r="U254" s="842"/>
      <c r="V254" s="321"/>
      <c r="W254" s="321"/>
      <c r="X254" s="321"/>
      <c r="Y254" s="321"/>
      <c r="Z254" s="321"/>
      <c r="AA254" s="321"/>
      <c r="AB254" s="321"/>
      <c r="AC254" s="320"/>
      <c r="AD254" s="842"/>
      <c r="AE254" s="321">
        <f t="shared" si="87"/>
        <v>0</v>
      </c>
      <c r="AF254" s="321"/>
      <c r="AG254" s="321"/>
      <c r="AH254" s="321">
        <f t="shared" si="97"/>
        <v>0</v>
      </c>
      <c r="AI254" s="845"/>
      <c r="AJ254" s="846">
        <f t="shared" si="98"/>
        <v>0</v>
      </c>
    </row>
    <row r="255" spans="1:39" ht="21" thickBot="1">
      <c r="A255" s="551"/>
      <c r="B255" s="567"/>
      <c r="C255" s="553"/>
      <c r="D255" s="838"/>
      <c r="E255" s="618"/>
      <c r="F255" s="618"/>
      <c r="G255" s="618"/>
      <c r="H255" s="619"/>
      <c r="I255" s="619"/>
      <c r="J255" s="618"/>
      <c r="K255" s="619"/>
      <c r="L255" s="866"/>
      <c r="M255" s="619"/>
      <c r="N255" s="619"/>
      <c r="O255" s="619"/>
      <c r="P255" s="619"/>
      <c r="Q255" s="619"/>
      <c r="R255" s="619"/>
      <c r="S255" s="619"/>
      <c r="T255" s="866"/>
      <c r="U255" s="866"/>
      <c r="V255" s="619"/>
      <c r="W255" s="619"/>
      <c r="X255" s="619"/>
      <c r="Y255" s="619"/>
      <c r="Z255" s="619"/>
      <c r="AA255" s="619"/>
      <c r="AB255" s="619"/>
      <c r="AC255" s="618"/>
      <c r="AD255" s="842"/>
      <c r="AE255" s="619">
        <f t="shared" si="87"/>
        <v>0</v>
      </c>
      <c r="AF255" s="619"/>
      <c r="AG255" s="619"/>
      <c r="AH255" s="619">
        <f t="shared" si="97"/>
        <v>0</v>
      </c>
      <c r="AI255" s="867"/>
      <c r="AJ255" s="868">
        <f t="shared" si="98"/>
        <v>0</v>
      </c>
    </row>
    <row r="256" spans="1:39" ht="21" thickBot="1">
      <c r="A256" s="526" t="s">
        <v>151</v>
      </c>
      <c r="B256" s="840"/>
      <c r="C256" s="840"/>
      <c r="D256" s="528"/>
      <c r="E256" s="529">
        <f t="shared" ref="E256:K256" si="99">SUM(E182:E255)</f>
        <v>0</v>
      </c>
      <c r="F256" s="529">
        <f t="shared" si="99"/>
        <v>0</v>
      </c>
      <c r="G256" s="529">
        <f t="shared" si="99"/>
        <v>0</v>
      </c>
      <c r="H256" s="529">
        <f t="shared" si="99"/>
        <v>0</v>
      </c>
      <c r="I256" s="529">
        <f t="shared" si="99"/>
        <v>0</v>
      </c>
      <c r="J256" s="529">
        <f t="shared" si="99"/>
        <v>24</v>
      </c>
      <c r="K256" s="529">
        <f t="shared" si="99"/>
        <v>0</v>
      </c>
      <c r="L256" s="529"/>
      <c r="M256" s="529">
        <f t="shared" ref="M256:T256" si="100">SUM(M182:M255)</f>
        <v>1728</v>
      </c>
      <c r="N256" s="529">
        <f t="shared" si="100"/>
        <v>0</v>
      </c>
      <c r="O256" s="529">
        <f t="shared" si="100"/>
        <v>1692</v>
      </c>
      <c r="P256" s="529">
        <f t="shared" si="100"/>
        <v>84</v>
      </c>
      <c r="Q256" s="529">
        <f t="shared" si="100"/>
        <v>36</v>
      </c>
      <c r="R256" s="529">
        <f t="shared" si="100"/>
        <v>12</v>
      </c>
      <c r="S256" s="529">
        <f t="shared" si="100"/>
        <v>0</v>
      </c>
      <c r="T256" s="529">
        <f t="shared" si="100"/>
        <v>36</v>
      </c>
      <c r="U256" s="529"/>
      <c r="V256" s="529">
        <f t="shared" ref="V256:AC256" si="101">SUM(V182:V255)</f>
        <v>0</v>
      </c>
      <c r="W256" s="529">
        <f t="shared" si="101"/>
        <v>3096</v>
      </c>
      <c r="X256" s="529">
        <f t="shared" si="101"/>
        <v>192</v>
      </c>
      <c r="Y256" s="529">
        <f t="shared" si="101"/>
        <v>0</v>
      </c>
      <c r="Z256" s="529">
        <f t="shared" si="101"/>
        <v>48</v>
      </c>
      <c r="AA256" s="529">
        <f t="shared" si="101"/>
        <v>0</v>
      </c>
      <c r="AB256" s="529">
        <f t="shared" si="101"/>
        <v>0</v>
      </c>
      <c r="AC256" s="529">
        <f t="shared" si="101"/>
        <v>0</v>
      </c>
      <c r="AD256" s="529"/>
      <c r="AE256" s="529">
        <f t="shared" ref="AE256:AJ256" si="102">SUM(AE182:AE255)</f>
        <v>6948</v>
      </c>
      <c r="AF256" s="529">
        <f t="shared" si="102"/>
        <v>0</v>
      </c>
      <c r="AG256" s="529">
        <f t="shared" si="102"/>
        <v>0</v>
      </c>
      <c r="AH256" s="529">
        <f t="shared" si="102"/>
        <v>6948</v>
      </c>
      <c r="AI256" s="529">
        <f t="shared" si="102"/>
        <v>0</v>
      </c>
      <c r="AJ256" s="529">
        <f t="shared" si="102"/>
        <v>6948</v>
      </c>
      <c r="AK256" s="1"/>
    </row>
    <row r="257" spans="1:36" ht="21" thickBot="1">
      <c r="A257" s="530" t="s">
        <v>152</v>
      </c>
      <c r="B257" s="531"/>
      <c r="C257" s="531"/>
      <c r="D257" s="630"/>
      <c r="E257" s="533">
        <f>E256/20</f>
        <v>0</v>
      </c>
      <c r="F257" s="534">
        <f>F256/12</f>
        <v>0</v>
      </c>
      <c r="G257" s="534">
        <f t="shared" ref="G257:K257" si="103">G256/12</f>
        <v>0</v>
      </c>
      <c r="H257" s="534">
        <f t="shared" si="103"/>
        <v>0</v>
      </c>
      <c r="I257" s="534">
        <f t="shared" si="103"/>
        <v>0</v>
      </c>
      <c r="J257" s="534">
        <f t="shared" si="103"/>
        <v>2</v>
      </c>
      <c r="K257" s="534">
        <f t="shared" si="103"/>
        <v>0</v>
      </c>
      <c r="L257" s="575"/>
      <c r="M257" s="576">
        <f>M256/12</f>
        <v>144</v>
      </c>
      <c r="N257" s="576">
        <f t="shared" ref="N257:T257" si="104">N256/12</f>
        <v>0</v>
      </c>
      <c r="O257" s="576">
        <f t="shared" si="104"/>
        <v>141</v>
      </c>
      <c r="P257" s="576">
        <f t="shared" si="104"/>
        <v>7</v>
      </c>
      <c r="Q257" s="576">
        <f t="shared" si="104"/>
        <v>3</v>
      </c>
      <c r="R257" s="576">
        <f t="shared" si="104"/>
        <v>1</v>
      </c>
      <c r="S257" s="576">
        <f t="shared" si="104"/>
        <v>0</v>
      </c>
      <c r="T257" s="576">
        <f t="shared" si="104"/>
        <v>3</v>
      </c>
      <c r="U257" s="575"/>
      <c r="V257" s="576">
        <f>V256/12</f>
        <v>0</v>
      </c>
      <c r="W257" s="576">
        <f t="shared" ref="W257:AC257" si="105">W256/12</f>
        <v>258</v>
      </c>
      <c r="X257" s="576">
        <f t="shared" si="105"/>
        <v>16</v>
      </c>
      <c r="Y257" s="576">
        <f t="shared" si="105"/>
        <v>0</v>
      </c>
      <c r="Z257" s="576">
        <f t="shared" si="105"/>
        <v>4</v>
      </c>
      <c r="AA257" s="576">
        <f t="shared" si="105"/>
        <v>0</v>
      </c>
      <c r="AB257" s="576">
        <f t="shared" si="105"/>
        <v>0</v>
      </c>
      <c r="AC257" s="576">
        <f t="shared" si="105"/>
        <v>0</v>
      </c>
      <c r="AD257" s="575"/>
      <c r="AE257" s="668">
        <f>SUM(E257:AC257)</f>
        <v>579</v>
      </c>
      <c r="AF257" s="687">
        <f>AF256/12</f>
        <v>0</v>
      </c>
      <c r="AG257" s="687">
        <f>AG256/20</f>
        <v>0</v>
      </c>
      <c r="AH257" s="575">
        <f>AH256/12</f>
        <v>579</v>
      </c>
      <c r="AI257" s="687">
        <f>AI256/12</f>
        <v>0</v>
      </c>
      <c r="AJ257" s="662">
        <f>AJ256/12</f>
        <v>579</v>
      </c>
    </row>
    <row r="258" spans="1:36" ht="19.5" thickBot="1">
      <c r="A258" s="306"/>
      <c r="B258" s="307"/>
      <c r="C258" s="307"/>
      <c r="D258" s="308"/>
      <c r="E258" s="309"/>
      <c r="F258" s="309"/>
      <c r="G258" s="309"/>
      <c r="H258" s="309"/>
      <c r="I258" s="309"/>
      <c r="J258" s="309"/>
      <c r="K258" s="309"/>
      <c r="L258" s="346"/>
      <c r="M258" s="347"/>
      <c r="N258" s="347"/>
      <c r="O258" s="347"/>
      <c r="P258" s="347"/>
      <c r="Q258" s="347"/>
      <c r="R258" s="347"/>
      <c r="S258" s="347"/>
      <c r="T258" s="347"/>
      <c r="U258" s="346"/>
      <c r="V258" s="347"/>
      <c r="W258" s="347"/>
      <c r="X258" s="347"/>
      <c r="Y258" s="347"/>
      <c r="Z258" s="347"/>
      <c r="AA258" s="347"/>
      <c r="AB258" s="347"/>
      <c r="AC258" s="347"/>
      <c r="AD258" s="346"/>
      <c r="AE258" s="347"/>
      <c r="AF258" s="347"/>
      <c r="AG258" s="347"/>
      <c r="AH258" s="347"/>
      <c r="AI258" s="347"/>
      <c r="AJ258" s="402"/>
    </row>
    <row r="259" spans="1:36" ht="18.75" thickBot="1">
      <c r="A259" s="3881" t="s">
        <v>183</v>
      </c>
      <c r="B259" s="3882"/>
      <c r="C259" s="3883"/>
      <c r="D259" s="288" t="s">
        <v>70</v>
      </c>
      <c r="E259" s="2697" t="s">
        <v>53</v>
      </c>
      <c r="F259" s="2698" t="s">
        <v>442</v>
      </c>
      <c r="G259" s="2698" t="s">
        <v>372</v>
      </c>
      <c r="H259" s="2698"/>
      <c r="I259" s="2698" t="s">
        <v>94</v>
      </c>
      <c r="J259" s="2698"/>
      <c r="K259" s="2702" t="s">
        <v>95</v>
      </c>
      <c r="L259" s="2699"/>
      <c r="M259" s="2697" t="s">
        <v>53</v>
      </c>
      <c r="N259" s="2698" t="s">
        <v>190</v>
      </c>
      <c r="O259" s="2698" t="s">
        <v>467</v>
      </c>
      <c r="P259" s="2698" t="s">
        <v>206</v>
      </c>
      <c r="Q259" s="2698" t="s">
        <v>94</v>
      </c>
      <c r="R259" s="2698" t="s">
        <v>446</v>
      </c>
      <c r="S259" s="2702" t="s">
        <v>96</v>
      </c>
      <c r="T259" s="2700" t="s">
        <v>86</v>
      </c>
      <c r="U259" s="2699"/>
      <c r="V259" s="2697" t="s">
        <v>53</v>
      </c>
      <c r="W259" s="2698"/>
      <c r="X259" s="2698" t="s">
        <v>372</v>
      </c>
      <c r="Y259" s="2698" t="s">
        <v>304</v>
      </c>
      <c r="Z259" s="2698" t="s">
        <v>94</v>
      </c>
      <c r="AA259" s="2698" t="s">
        <v>170</v>
      </c>
      <c r="AB259" s="2702"/>
      <c r="AC259" s="2700"/>
      <c r="AD259" s="79"/>
      <c r="AE259" s="371" t="s">
        <v>172</v>
      </c>
      <c r="AF259" s="372" t="s">
        <v>80</v>
      </c>
      <c r="AG259" s="385"/>
      <c r="AH259" s="386" t="s">
        <v>106</v>
      </c>
      <c r="AI259" s="385" t="s">
        <v>173</v>
      </c>
      <c r="AJ259" s="371" t="s">
        <v>108</v>
      </c>
    </row>
    <row r="260" spans="1:36" ht="20.25">
      <c r="A260" s="631" t="s">
        <v>184</v>
      </c>
      <c r="B260" s="443"/>
      <c r="C260" s="443"/>
      <c r="D260" s="444"/>
      <c r="E260" s="433"/>
      <c r="F260" s="434"/>
      <c r="G260" s="434"/>
      <c r="H260" s="435"/>
      <c r="I260" s="435"/>
      <c r="J260" s="434"/>
      <c r="K260" s="480"/>
      <c r="L260" s="483"/>
      <c r="M260" s="484"/>
      <c r="N260" s="435"/>
      <c r="O260" s="435"/>
      <c r="P260" s="435"/>
      <c r="Q260" s="435"/>
      <c r="R260" s="435"/>
      <c r="S260" s="435"/>
      <c r="T260" s="492"/>
      <c r="U260" s="483"/>
      <c r="V260" s="433"/>
      <c r="W260" s="434"/>
      <c r="X260" s="434"/>
      <c r="Y260" s="435"/>
      <c r="Z260" s="435"/>
      <c r="AA260" s="435"/>
      <c r="AB260" s="434"/>
      <c r="AC260" s="495"/>
      <c r="AD260" s="483"/>
      <c r="AE260" s="496">
        <f t="shared" ref="AE260:AE261" si="106">SUM(E260:AC260)</f>
        <v>0</v>
      </c>
      <c r="AF260" s="497"/>
      <c r="AG260" s="510"/>
      <c r="AH260" s="511">
        <f t="shared" ref="AH260:AH261" si="107">AE260+AF260</f>
        <v>0</v>
      </c>
      <c r="AI260" s="512"/>
      <c r="AJ260" s="703">
        <f>AH260+AI260</f>
        <v>0</v>
      </c>
    </row>
    <row r="261" spans="1:36" ht="21" thickBot="1">
      <c r="A261" s="322"/>
      <c r="B261" s="323"/>
      <c r="C261" s="323"/>
      <c r="D261" s="324"/>
      <c r="E261" s="325"/>
      <c r="F261" s="297"/>
      <c r="G261" s="297"/>
      <c r="H261" s="298"/>
      <c r="I261" s="298"/>
      <c r="J261" s="297"/>
      <c r="K261" s="344"/>
      <c r="L261" s="355"/>
      <c r="M261" s="343"/>
      <c r="N261" s="298"/>
      <c r="O261" s="298"/>
      <c r="P261" s="298"/>
      <c r="Q261" s="298"/>
      <c r="R261" s="298"/>
      <c r="S261" s="298"/>
      <c r="T261" s="367"/>
      <c r="U261" s="355"/>
      <c r="V261" s="325"/>
      <c r="W261" s="297"/>
      <c r="X261" s="297"/>
      <c r="Y261" s="298"/>
      <c r="Z261" s="298"/>
      <c r="AA261" s="298"/>
      <c r="AB261" s="297"/>
      <c r="AC261" s="375"/>
      <c r="AD261" s="355"/>
      <c r="AE261" s="377">
        <f t="shared" si="106"/>
        <v>0</v>
      </c>
      <c r="AF261" s="377"/>
      <c r="AG261" s="390"/>
      <c r="AH261" s="507">
        <f t="shared" si="107"/>
        <v>0</v>
      </c>
      <c r="AI261" s="412"/>
      <c r="AJ261" s="508">
        <f t="shared" ref="AJ261" si="108">AH261+AI261</f>
        <v>0</v>
      </c>
    </row>
    <row r="262" spans="1:36" ht="21" thickBot="1">
      <c r="A262" s="436"/>
      <c r="B262" s="437"/>
      <c r="C262" s="437"/>
      <c r="D262" s="438"/>
      <c r="E262" s="439">
        <f t="shared" ref="E262:K262" si="109">SUM(E260:E261)</f>
        <v>0</v>
      </c>
      <c r="F262" s="440">
        <f t="shared" si="109"/>
        <v>0</v>
      </c>
      <c r="G262" s="440">
        <f t="shared" si="109"/>
        <v>0</v>
      </c>
      <c r="H262" s="440">
        <f t="shared" si="109"/>
        <v>0</v>
      </c>
      <c r="I262" s="440">
        <f t="shared" si="109"/>
        <v>0</v>
      </c>
      <c r="J262" s="440">
        <f t="shared" si="109"/>
        <v>0</v>
      </c>
      <c r="K262" s="481">
        <f t="shared" si="109"/>
        <v>0</v>
      </c>
      <c r="L262" s="482"/>
      <c r="M262" s="439">
        <f t="shared" ref="M262:T262" si="110">SUM(M260:M261)</f>
        <v>0</v>
      </c>
      <c r="N262" s="440">
        <f t="shared" si="110"/>
        <v>0</v>
      </c>
      <c r="O262" s="440">
        <f t="shared" si="110"/>
        <v>0</v>
      </c>
      <c r="P262" s="440">
        <f t="shared" si="110"/>
        <v>0</v>
      </c>
      <c r="Q262" s="440">
        <f t="shared" si="110"/>
        <v>0</v>
      </c>
      <c r="R262" s="440">
        <f t="shared" si="110"/>
        <v>0</v>
      </c>
      <c r="S262" s="440">
        <f t="shared" si="110"/>
        <v>0</v>
      </c>
      <c r="T262" s="481">
        <f t="shared" si="110"/>
        <v>0</v>
      </c>
      <c r="U262" s="482"/>
      <c r="V262" s="439">
        <f t="shared" ref="V262:AC262" si="111">SUM(V260:V261)</f>
        <v>0</v>
      </c>
      <c r="W262" s="440">
        <f t="shared" si="111"/>
        <v>0</v>
      </c>
      <c r="X262" s="440">
        <f t="shared" si="111"/>
        <v>0</v>
      </c>
      <c r="Y262" s="440">
        <f t="shared" si="111"/>
        <v>0</v>
      </c>
      <c r="Z262" s="440">
        <f t="shared" si="111"/>
        <v>0</v>
      </c>
      <c r="AA262" s="440">
        <f t="shared" si="111"/>
        <v>0</v>
      </c>
      <c r="AB262" s="440">
        <f t="shared" si="111"/>
        <v>0</v>
      </c>
      <c r="AC262" s="481">
        <f t="shared" si="111"/>
        <v>0</v>
      </c>
      <c r="AD262" s="482"/>
      <c r="AE262" s="494">
        <f>SUM(AE260:AE261)</f>
        <v>0</v>
      </c>
      <c r="AF262" s="494">
        <f>SUM(AF260:AF261)</f>
        <v>0</v>
      </c>
      <c r="AG262" s="509"/>
      <c r="AH262" s="514">
        <f>SUM(AH260:AH261)</f>
        <v>0</v>
      </c>
      <c r="AI262" s="494">
        <f>SUM(AI260:AI261)</f>
        <v>0</v>
      </c>
      <c r="AJ262" s="509">
        <f>SUM(AJ260:AJ261)</f>
        <v>0</v>
      </c>
    </row>
    <row r="263" spans="1:36" ht="18.75">
      <c r="A263" s="522"/>
      <c r="B263" s="523"/>
      <c r="C263" s="523"/>
      <c r="D263" s="524"/>
      <c r="E263" s="525"/>
      <c r="F263" s="525"/>
      <c r="G263" s="525"/>
      <c r="H263" s="525"/>
      <c r="I263" s="525"/>
      <c r="J263" s="525"/>
      <c r="K263" s="525"/>
      <c r="L263" s="572"/>
      <c r="M263" s="573"/>
      <c r="N263" s="573"/>
      <c r="O263" s="573"/>
      <c r="P263" s="573"/>
      <c r="Q263" s="573"/>
      <c r="R263" s="573"/>
      <c r="S263" s="573"/>
      <c r="T263" s="573"/>
      <c r="U263" s="572"/>
      <c r="V263" s="573"/>
      <c r="W263" s="573"/>
      <c r="X263" s="573"/>
      <c r="Y263" s="573"/>
      <c r="Z263" s="573"/>
      <c r="AA263" s="573"/>
      <c r="AB263" s="573"/>
      <c r="AC263" s="573"/>
      <c r="AD263" s="572"/>
      <c r="AE263" s="573"/>
      <c r="AF263" s="573"/>
      <c r="AG263" s="599"/>
      <c r="AH263" s="573"/>
      <c r="AI263" s="573"/>
      <c r="AJ263" s="600"/>
    </row>
    <row r="264" spans="1:36" ht="20.25">
      <c r="A264" s="122"/>
      <c r="B264" s="632"/>
      <c r="C264" s="632"/>
      <c r="D264" s="122"/>
      <c r="E264" s="3901"/>
      <c r="F264" s="3901"/>
      <c r="G264" s="3901"/>
      <c r="H264" s="3901"/>
      <c r="I264" s="3901"/>
      <c r="J264" s="3901"/>
      <c r="K264" s="3901"/>
      <c r="L264" s="633"/>
      <c r="M264" s="3902"/>
      <c r="N264" s="3902"/>
      <c r="O264" s="3902"/>
      <c r="P264" s="3902"/>
      <c r="Q264" s="3902"/>
      <c r="R264" s="3902"/>
      <c r="S264" s="3902"/>
      <c r="T264" s="3902"/>
      <c r="U264" s="663"/>
      <c r="V264" s="3903"/>
      <c r="W264" s="3903"/>
      <c r="X264" s="3903"/>
      <c r="Y264" s="3903"/>
      <c r="Z264" s="3903"/>
      <c r="AA264" s="3903"/>
      <c r="AB264" s="3903"/>
      <c r="AC264" s="3903"/>
      <c r="AD264" s="688"/>
      <c r="AE264" s="689"/>
      <c r="AF264" s="673"/>
      <c r="AG264" s="673"/>
      <c r="AH264" s="689"/>
      <c r="AI264" s="689"/>
      <c r="AJ264" s="704"/>
    </row>
    <row r="265" spans="1:36" ht="15.75" thickBot="1">
      <c r="A265" s="634"/>
      <c r="B265" s="635"/>
      <c r="C265" s="635"/>
      <c r="D265" s="634"/>
      <c r="E265" s="634"/>
      <c r="F265" s="634"/>
      <c r="G265" s="634"/>
      <c r="H265" s="63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4"/>
      <c r="S265" s="634"/>
      <c r="T265" s="634"/>
      <c r="U265" s="634"/>
      <c r="V265" s="634"/>
      <c r="W265" s="634"/>
      <c r="X265" s="634"/>
      <c r="Y265" s="634"/>
      <c r="Z265" s="634"/>
      <c r="AA265" s="634"/>
      <c r="AB265" s="690"/>
      <c r="AC265" s="690"/>
      <c r="AD265" s="690"/>
      <c r="AE265" s="690"/>
      <c r="AF265" s="634"/>
      <c r="AG265" s="634"/>
      <c r="AH265" s="634"/>
      <c r="AI265" s="634"/>
      <c r="AJ265" s="634"/>
    </row>
    <row r="266" spans="1:36" ht="21" thickBot="1">
      <c r="A266" s="636" t="s">
        <v>185</v>
      </c>
      <c r="B266" s="637"/>
      <c r="C266" s="637"/>
      <c r="D266" s="638"/>
      <c r="E266" s="529">
        <f t="shared" ref="E266:K266" si="112">E177-E256+E262</f>
        <v>0</v>
      </c>
      <c r="F266" s="639">
        <f t="shared" si="112"/>
        <v>0</v>
      </c>
      <c r="G266" s="639">
        <f t="shared" si="112"/>
        <v>0</v>
      </c>
      <c r="H266" s="639">
        <f t="shared" si="112"/>
        <v>0</v>
      </c>
      <c r="I266" s="639">
        <f t="shared" si="112"/>
        <v>0</v>
      </c>
      <c r="J266" s="639">
        <f t="shared" si="112"/>
        <v>144</v>
      </c>
      <c r="K266" s="664">
        <f t="shared" si="112"/>
        <v>0</v>
      </c>
      <c r="L266" s="574"/>
      <c r="M266" s="665">
        <f t="shared" ref="M266:T266" si="113">M177-M256+M262</f>
        <v>228</v>
      </c>
      <c r="N266" s="666">
        <f t="shared" si="113"/>
        <v>24</v>
      </c>
      <c r="O266" s="666">
        <f t="shared" si="113"/>
        <v>1320</v>
      </c>
      <c r="P266" s="666">
        <f t="shared" si="113"/>
        <v>0</v>
      </c>
      <c r="Q266" s="666">
        <f t="shared" si="113"/>
        <v>-36</v>
      </c>
      <c r="R266" s="666">
        <f t="shared" si="113"/>
        <v>168</v>
      </c>
      <c r="S266" s="666">
        <f t="shared" si="113"/>
        <v>0</v>
      </c>
      <c r="T266" s="674">
        <f t="shared" si="113"/>
        <v>348</v>
      </c>
      <c r="U266" s="574"/>
      <c r="V266" s="665">
        <f t="shared" ref="V266:AC266" si="114">V177-V256+V262</f>
        <v>0</v>
      </c>
      <c r="W266" s="666">
        <f t="shared" si="114"/>
        <v>1356</v>
      </c>
      <c r="X266" s="666">
        <f t="shared" si="114"/>
        <v>144</v>
      </c>
      <c r="Y266" s="666">
        <f t="shared" si="114"/>
        <v>24</v>
      </c>
      <c r="Z266" s="666">
        <f t="shared" si="114"/>
        <v>216</v>
      </c>
      <c r="AA266" s="666">
        <f t="shared" si="114"/>
        <v>0</v>
      </c>
      <c r="AB266" s="666">
        <f t="shared" si="114"/>
        <v>0</v>
      </c>
      <c r="AC266" s="674">
        <f t="shared" si="114"/>
        <v>240</v>
      </c>
      <c r="AD266" s="691"/>
      <c r="AE266" s="529">
        <f>AE177-AE256+AE262</f>
        <v>4176</v>
      </c>
      <c r="AF266" s="3775">
        <f>AF177-AF256-AG256+AF262</f>
        <v>6</v>
      </c>
      <c r="AG266" s="3884"/>
      <c r="AH266" s="529">
        <f>AH177-AH256+AH262</f>
        <v>4182</v>
      </c>
      <c r="AI266" s="529">
        <f>AI177-AI256+AI262</f>
        <v>177</v>
      </c>
      <c r="AJ266" s="693">
        <f>AJ177-AJ256+AJ262</f>
        <v>4359</v>
      </c>
    </row>
    <row r="267" spans="1:36" ht="21" thickBot="1">
      <c r="A267" s="640" t="s">
        <v>515</v>
      </c>
      <c r="B267" s="641"/>
      <c r="C267" s="641"/>
      <c r="D267" s="642"/>
      <c r="E267" s="529">
        <f>E266/12</f>
        <v>0</v>
      </c>
      <c r="F267" s="529">
        <f>F266/12</f>
        <v>0</v>
      </c>
      <c r="G267" s="529">
        <f t="shared" ref="G267:AC267" si="115">G266/12</f>
        <v>0</v>
      </c>
      <c r="H267" s="529">
        <f t="shared" si="115"/>
        <v>0</v>
      </c>
      <c r="I267" s="529">
        <f t="shared" si="115"/>
        <v>0</v>
      </c>
      <c r="J267" s="529">
        <f t="shared" si="115"/>
        <v>12</v>
      </c>
      <c r="K267" s="529">
        <f t="shared" si="115"/>
        <v>0</v>
      </c>
      <c r="L267" s="529"/>
      <c r="M267" s="529">
        <f t="shared" si="115"/>
        <v>19</v>
      </c>
      <c r="N267" s="529">
        <f t="shared" si="115"/>
        <v>2</v>
      </c>
      <c r="O267" s="529">
        <f t="shared" si="115"/>
        <v>110</v>
      </c>
      <c r="P267" s="529">
        <f t="shared" si="115"/>
        <v>0</v>
      </c>
      <c r="Q267" s="529">
        <f t="shared" si="115"/>
        <v>-3</v>
      </c>
      <c r="R267" s="529">
        <f t="shared" si="115"/>
        <v>14</v>
      </c>
      <c r="S267" s="529">
        <f t="shared" si="115"/>
        <v>0</v>
      </c>
      <c r="T267" s="529">
        <f t="shared" si="115"/>
        <v>29</v>
      </c>
      <c r="U267" s="529"/>
      <c r="V267" s="529">
        <f t="shared" si="115"/>
        <v>0</v>
      </c>
      <c r="W267" s="529">
        <f t="shared" si="115"/>
        <v>113</v>
      </c>
      <c r="X267" s="529">
        <f t="shared" si="115"/>
        <v>12</v>
      </c>
      <c r="Y267" s="529">
        <f t="shared" si="115"/>
        <v>2</v>
      </c>
      <c r="Z267" s="529">
        <f t="shared" si="115"/>
        <v>18</v>
      </c>
      <c r="AA267" s="529">
        <f t="shared" si="115"/>
        <v>0</v>
      </c>
      <c r="AB267" s="529">
        <f t="shared" si="115"/>
        <v>0</v>
      </c>
      <c r="AC267" s="529">
        <f t="shared" si="115"/>
        <v>20</v>
      </c>
      <c r="AD267" s="692"/>
      <c r="AE267" s="693">
        <f>AE266/12</f>
        <v>348</v>
      </c>
      <c r="AF267" s="3775">
        <f>AF266/12</f>
        <v>0.5</v>
      </c>
      <c r="AG267" s="3884"/>
      <c r="AH267" s="693">
        <f>AH266/12</f>
        <v>348.5</v>
      </c>
      <c r="AI267" s="574">
        <f>AI266/12</f>
        <v>14.75</v>
      </c>
      <c r="AJ267" s="706">
        <f>AJ266/12</f>
        <v>363.25</v>
      </c>
    </row>
    <row r="268" spans="1:36" ht="21" thickBot="1">
      <c r="A268" s="643" t="s">
        <v>156</v>
      </c>
      <c r="B268" s="644"/>
      <c r="C268" s="644"/>
      <c r="D268" s="645"/>
      <c r="E268" s="3897">
        <f>SUM(E267:K267)</f>
        <v>12</v>
      </c>
      <c r="F268" s="3898"/>
      <c r="G268" s="3898"/>
      <c r="H268" s="3898"/>
      <c r="I268" s="3898"/>
      <c r="J268" s="3898"/>
      <c r="K268" s="3899"/>
      <c r="L268" s="667"/>
      <c r="M268" s="3778">
        <f>SUM(M267:T267)</f>
        <v>171</v>
      </c>
      <c r="N268" s="3779"/>
      <c r="O268" s="3779"/>
      <c r="P268" s="3779"/>
      <c r="Q268" s="3779"/>
      <c r="R268" s="3779"/>
      <c r="S268" s="3779"/>
      <c r="T268" s="3780"/>
      <c r="U268" s="675"/>
      <c r="V268" s="3778">
        <f>SUM(V267:AC267)</f>
        <v>165</v>
      </c>
      <c r="W268" s="3779"/>
      <c r="X268" s="3779"/>
      <c r="Y268" s="3779"/>
      <c r="Z268" s="3779"/>
      <c r="AA268" s="3779"/>
      <c r="AB268" s="3779"/>
      <c r="AC268" s="3780"/>
      <c r="AD268" s="694"/>
      <c r="AE268" s="694"/>
      <c r="AF268" s="694"/>
      <c r="AG268" s="694"/>
      <c r="AH268" s="694"/>
      <c r="AI268" s="694"/>
      <c r="AJ268" s="707"/>
    </row>
    <row r="269" spans="1:36" ht="21" thickBot="1">
      <c r="A269" s="646" t="s">
        <v>157</v>
      </c>
      <c r="B269" s="647"/>
      <c r="C269" s="647"/>
      <c r="D269" s="648"/>
      <c r="E269" s="3875">
        <f>SUM(E266:K266)</f>
        <v>144</v>
      </c>
      <c r="F269" s="3876"/>
      <c r="G269" s="3876"/>
      <c r="H269" s="3876"/>
      <c r="I269" s="3876"/>
      <c r="J269" s="3876"/>
      <c r="K269" s="3900"/>
      <c r="L269" s="669"/>
      <c r="M269" s="3877">
        <f>SUM(M266:T266)</f>
        <v>2052</v>
      </c>
      <c r="N269" s="3878"/>
      <c r="O269" s="3878"/>
      <c r="P269" s="3878"/>
      <c r="Q269" s="3878"/>
      <c r="R269" s="3878"/>
      <c r="S269" s="3878"/>
      <c r="T269" s="3879"/>
      <c r="U269" s="676"/>
      <c r="V269" s="3781">
        <f>SUM(V266:AC266)</f>
        <v>1980</v>
      </c>
      <c r="W269" s="3788"/>
      <c r="X269" s="3788"/>
      <c r="Y269" s="3788"/>
      <c r="Z269" s="3788"/>
      <c r="AA269" s="3788"/>
      <c r="AB269" s="3788"/>
      <c r="AC269" s="3880"/>
      <c r="AD269" s="688"/>
      <c r="AE269" s="689"/>
      <c r="AF269" s="673"/>
      <c r="AG269" s="673"/>
      <c r="AH269" s="689"/>
      <c r="AI269" s="689"/>
      <c r="AJ269" s="704"/>
    </row>
    <row r="270" spans="1:36">
      <c r="A270" s="634"/>
      <c r="B270" s="635"/>
      <c r="C270" s="635"/>
      <c r="D270" s="649"/>
      <c r="E270" s="634"/>
      <c r="F270" s="634"/>
      <c r="G270" s="634"/>
      <c r="H270" s="634"/>
      <c r="I270" s="634"/>
      <c r="J270" s="634"/>
      <c r="K270" s="634"/>
      <c r="L270" s="634"/>
      <c r="M270" s="634"/>
      <c r="N270" s="634"/>
      <c r="O270" s="634"/>
      <c r="P270" s="634"/>
      <c r="Q270" s="634"/>
      <c r="R270" s="634"/>
      <c r="S270" s="634"/>
      <c r="T270" s="634"/>
      <c r="U270" s="634"/>
      <c r="V270" s="634"/>
      <c r="W270" s="634"/>
      <c r="X270" s="634"/>
      <c r="Y270" s="634"/>
      <c r="Z270" s="634"/>
      <c r="AA270" s="634"/>
      <c r="AB270" s="690"/>
      <c r="AC270" s="690"/>
      <c r="AD270" s="690"/>
      <c r="AE270" s="690"/>
      <c r="AF270" s="634"/>
      <c r="AG270" s="634"/>
      <c r="AH270" s="634"/>
      <c r="AI270" s="634"/>
      <c r="AJ270" s="634"/>
    </row>
    <row r="271" spans="1:36" ht="21" thickBot="1">
      <c r="A271" s="650"/>
      <c r="B271" s="651"/>
      <c r="C271" s="651"/>
      <c r="D271" s="650"/>
      <c r="E271" s="650"/>
      <c r="F271" s="650"/>
      <c r="G271" s="650"/>
      <c r="H271" s="650"/>
      <c r="I271" s="650"/>
      <c r="J271" s="650"/>
      <c r="K271" s="650"/>
      <c r="L271" s="650"/>
      <c r="M271" s="650"/>
      <c r="N271" s="650"/>
      <c r="O271" s="650"/>
      <c r="P271" s="650"/>
      <c r="Q271" s="650"/>
      <c r="R271" s="650"/>
      <c r="S271" s="650"/>
      <c r="T271" s="650"/>
      <c r="U271" s="650"/>
      <c r="V271" s="650"/>
      <c r="W271" s="650"/>
      <c r="X271" s="650"/>
      <c r="Y271" s="650"/>
      <c r="Z271" s="650"/>
      <c r="AA271" s="650"/>
      <c r="AB271" s="650"/>
      <c r="AC271" s="650"/>
      <c r="AD271" s="650"/>
      <c r="AE271" s="650"/>
      <c r="AF271" s="650"/>
      <c r="AG271" s="650"/>
      <c r="AH271" s="650"/>
      <c r="AI271" s="650"/>
      <c r="AJ271" s="650"/>
    </row>
    <row r="272" spans="1:36" ht="27.75" thickBot="1">
      <c r="A272" s="634"/>
      <c r="B272" s="635"/>
      <c r="C272" s="635"/>
      <c r="D272" s="634"/>
      <c r="E272" s="634"/>
      <c r="F272" s="634"/>
      <c r="G272" s="634"/>
      <c r="H272" s="634"/>
      <c r="I272" s="634"/>
      <c r="J272" s="634"/>
      <c r="K272" s="634"/>
      <c r="L272" s="634"/>
      <c r="M272" s="634"/>
      <c r="N272" s="634"/>
      <c r="O272" s="634"/>
      <c r="P272" s="634"/>
      <c r="Q272" s="634"/>
      <c r="R272" s="634"/>
      <c r="S272" s="634"/>
      <c r="T272" s="634"/>
      <c r="U272" s="634"/>
      <c r="V272" s="634"/>
      <c r="W272" s="677"/>
      <c r="X272" s="3857" t="s">
        <v>158</v>
      </c>
      <c r="Y272" s="3858"/>
      <c r="Z272" s="3858"/>
      <c r="AA272" s="3858"/>
      <c r="AB272" s="3859"/>
      <c r="AC272" s="3802">
        <f>'BIG CHAIR'!CI325</f>
        <v>0</v>
      </c>
      <c r="AD272" s="3803"/>
      <c r="AE272" s="3804"/>
      <c r="AF272" s="634"/>
      <c r="AG272" s="634"/>
      <c r="AH272" s="634"/>
      <c r="AI272" s="634"/>
      <c r="AJ272" s="634"/>
    </row>
    <row r="273" spans="1:36" ht="27.75" thickBot="1">
      <c r="A273" s="634"/>
      <c r="B273" s="635"/>
      <c r="C273" s="635"/>
      <c r="D273" s="634"/>
      <c r="E273" s="634"/>
      <c r="F273" s="634"/>
      <c r="G273" s="634"/>
      <c r="H273" s="634"/>
      <c r="I273" s="634"/>
      <c r="J273" s="634"/>
      <c r="K273" s="634"/>
      <c r="L273" s="634"/>
      <c r="M273" s="634"/>
      <c r="N273" s="634"/>
      <c r="O273" s="634"/>
      <c r="P273" s="634"/>
      <c r="Q273" s="634"/>
      <c r="R273" s="634"/>
      <c r="S273" s="634"/>
      <c r="T273" s="634"/>
      <c r="U273" s="634"/>
      <c r="V273" s="634"/>
      <c r="W273" s="677"/>
      <c r="X273" s="3857" t="s">
        <v>159</v>
      </c>
      <c r="Y273" s="3858"/>
      <c r="Z273" s="3858"/>
      <c r="AA273" s="3858"/>
      <c r="AB273" s="3859"/>
      <c r="AC273" s="3872">
        <f>AE266</f>
        <v>4176</v>
      </c>
      <c r="AD273" s="3873"/>
      <c r="AE273" s="3874"/>
      <c r="AF273" s="634"/>
      <c r="AG273" s="634"/>
      <c r="AH273" s="634"/>
      <c r="AI273" s="634"/>
      <c r="AJ273" s="708"/>
    </row>
    <row r="274" spans="1:36" ht="27.75" thickBot="1">
      <c r="A274" s="634"/>
      <c r="B274" s="635"/>
      <c r="C274" s="635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4"/>
      <c r="P274" s="634"/>
      <c r="Q274" s="634"/>
      <c r="R274" s="634"/>
      <c r="S274" s="634"/>
      <c r="T274" s="634"/>
      <c r="U274" s="634"/>
      <c r="V274" s="634"/>
      <c r="W274" s="677"/>
      <c r="X274" s="3857" t="s">
        <v>160</v>
      </c>
      <c r="Y274" s="3858"/>
      <c r="Z274" s="3858"/>
      <c r="AA274" s="3858"/>
      <c r="AB274" s="3859"/>
      <c r="AC274" s="3802">
        <f>'BIG CHAIR'!CJ325</f>
        <v>0</v>
      </c>
      <c r="AD274" s="3803"/>
      <c r="AE274" s="3804"/>
      <c r="AF274" s="634"/>
      <c r="AG274" s="634"/>
      <c r="AH274" s="634"/>
      <c r="AI274" s="634"/>
      <c r="AJ274" s="634"/>
    </row>
    <row r="275" spans="1:36" ht="27.75" thickBot="1">
      <c r="A275" s="634"/>
      <c r="B275" s="635"/>
      <c r="C275" s="635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4"/>
      <c r="P275" s="634"/>
      <c r="Q275" s="634"/>
      <c r="R275" s="634"/>
      <c r="S275" s="634"/>
      <c r="T275" s="634"/>
      <c r="U275" s="634"/>
      <c r="V275" s="634"/>
      <c r="W275" s="677"/>
      <c r="X275" s="3857" t="s">
        <v>161</v>
      </c>
      <c r="Y275" s="3858"/>
      <c r="Z275" s="3858"/>
      <c r="AA275" s="3858"/>
      <c r="AB275" s="3858"/>
      <c r="AC275" s="3872">
        <f>AF266</f>
        <v>6</v>
      </c>
      <c r="AD275" s="3803"/>
      <c r="AE275" s="3804"/>
      <c r="AF275" s="634"/>
      <c r="AG275" s="634"/>
      <c r="AH275" s="634"/>
      <c r="AI275" s="634"/>
      <c r="AJ275" s="634"/>
    </row>
    <row r="276" spans="1:36" ht="27.75" thickBot="1">
      <c r="A276" s="634"/>
      <c r="B276" s="635"/>
      <c r="C276" s="635"/>
      <c r="D276" s="634"/>
      <c r="E276" s="634"/>
      <c r="F276" s="634"/>
      <c r="G276" s="634"/>
      <c r="H276" s="634"/>
      <c r="I276" s="634"/>
      <c r="J276" s="634"/>
      <c r="K276" s="634"/>
      <c r="L276" s="634"/>
      <c r="M276" s="634"/>
      <c r="N276" s="634"/>
      <c r="O276" s="634"/>
      <c r="P276" s="634"/>
      <c r="Q276" s="634"/>
      <c r="R276" s="634"/>
      <c r="S276" s="634"/>
      <c r="T276" s="634"/>
      <c r="U276" s="634"/>
      <c r="V276" s="634"/>
      <c r="W276" s="677"/>
      <c r="X276" s="3857" t="s">
        <v>162</v>
      </c>
      <c r="Y276" s="3858"/>
      <c r="Z276" s="3858"/>
      <c r="AA276" s="3858"/>
      <c r="AB276" s="3859"/>
      <c r="AC276" s="3802">
        <f>'Tea Table'!U285</f>
        <v>2676</v>
      </c>
      <c r="AD276" s="3803"/>
      <c r="AE276" s="3804"/>
      <c r="AF276" s="634"/>
      <c r="AG276" s="634"/>
      <c r="AH276" s="634"/>
      <c r="AI276" s="634"/>
      <c r="AJ276" s="634"/>
    </row>
    <row r="277" spans="1:36" ht="27.75" thickBot="1">
      <c r="A277" s="634"/>
      <c r="B277" s="635"/>
      <c r="C277" s="635"/>
      <c r="D277" s="634"/>
      <c r="E277" s="634"/>
      <c r="F277" s="634"/>
      <c r="G277" s="634"/>
      <c r="H277" s="634"/>
      <c r="I277" s="634"/>
      <c r="J277" s="634"/>
      <c r="K277" s="634"/>
      <c r="L277" s="634"/>
      <c r="M277" s="634"/>
      <c r="N277" s="634"/>
      <c r="O277" s="634"/>
      <c r="P277" s="634"/>
      <c r="Q277" s="634"/>
      <c r="R277" s="634"/>
      <c r="S277" s="634"/>
      <c r="T277" s="634"/>
      <c r="U277" s="634"/>
      <c r="V277" s="634"/>
      <c r="W277" s="677"/>
      <c r="X277" s="3860" t="s">
        <v>163</v>
      </c>
      <c r="Y277" s="3861"/>
      <c r="Z277" s="3861"/>
      <c r="AA277" s="3861"/>
      <c r="AB277" s="3862"/>
      <c r="AC277" s="3863">
        <f>'Tea Table'!V285</f>
        <v>29</v>
      </c>
      <c r="AD277" s="3864"/>
      <c r="AE277" s="3865"/>
      <c r="AF277" s="634"/>
      <c r="AG277" s="634"/>
      <c r="AH277" s="634"/>
      <c r="AI277" s="634"/>
      <c r="AJ277" s="634"/>
    </row>
    <row r="278" spans="1:36" ht="28.5" thickTop="1" thickBot="1">
      <c r="A278" s="634"/>
      <c r="B278" s="635"/>
      <c r="C278" s="635"/>
      <c r="D278" s="634"/>
      <c r="E278" s="634"/>
      <c r="F278" s="634"/>
      <c r="G278" s="634"/>
      <c r="H278" s="634"/>
      <c r="I278" s="634"/>
      <c r="J278" s="634"/>
      <c r="K278" s="634"/>
      <c r="L278" s="634"/>
      <c r="M278" s="634"/>
      <c r="N278" s="634"/>
      <c r="O278" s="634"/>
      <c r="P278" s="634"/>
      <c r="Q278" s="634"/>
      <c r="R278" s="634"/>
      <c r="S278" s="634"/>
      <c r="T278" s="634"/>
      <c r="U278" s="634"/>
      <c r="V278" s="634"/>
      <c r="W278" s="677"/>
      <c r="X278" s="3866"/>
      <c r="Y278" s="3867"/>
      <c r="Z278" s="3867"/>
      <c r="AA278" s="3867"/>
      <c r="AB278" s="3868"/>
      <c r="AC278" s="3869"/>
      <c r="AD278" s="3870"/>
      <c r="AE278" s="3871"/>
      <c r="AF278" s="634"/>
      <c r="AG278" s="634"/>
      <c r="AH278" s="634"/>
      <c r="AI278" s="634"/>
      <c r="AJ278" s="634"/>
    </row>
    <row r="279" spans="1:36" ht="27.75" thickBot="1">
      <c r="A279" s="634"/>
      <c r="B279" s="635"/>
      <c r="C279" s="635"/>
      <c r="D279" s="634"/>
      <c r="E279" s="634"/>
      <c r="F279" s="634"/>
      <c r="G279" s="634"/>
      <c r="H279" s="63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77"/>
      <c r="X279" s="3857" t="s">
        <v>164</v>
      </c>
      <c r="Y279" s="3858"/>
      <c r="Z279" s="3858"/>
      <c r="AA279" s="3858"/>
      <c r="AB279" s="3859"/>
      <c r="AC279" s="3796">
        <f>SUM(AC272:AE278)</f>
        <v>6887</v>
      </c>
      <c r="AD279" s="3797"/>
      <c r="AE279" s="3798"/>
      <c r="AF279" s="634"/>
      <c r="AG279" s="634"/>
      <c r="AH279" s="634"/>
      <c r="AI279" s="634"/>
      <c r="AJ279" s="634"/>
    </row>
    <row r="280" spans="1:36" ht="27.75" thickBot="1">
      <c r="A280" s="634"/>
      <c r="B280" s="635"/>
      <c r="C280" s="635"/>
      <c r="D280" s="634"/>
      <c r="E280" s="634"/>
      <c r="F280" s="634"/>
      <c r="G280" s="634"/>
      <c r="H280" s="634"/>
      <c r="I280" s="634"/>
      <c r="J280" s="634"/>
      <c r="K280" s="634"/>
      <c r="L280" s="634"/>
      <c r="M280" s="634"/>
      <c r="N280" s="634"/>
      <c r="O280" s="634"/>
      <c r="P280" s="634"/>
      <c r="Q280" s="634"/>
      <c r="R280" s="634"/>
      <c r="S280" s="634"/>
      <c r="T280" s="634"/>
      <c r="U280" s="634"/>
      <c r="V280" s="634"/>
      <c r="W280" s="677"/>
      <c r="X280" s="3857" t="s">
        <v>165</v>
      </c>
      <c r="Y280" s="3858"/>
      <c r="Z280" s="3858"/>
      <c r="AA280" s="3858"/>
      <c r="AB280" s="3859"/>
      <c r="AC280" s="3796">
        <f>AE267+'BIG CHAIR'!CI326+'Tea Table'!U286</f>
        <v>571</v>
      </c>
      <c r="AD280" s="3797"/>
      <c r="AE280" s="3798"/>
      <c r="AF280" s="695"/>
      <c r="AG280" s="695"/>
      <c r="AH280" s="695"/>
      <c r="AI280" s="634"/>
      <c r="AJ280" s="634"/>
    </row>
    <row r="281" spans="1:36">
      <c r="B281" s="652"/>
      <c r="C281" s="652"/>
      <c r="AB281" s="696"/>
      <c r="AC281" s="696"/>
      <c r="AD281" s="696"/>
      <c r="AE281" s="696"/>
    </row>
    <row r="282" spans="1:36">
      <c r="B282" s="652"/>
      <c r="C282" s="652"/>
      <c r="AB282" s="696"/>
      <c r="AC282" s="696"/>
      <c r="AD282" s="696"/>
      <c r="AE282" s="696"/>
    </row>
    <row r="283" spans="1:36">
      <c r="B283" s="652"/>
      <c r="C283" s="652"/>
      <c r="AB283" s="696"/>
      <c r="AC283" s="696"/>
      <c r="AD283" s="696"/>
      <c r="AE283" s="696"/>
    </row>
    <row r="284" spans="1:36">
      <c r="B284" s="652"/>
      <c r="C284" s="652"/>
      <c r="AB284" s="696"/>
      <c r="AC284" s="696"/>
      <c r="AD284" s="696"/>
      <c r="AE284" s="696"/>
    </row>
    <row r="285" spans="1:36">
      <c r="B285" s="652"/>
      <c r="C285" s="652"/>
      <c r="AB285" s="696"/>
      <c r="AC285" s="696"/>
      <c r="AD285" s="696"/>
      <c r="AE285" s="696"/>
    </row>
    <row r="286" spans="1:36">
      <c r="B286" s="652"/>
      <c r="C286" s="652"/>
      <c r="AB286" s="696"/>
      <c r="AC286" s="696"/>
      <c r="AD286" s="696"/>
      <c r="AE286" s="696"/>
    </row>
    <row r="287" spans="1:36">
      <c r="B287" s="652"/>
      <c r="C287" s="652"/>
      <c r="AB287" s="696"/>
      <c r="AC287" s="696"/>
      <c r="AD287" s="696"/>
      <c r="AE287" s="696"/>
    </row>
    <row r="288" spans="1:36">
      <c r="B288" s="652"/>
      <c r="C288" s="652"/>
      <c r="AB288" s="696"/>
      <c r="AC288" s="696"/>
      <c r="AD288" s="696"/>
      <c r="AE288" s="696"/>
    </row>
    <row r="289" spans="2:31">
      <c r="B289" s="652"/>
      <c r="C289" s="652"/>
      <c r="AB289" s="696"/>
      <c r="AC289" s="696"/>
      <c r="AD289" s="696"/>
      <c r="AE289" s="696"/>
    </row>
    <row r="290" spans="2:31">
      <c r="B290" s="652"/>
      <c r="C290" s="652"/>
      <c r="AB290" s="696"/>
      <c r="AC290" s="696"/>
      <c r="AD290" s="696"/>
      <c r="AE290" s="696"/>
    </row>
    <row r="291" spans="2:31">
      <c r="B291" s="652"/>
      <c r="C291" s="652"/>
      <c r="AB291" s="696"/>
      <c r="AC291" s="696"/>
      <c r="AD291" s="696"/>
      <c r="AE291" s="696"/>
    </row>
    <row r="292" spans="2:31">
      <c r="B292" s="652"/>
      <c r="C292" s="652"/>
      <c r="AB292" s="696"/>
      <c r="AC292" s="696"/>
      <c r="AD292" s="696"/>
      <c r="AE292" s="696"/>
    </row>
    <row r="293" spans="2:31">
      <c r="B293" s="652"/>
      <c r="C293" s="652"/>
      <c r="AB293" s="696"/>
      <c r="AC293" s="696"/>
      <c r="AD293" s="696"/>
      <c r="AE293" s="696"/>
    </row>
    <row r="294" spans="2:31">
      <c r="B294" s="652"/>
      <c r="C294" s="652"/>
      <c r="AB294" s="696"/>
      <c r="AC294" s="696"/>
      <c r="AD294" s="696"/>
      <c r="AE294" s="696"/>
    </row>
    <row r="295" spans="2:31">
      <c r="B295" s="652"/>
      <c r="C295" s="652"/>
      <c r="AB295" s="696"/>
      <c r="AC295" s="696"/>
      <c r="AD295" s="696"/>
      <c r="AE295" s="696"/>
    </row>
    <row r="296" spans="2:31">
      <c r="B296" s="652"/>
      <c r="C296" s="652"/>
      <c r="AB296" s="696"/>
      <c r="AC296" s="696"/>
      <c r="AD296" s="696"/>
      <c r="AE296" s="696"/>
    </row>
    <row r="297" spans="2:31">
      <c r="B297" s="652"/>
      <c r="C297" s="652"/>
      <c r="AB297" s="696"/>
      <c r="AC297" s="696"/>
      <c r="AD297" s="696"/>
      <c r="AE297" s="696"/>
    </row>
    <row r="298" spans="2:31">
      <c r="B298" s="652"/>
      <c r="C298" s="652"/>
      <c r="AB298" s="696"/>
      <c r="AC298" s="696"/>
      <c r="AD298" s="696"/>
      <c r="AE298" s="696"/>
    </row>
  </sheetData>
  <mergeCells count="53">
    <mergeCell ref="V2:AC2"/>
    <mergeCell ref="AE2:AJ2"/>
    <mergeCell ref="A179:AJ179"/>
    <mergeCell ref="A180:D180"/>
    <mergeCell ref="E180:K180"/>
    <mergeCell ref="M180:T180"/>
    <mergeCell ref="V180:AC180"/>
    <mergeCell ref="AE180:AJ180"/>
    <mergeCell ref="A2:D2"/>
    <mergeCell ref="E2:K2"/>
    <mergeCell ref="M2:T2"/>
    <mergeCell ref="E39:K39"/>
    <mergeCell ref="M39:T39"/>
    <mergeCell ref="V39:AC39"/>
    <mergeCell ref="E54:K54"/>
    <mergeCell ref="M54:T54"/>
    <mergeCell ref="A259:C259"/>
    <mergeCell ref="E264:K264"/>
    <mergeCell ref="M264:T264"/>
    <mergeCell ref="V264:AC264"/>
    <mergeCell ref="AF266:AG266"/>
    <mergeCell ref="AF267:AG267"/>
    <mergeCell ref="E268:K268"/>
    <mergeCell ref="M268:T268"/>
    <mergeCell ref="V268:AC268"/>
    <mergeCell ref="E269:K269"/>
    <mergeCell ref="M269:T269"/>
    <mergeCell ref="V269:AC269"/>
    <mergeCell ref="X279:AB279"/>
    <mergeCell ref="AC279:AE279"/>
    <mergeCell ref="X280:AB280"/>
    <mergeCell ref="AC280:AE280"/>
    <mergeCell ref="X275:AB275"/>
    <mergeCell ref="AC275:AE275"/>
    <mergeCell ref="X276:AB276"/>
    <mergeCell ref="AC276:AE276"/>
    <mergeCell ref="X277:AB277"/>
    <mergeCell ref="AC277:AE277"/>
    <mergeCell ref="V54:AC54"/>
    <mergeCell ref="E115:K115"/>
    <mergeCell ref="M115:T115"/>
    <mergeCell ref="V115:AC115"/>
    <mergeCell ref="X278:AB278"/>
    <mergeCell ref="AC278:AE278"/>
    <mergeCell ref="X272:AB272"/>
    <mergeCell ref="AC272:AE272"/>
    <mergeCell ref="X273:AB273"/>
    <mergeCell ref="AC273:AE273"/>
    <mergeCell ref="X274:AB274"/>
    <mergeCell ref="AC274:AE274"/>
    <mergeCell ref="E143:K143"/>
    <mergeCell ref="M143:T143"/>
    <mergeCell ref="V143:AC143"/>
  </mergeCells>
  <pageMargins left="0.70866141732283472" right="0.70866141732283472" top="0.74803149606299213" bottom="0.74803149606299213" header="0.31496062992125984" footer="0.31496062992125984"/>
  <pageSetup scale="12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98"/>
  <sheetViews>
    <sheetView topLeftCell="A164" zoomScaleNormal="100" workbookViewId="0">
      <selection activeCell="A179" sqref="A179"/>
    </sheetView>
  </sheetViews>
  <sheetFormatPr defaultColWidth="9" defaultRowHeight="15"/>
  <cols>
    <col min="1" max="1" width="55.42578125" customWidth="1"/>
    <col min="2" max="2" width="16.5703125" style="276" customWidth="1"/>
    <col min="3" max="3" width="7.7109375" style="276" bestFit="1" customWidth="1"/>
    <col min="4" max="4" width="20.85546875" customWidth="1"/>
    <col min="5" max="5" width="15.85546875" customWidth="1"/>
    <col min="6" max="8" width="11.5703125" customWidth="1"/>
    <col min="9" max="9" width="11.5703125" bestFit="1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9" width="11.5703125" customWidth="1"/>
    <col min="20" max="20" width="14.7109375" customWidth="1"/>
    <col min="21" max="21" width="1.5703125" customWidth="1"/>
    <col min="22" max="22" width="15.7109375" customWidth="1"/>
    <col min="23" max="23" width="11.5703125" customWidth="1"/>
    <col min="24" max="24" width="12.85546875" customWidth="1"/>
    <col min="25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7" thickBot="1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210</v>
      </c>
      <c r="F2" s="3892"/>
      <c r="G2" s="3892"/>
      <c r="H2" s="3892"/>
      <c r="I2" s="3892"/>
      <c r="J2" s="3892"/>
      <c r="K2" s="3904"/>
      <c r="L2" s="336"/>
      <c r="M2" s="3893" t="s">
        <v>211</v>
      </c>
      <c r="N2" s="3894"/>
      <c r="O2" s="3894"/>
      <c r="P2" s="3894"/>
      <c r="Q2" s="3894"/>
      <c r="R2" s="3894"/>
      <c r="S2" s="3894"/>
      <c r="T2" s="3895"/>
      <c r="U2" s="364"/>
      <c r="V2" s="3893"/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87</v>
      </c>
      <c r="F3" s="49" t="s">
        <v>85</v>
      </c>
      <c r="G3" s="49" t="s">
        <v>86</v>
      </c>
      <c r="H3" s="49" t="s">
        <v>92</v>
      </c>
      <c r="I3" s="49" t="s">
        <v>213</v>
      </c>
      <c r="J3" s="49" t="s">
        <v>97</v>
      </c>
      <c r="K3" s="126" t="s">
        <v>96</v>
      </c>
      <c r="L3" s="79"/>
      <c r="M3" s="80" t="s">
        <v>214</v>
      </c>
      <c r="N3" s="49" t="s">
        <v>53</v>
      </c>
      <c r="O3" s="49" t="s">
        <v>94</v>
      </c>
      <c r="P3" s="49" t="s">
        <v>76</v>
      </c>
      <c r="Q3" s="49" t="s">
        <v>95</v>
      </c>
      <c r="R3" s="49" t="s">
        <v>81</v>
      </c>
      <c r="S3" s="126" t="s">
        <v>136</v>
      </c>
      <c r="T3" s="171" t="s">
        <v>222</v>
      </c>
      <c r="U3" s="79"/>
      <c r="V3" s="99"/>
      <c r="W3" s="101" t="s">
        <v>473</v>
      </c>
      <c r="X3" s="104"/>
      <c r="Y3" s="103"/>
      <c r="Z3" s="104"/>
      <c r="AA3" s="102" t="s">
        <v>474</v>
      </c>
      <c r="AB3" s="121"/>
      <c r="AC3" s="717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/>
      <c r="G4" s="293"/>
      <c r="H4" s="293"/>
      <c r="I4" s="337"/>
      <c r="J4" s="337"/>
      <c r="K4" s="338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>
        <f>188*20</f>
        <v>3760</v>
      </c>
      <c r="X4" s="293"/>
      <c r="Y4" s="337"/>
      <c r="Z4" s="337"/>
      <c r="AA4" s="337"/>
      <c r="AB4" s="293"/>
      <c r="AC4" s="338"/>
      <c r="AD4" s="339"/>
      <c r="AE4" s="373">
        <f>SUM(E4:AC4)</f>
        <v>3760</v>
      </c>
      <c r="AF4" s="374"/>
      <c r="AG4" s="373"/>
      <c r="AH4" s="387">
        <f>AF4+AE4</f>
        <v>3760</v>
      </c>
      <c r="AI4" s="388"/>
      <c r="AJ4" s="389">
        <f>AH4+AI4</f>
        <v>3760</v>
      </c>
    </row>
    <row r="5" spans="1:39" s="283" customFormat="1" ht="21" thickBot="1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7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1" thickBot="1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37" si="1">AE6+AF6</f>
        <v>0</v>
      </c>
      <c r="AI6" s="392"/>
      <c r="AJ6" s="393">
        <f t="shared" ref="AJ6:AJ37" si="2">AH6+AI6</f>
        <v>0</v>
      </c>
      <c r="AK6" s="394"/>
      <c r="AL6" s="54"/>
      <c r="AM6" s="394"/>
    </row>
    <row r="7" spans="1:39" s="283" customFormat="1" ht="21" thickBot="1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1" thickBot="1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1" thickBot="1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2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5">
        <f t="shared" si="2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9.5" thickBot="1">
      <c r="A38" s="302" t="s">
        <v>175</v>
      </c>
      <c r="B38" s="303"/>
      <c r="C38" s="303"/>
      <c r="D38" s="304"/>
      <c r="E38" s="305">
        <f t="shared" ref="E38:AJ38" si="3">SUM(E5:E37)</f>
        <v>0</v>
      </c>
      <c r="F38" s="305">
        <f t="shared" si="3"/>
        <v>0</v>
      </c>
      <c r="G38" s="305">
        <f t="shared" si="3"/>
        <v>0</v>
      </c>
      <c r="H38" s="305">
        <f t="shared" si="3"/>
        <v>0</v>
      </c>
      <c r="I38" s="305">
        <f t="shared" si="3"/>
        <v>0</v>
      </c>
      <c r="J38" s="305">
        <f t="shared" si="3"/>
        <v>0</v>
      </c>
      <c r="K38" s="305">
        <f t="shared" si="3"/>
        <v>0</v>
      </c>
      <c r="L38" s="305">
        <f t="shared" si="3"/>
        <v>0</v>
      </c>
      <c r="M38" s="305">
        <f t="shared" si="3"/>
        <v>0</v>
      </c>
      <c r="N38" s="305">
        <f t="shared" si="3"/>
        <v>0</v>
      </c>
      <c r="O38" s="305">
        <f t="shared" si="3"/>
        <v>0</v>
      </c>
      <c r="P38" s="305">
        <f t="shared" si="3"/>
        <v>0</v>
      </c>
      <c r="Q38" s="305">
        <f t="shared" si="3"/>
        <v>0</v>
      </c>
      <c r="R38" s="305">
        <f t="shared" si="3"/>
        <v>0</v>
      </c>
      <c r="S38" s="305">
        <f t="shared" si="3"/>
        <v>0</v>
      </c>
      <c r="T38" s="812">
        <f t="shared" si="3"/>
        <v>0</v>
      </c>
      <c r="U38" s="305">
        <f t="shared" si="3"/>
        <v>0</v>
      </c>
      <c r="V38" s="305">
        <f t="shared" si="3"/>
        <v>0</v>
      </c>
      <c r="W38" s="305">
        <f t="shared" si="3"/>
        <v>0</v>
      </c>
      <c r="X38" s="305">
        <f t="shared" si="3"/>
        <v>0</v>
      </c>
      <c r="Y38" s="305">
        <f t="shared" si="3"/>
        <v>0</v>
      </c>
      <c r="Z38" s="305">
        <f t="shared" si="3"/>
        <v>0</v>
      </c>
      <c r="AA38" s="305">
        <f t="shared" si="3"/>
        <v>0</v>
      </c>
      <c r="AB38" s="305">
        <f t="shared" si="3"/>
        <v>0</v>
      </c>
      <c r="AC38" s="305">
        <f t="shared" si="3"/>
        <v>0</v>
      </c>
      <c r="AD38" s="305">
        <f t="shared" si="3"/>
        <v>0</v>
      </c>
      <c r="AE38" s="305">
        <f t="shared" si="3"/>
        <v>0</v>
      </c>
      <c r="AF38" s="305">
        <f t="shared" si="3"/>
        <v>0</v>
      </c>
      <c r="AG38" s="305">
        <f t="shared" si="3"/>
        <v>0</v>
      </c>
      <c r="AH38" s="305">
        <f t="shared" si="3"/>
        <v>0</v>
      </c>
      <c r="AI38" s="305">
        <f t="shared" si="3"/>
        <v>0</v>
      </c>
      <c r="AJ38" s="305">
        <f t="shared" si="3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19.5" thickBot="1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86" t="s">
        <v>117</v>
      </c>
      <c r="B40" s="287" t="s">
        <v>68</v>
      </c>
      <c r="C40" s="287" t="s">
        <v>69</v>
      </c>
      <c r="D40" s="288" t="s">
        <v>70</v>
      </c>
      <c r="E40" s="80" t="s">
        <v>87</v>
      </c>
      <c r="F40" s="49" t="s">
        <v>85</v>
      </c>
      <c r="G40" s="49" t="s">
        <v>86</v>
      </c>
      <c r="H40" s="49" t="s">
        <v>92</v>
      </c>
      <c r="I40" s="49" t="s">
        <v>213</v>
      </c>
      <c r="J40" s="49" t="s">
        <v>97</v>
      </c>
      <c r="K40" s="126" t="s">
        <v>96</v>
      </c>
      <c r="L40" s="79"/>
      <c r="M40" s="80" t="s">
        <v>214</v>
      </c>
      <c r="N40" s="49" t="s">
        <v>53</v>
      </c>
      <c r="O40" s="49" t="s">
        <v>94</v>
      </c>
      <c r="P40" s="49" t="s">
        <v>76</v>
      </c>
      <c r="Q40" s="49" t="s">
        <v>95</v>
      </c>
      <c r="R40" s="49" t="s">
        <v>81</v>
      </c>
      <c r="S40" s="126" t="s">
        <v>136</v>
      </c>
      <c r="T40" s="171" t="s">
        <v>222</v>
      </c>
      <c r="U40" s="79"/>
      <c r="V40" s="99" t="s">
        <v>101</v>
      </c>
      <c r="W40" s="101" t="s">
        <v>473</v>
      </c>
      <c r="X40" s="104" t="s">
        <v>215</v>
      </c>
      <c r="Y40" s="103" t="s">
        <v>94</v>
      </c>
      <c r="Z40" s="104"/>
      <c r="AA40" s="102" t="s">
        <v>474</v>
      </c>
      <c r="AB40" s="121" t="s">
        <v>86</v>
      </c>
      <c r="AC40" s="717"/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1" thickBot="1">
      <c r="A41" s="310" t="s">
        <v>176</v>
      </c>
      <c r="B41" s="311"/>
      <c r="C41" s="311"/>
      <c r="D41" s="291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4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1" thickBot="1">
      <c r="A42" s="316" t="s">
        <v>120</v>
      </c>
      <c r="B42" s="317"/>
      <c r="C42" s="317"/>
      <c r="D42" s="291"/>
      <c r="E42" s="319"/>
      <c r="F42" s="320"/>
      <c r="G42" s="320"/>
      <c r="H42" s="321"/>
      <c r="I42" s="321"/>
      <c r="J42" s="320"/>
      <c r="K42" s="351"/>
      <c r="L42" s="352"/>
      <c r="M42" s="353"/>
      <c r="N42" s="321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4"/>
        <v>0</v>
      </c>
      <c r="AF42" s="381"/>
      <c r="AG42" s="408"/>
      <c r="AH42" s="409">
        <f t="shared" ref="AH42:AH52" si="5">AE42+AF42</f>
        <v>0</v>
      </c>
      <c r="AI42" s="410"/>
      <c r="AJ42" s="411">
        <f>AH42+AI42</f>
        <v>0</v>
      </c>
    </row>
    <row r="43" spans="1:39" s="234" customFormat="1" ht="21" thickBot="1">
      <c r="A43" s="316" t="s">
        <v>120</v>
      </c>
      <c r="B43" s="295"/>
      <c r="C43" s="295"/>
      <c r="D43" s="291"/>
      <c r="E43" s="319"/>
      <c r="F43" s="320"/>
      <c r="G43" s="320"/>
      <c r="H43" s="321"/>
      <c r="I43" s="321"/>
      <c r="J43" s="320"/>
      <c r="K43" s="354"/>
      <c r="L43" s="352"/>
      <c r="M43" s="353"/>
      <c r="N43" s="320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4"/>
        <v>0</v>
      </c>
      <c r="AF43" s="381"/>
      <c r="AG43" s="408"/>
      <c r="AH43" s="409">
        <f t="shared" si="5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295"/>
      <c r="C44" s="295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0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4"/>
        <v>0</v>
      </c>
      <c r="AF44" s="381"/>
      <c r="AG44" s="408"/>
      <c r="AH44" s="409">
        <f t="shared" si="5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295"/>
      <c r="C45" s="295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4"/>
        <v>0</v>
      </c>
      <c r="AF45" s="381"/>
      <c r="AG45" s="408"/>
      <c r="AH45" s="409">
        <f t="shared" si="5"/>
        <v>0</v>
      </c>
      <c r="AI45" s="410"/>
      <c r="AJ45" s="411">
        <f t="shared" ref="AJ45:AJ52" si="6">AH45+AI45</f>
        <v>0</v>
      </c>
    </row>
    <row r="46" spans="1:39" s="234" customFormat="1" ht="20.25">
      <c r="A46" s="316" t="s">
        <v>120</v>
      </c>
      <c r="B46" s="295"/>
      <c r="C46" s="295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7">SUM(E46:AC46)</f>
        <v>0</v>
      </c>
      <c r="AF46" s="381"/>
      <c r="AG46" s="408"/>
      <c r="AH46" s="409">
        <f t="shared" si="5"/>
        <v>0</v>
      </c>
      <c r="AI46" s="410"/>
      <c r="AJ46" s="411">
        <f t="shared" si="6"/>
        <v>0</v>
      </c>
    </row>
    <row r="47" spans="1:39" s="234" customFormat="1" ht="20.25">
      <c r="A47" s="316" t="s">
        <v>120</v>
      </c>
      <c r="B47" s="295"/>
      <c r="C47" s="295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4"/>
        <v>0</v>
      </c>
      <c r="AF47" s="381"/>
      <c r="AG47" s="408"/>
      <c r="AH47" s="409">
        <f t="shared" si="5"/>
        <v>0</v>
      </c>
      <c r="AI47" s="410"/>
      <c r="AJ47" s="411">
        <f t="shared" si="6"/>
        <v>0</v>
      </c>
    </row>
    <row r="48" spans="1:39" s="234" customFormat="1" ht="20.25">
      <c r="A48" s="316" t="s">
        <v>120</v>
      </c>
      <c r="B48" s="295"/>
      <c r="C48" s="295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4"/>
        <v>0</v>
      </c>
      <c r="AF48" s="381"/>
      <c r="AG48" s="408"/>
      <c r="AH48" s="409">
        <f t="shared" si="5"/>
        <v>0</v>
      </c>
      <c r="AI48" s="410"/>
      <c r="AJ48" s="411">
        <f t="shared" si="6"/>
        <v>0</v>
      </c>
    </row>
    <row r="49" spans="1:39" s="234" customFormat="1" ht="20.25">
      <c r="A49" s="316" t="s">
        <v>120</v>
      </c>
      <c r="B49" s="295"/>
      <c r="C49" s="295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8">SUM(E49:AC49)</f>
        <v>0</v>
      </c>
      <c r="AF49" s="381"/>
      <c r="AG49" s="408"/>
      <c r="AH49" s="409">
        <f t="shared" si="5"/>
        <v>0</v>
      </c>
      <c r="AI49" s="410"/>
      <c r="AJ49" s="411">
        <f t="shared" si="6"/>
        <v>0</v>
      </c>
    </row>
    <row r="50" spans="1:39" s="234" customFormat="1" ht="20.25">
      <c r="A50" s="316" t="s">
        <v>120</v>
      </c>
      <c r="B50" s="295"/>
      <c r="C50" s="295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8"/>
        <v>0</v>
      </c>
      <c r="AF50" s="381"/>
      <c r="AG50" s="408"/>
      <c r="AH50" s="409">
        <f t="shared" si="5"/>
        <v>0</v>
      </c>
      <c r="AI50" s="410"/>
      <c r="AJ50" s="411">
        <f t="shared" si="6"/>
        <v>0</v>
      </c>
    </row>
    <row r="51" spans="1:39" s="234" customFormat="1" ht="21" thickBot="1">
      <c r="A51" s="316" t="s">
        <v>120</v>
      </c>
      <c r="B51" s="295"/>
      <c r="C51" s="295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4"/>
        <v>0</v>
      </c>
      <c r="AF51" s="381"/>
      <c r="AG51" s="408"/>
      <c r="AH51" s="409">
        <f t="shared" si="5"/>
        <v>0</v>
      </c>
      <c r="AI51" s="410"/>
      <c r="AJ51" s="411">
        <f t="shared" si="6"/>
        <v>0</v>
      </c>
    </row>
    <row r="52" spans="1:39" s="283" customFormat="1" ht="21" thickBot="1">
      <c r="A52" s="322"/>
      <c r="B52" s="323"/>
      <c r="C52" s="323"/>
      <c r="D52" s="324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9">SUM(E52:AC52)</f>
        <v>0</v>
      </c>
      <c r="AF52" s="377"/>
      <c r="AG52" s="390"/>
      <c r="AH52" s="391">
        <f t="shared" si="5"/>
        <v>0</v>
      </c>
      <c r="AI52" s="412"/>
      <c r="AJ52" s="413">
        <f t="shared" si="6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9.5" thickBot="1">
      <c r="A53" s="326" t="s">
        <v>177</v>
      </c>
      <c r="B53" s="327"/>
      <c r="C53" s="327"/>
      <c r="D53" s="328"/>
      <c r="E53" s="329">
        <f>SUM(E41:E52)</f>
        <v>0</v>
      </c>
      <c r="F53" s="329">
        <f t="shared" ref="F53:K53" si="10">SUM(F41:F52)</f>
        <v>0</v>
      </c>
      <c r="G53" s="329">
        <f t="shared" si="10"/>
        <v>0</v>
      </c>
      <c r="H53" s="329">
        <f t="shared" si="10"/>
        <v>0</v>
      </c>
      <c r="I53" s="329">
        <f t="shared" si="10"/>
        <v>0</v>
      </c>
      <c r="J53" s="329">
        <f t="shared" si="10"/>
        <v>0</v>
      </c>
      <c r="K53" s="329">
        <f t="shared" si="10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11">SUM(Q41:Q52)</f>
        <v>0</v>
      </c>
      <c r="R53" s="359">
        <f t="shared" si="11"/>
        <v>0</v>
      </c>
      <c r="S53" s="359">
        <f t="shared" si="11"/>
        <v>0</v>
      </c>
      <c r="T53" s="369">
        <f t="shared" si="11"/>
        <v>0</v>
      </c>
      <c r="U53" s="357"/>
      <c r="V53" s="358">
        <f t="shared" ref="V53:AC53" si="12">SUM(V41:V52)</f>
        <v>0</v>
      </c>
      <c r="W53" s="359">
        <f t="shared" si="12"/>
        <v>0</v>
      </c>
      <c r="X53" s="359">
        <f t="shared" si="12"/>
        <v>0</v>
      </c>
      <c r="Y53" s="359">
        <f t="shared" si="12"/>
        <v>0</v>
      </c>
      <c r="Z53" s="359">
        <f t="shared" si="12"/>
        <v>0</v>
      </c>
      <c r="AA53" s="359">
        <f t="shared" si="12"/>
        <v>0</v>
      </c>
      <c r="AB53" s="359">
        <f t="shared" si="12"/>
        <v>0</v>
      </c>
      <c r="AC53" s="369">
        <f t="shared" si="12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13">SUM(AG41:AG52)</f>
        <v>0</v>
      </c>
      <c r="AH53" s="417">
        <f t="shared" si="13"/>
        <v>0</v>
      </c>
      <c r="AI53" s="382">
        <f t="shared" si="13"/>
        <v>0</v>
      </c>
      <c r="AJ53" s="418">
        <f t="shared" si="13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19.5" thickBot="1">
      <c r="A54" s="306"/>
      <c r="B54" s="307"/>
      <c r="C54" s="307"/>
      <c r="D54" s="308"/>
      <c r="E54" s="309"/>
      <c r="F54" s="309"/>
      <c r="G54" s="309"/>
      <c r="H54" s="309"/>
      <c r="I54" s="309"/>
      <c r="J54" s="309"/>
      <c r="K54" s="309"/>
      <c r="L54" s="346"/>
      <c r="M54" s="347"/>
      <c r="N54" s="347"/>
      <c r="O54" s="347"/>
      <c r="P54" s="347"/>
      <c r="Q54" s="347"/>
      <c r="R54" s="347"/>
      <c r="S54" s="347"/>
      <c r="T54" s="347"/>
      <c r="U54" s="346"/>
      <c r="V54" s="347"/>
      <c r="W54" s="347"/>
      <c r="X54" s="347"/>
      <c r="Y54" s="347"/>
      <c r="Z54" s="347"/>
      <c r="AA54" s="347"/>
      <c r="AB54" s="347"/>
      <c r="AC54" s="347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86" t="s">
        <v>122</v>
      </c>
      <c r="B55" s="287" t="s">
        <v>68</v>
      </c>
      <c r="C55" s="287" t="s">
        <v>69</v>
      </c>
      <c r="D55" s="288" t="s">
        <v>70</v>
      </c>
      <c r="E55" s="80" t="s">
        <v>87</v>
      </c>
      <c r="F55" s="49" t="s">
        <v>85</v>
      </c>
      <c r="G55" s="49" t="s">
        <v>86</v>
      </c>
      <c r="H55" s="49" t="s">
        <v>92</v>
      </c>
      <c r="I55" s="49" t="s">
        <v>213</v>
      </c>
      <c r="J55" s="49" t="s">
        <v>97</v>
      </c>
      <c r="K55" s="126" t="s">
        <v>96</v>
      </c>
      <c r="L55" s="79"/>
      <c r="M55" s="80" t="s">
        <v>214</v>
      </c>
      <c r="N55" s="49" t="s">
        <v>53</v>
      </c>
      <c r="O55" s="49" t="s">
        <v>94</v>
      </c>
      <c r="P55" s="49" t="s">
        <v>76</v>
      </c>
      <c r="Q55" s="49" t="s">
        <v>95</v>
      </c>
      <c r="R55" s="49" t="s">
        <v>81</v>
      </c>
      <c r="S55" s="126" t="s">
        <v>136</v>
      </c>
      <c r="T55" s="171" t="s">
        <v>222</v>
      </c>
      <c r="U55" s="79"/>
      <c r="V55" s="99"/>
      <c r="W55" s="101" t="s">
        <v>473</v>
      </c>
      <c r="X55" s="104"/>
      <c r="Y55" s="103"/>
      <c r="Z55" s="104"/>
      <c r="AA55" s="102" t="s">
        <v>474</v>
      </c>
      <c r="AB55" s="121"/>
      <c r="AC55" s="717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310" t="s">
        <v>125</v>
      </c>
      <c r="B56" s="311"/>
      <c r="C56" s="311"/>
      <c r="D56" s="312"/>
      <c r="E56" s="313"/>
      <c r="F56" s="314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14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316" t="s">
        <v>125</v>
      </c>
      <c r="B57" s="317"/>
      <c r="C57" s="317"/>
      <c r="D57" s="318"/>
      <c r="E57" s="319"/>
      <c r="F57" s="320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14"/>
        <v>0</v>
      </c>
      <c r="AF57" s="381"/>
      <c r="AG57" s="408"/>
      <c r="AH57" s="409">
        <f t="shared" ref="AH57:AH67" si="15">AE57+AF57</f>
        <v>0</v>
      </c>
      <c r="AI57" s="410"/>
      <c r="AJ57" s="411">
        <f>AH57+AI57</f>
        <v>0</v>
      </c>
    </row>
    <row r="58" spans="1:39" s="234" customFormat="1" ht="20.25">
      <c r="A58" s="316" t="s">
        <v>125</v>
      </c>
      <c r="B58" s="295"/>
      <c r="C58" s="295"/>
      <c r="D58" s="318"/>
      <c r="E58" s="319"/>
      <c r="F58" s="320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4"/>
        <v>0</v>
      </c>
      <c r="AF58" s="381"/>
      <c r="AG58" s="408"/>
      <c r="AH58" s="409">
        <f t="shared" si="15"/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318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14"/>
        <v>0</v>
      </c>
      <c r="AF59" s="381"/>
      <c r="AG59" s="408"/>
      <c r="AH59" s="409">
        <f t="shared" si="15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67" si="16">SUM(E60:AC60)</f>
        <v>0</v>
      </c>
      <c r="AF60" s="381"/>
      <c r="AG60" s="408"/>
      <c r="AH60" s="409">
        <f t="shared" si="15"/>
        <v>0</v>
      </c>
      <c r="AI60" s="410"/>
      <c r="AJ60" s="411">
        <f t="shared" ref="AJ60:AJ67" si="17">AH60+AI60</f>
        <v>0</v>
      </c>
    </row>
    <row r="61" spans="1:39" s="234" customFormat="1" ht="20.25">
      <c r="A61" s="316" t="s">
        <v>125</v>
      </c>
      <c r="B61" s="295"/>
      <c r="C61" s="295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6"/>
        <v>0</v>
      </c>
      <c r="AF61" s="381"/>
      <c r="AG61" s="408"/>
      <c r="AH61" s="409">
        <f t="shared" si="15"/>
        <v>0</v>
      </c>
      <c r="AI61" s="410"/>
      <c r="AJ61" s="411">
        <f t="shared" si="17"/>
        <v>0</v>
      </c>
    </row>
    <row r="62" spans="1:39" s="234" customFormat="1" ht="20.25">
      <c r="A62" s="316" t="s">
        <v>125</v>
      </c>
      <c r="B62" s="295"/>
      <c r="C62" s="295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6"/>
        <v>0</v>
      </c>
      <c r="AF62" s="381"/>
      <c r="AG62" s="408"/>
      <c r="AH62" s="409">
        <f t="shared" si="15"/>
        <v>0</v>
      </c>
      <c r="AI62" s="410"/>
      <c r="AJ62" s="411">
        <f t="shared" si="17"/>
        <v>0</v>
      </c>
    </row>
    <row r="63" spans="1:39" s="234" customFormat="1" ht="20.25">
      <c r="A63" s="316" t="s">
        <v>125</v>
      </c>
      <c r="B63" s="295"/>
      <c r="C63" s="295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6"/>
        <v>0</v>
      </c>
      <c r="AF63" s="381"/>
      <c r="AG63" s="408"/>
      <c r="AH63" s="409">
        <f t="shared" si="15"/>
        <v>0</v>
      </c>
      <c r="AI63" s="410"/>
      <c r="AJ63" s="411">
        <f t="shared" si="17"/>
        <v>0</v>
      </c>
    </row>
    <row r="64" spans="1:39" s="234" customFormat="1" ht="20.25">
      <c r="A64" s="316" t="s">
        <v>125</v>
      </c>
      <c r="B64" s="295"/>
      <c r="C64" s="295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6"/>
        <v>0</v>
      </c>
      <c r="AF64" s="381"/>
      <c r="AG64" s="408"/>
      <c r="AH64" s="409">
        <f t="shared" si="15"/>
        <v>0</v>
      </c>
      <c r="AI64" s="410"/>
      <c r="AJ64" s="411">
        <f t="shared" si="17"/>
        <v>0</v>
      </c>
    </row>
    <row r="65" spans="1:39" s="234" customFormat="1" ht="20.25">
      <c r="A65" s="316" t="s">
        <v>125</v>
      </c>
      <c r="B65" s="295"/>
      <c r="C65" s="295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6"/>
        <v>0</v>
      </c>
      <c r="AF65" s="381"/>
      <c r="AG65" s="408"/>
      <c r="AH65" s="409">
        <f t="shared" si="15"/>
        <v>0</v>
      </c>
      <c r="AI65" s="410"/>
      <c r="AJ65" s="411">
        <f t="shared" si="17"/>
        <v>0</v>
      </c>
    </row>
    <row r="66" spans="1:39" s="234" customFormat="1" ht="21" thickBot="1">
      <c r="A66" s="316" t="s">
        <v>125</v>
      </c>
      <c r="B66" s="295"/>
      <c r="C66" s="295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6"/>
        <v>0</v>
      </c>
      <c r="AF66" s="381"/>
      <c r="AG66" s="408"/>
      <c r="AH66" s="409">
        <f t="shared" si="15"/>
        <v>0</v>
      </c>
      <c r="AI66" s="410"/>
      <c r="AJ66" s="411">
        <f t="shared" si="17"/>
        <v>0</v>
      </c>
    </row>
    <row r="67" spans="1:39" s="283" customFormat="1" ht="21" thickBot="1">
      <c r="A67" s="322"/>
      <c r="B67" s="323"/>
      <c r="C67" s="323"/>
      <c r="D67" s="324"/>
      <c r="E67" s="325"/>
      <c r="F67" s="297"/>
      <c r="G67" s="297"/>
      <c r="H67" s="298"/>
      <c r="I67" s="298"/>
      <c r="J67" s="297"/>
      <c r="K67" s="344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325"/>
      <c r="W67" s="297"/>
      <c r="X67" s="297"/>
      <c r="Y67" s="298"/>
      <c r="Z67" s="298"/>
      <c r="AA67" s="298"/>
      <c r="AB67" s="297"/>
      <c r="AC67" s="375"/>
      <c r="AD67" s="355"/>
      <c r="AE67" s="376">
        <f t="shared" si="16"/>
        <v>0</v>
      </c>
      <c r="AF67" s="377"/>
      <c r="AG67" s="390"/>
      <c r="AH67" s="391">
        <f t="shared" si="15"/>
        <v>0</v>
      </c>
      <c r="AI67" s="412"/>
      <c r="AJ67" s="413">
        <f t="shared" si="17"/>
        <v>0</v>
      </c>
      <c r="AK67" s="414" t="s">
        <v>8</v>
      </c>
      <c r="AL67" s="397" t="s">
        <v>23</v>
      </c>
      <c r="AM67" s="415" t="s">
        <v>174</v>
      </c>
    </row>
    <row r="68" spans="1:39" s="284" customFormat="1" ht="19.5" thickBot="1">
      <c r="A68" s="326" t="s">
        <v>126</v>
      </c>
      <c r="B68" s="327"/>
      <c r="C68" s="327"/>
      <c r="D68" s="328"/>
      <c r="E68" s="329">
        <f t="shared" ref="E68:K68" si="18">SUM(E56:E67)</f>
        <v>0</v>
      </c>
      <c r="F68" s="330">
        <f t="shared" si="18"/>
        <v>0</v>
      </c>
      <c r="G68" s="330">
        <f t="shared" si="18"/>
        <v>0</v>
      </c>
      <c r="H68" s="330">
        <f t="shared" si="18"/>
        <v>0</v>
      </c>
      <c r="I68" s="330">
        <f t="shared" si="18"/>
        <v>0</v>
      </c>
      <c r="J68" s="330">
        <f t="shared" si="18"/>
        <v>0</v>
      </c>
      <c r="K68" s="356">
        <f t="shared" si="18"/>
        <v>0</v>
      </c>
      <c r="L68" s="357"/>
      <c r="M68" s="358">
        <f>SUM(M56:M67)</f>
        <v>0</v>
      </c>
      <c r="N68" s="359">
        <f>SUM(N56:N67)</f>
        <v>0</v>
      </c>
      <c r="O68" s="359">
        <f>SUM(O56:O67)</f>
        <v>0</v>
      </c>
      <c r="P68" s="359">
        <f>SUM(P56:P67)</f>
        <v>0</v>
      </c>
      <c r="Q68" s="359">
        <f t="shared" ref="Q68:T68" si="19">SUM(Q56:Q67)</f>
        <v>0</v>
      </c>
      <c r="R68" s="359">
        <f t="shared" si="19"/>
        <v>0</v>
      </c>
      <c r="S68" s="359">
        <f t="shared" si="19"/>
        <v>0</v>
      </c>
      <c r="T68" s="369">
        <f t="shared" si="19"/>
        <v>0</v>
      </c>
      <c r="U68" s="357"/>
      <c r="V68" s="358">
        <f t="shared" ref="V68:AC68" si="20">SUM(V56:V67)</f>
        <v>0</v>
      </c>
      <c r="W68" s="359">
        <f t="shared" si="20"/>
        <v>0</v>
      </c>
      <c r="X68" s="359">
        <f t="shared" si="20"/>
        <v>0</v>
      </c>
      <c r="Y68" s="359">
        <f t="shared" si="20"/>
        <v>0</v>
      </c>
      <c r="Z68" s="359">
        <f t="shared" si="20"/>
        <v>0</v>
      </c>
      <c r="AA68" s="359">
        <f t="shared" si="20"/>
        <v>0</v>
      </c>
      <c r="AB68" s="359">
        <f t="shared" si="20"/>
        <v>0</v>
      </c>
      <c r="AC68" s="369">
        <f t="shared" si="20"/>
        <v>0</v>
      </c>
      <c r="AD68" s="357"/>
      <c r="AE68" s="382">
        <f>SUM(AE56:AE67)</f>
        <v>0</v>
      </c>
      <c r="AF68" s="382">
        <f>SUM(AF56:AF67)</f>
        <v>0</v>
      </c>
      <c r="AG68" s="416">
        <f t="shared" ref="AG68:AJ68" si="21">SUM(AG56:AG67)</f>
        <v>0</v>
      </c>
      <c r="AH68" s="417">
        <f t="shared" si="21"/>
        <v>0</v>
      </c>
      <c r="AI68" s="382">
        <f t="shared" si="21"/>
        <v>0</v>
      </c>
      <c r="AJ68" s="418">
        <f t="shared" si="21"/>
        <v>0</v>
      </c>
      <c r="AK68" s="399">
        <f>'BIG CHAIR'!CL91</f>
        <v>0</v>
      </c>
      <c r="AL68" s="400">
        <f>'Tea Table'!X181</f>
        <v>0</v>
      </c>
      <c r="AM68" s="401">
        <f>AH68+AK68+AL68</f>
        <v>0</v>
      </c>
    </row>
    <row r="69" spans="1:39" ht="24" thickBot="1">
      <c r="A69" s="721" t="s">
        <v>127</v>
      </c>
      <c r="B69" s="722" t="s">
        <v>68</v>
      </c>
      <c r="C69" s="287" t="s">
        <v>69</v>
      </c>
      <c r="D69" s="288" t="s">
        <v>70</v>
      </c>
      <c r="E69" s="80" t="s">
        <v>87</v>
      </c>
      <c r="F69" s="49" t="s">
        <v>85</v>
      </c>
      <c r="G69" s="49" t="s">
        <v>86</v>
      </c>
      <c r="H69" s="49" t="s">
        <v>92</v>
      </c>
      <c r="I69" s="49" t="s">
        <v>213</v>
      </c>
      <c r="J69" s="49" t="s">
        <v>97</v>
      </c>
      <c r="K69" s="126" t="s">
        <v>96</v>
      </c>
      <c r="L69" s="79"/>
      <c r="M69" s="80" t="s">
        <v>214</v>
      </c>
      <c r="N69" s="49" t="s">
        <v>53</v>
      </c>
      <c r="O69" s="49" t="s">
        <v>94</v>
      </c>
      <c r="P69" s="49" t="s">
        <v>76</v>
      </c>
      <c r="Q69" s="49" t="s">
        <v>95</v>
      </c>
      <c r="R69" s="49" t="s">
        <v>81</v>
      </c>
      <c r="S69" s="126" t="s">
        <v>136</v>
      </c>
      <c r="T69" s="171" t="s">
        <v>222</v>
      </c>
      <c r="U69" s="79"/>
      <c r="V69" s="99" t="s">
        <v>101</v>
      </c>
      <c r="W69" s="101" t="s">
        <v>473</v>
      </c>
      <c r="X69" s="104" t="s">
        <v>215</v>
      </c>
      <c r="Y69" s="103" t="s">
        <v>94</v>
      </c>
      <c r="Z69" s="104"/>
      <c r="AA69" s="102" t="s">
        <v>474</v>
      </c>
      <c r="AB69" s="121" t="s">
        <v>86</v>
      </c>
      <c r="AC69" s="717"/>
      <c r="AD69" s="370"/>
      <c r="AE69" s="371" t="s">
        <v>172</v>
      </c>
      <c r="AF69" s="372" t="s">
        <v>80</v>
      </c>
      <c r="AG69" s="385"/>
      <c r="AH69" s="386" t="s">
        <v>106</v>
      </c>
      <c r="AI69" s="385" t="s">
        <v>173</v>
      </c>
      <c r="AJ69" s="371" t="s">
        <v>108</v>
      </c>
      <c r="AK69" s="282"/>
      <c r="AL69" s="282"/>
      <c r="AM69" s="282"/>
    </row>
    <row r="70" spans="1:39" ht="20.25">
      <c r="A70" s="792" t="s">
        <v>128</v>
      </c>
      <c r="B70" s="311"/>
      <c r="C70" s="311"/>
      <c r="D70" s="312"/>
      <c r="E70" s="313"/>
      <c r="F70" s="314"/>
      <c r="G70" s="314"/>
      <c r="H70" s="315"/>
      <c r="I70" s="315"/>
      <c r="J70" s="314"/>
      <c r="K70" s="348"/>
      <c r="L70" s="349"/>
      <c r="M70" s="350"/>
      <c r="N70" s="315"/>
      <c r="O70" s="315"/>
      <c r="P70" s="315"/>
      <c r="Q70" s="315"/>
      <c r="R70" s="315"/>
      <c r="S70" s="315"/>
      <c r="T70" s="348"/>
      <c r="U70" s="349"/>
      <c r="V70" s="350"/>
      <c r="W70" s="315"/>
      <c r="X70" s="315"/>
      <c r="Y70" s="315"/>
      <c r="Z70" s="315"/>
      <c r="AA70" s="315"/>
      <c r="AB70" s="315"/>
      <c r="AC70" s="378"/>
      <c r="AD70" s="349"/>
      <c r="AE70" s="379">
        <f t="shared" ref="AE70:AE73" si="22">SUM(E70:AC70)</f>
        <v>0</v>
      </c>
      <c r="AF70" s="379"/>
      <c r="AG70" s="404"/>
      <c r="AH70" s="405">
        <f>AE70+AF70</f>
        <v>0</v>
      </c>
      <c r="AI70" s="406"/>
      <c r="AJ70" s="407">
        <f>AH70+AI70</f>
        <v>0</v>
      </c>
      <c r="AK70" s="234"/>
      <c r="AL70" s="234"/>
      <c r="AM70" s="234"/>
    </row>
    <row r="71" spans="1:39" ht="20.25">
      <c r="A71" s="424" t="s">
        <v>128</v>
      </c>
      <c r="B71" s="317"/>
      <c r="C71" s="317"/>
      <c r="D71" s="318"/>
      <c r="E71" s="319"/>
      <c r="F71" s="320"/>
      <c r="G71" s="320"/>
      <c r="H71" s="321"/>
      <c r="I71" s="321"/>
      <c r="J71" s="320"/>
      <c r="K71" s="351"/>
      <c r="L71" s="352"/>
      <c r="M71" s="353"/>
      <c r="N71" s="320"/>
      <c r="O71" s="320"/>
      <c r="P71" s="321"/>
      <c r="Q71" s="321"/>
      <c r="R71" s="321"/>
      <c r="S71" s="320"/>
      <c r="T71" s="351"/>
      <c r="U71" s="352"/>
      <c r="V71" s="353"/>
      <c r="W71" s="321"/>
      <c r="X71" s="321"/>
      <c r="Y71" s="321"/>
      <c r="Z71" s="321"/>
      <c r="AA71" s="321"/>
      <c r="AB71" s="321"/>
      <c r="AC71" s="380"/>
      <c r="AD71" s="352"/>
      <c r="AE71" s="381">
        <f t="shared" si="22"/>
        <v>0</v>
      </c>
      <c r="AF71" s="381"/>
      <c r="AG71" s="408"/>
      <c r="AH71" s="409">
        <f t="shared" ref="AH71:AH81" si="23">AE71+AF71</f>
        <v>0</v>
      </c>
      <c r="AI71" s="410"/>
      <c r="AJ71" s="411">
        <f>AH71+AI71</f>
        <v>0</v>
      </c>
      <c r="AK71" s="234"/>
      <c r="AL71" s="234"/>
      <c r="AM71" s="234"/>
    </row>
    <row r="72" spans="1:39" ht="20.25">
      <c r="A72" s="424" t="s">
        <v>128</v>
      </c>
      <c r="B72" s="295"/>
      <c r="C72" s="295"/>
      <c r="D72" s="318"/>
      <c r="E72" s="319"/>
      <c r="F72" s="320"/>
      <c r="G72" s="320"/>
      <c r="H72" s="321"/>
      <c r="I72" s="321"/>
      <c r="J72" s="320"/>
      <c r="K72" s="354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22"/>
        <v>0</v>
      </c>
      <c r="AF72" s="381"/>
      <c r="AG72" s="408"/>
      <c r="AH72" s="409">
        <f t="shared" si="23"/>
        <v>0</v>
      </c>
      <c r="AI72" s="410"/>
      <c r="AJ72" s="411">
        <f>AH72+AI72</f>
        <v>0</v>
      </c>
      <c r="AK72" s="234"/>
      <c r="AL72" s="234"/>
      <c r="AM72" s="234"/>
    </row>
    <row r="73" spans="1:39" ht="20.25">
      <c r="A73" s="424" t="s">
        <v>128</v>
      </c>
      <c r="B73" s="710"/>
      <c r="C73" s="295"/>
      <c r="D73" s="318"/>
      <c r="E73" s="319"/>
      <c r="F73" s="320"/>
      <c r="G73" s="320"/>
      <c r="H73" s="321"/>
      <c r="I73" s="321"/>
      <c r="J73" s="320"/>
      <c r="K73" s="354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22"/>
        <v>0</v>
      </c>
      <c r="AF73" s="381"/>
      <c r="AG73" s="408"/>
      <c r="AH73" s="409">
        <f t="shared" si="23"/>
        <v>0</v>
      </c>
      <c r="AI73" s="410"/>
      <c r="AJ73" s="411">
        <f>AH73+AI73</f>
        <v>0</v>
      </c>
      <c r="AK73" s="234"/>
      <c r="AL73" s="234"/>
      <c r="AM73" s="234"/>
    </row>
    <row r="74" spans="1:39" ht="20.25">
      <c r="A74" s="424" t="s">
        <v>128</v>
      </c>
      <c r="B74" s="710"/>
      <c r="C74" s="295"/>
      <c r="D74" s="318"/>
      <c r="E74" s="319"/>
      <c r="F74" s="320"/>
      <c r="G74" s="320"/>
      <c r="H74" s="321"/>
      <c r="I74" s="321"/>
      <c r="J74" s="320"/>
      <c r="K74" s="354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ref="AE74:AE81" si="24">SUM(E74:AC74)</f>
        <v>0</v>
      </c>
      <c r="AF74" s="381"/>
      <c r="AG74" s="408"/>
      <c r="AH74" s="409">
        <f t="shared" si="23"/>
        <v>0</v>
      </c>
      <c r="AI74" s="410"/>
      <c r="AJ74" s="411">
        <f t="shared" ref="AJ74:AJ81" si="25">AH74+AI74</f>
        <v>0</v>
      </c>
      <c r="AK74" s="234"/>
      <c r="AL74" s="234"/>
      <c r="AM74" s="234"/>
    </row>
    <row r="75" spans="1:39" ht="20.25">
      <c r="A75" s="424" t="s">
        <v>128</v>
      </c>
      <c r="B75" s="295"/>
      <c r="C75" s="295"/>
      <c r="D75" s="318"/>
      <c r="E75" s="319"/>
      <c r="F75" s="320"/>
      <c r="G75" s="320"/>
      <c r="H75" s="321"/>
      <c r="I75" s="321"/>
      <c r="J75" s="320"/>
      <c r="K75" s="354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24"/>
        <v>0</v>
      </c>
      <c r="AF75" s="381"/>
      <c r="AG75" s="408"/>
      <c r="AH75" s="409">
        <f t="shared" si="23"/>
        <v>0</v>
      </c>
      <c r="AI75" s="410"/>
      <c r="AJ75" s="411">
        <f t="shared" si="25"/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4"/>
        <v>0</v>
      </c>
      <c r="AF76" s="381"/>
      <c r="AG76" s="408"/>
      <c r="AH76" s="409">
        <f t="shared" si="23"/>
        <v>0</v>
      </c>
      <c r="AI76" s="410"/>
      <c r="AJ76" s="411">
        <f t="shared" si="25"/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4"/>
        <v>0</v>
      </c>
      <c r="AF77" s="381"/>
      <c r="AG77" s="408"/>
      <c r="AH77" s="409">
        <f t="shared" si="23"/>
        <v>0</v>
      </c>
      <c r="AI77" s="410"/>
      <c r="AJ77" s="411">
        <f t="shared" si="25"/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24"/>
        <v>0</v>
      </c>
      <c r="AF78" s="381"/>
      <c r="AG78" s="408"/>
      <c r="AH78" s="409">
        <f t="shared" si="23"/>
        <v>0</v>
      </c>
      <c r="AI78" s="410"/>
      <c r="AJ78" s="411">
        <f t="shared" si="25"/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4"/>
        <v>0</v>
      </c>
      <c r="AF79" s="381"/>
      <c r="AG79" s="408"/>
      <c r="AH79" s="409">
        <f t="shared" si="23"/>
        <v>0</v>
      </c>
      <c r="AI79" s="410"/>
      <c r="AJ79" s="411">
        <f t="shared" si="25"/>
        <v>0</v>
      </c>
      <c r="AK79" s="234"/>
      <c r="AL79" s="234"/>
      <c r="AM79" s="234"/>
    </row>
    <row r="80" spans="1:39" ht="21" thickBot="1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24"/>
        <v>0</v>
      </c>
      <c r="AF80" s="381"/>
      <c r="AG80" s="408"/>
      <c r="AH80" s="409">
        <f t="shared" si="23"/>
        <v>0</v>
      </c>
      <c r="AI80" s="410"/>
      <c r="AJ80" s="411">
        <f t="shared" si="25"/>
        <v>0</v>
      </c>
      <c r="AK80" s="234"/>
      <c r="AL80" s="234"/>
      <c r="AM80" s="234"/>
    </row>
    <row r="81" spans="1:39" ht="21" thickBot="1">
      <c r="A81" s="322"/>
      <c r="B81" s="323"/>
      <c r="C81" s="323"/>
      <c r="D81" s="324"/>
      <c r="E81" s="325"/>
      <c r="F81" s="297"/>
      <c r="G81" s="297"/>
      <c r="H81" s="298"/>
      <c r="I81" s="298"/>
      <c r="J81" s="297"/>
      <c r="K81" s="344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24"/>
        <v>0</v>
      </c>
      <c r="AF81" s="377"/>
      <c r="AG81" s="390"/>
      <c r="AH81" s="391">
        <f t="shared" si="23"/>
        <v>0</v>
      </c>
      <c r="AI81" s="412"/>
      <c r="AJ81" s="413">
        <f t="shared" si="25"/>
        <v>0</v>
      </c>
      <c r="AK81" s="414" t="s">
        <v>8</v>
      </c>
      <c r="AL81" s="397" t="s">
        <v>23</v>
      </c>
      <c r="AM81" s="415" t="s">
        <v>174</v>
      </c>
    </row>
    <row r="82" spans="1:39" ht="19.5" thickBot="1">
      <c r="A82" s="326" t="s">
        <v>129</v>
      </c>
      <c r="B82" s="327"/>
      <c r="C82" s="327"/>
      <c r="D82" s="328"/>
      <c r="E82" s="329">
        <f>SUM(E70:E81)</f>
        <v>0</v>
      </c>
      <c r="F82" s="329">
        <f t="shared" ref="F82:AJ82" si="26">SUM(F70:F81)</f>
        <v>0</v>
      </c>
      <c r="G82" s="329">
        <f t="shared" si="26"/>
        <v>0</v>
      </c>
      <c r="H82" s="329">
        <f t="shared" si="26"/>
        <v>0</v>
      </c>
      <c r="I82" s="329">
        <f t="shared" si="26"/>
        <v>0</v>
      </c>
      <c r="J82" s="329">
        <f t="shared" si="26"/>
        <v>0</v>
      </c>
      <c r="K82" s="329">
        <f t="shared" si="26"/>
        <v>0</v>
      </c>
      <c r="L82" s="329">
        <f t="shared" si="26"/>
        <v>0</v>
      </c>
      <c r="M82" s="329">
        <f t="shared" si="26"/>
        <v>0</v>
      </c>
      <c r="N82" s="329">
        <f t="shared" si="26"/>
        <v>0</v>
      </c>
      <c r="O82" s="329">
        <f t="shared" si="26"/>
        <v>0</v>
      </c>
      <c r="P82" s="329">
        <f t="shared" si="26"/>
        <v>0</v>
      </c>
      <c r="Q82" s="329">
        <f t="shared" si="26"/>
        <v>0</v>
      </c>
      <c r="R82" s="329">
        <f t="shared" si="26"/>
        <v>0</v>
      </c>
      <c r="S82" s="329">
        <f t="shared" si="26"/>
        <v>0</v>
      </c>
      <c r="T82" s="329">
        <f t="shared" si="26"/>
        <v>0</v>
      </c>
      <c r="U82" s="329">
        <f t="shared" si="26"/>
        <v>0</v>
      </c>
      <c r="V82" s="329">
        <f t="shared" si="26"/>
        <v>0</v>
      </c>
      <c r="W82" s="329">
        <f t="shared" si="26"/>
        <v>0</v>
      </c>
      <c r="X82" s="329">
        <f t="shared" si="26"/>
        <v>0</v>
      </c>
      <c r="Y82" s="329">
        <f t="shared" si="26"/>
        <v>0</v>
      </c>
      <c r="Z82" s="329">
        <f t="shared" si="26"/>
        <v>0</v>
      </c>
      <c r="AA82" s="329">
        <f t="shared" si="26"/>
        <v>0</v>
      </c>
      <c r="AB82" s="329">
        <f t="shared" si="26"/>
        <v>0</v>
      </c>
      <c r="AC82" s="329">
        <f t="shared" si="26"/>
        <v>0</v>
      </c>
      <c r="AD82" s="329">
        <f t="shared" si="26"/>
        <v>0</v>
      </c>
      <c r="AE82" s="329">
        <f t="shared" si="26"/>
        <v>0</v>
      </c>
      <c r="AF82" s="329">
        <f t="shared" si="26"/>
        <v>0</v>
      </c>
      <c r="AG82" s="329">
        <f t="shared" si="26"/>
        <v>0</v>
      </c>
      <c r="AH82" s="329">
        <f t="shared" si="26"/>
        <v>0</v>
      </c>
      <c r="AI82" s="329">
        <f t="shared" si="26"/>
        <v>0</v>
      </c>
      <c r="AJ82" s="329">
        <f t="shared" si="26"/>
        <v>0</v>
      </c>
      <c r="AK82" s="399">
        <f>'BIG CHAIR'!CL105</f>
        <v>0</v>
      </c>
      <c r="AL82" s="400">
        <f>'Tea Table'!X195</f>
        <v>0</v>
      </c>
      <c r="AM82" s="401">
        <f>AH82+AK82+AL82</f>
        <v>0</v>
      </c>
    </row>
    <row r="83" spans="1:39" ht="24" thickBot="1">
      <c r="A83" s="721" t="s">
        <v>130</v>
      </c>
      <c r="B83" s="722" t="s">
        <v>68</v>
      </c>
      <c r="C83" s="287" t="s">
        <v>69</v>
      </c>
      <c r="D83" s="288" t="s">
        <v>70</v>
      </c>
      <c r="E83" s="80" t="s">
        <v>87</v>
      </c>
      <c r="F83" s="49" t="s">
        <v>85</v>
      </c>
      <c r="G83" s="49" t="s">
        <v>86</v>
      </c>
      <c r="H83" s="49" t="s">
        <v>92</v>
      </c>
      <c r="I83" s="49" t="s">
        <v>213</v>
      </c>
      <c r="J83" s="49" t="s">
        <v>97</v>
      </c>
      <c r="K83" s="126" t="s">
        <v>96</v>
      </c>
      <c r="L83" s="79"/>
      <c r="M83" s="80" t="s">
        <v>214</v>
      </c>
      <c r="N83" s="49" t="s">
        <v>53</v>
      </c>
      <c r="O83" s="49" t="s">
        <v>94</v>
      </c>
      <c r="P83" s="49" t="s">
        <v>76</v>
      </c>
      <c r="Q83" s="49" t="s">
        <v>95</v>
      </c>
      <c r="R83" s="49" t="s">
        <v>81</v>
      </c>
      <c r="S83" s="126" t="s">
        <v>136</v>
      </c>
      <c r="T83" s="171" t="s">
        <v>222</v>
      </c>
      <c r="U83" s="79"/>
      <c r="V83" s="99" t="s">
        <v>101</v>
      </c>
      <c r="W83" s="101" t="s">
        <v>473</v>
      </c>
      <c r="X83" s="104" t="s">
        <v>215</v>
      </c>
      <c r="Y83" s="103" t="s">
        <v>94</v>
      </c>
      <c r="Z83" s="104"/>
      <c r="AA83" s="102" t="s">
        <v>474</v>
      </c>
      <c r="AB83" s="121" t="s">
        <v>86</v>
      </c>
      <c r="AC83" s="717"/>
      <c r="AD83" s="370"/>
      <c r="AE83" s="371" t="s">
        <v>172</v>
      </c>
      <c r="AF83" s="372" t="s">
        <v>80</v>
      </c>
      <c r="AG83" s="385"/>
      <c r="AH83" s="386" t="s">
        <v>106</v>
      </c>
      <c r="AI83" s="385" t="s">
        <v>173</v>
      </c>
      <c r="AJ83" s="371" t="s">
        <v>108</v>
      </c>
      <c r="AK83" s="282"/>
      <c r="AL83" s="282"/>
      <c r="AM83" s="282"/>
    </row>
    <row r="84" spans="1:39" ht="20.25">
      <c r="A84" s="792" t="s">
        <v>131</v>
      </c>
      <c r="B84" s="311"/>
      <c r="C84" s="311"/>
      <c r="D84" s="312"/>
      <c r="E84" s="313"/>
      <c r="F84" s="314"/>
      <c r="G84" s="314"/>
      <c r="H84" s="315"/>
      <c r="I84" s="315"/>
      <c r="J84" s="314"/>
      <c r="K84" s="348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ref="AE84:AE87" si="27">SUM(E84:AC84)</f>
        <v>0</v>
      </c>
      <c r="AF84" s="379"/>
      <c r="AG84" s="404"/>
      <c r="AH84" s="405">
        <f>AE84+AF84</f>
        <v>0</v>
      </c>
      <c r="AI84" s="406"/>
      <c r="AJ84" s="407">
        <f>AH84+AI84</f>
        <v>0</v>
      </c>
      <c r="AK84" s="234"/>
      <c r="AL84" s="234"/>
      <c r="AM84" s="234"/>
    </row>
    <row r="85" spans="1:39" ht="20.25">
      <c r="A85" s="792" t="s">
        <v>131</v>
      </c>
      <c r="B85" s="317"/>
      <c r="C85" s="317"/>
      <c r="D85" s="318"/>
      <c r="E85" s="319"/>
      <c r="F85" s="320"/>
      <c r="G85" s="320"/>
      <c r="H85" s="321"/>
      <c r="I85" s="321"/>
      <c r="J85" s="320"/>
      <c r="K85" s="351"/>
      <c r="L85" s="352"/>
      <c r="M85" s="353"/>
      <c r="N85" s="320"/>
      <c r="O85" s="320"/>
      <c r="P85" s="321"/>
      <c r="Q85" s="321"/>
      <c r="R85" s="321"/>
      <c r="S85" s="320"/>
      <c r="T85" s="351"/>
      <c r="U85" s="352"/>
      <c r="V85" s="353"/>
      <c r="W85" s="321"/>
      <c r="X85" s="321"/>
      <c r="Y85" s="321"/>
      <c r="Z85" s="321"/>
      <c r="AA85" s="321"/>
      <c r="AB85" s="321"/>
      <c r="AC85" s="380"/>
      <c r="AD85" s="352"/>
      <c r="AE85" s="381">
        <f t="shared" si="27"/>
        <v>0</v>
      </c>
      <c r="AF85" s="381"/>
      <c r="AG85" s="408"/>
      <c r="AH85" s="409">
        <f t="shared" ref="AH85:AH95" si="28">AE85+AF85</f>
        <v>0</v>
      </c>
      <c r="AI85" s="410"/>
      <c r="AJ85" s="411">
        <f>AH85+AI85</f>
        <v>0</v>
      </c>
      <c r="AK85" s="234"/>
      <c r="AL85" s="234"/>
      <c r="AM85" s="234"/>
    </row>
    <row r="86" spans="1:39" ht="20.25">
      <c r="A86" s="792" t="s">
        <v>131</v>
      </c>
      <c r="B86" s="295"/>
      <c r="C86" s="295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27"/>
        <v>0</v>
      </c>
      <c r="AF86" s="381"/>
      <c r="AG86" s="408"/>
      <c r="AH86" s="409">
        <f t="shared" si="28"/>
        <v>0</v>
      </c>
      <c r="AI86" s="410"/>
      <c r="AJ86" s="411">
        <f>AH86+AI86</f>
        <v>0</v>
      </c>
      <c r="AK86" s="234"/>
      <c r="AL86" s="234"/>
      <c r="AM86" s="234"/>
    </row>
    <row r="87" spans="1:39" ht="20.25">
      <c r="A87" s="792" t="s">
        <v>131</v>
      </c>
      <c r="B87" s="710"/>
      <c r="C87" s="295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27"/>
        <v>0</v>
      </c>
      <c r="AF87" s="381"/>
      <c r="AG87" s="408"/>
      <c r="AH87" s="409">
        <f t="shared" si="28"/>
        <v>0</v>
      </c>
      <c r="AI87" s="410"/>
      <c r="AJ87" s="411">
        <f>AH87+AI87</f>
        <v>0</v>
      </c>
      <c r="AK87" s="234"/>
      <c r="AL87" s="234"/>
      <c r="AM87" s="234"/>
    </row>
    <row r="88" spans="1:39" ht="20.25">
      <c r="A88" s="792" t="s">
        <v>131</v>
      </c>
      <c r="B88" s="710"/>
      <c r="C88" s="295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ref="AE88:AE95" si="29">SUM(E88:AC88)</f>
        <v>0</v>
      </c>
      <c r="AF88" s="381"/>
      <c r="AG88" s="408"/>
      <c r="AH88" s="409">
        <f t="shared" si="28"/>
        <v>0</v>
      </c>
      <c r="AI88" s="410"/>
      <c r="AJ88" s="411">
        <f t="shared" ref="AJ88:AJ95" si="30">AH88+AI88</f>
        <v>0</v>
      </c>
      <c r="AK88" s="234"/>
      <c r="AL88" s="234"/>
      <c r="AM88" s="234"/>
    </row>
    <row r="89" spans="1:39" ht="20.25">
      <c r="A89" s="792" t="s">
        <v>131</v>
      </c>
      <c r="B89" s="295"/>
      <c r="C89" s="295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29"/>
        <v>0</v>
      </c>
      <c r="AF89" s="381"/>
      <c r="AG89" s="408"/>
      <c r="AH89" s="409">
        <f t="shared" si="28"/>
        <v>0</v>
      </c>
      <c r="AI89" s="410"/>
      <c r="AJ89" s="411">
        <f t="shared" si="30"/>
        <v>0</v>
      </c>
      <c r="AK89" s="234"/>
      <c r="AL89" s="234"/>
      <c r="AM89" s="234"/>
    </row>
    <row r="90" spans="1:39" ht="20.25">
      <c r="A90" s="792" t="s">
        <v>131</v>
      </c>
      <c r="B90" s="295"/>
      <c r="C90" s="295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29"/>
        <v>0</v>
      </c>
      <c r="AF90" s="381"/>
      <c r="AG90" s="408"/>
      <c r="AH90" s="409">
        <f t="shared" si="28"/>
        <v>0</v>
      </c>
      <c r="AI90" s="410"/>
      <c r="AJ90" s="411">
        <f t="shared" si="30"/>
        <v>0</v>
      </c>
      <c r="AK90" s="234"/>
      <c r="AL90" s="234"/>
      <c r="AM90" s="234"/>
    </row>
    <row r="91" spans="1:39" ht="20.25">
      <c r="A91" s="792" t="s">
        <v>131</v>
      </c>
      <c r="B91" s="295"/>
      <c r="C91" s="295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29"/>
        <v>0</v>
      </c>
      <c r="AF91" s="381"/>
      <c r="AG91" s="408"/>
      <c r="AH91" s="409">
        <f t="shared" si="28"/>
        <v>0</v>
      </c>
      <c r="AI91" s="410"/>
      <c r="AJ91" s="411">
        <f t="shared" si="30"/>
        <v>0</v>
      </c>
      <c r="AK91" s="234"/>
      <c r="AL91" s="234"/>
      <c r="AM91" s="234"/>
    </row>
    <row r="92" spans="1:39" ht="20.25">
      <c r="A92" s="792" t="s">
        <v>131</v>
      </c>
      <c r="B92" s="295"/>
      <c r="C92" s="295"/>
      <c r="D92" s="318"/>
      <c r="E92" s="319"/>
      <c r="F92" s="320"/>
      <c r="G92" s="320"/>
      <c r="H92" s="321"/>
      <c r="I92" s="321"/>
      <c r="J92" s="320"/>
      <c r="K92" s="354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29"/>
        <v>0</v>
      </c>
      <c r="AF92" s="381"/>
      <c r="AG92" s="408"/>
      <c r="AH92" s="409">
        <f t="shared" si="28"/>
        <v>0</v>
      </c>
      <c r="AI92" s="410"/>
      <c r="AJ92" s="411">
        <f t="shared" si="30"/>
        <v>0</v>
      </c>
      <c r="AK92" s="234"/>
      <c r="AL92" s="234"/>
      <c r="AM92" s="234"/>
    </row>
    <row r="93" spans="1:39" ht="20.25">
      <c r="A93" s="792" t="s">
        <v>131</v>
      </c>
      <c r="B93" s="295"/>
      <c r="C93" s="295"/>
      <c r="D93" s="318"/>
      <c r="E93" s="319"/>
      <c r="F93" s="320"/>
      <c r="G93" s="320"/>
      <c r="H93" s="321"/>
      <c r="I93" s="321"/>
      <c r="J93" s="320"/>
      <c r="K93" s="354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29"/>
        <v>0</v>
      </c>
      <c r="AF93" s="381"/>
      <c r="AG93" s="408"/>
      <c r="AH93" s="409">
        <f t="shared" si="28"/>
        <v>0</v>
      </c>
      <c r="AI93" s="410"/>
      <c r="AJ93" s="411">
        <f t="shared" si="30"/>
        <v>0</v>
      </c>
      <c r="AK93" s="234"/>
      <c r="AL93" s="234"/>
      <c r="AM93" s="234"/>
    </row>
    <row r="94" spans="1:39" ht="21" thickBot="1">
      <c r="A94" s="792" t="s">
        <v>131</v>
      </c>
      <c r="B94" s="295"/>
      <c r="C94" s="295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29"/>
        <v>0</v>
      </c>
      <c r="AF94" s="381"/>
      <c r="AG94" s="408"/>
      <c r="AH94" s="409">
        <f t="shared" si="28"/>
        <v>0</v>
      </c>
      <c r="AI94" s="410"/>
      <c r="AJ94" s="411">
        <f t="shared" si="30"/>
        <v>0</v>
      </c>
      <c r="AK94" s="234"/>
      <c r="AL94" s="234"/>
      <c r="AM94" s="234"/>
    </row>
    <row r="95" spans="1:39" ht="21" thickBot="1">
      <c r="A95" s="792" t="s">
        <v>131</v>
      </c>
      <c r="B95" s="323"/>
      <c r="C95" s="323"/>
      <c r="D95" s="324"/>
      <c r="E95" s="325"/>
      <c r="F95" s="297"/>
      <c r="G95" s="297"/>
      <c r="H95" s="298"/>
      <c r="I95" s="298"/>
      <c r="J95" s="297"/>
      <c r="K95" s="344"/>
      <c r="L95" s="355"/>
      <c r="M95" s="343"/>
      <c r="N95" s="298"/>
      <c r="O95" s="298"/>
      <c r="P95" s="298"/>
      <c r="Q95" s="298"/>
      <c r="R95" s="298"/>
      <c r="S95" s="298"/>
      <c r="T95" s="367"/>
      <c r="U95" s="355"/>
      <c r="V95" s="325"/>
      <c r="W95" s="297"/>
      <c r="X95" s="297"/>
      <c r="Y95" s="298"/>
      <c r="Z95" s="298"/>
      <c r="AA95" s="298"/>
      <c r="AB95" s="297"/>
      <c r="AC95" s="375"/>
      <c r="AD95" s="355"/>
      <c r="AE95" s="376">
        <f t="shared" si="29"/>
        <v>0</v>
      </c>
      <c r="AF95" s="377"/>
      <c r="AG95" s="390"/>
      <c r="AH95" s="391">
        <f t="shared" si="28"/>
        <v>0</v>
      </c>
      <c r="AI95" s="412"/>
      <c r="AJ95" s="413">
        <f t="shared" si="30"/>
        <v>0</v>
      </c>
      <c r="AK95" s="414" t="s">
        <v>8</v>
      </c>
      <c r="AL95" s="397" t="s">
        <v>23</v>
      </c>
      <c r="AM95" s="415" t="s">
        <v>174</v>
      </c>
    </row>
    <row r="96" spans="1:39" ht="19.5" thickBot="1">
      <c r="A96" s="326" t="s">
        <v>132</v>
      </c>
      <c r="B96" s="327"/>
      <c r="C96" s="327"/>
      <c r="D96" s="328"/>
      <c r="E96" s="329">
        <f>SUM(E84:E95)</f>
        <v>0</v>
      </c>
      <c r="F96" s="329">
        <f t="shared" ref="F96:AJ96" si="31">SUM(F84:F95)</f>
        <v>0</v>
      </c>
      <c r="G96" s="329">
        <f t="shared" si="31"/>
        <v>0</v>
      </c>
      <c r="H96" s="329">
        <f t="shared" si="31"/>
        <v>0</v>
      </c>
      <c r="I96" s="329">
        <f t="shared" si="31"/>
        <v>0</v>
      </c>
      <c r="J96" s="329">
        <f t="shared" si="31"/>
        <v>0</v>
      </c>
      <c r="K96" s="329">
        <f t="shared" si="31"/>
        <v>0</v>
      </c>
      <c r="L96" s="329">
        <f t="shared" si="31"/>
        <v>0</v>
      </c>
      <c r="M96" s="329">
        <f t="shared" si="31"/>
        <v>0</v>
      </c>
      <c r="N96" s="329">
        <f t="shared" si="31"/>
        <v>0</v>
      </c>
      <c r="O96" s="329">
        <f t="shared" si="31"/>
        <v>0</v>
      </c>
      <c r="P96" s="329">
        <f t="shared" si="31"/>
        <v>0</v>
      </c>
      <c r="Q96" s="329">
        <f t="shared" si="31"/>
        <v>0</v>
      </c>
      <c r="R96" s="329">
        <f t="shared" si="31"/>
        <v>0</v>
      </c>
      <c r="S96" s="329">
        <f t="shared" si="31"/>
        <v>0</v>
      </c>
      <c r="T96" s="329">
        <f t="shared" si="31"/>
        <v>0</v>
      </c>
      <c r="U96" s="329">
        <f t="shared" si="31"/>
        <v>0</v>
      </c>
      <c r="V96" s="329">
        <f t="shared" si="31"/>
        <v>0</v>
      </c>
      <c r="W96" s="329">
        <f t="shared" si="31"/>
        <v>0</v>
      </c>
      <c r="X96" s="329">
        <f t="shared" si="31"/>
        <v>0</v>
      </c>
      <c r="Y96" s="329">
        <f t="shared" si="31"/>
        <v>0</v>
      </c>
      <c r="Z96" s="329">
        <f t="shared" si="31"/>
        <v>0</v>
      </c>
      <c r="AA96" s="329">
        <f t="shared" si="31"/>
        <v>0</v>
      </c>
      <c r="AB96" s="329">
        <f t="shared" si="31"/>
        <v>0</v>
      </c>
      <c r="AC96" s="329">
        <f t="shared" si="31"/>
        <v>0</v>
      </c>
      <c r="AD96" s="329">
        <f t="shared" si="31"/>
        <v>0</v>
      </c>
      <c r="AE96" s="329">
        <f t="shared" si="31"/>
        <v>0</v>
      </c>
      <c r="AF96" s="329">
        <f t="shared" si="31"/>
        <v>0</v>
      </c>
      <c r="AG96" s="329">
        <f t="shared" si="31"/>
        <v>0</v>
      </c>
      <c r="AH96" s="329">
        <f t="shared" si="31"/>
        <v>0</v>
      </c>
      <c r="AI96" s="329">
        <f t="shared" si="31"/>
        <v>0</v>
      </c>
      <c r="AJ96" s="329">
        <f t="shared" si="31"/>
        <v>0</v>
      </c>
      <c r="AK96" s="399">
        <f>'BIG CHAIR'!CL119</f>
        <v>0</v>
      </c>
      <c r="AL96" s="400">
        <f>'Tea Table'!X209</f>
        <v>144</v>
      </c>
      <c r="AM96" s="401">
        <f>AH96+AK96+AL96</f>
        <v>144</v>
      </c>
    </row>
    <row r="97" spans="1:39" ht="24" thickBot="1">
      <c r="A97" s="721" t="s">
        <v>393</v>
      </c>
      <c r="B97" s="722" t="s">
        <v>68</v>
      </c>
      <c r="C97" s="287" t="s">
        <v>69</v>
      </c>
      <c r="D97" s="288" t="s">
        <v>70</v>
      </c>
      <c r="E97" s="80" t="s">
        <v>399</v>
      </c>
      <c r="F97" s="49" t="s">
        <v>85</v>
      </c>
      <c r="G97" s="49" t="s">
        <v>86</v>
      </c>
      <c r="H97" s="49" t="s">
        <v>92</v>
      </c>
      <c r="I97" s="49" t="s">
        <v>90</v>
      </c>
      <c r="J97" s="49" t="s">
        <v>97</v>
      </c>
      <c r="K97" s="126" t="s">
        <v>96</v>
      </c>
      <c r="L97" s="79"/>
      <c r="M97" s="80" t="s">
        <v>214</v>
      </c>
      <c r="N97" s="49" t="s">
        <v>53</v>
      </c>
      <c r="O97" s="49" t="s">
        <v>94</v>
      </c>
      <c r="P97" s="49" t="s">
        <v>76</v>
      </c>
      <c r="Q97" s="49" t="s">
        <v>497</v>
      </c>
      <c r="R97" s="49" t="s">
        <v>81</v>
      </c>
      <c r="S97" s="126" t="s">
        <v>136</v>
      </c>
      <c r="T97" s="171" t="s">
        <v>222</v>
      </c>
      <c r="U97" s="79"/>
      <c r="V97" s="99" t="s">
        <v>101</v>
      </c>
      <c r="W97" s="101" t="s">
        <v>473</v>
      </c>
      <c r="X97" s="104" t="s">
        <v>215</v>
      </c>
      <c r="Y97" s="103" t="s">
        <v>94</v>
      </c>
      <c r="Z97" s="104"/>
      <c r="AA97" s="102" t="s">
        <v>474</v>
      </c>
      <c r="AB97" s="121" t="s">
        <v>86</v>
      </c>
      <c r="AC97" s="717"/>
      <c r="AD97" s="370"/>
      <c r="AE97" s="371" t="s">
        <v>172</v>
      </c>
      <c r="AF97" s="372" t="s">
        <v>80</v>
      </c>
      <c r="AG97" s="385"/>
      <c r="AH97" s="386" t="s">
        <v>106</v>
      </c>
      <c r="AI97" s="385" t="s">
        <v>173</v>
      </c>
      <c r="AJ97" s="371" t="s">
        <v>108</v>
      </c>
      <c r="AK97" s="282"/>
      <c r="AL97" s="282"/>
      <c r="AM97" s="282"/>
    </row>
    <row r="98" spans="1:39" s="284" customFormat="1" ht="18.75" customHeight="1">
      <c r="A98" s="792" t="s">
        <v>392</v>
      </c>
      <c r="B98" s="311"/>
      <c r="C98" s="311"/>
      <c r="D98" s="312"/>
      <c r="E98" s="313"/>
      <c r="F98" s="314"/>
      <c r="G98" s="314"/>
      <c r="H98" s="315"/>
      <c r="I98" s="315"/>
      <c r="J98" s="314"/>
      <c r="K98" s="477"/>
      <c r="L98" s="349"/>
      <c r="M98" s="350"/>
      <c r="N98" s="315"/>
      <c r="O98" s="315"/>
      <c r="P98" s="315"/>
      <c r="Q98" s="315"/>
      <c r="R98" s="315"/>
      <c r="S98" s="315"/>
      <c r="T98" s="477"/>
      <c r="U98" s="349"/>
      <c r="V98" s="350"/>
      <c r="W98" s="315"/>
      <c r="X98" s="315"/>
      <c r="Y98" s="315"/>
      <c r="Z98" s="315"/>
      <c r="AA98" s="315"/>
      <c r="AB98" s="315"/>
      <c r="AC98" s="378"/>
      <c r="AD98" s="349"/>
      <c r="AE98" s="379">
        <f t="shared" ref="AE98:AE101" si="32">SUM(E98:AC98)</f>
        <v>0</v>
      </c>
      <c r="AF98" s="379"/>
      <c r="AG98" s="404"/>
      <c r="AH98" s="405">
        <f>AE98+AF98</f>
        <v>0</v>
      </c>
      <c r="AI98" s="406"/>
      <c r="AJ98" s="407">
        <f>AH98+AI98</f>
        <v>0</v>
      </c>
      <c r="AK98" s="234"/>
      <c r="AL98" s="234"/>
      <c r="AM98" s="234"/>
    </row>
    <row r="99" spans="1:39" s="282" customFormat="1" ht="20.25">
      <c r="A99" s="792" t="s">
        <v>392</v>
      </c>
      <c r="B99" s="317"/>
      <c r="C99" s="317"/>
      <c r="D99" s="318"/>
      <c r="E99" s="319"/>
      <c r="F99" s="320"/>
      <c r="G99" s="320"/>
      <c r="H99" s="321"/>
      <c r="I99" s="321"/>
      <c r="J99" s="320"/>
      <c r="K99" s="351"/>
      <c r="L99" s="352"/>
      <c r="M99" s="353"/>
      <c r="N99" s="320"/>
      <c r="O99" s="320"/>
      <c r="P99" s="321"/>
      <c r="Q99" s="321"/>
      <c r="R99" s="321"/>
      <c r="S99" s="320"/>
      <c r="T99" s="351"/>
      <c r="U99" s="352"/>
      <c r="V99" s="353"/>
      <c r="W99" s="321"/>
      <c r="X99" s="321"/>
      <c r="Y99" s="321"/>
      <c r="Z99" s="321"/>
      <c r="AA99" s="321"/>
      <c r="AB99" s="321"/>
      <c r="AC99" s="380"/>
      <c r="AD99" s="352"/>
      <c r="AE99" s="381">
        <f t="shared" si="32"/>
        <v>0</v>
      </c>
      <c r="AF99" s="381"/>
      <c r="AG99" s="408"/>
      <c r="AH99" s="409">
        <f t="shared" ref="AH99:AH109" si="33">AE99+AF99</f>
        <v>0</v>
      </c>
      <c r="AI99" s="410"/>
      <c r="AJ99" s="411">
        <f>AH99+AI99</f>
        <v>0</v>
      </c>
      <c r="AK99" s="234"/>
      <c r="AL99" s="234"/>
      <c r="AM99" s="234"/>
    </row>
    <row r="100" spans="1:39" s="283" customFormat="1" ht="20.25">
      <c r="A100" s="792" t="s">
        <v>392</v>
      </c>
      <c r="B100" s="295"/>
      <c r="C100" s="295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32"/>
        <v>0</v>
      </c>
      <c r="AF100" s="381"/>
      <c r="AG100" s="408"/>
      <c r="AH100" s="409">
        <f t="shared" si="33"/>
        <v>0</v>
      </c>
      <c r="AI100" s="410"/>
      <c r="AJ100" s="411">
        <f>AH100+AI100</f>
        <v>0</v>
      </c>
      <c r="AK100" s="234"/>
      <c r="AL100" s="234"/>
      <c r="AM100" s="234"/>
    </row>
    <row r="101" spans="1:39" s="283" customFormat="1" ht="20.25">
      <c r="A101" s="792" t="s">
        <v>392</v>
      </c>
      <c r="B101" s="295"/>
      <c r="C101" s="295"/>
      <c r="D101" s="318"/>
      <c r="E101" s="319"/>
      <c r="F101" s="320"/>
      <c r="G101" s="320"/>
      <c r="H101" s="321"/>
      <c r="I101" s="321"/>
      <c r="J101" s="320"/>
      <c r="K101" s="363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32"/>
        <v>0</v>
      </c>
      <c r="AF101" s="381"/>
      <c r="AG101" s="408"/>
      <c r="AH101" s="409">
        <f t="shared" si="33"/>
        <v>0</v>
      </c>
      <c r="AI101" s="410"/>
      <c r="AJ101" s="411">
        <f>AH101+AI101</f>
        <v>0</v>
      </c>
      <c r="AK101" s="234"/>
      <c r="AL101" s="234"/>
      <c r="AM101" s="234"/>
    </row>
    <row r="102" spans="1:39" s="283" customFormat="1" ht="20.25">
      <c r="A102" s="792" t="s">
        <v>392</v>
      </c>
      <c r="B102" s="295"/>
      <c r="C102" s="295"/>
      <c r="D102" s="318"/>
      <c r="E102" s="321"/>
      <c r="F102" s="320"/>
      <c r="G102" s="320"/>
      <c r="H102" s="321"/>
      <c r="I102" s="321"/>
      <c r="J102" s="320"/>
      <c r="K102" s="363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ref="AE102:AE109" si="34">SUM(E102:AC102)</f>
        <v>0</v>
      </c>
      <c r="AF102" s="381"/>
      <c r="AG102" s="408"/>
      <c r="AH102" s="409">
        <f t="shared" si="33"/>
        <v>0</v>
      </c>
      <c r="AI102" s="410"/>
      <c r="AJ102" s="411">
        <f t="shared" ref="AJ102:AJ109" si="35">AH102+AI102</f>
        <v>0</v>
      </c>
      <c r="AK102" s="234"/>
      <c r="AL102" s="234"/>
      <c r="AM102" s="234"/>
    </row>
    <row r="103" spans="1:39" s="283" customFormat="1" ht="20.25">
      <c r="A103" s="792" t="s">
        <v>392</v>
      </c>
      <c r="B103" s="295"/>
      <c r="C103" s="295"/>
      <c r="D103" s="318"/>
      <c r="E103" s="319"/>
      <c r="F103" s="320"/>
      <c r="G103" s="320"/>
      <c r="H103" s="321"/>
      <c r="I103" s="321"/>
      <c r="J103" s="320"/>
      <c r="K103" s="363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34"/>
        <v>0</v>
      </c>
      <c r="AF103" s="381"/>
      <c r="AG103" s="408"/>
      <c r="AH103" s="409">
        <f t="shared" si="33"/>
        <v>0</v>
      </c>
      <c r="AI103" s="410"/>
      <c r="AJ103" s="411">
        <f t="shared" si="35"/>
        <v>0</v>
      </c>
      <c r="AK103" s="234"/>
      <c r="AL103" s="234"/>
      <c r="AM103" s="234"/>
    </row>
    <row r="104" spans="1:39" s="283" customFormat="1" ht="20.25">
      <c r="A104" s="792" t="s">
        <v>392</v>
      </c>
      <c r="B104" s="295"/>
      <c r="C104" s="295"/>
      <c r="D104" s="318"/>
      <c r="E104" s="319"/>
      <c r="F104" s="320"/>
      <c r="G104" s="320"/>
      <c r="H104" s="321"/>
      <c r="I104" s="321"/>
      <c r="J104" s="320"/>
      <c r="K104" s="363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34"/>
        <v>0</v>
      </c>
      <c r="AF104" s="381"/>
      <c r="AG104" s="408"/>
      <c r="AH104" s="409">
        <f t="shared" si="33"/>
        <v>0</v>
      </c>
      <c r="AI104" s="410"/>
      <c r="AJ104" s="411">
        <f t="shared" si="35"/>
        <v>0</v>
      </c>
      <c r="AK104" s="234"/>
      <c r="AL104" s="234"/>
      <c r="AM104" s="234"/>
    </row>
    <row r="105" spans="1:39" s="283" customFormat="1" ht="20.25">
      <c r="A105" s="792" t="s">
        <v>392</v>
      </c>
      <c r="B105" s="295"/>
      <c r="C105" s="295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34"/>
        <v>0</v>
      </c>
      <c r="AF105" s="381"/>
      <c r="AG105" s="408"/>
      <c r="AH105" s="409">
        <f t="shared" si="33"/>
        <v>0</v>
      </c>
      <c r="AI105" s="410"/>
      <c r="AJ105" s="411">
        <f t="shared" si="35"/>
        <v>0</v>
      </c>
      <c r="AK105" s="234"/>
      <c r="AL105" s="234"/>
      <c r="AM105" s="234"/>
    </row>
    <row r="106" spans="1:39" s="284" customFormat="1" ht="22.5" customHeight="1">
      <c r="A106" s="792" t="s">
        <v>392</v>
      </c>
      <c r="B106" s="295"/>
      <c r="C106" s="295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34"/>
        <v>0</v>
      </c>
      <c r="AF106" s="381"/>
      <c r="AG106" s="408"/>
      <c r="AH106" s="409">
        <f t="shared" si="33"/>
        <v>0</v>
      </c>
      <c r="AI106" s="410"/>
      <c r="AJ106" s="411">
        <f t="shared" si="35"/>
        <v>0</v>
      </c>
      <c r="AK106" s="234"/>
      <c r="AL106" s="234"/>
      <c r="AM106" s="234"/>
    </row>
    <row r="107" spans="1:39" s="282" customFormat="1" ht="20.25" customHeight="1">
      <c r="A107" s="792" t="s">
        <v>392</v>
      </c>
      <c r="B107" s="295"/>
      <c r="C107" s="295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34"/>
        <v>0</v>
      </c>
      <c r="AF107" s="381"/>
      <c r="AG107" s="408"/>
      <c r="AH107" s="409">
        <f t="shared" si="33"/>
        <v>0</v>
      </c>
      <c r="AI107" s="410"/>
      <c r="AJ107" s="411">
        <f t="shared" si="35"/>
        <v>0</v>
      </c>
      <c r="AK107" s="234"/>
      <c r="AL107" s="234"/>
      <c r="AM107" s="234"/>
    </row>
    <row r="108" spans="1:39" s="283" customFormat="1" ht="21" thickBot="1">
      <c r="A108" s="792" t="s">
        <v>392</v>
      </c>
      <c r="B108" s="295"/>
      <c r="C108" s="295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34"/>
        <v>0</v>
      </c>
      <c r="AF108" s="381"/>
      <c r="AG108" s="408"/>
      <c r="AH108" s="409">
        <f t="shared" si="33"/>
        <v>0</v>
      </c>
      <c r="AI108" s="410"/>
      <c r="AJ108" s="411">
        <f t="shared" si="35"/>
        <v>0</v>
      </c>
      <c r="AK108" s="234"/>
      <c r="AL108" s="234"/>
      <c r="AM108" s="234"/>
    </row>
    <row r="109" spans="1:39" s="283" customFormat="1" ht="21" thickBot="1">
      <c r="A109" s="792" t="s">
        <v>392</v>
      </c>
      <c r="B109" s="323"/>
      <c r="C109" s="323"/>
      <c r="D109" s="324"/>
      <c r="E109" s="325"/>
      <c r="F109" s="297"/>
      <c r="G109" s="297"/>
      <c r="H109" s="298"/>
      <c r="I109" s="298"/>
      <c r="J109" s="297"/>
      <c r="K109" s="344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si="34"/>
        <v>0</v>
      </c>
      <c r="AF109" s="377"/>
      <c r="AG109" s="390"/>
      <c r="AH109" s="391">
        <f t="shared" si="33"/>
        <v>0</v>
      </c>
      <c r="AI109" s="412"/>
      <c r="AJ109" s="413">
        <f t="shared" si="35"/>
        <v>0</v>
      </c>
      <c r="AK109" s="414" t="s">
        <v>8</v>
      </c>
      <c r="AL109" s="397" t="s">
        <v>23</v>
      </c>
      <c r="AM109" s="415" t="s">
        <v>174</v>
      </c>
    </row>
    <row r="110" spans="1:39" s="283" customFormat="1" ht="19.5" thickBot="1">
      <c r="A110" s="326" t="s">
        <v>426</v>
      </c>
      <c r="B110" s="327"/>
      <c r="C110" s="327"/>
      <c r="D110" s="328"/>
      <c r="E110" s="329">
        <f>SUM(E98:E109)</f>
        <v>0</v>
      </c>
      <c r="F110" s="329">
        <f t="shared" ref="F110:AJ110" si="36">SUM(F98:F109)</f>
        <v>0</v>
      </c>
      <c r="G110" s="329">
        <f t="shared" si="36"/>
        <v>0</v>
      </c>
      <c r="H110" s="329">
        <f t="shared" si="36"/>
        <v>0</v>
      </c>
      <c r="I110" s="329">
        <f t="shared" si="36"/>
        <v>0</v>
      </c>
      <c r="J110" s="329">
        <f t="shared" si="36"/>
        <v>0</v>
      </c>
      <c r="K110" s="329">
        <f t="shared" si="36"/>
        <v>0</v>
      </c>
      <c r="L110" s="329">
        <f t="shared" si="36"/>
        <v>0</v>
      </c>
      <c r="M110" s="329">
        <f t="shared" si="36"/>
        <v>0</v>
      </c>
      <c r="N110" s="329">
        <f t="shared" si="36"/>
        <v>0</v>
      </c>
      <c r="O110" s="329">
        <f t="shared" si="36"/>
        <v>0</v>
      </c>
      <c r="P110" s="329">
        <f t="shared" si="36"/>
        <v>0</v>
      </c>
      <c r="Q110" s="329">
        <f t="shared" si="36"/>
        <v>0</v>
      </c>
      <c r="R110" s="329">
        <f t="shared" si="36"/>
        <v>0</v>
      </c>
      <c r="S110" s="329">
        <f t="shared" si="36"/>
        <v>0</v>
      </c>
      <c r="T110" s="329">
        <f t="shared" si="36"/>
        <v>0</v>
      </c>
      <c r="U110" s="329">
        <f t="shared" si="36"/>
        <v>0</v>
      </c>
      <c r="V110" s="329">
        <f t="shared" si="36"/>
        <v>0</v>
      </c>
      <c r="W110" s="329">
        <f t="shared" si="36"/>
        <v>0</v>
      </c>
      <c r="X110" s="329">
        <f t="shared" si="36"/>
        <v>0</v>
      </c>
      <c r="Y110" s="329">
        <f t="shared" si="36"/>
        <v>0</v>
      </c>
      <c r="Z110" s="329">
        <f t="shared" si="36"/>
        <v>0</v>
      </c>
      <c r="AA110" s="329">
        <f t="shared" si="36"/>
        <v>0</v>
      </c>
      <c r="AB110" s="329">
        <f t="shared" si="36"/>
        <v>0</v>
      </c>
      <c r="AC110" s="329">
        <f t="shared" si="36"/>
        <v>0</v>
      </c>
      <c r="AD110" s="329">
        <f t="shared" si="36"/>
        <v>0</v>
      </c>
      <c r="AE110" s="329">
        <f t="shared" si="36"/>
        <v>0</v>
      </c>
      <c r="AF110" s="329">
        <f t="shared" si="36"/>
        <v>0</v>
      </c>
      <c r="AG110" s="329">
        <f t="shared" si="36"/>
        <v>0</v>
      </c>
      <c r="AH110" s="329">
        <f t="shared" si="36"/>
        <v>0</v>
      </c>
      <c r="AI110" s="329">
        <f t="shared" si="36"/>
        <v>0</v>
      </c>
      <c r="AJ110" s="305">
        <f t="shared" si="36"/>
        <v>0</v>
      </c>
      <c r="AK110" s="399">
        <f>'BIG CHAIR'!CL119</f>
        <v>0</v>
      </c>
      <c r="AL110" s="400">
        <f>'Tea Table'!X207</f>
        <v>120</v>
      </c>
      <c r="AM110" s="401">
        <f>AH110+AK110+AL110</f>
        <v>120</v>
      </c>
    </row>
    <row r="111" spans="1:39" s="283" customFormat="1" ht="24" thickBot="1">
      <c r="A111" s="721" t="s">
        <v>535</v>
      </c>
      <c r="B111" s="3531" t="s">
        <v>68</v>
      </c>
      <c r="C111" s="287" t="s">
        <v>69</v>
      </c>
      <c r="D111" s="288" t="s">
        <v>70</v>
      </c>
      <c r="E111" s="80" t="s">
        <v>399</v>
      </c>
      <c r="F111" s="49" t="s">
        <v>85</v>
      </c>
      <c r="G111" s="49" t="s">
        <v>86</v>
      </c>
      <c r="H111" s="49" t="s">
        <v>92</v>
      </c>
      <c r="I111" s="49" t="s">
        <v>90</v>
      </c>
      <c r="J111" s="49" t="s">
        <v>97</v>
      </c>
      <c r="K111" s="126" t="s">
        <v>96</v>
      </c>
      <c r="L111" s="79"/>
      <c r="M111" s="80" t="s">
        <v>214</v>
      </c>
      <c r="N111" s="49" t="s">
        <v>53</v>
      </c>
      <c r="O111" s="49" t="s">
        <v>94</v>
      </c>
      <c r="P111" s="49" t="s">
        <v>76</v>
      </c>
      <c r="Q111" s="49" t="s">
        <v>497</v>
      </c>
      <c r="R111" s="49" t="s">
        <v>81</v>
      </c>
      <c r="S111" s="126" t="s">
        <v>136</v>
      </c>
      <c r="T111" s="171" t="s">
        <v>222</v>
      </c>
      <c r="U111" s="79"/>
      <c r="V111" s="99" t="s">
        <v>101</v>
      </c>
      <c r="W111" s="101" t="s">
        <v>473</v>
      </c>
      <c r="X111" s="104" t="s">
        <v>215</v>
      </c>
      <c r="Y111" s="103" t="s">
        <v>94</v>
      </c>
      <c r="Z111" s="104"/>
      <c r="AA111" s="102" t="s">
        <v>474</v>
      </c>
      <c r="AB111" s="121" t="s">
        <v>86</v>
      </c>
      <c r="AC111" s="717"/>
      <c r="AD111" s="370"/>
      <c r="AE111" s="371" t="s">
        <v>172</v>
      </c>
      <c r="AF111" s="372" t="s">
        <v>80</v>
      </c>
      <c r="AG111" s="385"/>
      <c r="AH111" s="386" t="s">
        <v>106</v>
      </c>
      <c r="AI111" s="385" t="s">
        <v>173</v>
      </c>
      <c r="AJ111" s="371" t="s">
        <v>108</v>
      </c>
      <c r="AK111"/>
      <c r="AL111"/>
      <c r="AM111"/>
    </row>
    <row r="112" spans="1:39" s="283" customFormat="1" ht="20.25">
      <c r="A112" s="792" t="s">
        <v>536</v>
      </c>
      <c r="B112" s="311"/>
      <c r="C112" s="311"/>
      <c r="D112" s="312"/>
      <c r="E112" s="313"/>
      <c r="F112" s="314"/>
      <c r="G112" s="314"/>
      <c r="H112" s="315"/>
      <c r="I112" s="315"/>
      <c r="J112" s="314"/>
      <c r="K112" s="477"/>
      <c r="L112" s="349"/>
      <c r="M112" s="350"/>
      <c r="N112" s="315"/>
      <c r="O112" s="315"/>
      <c r="P112" s="315"/>
      <c r="Q112" s="315"/>
      <c r="R112" s="315"/>
      <c r="S112" s="315"/>
      <c r="T112" s="477"/>
      <c r="U112" s="349"/>
      <c r="V112" s="350"/>
      <c r="W112" s="315"/>
      <c r="X112" s="315"/>
      <c r="Y112" s="315"/>
      <c r="Z112" s="315"/>
      <c r="AA112" s="315"/>
      <c r="AB112" s="315"/>
      <c r="AC112" s="378"/>
      <c r="AD112" s="349"/>
      <c r="AE112" s="379">
        <f t="shared" ref="AE112:AE115" si="37">SUM(E112:AC112)</f>
        <v>0</v>
      </c>
      <c r="AF112" s="379"/>
      <c r="AG112" s="404"/>
      <c r="AH112" s="405">
        <f>AE112+AF112</f>
        <v>0</v>
      </c>
      <c r="AI112" s="406"/>
      <c r="AJ112" s="407">
        <f>AH112+AI112</f>
        <v>0</v>
      </c>
      <c r="AK112" s="403"/>
      <c r="AL112" s="403"/>
      <c r="AM112" s="403"/>
    </row>
    <row r="113" spans="1:39" s="284" customFormat="1" ht="24" customHeight="1">
      <c r="A113" s="792" t="s">
        <v>536</v>
      </c>
      <c r="B113" s="317"/>
      <c r="C113" s="317"/>
      <c r="D113" s="318"/>
      <c r="E113" s="319"/>
      <c r="F113" s="320"/>
      <c r="G113" s="320"/>
      <c r="H113" s="321"/>
      <c r="I113" s="321"/>
      <c r="J113" s="320"/>
      <c r="K113" s="351"/>
      <c r="L113" s="352"/>
      <c r="M113" s="353"/>
      <c r="N113" s="320"/>
      <c r="O113" s="320"/>
      <c r="P113" s="321"/>
      <c r="Q113" s="321"/>
      <c r="R113" s="321"/>
      <c r="S113" s="320"/>
      <c r="T113" s="351"/>
      <c r="U113" s="352"/>
      <c r="V113" s="353"/>
      <c r="W113" s="321"/>
      <c r="X113" s="321"/>
      <c r="Y113" s="321"/>
      <c r="Z113" s="321"/>
      <c r="AA113" s="321"/>
      <c r="AB113" s="321"/>
      <c r="AC113" s="380"/>
      <c r="AD113" s="352"/>
      <c r="AE113" s="381">
        <f t="shared" si="37"/>
        <v>0</v>
      </c>
      <c r="AF113" s="381"/>
      <c r="AG113" s="408"/>
      <c r="AH113" s="409">
        <f t="shared" ref="AH113:AH123" si="38">AE113+AF113</f>
        <v>0</v>
      </c>
      <c r="AI113" s="410"/>
      <c r="AJ113" s="411">
        <f>AH113+AI113</f>
        <v>0</v>
      </c>
      <c r="AK113" s="282"/>
      <c r="AL113" s="282"/>
      <c r="AM113" s="282"/>
    </row>
    <row r="114" spans="1:39" s="282" customFormat="1" ht="20.25">
      <c r="A114" s="792" t="s">
        <v>536</v>
      </c>
      <c r="B114" s="295"/>
      <c r="C114" s="295"/>
      <c r="D114" s="318"/>
      <c r="E114" s="319"/>
      <c r="F114" s="320"/>
      <c r="G114" s="320"/>
      <c r="H114" s="321"/>
      <c r="I114" s="321"/>
      <c r="J114" s="320"/>
      <c r="K114" s="354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/>
      <c r="X114" s="320"/>
      <c r="Y114" s="321"/>
      <c r="Z114" s="321"/>
      <c r="AA114" s="321"/>
      <c r="AB114" s="320"/>
      <c r="AC114" s="380"/>
      <c r="AD114" s="352"/>
      <c r="AE114" s="381">
        <f t="shared" si="37"/>
        <v>0</v>
      </c>
      <c r="AF114" s="381"/>
      <c r="AG114" s="408"/>
      <c r="AH114" s="409">
        <f t="shared" si="38"/>
        <v>0</v>
      </c>
      <c r="AI114" s="410"/>
      <c r="AJ114" s="411">
        <f>AH114+AI114</f>
        <v>0</v>
      </c>
      <c r="AK114" s="283"/>
      <c r="AL114" s="283"/>
      <c r="AM114" s="283"/>
    </row>
    <row r="115" spans="1:39" s="283" customFormat="1" ht="20.25">
      <c r="A115" s="792" t="s">
        <v>536</v>
      </c>
      <c r="B115" s="295"/>
      <c r="C115" s="295"/>
      <c r="D115" s="318"/>
      <c r="E115" s="319"/>
      <c r="F115" s="320"/>
      <c r="G115" s="320"/>
      <c r="H115" s="321"/>
      <c r="I115" s="321"/>
      <c r="J115" s="320"/>
      <c r="K115" s="363"/>
      <c r="L115" s="352"/>
      <c r="M115" s="353"/>
      <c r="N115" s="321"/>
      <c r="O115" s="321"/>
      <c r="P115" s="321"/>
      <c r="Q115" s="321"/>
      <c r="R115" s="321"/>
      <c r="S115" s="321"/>
      <c r="T115" s="351"/>
      <c r="U115" s="352"/>
      <c r="V115" s="319"/>
      <c r="W115" s="320"/>
      <c r="X115" s="320"/>
      <c r="Y115" s="321"/>
      <c r="Z115" s="321"/>
      <c r="AA115" s="321"/>
      <c r="AB115" s="320"/>
      <c r="AC115" s="380"/>
      <c r="AD115" s="352"/>
      <c r="AE115" s="381">
        <f t="shared" si="37"/>
        <v>0</v>
      </c>
      <c r="AF115" s="381"/>
      <c r="AG115" s="408"/>
      <c r="AH115" s="409">
        <f t="shared" si="38"/>
        <v>0</v>
      </c>
      <c r="AI115" s="410"/>
      <c r="AJ115" s="411">
        <f>AH115+AI115</f>
        <v>0</v>
      </c>
    </row>
    <row r="116" spans="1:39" s="283" customFormat="1" ht="20.25">
      <c r="A116" s="792" t="s">
        <v>536</v>
      </c>
      <c r="B116" s="295"/>
      <c r="C116" s="295"/>
      <c r="D116" s="318"/>
      <c r="E116" s="321"/>
      <c r="F116" s="320"/>
      <c r="G116" s="320"/>
      <c r="H116" s="321"/>
      <c r="I116" s="321"/>
      <c r="J116" s="320"/>
      <c r="K116" s="363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ref="AE116:AE123" si="39">SUM(E116:AC116)</f>
        <v>0</v>
      </c>
      <c r="AF116" s="381"/>
      <c r="AG116" s="408"/>
      <c r="AH116" s="409">
        <f t="shared" si="38"/>
        <v>0</v>
      </c>
      <c r="AI116" s="410"/>
      <c r="AJ116" s="411">
        <f t="shared" ref="AJ116:AJ123" si="40">AH116+AI116</f>
        <v>0</v>
      </c>
    </row>
    <row r="117" spans="1:39" s="283" customFormat="1" ht="22.5" customHeight="1">
      <c r="A117" s="792" t="s">
        <v>536</v>
      </c>
      <c r="B117" s="295"/>
      <c r="C117" s="295"/>
      <c r="D117" s="318"/>
      <c r="E117" s="319"/>
      <c r="F117" s="320"/>
      <c r="G117" s="320"/>
      <c r="H117" s="321"/>
      <c r="I117" s="321"/>
      <c r="J117" s="320"/>
      <c r="K117" s="363"/>
      <c r="L117" s="352"/>
      <c r="M117" s="353"/>
      <c r="N117" s="321"/>
      <c r="O117" s="321"/>
      <c r="P117" s="321"/>
      <c r="Q117" s="321"/>
      <c r="R117" s="321"/>
      <c r="S117" s="321"/>
      <c r="T117" s="351"/>
      <c r="U117" s="352"/>
      <c r="V117" s="319"/>
      <c r="W117" s="320"/>
      <c r="X117" s="320"/>
      <c r="Y117" s="321"/>
      <c r="Z117" s="321"/>
      <c r="AA117" s="321"/>
      <c r="AB117" s="320"/>
      <c r="AC117" s="380"/>
      <c r="AD117" s="352"/>
      <c r="AE117" s="381">
        <f t="shared" si="39"/>
        <v>0</v>
      </c>
      <c r="AF117" s="381"/>
      <c r="AG117" s="408"/>
      <c r="AH117" s="409">
        <f t="shared" si="38"/>
        <v>0</v>
      </c>
      <c r="AI117" s="410"/>
      <c r="AJ117" s="411">
        <f t="shared" si="40"/>
        <v>0</v>
      </c>
    </row>
    <row r="118" spans="1:39" s="283" customFormat="1" ht="20.25">
      <c r="A118" s="792" t="s">
        <v>536</v>
      </c>
      <c r="B118" s="295"/>
      <c r="C118" s="295"/>
      <c r="D118" s="318"/>
      <c r="E118" s="319"/>
      <c r="F118" s="320"/>
      <c r="G118" s="320"/>
      <c r="H118" s="321"/>
      <c r="I118" s="321"/>
      <c r="J118" s="320"/>
      <c r="K118" s="363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si="39"/>
        <v>0</v>
      </c>
      <c r="AF118" s="381"/>
      <c r="AG118" s="408"/>
      <c r="AH118" s="409">
        <f t="shared" si="38"/>
        <v>0</v>
      </c>
      <c r="AI118" s="410"/>
      <c r="AJ118" s="411">
        <f t="shared" si="40"/>
        <v>0</v>
      </c>
    </row>
    <row r="119" spans="1:39" s="283" customFormat="1" ht="20.25">
      <c r="A119" s="792" t="s">
        <v>536</v>
      </c>
      <c r="B119" s="295"/>
      <c r="C119" s="295"/>
      <c r="D119" s="318"/>
      <c r="E119" s="319"/>
      <c r="F119" s="320"/>
      <c r="G119" s="320"/>
      <c r="H119" s="321"/>
      <c r="I119" s="321"/>
      <c r="J119" s="320"/>
      <c r="K119" s="354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39"/>
        <v>0</v>
      </c>
      <c r="AF119" s="381"/>
      <c r="AG119" s="408"/>
      <c r="AH119" s="409">
        <f t="shared" si="38"/>
        <v>0</v>
      </c>
      <c r="AI119" s="410"/>
      <c r="AJ119" s="411">
        <f t="shared" si="40"/>
        <v>0</v>
      </c>
    </row>
    <row r="120" spans="1:39" s="283" customFormat="1" ht="20.25">
      <c r="A120" s="792" t="s">
        <v>536</v>
      </c>
      <c r="B120" s="295"/>
      <c r="C120" s="295"/>
      <c r="D120" s="318"/>
      <c r="E120" s="319"/>
      <c r="F120" s="320"/>
      <c r="G120" s="320"/>
      <c r="H120" s="321"/>
      <c r="I120" s="321"/>
      <c r="J120" s="320"/>
      <c r="K120" s="354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39"/>
        <v>0</v>
      </c>
      <c r="AF120" s="381"/>
      <c r="AG120" s="408"/>
      <c r="AH120" s="409">
        <f t="shared" si="38"/>
        <v>0</v>
      </c>
      <c r="AI120" s="410"/>
      <c r="AJ120" s="411">
        <f t="shared" si="40"/>
        <v>0</v>
      </c>
      <c r="AK120" s="403"/>
      <c r="AL120" s="403"/>
      <c r="AM120" s="403"/>
    </row>
    <row r="121" spans="1:39" s="283" customFormat="1" ht="20.25">
      <c r="A121" s="792" t="s">
        <v>536</v>
      </c>
      <c r="B121" s="295"/>
      <c r="C121" s="295"/>
      <c r="D121" s="318"/>
      <c r="E121" s="319"/>
      <c r="F121" s="320"/>
      <c r="G121" s="320"/>
      <c r="H121" s="321"/>
      <c r="I121" s="321"/>
      <c r="J121" s="320"/>
      <c r="K121" s="354"/>
      <c r="L121" s="352"/>
      <c r="M121" s="353"/>
      <c r="N121" s="321"/>
      <c r="O121" s="321"/>
      <c r="P121" s="321"/>
      <c r="Q121" s="321"/>
      <c r="R121" s="321"/>
      <c r="S121" s="321"/>
      <c r="T121" s="351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si="39"/>
        <v>0</v>
      </c>
      <c r="AF121" s="381"/>
      <c r="AG121" s="408"/>
      <c r="AH121" s="409">
        <f t="shared" si="38"/>
        <v>0</v>
      </c>
      <c r="AI121" s="410"/>
      <c r="AJ121" s="411">
        <f t="shared" si="40"/>
        <v>0</v>
      </c>
      <c r="AK121" s="282"/>
      <c r="AL121" s="282"/>
      <c r="AM121" s="282"/>
    </row>
    <row r="122" spans="1:39" s="284" customFormat="1" ht="22.5" customHeight="1">
      <c r="A122" s="792" t="s">
        <v>536</v>
      </c>
      <c r="B122" s="295"/>
      <c r="C122" s="295"/>
      <c r="D122" s="318"/>
      <c r="E122" s="319"/>
      <c r="F122" s="320"/>
      <c r="G122" s="320"/>
      <c r="H122" s="321"/>
      <c r="I122" s="321"/>
      <c r="J122" s="320"/>
      <c r="K122" s="354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39"/>
        <v>0</v>
      </c>
      <c r="AF122" s="381"/>
      <c r="AG122" s="408"/>
      <c r="AH122" s="409">
        <f t="shared" si="38"/>
        <v>0</v>
      </c>
      <c r="AI122" s="410"/>
      <c r="AJ122" s="411">
        <f t="shared" si="40"/>
        <v>0</v>
      </c>
      <c r="AK122" s="283"/>
      <c r="AL122" s="283"/>
      <c r="AM122" s="283"/>
    </row>
    <row r="123" spans="1:39" s="282" customFormat="1" ht="27" customHeight="1" thickBot="1">
      <c r="A123" s="792" t="s">
        <v>536</v>
      </c>
      <c r="B123" s="323"/>
      <c r="C123" s="323"/>
      <c r="D123" s="324"/>
      <c r="E123" s="325"/>
      <c r="F123" s="297"/>
      <c r="G123" s="297"/>
      <c r="H123" s="298"/>
      <c r="I123" s="298"/>
      <c r="J123" s="297"/>
      <c r="K123" s="344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39"/>
        <v>0</v>
      </c>
      <c r="AF123" s="377"/>
      <c r="AG123" s="390"/>
      <c r="AH123" s="391">
        <f t="shared" si="38"/>
        <v>0</v>
      </c>
      <c r="AI123" s="412"/>
      <c r="AJ123" s="413">
        <f t="shared" si="40"/>
        <v>0</v>
      </c>
      <c r="AK123" s="283"/>
      <c r="AL123" s="283"/>
      <c r="AM123" s="283"/>
    </row>
    <row r="124" spans="1:39" s="283" customFormat="1" ht="19.5" thickBot="1">
      <c r="A124" s="326" t="s">
        <v>550</v>
      </c>
      <c r="B124" s="327"/>
      <c r="C124" s="327"/>
      <c r="D124" s="328"/>
      <c r="E124" s="329">
        <f>SUM(E112:E123)</f>
        <v>0</v>
      </c>
      <c r="F124" s="329">
        <f t="shared" ref="F124:AJ124" si="41">SUM(F112:F123)</f>
        <v>0</v>
      </c>
      <c r="G124" s="329">
        <f t="shared" si="41"/>
        <v>0</v>
      </c>
      <c r="H124" s="329">
        <f t="shared" si="41"/>
        <v>0</v>
      </c>
      <c r="I124" s="329">
        <f t="shared" si="41"/>
        <v>0</v>
      </c>
      <c r="J124" s="329">
        <f t="shared" si="41"/>
        <v>0</v>
      </c>
      <c r="K124" s="329">
        <f t="shared" si="41"/>
        <v>0</v>
      </c>
      <c r="L124" s="329">
        <f t="shared" si="41"/>
        <v>0</v>
      </c>
      <c r="M124" s="329">
        <f t="shared" si="41"/>
        <v>0</v>
      </c>
      <c r="N124" s="329">
        <f t="shared" si="41"/>
        <v>0</v>
      </c>
      <c r="O124" s="329">
        <f t="shared" si="41"/>
        <v>0</v>
      </c>
      <c r="P124" s="329">
        <f t="shared" si="41"/>
        <v>0</v>
      </c>
      <c r="Q124" s="329">
        <f t="shared" si="41"/>
        <v>0</v>
      </c>
      <c r="R124" s="329">
        <f t="shared" si="41"/>
        <v>0</v>
      </c>
      <c r="S124" s="329">
        <f t="shared" si="41"/>
        <v>0</v>
      </c>
      <c r="T124" s="329">
        <f t="shared" si="41"/>
        <v>0</v>
      </c>
      <c r="U124" s="329">
        <f t="shared" si="41"/>
        <v>0</v>
      </c>
      <c r="V124" s="329">
        <f t="shared" si="41"/>
        <v>0</v>
      </c>
      <c r="W124" s="329">
        <f t="shared" si="41"/>
        <v>0</v>
      </c>
      <c r="X124" s="329">
        <f t="shared" si="41"/>
        <v>0</v>
      </c>
      <c r="Y124" s="329">
        <f t="shared" si="41"/>
        <v>0</v>
      </c>
      <c r="Z124" s="329">
        <f t="shared" si="41"/>
        <v>0</v>
      </c>
      <c r="AA124" s="329">
        <f t="shared" si="41"/>
        <v>0</v>
      </c>
      <c r="AB124" s="329">
        <f t="shared" si="41"/>
        <v>0</v>
      </c>
      <c r="AC124" s="329">
        <f t="shared" si="41"/>
        <v>0</v>
      </c>
      <c r="AD124" s="329">
        <f t="shared" si="41"/>
        <v>0</v>
      </c>
      <c r="AE124" s="329">
        <f t="shared" si="41"/>
        <v>0</v>
      </c>
      <c r="AF124" s="329">
        <f t="shared" si="41"/>
        <v>0</v>
      </c>
      <c r="AG124" s="329">
        <f t="shared" si="41"/>
        <v>0</v>
      </c>
      <c r="AH124" s="329">
        <f t="shared" si="41"/>
        <v>0</v>
      </c>
      <c r="AI124" s="329">
        <f t="shared" si="41"/>
        <v>0</v>
      </c>
      <c r="AJ124" s="305">
        <f t="shared" si="41"/>
        <v>0</v>
      </c>
    </row>
    <row r="125" spans="1:39" s="283" customFormat="1">
      <c r="A125"/>
      <c r="B125" s="276"/>
      <c r="C125" s="276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9" s="283" customFormat="1" ht="19.5" thickBot="1">
      <c r="A126" s="425"/>
      <c r="B126" s="426"/>
      <c r="C126" s="426"/>
      <c r="D126" s="427"/>
      <c r="E126" s="428"/>
      <c r="F126" s="428"/>
      <c r="G126" s="428"/>
      <c r="H126" s="428"/>
      <c r="I126" s="428"/>
      <c r="J126" s="428"/>
      <c r="K126" s="428"/>
      <c r="L126" s="478"/>
      <c r="M126" s="479"/>
      <c r="N126" s="479"/>
      <c r="O126" s="479"/>
      <c r="P126" s="479"/>
      <c r="Q126" s="479"/>
      <c r="R126" s="479"/>
      <c r="S126" s="479"/>
      <c r="T126" s="479"/>
      <c r="U126" s="478"/>
      <c r="V126" s="479"/>
      <c r="W126" s="479"/>
      <c r="X126" s="479"/>
      <c r="Y126" s="479"/>
      <c r="Z126" s="479"/>
      <c r="AA126" s="479"/>
      <c r="AB126" s="479"/>
      <c r="AC126" s="479"/>
      <c r="AD126" s="478"/>
      <c r="AE126" s="479"/>
      <c r="AF126" s="479"/>
      <c r="AG126" s="479"/>
      <c r="AH126" s="479"/>
      <c r="AI126" s="479"/>
      <c r="AJ126" s="506"/>
    </row>
    <row r="127" spans="1:39" s="283" customFormat="1" ht="19.5" thickBot="1">
      <c r="A127" s="429" t="s">
        <v>179</v>
      </c>
      <c r="B127" s="287" t="s">
        <v>68</v>
      </c>
      <c r="C127" s="287" t="s">
        <v>69</v>
      </c>
      <c r="D127" s="288" t="s">
        <v>70</v>
      </c>
      <c r="E127" s="80" t="s">
        <v>399</v>
      </c>
      <c r="F127" s="49" t="s">
        <v>85</v>
      </c>
      <c r="G127" s="49" t="s">
        <v>86</v>
      </c>
      <c r="H127" s="49" t="s">
        <v>92</v>
      </c>
      <c r="I127" s="49" t="s">
        <v>90</v>
      </c>
      <c r="J127" s="49" t="s">
        <v>97</v>
      </c>
      <c r="K127" s="126" t="s">
        <v>96</v>
      </c>
      <c r="L127" s="79"/>
      <c r="M127" s="80" t="s">
        <v>214</v>
      </c>
      <c r="N127" s="49" t="s">
        <v>53</v>
      </c>
      <c r="O127" s="49" t="s">
        <v>94</v>
      </c>
      <c r="P127" s="49" t="s">
        <v>76</v>
      </c>
      <c r="Q127" s="49" t="s">
        <v>95</v>
      </c>
      <c r="R127" s="49" t="s">
        <v>81</v>
      </c>
      <c r="S127" s="126" t="s">
        <v>136</v>
      </c>
      <c r="T127" s="171" t="s">
        <v>222</v>
      </c>
      <c r="U127" s="79"/>
      <c r="V127" s="99" t="s">
        <v>101</v>
      </c>
      <c r="W127" s="101" t="s">
        <v>473</v>
      </c>
      <c r="X127" s="104" t="s">
        <v>215</v>
      </c>
      <c r="Y127" s="103" t="s">
        <v>94</v>
      </c>
      <c r="Z127" s="104"/>
      <c r="AA127" s="102" t="s">
        <v>474</v>
      </c>
      <c r="AB127" s="121" t="s">
        <v>86</v>
      </c>
      <c r="AC127" s="844"/>
      <c r="AD127" s="79"/>
      <c r="AE127" s="371" t="s">
        <v>172</v>
      </c>
      <c r="AF127" s="372" t="s">
        <v>80</v>
      </c>
      <c r="AG127" s="385"/>
      <c r="AH127" s="386" t="s">
        <v>106</v>
      </c>
      <c r="AI127" s="385" t="s">
        <v>173</v>
      </c>
      <c r="AJ127" s="371" t="s">
        <v>108</v>
      </c>
      <c r="AK127" s="403"/>
      <c r="AL127" s="403"/>
      <c r="AM127" s="403"/>
    </row>
    <row r="128" spans="1:39" s="283" customFormat="1" ht="20.25">
      <c r="A128" s="322"/>
      <c r="B128" s="323"/>
      <c r="C128" s="323"/>
      <c r="D128" s="324"/>
      <c r="E128" s="433"/>
      <c r="F128" s="434"/>
      <c r="G128" s="434"/>
      <c r="H128" s="435"/>
      <c r="I128" s="435"/>
      <c r="J128" s="434"/>
      <c r="K128" s="480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433"/>
      <c r="W128" s="434"/>
      <c r="X128" s="434"/>
      <c r="Y128" s="435"/>
      <c r="Z128" s="435"/>
      <c r="AA128" s="435"/>
      <c r="AB128" s="434"/>
      <c r="AC128" s="495"/>
      <c r="AD128" s="355"/>
      <c r="AE128" s="377">
        <f t="shared" ref="AE128:AE130" si="42">SUM(E128:AC128)</f>
        <v>0</v>
      </c>
      <c r="AF128" s="377"/>
      <c r="AG128" s="390"/>
      <c r="AH128" s="507">
        <f t="shared" ref="AH128:AH132" si="43">AE128+AF128</f>
        <v>0</v>
      </c>
      <c r="AI128" s="412"/>
      <c r="AJ128" s="508">
        <f>AH128+AI128</f>
        <v>0</v>
      </c>
      <c r="AK128" s="282"/>
      <c r="AL128" s="282"/>
      <c r="AM128" s="282"/>
    </row>
    <row r="129" spans="1:39" s="283" customFormat="1" ht="20.25">
      <c r="A129" s="322"/>
      <c r="B129" s="323"/>
      <c r="C129" s="323"/>
      <c r="D129" s="324"/>
      <c r="E129" s="325"/>
      <c r="F129" s="297"/>
      <c r="G129" s="297"/>
      <c r="H129" s="298"/>
      <c r="I129" s="298"/>
      <c r="J129" s="297"/>
      <c r="K129" s="344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7">
        <f t="shared" ref="AE129" si="44">SUM(E129:AC129)</f>
        <v>0</v>
      </c>
      <c r="AF129" s="377"/>
      <c r="AG129" s="390"/>
      <c r="AH129" s="507">
        <f t="shared" si="43"/>
        <v>0</v>
      </c>
      <c r="AI129" s="412"/>
      <c r="AJ129" s="508">
        <f>AH129+AI129</f>
        <v>0</v>
      </c>
    </row>
    <row r="130" spans="1:39" s="284" customFormat="1" ht="18.75" customHeight="1">
      <c r="A130" s="322"/>
      <c r="B130" s="323"/>
      <c r="C130" s="323"/>
      <c r="D130" s="324"/>
      <c r="E130" s="325"/>
      <c r="F130" s="297"/>
      <c r="G130" s="297"/>
      <c r="H130" s="298"/>
      <c r="I130" s="298"/>
      <c r="J130" s="297"/>
      <c r="K130" s="344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7">
        <f t="shared" si="42"/>
        <v>0</v>
      </c>
      <c r="AF130" s="377"/>
      <c r="AG130" s="390"/>
      <c r="AH130" s="507">
        <f t="shared" si="43"/>
        <v>0</v>
      </c>
      <c r="AI130" s="412"/>
      <c r="AJ130" s="508">
        <f>AH130+AI130</f>
        <v>0</v>
      </c>
      <c r="AK130" s="283"/>
      <c r="AL130" s="283"/>
      <c r="AM130" s="283"/>
    </row>
    <row r="131" spans="1:39" ht="20.25">
      <c r="A131" s="322"/>
      <c r="B131" s="323"/>
      <c r="C131" s="323"/>
      <c r="D131" s="324"/>
      <c r="E131" s="325"/>
      <c r="F131" s="297"/>
      <c r="G131" s="297"/>
      <c r="H131" s="298"/>
      <c r="I131" s="298"/>
      <c r="J131" s="297"/>
      <c r="K131" s="344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7">
        <f t="shared" ref="AE131:AE132" si="45">SUM(E131:AC131)</f>
        <v>0</v>
      </c>
      <c r="AF131" s="377"/>
      <c r="AG131" s="390"/>
      <c r="AH131" s="507">
        <f t="shared" si="43"/>
        <v>0</v>
      </c>
      <c r="AI131" s="412"/>
      <c r="AJ131" s="508">
        <f>AH131+AI131</f>
        <v>0</v>
      </c>
      <c r="AK131" s="283"/>
      <c r="AL131" s="283"/>
      <c r="AM131" s="283"/>
    </row>
    <row r="132" spans="1:39" ht="21" thickBot="1">
      <c r="A132" s="322"/>
      <c r="B132" s="323"/>
      <c r="C132" s="323"/>
      <c r="D132" s="324"/>
      <c r="E132" s="325"/>
      <c r="F132" s="297"/>
      <c r="G132" s="297"/>
      <c r="H132" s="298"/>
      <c r="I132" s="298"/>
      <c r="J132" s="297"/>
      <c r="K132" s="344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7">
        <f t="shared" si="45"/>
        <v>0</v>
      </c>
      <c r="AF132" s="377"/>
      <c r="AG132" s="390"/>
      <c r="AH132" s="507">
        <f t="shared" si="43"/>
        <v>0</v>
      </c>
      <c r="AI132" s="412"/>
      <c r="AJ132" s="508">
        <f t="shared" ref="AJ132" si="46">AH132+AI132</f>
        <v>0</v>
      </c>
      <c r="AK132" s="283"/>
      <c r="AL132" s="283"/>
      <c r="AM132" s="283"/>
    </row>
    <row r="133" spans="1:39" s="1" customFormat="1" ht="21" customHeight="1" thickBot="1">
      <c r="A133" s="436"/>
      <c r="B133" s="437"/>
      <c r="C133" s="437"/>
      <c r="D133" s="438"/>
      <c r="E133" s="439">
        <f t="shared" ref="E133:K133" si="47">SUM(E128:E132)</f>
        <v>0</v>
      </c>
      <c r="F133" s="440">
        <f t="shared" si="47"/>
        <v>0</v>
      </c>
      <c r="G133" s="440">
        <f t="shared" si="47"/>
        <v>0</v>
      </c>
      <c r="H133" s="440">
        <f t="shared" si="47"/>
        <v>0</v>
      </c>
      <c r="I133" s="440">
        <f t="shared" si="47"/>
        <v>0</v>
      </c>
      <c r="J133" s="440">
        <f t="shared" si="47"/>
        <v>0</v>
      </c>
      <c r="K133" s="481">
        <f t="shared" si="47"/>
        <v>0</v>
      </c>
      <c r="L133" s="482"/>
      <c r="M133" s="439">
        <f t="shared" ref="M133:T133" si="48">SUM(M128:M132)</f>
        <v>0</v>
      </c>
      <c r="N133" s="440">
        <f t="shared" si="48"/>
        <v>0</v>
      </c>
      <c r="O133" s="440">
        <f t="shared" si="48"/>
        <v>0</v>
      </c>
      <c r="P133" s="440">
        <f t="shared" si="48"/>
        <v>0</v>
      </c>
      <c r="Q133" s="440">
        <f t="shared" si="48"/>
        <v>0</v>
      </c>
      <c r="R133" s="440">
        <f t="shared" si="48"/>
        <v>0</v>
      </c>
      <c r="S133" s="440">
        <f t="shared" si="48"/>
        <v>0</v>
      </c>
      <c r="T133" s="481">
        <f t="shared" si="48"/>
        <v>0</v>
      </c>
      <c r="U133" s="482"/>
      <c r="V133" s="439">
        <f t="shared" ref="V133:AC133" si="49">SUM(V128:V132)</f>
        <v>0</v>
      </c>
      <c r="W133" s="440">
        <f t="shared" si="49"/>
        <v>0</v>
      </c>
      <c r="X133" s="440">
        <f t="shared" si="49"/>
        <v>0</v>
      </c>
      <c r="Y133" s="440">
        <f t="shared" si="49"/>
        <v>0</v>
      </c>
      <c r="Z133" s="440">
        <f t="shared" si="49"/>
        <v>0</v>
      </c>
      <c r="AA133" s="440">
        <f t="shared" si="49"/>
        <v>0</v>
      </c>
      <c r="AB133" s="440">
        <f t="shared" si="49"/>
        <v>0</v>
      </c>
      <c r="AC133" s="481">
        <f t="shared" si="49"/>
        <v>0</v>
      </c>
      <c r="AD133" s="482"/>
      <c r="AE133" s="494">
        <f t="shared" ref="AE133:AJ133" si="50">SUM(AE128:AE132)</f>
        <v>0</v>
      </c>
      <c r="AF133" s="494">
        <f t="shared" si="50"/>
        <v>0</v>
      </c>
      <c r="AG133" s="494">
        <f t="shared" si="50"/>
        <v>0</v>
      </c>
      <c r="AH133" s="509">
        <f t="shared" si="50"/>
        <v>0</v>
      </c>
      <c r="AI133" s="494">
        <f t="shared" si="50"/>
        <v>0</v>
      </c>
      <c r="AJ133" s="509">
        <f t="shared" si="50"/>
        <v>0</v>
      </c>
      <c r="AK133" s="283"/>
      <c r="AL133" s="283"/>
      <c r="AM133" s="283"/>
    </row>
    <row r="134" spans="1:39" ht="19.5" thickBot="1">
      <c r="A134" s="425"/>
      <c r="B134" s="426"/>
      <c r="C134" s="426"/>
      <c r="D134" s="427"/>
      <c r="E134" s="428"/>
      <c r="F134" s="428"/>
      <c r="G134" s="428"/>
      <c r="H134" s="428"/>
      <c r="I134" s="428"/>
      <c r="J134" s="428"/>
      <c r="K134" s="428"/>
      <c r="L134" s="478"/>
      <c r="M134" s="479"/>
      <c r="N134" s="479"/>
      <c r="O134" s="479"/>
      <c r="P134" s="479"/>
      <c r="Q134" s="479"/>
      <c r="R134" s="479"/>
      <c r="S134" s="479"/>
      <c r="T134" s="479"/>
      <c r="U134" s="478"/>
      <c r="V134" s="479"/>
      <c r="W134" s="479"/>
      <c r="X134" s="479"/>
      <c r="Y134" s="479"/>
      <c r="Z134" s="479"/>
      <c r="AA134" s="479"/>
      <c r="AB134" s="479"/>
      <c r="AC134" s="479"/>
      <c r="AD134" s="478"/>
      <c r="AE134" s="479"/>
      <c r="AF134" s="479"/>
      <c r="AG134" s="479"/>
      <c r="AH134" s="479"/>
      <c r="AI134" s="479"/>
      <c r="AJ134" s="506"/>
      <c r="AK134" s="283"/>
      <c r="AL134" s="283"/>
      <c r="AM134" s="283"/>
    </row>
    <row r="135" spans="1:39" s="276" customFormat="1" ht="18.75" thickBot="1">
      <c r="A135" s="441" t="s">
        <v>135</v>
      </c>
      <c r="B135" s="287" t="s">
        <v>68</v>
      </c>
      <c r="C135" s="287" t="s">
        <v>69</v>
      </c>
      <c r="D135" s="288" t="s">
        <v>70</v>
      </c>
      <c r="E135" s="80" t="s">
        <v>399</v>
      </c>
      <c r="F135" s="49" t="s">
        <v>85</v>
      </c>
      <c r="G135" s="49" t="s">
        <v>86</v>
      </c>
      <c r="H135" s="49" t="s">
        <v>92</v>
      </c>
      <c r="I135" s="49" t="s">
        <v>90</v>
      </c>
      <c r="J135" s="49" t="s">
        <v>97</v>
      </c>
      <c r="K135" s="126" t="s">
        <v>96</v>
      </c>
      <c r="L135" s="79"/>
      <c r="M135" s="80" t="s">
        <v>214</v>
      </c>
      <c r="N135" s="49" t="s">
        <v>53</v>
      </c>
      <c r="O135" s="49" t="s">
        <v>94</v>
      </c>
      <c r="P135" s="49" t="s">
        <v>76</v>
      </c>
      <c r="Q135" s="49" t="s">
        <v>95</v>
      </c>
      <c r="R135" s="49" t="s">
        <v>81</v>
      </c>
      <c r="S135" s="126" t="s">
        <v>136</v>
      </c>
      <c r="T135" s="171" t="s">
        <v>222</v>
      </c>
      <c r="U135" s="79"/>
      <c r="V135" s="99" t="s">
        <v>101</v>
      </c>
      <c r="W135" s="716" t="s">
        <v>473</v>
      </c>
      <c r="X135" s="104" t="s">
        <v>215</v>
      </c>
      <c r="Y135" s="103" t="s">
        <v>94</v>
      </c>
      <c r="Z135" s="104"/>
      <c r="AA135" s="102" t="s">
        <v>474</v>
      </c>
      <c r="AB135" s="121" t="s">
        <v>86</v>
      </c>
      <c r="AC135" s="844"/>
      <c r="AD135" s="79"/>
      <c r="AE135" s="371" t="s">
        <v>172</v>
      </c>
      <c r="AF135" s="372" t="s">
        <v>80</v>
      </c>
      <c r="AG135" s="385"/>
      <c r="AH135" s="386" t="s">
        <v>106</v>
      </c>
      <c r="AI135" s="385" t="s">
        <v>173</v>
      </c>
      <c r="AJ135" s="371" t="s">
        <v>108</v>
      </c>
      <c r="AK135" s="283"/>
      <c r="AL135" s="283"/>
      <c r="AM135" s="283"/>
    </row>
    <row r="136" spans="1:39" s="234" customFormat="1" ht="20.25">
      <c r="A136" s="442"/>
      <c r="B136" s="443"/>
      <c r="C136" s="443"/>
      <c r="D136" s="444"/>
      <c r="E136" s="433"/>
      <c r="F136" s="434"/>
      <c r="G136" s="434"/>
      <c r="H136" s="435"/>
      <c r="I136" s="435"/>
      <c r="J136" s="434"/>
      <c r="K136" s="480"/>
      <c r="L136" s="483"/>
      <c r="M136" s="484"/>
      <c r="N136" s="435"/>
      <c r="O136" s="435"/>
      <c r="P136" s="435"/>
      <c r="Q136" s="435"/>
      <c r="R136" s="435"/>
      <c r="S136" s="435"/>
      <c r="T136" s="492"/>
      <c r="U136" s="483"/>
      <c r="V136" s="433"/>
      <c r="W136" s="434"/>
      <c r="X136" s="434"/>
      <c r="Y136" s="435"/>
      <c r="Z136" s="435"/>
      <c r="AA136" s="435"/>
      <c r="AB136" s="434"/>
      <c r="AC136" s="495"/>
      <c r="AD136" s="483"/>
      <c r="AE136" s="496">
        <f t="shared" ref="AE136:AE139" si="51">SUM(E136:AC136)</f>
        <v>0</v>
      </c>
      <c r="AF136" s="497"/>
      <c r="AG136" s="510"/>
      <c r="AH136" s="511">
        <f t="shared" ref="AH136:AH139" si="52">AE136+AF136</f>
        <v>0</v>
      </c>
      <c r="AI136" s="512"/>
      <c r="AJ136" s="513">
        <f>AH136+AI136</f>
        <v>0</v>
      </c>
      <c r="AK136" s="403"/>
      <c r="AL136" s="403"/>
      <c r="AM136" s="403"/>
    </row>
    <row r="137" spans="1:39" s="234" customFormat="1" ht="20.25">
      <c r="A137" s="445"/>
      <c r="B137" s="323"/>
      <c r="C137" s="323"/>
      <c r="D137" s="324"/>
      <c r="E137" s="325"/>
      <c r="F137" s="297"/>
      <c r="G137" s="297"/>
      <c r="H137" s="298"/>
      <c r="I137" s="298"/>
      <c r="J137" s="297"/>
      <c r="K137" s="344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6">
        <f t="shared" si="51"/>
        <v>0</v>
      </c>
      <c r="AF137" s="377"/>
      <c r="AG137" s="390"/>
      <c r="AH137" s="391">
        <f t="shared" si="52"/>
        <v>0</v>
      </c>
      <c r="AI137" s="412"/>
      <c r="AJ137" s="413">
        <f t="shared" ref="AJ137:AJ139" si="53">AH137+AI137</f>
        <v>0</v>
      </c>
      <c r="AK137" s="282"/>
      <c r="AL137" s="282"/>
      <c r="AM137" s="282"/>
    </row>
    <row r="138" spans="1:39" s="234" customFormat="1" ht="20.25">
      <c r="A138" s="445"/>
      <c r="B138" s="323"/>
      <c r="C138" s="323"/>
      <c r="D138" s="324"/>
      <c r="E138" s="325"/>
      <c r="F138" s="297"/>
      <c r="G138" s="297"/>
      <c r="H138" s="298"/>
      <c r="I138" s="298"/>
      <c r="J138" s="297"/>
      <c r="K138" s="344"/>
      <c r="L138" s="355"/>
      <c r="M138" s="343"/>
      <c r="N138" s="298"/>
      <c r="O138" s="298"/>
      <c r="P138" s="298"/>
      <c r="Q138" s="298"/>
      <c r="R138" s="298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6">
        <f t="shared" si="51"/>
        <v>0</v>
      </c>
      <c r="AF138" s="377"/>
      <c r="AG138" s="390"/>
      <c r="AH138" s="391">
        <f t="shared" si="52"/>
        <v>0</v>
      </c>
      <c r="AI138" s="412"/>
      <c r="AJ138" s="413">
        <f t="shared" si="53"/>
        <v>0</v>
      </c>
      <c r="AK138" s="283"/>
      <c r="AL138" s="283"/>
      <c r="AM138" s="283"/>
    </row>
    <row r="139" spans="1:39" s="276" customFormat="1" ht="21" thickBot="1">
      <c r="A139" s="322"/>
      <c r="B139" s="323"/>
      <c r="C139" s="323"/>
      <c r="D139" s="324"/>
      <c r="E139" s="325"/>
      <c r="F139" s="297"/>
      <c r="G139" s="297"/>
      <c r="H139" s="298"/>
      <c r="I139" s="298"/>
      <c r="J139" s="297"/>
      <c r="K139" s="344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7">
        <f t="shared" si="51"/>
        <v>0</v>
      </c>
      <c r="AF139" s="377"/>
      <c r="AG139" s="390"/>
      <c r="AH139" s="507">
        <f t="shared" si="52"/>
        <v>0</v>
      </c>
      <c r="AI139" s="412"/>
      <c r="AJ139" s="508">
        <f t="shared" si="53"/>
        <v>0</v>
      </c>
      <c r="AK139" s="283"/>
      <c r="AL139" s="283"/>
      <c r="AM139" s="283"/>
    </row>
    <row r="140" spans="1:39" s="234" customFormat="1" ht="21" thickBot="1">
      <c r="A140" s="436"/>
      <c r="B140" s="437"/>
      <c r="C140" s="437"/>
      <c r="D140" s="438"/>
      <c r="E140" s="439">
        <f t="shared" ref="E140:K140" si="54">SUM(E137:E139)</f>
        <v>0</v>
      </c>
      <c r="F140" s="440">
        <f t="shared" si="54"/>
        <v>0</v>
      </c>
      <c r="G140" s="440">
        <f t="shared" si="54"/>
        <v>0</v>
      </c>
      <c r="H140" s="440">
        <f t="shared" si="54"/>
        <v>0</v>
      </c>
      <c r="I140" s="440">
        <f t="shared" si="54"/>
        <v>0</v>
      </c>
      <c r="J140" s="440">
        <f t="shared" si="54"/>
        <v>0</v>
      </c>
      <c r="K140" s="481">
        <f t="shared" si="54"/>
        <v>0</v>
      </c>
      <c r="L140" s="482"/>
      <c r="M140" s="439">
        <f t="shared" ref="M140:T140" si="55">SUM(M137:M139)</f>
        <v>0</v>
      </c>
      <c r="N140" s="440">
        <f t="shared" si="55"/>
        <v>0</v>
      </c>
      <c r="O140" s="440">
        <f t="shared" si="55"/>
        <v>0</v>
      </c>
      <c r="P140" s="440">
        <f t="shared" si="55"/>
        <v>0</v>
      </c>
      <c r="Q140" s="440">
        <f t="shared" si="55"/>
        <v>0</v>
      </c>
      <c r="R140" s="440">
        <f t="shared" si="55"/>
        <v>0</v>
      </c>
      <c r="S140" s="440">
        <f t="shared" si="55"/>
        <v>0</v>
      </c>
      <c r="T140" s="481">
        <f t="shared" si="55"/>
        <v>0</v>
      </c>
      <c r="U140" s="482"/>
      <c r="V140" s="439">
        <f t="shared" ref="V140:AC140" si="56">SUM(V137:V139)</f>
        <v>0</v>
      </c>
      <c r="W140" s="440">
        <f t="shared" si="56"/>
        <v>0</v>
      </c>
      <c r="X140" s="440">
        <f t="shared" si="56"/>
        <v>0</v>
      </c>
      <c r="Y140" s="440">
        <f t="shared" si="56"/>
        <v>0</v>
      </c>
      <c r="Z140" s="440">
        <f t="shared" si="56"/>
        <v>0</v>
      </c>
      <c r="AA140" s="440">
        <f t="shared" si="56"/>
        <v>0</v>
      </c>
      <c r="AB140" s="440">
        <f t="shared" si="56"/>
        <v>0</v>
      </c>
      <c r="AC140" s="481">
        <f t="shared" si="56"/>
        <v>0</v>
      </c>
      <c r="AD140" s="482"/>
      <c r="AE140" s="494">
        <f>SUM(AE136:AE139)</f>
        <v>0</v>
      </c>
      <c r="AF140" s="494">
        <f>SUM(AF136:AF139)</f>
        <v>0</v>
      </c>
      <c r="AG140" s="509"/>
      <c r="AH140" s="514">
        <f>SUM(AH136:AH139)</f>
        <v>0</v>
      </c>
      <c r="AI140" s="494">
        <f>SUM(AI136:AI139)</f>
        <v>0</v>
      </c>
      <c r="AJ140" s="515">
        <f>SUM(AJ136:AJ139)</f>
        <v>0</v>
      </c>
      <c r="AK140" s="283"/>
      <c r="AL140" s="283"/>
      <c r="AM140" s="283"/>
    </row>
    <row r="141" spans="1:39" s="276" customFormat="1" ht="19.5" thickBot="1">
      <c r="A141" s="425"/>
      <c r="B141" s="426"/>
      <c r="C141" s="426"/>
      <c r="D141" s="427"/>
      <c r="E141" s="428"/>
      <c r="F141" s="428"/>
      <c r="G141" s="428"/>
      <c r="H141" s="428"/>
      <c r="I141" s="428"/>
      <c r="J141" s="428"/>
      <c r="K141" s="428"/>
      <c r="L141" s="478"/>
      <c r="M141" s="479"/>
      <c r="N141" s="479"/>
      <c r="O141" s="479"/>
      <c r="P141" s="479"/>
      <c r="Q141" s="479"/>
      <c r="R141" s="479"/>
      <c r="S141" s="479"/>
      <c r="T141" s="479"/>
      <c r="U141" s="478"/>
      <c r="V141" s="479"/>
      <c r="W141" s="479"/>
      <c r="X141" s="479"/>
      <c r="Y141" s="479"/>
      <c r="Z141" s="479"/>
      <c r="AA141" s="479"/>
      <c r="AB141" s="479"/>
      <c r="AC141" s="479"/>
      <c r="AD141" s="478"/>
      <c r="AE141" s="479"/>
      <c r="AF141" s="479"/>
      <c r="AG141" s="479"/>
      <c r="AH141" s="479"/>
      <c r="AI141" s="479"/>
      <c r="AJ141" s="506"/>
      <c r="AK141" s="283"/>
      <c r="AL141" s="283"/>
      <c r="AM141" s="283"/>
    </row>
    <row r="142" spans="1:39" s="276" customFormat="1" ht="16.5" thickBot="1">
      <c r="A142" s="446" t="s">
        <v>140</v>
      </c>
      <c r="B142" s="287" t="s">
        <v>68</v>
      </c>
      <c r="C142" s="447" t="s">
        <v>69</v>
      </c>
      <c r="D142" s="448" t="s">
        <v>70</v>
      </c>
      <c r="E142" s="80" t="s">
        <v>399</v>
      </c>
      <c r="F142" s="49" t="s">
        <v>85</v>
      </c>
      <c r="G142" s="49" t="s">
        <v>86</v>
      </c>
      <c r="H142" s="49" t="s">
        <v>92</v>
      </c>
      <c r="I142" s="49" t="s">
        <v>90</v>
      </c>
      <c r="J142" s="49" t="s">
        <v>97</v>
      </c>
      <c r="K142" s="126" t="s">
        <v>96</v>
      </c>
      <c r="L142" s="79"/>
      <c r="M142" s="80" t="s">
        <v>214</v>
      </c>
      <c r="N142" s="49" t="s">
        <v>53</v>
      </c>
      <c r="O142" s="49" t="s">
        <v>94</v>
      </c>
      <c r="P142" s="49" t="s">
        <v>76</v>
      </c>
      <c r="Q142" s="49" t="s">
        <v>95</v>
      </c>
      <c r="R142" s="49" t="s">
        <v>81</v>
      </c>
      <c r="S142" s="126" t="s">
        <v>136</v>
      </c>
      <c r="T142" s="171" t="s">
        <v>222</v>
      </c>
      <c r="U142" s="79"/>
      <c r="V142" s="99" t="s">
        <v>101</v>
      </c>
      <c r="W142" s="101" t="s">
        <v>473</v>
      </c>
      <c r="X142" s="104" t="s">
        <v>215</v>
      </c>
      <c r="Y142" s="103" t="s">
        <v>94</v>
      </c>
      <c r="Z142" s="104"/>
      <c r="AA142" s="102" t="s">
        <v>474</v>
      </c>
      <c r="AB142" s="121" t="s">
        <v>86</v>
      </c>
      <c r="AC142" s="844"/>
      <c r="AD142" s="79"/>
      <c r="AE142" s="371" t="s">
        <v>172</v>
      </c>
      <c r="AF142" s="498" t="s">
        <v>80</v>
      </c>
      <c r="AG142" s="385"/>
      <c r="AH142" s="386" t="s">
        <v>106</v>
      </c>
      <c r="AI142" s="385" t="s">
        <v>173</v>
      </c>
      <c r="AJ142" s="371" t="s">
        <v>108</v>
      </c>
      <c r="AK142" s="283"/>
      <c r="AL142" s="283"/>
      <c r="AM142" s="283"/>
    </row>
    <row r="143" spans="1:39" s="276" customFormat="1" ht="20.25">
      <c r="A143" s="449" t="s">
        <v>180</v>
      </c>
      <c r="B143" s="450"/>
      <c r="C143" s="450"/>
      <c r="D143" s="451"/>
      <c r="E143" s="452"/>
      <c r="F143" s="453"/>
      <c r="G143" s="453"/>
      <c r="H143" s="454"/>
      <c r="I143" s="454"/>
      <c r="J143" s="453"/>
      <c r="K143" s="485"/>
      <c r="L143" s="355"/>
      <c r="M143" s="343"/>
      <c r="N143" s="298"/>
      <c r="O143" s="298"/>
      <c r="P143" s="298"/>
      <c r="Q143" s="298"/>
      <c r="R143" s="435"/>
      <c r="S143" s="298"/>
      <c r="T143" s="367"/>
      <c r="U143" s="355"/>
      <c r="V143" s="433"/>
      <c r="W143" s="434"/>
      <c r="X143" s="434"/>
      <c r="Y143" s="435"/>
      <c r="Z143" s="435"/>
      <c r="AA143" s="435"/>
      <c r="AB143" s="434"/>
      <c r="AC143" s="495"/>
      <c r="AD143" s="355"/>
      <c r="AE143" s="376">
        <f t="shared" ref="AE143:AE148" si="57">SUM(E143:AC143)</f>
        <v>0</v>
      </c>
      <c r="AF143" s="499"/>
      <c r="AG143" s="516"/>
      <c r="AH143" s="391">
        <f t="shared" ref="AH143:AH148" si="58">AE143+AF143</f>
        <v>0</v>
      </c>
      <c r="AI143" s="412"/>
      <c r="AJ143" s="413">
        <f>AH143+AI143</f>
        <v>0</v>
      </c>
      <c r="AK143" s="283"/>
      <c r="AL143" s="283"/>
      <c r="AM143" s="283"/>
    </row>
    <row r="144" spans="1:39" s="234" customFormat="1" ht="20.25">
      <c r="A144" s="445"/>
      <c r="B144" s="455"/>
      <c r="C144" s="455"/>
      <c r="D144" s="456"/>
      <c r="E144" s="457"/>
      <c r="F144" s="458"/>
      <c r="G144" s="458"/>
      <c r="H144" s="459"/>
      <c r="I144" s="459"/>
      <c r="J144" s="458"/>
      <c r="K144" s="486"/>
      <c r="L144" s="355"/>
      <c r="M144" s="343"/>
      <c r="N144" s="298"/>
      <c r="O144" s="298"/>
      <c r="P144" s="298"/>
      <c r="Q144" s="298"/>
      <c r="R144" s="298"/>
      <c r="S144" s="298"/>
      <c r="T144" s="367"/>
      <c r="U144" s="355"/>
      <c r="V144" s="325"/>
      <c r="W144" s="297"/>
      <c r="X144" s="297"/>
      <c r="Y144" s="298"/>
      <c r="Z144" s="298"/>
      <c r="AA144" s="298"/>
      <c r="AB144" s="297"/>
      <c r="AC144" s="375"/>
      <c r="AD144" s="355"/>
      <c r="AE144" s="376">
        <f t="shared" si="57"/>
        <v>0</v>
      </c>
      <c r="AF144" s="500"/>
      <c r="AG144" s="516"/>
      <c r="AH144" s="391">
        <f t="shared" si="58"/>
        <v>0</v>
      </c>
      <c r="AI144" s="412"/>
      <c r="AJ144" s="413">
        <f t="shared" ref="AJ144:AJ148" si="59">AH144+AI144</f>
        <v>0</v>
      </c>
      <c r="AK144" s="403"/>
      <c r="AL144" s="403"/>
      <c r="AM144" s="403"/>
    </row>
    <row r="145" spans="1:39" s="276" customFormat="1" ht="20.25">
      <c r="A145" s="442"/>
      <c r="B145" s="455"/>
      <c r="C145" s="455"/>
      <c r="D145" s="456"/>
      <c r="E145" s="457"/>
      <c r="F145" s="458"/>
      <c r="G145" s="458"/>
      <c r="H145" s="459"/>
      <c r="I145" s="459"/>
      <c r="J145" s="458"/>
      <c r="K145" s="486"/>
      <c r="L145" s="483"/>
      <c r="M145" s="484"/>
      <c r="N145" s="435"/>
      <c r="O145" s="435"/>
      <c r="P145" s="435"/>
      <c r="Q145" s="435"/>
      <c r="R145" s="435"/>
      <c r="S145" s="435"/>
      <c r="T145" s="492"/>
      <c r="U145" s="483"/>
      <c r="V145" s="433"/>
      <c r="W145" s="434"/>
      <c r="X145" s="434"/>
      <c r="Y145" s="435"/>
      <c r="Z145" s="435"/>
      <c r="AA145" s="435"/>
      <c r="AB145" s="434"/>
      <c r="AC145" s="495"/>
      <c r="AD145" s="483"/>
      <c r="AE145" s="496">
        <f t="shared" si="57"/>
        <v>0</v>
      </c>
      <c r="AF145" s="500"/>
      <c r="AG145" s="517"/>
      <c r="AH145" s="511">
        <f t="shared" si="58"/>
        <v>0</v>
      </c>
      <c r="AI145" s="512"/>
      <c r="AJ145" s="513">
        <f t="shared" si="59"/>
        <v>0</v>
      </c>
      <c r="AK145"/>
      <c r="AL145"/>
      <c r="AM145"/>
    </row>
    <row r="146" spans="1:39" s="234" customFormat="1" ht="20.25">
      <c r="A146" s="445"/>
      <c r="B146" s="455"/>
      <c r="C146" s="455"/>
      <c r="D146" s="456"/>
      <c r="E146" s="457"/>
      <c r="F146" s="458"/>
      <c r="G146" s="458"/>
      <c r="H146" s="459"/>
      <c r="I146" s="459"/>
      <c r="J146" s="458"/>
      <c r="K146" s="486"/>
      <c r="L146" s="355"/>
      <c r="M146" s="343"/>
      <c r="N146" s="298"/>
      <c r="O146" s="298"/>
      <c r="P146" s="298"/>
      <c r="Q146" s="298"/>
      <c r="R146" s="298"/>
      <c r="S146" s="298"/>
      <c r="T146" s="367"/>
      <c r="U146" s="355"/>
      <c r="V146" s="325"/>
      <c r="W146" s="297"/>
      <c r="X146" s="297"/>
      <c r="Y146" s="298"/>
      <c r="Z146" s="298"/>
      <c r="AA146" s="298"/>
      <c r="AB146" s="297"/>
      <c r="AC146" s="375"/>
      <c r="AD146" s="355"/>
      <c r="AE146" s="376">
        <f t="shared" si="57"/>
        <v>0</v>
      </c>
      <c r="AF146" s="500"/>
      <c r="AG146" s="516"/>
      <c r="AH146" s="391">
        <f t="shared" si="58"/>
        <v>0</v>
      </c>
      <c r="AI146" s="412"/>
      <c r="AJ146" s="413">
        <f t="shared" si="59"/>
        <v>0</v>
      </c>
      <c r="AK146"/>
      <c r="AL146"/>
      <c r="AM146"/>
    </row>
    <row r="147" spans="1:39" s="276" customFormat="1" ht="20.25">
      <c r="A147" s="445"/>
      <c r="B147" s="455"/>
      <c r="C147" s="455"/>
      <c r="D147" s="456"/>
      <c r="E147" s="457"/>
      <c r="F147" s="458"/>
      <c r="G147" s="458"/>
      <c r="H147" s="459"/>
      <c r="I147" s="459"/>
      <c r="J147" s="458"/>
      <c r="K147" s="486"/>
      <c r="L147" s="355"/>
      <c r="M147" s="343"/>
      <c r="N147" s="298"/>
      <c r="O147" s="298"/>
      <c r="P147" s="298"/>
      <c r="Q147" s="298"/>
      <c r="R147" s="298"/>
      <c r="S147" s="298"/>
      <c r="T147" s="367"/>
      <c r="U147" s="355"/>
      <c r="V147" s="325"/>
      <c r="W147" s="297"/>
      <c r="X147" s="297"/>
      <c r="Y147" s="298"/>
      <c r="Z147" s="298"/>
      <c r="AA147" s="298"/>
      <c r="AB147" s="297"/>
      <c r="AC147" s="375"/>
      <c r="AD147" s="355"/>
      <c r="AE147" s="376">
        <f t="shared" si="57"/>
        <v>0</v>
      </c>
      <c r="AF147" s="500"/>
      <c r="AG147" s="516"/>
      <c r="AH147" s="391">
        <f t="shared" si="58"/>
        <v>0</v>
      </c>
      <c r="AI147" s="412"/>
      <c r="AJ147" s="413">
        <f t="shared" si="59"/>
        <v>0</v>
      </c>
      <c r="AK147" s="1"/>
      <c r="AL147" s="1"/>
      <c r="AM147" s="1"/>
    </row>
    <row r="148" spans="1:39" s="234" customFormat="1" ht="21" thickBot="1">
      <c r="A148" s="460"/>
      <c r="B148" s="461"/>
      <c r="C148" s="461"/>
      <c r="D148" s="462"/>
      <c r="E148" s="463"/>
      <c r="F148" s="464"/>
      <c r="G148" s="464"/>
      <c r="H148" s="465"/>
      <c r="I148" s="465"/>
      <c r="J148" s="464"/>
      <c r="K148" s="487"/>
      <c r="L148" s="355"/>
      <c r="M148" s="343"/>
      <c r="N148" s="298"/>
      <c r="O148" s="298"/>
      <c r="P148" s="298"/>
      <c r="Q148" s="298"/>
      <c r="R148" s="298"/>
      <c r="S148" s="298"/>
      <c r="T148" s="367"/>
      <c r="U148" s="355"/>
      <c r="V148" s="325"/>
      <c r="W148" s="297"/>
      <c r="X148" s="297"/>
      <c r="Y148" s="298"/>
      <c r="Z148" s="298"/>
      <c r="AA148" s="298"/>
      <c r="AB148" s="297"/>
      <c r="AC148" s="375"/>
      <c r="AD148" s="355"/>
      <c r="AE148" s="377">
        <f t="shared" si="57"/>
        <v>0</v>
      </c>
      <c r="AF148" s="501"/>
      <c r="AG148" s="516"/>
      <c r="AH148" s="507">
        <f t="shared" si="58"/>
        <v>0</v>
      </c>
      <c r="AI148" s="412"/>
      <c r="AJ148" s="508">
        <f t="shared" si="59"/>
        <v>0</v>
      </c>
      <c r="AK148"/>
      <c r="AL148"/>
      <c r="AM148"/>
    </row>
    <row r="149" spans="1:39" s="276" customFormat="1" ht="21" thickBot="1">
      <c r="A149" s="466"/>
      <c r="B149" s="467"/>
      <c r="C149" s="467"/>
      <c r="D149" s="468"/>
      <c r="E149" s="469">
        <f t="shared" ref="E149:K149" si="60">SUM(E145:E148)</f>
        <v>0</v>
      </c>
      <c r="F149" s="470">
        <f t="shared" si="60"/>
        <v>0</v>
      </c>
      <c r="G149" s="470">
        <f t="shared" si="60"/>
        <v>0</v>
      </c>
      <c r="H149" s="470">
        <f t="shared" si="60"/>
        <v>0</v>
      </c>
      <c r="I149" s="470">
        <f t="shared" si="60"/>
        <v>0</v>
      </c>
      <c r="J149" s="470">
        <f t="shared" si="60"/>
        <v>0</v>
      </c>
      <c r="K149" s="488">
        <f t="shared" si="60"/>
        <v>0</v>
      </c>
      <c r="L149" s="482"/>
      <c r="M149" s="439">
        <f t="shared" ref="M149:T149" si="61">SUM(M145:M148)</f>
        <v>0</v>
      </c>
      <c r="N149" s="440">
        <f t="shared" si="61"/>
        <v>0</v>
      </c>
      <c r="O149" s="440">
        <f t="shared" si="61"/>
        <v>0</v>
      </c>
      <c r="P149" s="440">
        <f t="shared" si="61"/>
        <v>0</v>
      </c>
      <c r="Q149" s="440">
        <f t="shared" si="61"/>
        <v>0</v>
      </c>
      <c r="R149" s="440">
        <f t="shared" si="61"/>
        <v>0</v>
      </c>
      <c r="S149" s="440">
        <f t="shared" si="61"/>
        <v>0</v>
      </c>
      <c r="T149" s="481">
        <f t="shared" si="61"/>
        <v>0</v>
      </c>
      <c r="U149" s="482"/>
      <c r="V149" s="439">
        <f t="shared" ref="V149:AC149" si="62">SUM(V145:V148)</f>
        <v>0</v>
      </c>
      <c r="W149" s="440">
        <f t="shared" si="62"/>
        <v>0</v>
      </c>
      <c r="X149" s="440">
        <f t="shared" si="62"/>
        <v>0</v>
      </c>
      <c r="Y149" s="440">
        <f t="shared" si="62"/>
        <v>0</v>
      </c>
      <c r="Z149" s="440">
        <f t="shared" si="62"/>
        <v>0</v>
      </c>
      <c r="AA149" s="440">
        <f t="shared" si="62"/>
        <v>0</v>
      </c>
      <c r="AB149" s="440">
        <f t="shared" si="62"/>
        <v>0</v>
      </c>
      <c r="AC149" s="481">
        <f t="shared" si="62"/>
        <v>0</v>
      </c>
      <c r="AD149" s="482"/>
      <c r="AE149" s="494">
        <f>SUM(AE143:AE148)</f>
        <v>0</v>
      </c>
      <c r="AF149" s="502">
        <f>SUM(AF143:AF148)</f>
        <v>0</v>
      </c>
      <c r="AG149" s="509"/>
      <c r="AH149" s="514">
        <f>SUM(AH143:AH148)</f>
        <v>0</v>
      </c>
      <c r="AI149" s="494">
        <f>SUM(AI143:AI148)</f>
        <v>0</v>
      </c>
      <c r="AJ149" s="515">
        <f>SUM(AJ143:AJ148)</f>
        <v>0</v>
      </c>
    </row>
    <row r="150" spans="1:39" s="234" customFormat="1" ht="19.5" thickBot="1">
      <c r="A150" s="425"/>
      <c r="B150" s="426"/>
      <c r="C150" s="426"/>
      <c r="D150" s="427"/>
      <c r="E150" s="428"/>
      <c r="F150" s="428"/>
      <c r="G150" s="428"/>
      <c r="H150" s="428"/>
      <c r="I150" s="428"/>
      <c r="J150" s="428"/>
      <c r="K150" s="428"/>
      <c r="L150" s="478"/>
      <c r="M150" s="479"/>
      <c r="N150" s="479"/>
      <c r="O150" s="479"/>
      <c r="P150" s="479"/>
      <c r="Q150" s="479"/>
      <c r="R150" s="479"/>
      <c r="S150" s="479"/>
      <c r="T150" s="479"/>
      <c r="U150" s="478"/>
      <c r="V150" s="479"/>
      <c r="W150" s="479"/>
      <c r="X150" s="479"/>
      <c r="Y150" s="479"/>
      <c r="Z150" s="479"/>
      <c r="AA150" s="479"/>
      <c r="AB150" s="479"/>
      <c r="AC150" s="479"/>
      <c r="AD150" s="478"/>
      <c r="AE150" s="479"/>
      <c r="AF150" s="479"/>
      <c r="AG150" s="479"/>
      <c r="AH150" s="479"/>
      <c r="AI150" s="479"/>
      <c r="AJ150" s="506"/>
    </row>
    <row r="151" spans="1:39" s="276" customFormat="1" ht="18.75" thickBot="1">
      <c r="A151" s="441" t="s">
        <v>143</v>
      </c>
      <c r="B151" s="287" t="s">
        <v>68</v>
      </c>
      <c r="C151" s="287" t="s">
        <v>69</v>
      </c>
      <c r="D151" s="288" t="s">
        <v>70</v>
      </c>
      <c r="E151" s="80" t="s">
        <v>399</v>
      </c>
      <c r="F151" s="49" t="s">
        <v>85</v>
      </c>
      <c r="G151" s="49" t="s">
        <v>86</v>
      </c>
      <c r="H151" s="49" t="s">
        <v>92</v>
      </c>
      <c r="I151" s="49" t="s">
        <v>90</v>
      </c>
      <c r="J151" s="49" t="s">
        <v>97</v>
      </c>
      <c r="K151" s="126" t="s">
        <v>96</v>
      </c>
      <c r="L151" s="79"/>
      <c r="M151" s="80" t="s">
        <v>214</v>
      </c>
      <c r="N151" s="49" t="s">
        <v>53</v>
      </c>
      <c r="O151" s="49" t="s">
        <v>94</v>
      </c>
      <c r="P151" s="49" t="s">
        <v>76</v>
      </c>
      <c r="Q151" s="49" t="s">
        <v>95</v>
      </c>
      <c r="R151" s="49" t="s">
        <v>81</v>
      </c>
      <c r="S151" s="126" t="s">
        <v>136</v>
      </c>
      <c r="T151" s="171" t="s">
        <v>222</v>
      </c>
      <c r="U151" s="79"/>
      <c r="V151" s="99" t="s">
        <v>101</v>
      </c>
      <c r="W151" s="101" t="s">
        <v>473</v>
      </c>
      <c r="X151" s="104" t="s">
        <v>215</v>
      </c>
      <c r="Y151" s="103" t="s">
        <v>94</v>
      </c>
      <c r="Z151" s="104"/>
      <c r="AA151" s="102" t="s">
        <v>474</v>
      </c>
      <c r="AB151" s="121" t="s">
        <v>86</v>
      </c>
      <c r="AC151" s="1191"/>
      <c r="AD151" s="79"/>
      <c r="AE151" s="371" t="s">
        <v>172</v>
      </c>
      <c r="AF151" s="372" t="s">
        <v>80</v>
      </c>
      <c r="AG151" s="385"/>
      <c r="AH151" s="386" t="s">
        <v>106</v>
      </c>
      <c r="AI151" s="385" t="s">
        <v>173</v>
      </c>
      <c r="AJ151" s="371" t="s">
        <v>108</v>
      </c>
      <c r="AK151" s="234"/>
      <c r="AL151" s="234"/>
      <c r="AM151" s="234"/>
    </row>
    <row r="152" spans="1:39" s="234" customFormat="1" ht="20.25">
      <c r="A152" s="471" t="s">
        <v>181</v>
      </c>
      <c r="B152" s="472"/>
      <c r="C152" s="472"/>
      <c r="D152" s="473"/>
      <c r="E152" s="474"/>
      <c r="F152" s="475"/>
      <c r="G152" s="475"/>
      <c r="H152" s="476"/>
      <c r="I152" s="476"/>
      <c r="J152" s="475"/>
      <c r="K152" s="489"/>
      <c r="L152" s="490"/>
      <c r="M152" s="491"/>
      <c r="N152" s="476"/>
      <c r="O152" s="476"/>
      <c r="P152" s="476"/>
      <c r="Q152" s="476"/>
      <c r="R152" s="476"/>
      <c r="S152" s="476"/>
      <c r="T152" s="493"/>
      <c r="U152" s="490"/>
      <c r="V152" s="474"/>
      <c r="W152" s="475"/>
      <c r="X152" s="475"/>
      <c r="Y152" s="476"/>
      <c r="Z152" s="476"/>
      <c r="AA152" s="476"/>
      <c r="AB152" s="475"/>
      <c r="AC152" s="503"/>
      <c r="AD152" s="490"/>
      <c r="AE152" s="504">
        <f t="shared" ref="AE152:AE156" si="63">SUM(E152:AC152)</f>
        <v>0</v>
      </c>
      <c r="AF152" s="505"/>
      <c r="AG152" s="518"/>
      <c r="AH152" s="519">
        <f t="shared" ref="AH152:AH156" si="64">AE152+AF152</f>
        <v>0</v>
      </c>
      <c r="AI152" s="520"/>
      <c r="AJ152" s="521">
        <f>AH152+AI152</f>
        <v>0</v>
      </c>
    </row>
    <row r="153" spans="1:39" s="234" customFormat="1" ht="20.25">
      <c r="A153" s="445" t="s">
        <v>182</v>
      </c>
      <c r="B153" s="323"/>
      <c r="C153" s="323"/>
      <c r="D153" s="324"/>
      <c r="E153" s="325"/>
      <c r="F153" s="297"/>
      <c r="G153" s="297"/>
      <c r="H153" s="298"/>
      <c r="I153" s="298"/>
      <c r="J153" s="297"/>
      <c r="K153" s="344"/>
      <c r="L153" s="355"/>
      <c r="M153" s="343"/>
      <c r="N153" s="298"/>
      <c r="O153" s="298"/>
      <c r="P153" s="298"/>
      <c r="Q153" s="298"/>
      <c r="R153" s="298"/>
      <c r="S153" s="298"/>
      <c r="T153" s="367"/>
      <c r="U153" s="355"/>
      <c r="V153" s="325"/>
      <c r="W153" s="297"/>
      <c r="X153" s="297"/>
      <c r="Y153" s="298"/>
      <c r="Z153" s="298"/>
      <c r="AA153" s="298"/>
      <c r="AB153" s="297"/>
      <c r="AC153" s="375"/>
      <c r="AD153" s="355"/>
      <c r="AE153" s="376">
        <f t="shared" si="63"/>
        <v>0</v>
      </c>
      <c r="AF153" s="377"/>
      <c r="AG153" s="390"/>
      <c r="AH153" s="391">
        <f t="shared" si="64"/>
        <v>0</v>
      </c>
      <c r="AI153" s="412"/>
      <c r="AJ153" s="413">
        <f t="shared" ref="AJ153:AJ156" si="65">AH153+AI153</f>
        <v>0</v>
      </c>
      <c r="AK153" s="276"/>
      <c r="AL153" s="276"/>
      <c r="AM153" s="276"/>
    </row>
    <row r="154" spans="1:39" s="276" customFormat="1" ht="20.25">
      <c r="A154" s="445"/>
      <c r="B154" s="323"/>
      <c r="C154" s="323"/>
      <c r="D154" s="324"/>
      <c r="E154" s="325"/>
      <c r="F154" s="297"/>
      <c r="G154" s="297"/>
      <c r="H154" s="298"/>
      <c r="I154" s="298"/>
      <c r="J154" s="297"/>
      <c r="K154" s="344"/>
      <c r="L154" s="355"/>
      <c r="M154" s="343"/>
      <c r="N154" s="298"/>
      <c r="O154" s="298"/>
      <c r="P154" s="298"/>
      <c r="Q154" s="298"/>
      <c r="R154" s="298"/>
      <c r="S154" s="298"/>
      <c r="T154" s="367"/>
      <c r="U154" s="355"/>
      <c r="V154" s="325"/>
      <c r="W154" s="297"/>
      <c r="X154" s="297"/>
      <c r="Y154" s="298"/>
      <c r="Z154" s="298"/>
      <c r="AA154" s="298"/>
      <c r="AB154" s="297"/>
      <c r="AC154" s="375"/>
      <c r="AD154" s="355"/>
      <c r="AE154" s="376">
        <f t="shared" si="63"/>
        <v>0</v>
      </c>
      <c r="AF154" s="377"/>
      <c r="AG154" s="390"/>
      <c r="AH154" s="391">
        <f t="shared" si="64"/>
        <v>0</v>
      </c>
      <c r="AI154" s="412"/>
      <c r="AJ154" s="413">
        <f t="shared" si="65"/>
        <v>0</v>
      </c>
      <c r="AK154" s="234"/>
      <c r="AL154" s="234"/>
      <c r="AM154" s="234"/>
    </row>
    <row r="155" spans="1:39" s="234" customFormat="1" ht="20.25">
      <c r="A155" s="445"/>
      <c r="B155" s="323"/>
      <c r="C155" s="323"/>
      <c r="D155" s="324"/>
      <c r="E155" s="325"/>
      <c r="F155" s="297"/>
      <c r="G155" s="297"/>
      <c r="H155" s="298"/>
      <c r="I155" s="298"/>
      <c r="J155" s="297"/>
      <c r="K155" s="344"/>
      <c r="L155" s="355"/>
      <c r="M155" s="343"/>
      <c r="N155" s="298"/>
      <c r="O155" s="298"/>
      <c r="P155" s="298"/>
      <c r="Q155" s="298"/>
      <c r="R155" s="298"/>
      <c r="S155" s="298"/>
      <c r="T155" s="367"/>
      <c r="U155" s="355"/>
      <c r="V155" s="325"/>
      <c r="W155" s="297"/>
      <c r="X155" s="297"/>
      <c r="Y155" s="298"/>
      <c r="Z155" s="298"/>
      <c r="AA155" s="298"/>
      <c r="AB155" s="297"/>
      <c r="AC155" s="375"/>
      <c r="AD155" s="355"/>
      <c r="AE155" s="376">
        <f t="shared" si="63"/>
        <v>0</v>
      </c>
      <c r="AF155" s="377"/>
      <c r="AG155" s="390"/>
      <c r="AH155" s="391">
        <f t="shared" si="64"/>
        <v>0</v>
      </c>
      <c r="AI155" s="412"/>
      <c r="AJ155" s="413">
        <f t="shared" si="65"/>
        <v>0</v>
      </c>
      <c r="AK155" s="276"/>
      <c r="AL155" s="276"/>
      <c r="AM155" s="276"/>
    </row>
    <row r="156" spans="1:39" s="276" customFormat="1" ht="21" thickBot="1">
      <c r="A156" s="322"/>
      <c r="B156" s="323"/>
      <c r="C156" s="323"/>
      <c r="D156" s="324"/>
      <c r="E156" s="325"/>
      <c r="F156" s="297"/>
      <c r="G156" s="297"/>
      <c r="H156" s="298"/>
      <c r="I156" s="298"/>
      <c r="J156" s="297"/>
      <c r="K156" s="344"/>
      <c r="L156" s="355"/>
      <c r="M156" s="343"/>
      <c r="N156" s="298"/>
      <c r="O156" s="298"/>
      <c r="P156" s="298"/>
      <c r="Q156" s="298"/>
      <c r="R156" s="298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7">
        <f t="shared" si="63"/>
        <v>0</v>
      </c>
      <c r="AF156" s="377"/>
      <c r="AG156" s="390"/>
      <c r="AH156" s="507">
        <f t="shared" si="64"/>
        <v>0</v>
      </c>
      <c r="AI156" s="412"/>
      <c r="AJ156" s="508">
        <f t="shared" si="65"/>
        <v>0</v>
      </c>
    </row>
    <row r="157" spans="1:39" s="234" customFormat="1" ht="21" thickBot="1">
      <c r="A157" s="436"/>
      <c r="B157" s="437"/>
      <c r="C157" s="437"/>
      <c r="D157" s="438"/>
      <c r="E157" s="439">
        <f t="shared" ref="E157:K157" si="66">SUM(E152:E156)</f>
        <v>0</v>
      </c>
      <c r="F157" s="440">
        <f t="shared" si="66"/>
        <v>0</v>
      </c>
      <c r="G157" s="440">
        <f t="shared" si="66"/>
        <v>0</v>
      </c>
      <c r="H157" s="440">
        <f t="shared" si="66"/>
        <v>0</v>
      </c>
      <c r="I157" s="440">
        <f t="shared" si="66"/>
        <v>0</v>
      </c>
      <c r="J157" s="440">
        <f t="shared" si="66"/>
        <v>0</v>
      </c>
      <c r="K157" s="481">
        <f t="shared" si="66"/>
        <v>0</v>
      </c>
      <c r="L157" s="482"/>
      <c r="M157" s="439">
        <f t="shared" ref="M157:T157" si="67">SUM(M152:M156)</f>
        <v>0</v>
      </c>
      <c r="N157" s="440">
        <f t="shared" si="67"/>
        <v>0</v>
      </c>
      <c r="O157" s="440">
        <f t="shared" si="67"/>
        <v>0</v>
      </c>
      <c r="P157" s="440">
        <f t="shared" si="67"/>
        <v>0</v>
      </c>
      <c r="Q157" s="440">
        <f t="shared" si="67"/>
        <v>0</v>
      </c>
      <c r="R157" s="440">
        <f t="shared" si="67"/>
        <v>0</v>
      </c>
      <c r="S157" s="440">
        <f t="shared" si="67"/>
        <v>0</v>
      </c>
      <c r="T157" s="481">
        <f t="shared" si="67"/>
        <v>0</v>
      </c>
      <c r="U157" s="482"/>
      <c r="V157" s="439">
        <f t="shared" ref="V157:AC157" si="68">SUM(V152:V156)</f>
        <v>0</v>
      </c>
      <c r="W157" s="440">
        <f t="shared" si="68"/>
        <v>0</v>
      </c>
      <c r="X157" s="440">
        <f t="shared" si="68"/>
        <v>0</v>
      </c>
      <c r="Y157" s="440">
        <f t="shared" si="68"/>
        <v>0</v>
      </c>
      <c r="Z157" s="440">
        <f t="shared" si="68"/>
        <v>0</v>
      </c>
      <c r="AA157" s="440">
        <f t="shared" si="68"/>
        <v>0</v>
      </c>
      <c r="AB157" s="440">
        <f t="shared" si="68"/>
        <v>0</v>
      </c>
      <c r="AC157" s="481">
        <f t="shared" si="68"/>
        <v>0</v>
      </c>
      <c r="AD157" s="482"/>
      <c r="AE157" s="494">
        <f>SUM(AE152:AE156)</f>
        <v>0</v>
      </c>
      <c r="AF157" s="494">
        <f>SUM(AF152:AF156)</f>
        <v>0</v>
      </c>
      <c r="AG157" s="509"/>
      <c r="AH157" s="514">
        <f>SUM(AH152:AH156)</f>
        <v>0</v>
      </c>
      <c r="AI157" s="494">
        <f>SUM(AI152:AI156)</f>
        <v>0</v>
      </c>
      <c r="AJ157" s="509">
        <f>SUM(AJ152:AJ156)</f>
        <v>0</v>
      </c>
      <c r="AK157" s="276"/>
      <c r="AL157" s="276"/>
      <c r="AM157" s="276"/>
    </row>
    <row r="158" spans="1:39" s="276" customFormat="1" ht="19.5" thickBot="1">
      <c r="A158" s="522"/>
      <c r="B158" s="523"/>
      <c r="C158" s="523"/>
      <c r="D158" s="524"/>
      <c r="E158" s="525"/>
      <c r="F158" s="525"/>
      <c r="G158" s="525"/>
      <c r="H158" s="525"/>
      <c r="I158" s="525"/>
      <c r="J158" s="525"/>
      <c r="K158" s="525"/>
      <c r="L158" s="572"/>
      <c r="M158" s="573"/>
      <c r="N158" s="573"/>
      <c r="O158" s="573"/>
      <c r="P158" s="573"/>
      <c r="Q158" s="573"/>
      <c r="R158" s="573"/>
      <c r="S158" s="573"/>
      <c r="T158" s="573"/>
      <c r="U158" s="572"/>
      <c r="V158" s="573"/>
      <c r="W158" s="573"/>
      <c r="X158" s="573"/>
      <c r="Y158" s="573"/>
      <c r="Z158" s="573"/>
      <c r="AA158" s="573"/>
      <c r="AB158" s="573"/>
      <c r="AC158" s="573"/>
      <c r="AD158" s="572"/>
      <c r="AE158" s="573"/>
      <c r="AF158" s="573"/>
      <c r="AG158" s="599"/>
      <c r="AH158" s="573"/>
      <c r="AI158" s="573"/>
      <c r="AJ158" s="600"/>
      <c r="AK158" s="234"/>
      <c r="AL158" s="234"/>
      <c r="AM158" s="234"/>
    </row>
    <row r="159" spans="1:39" s="234" customFormat="1" ht="21" thickBot="1">
      <c r="A159" s="526" t="s">
        <v>145</v>
      </c>
      <c r="B159" s="527"/>
      <c r="C159" s="527"/>
      <c r="D159" s="528"/>
      <c r="E159" s="529">
        <f t="shared" ref="E159:K159" si="69">E4+E38+E53+E110+E68+E82+E133+E140+E149+E157+E96+E124</f>
        <v>0</v>
      </c>
      <c r="F159" s="529">
        <f t="shared" si="69"/>
        <v>0</v>
      </c>
      <c r="G159" s="529">
        <f t="shared" si="69"/>
        <v>0</v>
      </c>
      <c r="H159" s="529">
        <f t="shared" si="69"/>
        <v>0</v>
      </c>
      <c r="I159" s="529">
        <f t="shared" si="69"/>
        <v>0</v>
      </c>
      <c r="J159" s="529">
        <f t="shared" si="69"/>
        <v>0</v>
      </c>
      <c r="K159" s="529">
        <f t="shared" si="69"/>
        <v>0</v>
      </c>
      <c r="L159" s="574">
        <f>L4+L38+L53+L133</f>
        <v>0</v>
      </c>
      <c r="M159" s="529">
        <f t="shared" ref="M159:T159" si="70">M4+M38+M53+M68+M82+M110+M133+M140+M149+M157+M96+M124</f>
        <v>0</v>
      </c>
      <c r="N159" s="529">
        <f t="shared" si="70"/>
        <v>0</v>
      </c>
      <c r="O159" s="529">
        <f t="shared" si="70"/>
        <v>0</v>
      </c>
      <c r="P159" s="529">
        <f t="shared" si="70"/>
        <v>0</v>
      </c>
      <c r="Q159" s="529">
        <f t="shared" si="70"/>
        <v>0</v>
      </c>
      <c r="R159" s="529">
        <f t="shared" si="70"/>
        <v>0</v>
      </c>
      <c r="S159" s="529">
        <f t="shared" si="70"/>
        <v>0</v>
      </c>
      <c r="T159" s="529">
        <f t="shared" si="70"/>
        <v>0</v>
      </c>
      <c r="U159" s="529">
        <f>U4+U38+U53+U68+U82+U110+U133+U140+U149+U157</f>
        <v>0</v>
      </c>
      <c r="V159" s="529">
        <f t="shared" ref="V159:AC159" si="71">V4+V38+V53+V68+V82+V110+V133+V140+V149+V157+V96+V124</f>
        <v>0</v>
      </c>
      <c r="W159" s="529">
        <f t="shared" si="71"/>
        <v>3760</v>
      </c>
      <c r="X159" s="529">
        <f t="shared" si="71"/>
        <v>0</v>
      </c>
      <c r="Y159" s="529">
        <f t="shared" si="71"/>
        <v>0</v>
      </c>
      <c r="Z159" s="529">
        <f t="shared" si="71"/>
        <v>0</v>
      </c>
      <c r="AA159" s="529">
        <f t="shared" si="71"/>
        <v>0</v>
      </c>
      <c r="AB159" s="529">
        <f t="shared" si="71"/>
        <v>0</v>
      </c>
      <c r="AC159" s="529">
        <f t="shared" si="71"/>
        <v>0</v>
      </c>
      <c r="AD159" s="529">
        <f>AD4+AD38+AD53+AD68+AD82+AD110+AD133+AD140+AD149+AD157</f>
        <v>0</v>
      </c>
      <c r="AE159" s="529">
        <f t="shared" ref="AE159:AJ159" si="72">AE4+AE38+AE53+AE68+AE82+AE110+AE133+AE140+AE149+AE157+AE96+AE124</f>
        <v>3760</v>
      </c>
      <c r="AF159" s="529">
        <f t="shared" si="72"/>
        <v>0</v>
      </c>
      <c r="AG159" s="529">
        <f t="shared" si="72"/>
        <v>0</v>
      </c>
      <c r="AH159" s="529">
        <f t="shared" si="72"/>
        <v>3760</v>
      </c>
      <c r="AI159" s="529">
        <f t="shared" si="72"/>
        <v>0</v>
      </c>
      <c r="AJ159" s="529">
        <f t="shared" si="72"/>
        <v>3760</v>
      </c>
      <c r="AK159" s="276"/>
      <c r="AL159" s="276"/>
      <c r="AM159" s="276"/>
    </row>
    <row r="160" spans="1:39" s="276" customFormat="1" ht="21" thickBot="1">
      <c r="A160" s="530" t="s">
        <v>152</v>
      </c>
      <c r="B160" s="531"/>
      <c r="C160" s="531"/>
      <c r="D160" s="532"/>
      <c r="E160" s="533">
        <f>E159/20</f>
        <v>0</v>
      </c>
      <c r="F160" s="533">
        <f t="shared" ref="F160:K160" si="73">F159/20</f>
        <v>0</v>
      </c>
      <c r="G160" s="533">
        <f t="shared" si="73"/>
        <v>0</v>
      </c>
      <c r="H160" s="533">
        <f t="shared" si="73"/>
        <v>0</v>
      </c>
      <c r="I160" s="533">
        <f t="shared" si="73"/>
        <v>0</v>
      </c>
      <c r="J160" s="533">
        <f t="shared" si="73"/>
        <v>0</v>
      </c>
      <c r="K160" s="533">
        <f t="shared" si="73"/>
        <v>0</v>
      </c>
      <c r="L160" s="575"/>
      <c r="M160" s="576">
        <f>M159/20</f>
        <v>0</v>
      </c>
      <c r="N160" s="576">
        <f t="shared" ref="N160:T160" si="74">N159/20</f>
        <v>0</v>
      </c>
      <c r="O160" s="576">
        <f t="shared" si="74"/>
        <v>0</v>
      </c>
      <c r="P160" s="576">
        <f t="shared" si="74"/>
        <v>0</v>
      </c>
      <c r="Q160" s="576">
        <f t="shared" si="74"/>
        <v>0</v>
      </c>
      <c r="R160" s="576">
        <f t="shared" si="74"/>
        <v>0</v>
      </c>
      <c r="S160" s="576">
        <f t="shared" si="74"/>
        <v>0</v>
      </c>
      <c r="T160" s="576">
        <f t="shared" si="74"/>
        <v>0</v>
      </c>
      <c r="U160" s="575"/>
      <c r="V160" s="576">
        <f>V159/20</f>
        <v>0</v>
      </c>
      <c r="W160" s="577">
        <f t="shared" ref="W160:AG160" si="75">W159/20</f>
        <v>188</v>
      </c>
      <c r="X160" s="577">
        <f t="shared" si="75"/>
        <v>0</v>
      </c>
      <c r="Y160" s="577">
        <f t="shared" si="75"/>
        <v>0</v>
      </c>
      <c r="Z160" s="577">
        <f t="shared" si="75"/>
        <v>0</v>
      </c>
      <c r="AA160" s="577">
        <f t="shared" si="75"/>
        <v>0</v>
      </c>
      <c r="AB160" s="577">
        <f t="shared" si="75"/>
        <v>0</v>
      </c>
      <c r="AC160" s="529">
        <f>AC5+AC39+AC54+AC69+AC226+AC134+AC141+AC150+AC158</f>
        <v>0</v>
      </c>
      <c r="AD160" s="586">
        <f t="shared" si="75"/>
        <v>0</v>
      </c>
      <c r="AE160" s="586">
        <f t="shared" si="75"/>
        <v>188</v>
      </c>
      <c r="AF160" s="586">
        <f t="shared" si="75"/>
        <v>0</v>
      </c>
      <c r="AG160" s="586">
        <f t="shared" si="75"/>
        <v>0</v>
      </c>
      <c r="AH160" s="586">
        <f>AH159/20</f>
        <v>188</v>
      </c>
      <c r="AI160" s="586">
        <f>AI159/20</f>
        <v>0</v>
      </c>
      <c r="AJ160" s="601">
        <f>AJ159/12</f>
        <v>313.33333333333331</v>
      </c>
      <c r="AK160" s="234"/>
      <c r="AL160" s="234"/>
      <c r="AM160" s="234"/>
    </row>
    <row r="161" spans="1:39" s="234" customFormat="1" ht="24" thickBot="1">
      <c r="A161" s="3755">
        <v>3</v>
      </c>
      <c r="B161" s="3755"/>
      <c r="C161" s="3755"/>
      <c r="D161" s="3755"/>
      <c r="E161" s="3756"/>
      <c r="F161" s="3756"/>
      <c r="G161" s="3756"/>
      <c r="H161" s="3756"/>
      <c r="I161" s="3756"/>
      <c r="J161" s="3756"/>
      <c r="K161" s="3756"/>
      <c r="L161" s="3755"/>
      <c r="M161" s="3755"/>
      <c r="N161" s="3755"/>
      <c r="O161" s="3755"/>
      <c r="P161" s="3755"/>
      <c r="Q161" s="3755"/>
      <c r="R161" s="3755"/>
      <c r="S161" s="3755"/>
      <c r="T161" s="3755"/>
      <c r="U161" s="3755"/>
      <c r="V161" s="3755"/>
      <c r="W161" s="3755"/>
      <c r="X161" s="3755"/>
      <c r="Y161" s="3755"/>
      <c r="Z161" s="3755"/>
      <c r="AA161" s="3755"/>
      <c r="AB161" s="3755"/>
      <c r="AC161" s="3755"/>
      <c r="AD161" s="3755"/>
      <c r="AE161" s="3755"/>
      <c r="AF161" s="3755"/>
      <c r="AG161" s="3755"/>
      <c r="AH161" s="3755"/>
      <c r="AI161" s="3755"/>
      <c r="AJ161" s="3755"/>
      <c r="AK161" s="276"/>
      <c r="AL161" s="276"/>
      <c r="AM161" s="276"/>
    </row>
    <row r="162" spans="1:39" s="276" customFormat="1" ht="24" thickBot="1">
      <c r="A162" s="3888" t="s">
        <v>4</v>
      </c>
      <c r="B162" s="3889"/>
      <c r="C162" s="3889"/>
      <c r="D162" s="3890"/>
      <c r="E162" s="3891" t="s">
        <v>210</v>
      </c>
      <c r="F162" s="3892"/>
      <c r="G162" s="3892"/>
      <c r="H162" s="3892"/>
      <c r="I162" s="3892"/>
      <c r="J162" s="3892"/>
      <c r="K162" s="3904"/>
      <c r="L162" s="336"/>
      <c r="M162" s="3893" t="s">
        <v>211</v>
      </c>
      <c r="N162" s="3894"/>
      <c r="O162" s="3894"/>
      <c r="P162" s="3894"/>
      <c r="Q162" s="3894"/>
      <c r="R162" s="3894"/>
      <c r="S162" s="3894"/>
      <c r="T162" s="3895"/>
      <c r="U162" s="364"/>
      <c r="V162" s="3893"/>
      <c r="W162" s="3894"/>
      <c r="X162" s="3894"/>
      <c r="Y162" s="3894"/>
      <c r="Z162" s="3894"/>
      <c r="AA162" s="3894"/>
      <c r="AB162" s="3894"/>
      <c r="AC162" s="3895"/>
      <c r="AD162" s="364"/>
      <c r="AE162" s="3893"/>
      <c r="AF162" s="3894"/>
      <c r="AG162" s="3894"/>
      <c r="AH162" s="3894"/>
      <c r="AI162" s="3894"/>
      <c r="AJ162" s="3895"/>
      <c r="AK162" s="234"/>
      <c r="AL162" s="234"/>
      <c r="AM162" s="234"/>
    </row>
    <row r="163" spans="1:39" s="234" customFormat="1" ht="30.75" thickBot="1">
      <c r="A163" s="535" t="s">
        <v>148</v>
      </c>
      <c r="B163" s="287" t="s">
        <v>68</v>
      </c>
      <c r="C163" s="536" t="s">
        <v>69</v>
      </c>
      <c r="D163" s="536" t="s">
        <v>70</v>
      </c>
      <c r="E163" s="80" t="s">
        <v>399</v>
      </c>
      <c r="F163" s="49" t="s">
        <v>85</v>
      </c>
      <c r="G163" s="49" t="s">
        <v>86</v>
      </c>
      <c r="H163" s="49" t="s">
        <v>92</v>
      </c>
      <c r="I163" s="49" t="s">
        <v>90</v>
      </c>
      <c r="J163" s="49" t="s">
        <v>97</v>
      </c>
      <c r="K163" s="126" t="s">
        <v>96</v>
      </c>
      <c r="L163" s="578"/>
      <c r="M163" s="80" t="s">
        <v>214</v>
      </c>
      <c r="N163" s="49" t="s">
        <v>53</v>
      </c>
      <c r="O163" s="49" t="s">
        <v>94</v>
      </c>
      <c r="P163" s="49" t="s">
        <v>543</v>
      </c>
      <c r="Q163" s="49" t="s">
        <v>95</v>
      </c>
      <c r="R163" s="49" t="s">
        <v>149</v>
      </c>
      <c r="S163" s="126" t="s">
        <v>136</v>
      </c>
      <c r="T163" s="171" t="s">
        <v>222</v>
      </c>
      <c r="U163" s="578"/>
      <c r="V163" s="100" t="s">
        <v>101</v>
      </c>
      <c r="W163" s="101" t="s">
        <v>499</v>
      </c>
      <c r="X163" s="102" t="s">
        <v>215</v>
      </c>
      <c r="Y163" s="747" t="s">
        <v>94</v>
      </c>
      <c r="Z163" s="102" t="s">
        <v>545</v>
      </c>
      <c r="AA163" s="102" t="s">
        <v>474</v>
      </c>
      <c r="AB163" s="799" t="s">
        <v>86</v>
      </c>
      <c r="AC163" s="1192"/>
      <c r="AD163" s="589"/>
      <c r="AE163" s="590" t="s">
        <v>172</v>
      </c>
      <c r="AF163" s="591" t="s">
        <v>80</v>
      </c>
      <c r="AG163" s="602" t="s">
        <v>150</v>
      </c>
      <c r="AH163" s="603" t="s">
        <v>106</v>
      </c>
      <c r="AI163" s="602" t="s">
        <v>173</v>
      </c>
      <c r="AJ163" s="604" t="s">
        <v>108</v>
      </c>
      <c r="AK163" s="276"/>
      <c r="AL163" s="276"/>
      <c r="AM163" s="276"/>
    </row>
    <row r="164" spans="1:39" s="234" customFormat="1" ht="20.25">
      <c r="A164" s="537" t="s">
        <v>619</v>
      </c>
      <c r="B164" s="545"/>
      <c r="C164" s="539"/>
      <c r="D164" s="544">
        <v>46116</v>
      </c>
      <c r="E164" s="319"/>
      <c r="F164" s="320"/>
      <c r="G164" s="320"/>
      <c r="H164" s="321"/>
      <c r="I164" s="321"/>
      <c r="J164" s="320"/>
      <c r="K164" s="351"/>
      <c r="L164" s="352"/>
      <c r="M164" s="353"/>
      <c r="N164" s="321"/>
      <c r="O164" s="321"/>
      <c r="P164" s="582"/>
      <c r="Q164" s="321"/>
      <c r="R164" s="321"/>
      <c r="S164" s="321"/>
      <c r="T164" s="354"/>
      <c r="U164" s="352"/>
      <c r="V164" s="353"/>
      <c r="W164" s="321">
        <f>4*20</f>
        <v>80</v>
      </c>
      <c r="X164" s="321"/>
      <c r="Y164" s="321"/>
      <c r="Z164" s="321"/>
      <c r="AA164" s="321"/>
      <c r="AB164" s="321"/>
      <c r="AC164" s="380"/>
      <c r="AD164" s="352"/>
      <c r="AE164" s="408">
        <f>SUM(E164:AC164)</f>
        <v>80</v>
      </c>
      <c r="AF164" s="409"/>
      <c r="AG164" s="408"/>
      <c r="AH164" s="409">
        <f>AE164+AF164+AG164</f>
        <v>80</v>
      </c>
      <c r="AI164" s="410"/>
      <c r="AJ164" s="411">
        <f>AH164+AI164</f>
        <v>80</v>
      </c>
    </row>
    <row r="165" spans="1:39" s="276" customFormat="1" ht="20.25">
      <c r="A165" s="537" t="s">
        <v>620</v>
      </c>
      <c r="B165" s="548"/>
      <c r="C165" s="549"/>
      <c r="D165" s="544">
        <v>46117</v>
      </c>
      <c r="E165" s="332"/>
      <c r="F165" s="333"/>
      <c r="G165" s="333"/>
      <c r="H165" s="334"/>
      <c r="I165" s="334"/>
      <c r="J165" s="333"/>
      <c r="K165" s="798"/>
      <c r="L165" s="361"/>
      <c r="M165" s="362"/>
      <c r="N165" s="334">
        <f>5*20</f>
        <v>100</v>
      </c>
      <c r="O165" s="334"/>
      <c r="P165" s="234"/>
      <c r="Q165" s="334"/>
      <c r="R165" s="334"/>
      <c r="S165" s="334"/>
      <c r="T165" s="360"/>
      <c r="U165" s="361"/>
      <c r="V165" s="362"/>
      <c r="W165" s="334"/>
      <c r="X165" s="334"/>
      <c r="Y165" s="334"/>
      <c r="Z165" s="334"/>
      <c r="AA165" s="334"/>
      <c r="AB165" s="334"/>
      <c r="AC165" s="383"/>
      <c r="AD165" s="361"/>
      <c r="AE165" s="419">
        <f t="shared" ref="AE165" si="76">SUM(E165:AC165)</f>
        <v>100</v>
      </c>
      <c r="AF165" s="420"/>
      <c r="AG165" s="419"/>
      <c r="AH165" s="420">
        <f>AE165+AF165+AG165</f>
        <v>100</v>
      </c>
      <c r="AI165" s="421"/>
      <c r="AJ165" s="422">
        <f>AH165+AI165</f>
        <v>100</v>
      </c>
    </row>
    <row r="166" spans="1:39" s="234" customFormat="1" ht="20.25">
      <c r="A166" s="537" t="s">
        <v>623</v>
      </c>
      <c r="B166" s="548"/>
      <c r="C166" s="549"/>
      <c r="D166" s="544">
        <v>46119</v>
      </c>
      <c r="E166" s="319"/>
      <c r="F166" s="320"/>
      <c r="G166" s="320"/>
      <c r="H166" s="321"/>
      <c r="I166" s="321"/>
      <c r="J166" s="320"/>
      <c r="K166" s="351"/>
      <c r="L166" s="352"/>
      <c r="M166" s="353"/>
      <c r="N166" s="321"/>
      <c r="O166" s="321"/>
      <c r="P166" s="321"/>
      <c r="Q166" s="334"/>
      <c r="R166" s="321"/>
      <c r="S166" s="321"/>
      <c r="T166" s="354"/>
      <c r="U166" s="352"/>
      <c r="V166" s="353"/>
      <c r="W166" s="321">
        <f>4*20</f>
        <v>80</v>
      </c>
      <c r="X166" s="321"/>
      <c r="Y166" s="321"/>
      <c r="Z166" s="321"/>
      <c r="AA166" s="321"/>
      <c r="AB166" s="321"/>
      <c r="AC166" s="380"/>
      <c r="AD166" s="352"/>
      <c r="AE166" s="408">
        <f t="shared" ref="AE166:AE206" si="77">SUM(E166:AC166)</f>
        <v>80</v>
      </c>
      <c r="AF166" s="409"/>
      <c r="AG166" s="408"/>
      <c r="AH166" s="409">
        <f t="shared" ref="AH166:AH226" si="78">AE166+AF166+AG166</f>
        <v>80</v>
      </c>
      <c r="AI166" s="410"/>
      <c r="AJ166" s="411">
        <f t="shared" ref="AJ166:AJ226" si="79">AH166+AI166</f>
        <v>80</v>
      </c>
    </row>
    <row r="167" spans="1:39" s="276" customFormat="1" ht="20.25">
      <c r="A167" s="537" t="s">
        <v>624</v>
      </c>
      <c r="B167" s="552"/>
      <c r="C167" s="553"/>
      <c r="D167" s="555">
        <v>46120</v>
      </c>
      <c r="E167" s="542"/>
      <c r="F167" s="542"/>
      <c r="G167" s="542"/>
      <c r="H167" s="543"/>
      <c r="I167" s="543"/>
      <c r="J167" s="542"/>
      <c r="K167" s="579"/>
      <c r="L167" s="580"/>
      <c r="M167" s="581"/>
      <c r="N167" s="543"/>
      <c r="O167" s="543"/>
      <c r="P167" s="543"/>
      <c r="Q167" s="545"/>
      <c r="R167" s="549"/>
      <c r="S167" s="544"/>
      <c r="T167" s="587"/>
      <c r="U167" s="580"/>
      <c r="V167" s="581"/>
      <c r="W167" s="543">
        <f>6*20</f>
        <v>120</v>
      </c>
      <c r="X167" s="543"/>
      <c r="Y167" s="543"/>
      <c r="Z167" s="543"/>
      <c r="AA167" s="543"/>
      <c r="AB167" s="543"/>
      <c r="AC167" s="592"/>
      <c r="AD167" s="580"/>
      <c r="AE167" s="593">
        <f t="shared" si="77"/>
        <v>120</v>
      </c>
      <c r="AF167" s="594"/>
      <c r="AG167" s="593"/>
      <c r="AH167" s="594">
        <f t="shared" si="78"/>
        <v>120</v>
      </c>
      <c r="AI167" s="605"/>
      <c r="AJ167" s="606">
        <f t="shared" si="79"/>
        <v>120</v>
      </c>
      <c r="AK167" s="234"/>
      <c r="AL167" s="234"/>
      <c r="AM167" s="234"/>
    </row>
    <row r="168" spans="1:39" s="234" customFormat="1" ht="20.25">
      <c r="A168" s="537" t="s">
        <v>635</v>
      </c>
      <c r="B168" s="545"/>
      <c r="C168" s="539"/>
      <c r="D168" s="544">
        <v>46124</v>
      </c>
      <c r="E168" s="319"/>
      <c r="F168" s="320"/>
      <c r="G168" s="320"/>
      <c r="H168" s="321"/>
      <c r="I168" s="321"/>
      <c r="J168" s="320"/>
      <c r="K168" s="351"/>
      <c r="L168" s="352"/>
      <c r="M168" s="353"/>
      <c r="N168" s="321"/>
      <c r="O168" s="321"/>
      <c r="P168" s="321"/>
      <c r="Q168" s="321"/>
      <c r="R168" s="321"/>
      <c r="S168" s="321"/>
      <c r="T168" s="354"/>
      <c r="U168" s="352"/>
      <c r="V168" s="353"/>
      <c r="W168" s="321">
        <f>1*20</f>
        <v>20</v>
      </c>
      <c r="X168" s="321"/>
      <c r="Y168" s="321"/>
      <c r="Z168" s="321"/>
      <c r="AA168" s="321"/>
      <c r="AB168" s="321"/>
      <c r="AC168" s="380"/>
      <c r="AD168" s="352"/>
      <c r="AE168" s="408">
        <f t="shared" si="77"/>
        <v>20</v>
      </c>
      <c r="AF168" s="409"/>
      <c r="AG168" s="408"/>
      <c r="AH168" s="409">
        <f t="shared" si="78"/>
        <v>20</v>
      </c>
      <c r="AI168" s="410"/>
      <c r="AJ168" s="411">
        <f t="shared" si="79"/>
        <v>20</v>
      </c>
      <c r="AK168" s="276"/>
      <c r="AL168" s="276"/>
      <c r="AM168" s="276"/>
    </row>
    <row r="169" spans="1:39" s="276" customFormat="1" ht="20.25">
      <c r="A169" s="551" t="s">
        <v>623</v>
      </c>
      <c r="B169" s="552"/>
      <c r="C169" s="553"/>
      <c r="D169" s="544">
        <v>46126</v>
      </c>
      <c r="E169" s="541"/>
      <c r="F169" s="542"/>
      <c r="G169" s="542"/>
      <c r="H169" s="543"/>
      <c r="I169" s="543"/>
      <c r="J169" s="542"/>
      <c r="K169" s="579"/>
      <c r="L169" s="580"/>
      <c r="M169" s="581"/>
      <c r="N169" s="543"/>
      <c r="O169" s="543"/>
      <c r="P169" s="543"/>
      <c r="Q169" s="543"/>
      <c r="R169" s="543"/>
      <c r="S169" s="543"/>
      <c r="T169" s="587"/>
      <c r="U169" s="580"/>
      <c r="V169" s="581"/>
      <c r="W169" s="543">
        <f>1*20</f>
        <v>20</v>
      </c>
      <c r="X169" s="543"/>
      <c r="Y169" s="543"/>
      <c r="Z169" s="543"/>
      <c r="AA169" s="543"/>
      <c r="AB169" s="543"/>
      <c r="AC169" s="592"/>
      <c r="AD169" s="580"/>
      <c r="AE169" s="593">
        <f t="shared" si="77"/>
        <v>20</v>
      </c>
      <c r="AF169" s="594"/>
      <c r="AG169" s="593"/>
      <c r="AH169" s="594">
        <f t="shared" si="78"/>
        <v>20</v>
      </c>
      <c r="AI169" s="605"/>
      <c r="AJ169" s="606">
        <f t="shared" si="79"/>
        <v>20</v>
      </c>
      <c r="AK169" s="234"/>
      <c r="AL169" s="234"/>
      <c r="AM169" s="234"/>
    </row>
    <row r="170" spans="1:39" s="234" customFormat="1" ht="20.25">
      <c r="A170" s="547" t="s">
        <v>629</v>
      </c>
      <c r="B170" s="552"/>
      <c r="C170" s="553"/>
      <c r="D170" s="544">
        <v>46129</v>
      </c>
      <c r="E170" s="541"/>
      <c r="F170" s="542"/>
      <c r="G170" s="542"/>
      <c r="H170" s="543"/>
      <c r="I170" s="543"/>
      <c r="J170" s="542"/>
      <c r="K170" s="579"/>
      <c r="L170" s="580"/>
      <c r="M170" s="581"/>
      <c r="N170" s="543"/>
      <c r="O170" s="543"/>
      <c r="P170" s="558"/>
      <c r="Q170" s="543"/>
      <c r="R170" s="543"/>
      <c r="S170" s="543"/>
      <c r="T170" s="587"/>
      <c r="U170" s="580"/>
      <c r="V170" s="581"/>
      <c r="W170" s="543">
        <f>10*20</f>
        <v>200</v>
      </c>
      <c r="X170" s="543"/>
      <c r="Y170" s="543"/>
      <c r="Z170" s="543"/>
      <c r="AA170" s="543"/>
      <c r="AB170" s="543"/>
      <c r="AC170" s="592"/>
      <c r="AD170" s="580"/>
      <c r="AE170" s="593">
        <f t="shared" si="77"/>
        <v>200</v>
      </c>
      <c r="AF170" s="594"/>
      <c r="AG170" s="593"/>
      <c r="AH170" s="594">
        <f t="shared" si="78"/>
        <v>200</v>
      </c>
      <c r="AI170" s="605"/>
      <c r="AJ170" s="606">
        <f t="shared" si="79"/>
        <v>200</v>
      </c>
      <c r="AK170" s="276"/>
      <c r="AL170" s="276"/>
      <c r="AM170" s="276"/>
    </row>
    <row r="171" spans="1:39" s="276" customFormat="1" ht="20.25">
      <c r="A171" s="547" t="s">
        <v>647</v>
      </c>
      <c r="B171" s="545"/>
      <c r="C171" s="539"/>
      <c r="D171" s="544">
        <v>46130</v>
      </c>
      <c r="E171" s="541"/>
      <c r="F171" s="542"/>
      <c r="G171" s="542"/>
      <c r="H171" s="543"/>
      <c r="I171" s="543"/>
      <c r="J171" s="542"/>
      <c r="K171" s="579"/>
      <c r="L171" s="580"/>
      <c r="M171" s="581"/>
      <c r="N171" s="543"/>
      <c r="O171" s="543"/>
      <c r="P171" s="558"/>
      <c r="Q171" s="543"/>
      <c r="R171" s="543"/>
      <c r="S171" s="543"/>
      <c r="T171" s="587"/>
      <c r="U171" s="580"/>
      <c r="V171" s="581"/>
      <c r="W171" s="543">
        <f>4*20</f>
        <v>80</v>
      </c>
      <c r="X171" s="543"/>
      <c r="Y171" s="543"/>
      <c r="Z171" s="543"/>
      <c r="AA171" s="543"/>
      <c r="AB171" s="543"/>
      <c r="AC171" s="592"/>
      <c r="AD171" s="580"/>
      <c r="AE171" s="593">
        <f t="shared" ref="AE171" si="80">SUM(E171:AC171)</f>
        <v>80</v>
      </c>
      <c r="AF171" s="594"/>
      <c r="AG171" s="593"/>
      <c r="AH171" s="594">
        <f t="shared" si="78"/>
        <v>80</v>
      </c>
      <c r="AI171" s="605"/>
      <c r="AJ171" s="606">
        <f t="shared" si="79"/>
        <v>80</v>
      </c>
      <c r="AK171" s="234"/>
      <c r="AL171" s="234"/>
      <c r="AM171" s="234"/>
    </row>
    <row r="172" spans="1:39" s="234" customFormat="1" ht="20.25">
      <c r="A172" s="561" t="s">
        <v>656</v>
      </c>
      <c r="B172" s="563"/>
      <c r="C172" s="553"/>
      <c r="D172" s="544">
        <v>46131</v>
      </c>
      <c r="E172" s="556"/>
      <c r="F172" s="557"/>
      <c r="G172" s="557"/>
      <c r="H172" s="558"/>
      <c r="I172" s="558"/>
      <c r="J172" s="557"/>
      <c r="K172" s="583"/>
      <c r="L172" s="584"/>
      <c r="M172" s="585"/>
      <c r="N172" s="558"/>
      <c r="O172" s="558"/>
      <c r="P172" s="558"/>
      <c r="Q172" s="558"/>
      <c r="R172" s="558"/>
      <c r="S172" s="558"/>
      <c r="T172" s="588"/>
      <c r="U172" s="584"/>
      <c r="V172" s="585"/>
      <c r="W172" s="558">
        <f>5*20</f>
        <v>100</v>
      </c>
      <c r="X172" s="558"/>
      <c r="Y172" s="558"/>
      <c r="Z172" s="558"/>
      <c r="AA172" s="558"/>
      <c r="AB172" s="558"/>
      <c r="AC172" s="595"/>
      <c r="AD172" s="584"/>
      <c r="AE172" s="596">
        <f t="shared" ref="AE172" si="81">SUM(E172:AC172)</f>
        <v>100</v>
      </c>
      <c r="AF172" s="597"/>
      <c r="AG172" s="596"/>
      <c r="AH172" s="597">
        <f t="shared" ref="AH172" si="82">AE172+AF172+AG172</f>
        <v>100</v>
      </c>
      <c r="AI172" s="607"/>
      <c r="AJ172" s="606">
        <f t="shared" ref="AJ172" si="83">AH172+AI172</f>
        <v>100</v>
      </c>
      <c r="AK172" s="276"/>
      <c r="AL172" s="276"/>
      <c r="AM172" s="276"/>
    </row>
    <row r="173" spans="1:39" s="234" customFormat="1" ht="20.25">
      <c r="A173" s="547" t="s">
        <v>658</v>
      </c>
      <c r="B173" s="552"/>
      <c r="C173" s="553"/>
      <c r="D173" s="544">
        <v>46132</v>
      </c>
      <c r="E173" s="319"/>
      <c r="F173" s="320"/>
      <c r="G173" s="320"/>
      <c r="H173" s="321"/>
      <c r="I173" s="321"/>
      <c r="J173" s="320"/>
      <c r="K173" s="351"/>
      <c r="L173" s="352"/>
      <c r="M173" s="353"/>
      <c r="N173" s="321"/>
      <c r="O173" s="321"/>
      <c r="P173" s="582"/>
      <c r="Q173" s="321"/>
      <c r="R173" s="321"/>
      <c r="S173" s="321"/>
      <c r="T173" s="354"/>
      <c r="U173" s="352"/>
      <c r="V173" s="353"/>
      <c r="W173" s="321">
        <f>4*20</f>
        <v>80</v>
      </c>
      <c r="X173" s="321"/>
      <c r="Y173" s="321"/>
      <c r="Z173" s="321"/>
      <c r="AA173" s="321"/>
      <c r="AB173" s="321"/>
      <c r="AC173" s="380"/>
      <c r="AD173" s="352"/>
      <c r="AE173" s="408">
        <f t="shared" si="77"/>
        <v>80</v>
      </c>
      <c r="AF173" s="409"/>
      <c r="AG173" s="408"/>
      <c r="AH173" s="409">
        <f t="shared" si="78"/>
        <v>80</v>
      </c>
      <c r="AI173" s="410"/>
      <c r="AJ173" s="411">
        <f t="shared" si="79"/>
        <v>80</v>
      </c>
    </row>
    <row r="174" spans="1:39" s="276" customFormat="1" ht="20.25">
      <c r="A174" s="547" t="s">
        <v>659</v>
      </c>
      <c r="B174" s="563"/>
      <c r="C174" s="553"/>
      <c r="D174" s="544">
        <v>46132</v>
      </c>
      <c r="E174" s="556"/>
      <c r="F174" s="557"/>
      <c r="G174" s="557"/>
      <c r="H174" s="558"/>
      <c r="I174" s="558"/>
      <c r="J174" s="557"/>
      <c r="K174" s="583"/>
      <c r="L174" s="584"/>
      <c r="M174" s="585"/>
      <c r="N174" s="558"/>
      <c r="O174" s="558"/>
      <c r="P174" s="558"/>
      <c r="Q174" s="558"/>
      <c r="R174" s="558"/>
      <c r="S174" s="558"/>
      <c r="T174" s="588"/>
      <c r="U174" s="584"/>
      <c r="V174" s="585"/>
      <c r="W174" s="558">
        <f>4*20</f>
        <v>80</v>
      </c>
      <c r="X174" s="558"/>
      <c r="Y174" s="558"/>
      <c r="Z174" s="558"/>
      <c r="AA174" s="558"/>
      <c r="AB174" s="558"/>
      <c r="AC174" s="595"/>
      <c r="AD174" s="584"/>
      <c r="AE174" s="596">
        <f t="shared" si="77"/>
        <v>80</v>
      </c>
      <c r="AF174" s="597"/>
      <c r="AG174" s="596"/>
      <c r="AH174" s="597">
        <f t="shared" si="78"/>
        <v>80</v>
      </c>
      <c r="AI174" s="607"/>
      <c r="AJ174" s="606">
        <f t="shared" si="79"/>
        <v>80</v>
      </c>
    </row>
    <row r="175" spans="1:39" s="276" customFormat="1" ht="20.25">
      <c r="A175" s="551" t="s">
        <v>623</v>
      </c>
      <c r="B175" s="552"/>
      <c r="C175" s="553"/>
      <c r="D175" s="559">
        <v>46133</v>
      </c>
      <c r="E175" s="319"/>
      <c r="F175" s="320"/>
      <c r="G175" s="320"/>
      <c r="H175" s="321"/>
      <c r="I175" s="321"/>
      <c r="J175" s="320"/>
      <c r="K175" s="351"/>
      <c r="L175" s="352"/>
      <c r="M175" s="353"/>
      <c r="N175" s="321"/>
      <c r="O175" s="321"/>
      <c r="P175" s="582"/>
      <c r="Q175" s="321"/>
      <c r="R175" s="321"/>
      <c r="S175" s="321"/>
      <c r="T175" s="354"/>
      <c r="U175" s="352"/>
      <c r="V175" s="353"/>
      <c r="W175" s="321">
        <f>3*20</f>
        <v>60</v>
      </c>
      <c r="X175" s="321"/>
      <c r="Y175" s="321"/>
      <c r="Z175" s="321"/>
      <c r="AA175" s="321"/>
      <c r="AB175" s="321"/>
      <c r="AC175" s="380"/>
      <c r="AD175" s="352"/>
      <c r="AE175" s="408">
        <f t="shared" si="77"/>
        <v>60</v>
      </c>
      <c r="AF175" s="409"/>
      <c r="AG175" s="408"/>
      <c r="AH175" s="409">
        <f t="shared" si="78"/>
        <v>60</v>
      </c>
      <c r="AI175" s="410"/>
      <c r="AJ175" s="411">
        <f t="shared" si="79"/>
        <v>60</v>
      </c>
      <c r="AK175" s="234"/>
      <c r="AL175" s="234"/>
      <c r="AM175" s="234"/>
    </row>
    <row r="176" spans="1:39" s="234" customFormat="1" ht="20.25">
      <c r="A176" s="551" t="s">
        <v>634</v>
      </c>
      <c r="B176" s="552"/>
      <c r="C176" s="553"/>
      <c r="D176" s="544">
        <v>46138</v>
      </c>
      <c r="E176" s="541"/>
      <c r="F176" s="542"/>
      <c r="G176" s="542"/>
      <c r="H176" s="543"/>
      <c r="I176" s="543"/>
      <c r="J176" s="542"/>
      <c r="K176" s="579"/>
      <c r="L176" s="580"/>
      <c r="M176" s="581"/>
      <c r="N176" s="543"/>
      <c r="O176" s="543"/>
      <c r="P176" s="558"/>
      <c r="Q176" s="543"/>
      <c r="R176" s="543"/>
      <c r="S176" s="543"/>
      <c r="T176" s="587"/>
      <c r="U176" s="580"/>
      <c r="V176" s="581"/>
      <c r="W176" s="543">
        <f>5*20</f>
        <v>100</v>
      </c>
      <c r="X176" s="543"/>
      <c r="Y176" s="543"/>
      <c r="Z176" s="543"/>
      <c r="AA176" s="543"/>
      <c r="AB176" s="543"/>
      <c r="AC176" s="592"/>
      <c r="AD176" s="580"/>
      <c r="AE176" s="593">
        <f t="shared" si="77"/>
        <v>100</v>
      </c>
      <c r="AF176" s="594"/>
      <c r="AG176" s="593"/>
      <c r="AH176" s="594">
        <f t="shared" si="78"/>
        <v>100</v>
      </c>
      <c r="AI176" s="605"/>
      <c r="AJ176" s="606">
        <f t="shared" si="79"/>
        <v>100</v>
      </c>
      <c r="AK176" s="276"/>
      <c r="AL176" s="276"/>
      <c r="AM176" s="276"/>
    </row>
    <row r="177" spans="1:39" s="276" customFormat="1" ht="20.25">
      <c r="A177" s="547" t="s">
        <v>683</v>
      </c>
      <c r="B177" s="563"/>
      <c r="C177" s="553"/>
      <c r="D177" s="544">
        <v>46140</v>
      </c>
      <c r="E177" s="319"/>
      <c r="F177" s="320"/>
      <c r="G177" s="320"/>
      <c r="H177" s="321"/>
      <c r="I177" s="321"/>
      <c r="J177" s="320"/>
      <c r="K177" s="351"/>
      <c r="L177" s="352"/>
      <c r="M177" s="353"/>
      <c r="N177" s="321"/>
      <c r="O177" s="321"/>
      <c r="P177" s="582"/>
      <c r="Q177" s="321"/>
      <c r="R177" s="321"/>
      <c r="S177" s="321"/>
      <c r="T177" s="354"/>
      <c r="U177" s="352"/>
      <c r="V177" s="353"/>
      <c r="W177" s="321">
        <f>3*20</f>
        <v>60</v>
      </c>
      <c r="X177" s="321"/>
      <c r="Y177" s="321"/>
      <c r="Z177" s="321"/>
      <c r="AA177" s="321"/>
      <c r="AB177" s="321"/>
      <c r="AC177" s="380"/>
      <c r="AD177" s="352"/>
      <c r="AE177" s="408">
        <f t="shared" si="77"/>
        <v>60</v>
      </c>
      <c r="AF177" s="409"/>
      <c r="AG177" s="408"/>
      <c r="AH177" s="409">
        <f t="shared" si="78"/>
        <v>60</v>
      </c>
      <c r="AI177" s="410"/>
      <c r="AJ177" s="411">
        <f t="shared" si="79"/>
        <v>60</v>
      </c>
      <c r="AK177" s="234"/>
      <c r="AL177" s="234"/>
      <c r="AM177" s="234"/>
    </row>
    <row r="178" spans="1:39" s="276" customFormat="1" ht="20.25">
      <c r="A178" s="537" t="s">
        <v>684</v>
      </c>
      <c r="B178" s="552"/>
      <c r="C178" s="553"/>
      <c r="D178" s="544">
        <v>46140</v>
      </c>
      <c r="E178" s="541"/>
      <c r="F178" s="542"/>
      <c r="G178" s="542"/>
      <c r="H178" s="543"/>
      <c r="I178" s="543"/>
      <c r="J178" s="542"/>
      <c r="K178" s="579"/>
      <c r="L178" s="580"/>
      <c r="M178" s="581"/>
      <c r="N178" s="543"/>
      <c r="O178" s="543"/>
      <c r="P178" s="558"/>
      <c r="Q178" s="543"/>
      <c r="R178" s="543"/>
      <c r="S178" s="543"/>
      <c r="T178" s="587"/>
      <c r="U178" s="580"/>
      <c r="V178" s="581"/>
      <c r="W178" s="543">
        <f>3*20</f>
        <v>60</v>
      </c>
      <c r="X178" s="543"/>
      <c r="Y178" s="543"/>
      <c r="Z178" s="543"/>
      <c r="AA178" s="543"/>
      <c r="AB178" s="543"/>
      <c r="AC178" s="592"/>
      <c r="AD178" s="580"/>
      <c r="AE178" s="593">
        <f t="shared" si="77"/>
        <v>60</v>
      </c>
      <c r="AF178" s="594"/>
      <c r="AG178" s="593"/>
      <c r="AH178" s="594">
        <f t="shared" si="78"/>
        <v>60</v>
      </c>
      <c r="AI178" s="605"/>
      <c r="AJ178" s="606">
        <f t="shared" si="79"/>
        <v>60</v>
      </c>
      <c r="AK178" s="234"/>
      <c r="AL178" s="234"/>
      <c r="AM178" s="234"/>
    </row>
    <row r="179" spans="1:39" s="234" customFormat="1" ht="20.25">
      <c r="A179" s="547" t="s">
        <v>685</v>
      </c>
      <c r="B179" s="552"/>
      <c r="C179" s="553"/>
      <c r="D179" s="544">
        <v>46141</v>
      </c>
      <c r="E179" s="541"/>
      <c r="F179" s="542"/>
      <c r="G179" s="542"/>
      <c r="H179" s="543"/>
      <c r="I179" s="543"/>
      <c r="J179" s="542"/>
      <c r="K179" s="579"/>
      <c r="L179" s="580"/>
      <c r="M179" s="581"/>
      <c r="N179" s="543"/>
      <c r="O179" s="543"/>
      <c r="P179" s="558"/>
      <c r="Q179" s="543"/>
      <c r="R179" s="543"/>
      <c r="S179" s="543"/>
      <c r="T179" s="587"/>
      <c r="U179" s="580"/>
      <c r="V179" s="581"/>
      <c r="W179" s="543">
        <f>10*20</f>
        <v>200</v>
      </c>
      <c r="X179" s="543"/>
      <c r="Y179" s="543"/>
      <c r="Z179" s="543"/>
      <c r="AA179" s="543"/>
      <c r="AB179" s="543"/>
      <c r="AC179" s="592"/>
      <c r="AD179" s="352"/>
      <c r="AE179" s="408">
        <f t="shared" si="77"/>
        <v>200</v>
      </c>
      <c r="AF179" s="409"/>
      <c r="AG179" s="408"/>
      <c r="AH179" s="409">
        <f t="shared" si="78"/>
        <v>200</v>
      </c>
      <c r="AI179" s="410"/>
      <c r="AJ179" s="411">
        <f t="shared" si="79"/>
        <v>200</v>
      </c>
      <c r="AK179" s="276"/>
      <c r="AL179" s="276"/>
      <c r="AM179" s="276"/>
    </row>
    <row r="180" spans="1:39" s="276" customFormat="1" ht="20.25">
      <c r="A180" s="561"/>
      <c r="B180" s="552"/>
      <c r="C180" s="553"/>
      <c r="D180" s="544"/>
      <c r="E180" s="541"/>
      <c r="F180" s="542"/>
      <c r="G180" s="542"/>
      <c r="H180" s="543"/>
      <c r="I180" s="543"/>
      <c r="J180" s="542"/>
      <c r="K180" s="579"/>
      <c r="L180" s="580"/>
      <c r="M180" s="581"/>
      <c r="N180" s="543"/>
      <c r="O180" s="543"/>
      <c r="P180" s="558"/>
      <c r="Q180" s="543"/>
      <c r="R180" s="543"/>
      <c r="S180" s="543"/>
      <c r="T180" s="587"/>
      <c r="U180" s="580"/>
      <c r="V180" s="581"/>
      <c r="W180" s="543"/>
      <c r="X180" s="543"/>
      <c r="Y180" s="543"/>
      <c r="Z180" s="543"/>
      <c r="AA180" s="543"/>
      <c r="AB180" s="543"/>
      <c r="AC180" s="592"/>
      <c r="AD180" s="580"/>
      <c r="AE180" s="593">
        <f t="shared" si="77"/>
        <v>0</v>
      </c>
      <c r="AF180" s="594"/>
      <c r="AG180" s="593"/>
      <c r="AH180" s="594">
        <f t="shared" si="78"/>
        <v>0</v>
      </c>
      <c r="AI180" s="605"/>
      <c r="AJ180" s="606">
        <f t="shared" si="79"/>
        <v>0</v>
      </c>
      <c r="AK180" s="234"/>
      <c r="AL180" s="234"/>
      <c r="AM180" s="234"/>
    </row>
    <row r="181" spans="1:39" s="276" customFormat="1" ht="20.25">
      <c r="A181" s="537"/>
      <c r="B181" s="538"/>
      <c r="C181" s="3079"/>
      <c r="D181" s="544"/>
      <c r="E181" s="319"/>
      <c r="F181" s="320"/>
      <c r="G181" s="320"/>
      <c r="H181" s="321"/>
      <c r="I181" s="321"/>
      <c r="J181" s="320"/>
      <c r="K181" s="351"/>
      <c r="L181" s="352"/>
      <c r="M181" s="353"/>
      <c r="N181" s="321"/>
      <c r="O181" s="321"/>
      <c r="P181" s="321"/>
      <c r="Q181" s="321"/>
      <c r="R181" s="321"/>
      <c r="S181" s="321"/>
      <c r="T181" s="354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408">
        <f t="shared" si="77"/>
        <v>0</v>
      </c>
      <c r="AF181" s="409"/>
      <c r="AG181" s="408"/>
      <c r="AH181" s="409">
        <f t="shared" si="78"/>
        <v>0</v>
      </c>
      <c r="AI181" s="410"/>
      <c r="AJ181" s="411">
        <f t="shared" si="79"/>
        <v>0</v>
      </c>
    </row>
    <row r="182" spans="1:39" s="234" customFormat="1" ht="20.25">
      <c r="A182" s="537"/>
      <c r="B182" s="552"/>
      <c r="C182"/>
      <c r="D182" s="544"/>
      <c r="E182" s="319"/>
      <c r="F182" s="320"/>
      <c r="G182" s="320"/>
      <c r="H182" s="321"/>
      <c r="I182" s="321"/>
      <c r="J182" s="320"/>
      <c r="K182" s="351"/>
      <c r="L182" s="352"/>
      <c r="M182" s="353"/>
      <c r="N182" s="321"/>
      <c r="O182" s="321"/>
      <c r="P182" s="321"/>
      <c r="Q182" s="321"/>
      <c r="R182" s="321"/>
      <c r="S182" s="321"/>
      <c r="T182" s="354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77"/>
        <v>0</v>
      </c>
      <c r="AF182" s="409"/>
      <c r="AG182" s="408"/>
      <c r="AH182" s="409">
        <f t="shared" si="78"/>
        <v>0</v>
      </c>
      <c r="AI182" s="410"/>
      <c r="AJ182" s="411">
        <f t="shared" si="79"/>
        <v>0</v>
      </c>
    </row>
    <row r="183" spans="1:39" s="276" customFormat="1" ht="20.25">
      <c r="A183" s="537"/>
      <c r="B183" s="552"/>
      <c r="C183" s="553"/>
      <c r="D183" s="544"/>
      <c r="E183" s="54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43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ref="AE183" si="84">SUM(E183:AC183)</f>
        <v>0</v>
      </c>
      <c r="AF183" s="594"/>
      <c r="AG183" s="593"/>
      <c r="AH183" s="594">
        <f t="shared" si="78"/>
        <v>0</v>
      </c>
      <c r="AI183" s="605"/>
      <c r="AJ183" s="606">
        <f t="shared" si="79"/>
        <v>0</v>
      </c>
    </row>
    <row r="184" spans="1:39" s="234" customFormat="1" ht="20.25">
      <c r="A184" s="537"/>
      <c r="B184" s="550"/>
      <c r="C184" s="549"/>
      <c r="D184" s="3367"/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54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77"/>
        <v>0</v>
      </c>
      <c r="AF184" s="409"/>
      <c r="AG184" s="408"/>
      <c r="AH184" s="409">
        <f t="shared" si="78"/>
        <v>0</v>
      </c>
      <c r="AI184" s="410"/>
      <c r="AJ184" s="411">
        <f t="shared" si="79"/>
        <v>0</v>
      </c>
    </row>
    <row r="185" spans="1:39" s="276" customFormat="1" ht="20.25">
      <c r="A185" s="537"/>
      <c r="B185" s="550"/>
      <c r="C185" s="549"/>
      <c r="D185" s="544"/>
      <c r="E185" s="319"/>
      <c r="F185" s="320"/>
      <c r="G185" s="320"/>
      <c r="H185" s="321"/>
      <c r="I185" s="321"/>
      <c r="J185" s="320"/>
      <c r="K185" s="351"/>
      <c r="L185" s="352"/>
      <c r="M185" s="353"/>
      <c r="N185" s="321"/>
      <c r="O185" s="321"/>
      <c r="P185" s="321"/>
      <c r="Q185" s="321"/>
      <c r="R185" s="321"/>
      <c r="S185" s="321"/>
      <c r="T185" s="354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ref="AE185" si="85">SUM(E185:AC185)</f>
        <v>0</v>
      </c>
      <c r="AF185" s="409"/>
      <c r="AG185" s="408"/>
      <c r="AH185" s="409">
        <f t="shared" ref="AH185" si="86">AE185+AF185+AG185</f>
        <v>0</v>
      </c>
      <c r="AI185" s="410"/>
      <c r="AJ185" s="411">
        <f t="shared" ref="AJ185" si="87">AH185+AI185</f>
        <v>0</v>
      </c>
    </row>
    <row r="186" spans="1:39" s="234" customFormat="1" ht="20.25">
      <c r="A186" s="537"/>
      <c r="B186" s="538"/>
      <c r="C186" s="539"/>
      <c r="D186" s="544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77"/>
        <v>0</v>
      </c>
      <c r="AF186" s="594"/>
      <c r="AG186" s="593"/>
      <c r="AH186" s="594">
        <f t="shared" si="78"/>
        <v>0</v>
      </c>
      <c r="AI186" s="605"/>
      <c r="AJ186" s="606">
        <f t="shared" si="79"/>
        <v>0</v>
      </c>
    </row>
    <row r="187" spans="1:39" s="234" customFormat="1" ht="20.25">
      <c r="A187" s="561"/>
      <c r="B187" s="552"/>
      <c r="C187" s="553"/>
      <c r="D187" s="544"/>
      <c r="E187" s="319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77"/>
        <v>0</v>
      </c>
      <c r="AF187" s="409"/>
      <c r="AG187" s="408"/>
      <c r="AH187" s="409">
        <f t="shared" si="78"/>
        <v>0</v>
      </c>
      <c r="AI187" s="410"/>
      <c r="AJ187" s="411">
        <f t="shared" si="79"/>
        <v>0</v>
      </c>
    </row>
    <row r="188" spans="1:39" s="234" customFormat="1" ht="20.25">
      <c r="A188" s="537"/>
      <c r="B188" s="552"/>
      <c r="C188" s="553"/>
      <c r="D188" s="544"/>
      <c r="E188" s="541"/>
      <c r="F188" s="542"/>
      <c r="G188" s="542"/>
      <c r="H188" s="543"/>
      <c r="I188" s="543"/>
      <c r="J188" s="542"/>
      <c r="K188" s="579"/>
      <c r="L188" s="580"/>
      <c r="M188" s="581"/>
      <c r="N188" s="543"/>
      <c r="O188" s="543"/>
      <c r="P188" s="543"/>
      <c r="Q188" s="543"/>
      <c r="R188" s="543"/>
      <c r="S188" s="543"/>
      <c r="T188" s="587"/>
      <c r="U188" s="580"/>
      <c r="V188" s="581"/>
      <c r="W188" s="543"/>
      <c r="X188" s="543"/>
      <c r="Y188" s="543"/>
      <c r="Z188" s="543"/>
      <c r="AA188" s="543"/>
      <c r="AB188" s="543"/>
      <c r="AC188" s="592"/>
      <c r="AD188" s="580"/>
      <c r="AE188" s="593">
        <f t="shared" si="77"/>
        <v>0</v>
      </c>
      <c r="AF188" s="594"/>
      <c r="AG188" s="593"/>
      <c r="AH188" s="594">
        <f t="shared" si="78"/>
        <v>0</v>
      </c>
      <c r="AI188" s="605"/>
      <c r="AJ188" s="606">
        <f t="shared" si="79"/>
        <v>0</v>
      </c>
      <c r="AK188" s="276"/>
      <c r="AL188" s="276"/>
      <c r="AM188" s="276"/>
    </row>
    <row r="189" spans="1:39" s="234" customFormat="1" ht="20.25">
      <c r="A189" s="537"/>
      <c r="B189" s="550"/>
      <c r="C189" s="549"/>
      <c r="D189" s="544"/>
      <c r="E189" s="319"/>
      <c r="F189" s="320"/>
      <c r="G189" s="320"/>
      <c r="H189" s="321"/>
      <c r="I189" s="321"/>
      <c r="J189" s="320"/>
      <c r="K189" s="351"/>
      <c r="L189" s="352"/>
      <c r="M189" s="353"/>
      <c r="N189" s="321"/>
      <c r="O189" s="321"/>
      <c r="P189" s="321"/>
      <c r="Q189" s="321"/>
      <c r="R189" s="321"/>
      <c r="S189" s="321"/>
      <c r="T189" s="354"/>
      <c r="U189" s="352"/>
      <c r="V189" s="353"/>
      <c r="W189" s="321"/>
      <c r="X189" s="321"/>
      <c r="Y189" s="321"/>
      <c r="Z189" s="321"/>
      <c r="AA189" s="321"/>
      <c r="AB189" s="321"/>
      <c r="AC189" s="380"/>
      <c r="AD189" s="352"/>
      <c r="AE189" s="408">
        <f t="shared" si="77"/>
        <v>0</v>
      </c>
      <c r="AF189" s="409"/>
      <c r="AG189" s="408"/>
      <c r="AH189" s="409">
        <f t="shared" si="78"/>
        <v>0</v>
      </c>
      <c r="AI189" s="410"/>
      <c r="AJ189" s="411">
        <f t="shared" si="79"/>
        <v>0</v>
      </c>
      <c r="AK189" s="276"/>
      <c r="AL189" s="276"/>
      <c r="AM189" s="276"/>
    </row>
    <row r="190" spans="1:39" s="234" customFormat="1" ht="20.25">
      <c r="A190" s="537"/>
      <c r="B190" s="550"/>
      <c r="C190" s="549"/>
      <c r="D190" s="544"/>
      <c r="E190" s="541"/>
      <c r="F190" s="542"/>
      <c r="G190" s="542"/>
      <c r="H190" s="543"/>
      <c r="I190" s="543"/>
      <c r="J190" s="542"/>
      <c r="K190" s="579"/>
      <c r="L190" s="580"/>
      <c r="M190" s="581"/>
      <c r="N190" s="543"/>
      <c r="O190" s="543"/>
      <c r="P190" s="543"/>
      <c r="Q190" s="543"/>
      <c r="R190" s="543"/>
      <c r="S190" s="543"/>
      <c r="T190" s="587"/>
      <c r="U190" s="580"/>
      <c r="V190" s="581"/>
      <c r="W190" s="543"/>
      <c r="X190" s="543"/>
      <c r="Y190" s="543"/>
      <c r="Z190" s="543"/>
      <c r="AA190" s="543"/>
      <c r="AB190" s="543"/>
      <c r="AC190" s="592"/>
      <c r="AD190" s="580"/>
      <c r="AE190" s="593">
        <f t="shared" si="77"/>
        <v>0</v>
      </c>
      <c r="AF190" s="594"/>
      <c r="AG190" s="593"/>
      <c r="AH190" s="594">
        <f t="shared" si="78"/>
        <v>0</v>
      </c>
      <c r="AI190" s="605"/>
      <c r="AJ190" s="606">
        <f t="shared" si="79"/>
        <v>0</v>
      </c>
    </row>
    <row r="191" spans="1:39" s="234" customFormat="1" ht="20.25">
      <c r="A191" s="537"/>
      <c r="B191" s="550"/>
      <c r="C191" s="549"/>
      <c r="D191" s="544"/>
      <c r="E191" s="319"/>
      <c r="F191" s="320"/>
      <c r="G191" s="320"/>
      <c r="H191" s="321"/>
      <c r="I191" s="321"/>
      <c r="J191" s="320"/>
      <c r="K191" s="351"/>
      <c r="L191" s="352"/>
      <c r="M191" s="353"/>
      <c r="N191" s="321"/>
      <c r="O191" s="321"/>
      <c r="P191" s="321"/>
      <c r="Q191" s="321"/>
      <c r="R191" s="321"/>
      <c r="S191" s="321"/>
      <c r="T191" s="354"/>
      <c r="U191" s="352"/>
      <c r="V191" s="353"/>
      <c r="W191" s="321"/>
      <c r="X191" s="321"/>
      <c r="Y191" s="321"/>
      <c r="Z191" s="321"/>
      <c r="AA191" s="321"/>
      <c r="AB191" s="321"/>
      <c r="AC191" s="380"/>
      <c r="AD191" s="352"/>
      <c r="AE191" s="408">
        <f t="shared" si="77"/>
        <v>0</v>
      </c>
      <c r="AF191" s="409"/>
      <c r="AG191" s="408"/>
      <c r="AH191" s="409">
        <f t="shared" si="78"/>
        <v>0</v>
      </c>
      <c r="AI191" s="410"/>
      <c r="AJ191" s="411">
        <f t="shared" si="79"/>
        <v>0</v>
      </c>
      <c r="AK191" s="276"/>
      <c r="AL191" s="276"/>
      <c r="AM191" s="276"/>
    </row>
    <row r="192" spans="1:39" s="234" customFormat="1" ht="20.25">
      <c r="A192" s="551"/>
      <c r="B192" s="550"/>
      <c r="C192" s="549"/>
      <c r="D192" s="544"/>
      <c r="E192" s="541"/>
      <c r="F192" s="542"/>
      <c r="G192" s="542"/>
      <c r="H192" s="543"/>
      <c r="I192" s="543"/>
      <c r="J192" s="542"/>
      <c r="K192" s="579"/>
      <c r="L192" s="580"/>
      <c r="M192" s="581"/>
      <c r="N192" s="543"/>
      <c r="O192" s="543"/>
      <c r="P192" s="543"/>
      <c r="Q192" s="543"/>
      <c r="R192" s="543"/>
      <c r="S192" s="543"/>
      <c r="T192" s="587"/>
      <c r="U192" s="580"/>
      <c r="V192" s="581"/>
      <c r="W192" s="543"/>
      <c r="X192" s="543"/>
      <c r="Y192" s="543"/>
      <c r="Z192" s="543"/>
      <c r="AA192" s="543"/>
      <c r="AB192" s="543"/>
      <c r="AC192" s="592"/>
      <c r="AD192" s="580"/>
      <c r="AE192" s="593">
        <f t="shared" si="77"/>
        <v>0</v>
      </c>
      <c r="AF192" s="594"/>
      <c r="AG192" s="593"/>
      <c r="AH192" s="594">
        <f t="shared" si="78"/>
        <v>0</v>
      </c>
      <c r="AI192" s="605"/>
      <c r="AJ192" s="606">
        <f t="shared" si="79"/>
        <v>0</v>
      </c>
      <c r="AK192" s="276"/>
      <c r="AL192" s="276"/>
      <c r="AM192" s="276"/>
    </row>
    <row r="193" spans="1:39" s="234" customFormat="1" ht="20.25">
      <c r="A193" s="547"/>
      <c r="B193" s="550"/>
      <c r="C193" s="549"/>
      <c r="D193" s="544"/>
      <c r="E193" s="319"/>
      <c r="F193" s="320"/>
      <c r="G193" s="320"/>
      <c r="H193" s="321"/>
      <c r="I193" s="321"/>
      <c r="J193" s="320"/>
      <c r="K193" s="351"/>
      <c r="L193" s="352"/>
      <c r="M193" s="353"/>
      <c r="N193" s="321"/>
      <c r="O193" s="321"/>
      <c r="P193" s="321"/>
      <c r="Q193" s="321"/>
      <c r="R193" s="321"/>
      <c r="S193" s="321"/>
      <c r="T193" s="354"/>
      <c r="U193" s="352"/>
      <c r="V193" s="353"/>
      <c r="W193" s="321"/>
      <c r="X193" s="321"/>
      <c r="Y193" s="321"/>
      <c r="Z193" s="321"/>
      <c r="AA193" s="321"/>
      <c r="AB193" s="321"/>
      <c r="AC193" s="380"/>
      <c r="AD193" s="352"/>
      <c r="AE193" s="408">
        <f t="shared" si="77"/>
        <v>0</v>
      </c>
      <c r="AF193" s="409"/>
      <c r="AG193" s="408"/>
      <c r="AH193" s="409">
        <f t="shared" si="78"/>
        <v>0</v>
      </c>
      <c r="AI193" s="410"/>
      <c r="AJ193" s="411">
        <f t="shared" si="79"/>
        <v>0</v>
      </c>
    </row>
    <row r="194" spans="1:39" s="234" customFormat="1" ht="20.25">
      <c r="A194" s="1111"/>
      <c r="B194" s="550"/>
      <c r="C194" s="549"/>
      <c r="D194" s="544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543"/>
      <c r="AA194" s="321"/>
      <c r="AB194" s="321"/>
      <c r="AC194" s="380"/>
      <c r="AD194" s="352"/>
      <c r="AE194" s="408">
        <f t="shared" si="77"/>
        <v>0</v>
      </c>
      <c r="AF194" s="409"/>
      <c r="AG194" s="408"/>
      <c r="AH194" s="409">
        <f t="shared" si="78"/>
        <v>0</v>
      </c>
      <c r="AI194" s="410"/>
      <c r="AJ194" s="411">
        <f t="shared" si="79"/>
        <v>0</v>
      </c>
      <c r="AK194" s="276"/>
      <c r="AL194" s="276"/>
      <c r="AM194" s="276"/>
    </row>
    <row r="195" spans="1:39" s="234" customFormat="1" ht="20.25">
      <c r="A195" s="537"/>
      <c r="B195" s="1112"/>
      <c r="C195" s="1113"/>
      <c r="D195" s="1114"/>
      <c r="E195" s="541"/>
      <c r="F195" s="542"/>
      <c r="G195" s="542"/>
      <c r="H195" s="543"/>
      <c r="I195" s="543"/>
      <c r="J195" s="542"/>
      <c r="K195" s="579"/>
      <c r="L195" s="580"/>
      <c r="M195" s="581"/>
      <c r="N195" s="543"/>
      <c r="O195" s="543"/>
      <c r="P195" s="543"/>
      <c r="Q195" s="543"/>
      <c r="R195" s="543"/>
      <c r="S195" s="543"/>
      <c r="T195" s="587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77"/>
        <v>0</v>
      </c>
      <c r="AF195" s="594"/>
      <c r="AG195" s="593"/>
      <c r="AH195" s="594">
        <f t="shared" si="78"/>
        <v>0</v>
      </c>
      <c r="AI195" s="605"/>
      <c r="AJ195" s="606">
        <f t="shared" si="79"/>
        <v>0</v>
      </c>
      <c r="AK195" s="276"/>
      <c r="AL195" s="276"/>
      <c r="AM195" s="276"/>
    </row>
    <row r="196" spans="1:39" s="234" customFormat="1" ht="20.25">
      <c r="A196" s="537"/>
      <c r="B196" s="550"/>
      <c r="C196" s="549"/>
      <c r="D196" s="544"/>
      <c r="E196" s="319"/>
      <c r="F196" s="320"/>
      <c r="G196" s="320"/>
      <c r="H196" s="321"/>
      <c r="I196" s="321"/>
      <c r="J196" s="320"/>
      <c r="K196" s="351"/>
      <c r="L196" s="352"/>
      <c r="M196" s="353"/>
      <c r="N196" s="321"/>
      <c r="O196" s="321"/>
      <c r="P196" s="321"/>
      <c r="Q196" s="321"/>
      <c r="R196" s="321"/>
      <c r="S196" s="321"/>
      <c r="T196" s="354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77"/>
        <v>0</v>
      </c>
      <c r="AF196" s="409"/>
      <c r="AG196" s="408"/>
      <c r="AH196" s="409">
        <f t="shared" si="78"/>
        <v>0</v>
      </c>
      <c r="AI196" s="410"/>
      <c r="AJ196" s="411">
        <f t="shared" si="79"/>
        <v>0</v>
      </c>
    </row>
    <row r="197" spans="1:39" ht="20.25">
      <c r="A197" s="537"/>
      <c r="B197" s="550"/>
      <c r="C197" s="549"/>
      <c r="D197" s="544"/>
      <c r="E197" s="541"/>
      <c r="F197" s="542"/>
      <c r="G197" s="542"/>
      <c r="H197" s="543"/>
      <c r="I197" s="543"/>
      <c r="J197" s="542"/>
      <c r="K197" s="579"/>
      <c r="L197" s="580"/>
      <c r="M197" s="581"/>
      <c r="N197" s="543"/>
      <c r="O197" s="543"/>
      <c r="P197" s="543"/>
      <c r="Q197" s="543"/>
      <c r="R197" s="543"/>
      <c r="S197" s="543"/>
      <c r="T197" s="587"/>
      <c r="U197" s="580"/>
      <c r="V197" s="581"/>
      <c r="W197" s="543"/>
      <c r="X197" s="543"/>
      <c r="Y197" s="543"/>
      <c r="Z197" s="543"/>
      <c r="AA197" s="543"/>
      <c r="AB197" s="543"/>
      <c r="AC197" s="592"/>
      <c r="AD197" s="580"/>
      <c r="AE197" s="593">
        <f t="shared" si="77"/>
        <v>0</v>
      </c>
      <c r="AF197" s="594"/>
      <c r="AG197" s="593"/>
      <c r="AH197" s="594">
        <f t="shared" si="78"/>
        <v>0</v>
      </c>
      <c r="AI197" s="605"/>
      <c r="AJ197" s="606">
        <f t="shared" si="79"/>
        <v>0</v>
      </c>
      <c r="AK197" s="276"/>
      <c r="AL197" s="276"/>
      <c r="AM197" s="276"/>
    </row>
    <row r="198" spans="1:39" ht="20.25">
      <c r="A198" s="537"/>
      <c r="B198" s="550"/>
      <c r="C198" s="549"/>
      <c r="D198" s="544"/>
      <c r="E198" s="319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77"/>
        <v>0</v>
      </c>
      <c r="AF198" s="409"/>
      <c r="AG198" s="408"/>
      <c r="AH198" s="409">
        <f t="shared" si="78"/>
        <v>0</v>
      </c>
      <c r="AI198" s="410"/>
      <c r="AJ198" s="411">
        <f t="shared" si="79"/>
        <v>0</v>
      </c>
      <c r="AK198" s="234"/>
      <c r="AL198" s="234"/>
      <c r="AM198" s="234"/>
    </row>
    <row r="199" spans="1:39" s="284" customFormat="1" ht="20.25">
      <c r="A199" s="537"/>
      <c r="B199" s="550"/>
      <c r="C199" s="549"/>
      <c r="D199" s="544"/>
      <c r="E199" s="541"/>
      <c r="F199" s="542"/>
      <c r="G199" s="542"/>
      <c r="H199" s="543"/>
      <c r="I199" s="543"/>
      <c r="J199" s="542"/>
      <c r="K199" s="579"/>
      <c r="L199" s="580"/>
      <c r="M199" s="581"/>
      <c r="N199" s="543"/>
      <c r="O199" s="543"/>
      <c r="P199" s="543"/>
      <c r="Q199" s="543"/>
      <c r="R199" s="543"/>
      <c r="S199" s="543"/>
      <c r="T199" s="587"/>
      <c r="U199" s="580"/>
      <c r="V199" s="581"/>
      <c r="W199" s="543"/>
      <c r="X199" s="543"/>
      <c r="Y199" s="543"/>
      <c r="Z199" s="543"/>
      <c r="AA199" s="543"/>
      <c r="AB199" s="543"/>
      <c r="AC199" s="592"/>
      <c r="AD199" s="580"/>
      <c r="AE199" s="593">
        <f t="shared" si="77"/>
        <v>0</v>
      </c>
      <c r="AF199" s="594"/>
      <c r="AG199" s="593"/>
      <c r="AH199" s="594">
        <f t="shared" si="78"/>
        <v>0</v>
      </c>
      <c r="AI199" s="605"/>
      <c r="AJ199" s="606">
        <f t="shared" si="79"/>
        <v>0</v>
      </c>
      <c r="AK199" s="276"/>
      <c r="AL199" s="276"/>
      <c r="AM199" s="276"/>
    </row>
    <row r="200" spans="1:39" s="282" customFormat="1" ht="20.25">
      <c r="A200" s="537"/>
      <c r="B200" s="550"/>
      <c r="C200" s="549"/>
      <c r="D200" s="544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77"/>
        <v>0</v>
      </c>
      <c r="AF200" s="409"/>
      <c r="AG200" s="408"/>
      <c r="AH200" s="409">
        <f t="shared" si="78"/>
        <v>0</v>
      </c>
      <c r="AI200" s="410"/>
      <c r="AJ200" s="411">
        <f t="shared" si="79"/>
        <v>0</v>
      </c>
      <c r="AK200" s="234"/>
      <c r="AL200" s="234"/>
      <c r="AM200" s="234"/>
    </row>
    <row r="201" spans="1:39" s="283" customFormat="1" ht="20.25">
      <c r="A201" s="564"/>
      <c r="B201" s="565"/>
      <c r="C201" s="565"/>
      <c r="D201" s="566"/>
      <c r="E201" s="541"/>
      <c r="F201" s="542"/>
      <c r="G201" s="542"/>
      <c r="H201" s="543"/>
      <c r="I201" s="543"/>
      <c r="J201" s="542"/>
      <c r="K201" s="579"/>
      <c r="L201" s="580"/>
      <c r="M201" s="581"/>
      <c r="N201" s="543"/>
      <c r="O201" s="543"/>
      <c r="P201" s="543"/>
      <c r="Q201" s="543"/>
      <c r="R201" s="543"/>
      <c r="S201" s="543"/>
      <c r="T201" s="587"/>
      <c r="U201" s="580"/>
      <c r="V201" s="581"/>
      <c r="W201" s="543"/>
      <c r="X201" s="543"/>
      <c r="Y201" s="543"/>
      <c r="Z201" s="543"/>
      <c r="AA201" s="543"/>
      <c r="AB201" s="543"/>
      <c r="AC201" s="592"/>
      <c r="AD201" s="580"/>
      <c r="AE201" s="593">
        <f t="shared" si="77"/>
        <v>0</v>
      </c>
      <c r="AF201" s="594"/>
      <c r="AG201" s="593"/>
      <c r="AH201" s="594">
        <f t="shared" si="78"/>
        <v>0</v>
      </c>
      <c r="AI201" s="605"/>
      <c r="AJ201" s="606">
        <f t="shared" si="79"/>
        <v>0</v>
      </c>
      <c r="AK201" s="234"/>
      <c r="AL201" s="234"/>
      <c r="AM201" s="234"/>
    </row>
    <row r="202" spans="1:39" s="283" customFormat="1" ht="20.25">
      <c r="A202" s="316"/>
      <c r="B202" s="570"/>
      <c r="C202" s="570"/>
      <c r="D202" s="571"/>
      <c r="E202" s="319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54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77"/>
        <v>0</v>
      </c>
      <c r="AF202" s="409"/>
      <c r="AG202" s="408"/>
      <c r="AH202" s="409">
        <f t="shared" si="78"/>
        <v>0</v>
      </c>
      <c r="AI202" s="410"/>
      <c r="AJ202" s="411">
        <f t="shared" si="79"/>
        <v>0</v>
      </c>
      <c r="AK202" s="234"/>
      <c r="AL202" s="234"/>
      <c r="AM202" s="234"/>
    </row>
    <row r="203" spans="1:39" s="283" customFormat="1" ht="20.25">
      <c r="A203" s="316"/>
      <c r="B203" s="570"/>
      <c r="C203" s="570"/>
      <c r="D203" s="571"/>
      <c r="E203" s="319"/>
      <c r="F203" s="320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/>
      <c r="X203" s="321"/>
      <c r="Y203" s="321"/>
      <c r="Z203" s="321"/>
      <c r="AA203" s="321"/>
      <c r="AB203" s="321"/>
      <c r="AC203" s="380"/>
      <c r="AD203" s="352"/>
      <c r="AE203" s="408">
        <f t="shared" si="77"/>
        <v>0</v>
      </c>
      <c r="AF203" s="409"/>
      <c r="AG203" s="408"/>
      <c r="AH203" s="409">
        <f t="shared" si="78"/>
        <v>0</v>
      </c>
      <c r="AI203" s="410"/>
      <c r="AJ203" s="411">
        <f t="shared" si="79"/>
        <v>0</v>
      </c>
      <c r="AK203" s="234"/>
      <c r="AL203" s="234"/>
      <c r="AM203" s="234"/>
    </row>
    <row r="204" spans="1:39" s="284" customFormat="1" ht="20.25">
      <c r="A204" s="564"/>
      <c r="B204" s="565"/>
      <c r="C204" s="565"/>
      <c r="D204" s="566"/>
      <c r="E204" s="541"/>
      <c r="F204" s="542"/>
      <c r="G204" s="542"/>
      <c r="H204" s="543"/>
      <c r="I204" s="543"/>
      <c r="J204" s="542"/>
      <c r="K204" s="579"/>
      <c r="L204" s="580"/>
      <c r="M204" s="581"/>
      <c r="N204" s="543"/>
      <c r="O204" s="543"/>
      <c r="P204" s="543"/>
      <c r="Q204" s="543"/>
      <c r="R204" s="543"/>
      <c r="S204" s="543"/>
      <c r="T204" s="587"/>
      <c r="U204" s="580"/>
      <c r="V204" s="581"/>
      <c r="W204" s="543"/>
      <c r="X204" s="543"/>
      <c r="Y204" s="543"/>
      <c r="Z204" s="543"/>
      <c r="AA204" s="543"/>
      <c r="AB204" s="543"/>
      <c r="AC204" s="592"/>
      <c r="AD204" s="580"/>
      <c r="AE204" s="593">
        <f t="shared" si="77"/>
        <v>0</v>
      </c>
      <c r="AF204" s="594"/>
      <c r="AG204" s="593"/>
      <c r="AH204" s="594">
        <f t="shared" si="78"/>
        <v>0</v>
      </c>
      <c r="AI204" s="605"/>
      <c r="AJ204" s="606">
        <f t="shared" si="79"/>
        <v>0</v>
      </c>
      <c r="AK204" s="234"/>
      <c r="AL204" s="234"/>
      <c r="AM204" s="234"/>
    </row>
    <row r="205" spans="1:39" s="1" customFormat="1" ht="20.25">
      <c r="A205" s="564"/>
      <c r="B205" s="565"/>
      <c r="C205" s="565"/>
      <c r="D205" s="566"/>
      <c r="E205" s="541"/>
      <c r="F205" s="542"/>
      <c r="G205" s="542"/>
      <c r="H205" s="543"/>
      <c r="I205" s="543"/>
      <c r="J205" s="542"/>
      <c r="K205" s="579"/>
      <c r="L205" s="580"/>
      <c r="M205" s="581"/>
      <c r="N205" s="543"/>
      <c r="O205" s="543"/>
      <c r="P205" s="543"/>
      <c r="Q205" s="543"/>
      <c r="R205" s="543"/>
      <c r="S205" s="543"/>
      <c r="T205" s="587"/>
      <c r="U205" s="580"/>
      <c r="V205" s="581"/>
      <c r="W205" s="543"/>
      <c r="X205" s="543"/>
      <c r="Y205" s="543"/>
      <c r="Z205" s="543"/>
      <c r="AA205" s="543"/>
      <c r="AB205" s="543"/>
      <c r="AC205" s="592"/>
      <c r="AD205" s="580"/>
      <c r="AE205" s="593">
        <f t="shared" si="77"/>
        <v>0</v>
      </c>
      <c r="AF205" s="594"/>
      <c r="AG205" s="593"/>
      <c r="AH205" s="594">
        <f t="shared" si="78"/>
        <v>0</v>
      </c>
      <c r="AI205" s="605"/>
      <c r="AJ205" s="606">
        <f t="shared" si="79"/>
        <v>0</v>
      </c>
      <c r="AK205" s="234"/>
      <c r="AL205" s="234"/>
      <c r="AM205" s="234"/>
    </row>
    <row r="206" spans="1:39" ht="20.25">
      <c r="A206" s="316"/>
      <c r="B206" s="570"/>
      <c r="C206" s="570"/>
      <c r="D206" s="571"/>
      <c r="E206" s="319"/>
      <c r="F206" s="320"/>
      <c r="G206" s="320"/>
      <c r="H206" s="321"/>
      <c r="I206" s="321"/>
      <c r="J206" s="320"/>
      <c r="K206" s="351"/>
      <c r="L206" s="352"/>
      <c r="M206" s="353"/>
      <c r="N206" s="321"/>
      <c r="O206" s="321"/>
      <c r="P206" s="321"/>
      <c r="Q206" s="321"/>
      <c r="R206" s="321"/>
      <c r="S206" s="321"/>
      <c r="T206" s="354"/>
      <c r="U206" s="352"/>
      <c r="V206" s="353"/>
      <c r="W206" s="321"/>
      <c r="X206" s="321"/>
      <c r="Y206" s="321"/>
      <c r="Z206" s="321"/>
      <c r="AA206" s="321"/>
      <c r="AB206" s="321"/>
      <c r="AC206" s="380"/>
      <c r="AD206" s="352"/>
      <c r="AE206" s="593">
        <f t="shared" si="77"/>
        <v>0</v>
      </c>
      <c r="AF206" s="409"/>
      <c r="AG206" s="408"/>
      <c r="AH206" s="409">
        <f t="shared" si="78"/>
        <v>0</v>
      </c>
      <c r="AI206" s="410"/>
      <c r="AJ206" s="411">
        <f t="shared" si="79"/>
        <v>0</v>
      </c>
      <c r="AK206" s="234"/>
      <c r="AL206" s="234"/>
      <c r="AM206" s="234"/>
    </row>
    <row r="207" spans="1:39" ht="20.25">
      <c r="A207" s="564"/>
      <c r="B207" s="565"/>
      <c r="C207" s="565"/>
      <c r="D207" s="566"/>
      <c r="E207" s="541"/>
      <c r="F207" s="542"/>
      <c r="G207" s="542"/>
      <c r="H207" s="543"/>
      <c r="I207" s="543"/>
      <c r="J207" s="542"/>
      <c r="K207" s="579"/>
      <c r="L207" s="580"/>
      <c r="M207" s="581"/>
      <c r="N207" s="543"/>
      <c r="O207" s="543"/>
      <c r="P207" s="543"/>
      <c r="Q207" s="543"/>
      <c r="R207" s="543"/>
      <c r="S207" s="543"/>
      <c r="T207" s="587"/>
      <c r="U207" s="580"/>
      <c r="V207" s="581"/>
      <c r="W207" s="543"/>
      <c r="X207" s="543"/>
      <c r="Y207" s="543"/>
      <c r="Z207" s="543"/>
      <c r="AA207" s="543"/>
      <c r="AB207" s="543"/>
      <c r="AC207" s="592"/>
      <c r="AD207" s="580"/>
      <c r="AE207" s="593">
        <f t="shared" ref="AE207:AE226" si="88">SUM(E207:AC207)</f>
        <v>0</v>
      </c>
      <c r="AF207" s="594"/>
      <c r="AG207" s="593"/>
      <c r="AH207" s="594">
        <f t="shared" si="78"/>
        <v>0</v>
      </c>
      <c r="AI207" s="605"/>
      <c r="AJ207" s="606">
        <f t="shared" si="79"/>
        <v>0</v>
      </c>
      <c r="AK207" s="234"/>
      <c r="AL207" s="234"/>
      <c r="AM207" s="234"/>
    </row>
    <row r="208" spans="1:39" ht="20.25">
      <c r="A208" s="564"/>
      <c r="B208" s="565"/>
      <c r="C208" s="565"/>
      <c r="D208" s="566"/>
      <c r="E208" s="541"/>
      <c r="F208" s="542"/>
      <c r="G208" s="542"/>
      <c r="H208" s="543"/>
      <c r="I208" s="543"/>
      <c r="J208" s="542"/>
      <c r="K208" s="579"/>
      <c r="L208" s="580"/>
      <c r="M208" s="581"/>
      <c r="N208" s="543"/>
      <c r="O208" s="543"/>
      <c r="P208" s="543"/>
      <c r="Q208" s="543"/>
      <c r="R208" s="543"/>
      <c r="S208" s="543"/>
      <c r="T208" s="587"/>
      <c r="U208" s="580"/>
      <c r="V208" s="581"/>
      <c r="W208" s="543"/>
      <c r="X208" s="543"/>
      <c r="Y208" s="543"/>
      <c r="Z208" s="543"/>
      <c r="AA208" s="543"/>
      <c r="AB208" s="543"/>
      <c r="AC208" s="592"/>
      <c r="AD208" s="580"/>
      <c r="AE208" s="593">
        <f t="shared" si="88"/>
        <v>0</v>
      </c>
      <c r="AF208" s="594"/>
      <c r="AG208" s="593"/>
      <c r="AH208" s="594">
        <f t="shared" si="78"/>
        <v>0</v>
      </c>
      <c r="AI208" s="605"/>
      <c r="AJ208" s="606">
        <f t="shared" si="79"/>
        <v>0</v>
      </c>
      <c r="AK208" s="234"/>
      <c r="AL208" s="234"/>
      <c r="AM208" s="234"/>
    </row>
    <row r="209" spans="1:39" ht="20.25">
      <c r="A209" s="316"/>
      <c r="B209" s="570"/>
      <c r="C209" s="570"/>
      <c r="D209" s="571"/>
      <c r="E209" s="319"/>
      <c r="F209" s="320"/>
      <c r="G209" s="320"/>
      <c r="H209" s="321"/>
      <c r="I209" s="321"/>
      <c r="J209" s="320"/>
      <c r="K209" s="351"/>
      <c r="L209" s="352"/>
      <c r="M209" s="353"/>
      <c r="N209" s="321"/>
      <c r="O209" s="321"/>
      <c r="P209" s="321"/>
      <c r="Q209" s="321"/>
      <c r="R209" s="321"/>
      <c r="S209" s="321"/>
      <c r="T209" s="354"/>
      <c r="U209" s="352"/>
      <c r="V209" s="353"/>
      <c r="W209" s="321"/>
      <c r="X209" s="321"/>
      <c r="Y209" s="321"/>
      <c r="Z209" s="321"/>
      <c r="AA209" s="321"/>
      <c r="AB209" s="321"/>
      <c r="AC209" s="380"/>
      <c r="AD209" s="352"/>
      <c r="AE209" s="408">
        <f t="shared" si="88"/>
        <v>0</v>
      </c>
      <c r="AF209" s="409"/>
      <c r="AG209" s="408"/>
      <c r="AH209" s="409">
        <f t="shared" si="78"/>
        <v>0</v>
      </c>
      <c r="AI209" s="410"/>
      <c r="AJ209" s="411">
        <f t="shared" si="79"/>
        <v>0</v>
      </c>
      <c r="AK209" s="234"/>
      <c r="AL209" s="234"/>
      <c r="AM209" s="234"/>
    </row>
    <row r="210" spans="1:39" ht="20.25">
      <c r="A210" s="564"/>
      <c r="B210" s="565"/>
      <c r="C210" s="565"/>
      <c r="D210" s="566"/>
      <c r="E210" s="541"/>
      <c r="F210" s="542"/>
      <c r="G210" s="542"/>
      <c r="H210" s="543"/>
      <c r="I210" s="543"/>
      <c r="J210" s="542"/>
      <c r="K210" s="579"/>
      <c r="L210" s="580"/>
      <c r="M210" s="581"/>
      <c r="N210" s="543"/>
      <c r="O210" s="543"/>
      <c r="P210" s="543"/>
      <c r="Q210" s="543"/>
      <c r="R210" s="543"/>
      <c r="S210" s="543"/>
      <c r="T210" s="587"/>
      <c r="U210" s="580"/>
      <c r="V210" s="581"/>
      <c r="W210" s="543"/>
      <c r="X210" s="543"/>
      <c r="Y210" s="543"/>
      <c r="Z210" s="543"/>
      <c r="AA210" s="543"/>
      <c r="AB210" s="543"/>
      <c r="AC210" s="592"/>
      <c r="AD210" s="580"/>
      <c r="AE210" s="593">
        <f t="shared" si="88"/>
        <v>0</v>
      </c>
      <c r="AF210" s="594"/>
      <c r="AG210" s="593"/>
      <c r="AH210" s="594">
        <f t="shared" si="78"/>
        <v>0</v>
      </c>
      <c r="AI210" s="605"/>
      <c r="AJ210" s="606">
        <f t="shared" si="79"/>
        <v>0</v>
      </c>
      <c r="AK210" s="234"/>
      <c r="AL210" s="234"/>
      <c r="AM210" s="234"/>
    </row>
    <row r="211" spans="1:39" ht="20.25">
      <c r="A211" s="564"/>
      <c r="B211" s="565"/>
      <c r="C211" s="565"/>
      <c r="D211" s="566"/>
      <c r="E211" s="541"/>
      <c r="F211" s="542"/>
      <c r="G211" s="542"/>
      <c r="H211" s="543"/>
      <c r="I211" s="543"/>
      <c r="J211" s="542"/>
      <c r="K211" s="579"/>
      <c r="L211" s="580"/>
      <c r="M211" s="581"/>
      <c r="N211" s="543"/>
      <c r="O211" s="543"/>
      <c r="P211" s="543"/>
      <c r="Q211" s="543"/>
      <c r="R211" s="543"/>
      <c r="S211" s="543"/>
      <c r="T211" s="587"/>
      <c r="U211" s="580"/>
      <c r="V211" s="581"/>
      <c r="W211" s="543"/>
      <c r="X211" s="543"/>
      <c r="Y211" s="543"/>
      <c r="Z211" s="543"/>
      <c r="AA211" s="543"/>
      <c r="AB211" s="543"/>
      <c r="AC211" s="592"/>
      <c r="AD211" s="580"/>
      <c r="AE211" s="593">
        <f t="shared" si="88"/>
        <v>0</v>
      </c>
      <c r="AF211" s="594"/>
      <c r="AG211" s="593"/>
      <c r="AH211" s="594">
        <f t="shared" si="78"/>
        <v>0</v>
      </c>
      <c r="AI211" s="605"/>
      <c r="AJ211" s="606">
        <f t="shared" si="79"/>
        <v>0</v>
      </c>
    </row>
    <row r="212" spans="1:39" ht="20.25">
      <c r="A212" s="316"/>
      <c r="B212" s="570"/>
      <c r="C212" s="570"/>
      <c r="D212" s="571"/>
      <c r="E212" s="319"/>
      <c r="F212" s="320"/>
      <c r="G212" s="320"/>
      <c r="H212" s="321"/>
      <c r="I212" s="321"/>
      <c r="J212" s="320"/>
      <c r="K212" s="351"/>
      <c r="L212" s="352"/>
      <c r="M212" s="353"/>
      <c r="N212" s="321"/>
      <c r="O212" s="321"/>
      <c r="P212" s="321"/>
      <c r="Q212" s="321"/>
      <c r="R212" s="321"/>
      <c r="S212" s="321"/>
      <c r="T212" s="354"/>
      <c r="U212" s="352"/>
      <c r="V212" s="353"/>
      <c r="W212" s="321"/>
      <c r="X212" s="321"/>
      <c r="Y212" s="321"/>
      <c r="Z212" s="321"/>
      <c r="AA212" s="321"/>
      <c r="AB212" s="321"/>
      <c r="AC212" s="380"/>
      <c r="AD212" s="352"/>
      <c r="AE212" s="408">
        <f t="shared" si="88"/>
        <v>0</v>
      </c>
      <c r="AF212" s="409"/>
      <c r="AG212" s="408"/>
      <c r="AH212" s="409">
        <f t="shared" si="78"/>
        <v>0</v>
      </c>
      <c r="AI212" s="410"/>
      <c r="AJ212" s="411">
        <f t="shared" si="79"/>
        <v>0</v>
      </c>
    </row>
    <row r="213" spans="1:39" ht="20.25">
      <c r="A213" s="564"/>
      <c r="B213" s="565"/>
      <c r="C213" s="565"/>
      <c r="D213" s="566"/>
      <c r="E213" s="541"/>
      <c r="F213" s="542"/>
      <c r="G213" s="542"/>
      <c r="H213" s="543"/>
      <c r="I213" s="543"/>
      <c r="J213" s="542"/>
      <c r="K213" s="579"/>
      <c r="L213" s="580"/>
      <c r="M213" s="581"/>
      <c r="N213" s="543"/>
      <c r="O213" s="543"/>
      <c r="P213" s="543"/>
      <c r="Q213" s="543"/>
      <c r="R213" s="543"/>
      <c r="S213" s="543"/>
      <c r="T213" s="587"/>
      <c r="U213" s="580"/>
      <c r="V213" s="581"/>
      <c r="W213" s="543"/>
      <c r="X213" s="543"/>
      <c r="Y213" s="543"/>
      <c r="Z213" s="543"/>
      <c r="AA213" s="543"/>
      <c r="AB213" s="543"/>
      <c r="AC213" s="592"/>
      <c r="AD213" s="580"/>
      <c r="AE213" s="593">
        <f t="shared" si="88"/>
        <v>0</v>
      </c>
      <c r="AF213" s="594"/>
      <c r="AG213" s="593"/>
      <c r="AH213" s="594">
        <f t="shared" si="78"/>
        <v>0</v>
      </c>
      <c r="AI213" s="605"/>
      <c r="AJ213" s="606">
        <f t="shared" si="79"/>
        <v>0</v>
      </c>
      <c r="AK213" s="403"/>
      <c r="AL213" s="403"/>
      <c r="AM213" s="403"/>
    </row>
    <row r="214" spans="1:39" ht="20.25">
      <c r="A214" s="316"/>
      <c r="B214" s="570"/>
      <c r="C214" s="570"/>
      <c r="D214" s="571"/>
      <c r="E214" s="319"/>
      <c r="F214" s="320"/>
      <c r="G214" s="320"/>
      <c r="H214" s="321"/>
      <c r="I214" s="321"/>
      <c r="J214" s="320"/>
      <c r="K214" s="351"/>
      <c r="L214" s="352"/>
      <c r="M214" s="353"/>
      <c r="N214" s="321"/>
      <c r="O214" s="321"/>
      <c r="P214" s="321"/>
      <c r="Q214" s="321"/>
      <c r="R214" s="321"/>
      <c r="S214" s="321"/>
      <c r="T214" s="354"/>
      <c r="U214" s="352"/>
      <c r="V214" s="353"/>
      <c r="W214" s="321"/>
      <c r="X214" s="321"/>
      <c r="Y214" s="321"/>
      <c r="Z214" s="321"/>
      <c r="AA214" s="321"/>
      <c r="AB214" s="321"/>
      <c r="AC214" s="380"/>
      <c r="AD214" s="352"/>
      <c r="AE214" s="408">
        <f t="shared" si="88"/>
        <v>0</v>
      </c>
      <c r="AF214" s="409"/>
      <c r="AG214" s="408"/>
      <c r="AH214" s="409">
        <f t="shared" si="78"/>
        <v>0</v>
      </c>
      <c r="AI214" s="410"/>
      <c r="AJ214" s="411">
        <f t="shared" si="79"/>
        <v>0</v>
      </c>
      <c r="AK214" s="282"/>
      <c r="AL214" s="282"/>
      <c r="AM214" s="282"/>
    </row>
    <row r="215" spans="1:39" ht="20.25">
      <c r="A215" s="564"/>
      <c r="B215" s="565"/>
      <c r="C215" s="565"/>
      <c r="D215" s="566"/>
      <c r="E215" s="541"/>
      <c r="F215" s="542"/>
      <c r="G215" s="542"/>
      <c r="H215" s="543"/>
      <c r="I215" s="543"/>
      <c r="J215" s="542"/>
      <c r="K215" s="579"/>
      <c r="L215" s="580"/>
      <c r="M215" s="581"/>
      <c r="N215" s="543"/>
      <c r="O215" s="543"/>
      <c r="P215" s="543"/>
      <c r="Q215" s="543"/>
      <c r="R215" s="543"/>
      <c r="S215" s="543"/>
      <c r="T215" s="587"/>
      <c r="U215" s="580"/>
      <c r="V215" s="581"/>
      <c r="W215" s="543"/>
      <c r="X215" s="543"/>
      <c r="Y215" s="543"/>
      <c r="Z215" s="543"/>
      <c r="AA215" s="543"/>
      <c r="AB215" s="543"/>
      <c r="AC215" s="592"/>
      <c r="AD215" s="580"/>
      <c r="AE215" s="593">
        <f t="shared" si="88"/>
        <v>0</v>
      </c>
      <c r="AF215" s="594"/>
      <c r="AG215" s="593"/>
      <c r="AH215" s="594">
        <f t="shared" si="78"/>
        <v>0</v>
      </c>
      <c r="AI215" s="605"/>
      <c r="AJ215" s="606">
        <f t="shared" si="79"/>
        <v>0</v>
      </c>
      <c r="AK215" s="283"/>
      <c r="AL215" s="283"/>
      <c r="AM215" s="283"/>
    </row>
    <row r="216" spans="1:39" ht="20.25">
      <c r="A216" s="316"/>
      <c r="B216" s="570"/>
      <c r="C216" s="570"/>
      <c r="D216" s="571"/>
      <c r="E216" s="319"/>
      <c r="F216" s="320"/>
      <c r="G216" s="320"/>
      <c r="H216" s="321"/>
      <c r="I216" s="321"/>
      <c r="J216" s="320"/>
      <c r="K216" s="351"/>
      <c r="L216" s="352"/>
      <c r="M216" s="353"/>
      <c r="N216" s="321"/>
      <c r="O216" s="321"/>
      <c r="P216" s="321"/>
      <c r="Q216" s="321"/>
      <c r="R216" s="321"/>
      <c r="S216" s="321"/>
      <c r="T216" s="354"/>
      <c r="U216" s="352"/>
      <c r="V216" s="353"/>
      <c r="W216" s="321"/>
      <c r="X216" s="321"/>
      <c r="Y216" s="321"/>
      <c r="Z216" s="321"/>
      <c r="AA216" s="321"/>
      <c r="AB216" s="321"/>
      <c r="AC216" s="380"/>
      <c r="AD216" s="352"/>
      <c r="AE216" s="408">
        <f t="shared" si="88"/>
        <v>0</v>
      </c>
      <c r="AF216" s="409"/>
      <c r="AG216" s="408"/>
      <c r="AH216" s="409">
        <f t="shared" si="78"/>
        <v>0</v>
      </c>
      <c r="AI216" s="410"/>
      <c r="AJ216" s="411">
        <f t="shared" si="79"/>
        <v>0</v>
      </c>
      <c r="AK216" s="283"/>
      <c r="AL216" s="283"/>
      <c r="AM216" s="283"/>
    </row>
    <row r="217" spans="1:39" ht="20.25">
      <c r="A217" s="316"/>
      <c r="B217" s="570"/>
      <c r="C217" s="570"/>
      <c r="D217" s="571"/>
      <c r="E217" s="319"/>
      <c r="F217" s="320"/>
      <c r="G217" s="320"/>
      <c r="H217" s="321"/>
      <c r="I217" s="321"/>
      <c r="J217" s="320"/>
      <c r="K217" s="351"/>
      <c r="L217" s="352"/>
      <c r="M217" s="353"/>
      <c r="N217" s="321"/>
      <c r="O217" s="321"/>
      <c r="P217" s="321"/>
      <c r="Q217" s="321"/>
      <c r="R217" s="321"/>
      <c r="S217" s="321"/>
      <c r="T217" s="354"/>
      <c r="U217" s="352"/>
      <c r="V217" s="353"/>
      <c r="W217" s="321"/>
      <c r="X217" s="321"/>
      <c r="Y217" s="321"/>
      <c r="Z217" s="321"/>
      <c r="AA217" s="321"/>
      <c r="AB217" s="321"/>
      <c r="AC217" s="380"/>
      <c r="AD217" s="352"/>
      <c r="AE217" s="408">
        <f t="shared" si="88"/>
        <v>0</v>
      </c>
      <c r="AF217" s="409"/>
      <c r="AG217" s="408"/>
      <c r="AH217" s="409">
        <f t="shared" si="78"/>
        <v>0</v>
      </c>
      <c r="AI217" s="410"/>
      <c r="AJ217" s="411">
        <f t="shared" si="79"/>
        <v>0</v>
      </c>
      <c r="AK217" s="283"/>
      <c r="AL217" s="283"/>
      <c r="AM217" s="283"/>
    </row>
    <row r="218" spans="1:39" ht="20.25">
      <c r="A218" s="316"/>
      <c r="B218" s="570"/>
      <c r="C218" s="570"/>
      <c r="D218" s="571"/>
      <c r="E218" s="319"/>
      <c r="F218" s="320"/>
      <c r="G218" s="320"/>
      <c r="H218" s="321"/>
      <c r="I218" s="321"/>
      <c r="J218" s="320"/>
      <c r="K218" s="351"/>
      <c r="L218" s="352"/>
      <c r="M218" s="353"/>
      <c r="N218" s="321"/>
      <c r="O218" s="321"/>
      <c r="P218" s="321"/>
      <c r="Q218" s="321"/>
      <c r="R218" s="321"/>
      <c r="S218" s="321"/>
      <c r="T218" s="354"/>
      <c r="U218" s="352"/>
      <c r="V218" s="353"/>
      <c r="W218" s="321"/>
      <c r="X218" s="321"/>
      <c r="Y218" s="321"/>
      <c r="Z218" s="321"/>
      <c r="AA218" s="321"/>
      <c r="AB218" s="321"/>
      <c r="AC218" s="380"/>
      <c r="AD218" s="352"/>
      <c r="AE218" s="408">
        <f t="shared" si="88"/>
        <v>0</v>
      </c>
      <c r="AF218" s="409"/>
      <c r="AG218" s="408"/>
      <c r="AH218" s="409">
        <f t="shared" si="78"/>
        <v>0</v>
      </c>
      <c r="AI218" s="410"/>
      <c r="AJ218" s="411">
        <f t="shared" si="79"/>
        <v>0</v>
      </c>
      <c r="AK218" s="403"/>
      <c r="AL218" s="403"/>
      <c r="AM218" s="403"/>
    </row>
    <row r="219" spans="1:39" ht="20.25">
      <c r="A219" s="316"/>
      <c r="B219" s="570"/>
      <c r="C219" s="570"/>
      <c r="D219" s="571"/>
      <c r="E219" s="319"/>
      <c r="F219" s="320"/>
      <c r="G219" s="320"/>
      <c r="H219" s="321"/>
      <c r="I219" s="321"/>
      <c r="J219" s="320"/>
      <c r="K219" s="351"/>
      <c r="L219" s="352"/>
      <c r="M219" s="353"/>
      <c r="N219" s="321"/>
      <c r="O219" s="321"/>
      <c r="P219" s="321"/>
      <c r="Q219" s="321"/>
      <c r="R219" s="321"/>
      <c r="S219" s="321"/>
      <c r="T219" s="354"/>
      <c r="U219" s="352"/>
      <c r="V219" s="353"/>
      <c r="W219" s="321"/>
      <c r="X219" s="321"/>
      <c r="Y219" s="321"/>
      <c r="Z219" s="321"/>
      <c r="AA219" s="321"/>
      <c r="AB219" s="321"/>
      <c r="AC219" s="380"/>
      <c r="AD219" s="352"/>
      <c r="AE219" s="408">
        <f t="shared" si="88"/>
        <v>0</v>
      </c>
      <c r="AF219" s="409"/>
      <c r="AG219" s="408"/>
      <c r="AH219" s="409">
        <f t="shared" si="78"/>
        <v>0</v>
      </c>
      <c r="AI219" s="410"/>
      <c r="AJ219" s="411">
        <f t="shared" si="79"/>
        <v>0</v>
      </c>
      <c r="AK219" s="1"/>
      <c r="AL219" s="1"/>
      <c r="AM219" s="1"/>
    </row>
    <row r="220" spans="1:39" ht="20.25">
      <c r="A220" s="316"/>
      <c r="B220" s="570"/>
      <c r="C220" s="570"/>
      <c r="D220" s="571"/>
      <c r="E220" s="319"/>
      <c r="F220" s="320"/>
      <c r="G220" s="320"/>
      <c r="H220" s="321"/>
      <c r="I220" s="321"/>
      <c r="J220" s="320"/>
      <c r="K220" s="351"/>
      <c r="L220" s="352"/>
      <c r="M220" s="353"/>
      <c r="N220" s="321"/>
      <c r="O220" s="321"/>
      <c r="P220" s="321"/>
      <c r="Q220" s="321"/>
      <c r="R220" s="321"/>
      <c r="S220" s="321"/>
      <c r="T220" s="354"/>
      <c r="U220" s="352"/>
      <c r="V220" s="353"/>
      <c r="W220" s="321"/>
      <c r="X220" s="321"/>
      <c r="Y220" s="321"/>
      <c r="Z220" s="321"/>
      <c r="AA220" s="321"/>
      <c r="AB220" s="321"/>
      <c r="AC220" s="380"/>
      <c r="AD220" s="352"/>
      <c r="AE220" s="408">
        <f t="shared" si="88"/>
        <v>0</v>
      </c>
      <c r="AF220" s="409"/>
      <c r="AG220" s="408"/>
      <c r="AH220" s="409">
        <f t="shared" si="78"/>
        <v>0</v>
      </c>
      <c r="AI220" s="410"/>
      <c r="AJ220" s="411">
        <f t="shared" si="79"/>
        <v>0</v>
      </c>
    </row>
    <row r="221" spans="1:39" ht="20.25">
      <c r="A221" s="316"/>
      <c r="B221" s="570"/>
      <c r="C221" s="570"/>
      <c r="D221" s="571"/>
      <c r="E221" s="319"/>
      <c r="F221" s="320"/>
      <c r="G221" s="320"/>
      <c r="H221" s="321"/>
      <c r="I221" s="321"/>
      <c r="J221" s="320"/>
      <c r="K221" s="351"/>
      <c r="L221" s="352"/>
      <c r="M221" s="353"/>
      <c r="N221" s="321"/>
      <c r="O221" s="321"/>
      <c r="P221" s="321"/>
      <c r="Q221" s="321"/>
      <c r="R221" s="321"/>
      <c r="S221" s="321"/>
      <c r="T221" s="354"/>
      <c r="U221" s="352"/>
      <c r="V221" s="353"/>
      <c r="W221" s="321"/>
      <c r="X221" s="321"/>
      <c r="Y221" s="321"/>
      <c r="Z221" s="321"/>
      <c r="AA221" s="321"/>
      <c r="AB221" s="321"/>
      <c r="AC221" s="380"/>
      <c r="AD221" s="352"/>
      <c r="AE221" s="408">
        <f t="shared" si="88"/>
        <v>0</v>
      </c>
      <c r="AF221" s="409"/>
      <c r="AG221" s="408"/>
      <c r="AH221" s="409">
        <f t="shared" si="78"/>
        <v>0</v>
      </c>
      <c r="AI221" s="410"/>
      <c r="AJ221" s="411">
        <f t="shared" si="79"/>
        <v>0</v>
      </c>
    </row>
    <row r="222" spans="1:39" ht="20.25">
      <c r="A222" s="316"/>
      <c r="B222" s="570"/>
      <c r="C222" s="570"/>
      <c r="D222" s="571"/>
      <c r="E222" s="319"/>
      <c r="F222" s="320"/>
      <c r="G222" s="320"/>
      <c r="H222" s="321"/>
      <c r="I222" s="321"/>
      <c r="J222" s="320"/>
      <c r="K222" s="351"/>
      <c r="L222" s="352"/>
      <c r="M222" s="353"/>
      <c r="N222" s="321"/>
      <c r="O222" s="321"/>
      <c r="P222" s="321"/>
      <c r="Q222" s="321"/>
      <c r="R222" s="321"/>
      <c r="S222" s="321"/>
      <c r="T222" s="354"/>
      <c r="U222" s="352"/>
      <c r="V222" s="353"/>
      <c r="W222" s="321"/>
      <c r="X222" s="321"/>
      <c r="Y222" s="321"/>
      <c r="Z222" s="321"/>
      <c r="AA222" s="321"/>
      <c r="AB222" s="321"/>
      <c r="AC222" s="380"/>
      <c r="AD222" s="352"/>
      <c r="AE222" s="408">
        <f t="shared" si="88"/>
        <v>0</v>
      </c>
      <c r="AF222" s="409"/>
      <c r="AG222" s="408"/>
      <c r="AH222" s="409">
        <f t="shared" si="78"/>
        <v>0</v>
      </c>
      <c r="AI222" s="410"/>
      <c r="AJ222" s="411">
        <f t="shared" si="79"/>
        <v>0</v>
      </c>
    </row>
    <row r="223" spans="1:39" ht="20.25">
      <c r="A223" s="316"/>
      <c r="B223" s="570"/>
      <c r="C223" s="570"/>
      <c r="D223" s="571"/>
      <c r="E223" s="319"/>
      <c r="F223" s="320"/>
      <c r="G223" s="320"/>
      <c r="H223" s="321"/>
      <c r="I223" s="321"/>
      <c r="J223" s="320"/>
      <c r="K223" s="351"/>
      <c r="L223" s="352"/>
      <c r="M223" s="353"/>
      <c r="N223" s="321"/>
      <c r="O223" s="321"/>
      <c r="P223" s="321"/>
      <c r="Q223" s="321"/>
      <c r="R223" s="321"/>
      <c r="S223" s="321"/>
      <c r="T223" s="354"/>
      <c r="U223" s="352"/>
      <c r="V223" s="353"/>
      <c r="W223" s="321"/>
      <c r="X223" s="321"/>
      <c r="Y223" s="321"/>
      <c r="Z223" s="321"/>
      <c r="AA223" s="321"/>
      <c r="AB223" s="321"/>
      <c r="AC223" s="380"/>
      <c r="AD223" s="352"/>
      <c r="AE223" s="408">
        <f t="shared" si="88"/>
        <v>0</v>
      </c>
      <c r="AF223" s="409"/>
      <c r="AG223" s="408"/>
      <c r="AH223" s="409">
        <f t="shared" si="78"/>
        <v>0</v>
      </c>
      <c r="AI223" s="410"/>
      <c r="AJ223" s="411">
        <f t="shared" si="79"/>
        <v>0</v>
      </c>
      <c r="AK223" s="1"/>
    </row>
    <row r="224" spans="1:39" ht="20.25">
      <c r="A224" s="608"/>
      <c r="B224" s="609"/>
      <c r="C224" s="609"/>
      <c r="D224" s="610"/>
      <c r="E224" s="611"/>
      <c r="F224" s="612"/>
      <c r="G224" s="612"/>
      <c r="H224" s="613"/>
      <c r="I224" s="613"/>
      <c r="J224" s="612"/>
      <c r="K224" s="653"/>
      <c r="L224" s="654"/>
      <c r="M224" s="655"/>
      <c r="N224" s="613"/>
      <c r="O224" s="613"/>
      <c r="P224" s="613"/>
      <c r="Q224" s="613"/>
      <c r="R224" s="613"/>
      <c r="S224" s="613"/>
      <c r="T224" s="670"/>
      <c r="U224" s="654"/>
      <c r="V224" s="655"/>
      <c r="W224" s="613"/>
      <c r="X224" s="613"/>
      <c r="Y224" s="613"/>
      <c r="Z224" s="613"/>
      <c r="AA224" s="613"/>
      <c r="AB224" s="613"/>
      <c r="AC224" s="678"/>
      <c r="AD224" s="654"/>
      <c r="AE224" s="679">
        <f t="shared" si="88"/>
        <v>0</v>
      </c>
      <c r="AF224" s="680"/>
      <c r="AG224" s="679"/>
      <c r="AH224" s="680">
        <f t="shared" si="78"/>
        <v>0</v>
      </c>
      <c r="AI224" s="697"/>
      <c r="AJ224" s="698">
        <f t="shared" si="79"/>
        <v>0</v>
      </c>
    </row>
    <row r="225" spans="1:36" ht="20.25">
      <c r="A225" s="614"/>
      <c r="B225" s="615"/>
      <c r="C225" s="615"/>
      <c r="D225" s="616"/>
      <c r="E225" s="617"/>
      <c r="F225" s="618"/>
      <c r="G225" s="618"/>
      <c r="H225" s="619"/>
      <c r="I225" s="619"/>
      <c r="J225" s="618"/>
      <c r="K225" s="656"/>
      <c r="L225" s="657"/>
      <c r="M225" s="658"/>
      <c r="N225" s="619"/>
      <c r="O225" s="619"/>
      <c r="P225" s="619"/>
      <c r="Q225" s="619"/>
      <c r="R225" s="619"/>
      <c r="S225" s="619"/>
      <c r="T225" s="671"/>
      <c r="U225" s="657"/>
      <c r="V225" s="658"/>
      <c r="W225" s="619"/>
      <c r="X225" s="619"/>
      <c r="Y225" s="619"/>
      <c r="Z225" s="619"/>
      <c r="AA225" s="619"/>
      <c r="AB225" s="619"/>
      <c r="AC225" s="681"/>
      <c r="AD225" s="657"/>
      <c r="AE225" s="682">
        <f t="shared" si="88"/>
        <v>0</v>
      </c>
      <c r="AF225" s="683"/>
      <c r="AG225" s="682"/>
      <c r="AH225" s="683">
        <f t="shared" si="78"/>
        <v>0</v>
      </c>
      <c r="AI225" s="699"/>
      <c r="AJ225" s="700">
        <f t="shared" si="79"/>
        <v>0</v>
      </c>
    </row>
    <row r="226" spans="1:36" ht="21" thickBot="1">
      <c r="A226" s="620"/>
      <c r="B226" s="621"/>
      <c r="C226" s="621"/>
      <c r="D226" s="622"/>
      <c r="E226" s="623"/>
      <c r="F226" s="624"/>
      <c r="G226" s="624"/>
      <c r="H226" s="625"/>
      <c r="I226" s="625"/>
      <c r="J226" s="624"/>
      <c r="K226" s="659"/>
      <c r="L226" s="660"/>
      <c r="M226" s="661"/>
      <c r="N226" s="625"/>
      <c r="O226" s="625"/>
      <c r="P226" s="625"/>
      <c r="Q226" s="625"/>
      <c r="R226" s="625"/>
      <c r="S226" s="625"/>
      <c r="T226" s="672"/>
      <c r="U226" s="660"/>
      <c r="V226" s="661"/>
      <c r="W226" s="625"/>
      <c r="X226" s="625"/>
      <c r="Y226" s="625"/>
      <c r="Z226" s="625"/>
      <c r="AA226" s="625"/>
      <c r="AB226" s="625"/>
      <c r="AC226" s="684"/>
      <c r="AD226" s="660"/>
      <c r="AE226" s="685">
        <f t="shared" si="88"/>
        <v>0</v>
      </c>
      <c r="AF226" s="686"/>
      <c r="AG226" s="685"/>
      <c r="AH226" s="686">
        <f t="shared" si="78"/>
        <v>0</v>
      </c>
      <c r="AI226" s="701"/>
      <c r="AJ226" s="702">
        <f t="shared" si="79"/>
        <v>0</v>
      </c>
    </row>
    <row r="227" spans="1:36" ht="21" thickBot="1">
      <c r="A227" s="626" t="s">
        <v>151</v>
      </c>
      <c r="B227" s="627"/>
      <c r="C227" s="627"/>
      <c r="D227" s="628"/>
      <c r="E227" s="533">
        <f t="shared" ref="E227:K227" si="89">SUM(E164:E226)</f>
        <v>0</v>
      </c>
      <c r="F227" s="533">
        <f t="shared" si="89"/>
        <v>0</v>
      </c>
      <c r="G227" s="533">
        <f t="shared" si="89"/>
        <v>0</v>
      </c>
      <c r="H227" s="533">
        <f t="shared" si="89"/>
        <v>0</v>
      </c>
      <c r="I227" s="533">
        <f t="shared" si="89"/>
        <v>0</v>
      </c>
      <c r="J227" s="533">
        <f t="shared" si="89"/>
        <v>0</v>
      </c>
      <c r="K227" s="533">
        <f t="shared" si="89"/>
        <v>0</v>
      </c>
      <c r="L227" s="575"/>
      <c r="M227" s="533">
        <f t="shared" ref="M227:T227" si="90">SUM(M164:M226)</f>
        <v>0</v>
      </c>
      <c r="N227" s="533">
        <f t="shared" si="90"/>
        <v>100</v>
      </c>
      <c r="O227" s="533">
        <f t="shared" si="90"/>
        <v>0</v>
      </c>
      <c r="P227" s="533">
        <f t="shared" si="90"/>
        <v>0</v>
      </c>
      <c r="Q227" s="533">
        <f t="shared" si="90"/>
        <v>0</v>
      </c>
      <c r="R227" s="533">
        <f t="shared" si="90"/>
        <v>0</v>
      </c>
      <c r="S227" s="533">
        <f t="shared" si="90"/>
        <v>0</v>
      </c>
      <c r="T227" s="533">
        <f t="shared" si="90"/>
        <v>0</v>
      </c>
      <c r="U227" s="575"/>
      <c r="V227" s="533">
        <f t="shared" ref="V227:AC227" si="91">SUM(V164:V226)</f>
        <v>0</v>
      </c>
      <c r="W227" s="533">
        <f t="shared" si="91"/>
        <v>1340</v>
      </c>
      <c r="X227" s="533">
        <f t="shared" si="91"/>
        <v>0</v>
      </c>
      <c r="Y227" s="533">
        <f t="shared" si="91"/>
        <v>0</v>
      </c>
      <c r="Z227" s="533">
        <f t="shared" si="91"/>
        <v>0</v>
      </c>
      <c r="AA227" s="533">
        <f t="shared" si="91"/>
        <v>0</v>
      </c>
      <c r="AB227" s="533">
        <f t="shared" si="91"/>
        <v>0</v>
      </c>
      <c r="AC227" s="533">
        <f t="shared" si="91"/>
        <v>0</v>
      </c>
      <c r="AD227" s="575"/>
      <c r="AE227" s="687">
        <f t="shared" ref="AE227:AJ227" si="92">SUM(AE164:AE226)</f>
        <v>1440</v>
      </c>
      <c r="AF227" s="687">
        <f t="shared" si="92"/>
        <v>0</v>
      </c>
      <c r="AG227" s="687">
        <f t="shared" si="92"/>
        <v>0</v>
      </c>
      <c r="AH227" s="687">
        <f t="shared" si="92"/>
        <v>1440</v>
      </c>
      <c r="AI227" s="687">
        <f t="shared" si="92"/>
        <v>0</v>
      </c>
      <c r="AJ227" s="687">
        <f t="shared" si="92"/>
        <v>1440</v>
      </c>
    </row>
    <row r="228" spans="1:36" ht="21" thickBot="1">
      <c r="A228" s="530" t="s">
        <v>152</v>
      </c>
      <c r="B228" s="531"/>
      <c r="C228" s="531"/>
      <c r="D228" s="630"/>
      <c r="E228" s="533">
        <f>E227/20</f>
        <v>0</v>
      </c>
      <c r="F228" s="534">
        <f>F227/20</f>
        <v>0</v>
      </c>
      <c r="G228" s="534">
        <f>G227/20</f>
        <v>0</v>
      </c>
      <c r="H228" s="534">
        <f t="shared" ref="H228:K228" si="93">H227/20</f>
        <v>0</v>
      </c>
      <c r="I228" s="534">
        <f t="shared" si="93"/>
        <v>0</v>
      </c>
      <c r="J228" s="534">
        <f t="shared" si="93"/>
        <v>0</v>
      </c>
      <c r="K228" s="586">
        <f t="shared" si="93"/>
        <v>0</v>
      </c>
      <c r="L228" s="575"/>
      <c r="M228" s="576">
        <f>M227/20</f>
        <v>0</v>
      </c>
      <c r="N228" s="577">
        <f t="shared" ref="N228:T228" si="94">N227/20</f>
        <v>5</v>
      </c>
      <c r="O228" s="577">
        <f t="shared" si="94"/>
        <v>0</v>
      </c>
      <c r="P228" s="577">
        <f t="shared" si="94"/>
        <v>0</v>
      </c>
      <c r="Q228" s="577">
        <f t="shared" si="94"/>
        <v>0</v>
      </c>
      <c r="R228" s="577">
        <f t="shared" si="94"/>
        <v>0</v>
      </c>
      <c r="S228" s="577">
        <f t="shared" si="94"/>
        <v>0</v>
      </c>
      <c r="T228" s="586">
        <f t="shared" si="94"/>
        <v>0</v>
      </c>
      <c r="U228" s="575"/>
      <c r="V228" s="576">
        <f>V227/20</f>
        <v>0</v>
      </c>
      <c r="W228" s="577">
        <f t="shared" ref="W228:AC228" si="95">W227/20</f>
        <v>67</v>
      </c>
      <c r="X228" s="577">
        <f t="shared" si="95"/>
        <v>0</v>
      </c>
      <c r="Y228" s="577">
        <f t="shared" si="95"/>
        <v>0</v>
      </c>
      <c r="Z228" s="577">
        <f t="shared" si="95"/>
        <v>0</v>
      </c>
      <c r="AA228" s="577">
        <f t="shared" si="95"/>
        <v>0</v>
      </c>
      <c r="AB228" s="577">
        <f t="shared" si="95"/>
        <v>0</v>
      </c>
      <c r="AC228" s="586">
        <f t="shared" si="95"/>
        <v>0</v>
      </c>
      <c r="AD228" s="575"/>
      <c r="AE228" s="668">
        <f>SUM(E228:AC228)</f>
        <v>72</v>
      </c>
      <c r="AF228" s="687">
        <f>AF227/20</f>
        <v>0</v>
      </c>
      <c r="AG228" s="687">
        <f>AG227/20</f>
        <v>0</v>
      </c>
      <c r="AH228" s="575">
        <f t="shared" ref="AH228:AJ228" si="96">AH227/20</f>
        <v>72</v>
      </c>
      <c r="AI228" s="687">
        <f t="shared" si="96"/>
        <v>0</v>
      </c>
      <c r="AJ228" s="662">
        <f t="shared" si="96"/>
        <v>72</v>
      </c>
    </row>
    <row r="229" spans="1:36" ht="19.5" thickBot="1">
      <c r="A229" s="306"/>
      <c r="B229" s="307"/>
      <c r="C229" s="307"/>
      <c r="D229" s="308"/>
      <c r="E229" s="309"/>
      <c r="F229" s="309"/>
      <c r="G229" s="309"/>
      <c r="H229" s="309"/>
      <c r="I229" s="309"/>
      <c r="J229" s="309"/>
      <c r="K229" s="309"/>
      <c r="L229" s="346"/>
      <c r="M229" s="347"/>
      <c r="N229" s="347"/>
      <c r="O229" s="347"/>
      <c r="P229" s="347"/>
      <c r="Q229" s="347"/>
      <c r="R229" s="347"/>
      <c r="S229" s="347"/>
      <c r="T229" s="347"/>
      <c r="U229" s="346"/>
      <c r="V229" s="347"/>
      <c r="W229" s="347"/>
      <c r="X229" s="347"/>
      <c r="Y229" s="347"/>
      <c r="Z229" s="347"/>
      <c r="AA229" s="347"/>
      <c r="AB229" s="347"/>
      <c r="AC229" s="347"/>
      <c r="AD229" s="346"/>
      <c r="AE229" s="347"/>
      <c r="AF229" s="347"/>
      <c r="AG229" s="347"/>
      <c r="AH229" s="347"/>
      <c r="AI229" s="347"/>
      <c r="AJ229" s="402"/>
    </row>
    <row r="230" spans="1:36" ht="16.5" thickBot="1">
      <c r="A230" s="3881" t="s">
        <v>183</v>
      </c>
      <c r="B230" s="3882"/>
      <c r="C230" s="3883"/>
      <c r="D230" s="288" t="s">
        <v>70</v>
      </c>
      <c r="E230" s="80" t="s">
        <v>87</v>
      </c>
      <c r="F230" s="49" t="s">
        <v>85</v>
      </c>
      <c r="G230" s="49" t="s">
        <v>86</v>
      </c>
      <c r="H230" s="49" t="s">
        <v>92</v>
      </c>
      <c r="I230" s="49" t="s">
        <v>213</v>
      </c>
      <c r="J230" s="49"/>
      <c r="K230" s="126" t="s">
        <v>96</v>
      </c>
      <c r="L230" s="79"/>
      <c r="M230" s="80" t="s">
        <v>214</v>
      </c>
      <c r="N230" s="49" t="s">
        <v>53</v>
      </c>
      <c r="O230" s="49" t="s">
        <v>94</v>
      </c>
      <c r="P230" s="49" t="s">
        <v>76</v>
      </c>
      <c r="Q230" s="49" t="s">
        <v>95</v>
      </c>
      <c r="R230" s="49" t="s">
        <v>81</v>
      </c>
      <c r="S230" s="126" t="s">
        <v>136</v>
      </c>
      <c r="T230" s="171" t="s">
        <v>222</v>
      </c>
      <c r="U230" s="79"/>
      <c r="V230" s="100" t="s">
        <v>101</v>
      </c>
      <c r="W230" s="101" t="s">
        <v>53</v>
      </c>
      <c r="X230" s="102" t="s">
        <v>215</v>
      </c>
      <c r="Y230" s="747" t="s">
        <v>94</v>
      </c>
      <c r="Z230" s="102"/>
      <c r="AA230" s="102" t="s">
        <v>96</v>
      </c>
      <c r="AB230" s="799" t="s">
        <v>86</v>
      </c>
      <c r="AC230" s="844"/>
      <c r="AD230" s="79"/>
      <c r="AE230" s="371" t="s">
        <v>172</v>
      </c>
      <c r="AF230" s="372" t="s">
        <v>80</v>
      </c>
      <c r="AG230" s="385"/>
      <c r="AH230" s="386" t="s">
        <v>106</v>
      </c>
      <c r="AI230" s="385" t="s">
        <v>173</v>
      </c>
      <c r="AJ230" s="371" t="s">
        <v>108</v>
      </c>
    </row>
    <row r="231" spans="1:36" ht="20.25">
      <c r="A231" s="631" t="s">
        <v>184</v>
      </c>
      <c r="B231" s="443"/>
      <c r="C231" s="443"/>
      <c r="D231" s="444"/>
      <c r="E231" s="433"/>
      <c r="F231" s="434"/>
      <c r="G231" s="434"/>
      <c r="H231" s="435"/>
      <c r="I231" s="435"/>
      <c r="J231" s="434"/>
      <c r="K231" s="480"/>
      <c r="L231" s="483"/>
      <c r="M231" s="484"/>
      <c r="N231" s="435"/>
      <c r="O231" s="435"/>
      <c r="P231" s="435"/>
      <c r="Q231" s="435"/>
      <c r="R231" s="435"/>
      <c r="S231" s="435"/>
      <c r="T231" s="492"/>
      <c r="U231" s="483"/>
      <c r="V231" s="433"/>
      <c r="W231" s="434"/>
      <c r="X231" s="434"/>
      <c r="Y231" s="435"/>
      <c r="Z231" s="435"/>
      <c r="AA231" s="435"/>
      <c r="AB231" s="434"/>
      <c r="AC231" s="495"/>
      <c r="AD231" s="483"/>
      <c r="AE231" s="496">
        <f t="shared" ref="AE231:AE232" si="97">SUM(E231:AC231)</f>
        <v>0</v>
      </c>
      <c r="AF231" s="497"/>
      <c r="AG231" s="510"/>
      <c r="AH231" s="511">
        <f t="shared" ref="AH231:AH232" si="98">AE231+AF231</f>
        <v>0</v>
      </c>
      <c r="AI231" s="512"/>
      <c r="AJ231" s="703">
        <f>AH231+AI231</f>
        <v>0</v>
      </c>
    </row>
    <row r="232" spans="1:36" ht="21" thickBot="1">
      <c r="A232" s="322"/>
      <c r="B232" s="323"/>
      <c r="C232" s="323"/>
      <c r="D232" s="324"/>
      <c r="E232" s="325"/>
      <c r="F232" s="297"/>
      <c r="G232" s="297"/>
      <c r="H232" s="298"/>
      <c r="I232" s="298"/>
      <c r="J232" s="297"/>
      <c r="K232" s="344"/>
      <c r="L232" s="355"/>
      <c r="M232" s="343"/>
      <c r="N232" s="298"/>
      <c r="O232" s="298"/>
      <c r="P232" s="298"/>
      <c r="Q232" s="298"/>
      <c r="R232" s="298"/>
      <c r="S232" s="298"/>
      <c r="T232" s="367"/>
      <c r="U232" s="355"/>
      <c r="V232" s="325"/>
      <c r="W232" s="297"/>
      <c r="X232" s="297"/>
      <c r="Y232" s="298"/>
      <c r="Z232" s="298"/>
      <c r="AA232" s="298"/>
      <c r="AB232" s="297"/>
      <c r="AC232" s="375"/>
      <c r="AD232" s="355"/>
      <c r="AE232" s="377">
        <f t="shared" si="97"/>
        <v>0</v>
      </c>
      <c r="AF232" s="377"/>
      <c r="AG232" s="390"/>
      <c r="AH232" s="507">
        <f t="shared" si="98"/>
        <v>0</v>
      </c>
      <c r="AI232" s="412"/>
      <c r="AJ232" s="508">
        <f t="shared" ref="AJ232" si="99">AH232+AI232</f>
        <v>0</v>
      </c>
    </row>
    <row r="233" spans="1:36" ht="21" thickBot="1">
      <c r="A233" s="436"/>
      <c r="B233" s="437"/>
      <c r="C233" s="437"/>
      <c r="D233" s="438"/>
      <c r="E233" s="439">
        <f t="shared" ref="E233:K233" si="100">SUM(E231:E232)</f>
        <v>0</v>
      </c>
      <c r="F233" s="440">
        <f t="shared" si="100"/>
        <v>0</v>
      </c>
      <c r="G233" s="440">
        <f t="shared" si="100"/>
        <v>0</v>
      </c>
      <c r="H233" s="440">
        <f t="shared" si="100"/>
        <v>0</v>
      </c>
      <c r="I233" s="440">
        <f t="shared" si="100"/>
        <v>0</v>
      </c>
      <c r="J233" s="440">
        <f t="shared" si="100"/>
        <v>0</v>
      </c>
      <c r="K233" s="481">
        <f t="shared" si="100"/>
        <v>0</v>
      </c>
      <c r="L233" s="482"/>
      <c r="M233" s="439">
        <f t="shared" ref="M233:T233" si="101">SUM(M231:M232)</f>
        <v>0</v>
      </c>
      <c r="N233" s="440">
        <f t="shared" si="101"/>
        <v>0</v>
      </c>
      <c r="O233" s="440">
        <f t="shared" si="101"/>
        <v>0</v>
      </c>
      <c r="P233" s="440">
        <f t="shared" si="101"/>
        <v>0</v>
      </c>
      <c r="Q233" s="440">
        <f t="shared" si="101"/>
        <v>0</v>
      </c>
      <c r="R233" s="440">
        <f t="shared" si="101"/>
        <v>0</v>
      </c>
      <c r="S233" s="440">
        <f t="shared" si="101"/>
        <v>0</v>
      </c>
      <c r="T233" s="481">
        <f t="shared" si="101"/>
        <v>0</v>
      </c>
      <c r="U233" s="482"/>
      <c r="V233" s="439">
        <f t="shared" ref="V233:AC233" si="102">SUM(V231:V232)</f>
        <v>0</v>
      </c>
      <c r="W233" s="440">
        <f t="shared" si="102"/>
        <v>0</v>
      </c>
      <c r="X233" s="440">
        <f t="shared" si="102"/>
        <v>0</v>
      </c>
      <c r="Y233" s="440">
        <f t="shared" si="102"/>
        <v>0</v>
      </c>
      <c r="Z233" s="440">
        <f t="shared" si="102"/>
        <v>0</v>
      </c>
      <c r="AA233" s="440">
        <f t="shared" si="102"/>
        <v>0</v>
      </c>
      <c r="AB233" s="440">
        <f t="shared" si="102"/>
        <v>0</v>
      </c>
      <c r="AC233" s="481">
        <f t="shared" si="102"/>
        <v>0</v>
      </c>
      <c r="AD233" s="482"/>
      <c r="AE233" s="494">
        <f>SUM(AE231:AE232)</f>
        <v>0</v>
      </c>
      <c r="AF233" s="494">
        <f>SUM(AF231:AF232)</f>
        <v>0</v>
      </c>
      <c r="AG233" s="509"/>
      <c r="AH233" s="514">
        <f>SUM(AH231:AH232)</f>
        <v>0</v>
      </c>
      <c r="AI233" s="494">
        <f>SUM(AI231:AI232)</f>
        <v>0</v>
      </c>
      <c r="AJ233" s="509">
        <f>SUM(AJ231:AJ232)</f>
        <v>0</v>
      </c>
    </row>
    <row r="234" spans="1:36" ht="18.75">
      <c r="A234" s="522"/>
      <c r="B234" s="523"/>
      <c r="C234" s="523"/>
      <c r="D234" s="524"/>
      <c r="E234" s="525"/>
      <c r="F234" s="525"/>
      <c r="G234" s="525"/>
      <c r="H234" s="525"/>
      <c r="I234" s="525"/>
      <c r="J234" s="525"/>
      <c r="K234" s="525"/>
      <c r="L234" s="572"/>
      <c r="M234" s="573"/>
      <c r="N234" s="573"/>
      <c r="O234" s="573"/>
      <c r="P234" s="573"/>
      <c r="Q234" s="573"/>
      <c r="R234" s="573"/>
      <c r="S234" s="573"/>
      <c r="T234" s="573"/>
      <c r="U234" s="572"/>
      <c r="V234" s="573"/>
      <c r="W234" s="573"/>
      <c r="X234" s="573"/>
      <c r="Y234" s="573"/>
      <c r="Z234" s="573"/>
      <c r="AA234" s="573"/>
      <c r="AB234" s="573"/>
      <c r="AC234" s="573"/>
      <c r="AD234" s="572"/>
      <c r="AE234" s="573"/>
      <c r="AF234" s="573"/>
      <c r="AG234" s="599"/>
      <c r="AH234" s="573"/>
      <c r="AI234" s="573"/>
      <c r="AJ234" s="600"/>
    </row>
    <row r="235" spans="1:36" ht="20.25">
      <c r="A235" s="122"/>
      <c r="B235" s="632"/>
      <c r="C235" s="632"/>
      <c r="D235" s="122"/>
      <c r="E235" s="3901"/>
      <c r="F235" s="3901"/>
      <c r="G235" s="3901"/>
      <c r="H235" s="3901"/>
      <c r="I235" s="3901"/>
      <c r="J235" s="3901"/>
      <c r="K235" s="3901"/>
      <c r="L235" s="633"/>
      <c r="M235" s="3902"/>
      <c r="N235" s="3902"/>
      <c r="O235" s="3902"/>
      <c r="P235" s="3902"/>
      <c r="Q235" s="3902"/>
      <c r="R235" s="3902"/>
      <c r="S235" s="3902"/>
      <c r="T235" s="3902"/>
      <c r="U235" s="663"/>
      <c r="V235" s="3903"/>
      <c r="W235" s="3903"/>
      <c r="X235" s="3903"/>
      <c r="Y235" s="3903"/>
      <c r="Z235" s="3903"/>
      <c r="AA235" s="3903"/>
      <c r="AB235" s="3903"/>
      <c r="AC235" s="3903"/>
      <c r="AD235" s="688"/>
      <c r="AE235" s="689"/>
      <c r="AF235" s="673"/>
      <c r="AG235" s="673"/>
      <c r="AH235" s="689"/>
      <c r="AI235" s="689"/>
      <c r="AJ235" s="704"/>
    </row>
    <row r="236" spans="1:36" ht="15.75" thickBot="1">
      <c r="A236" s="634"/>
      <c r="B236" s="635"/>
      <c r="C236" s="635"/>
      <c r="D236" s="634"/>
      <c r="E236" s="634"/>
      <c r="F236" s="634"/>
      <c r="G236" s="634"/>
      <c r="H236" s="634"/>
      <c r="I236" s="634"/>
      <c r="J236" s="634"/>
      <c r="K236" s="634"/>
      <c r="L236" s="634"/>
      <c r="M236" s="634"/>
      <c r="N236" s="634"/>
      <c r="O236" s="634"/>
      <c r="P236" s="634"/>
      <c r="Q236" s="634"/>
      <c r="R236" s="634"/>
      <c r="S236" s="634"/>
      <c r="T236" s="634"/>
      <c r="U236" s="634"/>
      <c r="V236" s="634"/>
      <c r="W236" s="634"/>
      <c r="X236" s="634"/>
      <c r="Y236" s="634"/>
      <c r="Z236" s="634"/>
      <c r="AA236" s="634"/>
      <c r="AB236" s="690"/>
      <c r="AC236" s="690"/>
      <c r="AD236" s="690"/>
      <c r="AE236" s="690"/>
      <c r="AF236" s="634"/>
      <c r="AG236" s="634"/>
      <c r="AH236" s="634"/>
      <c r="AI236" s="634"/>
      <c r="AJ236" s="634"/>
    </row>
    <row r="237" spans="1:36" ht="21" thickBot="1">
      <c r="A237" s="636" t="s">
        <v>185</v>
      </c>
      <c r="B237" s="637"/>
      <c r="C237" s="637"/>
      <c r="D237" s="638"/>
      <c r="E237" s="529">
        <f t="shared" ref="E237:K237" si="103">E159-E227+E233</f>
        <v>0</v>
      </c>
      <c r="F237" s="639">
        <f t="shared" si="103"/>
        <v>0</v>
      </c>
      <c r="G237" s="639">
        <f t="shared" si="103"/>
        <v>0</v>
      </c>
      <c r="H237" s="639">
        <f t="shared" si="103"/>
        <v>0</v>
      </c>
      <c r="I237" s="639">
        <f t="shared" si="103"/>
        <v>0</v>
      </c>
      <c r="J237" s="639">
        <f t="shared" si="103"/>
        <v>0</v>
      </c>
      <c r="K237" s="664">
        <f t="shared" si="103"/>
        <v>0</v>
      </c>
      <c r="L237" s="574"/>
      <c r="M237" s="639">
        <f t="shared" ref="M237:T237" si="104">M159-M227+M233</f>
        <v>0</v>
      </c>
      <c r="N237" s="639">
        <f t="shared" si="104"/>
        <v>-100</v>
      </c>
      <c r="O237" s="639">
        <f t="shared" si="104"/>
        <v>0</v>
      </c>
      <c r="P237" s="639">
        <f t="shared" si="104"/>
        <v>0</v>
      </c>
      <c r="Q237" s="639">
        <f t="shared" si="104"/>
        <v>0</v>
      </c>
      <c r="R237" s="639">
        <f t="shared" si="104"/>
        <v>0</v>
      </c>
      <c r="S237" s="639">
        <f t="shared" si="104"/>
        <v>0</v>
      </c>
      <c r="T237" s="639">
        <f t="shared" si="104"/>
        <v>0</v>
      </c>
      <c r="U237" s="574"/>
      <c r="V237" s="665">
        <f t="shared" ref="V237:AC237" si="105">V159-V227+V233</f>
        <v>0</v>
      </c>
      <c r="W237" s="665">
        <f t="shared" si="105"/>
        <v>2420</v>
      </c>
      <c r="X237" s="665">
        <f t="shared" si="105"/>
        <v>0</v>
      </c>
      <c r="Y237" s="665">
        <f t="shared" si="105"/>
        <v>0</v>
      </c>
      <c r="Z237" s="665">
        <f t="shared" si="105"/>
        <v>0</v>
      </c>
      <c r="AA237" s="665">
        <f t="shared" si="105"/>
        <v>0</v>
      </c>
      <c r="AB237" s="665">
        <f t="shared" si="105"/>
        <v>0</v>
      </c>
      <c r="AC237" s="665">
        <f t="shared" si="105"/>
        <v>0</v>
      </c>
      <c r="AD237" s="691"/>
      <c r="AE237" s="529">
        <f>AE159-AE227+AE233</f>
        <v>2320</v>
      </c>
      <c r="AF237" s="3775">
        <f>AF159-AF227-AG227+AF233</f>
        <v>0</v>
      </c>
      <c r="AG237" s="3884"/>
      <c r="AH237" s="529">
        <f>AH159-AH227+AH233</f>
        <v>2320</v>
      </c>
      <c r="AI237" s="529">
        <f>AI159-AI227+AI233</f>
        <v>0</v>
      </c>
      <c r="AJ237" s="693">
        <f>AJ159-AJ227+AJ233</f>
        <v>2320</v>
      </c>
    </row>
    <row r="238" spans="1:36" ht="21" thickBot="1">
      <c r="A238" s="640" t="s">
        <v>152</v>
      </c>
      <c r="B238" s="641"/>
      <c r="C238" s="641"/>
      <c r="D238" s="642"/>
      <c r="E238" s="529">
        <f>E237/20</f>
        <v>0</v>
      </c>
      <c r="F238" s="529">
        <f t="shared" ref="F238:K238" si="106">F237/20</f>
        <v>0</v>
      </c>
      <c r="G238" s="529">
        <f t="shared" si="106"/>
        <v>0</v>
      </c>
      <c r="H238" s="529">
        <f t="shared" si="106"/>
        <v>0</v>
      </c>
      <c r="I238" s="529">
        <f t="shared" si="106"/>
        <v>0</v>
      </c>
      <c r="J238" s="529">
        <f t="shared" si="106"/>
        <v>0</v>
      </c>
      <c r="K238" s="529">
        <f t="shared" si="106"/>
        <v>0</v>
      </c>
      <c r="L238" s="529"/>
      <c r="M238" s="529">
        <f>M237/20</f>
        <v>0</v>
      </c>
      <c r="N238" s="529">
        <f>N237/20</f>
        <v>-5</v>
      </c>
      <c r="O238" s="529">
        <f>O237/20</f>
        <v>0</v>
      </c>
      <c r="P238" s="529">
        <f>P237/20</f>
        <v>0</v>
      </c>
      <c r="Q238" s="529">
        <f>Q237/20</f>
        <v>0</v>
      </c>
      <c r="R238" s="529">
        <f t="shared" ref="R238:T238" si="107">R237/20</f>
        <v>0</v>
      </c>
      <c r="S238" s="529">
        <f t="shared" si="107"/>
        <v>0</v>
      </c>
      <c r="T238" s="529">
        <f t="shared" si="107"/>
        <v>0</v>
      </c>
      <c r="U238" s="529"/>
      <c r="V238" s="529">
        <f>V237/20</f>
        <v>0</v>
      </c>
      <c r="W238" s="529">
        <f>W237/20</f>
        <v>121</v>
      </c>
      <c r="X238" s="529">
        <f>X237/20</f>
        <v>0</v>
      </c>
      <c r="Y238" s="529">
        <f>Y237/20</f>
        <v>0</v>
      </c>
      <c r="Z238" s="529">
        <f>Z237/12</f>
        <v>0</v>
      </c>
      <c r="AA238" s="529">
        <f>AA237/20</f>
        <v>0</v>
      </c>
      <c r="AB238" s="529">
        <f>AB237/12</f>
        <v>0</v>
      </c>
      <c r="AC238" s="529">
        <f>AC237/12</f>
        <v>0</v>
      </c>
      <c r="AD238" s="692"/>
      <c r="AE238" s="693">
        <f>AE237/20</f>
        <v>116</v>
      </c>
      <c r="AF238" s="3775">
        <f>AF237/20</f>
        <v>0</v>
      </c>
      <c r="AG238" s="3884"/>
      <c r="AH238" s="693">
        <f>AH237/20</f>
        <v>116</v>
      </c>
      <c r="AI238" s="574">
        <f>AI237/20</f>
        <v>0</v>
      </c>
      <c r="AJ238" s="706">
        <f>AJ237/20</f>
        <v>116</v>
      </c>
    </row>
    <row r="239" spans="1:36" ht="21" thickBot="1">
      <c r="A239" s="643" t="s">
        <v>156</v>
      </c>
      <c r="B239" s="644"/>
      <c r="C239" s="644"/>
      <c r="D239" s="645"/>
      <c r="E239" s="3897">
        <f>SUM(E238:K238)</f>
        <v>0</v>
      </c>
      <c r="F239" s="3898"/>
      <c r="G239" s="3898"/>
      <c r="H239" s="3898"/>
      <c r="I239" s="3898"/>
      <c r="J239" s="3898"/>
      <c r="K239" s="3899"/>
      <c r="L239" s="667"/>
      <c r="M239" s="3778">
        <f>SUM(M238:T238)</f>
        <v>-5</v>
      </c>
      <c r="N239" s="3779"/>
      <c r="O239" s="3779"/>
      <c r="P239" s="3779"/>
      <c r="Q239" s="3779"/>
      <c r="R239" s="3779"/>
      <c r="S239" s="3779"/>
      <c r="T239" s="3780"/>
      <c r="U239" s="675"/>
      <c r="V239" s="3778">
        <f>SUM(V238:AC238)</f>
        <v>121</v>
      </c>
      <c r="W239" s="3779"/>
      <c r="X239" s="3779"/>
      <c r="Y239" s="3779"/>
      <c r="Z239" s="3779"/>
      <c r="AA239" s="3779"/>
      <c r="AB239" s="3779"/>
      <c r="AC239" s="3780"/>
      <c r="AD239" s="694"/>
      <c r="AE239" s="694"/>
      <c r="AF239" s="694"/>
      <c r="AG239" s="694"/>
      <c r="AH239" s="694"/>
      <c r="AI239" s="694"/>
      <c r="AJ239" s="707"/>
    </row>
    <row r="240" spans="1:36" ht="21" thickBot="1">
      <c r="A240" s="646" t="s">
        <v>157</v>
      </c>
      <c r="B240" s="647"/>
      <c r="C240" s="647"/>
      <c r="D240" s="648"/>
      <c r="E240" s="3875">
        <f>SUM(E237:K237)</f>
        <v>0</v>
      </c>
      <c r="F240" s="3876"/>
      <c r="G240" s="3876"/>
      <c r="H240" s="3876"/>
      <c r="I240" s="3876"/>
      <c r="J240" s="3876"/>
      <c r="K240" s="3900"/>
      <c r="L240" s="669"/>
      <c r="M240" s="3877">
        <f>SUM(M237:T237)</f>
        <v>-100</v>
      </c>
      <c r="N240" s="3878"/>
      <c r="O240" s="3878"/>
      <c r="P240" s="3878"/>
      <c r="Q240" s="3878"/>
      <c r="R240" s="3878"/>
      <c r="S240" s="3878"/>
      <c r="T240" s="3879"/>
      <c r="U240" s="676"/>
      <c r="V240" s="3781">
        <f>SUM(V237:AC237)</f>
        <v>2420</v>
      </c>
      <c r="W240" s="3788"/>
      <c r="X240" s="3788"/>
      <c r="Y240" s="3788"/>
      <c r="Z240" s="3788"/>
      <c r="AA240" s="3788"/>
      <c r="AB240" s="3788"/>
      <c r="AC240" s="3880"/>
      <c r="AD240" s="688"/>
      <c r="AE240" s="689"/>
      <c r="AF240" s="673"/>
      <c r="AG240" s="673"/>
      <c r="AH240" s="689"/>
      <c r="AI240" s="689"/>
      <c r="AJ240" s="704"/>
    </row>
    <row r="241" spans="1:36">
      <c r="A241" s="634"/>
      <c r="B241" s="635"/>
      <c r="C241" s="635"/>
      <c r="D241" s="649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4"/>
      <c r="P241" s="634"/>
      <c r="Q241" s="634"/>
      <c r="R241" s="634"/>
      <c r="S241" s="634"/>
      <c r="T241" s="634"/>
      <c r="U241" s="634"/>
      <c r="V241" s="634"/>
      <c r="W241" s="634"/>
      <c r="X241" s="634"/>
      <c r="Y241" s="634"/>
      <c r="Z241" s="634"/>
      <c r="AA241" s="634"/>
      <c r="AB241" s="690"/>
      <c r="AC241" s="690"/>
      <c r="AD241" s="690"/>
      <c r="AE241" s="690"/>
      <c r="AF241" s="634"/>
      <c r="AG241" s="634"/>
      <c r="AH241" s="634"/>
      <c r="AI241" s="634"/>
      <c r="AJ241" s="634"/>
    </row>
    <row r="242" spans="1:36" ht="21" thickBot="1">
      <c r="A242" s="650"/>
      <c r="B242" s="651"/>
      <c r="C242" s="651"/>
      <c r="D242" s="650"/>
      <c r="E242" s="650"/>
      <c r="F242" s="650"/>
      <c r="G242" s="650"/>
      <c r="H242" s="650"/>
      <c r="I242" s="650"/>
      <c r="J242" s="650"/>
      <c r="K242" s="650"/>
      <c r="L242" s="650"/>
      <c r="M242" s="650"/>
      <c r="N242" s="650"/>
      <c r="O242" s="650"/>
      <c r="P242" s="650"/>
      <c r="Q242" s="650"/>
      <c r="R242" s="650"/>
      <c r="S242" s="650"/>
      <c r="T242" s="650"/>
      <c r="U242" s="650"/>
      <c r="V242" s="650"/>
      <c r="W242" s="650"/>
      <c r="X242" s="650"/>
      <c r="Y242" s="650"/>
      <c r="Z242" s="650"/>
      <c r="AA242" s="650"/>
      <c r="AB242" s="650"/>
      <c r="AC242" s="650"/>
      <c r="AD242" s="650"/>
      <c r="AE242" s="650"/>
      <c r="AF242" s="650"/>
      <c r="AG242" s="650"/>
      <c r="AH242" s="650"/>
      <c r="AI242" s="650"/>
      <c r="AJ242" s="650"/>
    </row>
    <row r="243" spans="1:36" ht="27.75" thickBot="1">
      <c r="A243" s="634"/>
      <c r="B243" s="635"/>
      <c r="C243" s="635"/>
      <c r="D243" s="634"/>
      <c r="E243" s="634"/>
      <c r="F243" s="634"/>
      <c r="G243" s="634"/>
      <c r="H243" s="634"/>
      <c r="I243" s="634"/>
      <c r="J243" s="634"/>
      <c r="K243" s="634"/>
      <c r="L243" s="634"/>
      <c r="M243" s="634"/>
      <c r="N243" s="634"/>
      <c r="O243" s="634"/>
      <c r="P243" s="634"/>
      <c r="Q243" s="634"/>
      <c r="R243" s="634"/>
      <c r="S243" s="634"/>
      <c r="T243" s="634"/>
      <c r="U243" s="634"/>
      <c r="V243" s="634"/>
      <c r="W243" s="677"/>
      <c r="X243" s="3857" t="s">
        <v>158</v>
      </c>
      <c r="Y243" s="3858"/>
      <c r="Z243" s="3858"/>
      <c r="AA243" s="3858"/>
      <c r="AB243" s="3859"/>
      <c r="AC243" s="3802">
        <f>'BIG CHAIR'!CI325</f>
        <v>0</v>
      </c>
      <c r="AD243" s="3803"/>
      <c r="AE243" s="3804"/>
      <c r="AF243" s="634"/>
      <c r="AG243" s="634"/>
      <c r="AH243" s="634"/>
      <c r="AI243" s="634"/>
      <c r="AJ243" s="634"/>
    </row>
    <row r="244" spans="1:36" ht="27.75" thickBot="1">
      <c r="A244" s="634"/>
      <c r="B244" s="635"/>
      <c r="C244" s="635"/>
      <c r="D244" s="634"/>
      <c r="E244" s="634"/>
      <c r="F244" s="634"/>
      <c r="G244" s="634"/>
      <c r="H244" s="634"/>
      <c r="I244" s="634"/>
      <c r="J244" s="634"/>
      <c r="K244" s="634"/>
      <c r="L244" s="634"/>
      <c r="M244" s="634"/>
      <c r="N244" s="634"/>
      <c r="O244" s="634"/>
      <c r="P244" s="634"/>
      <c r="Q244" s="634"/>
      <c r="R244" s="634"/>
      <c r="S244" s="634"/>
      <c r="T244" s="634"/>
      <c r="U244" s="634"/>
      <c r="V244" s="634"/>
      <c r="W244" s="677"/>
      <c r="X244" s="3857" t="s">
        <v>159</v>
      </c>
      <c r="Y244" s="3858"/>
      <c r="Z244" s="3858"/>
      <c r="AA244" s="3858"/>
      <c r="AB244" s="3859"/>
      <c r="AC244" s="3872">
        <f>AE237</f>
        <v>2320</v>
      </c>
      <c r="AD244" s="3873"/>
      <c r="AE244" s="3874"/>
      <c r="AF244" s="634"/>
      <c r="AG244" s="634"/>
      <c r="AH244" s="634"/>
      <c r="AI244" s="634"/>
      <c r="AJ244" s="708"/>
    </row>
    <row r="245" spans="1:36" ht="27.75" thickBot="1">
      <c r="A245" s="634"/>
      <c r="B245" s="635"/>
      <c r="C245" s="635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4"/>
      <c r="S245" s="634"/>
      <c r="T245" s="634"/>
      <c r="U245" s="634"/>
      <c r="V245" s="634"/>
      <c r="W245" s="677"/>
      <c r="X245" s="3857" t="s">
        <v>160</v>
      </c>
      <c r="Y245" s="3858"/>
      <c r="Z245" s="3858"/>
      <c r="AA245" s="3858"/>
      <c r="AB245" s="3859"/>
      <c r="AC245" s="3802">
        <f>'BIG CHAIR'!CJ325</f>
        <v>0</v>
      </c>
      <c r="AD245" s="3803"/>
      <c r="AE245" s="3804"/>
      <c r="AF245" s="634"/>
      <c r="AG245" s="634"/>
      <c r="AH245" s="634"/>
      <c r="AI245" s="634"/>
      <c r="AJ245" s="634"/>
    </row>
    <row r="246" spans="1:36" ht="27.75" thickBot="1">
      <c r="A246" s="634"/>
      <c r="B246" s="635"/>
      <c r="C246" s="635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4"/>
      <c r="P246" s="634"/>
      <c r="Q246" s="634"/>
      <c r="R246" s="634"/>
      <c r="S246" s="634"/>
      <c r="T246" s="634"/>
      <c r="U246" s="634"/>
      <c r="V246" s="634"/>
      <c r="W246" s="677"/>
      <c r="X246" s="3857" t="s">
        <v>161</v>
      </c>
      <c r="Y246" s="3858"/>
      <c r="Z246" s="3858"/>
      <c r="AA246" s="3858"/>
      <c r="AB246" s="3858"/>
      <c r="AC246" s="3872">
        <f>AF237</f>
        <v>0</v>
      </c>
      <c r="AD246" s="3803"/>
      <c r="AE246" s="3804"/>
      <c r="AF246" s="634"/>
      <c r="AG246" s="634"/>
      <c r="AH246" s="634"/>
      <c r="AI246" s="634"/>
      <c r="AJ246" s="634"/>
    </row>
    <row r="247" spans="1:36" ht="27.75" thickBot="1">
      <c r="A247" s="634"/>
      <c r="B247" s="635"/>
      <c r="C247" s="635"/>
      <c r="D247" s="634"/>
      <c r="E247" s="634"/>
      <c r="F247" s="634"/>
      <c r="G247" s="634"/>
      <c r="H247" s="634"/>
      <c r="I247" s="634"/>
      <c r="J247" s="634"/>
      <c r="K247" s="634"/>
      <c r="L247" s="634"/>
      <c r="M247" s="634"/>
      <c r="N247" s="634"/>
      <c r="O247" s="634"/>
      <c r="P247" s="634"/>
      <c r="Q247" s="634"/>
      <c r="R247" s="634"/>
      <c r="S247" s="634"/>
      <c r="T247" s="634"/>
      <c r="U247" s="634"/>
      <c r="V247" s="634"/>
      <c r="W247" s="677"/>
      <c r="X247" s="3857" t="s">
        <v>162</v>
      </c>
      <c r="Y247" s="3858"/>
      <c r="Z247" s="3858"/>
      <c r="AA247" s="3858"/>
      <c r="AB247" s="3859"/>
      <c r="AC247" s="3802">
        <f>'Tea Table'!U285</f>
        <v>2676</v>
      </c>
      <c r="AD247" s="3803"/>
      <c r="AE247" s="3804"/>
      <c r="AF247" s="634"/>
      <c r="AG247" s="634"/>
      <c r="AH247" s="634"/>
      <c r="AI247" s="634"/>
      <c r="AJ247" s="634"/>
    </row>
    <row r="248" spans="1:36" ht="27.75" thickBot="1">
      <c r="A248" s="634"/>
      <c r="B248" s="635"/>
      <c r="C248" s="635"/>
      <c r="D248" s="634"/>
      <c r="E248" s="634"/>
      <c r="F248" s="634"/>
      <c r="G248" s="634"/>
      <c r="H248" s="634"/>
      <c r="I248" s="634"/>
      <c r="J248" s="634"/>
      <c r="K248" s="634"/>
      <c r="L248" s="634"/>
      <c r="M248" s="634"/>
      <c r="N248" s="634"/>
      <c r="O248" s="634"/>
      <c r="P248" s="634"/>
      <c r="Q248" s="634"/>
      <c r="R248" s="634"/>
      <c r="S248" s="634"/>
      <c r="T248" s="634"/>
      <c r="U248" s="634"/>
      <c r="V248" s="634"/>
      <c r="W248" s="677"/>
      <c r="X248" s="3860" t="s">
        <v>163</v>
      </c>
      <c r="Y248" s="3861"/>
      <c r="Z248" s="3861"/>
      <c r="AA248" s="3861"/>
      <c r="AB248" s="3862"/>
      <c r="AC248" s="3863">
        <f>'Tea Table'!V285</f>
        <v>29</v>
      </c>
      <c r="AD248" s="3864"/>
      <c r="AE248" s="3865"/>
      <c r="AF248" s="634"/>
      <c r="AG248" s="634"/>
      <c r="AH248" s="634"/>
      <c r="AI248" s="634"/>
      <c r="AJ248" s="634"/>
    </row>
    <row r="249" spans="1:36" ht="28.5" thickTop="1" thickBot="1">
      <c r="A249" s="634"/>
      <c r="B249" s="635"/>
      <c r="C249" s="635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77"/>
      <c r="X249" s="3866"/>
      <c r="Y249" s="3867"/>
      <c r="Z249" s="3867"/>
      <c r="AA249" s="3867"/>
      <c r="AB249" s="3868"/>
      <c r="AC249" s="3869"/>
      <c r="AD249" s="3870"/>
      <c r="AE249" s="3871"/>
      <c r="AF249" s="634"/>
      <c r="AG249" s="634"/>
      <c r="AH249" s="634"/>
      <c r="AI249" s="634"/>
      <c r="AJ249" s="634"/>
    </row>
    <row r="250" spans="1:36" ht="27.75" thickBot="1">
      <c r="A250" s="634"/>
      <c r="B250" s="635"/>
      <c r="C250" s="635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4"/>
      <c r="P250" s="634"/>
      <c r="Q250" s="634"/>
      <c r="R250" s="634"/>
      <c r="S250" s="634"/>
      <c r="T250" s="634"/>
      <c r="U250" s="634"/>
      <c r="V250" s="634"/>
      <c r="W250" s="677"/>
      <c r="X250" s="3857" t="s">
        <v>164</v>
      </c>
      <c r="Y250" s="3858"/>
      <c r="Z250" s="3858"/>
      <c r="AA250" s="3858"/>
      <c r="AB250" s="3859"/>
      <c r="AC250" s="3796">
        <f>SUM(AC243:AE249)</f>
        <v>5025</v>
      </c>
      <c r="AD250" s="3797"/>
      <c r="AE250" s="3798"/>
      <c r="AF250" s="634"/>
      <c r="AG250" s="634"/>
      <c r="AH250" s="634"/>
      <c r="AI250" s="634"/>
      <c r="AJ250" s="634"/>
    </row>
    <row r="251" spans="1:36" ht="27.75" thickBot="1">
      <c r="A251" s="634"/>
      <c r="B251" s="635"/>
      <c r="C251" s="635"/>
      <c r="D251" s="634"/>
      <c r="E251" s="634"/>
      <c r="F251" s="634"/>
      <c r="G251" s="634"/>
      <c r="H251" s="634"/>
      <c r="I251" s="634"/>
      <c r="J251" s="634"/>
      <c r="K251" s="634"/>
      <c r="L251" s="634"/>
      <c r="M251" s="634"/>
      <c r="N251" s="634"/>
      <c r="O251" s="634"/>
      <c r="P251" s="634"/>
      <c r="Q251" s="634"/>
      <c r="R251" s="634"/>
      <c r="S251" s="634"/>
      <c r="T251" s="634"/>
      <c r="U251" s="634"/>
      <c r="V251" s="634"/>
      <c r="W251" s="677"/>
      <c r="X251" s="3857" t="s">
        <v>165</v>
      </c>
      <c r="Y251" s="3858"/>
      <c r="Z251" s="3858"/>
      <c r="AA251" s="3858"/>
      <c r="AB251" s="3859"/>
      <c r="AC251" s="3796">
        <f>AE238+'BIG CHAIR'!CI326+'Tea Table'!U286</f>
        <v>339</v>
      </c>
      <c r="AD251" s="3797"/>
      <c r="AE251" s="3798"/>
      <c r="AF251" s="695"/>
      <c r="AG251" s="695"/>
      <c r="AH251" s="695"/>
      <c r="AI251" s="634"/>
      <c r="AJ251" s="634"/>
    </row>
    <row r="252" spans="1:36">
      <c r="A252" s="634"/>
      <c r="B252" s="635"/>
      <c r="C252" s="635"/>
      <c r="D252" s="634"/>
      <c r="AB252" s="696"/>
      <c r="AC252" s="696"/>
      <c r="AD252" s="696"/>
      <c r="AE252" s="696"/>
    </row>
    <row r="253" spans="1:36">
      <c r="B253" s="652"/>
      <c r="C253" s="652"/>
      <c r="AB253" s="696"/>
      <c r="AC253" s="696"/>
      <c r="AD253" s="696"/>
      <c r="AE253" s="696"/>
    </row>
    <row r="254" spans="1:36">
      <c r="B254" s="652"/>
      <c r="C254" s="652"/>
      <c r="AB254" s="696"/>
      <c r="AC254" s="696"/>
      <c r="AD254" s="696"/>
      <c r="AE254" s="696"/>
    </row>
    <row r="255" spans="1:36">
      <c r="B255" s="652"/>
      <c r="C255" s="652"/>
      <c r="AB255" s="696"/>
      <c r="AC255" s="696"/>
      <c r="AD255" s="696"/>
      <c r="AE255" s="696"/>
    </row>
    <row r="256" spans="1:36">
      <c r="B256" s="652"/>
      <c r="C256" s="652"/>
      <c r="AB256" s="696"/>
      <c r="AC256" s="696"/>
      <c r="AD256" s="696"/>
      <c r="AE256" s="696"/>
    </row>
    <row r="257" spans="2:31">
      <c r="B257" s="652"/>
      <c r="C257" s="652"/>
      <c r="AB257" s="696"/>
      <c r="AC257" s="696"/>
      <c r="AD257" s="696"/>
      <c r="AE257" s="696"/>
    </row>
    <row r="258" spans="2:31">
      <c r="B258" s="652"/>
      <c r="C258" s="652"/>
      <c r="AB258" s="696"/>
      <c r="AC258" s="696"/>
      <c r="AD258" s="696"/>
      <c r="AE258" s="696"/>
    </row>
    <row r="259" spans="2:31">
      <c r="B259" s="652"/>
      <c r="C259" s="652"/>
      <c r="AB259" s="696"/>
      <c r="AC259" s="696"/>
      <c r="AD259" s="696"/>
      <c r="AE259" s="696"/>
    </row>
    <row r="260" spans="2:31">
      <c r="B260" s="652"/>
      <c r="C260" s="652"/>
      <c r="AB260" s="696"/>
      <c r="AC260" s="696"/>
      <c r="AD260" s="696"/>
      <c r="AE260" s="696"/>
    </row>
    <row r="261" spans="2:31">
      <c r="B261" s="652"/>
      <c r="C261" s="652"/>
      <c r="AB261" s="696"/>
      <c r="AC261" s="696"/>
      <c r="AD261" s="696"/>
      <c r="AE261" s="696"/>
    </row>
    <row r="262" spans="2:31">
      <c r="B262" s="652"/>
      <c r="C262" s="652"/>
      <c r="AB262" s="696"/>
      <c r="AC262" s="696"/>
      <c r="AD262" s="696"/>
      <c r="AE262" s="696"/>
    </row>
    <row r="263" spans="2:31">
      <c r="B263" s="652"/>
      <c r="C263" s="652"/>
      <c r="AB263" s="696"/>
      <c r="AC263" s="696"/>
      <c r="AD263" s="696"/>
      <c r="AE263" s="696"/>
    </row>
    <row r="264" spans="2:31">
      <c r="B264" s="652"/>
      <c r="C264" s="652"/>
      <c r="AB264" s="696"/>
      <c r="AC264" s="696"/>
      <c r="AD264" s="696"/>
      <c r="AE264" s="696"/>
    </row>
    <row r="265" spans="2:31">
      <c r="B265" s="652"/>
      <c r="C265" s="652"/>
      <c r="AB265" s="696"/>
      <c r="AC265" s="696"/>
      <c r="AD265" s="696"/>
      <c r="AE265" s="696"/>
    </row>
    <row r="266" spans="2:31">
      <c r="B266" s="652"/>
      <c r="C266" s="652"/>
      <c r="AB266" s="696"/>
      <c r="AC266" s="696"/>
      <c r="AD266" s="696"/>
      <c r="AE266" s="696"/>
    </row>
    <row r="267" spans="2:31">
      <c r="B267" s="652"/>
      <c r="C267" s="652"/>
      <c r="AB267" s="696"/>
      <c r="AC267" s="696"/>
      <c r="AD267" s="696"/>
      <c r="AE267" s="696"/>
    </row>
    <row r="268" spans="2:31">
      <c r="B268" s="652"/>
      <c r="C268" s="652"/>
      <c r="AB268" s="696"/>
      <c r="AC268" s="696"/>
      <c r="AD268" s="696"/>
      <c r="AE268" s="696"/>
    </row>
    <row r="269" spans="2:31">
      <c r="B269" s="652"/>
      <c r="C269" s="652"/>
      <c r="AB269" s="696"/>
      <c r="AC269" s="696"/>
      <c r="AD269" s="696"/>
      <c r="AE269" s="696"/>
    </row>
    <row r="298" spans="1:4">
      <c r="A298" s="561"/>
      <c r="D298" s="3224"/>
    </row>
  </sheetData>
  <mergeCells count="41">
    <mergeCell ref="A230:C230"/>
    <mergeCell ref="E235:K235"/>
    <mergeCell ref="M235:T235"/>
    <mergeCell ref="V235:AC235"/>
    <mergeCell ref="V2:AC2"/>
    <mergeCell ref="AE2:AJ2"/>
    <mergeCell ref="A161:AJ161"/>
    <mergeCell ref="A162:D162"/>
    <mergeCell ref="E162:K162"/>
    <mergeCell ref="M162:T162"/>
    <mergeCell ref="V162:AC162"/>
    <mergeCell ref="AE162:AJ162"/>
    <mergeCell ref="A2:D2"/>
    <mergeCell ref="E2:K2"/>
    <mergeCell ref="M2:T2"/>
    <mergeCell ref="AF237:AG237"/>
    <mergeCell ref="E239:K239"/>
    <mergeCell ref="M239:T239"/>
    <mergeCell ref="V239:AC239"/>
    <mergeCell ref="E240:K240"/>
    <mergeCell ref="M240:T240"/>
    <mergeCell ref="V240:AC240"/>
    <mergeCell ref="AF238:AG238"/>
    <mergeCell ref="X243:AB243"/>
    <mergeCell ref="AC243:AE243"/>
    <mergeCell ref="X244:AB244"/>
    <mergeCell ref="AC244:AE244"/>
    <mergeCell ref="X245:AB245"/>
    <mergeCell ref="AC245:AE245"/>
    <mergeCell ref="X246:AB246"/>
    <mergeCell ref="AC246:AE246"/>
    <mergeCell ref="X247:AB247"/>
    <mergeCell ref="AC247:AE247"/>
    <mergeCell ref="X248:AB248"/>
    <mergeCell ref="AC248:AE248"/>
    <mergeCell ref="X249:AB249"/>
    <mergeCell ref="AC249:AE249"/>
    <mergeCell ref="X250:AB250"/>
    <mergeCell ref="AC250:AE250"/>
    <mergeCell ref="X251:AB251"/>
    <mergeCell ref="AC251:AE251"/>
  </mergeCells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9"/>
  <sheetViews>
    <sheetView workbookViewId="0">
      <pane ySplit="3" topLeftCell="A148" activePane="bottomLeft" state="frozen"/>
      <selection pane="bottomLeft" activeCell="A153" sqref="A153"/>
    </sheetView>
  </sheetViews>
  <sheetFormatPr defaultColWidth="9" defaultRowHeight="15"/>
  <cols>
    <col min="1" max="1" width="55.42578125" customWidth="1"/>
    <col min="2" max="2" width="18.140625" style="276" customWidth="1"/>
    <col min="3" max="3" width="14.140625" style="276" customWidth="1"/>
    <col min="4" max="4" width="20.85546875" customWidth="1"/>
    <col min="5" max="7" width="11.5703125" customWidth="1"/>
    <col min="8" max="8" width="11.7109375" customWidth="1"/>
    <col min="9" max="9" width="15.42578125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6" width="11.5703125" customWidth="1"/>
    <col min="17" max="17" width="12" customWidth="1"/>
    <col min="18" max="18" width="13.85546875" customWidth="1"/>
    <col min="19" max="19" width="11.5703125" customWidth="1"/>
    <col min="20" max="20" width="13.140625" customWidth="1"/>
    <col min="21" max="21" width="1.5703125" customWidth="1"/>
    <col min="22" max="22" width="17.28515625" customWidth="1"/>
    <col min="23" max="25" width="11.5703125" customWidth="1"/>
    <col min="26" max="26" width="12.85546875" customWidth="1"/>
    <col min="27" max="27" width="12.7109375" customWidth="1"/>
    <col min="28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242</v>
      </c>
      <c r="F2" s="3892"/>
      <c r="G2" s="3892"/>
      <c r="H2" s="3892"/>
      <c r="I2" s="3892"/>
      <c r="J2" s="3892"/>
      <c r="K2" s="3904"/>
      <c r="L2" s="336"/>
      <c r="M2" s="3893" t="s">
        <v>243</v>
      </c>
      <c r="N2" s="3894"/>
      <c r="O2" s="3894"/>
      <c r="P2" s="3894"/>
      <c r="Q2" s="3894"/>
      <c r="R2" s="3894"/>
      <c r="S2" s="3894"/>
      <c r="T2" s="3895"/>
      <c r="U2" s="364"/>
      <c r="V2" s="3893" t="s">
        <v>244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86</v>
      </c>
      <c r="F3" s="49" t="s">
        <v>91</v>
      </c>
      <c r="G3" s="49" t="s">
        <v>245</v>
      </c>
      <c r="H3" s="49" t="s">
        <v>238</v>
      </c>
      <c r="I3" s="49" t="s">
        <v>90</v>
      </c>
      <c r="J3" s="49" t="s">
        <v>85</v>
      </c>
      <c r="K3" s="126" t="s">
        <v>123</v>
      </c>
      <c r="L3" s="79"/>
      <c r="M3" s="80" t="s">
        <v>95</v>
      </c>
      <c r="N3" s="49" t="s">
        <v>94</v>
      </c>
      <c r="O3" s="49" t="s">
        <v>190</v>
      </c>
      <c r="P3" s="49" t="s">
        <v>53</v>
      </c>
      <c r="Q3" s="49" t="s">
        <v>119</v>
      </c>
      <c r="R3" s="49" t="s">
        <v>101</v>
      </c>
      <c r="S3" s="49" t="s">
        <v>92</v>
      </c>
      <c r="T3" s="126" t="s">
        <v>124</v>
      </c>
      <c r="U3" s="79"/>
      <c r="V3" s="99" t="s">
        <v>448</v>
      </c>
      <c r="W3" s="716"/>
      <c r="X3" s="104"/>
      <c r="Y3" s="103"/>
      <c r="Z3" s="104"/>
      <c r="AA3" s="104" t="s">
        <v>443</v>
      </c>
      <c r="AB3" s="121"/>
      <c r="AC3" s="717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>
        <f>32*20</f>
        <v>640</v>
      </c>
      <c r="F4" s="293"/>
      <c r="G4" s="293"/>
      <c r="H4" s="293"/>
      <c r="I4" s="337"/>
      <c r="J4" s="337"/>
      <c r="K4" s="338">
        <f>13*20</f>
        <v>260</v>
      </c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900</v>
      </c>
      <c r="AF4" s="374"/>
      <c r="AG4" s="373"/>
      <c r="AH4" s="387">
        <f>AF4+AE4</f>
        <v>900</v>
      </c>
      <c r="AI4" s="388"/>
      <c r="AJ4" s="389">
        <f>AH4+AI4</f>
        <v>900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11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19" si="1">AE6+AF6</f>
        <v>0</v>
      </c>
      <c r="AI6" s="392"/>
      <c r="AJ6" s="393">
        <f t="shared" ref="AJ6:AJ7" si="2">AH6+AI6</f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ref="AJ8:AJ13" si="3">AH8+AI8</f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3"/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3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ref="AE12:AE19" si="4">SUM(E12:AC12)</f>
        <v>0</v>
      </c>
      <c r="AF12" s="377"/>
      <c r="AG12" s="390"/>
      <c r="AH12" s="391">
        <f t="shared" si="1"/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4"/>
        <v>0</v>
      </c>
      <c r="AF13" s="377"/>
      <c r="AG13" s="390"/>
      <c r="AH13" s="391">
        <f t="shared" si="1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ref="AE14" si="5">SUM(E14:AC14)</f>
        <v>0</v>
      </c>
      <c r="AF14" s="377"/>
      <c r="AG14" s="390"/>
      <c r="AH14" s="391">
        <f t="shared" si="1"/>
        <v>0</v>
      </c>
      <c r="AI14" s="392"/>
      <c r="AJ14" s="393">
        <f t="shared" ref="AJ14:AJ19" si="6">AH14+AI14</f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4"/>
        <v>0</v>
      </c>
      <c r="AF15" s="377"/>
      <c r="AG15" s="390"/>
      <c r="AH15" s="391">
        <f t="shared" si="1"/>
        <v>0</v>
      </c>
      <c r="AI15" s="392"/>
      <c r="AJ15" s="393">
        <f t="shared" si="6"/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4"/>
        <v>0</v>
      </c>
      <c r="AF16" s="377"/>
      <c r="AG16" s="390"/>
      <c r="AH16" s="391">
        <f t="shared" si="1"/>
        <v>0</v>
      </c>
      <c r="AI16" s="392"/>
      <c r="AJ16" s="393">
        <f t="shared" si="6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4"/>
        <v>0</v>
      </c>
      <c r="AF17" s="377"/>
      <c r="AG17" s="390"/>
      <c r="AH17" s="391">
        <f t="shared" si="1"/>
        <v>0</v>
      </c>
      <c r="AI17" s="392"/>
      <c r="AJ17" s="393">
        <f t="shared" si="6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4"/>
        <v>0</v>
      </c>
      <c r="AF18" s="377"/>
      <c r="AG18" s="390"/>
      <c r="AH18" s="391">
        <f t="shared" si="1"/>
        <v>0</v>
      </c>
      <c r="AI18" s="392"/>
      <c r="AJ18" s="393">
        <f t="shared" si="6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4"/>
        <v>0</v>
      </c>
      <c r="AF19" s="377"/>
      <c r="AG19" s="390"/>
      <c r="AH19" s="391">
        <f t="shared" si="1"/>
        <v>0</v>
      </c>
      <c r="AI19" s="392"/>
      <c r="AJ19" s="393">
        <f t="shared" si="6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ref="AE20:AE21" si="7">SUM(E20:AC20)</f>
        <v>0</v>
      </c>
      <c r="AF20" s="377"/>
      <c r="AG20" s="390"/>
      <c r="AH20" s="391">
        <f t="shared" ref="AH20:AH21" si="8">AE20+AF20</f>
        <v>0</v>
      </c>
      <c r="AI20" s="392"/>
      <c r="AJ20" s="393">
        <f t="shared" ref="AJ20:AJ21" si="9">AH20+AI20</f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7"/>
        <v>0</v>
      </c>
      <c r="AF21" s="377"/>
      <c r="AG21" s="390"/>
      <c r="AH21" s="391">
        <f t="shared" si="8"/>
        <v>0</v>
      </c>
      <c r="AI21" s="392"/>
      <c r="AJ21" s="393">
        <f t="shared" si="9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ref="AE22:AE24" si="10">SUM(E22:AC22)</f>
        <v>0</v>
      </c>
      <c r="AF22" s="377"/>
      <c r="AG22" s="390"/>
      <c r="AH22" s="391">
        <f t="shared" ref="AH22:AH24" si="11">AE22+AF22</f>
        <v>0</v>
      </c>
      <c r="AI22" s="392"/>
      <c r="AJ22" s="393">
        <f t="shared" ref="AJ22:AJ27" si="12">AH22+AI22</f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10"/>
        <v>0</v>
      </c>
      <c r="AF23" s="377"/>
      <c r="AG23" s="390"/>
      <c r="AH23" s="391">
        <f t="shared" si="11"/>
        <v>0</v>
      </c>
      <c r="AI23" s="392"/>
      <c r="AJ23" s="393">
        <f t="shared" si="12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10"/>
        <v>0</v>
      </c>
      <c r="AF24" s="377"/>
      <c r="AG24" s="390"/>
      <c r="AH24" s="391">
        <f t="shared" si="11"/>
        <v>0</v>
      </c>
      <c r="AI24" s="392"/>
      <c r="AJ24" s="393">
        <f t="shared" si="12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ref="AE25:AE26" si="13">SUM(E25:AC25)</f>
        <v>0</v>
      </c>
      <c r="AF25" s="377"/>
      <c r="AG25" s="390"/>
      <c r="AH25" s="391">
        <f t="shared" ref="AH25:AH30" si="14">AE25+AF25</f>
        <v>0</v>
      </c>
      <c r="AI25" s="392"/>
      <c r="AJ25" s="393">
        <f t="shared" si="12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13"/>
        <v>0</v>
      </c>
      <c r="AF26" s="377"/>
      <c r="AG26" s="390"/>
      <c r="AH26" s="391">
        <f t="shared" si="14"/>
        <v>0</v>
      </c>
      <c r="AI26" s="392"/>
      <c r="AJ26" s="393">
        <f t="shared" si="12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ref="AE27:AE31" si="15">SUM(E27:AC27)</f>
        <v>0</v>
      </c>
      <c r="AF27" s="377"/>
      <c r="AG27" s="390"/>
      <c r="AH27" s="391">
        <f t="shared" si="14"/>
        <v>0</v>
      </c>
      <c r="AI27" s="392"/>
      <c r="AJ27" s="393">
        <f t="shared" si="12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15"/>
        <v>0</v>
      </c>
      <c r="AF28" s="377"/>
      <c r="AG28" s="390"/>
      <c r="AH28" s="391">
        <f t="shared" si="14"/>
        <v>0</v>
      </c>
      <c r="AI28" s="392"/>
      <c r="AJ28" s="393">
        <f t="shared" ref="AJ28:AJ30" si="16">AH28+AI28</f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15"/>
        <v>0</v>
      </c>
      <c r="AF29" s="377"/>
      <c r="AG29" s="390"/>
      <c r="AH29" s="391">
        <f t="shared" si="14"/>
        <v>0</v>
      </c>
      <c r="AI29" s="392"/>
      <c r="AJ29" s="393">
        <f t="shared" si="16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15"/>
        <v>0</v>
      </c>
      <c r="AF30" s="377"/>
      <c r="AG30" s="390"/>
      <c r="AH30" s="391">
        <f t="shared" si="14"/>
        <v>0</v>
      </c>
      <c r="AI30" s="392"/>
      <c r="AJ30" s="393">
        <f t="shared" si="16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15"/>
        <v>0</v>
      </c>
      <c r="AF31" s="377"/>
      <c r="AG31" s="390"/>
      <c r="AH31" s="391">
        <f t="shared" ref="AH31:AH37" si="17">AE31+AF31</f>
        <v>0</v>
      </c>
      <c r="AI31" s="392"/>
      <c r="AJ31" s="393">
        <f t="shared" ref="AJ31:AJ33" si="18">AH31+AI31</f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ref="AE32:AE37" si="19">SUM(E32:AC32)</f>
        <v>0</v>
      </c>
      <c r="AF32" s="377"/>
      <c r="AG32" s="390"/>
      <c r="AH32" s="391">
        <f t="shared" si="17"/>
        <v>0</v>
      </c>
      <c r="AI32" s="392"/>
      <c r="AJ32" s="393">
        <f t="shared" si="18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19"/>
        <v>0</v>
      </c>
      <c r="AF33" s="377"/>
      <c r="AG33" s="390"/>
      <c r="AH33" s="391">
        <f t="shared" si="17"/>
        <v>0</v>
      </c>
      <c r="AI33" s="392"/>
      <c r="AJ33" s="393">
        <f t="shared" si="18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19"/>
        <v>0</v>
      </c>
      <c r="AF34" s="377"/>
      <c r="AG34" s="390"/>
      <c r="AH34" s="391">
        <f t="shared" si="17"/>
        <v>0</v>
      </c>
      <c r="AI34" s="392"/>
      <c r="AJ34" s="393">
        <f t="shared" ref="AJ34:AJ35" si="20">AH34+AI34</f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19"/>
        <v>0</v>
      </c>
      <c r="AF35" s="377"/>
      <c r="AG35" s="390"/>
      <c r="AH35" s="391">
        <f t="shared" si="17"/>
        <v>0</v>
      </c>
      <c r="AI35" s="392"/>
      <c r="AJ35" s="393">
        <f t="shared" si="20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19"/>
        <v>0</v>
      </c>
      <c r="AF36" s="377"/>
      <c r="AG36" s="390"/>
      <c r="AH36" s="391">
        <f t="shared" si="17"/>
        <v>0</v>
      </c>
      <c r="AI36" s="392"/>
      <c r="AJ36" s="393">
        <f t="shared" ref="AJ36:AJ37" si="21">AH36+AI36</f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19"/>
        <v>0</v>
      </c>
      <c r="AF37" s="377"/>
      <c r="AG37" s="390"/>
      <c r="AH37" s="391">
        <f t="shared" si="17"/>
        <v>0</v>
      </c>
      <c r="AI37" s="392"/>
      <c r="AJ37" s="395">
        <f t="shared" si="21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8.75">
      <c r="A38" s="302" t="s">
        <v>175</v>
      </c>
      <c r="B38" s="303"/>
      <c r="C38" s="303"/>
      <c r="D38" s="304"/>
      <c r="E38" s="305">
        <f t="shared" ref="E38:AJ38" si="22">SUM(E5:E37)</f>
        <v>0</v>
      </c>
      <c r="F38" s="305">
        <f t="shared" si="22"/>
        <v>0</v>
      </c>
      <c r="G38" s="305">
        <f t="shared" si="22"/>
        <v>0</v>
      </c>
      <c r="H38" s="305">
        <f t="shared" si="22"/>
        <v>0</v>
      </c>
      <c r="I38" s="305">
        <f t="shared" si="22"/>
        <v>0</v>
      </c>
      <c r="J38" s="305">
        <f t="shared" si="22"/>
        <v>0</v>
      </c>
      <c r="K38" s="305">
        <f t="shared" si="22"/>
        <v>0</v>
      </c>
      <c r="L38" s="305">
        <f t="shared" si="22"/>
        <v>0</v>
      </c>
      <c r="M38" s="305">
        <f t="shared" si="22"/>
        <v>0</v>
      </c>
      <c r="N38" s="305">
        <f t="shared" si="22"/>
        <v>0</v>
      </c>
      <c r="O38" s="305">
        <f t="shared" si="22"/>
        <v>0</v>
      </c>
      <c r="P38" s="305">
        <f t="shared" si="22"/>
        <v>0</v>
      </c>
      <c r="Q38" s="305">
        <f t="shared" si="22"/>
        <v>0</v>
      </c>
      <c r="R38" s="305">
        <f t="shared" si="22"/>
        <v>0</v>
      </c>
      <c r="S38" s="305">
        <f t="shared" si="22"/>
        <v>0</v>
      </c>
      <c r="T38" s="812">
        <f t="shared" si="22"/>
        <v>0</v>
      </c>
      <c r="U38" s="305">
        <f t="shared" si="22"/>
        <v>0</v>
      </c>
      <c r="V38" s="305">
        <f t="shared" si="22"/>
        <v>0</v>
      </c>
      <c r="W38" s="305">
        <f t="shared" si="22"/>
        <v>0</v>
      </c>
      <c r="X38" s="305">
        <f t="shared" si="22"/>
        <v>0</v>
      </c>
      <c r="Y38" s="305">
        <f t="shared" si="22"/>
        <v>0</v>
      </c>
      <c r="Z38" s="305">
        <f t="shared" si="22"/>
        <v>0</v>
      </c>
      <c r="AA38" s="305">
        <f t="shared" si="22"/>
        <v>0</v>
      </c>
      <c r="AB38" s="305">
        <f t="shared" si="22"/>
        <v>0</v>
      </c>
      <c r="AC38" s="305">
        <f t="shared" si="22"/>
        <v>0</v>
      </c>
      <c r="AD38" s="305">
        <f t="shared" si="22"/>
        <v>0</v>
      </c>
      <c r="AE38" s="305">
        <f t="shared" si="22"/>
        <v>0</v>
      </c>
      <c r="AF38" s="305">
        <f t="shared" si="22"/>
        <v>0</v>
      </c>
      <c r="AG38" s="305">
        <f t="shared" si="22"/>
        <v>0</v>
      </c>
      <c r="AH38" s="305">
        <f t="shared" si="22"/>
        <v>0</v>
      </c>
      <c r="AI38" s="305">
        <f t="shared" si="22"/>
        <v>0</v>
      </c>
      <c r="AJ38" s="305">
        <f t="shared" si="22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19.5" thickBot="1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86" t="s">
        <v>117</v>
      </c>
      <c r="B40" s="287" t="s">
        <v>68</v>
      </c>
      <c r="C40" s="287" t="s">
        <v>69</v>
      </c>
      <c r="D40" s="288" t="s">
        <v>70</v>
      </c>
      <c r="E40" s="80" t="s">
        <v>86</v>
      </c>
      <c r="F40" s="49" t="s">
        <v>91</v>
      </c>
      <c r="G40" s="49" t="s">
        <v>245</v>
      </c>
      <c r="H40" s="49" t="s">
        <v>238</v>
      </c>
      <c r="I40" s="49" t="s">
        <v>90</v>
      </c>
      <c r="J40" s="49" t="s">
        <v>85</v>
      </c>
      <c r="K40" s="126" t="s">
        <v>123</v>
      </c>
      <c r="L40" s="79"/>
      <c r="M40" s="80" t="s">
        <v>95</v>
      </c>
      <c r="N40" s="49" t="s">
        <v>94</v>
      </c>
      <c r="O40" s="49" t="s">
        <v>190</v>
      </c>
      <c r="P40" s="49" t="s">
        <v>53</v>
      </c>
      <c r="Q40" s="49" t="s">
        <v>119</v>
      </c>
      <c r="R40" s="49" t="s">
        <v>101</v>
      </c>
      <c r="S40" s="49" t="s">
        <v>92</v>
      </c>
      <c r="T40" s="126" t="s">
        <v>124</v>
      </c>
      <c r="U40" s="79"/>
      <c r="V40" s="713" t="str">
        <f t="shared" ref="V40:AC40" si="23">V3</f>
        <v>P.Green Sumo Baby</v>
      </c>
      <c r="W40" s="714">
        <f t="shared" si="23"/>
        <v>0</v>
      </c>
      <c r="X40" s="104">
        <f t="shared" si="23"/>
        <v>0</v>
      </c>
      <c r="Y40" s="103">
        <f t="shared" si="23"/>
        <v>0</v>
      </c>
      <c r="Z40" s="104">
        <f t="shared" si="23"/>
        <v>0</v>
      </c>
      <c r="AA40" s="104" t="s">
        <v>76</v>
      </c>
      <c r="AB40" s="179">
        <f t="shared" si="23"/>
        <v>0</v>
      </c>
      <c r="AC40" s="717">
        <f t="shared" si="23"/>
        <v>0</v>
      </c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1" thickBot="1">
      <c r="A41" s="310" t="s">
        <v>176</v>
      </c>
      <c r="B41" s="311"/>
      <c r="C41" s="311"/>
      <c r="D41" s="806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24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316" t="s">
        <v>120</v>
      </c>
      <c r="B42" s="317"/>
      <c r="C42" s="317"/>
      <c r="D42" s="806"/>
      <c r="E42" s="319"/>
      <c r="F42" s="320"/>
      <c r="G42" s="320"/>
      <c r="H42" s="321"/>
      <c r="I42" s="321"/>
      <c r="J42" s="320"/>
      <c r="K42" s="351"/>
      <c r="L42" s="352"/>
      <c r="M42" s="353"/>
      <c r="N42" s="320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24"/>
        <v>0</v>
      </c>
      <c r="AF42" s="381"/>
      <c r="AG42" s="408"/>
      <c r="AH42" s="409">
        <f t="shared" ref="AH42:AH52" si="25">AE42+AF42</f>
        <v>0</v>
      </c>
      <c r="AI42" s="410"/>
      <c r="AJ42" s="411">
        <f>AH42+AI42</f>
        <v>0</v>
      </c>
    </row>
    <row r="43" spans="1:39" s="234" customFormat="1" ht="20.25">
      <c r="A43" s="316" t="s">
        <v>120</v>
      </c>
      <c r="B43" s="295"/>
      <c r="C43" s="295"/>
      <c r="D43" s="807"/>
      <c r="E43" s="319"/>
      <c r="F43" s="320"/>
      <c r="G43" s="320"/>
      <c r="H43" s="321"/>
      <c r="I43" s="321"/>
      <c r="J43" s="320"/>
      <c r="K43" s="354"/>
      <c r="L43" s="352"/>
      <c r="M43" s="353"/>
      <c r="N43" s="321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24"/>
        <v>0</v>
      </c>
      <c r="AF43" s="381"/>
      <c r="AG43" s="408"/>
      <c r="AH43" s="409">
        <f t="shared" si="25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295"/>
      <c r="C44" s="295"/>
      <c r="D44" s="807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24"/>
        <v>0</v>
      </c>
      <c r="AF44" s="381"/>
      <c r="AG44" s="408"/>
      <c r="AH44" s="409">
        <f t="shared" si="25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295"/>
      <c r="C45" s="295"/>
      <c r="D45" s="807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24"/>
        <v>0</v>
      </c>
      <c r="AF45" s="381"/>
      <c r="AG45" s="408"/>
      <c r="AH45" s="409">
        <f t="shared" ref="AH45:AH46" si="26">AE45+AF45</f>
        <v>0</v>
      </c>
      <c r="AI45" s="410"/>
      <c r="AJ45" s="411">
        <f t="shared" ref="AJ45:AJ47" si="27">AH45+AI45</f>
        <v>0</v>
      </c>
    </row>
    <row r="46" spans="1:39" s="234" customFormat="1" ht="20.25">
      <c r="A46" s="316" t="s">
        <v>120</v>
      </c>
      <c r="B46" s="295"/>
      <c r="C46" s="295"/>
      <c r="D46" s="807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28">SUM(E46:AC46)</f>
        <v>0</v>
      </c>
      <c r="AF46" s="381"/>
      <c r="AG46" s="408"/>
      <c r="AH46" s="409">
        <f t="shared" si="26"/>
        <v>0</v>
      </c>
      <c r="AI46" s="410"/>
      <c r="AJ46" s="411">
        <f t="shared" si="27"/>
        <v>0</v>
      </c>
    </row>
    <row r="47" spans="1:39" s="234" customFormat="1" ht="20.25">
      <c r="A47" s="316" t="s">
        <v>120</v>
      </c>
      <c r="B47" s="295"/>
      <c r="C47" s="295"/>
      <c r="D47" s="807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24"/>
        <v>0</v>
      </c>
      <c r="AF47" s="381"/>
      <c r="AG47" s="408"/>
      <c r="AH47" s="409">
        <f t="shared" si="25"/>
        <v>0</v>
      </c>
      <c r="AI47" s="410"/>
      <c r="AJ47" s="411">
        <f t="shared" si="27"/>
        <v>0</v>
      </c>
    </row>
    <row r="48" spans="1:39" s="234" customFormat="1" ht="20.25">
      <c r="A48" s="316" t="s">
        <v>120</v>
      </c>
      <c r="B48" s="295"/>
      <c r="C48" s="295"/>
      <c r="D48" s="807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24"/>
        <v>0</v>
      </c>
      <c r="AF48" s="381"/>
      <c r="AG48" s="408"/>
      <c r="AH48" s="409">
        <f t="shared" si="25"/>
        <v>0</v>
      </c>
      <c r="AI48" s="410"/>
      <c r="AJ48" s="411">
        <f t="shared" ref="AJ48:AJ52" si="29">AH48+AI48</f>
        <v>0</v>
      </c>
    </row>
    <row r="49" spans="1:39" s="234" customFormat="1" ht="20.25">
      <c r="A49" s="316" t="s">
        <v>120</v>
      </c>
      <c r="B49" s="295"/>
      <c r="C49" s="295"/>
      <c r="D49" s="807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30">SUM(E49:AC49)</f>
        <v>0</v>
      </c>
      <c r="AF49" s="381"/>
      <c r="AG49" s="408"/>
      <c r="AH49" s="409">
        <f t="shared" si="25"/>
        <v>0</v>
      </c>
      <c r="AI49" s="410"/>
      <c r="AJ49" s="411">
        <f t="shared" si="29"/>
        <v>0</v>
      </c>
    </row>
    <row r="50" spans="1:39" s="234" customFormat="1" ht="20.25">
      <c r="A50" s="316" t="s">
        <v>120</v>
      </c>
      <c r="B50" s="295"/>
      <c r="C50" s="295"/>
      <c r="D50" s="807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30"/>
        <v>0</v>
      </c>
      <c r="AF50" s="381"/>
      <c r="AG50" s="408"/>
      <c r="AH50" s="409">
        <f t="shared" si="25"/>
        <v>0</v>
      </c>
      <c r="AI50" s="410"/>
      <c r="AJ50" s="411">
        <f t="shared" si="29"/>
        <v>0</v>
      </c>
    </row>
    <row r="51" spans="1:39" s="234" customFormat="1" ht="20.25">
      <c r="A51" s="316" t="s">
        <v>120</v>
      </c>
      <c r="B51" s="295"/>
      <c r="C51" s="295"/>
      <c r="D51" s="807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24"/>
        <v>0</v>
      </c>
      <c r="AF51" s="381"/>
      <c r="AG51" s="408"/>
      <c r="AH51" s="409">
        <f t="shared" si="25"/>
        <v>0</v>
      </c>
      <c r="AI51" s="410"/>
      <c r="AJ51" s="411">
        <f t="shared" si="29"/>
        <v>0</v>
      </c>
    </row>
    <row r="52" spans="1:39" s="283" customFormat="1" ht="20.25">
      <c r="A52" s="322"/>
      <c r="B52" s="323"/>
      <c r="C52" s="323"/>
      <c r="D52" s="808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31">SUM(E52:AC52)</f>
        <v>0</v>
      </c>
      <c r="AF52" s="377"/>
      <c r="AG52" s="390"/>
      <c r="AH52" s="391">
        <f t="shared" si="25"/>
        <v>0</v>
      </c>
      <c r="AI52" s="412"/>
      <c r="AJ52" s="413">
        <f t="shared" si="29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8.75">
      <c r="A53" s="326" t="s">
        <v>177</v>
      </c>
      <c r="B53" s="327"/>
      <c r="C53" s="327"/>
      <c r="D53" s="809"/>
      <c r="E53" s="329">
        <f t="shared" ref="E53:K53" si="32">SUM(E41:E52)</f>
        <v>0</v>
      </c>
      <c r="F53" s="330">
        <f t="shared" si="32"/>
        <v>0</v>
      </c>
      <c r="G53" s="330">
        <f t="shared" si="32"/>
        <v>0</v>
      </c>
      <c r="H53" s="330">
        <f t="shared" si="32"/>
        <v>0</v>
      </c>
      <c r="I53" s="330">
        <f t="shared" si="32"/>
        <v>0</v>
      </c>
      <c r="J53" s="330">
        <f t="shared" si="32"/>
        <v>0</v>
      </c>
      <c r="K53" s="356">
        <f t="shared" si="32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33">SUM(Q41:Q52)</f>
        <v>0</v>
      </c>
      <c r="R53" s="359">
        <f t="shared" si="33"/>
        <v>0</v>
      </c>
      <c r="S53" s="359">
        <f t="shared" si="33"/>
        <v>0</v>
      </c>
      <c r="T53" s="369">
        <f t="shared" si="33"/>
        <v>0</v>
      </c>
      <c r="U53" s="357"/>
      <c r="V53" s="358">
        <f t="shared" ref="V53:AC53" si="34">SUM(V41:V52)</f>
        <v>0</v>
      </c>
      <c r="W53" s="359">
        <f t="shared" si="34"/>
        <v>0</v>
      </c>
      <c r="X53" s="359">
        <f t="shared" si="34"/>
        <v>0</v>
      </c>
      <c r="Y53" s="359">
        <f t="shared" si="34"/>
        <v>0</v>
      </c>
      <c r="Z53" s="359">
        <f t="shared" si="34"/>
        <v>0</v>
      </c>
      <c r="AA53" s="359">
        <f t="shared" si="34"/>
        <v>0</v>
      </c>
      <c r="AB53" s="359">
        <f t="shared" si="34"/>
        <v>0</v>
      </c>
      <c r="AC53" s="369">
        <f t="shared" si="34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35">SUM(AG41:AG52)</f>
        <v>0</v>
      </c>
      <c r="AH53" s="417">
        <f t="shared" si="35"/>
        <v>0</v>
      </c>
      <c r="AI53" s="382">
        <f t="shared" si="35"/>
        <v>0</v>
      </c>
      <c r="AJ53" s="418">
        <f t="shared" si="35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19.5" thickBot="1">
      <c r="A54" s="306"/>
      <c r="B54" s="307"/>
      <c r="C54" s="307"/>
      <c r="D54" s="810"/>
      <c r="E54" s="309"/>
      <c r="F54" s="309"/>
      <c r="G54" s="309"/>
      <c r="H54" s="309"/>
      <c r="I54" s="309"/>
      <c r="J54" s="309"/>
      <c r="K54" s="309"/>
      <c r="L54" s="346"/>
      <c r="M54" s="347"/>
      <c r="N54" s="347"/>
      <c r="O54" s="347"/>
      <c r="P54" s="347"/>
      <c r="Q54" s="347"/>
      <c r="R54" s="347"/>
      <c r="S54" s="347"/>
      <c r="T54" s="347"/>
      <c r="U54" s="346"/>
      <c r="V54" s="347"/>
      <c r="W54" s="347"/>
      <c r="X54" s="347"/>
      <c r="Y54" s="347"/>
      <c r="Z54" s="347"/>
      <c r="AA54" s="347"/>
      <c r="AB54" s="347"/>
      <c r="AC54" s="347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86" t="s">
        <v>122</v>
      </c>
      <c r="B55" s="287" t="s">
        <v>68</v>
      </c>
      <c r="C55" s="287" t="s">
        <v>69</v>
      </c>
      <c r="D55" s="811" t="s">
        <v>70</v>
      </c>
      <c r="E55" s="80" t="s">
        <v>86</v>
      </c>
      <c r="F55" s="49" t="s">
        <v>91</v>
      </c>
      <c r="G55" s="49" t="s">
        <v>245</v>
      </c>
      <c r="H55" s="49" t="s">
        <v>238</v>
      </c>
      <c r="I55" s="49" t="s">
        <v>90</v>
      </c>
      <c r="J55" s="49" t="s">
        <v>85</v>
      </c>
      <c r="K55" s="126" t="s">
        <v>123</v>
      </c>
      <c r="L55" s="79"/>
      <c r="M55" s="80" t="s">
        <v>95</v>
      </c>
      <c r="N55" s="49" t="s">
        <v>94</v>
      </c>
      <c r="O55" s="49" t="s">
        <v>190</v>
      </c>
      <c r="P55" s="49" t="s">
        <v>53</v>
      </c>
      <c r="Q55" s="49" t="s">
        <v>119</v>
      </c>
      <c r="R55" s="49" t="s">
        <v>101</v>
      </c>
      <c r="S55" s="49" t="s">
        <v>92</v>
      </c>
      <c r="T55" s="126" t="s">
        <v>124</v>
      </c>
      <c r="U55" s="79"/>
      <c r="V55" s="99" t="s">
        <v>448</v>
      </c>
      <c r="W55" s="716"/>
      <c r="X55" s="104"/>
      <c r="Y55" s="103"/>
      <c r="Z55" s="104"/>
      <c r="AA55" s="104" t="s">
        <v>76</v>
      </c>
      <c r="AB55" s="121"/>
      <c r="AC55" s="717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310" t="s">
        <v>125</v>
      </c>
      <c r="B56" s="311"/>
      <c r="C56" s="311"/>
      <c r="D56" s="806"/>
      <c r="E56" s="313"/>
      <c r="F56" s="314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36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316" t="s">
        <v>125</v>
      </c>
      <c r="B57" s="317"/>
      <c r="C57" s="317"/>
      <c r="D57" s="807"/>
      <c r="E57" s="319"/>
      <c r="F57" s="320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36"/>
        <v>0</v>
      </c>
      <c r="AF57" s="381"/>
      <c r="AG57" s="408"/>
      <c r="AH57" s="409">
        <f t="shared" ref="AH57:AH59" si="37">AE57+AF57</f>
        <v>0</v>
      </c>
      <c r="AI57" s="410"/>
      <c r="AJ57" s="411">
        <f>AH57+AI57</f>
        <v>0</v>
      </c>
    </row>
    <row r="58" spans="1:39" s="234" customFormat="1" ht="20.25">
      <c r="A58" s="316" t="s">
        <v>125</v>
      </c>
      <c r="B58" s="295"/>
      <c r="C58" s="295"/>
      <c r="D58" s="807"/>
      <c r="E58" s="319"/>
      <c r="F58" s="320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36"/>
        <v>0</v>
      </c>
      <c r="AF58" s="381"/>
      <c r="AG58" s="408"/>
      <c r="AH58" s="409">
        <f t="shared" si="37"/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807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36"/>
        <v>0</v>
      </c>
      <c r="AF59" s="381"/>
      <c r="AG59" s="408"/>
      <c r="AH59" s="409">
        <f t="shared" si="37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807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67" si="38">SUM(E60:AC60)</f>
        <v>0</v>
      </c>
      <c r="AF60" s="381"/>
      <c r="AG60" s="408"/>
      <c r="AH60" s="409">
        <f t="shared" ref="AH60:AH67" si="39">AE60+AF60</f>
        <v>0</v>
      </c>
      <c r="AI60" s="410"/>
      <c r="AJ60" s="411">
        <f t="shared" ref="AJ60:AJ62" si="40">AH60+AI60</f>
        <v>0</v>
      </c>
    </row>
    <row r="61" spans="1:39" s="234" customFormat="1" ht="20.25">
      <c r="A61" s="316" t="s">
        <v>125</v>
      </c>
      <c r="B61" s="295"/>
      <c r="C61" s="295"/>
      <c r="D61" s="807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38"/>
        <v>0</v>
      </c>
      <c r="AF61" s="381"/>
      <c r="AG61" s="408"/>
      <c r="AH61" s="409">
        <f t="shared" si="39"/>
        <v>0</v>
      </c>
      <c r="AI61" s="410"/>
      <c r="AJ61" s="411">
        <f t="shared" si="40"/>
        <v>0</v>
      </c>
    </row>
    <row r="62" spans="1:39" s="234" customFormat="1" ht="20.25">
      <c r="A62" s="316" t="s">
        <v>125</v>
      </c>
      <c r="B62" s="295"/>
      <c r="C62" s="295"/>
      <c r="D62" s="807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38"/>
        <v>0</v>
      </c>
      <c r="AF62" s="381"/>
      <c r="AG62" s="408"/>
      <c r="AH62" s="409">
        <f t="shared" si="39"/>
        <v>0</v>
      </c>
      <c r="AI62" s="410"/>
      <c r="AJ62" s="411">
        <f t="shared" si="40"/>
        <v>0</v>
      </c>
    </row>
    <row r="63" spans="1:39" s="234" customFormat="1" ht="20.25">
      <c r="A63" s="316" t="s">
        <v>125</v>
      </c>
      <c r="B63" s="295"/>
      <c r="C63" s="295"/>
      <c r="D63" s="807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38"/>
        <v>0</v>
      </c>
      <c r="AF63" s="381"/>
      <c r="AG63" s="408"/>
      <c r="AH63" s="409">
        <f t="shared" si="39"/>
        <v>0</v>
      </c>
      <c r="AI63" s="410"/>
      <c r="AJ63" s="411">
        <f t="shared" ref="AJ63:AJ67" si="41">AH63+AI63</f>
        <v>0</v>
      </c>
    </row>
    <row r="64" spans="1:39" s="234" customFormat="1" ht="20.25">
      <c r="A64" s="316" t="s">
        <v>125</v>
      </c>
      <c r="B64" s="295"/>
      <c r="C64" s="295"/>
      <c r="D64" s="807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38"/>
        <v>0</v>
      </c>
      <c r="AF64" s="381"/>
      <c r="AG64" s="408"/>
      <c r="AH64" s="409">
        <f t="shared" si="39"/>
        <v>0</v>
      </c>
      <c r="AI64" s="410"/>
      <c r="AJ64" s="411">
        <f t="shared" si="41"/>
        <v>0</v>
      </c>
    </row>
    <row r="65" spans="1:39" s="234" customFormat="1" ht="20.25">
      <c r="A65" s="316" t="s">
        <v>125</v>
      </c>
      <c r="B65" s="295"/>
      <c r="C65" s="295"/>
      <c r="D65" s="807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38"/>
        <v>0</v>
      </c>
      <c r="AF65" s="381"/>
      <c r="AG65" s="408"/>
      <c r="AH65" s="409">
        <f t="shared" si="39"/>
        <v>0</v>
      </c>
      <c r="AI65" s="410"/>
      <c r="AJ65" s="411">
        <f t="shared" si="41"/>
        <v>0</v>
      </c>
    </row>
    <row r="66" spans="1:39" s="234" customFormat="1" ht="20.25">
      <c r="A66" s="316" t="s">
        <v>125</v>
      </c>
      <c r="B66" s="295"/>
      <c r="C66" s="295"/>
      <c r="D66" s="807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38"/>
        <v>0</v>
      </c>
      <c r="AF66" s="381"/>
      <c r="AG66" s="408"/>
      <c r="AH66" s="409">
        <f t="shared" si="39"/>
        <v>0</v>
      </c>
      <c r="AI66" s="410"/>
      <c r="AJ66" s="411">
        <f t="shared" si="41"/>
        <v>0</v>
      </c>
    </row>
    <row r="67" spans="1:39" s="283" customFormat="1" ht="20.25">
      <c r="A67" s="322"/>
      <c r="B67" s="323"/>
      <c r="C67" s="323"/>
      <c r="D67" s="808"/>
      <c r="E67" s="325"/>
      <c r="F67" s="297"/>
      <c r="G67" s="297"/>
      <c r="H67" s="298"/>
      <c r="I67" s="298"/>
      <c r="J67" s="297"/>
      <c r="K67" s="344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325"/>
      <c r="W67" s="297"/>
      <c r="X67" s="297"/>
      <c r="Y67" s="298"/>
      <c r="Z67" s="298"/>
      <c r="AA67" s="298"/>
      <c r="AB67" s="297"/>
      <c r="AC67" s="375"/>
      <c r="AD67" s="355"/>
      <c r="AE67" s="376">
        <f t="shared" si="38"/>
        <v>0</v>
      </c>
      <c r="AF67" s="377"/>
      <c r="AG67" s="390"/>
      <c r="AH67" s="391">
        <f t="shared" si="39"/>
        <v>0</v>
      </c>
      <c r="AI67" s="412"/>
      <c r="AJ67" s="413">
        <f t="shared" si="41"/>
        <v>0</v>
      </c>
      <c r="AK67" s="414" t="s">
        <v>8</v>
      </c>
      <c r="AL67" s="397" t="s">
        <v>23</v>
      </c>
      <c r="AM67" s="415" t="s">
        <v>174</v>
      </c>
    </row>
    <row r="68" spans="1:39" s="284" customFormat="1" ht="19.5" thickBot="1">
      <c r="A68" s="326" t="s">
        <v>126</v>
      </c>
      <c r="B68" s="327"/>
      <c r="C68" s="327"/>
      <c r="D68" s="809"/>
      <c r="E68" s="329">
        <f t="shared" ref="E68:K68" si="42">SUM(E56:E67)</f>
        <v>0</v>
      </c>
      <c r="F68" s="330">
        <f t="shared" si="42"/>
        <v>0</v>
      </c>
      <c r="G68" s="330">
        <f t="shared" si="42"/>
        <v>0</v>
      </c>
      <c r="H68" s="330">
        <f t="shared" si="42"/>
        <v>0</v>
      </c>
      <c r="I68" s="330">
        <f t="shared" si="42"/>
        <v>0</v>
      </c>
      <c r="J68" s="330">
        <f t="shared" si="42"/>
        <v>0</v>
      </c>
      <c r="K68" s="356">
        <f t="shared" si="42"/>
        <v>0</v>
      </c>
      <c r="L68" s="357"/>
      <c r="M68" s="358">
        <f>SUM(M56:M67)</f>
        <v>0</v>
      </c>
      <c r="N68" s="359">
        <f>SUM(N56:N67)</f>
        <v>0</v>
      </c>
      <c r="O68" s="359">
        <f>SUM(O56:O67)</f>
        <v>0</v>
      </c>
      <c r="P68" s="359">
        <f>SUM(P56:P67)</f>
        <v>0</v>
      </c>
      <c r="Q68" s="359">
        <f t="shared" ref="Q68:S68" si="43">SUM(Q56:Q67)</f>
        <v>0</v>
      </c>
      <c r="R68" s="359">
        <f t="shared" si="43"/>
        <v>0</v>
      </c>
      <c r="S68" s="359">
        <f t="shared" si="43"/>
        <v>0</v>
      </c>
      <c r="T68" s="369">
        <f t="shared" ref="T68" si="44">SUM(T56:T67)</f>
        <v>0</v>
      </c>
      <c r="U68" s="357"/>
      <c r="V68" s="358">
        <f t="shared" ref="V68:AC68" si="45">SUM(V56:V67)</f>
        <v>0</v>
      </c>
      <c r="W68" s="359">
        <f t="shared" si="45"/>
        <v>0</v>
      </c>
      <c r="X68" s="359">
        <f t="shared" si="45"/>
        <v>0</v>
      </c>
      <c r="Y68" s="359">
        <f t="shared" si="45"/>
        <v>0</v>
      </c>
      <c r="Z68" s="359">
        <f t="shared" si="45"/>
        <v>0</v>
      </c>
      <c r="AA68" s="359">
        <f t="shared" si="45"/>
        <v>0</v>
      </c>
      <c r="AB68" s="359">
        <f t="shared" si="45"/>
        <v>0</v>
      </c>
      <c r="AC68" s="369">
        <f t="shared" si="45"/>
        <v>0</v>
      </c>
      <c r="AD68" s="357"/>
      <c r="AE68" s="382">
        <f>SUM(AE56:AE67)</f>
        <v>0</v>
      </c>
      <c r="AF68" s="382">
        <f>SUM(AF56:AF67)</f>
        <v>0</v>
      </c>
      <c r="AG68" s="416">
        <f t="shared" ref="AG68:AJ68" si="46">SUM(AG56:AG67)</f>
        <v>0</v>
      </c>
      <c r="AH68" s="417">
        <f t="shared" si="46"/>
        <v>0</v>
      </c>
      <c r="AI68" s="382">
        <f t="shared" si="46"/>
        <v>0</v>
      </c>
      <c r="AJ68" s="418">
        <f t="shared" si="46"/>
        <v>0</v>
      </c>
      <c r="AK68" s="399">
        <f>'BIG CHAIR'!CL91</f>
        <v>0</v>
      </c>
      <c r="AL68" s="400">
        <f>'Tea Table'!X181</f>
        <v>0</v>
      </c>
      <c r="AM68" s="401">
        <f>AH68+AK68+AL68</f>
        <v>0</v>
      </c>
    </row>
    <row r="69" spans="1:39" ht="24" thickBot="1">
      <c r="A69" s="286" t="s">
        <v>127</v>
      </c>
      <c r="B69" s="287" t="s">
        <v>68</v>
      </c>
      <c r="C69" s="287" t="s">
        <v>69</v>
      </c>
      <c r="D69" s="288" t="s">
        <v>70</v>
      </c>
      <c r="E69" s="80" t="s">
        <v>86</v>
      </c>
      <c r="F69" s="49" t="s">
        <v>91</v>
      </c>
      <c r="G69" s="49" t="s">
        <v>245</v>
      </c>
      <c r="H69" s="49" t="s">
        <v>238</v>
      </c>
      <c r="I69" s="49" t="s">
        <v>90</v>
      </c>
      <c r="J69" s="49" t="s">
        <v>85</v>
      </c>
      <c r="K69" s="126" t="s">
        <v>123</v>
      </c>
      <c r="L69" s="79"/>
      <c r="M69" s="80" t="s">
        <v>95</v>
      </c>
      <c r="N69" s="49" t="s">
        <v>94</v>
      </c>
      <c r="O69" s="49" t="s">
        <v>190</v>
      </c>
      <c r="P69" s="49" t="s">
        <v>53</v>
      </c>
      <c r="Q69" s="49" t="s">
        <v>119</v>
      </c>
      <c r="R69" s="49" t="s">
        <v>101</v>
      </c>
      <c r="S69" s="49" t="s">
        <v>92</v>
      </c>
      <c r="T69" s="126" t="s">
        <v>124</v>
      </c>
      <c r="U69" s="79"/>
      <c r="V69" s="99"/>
      <c r="W69" s="716"/>
      <c r="X69" s="104"/>
      <c r="Y69" s="103"/>
      <c r="Z69" s="104"/>
      <c r="AA69" s="104" t="s">
        <v>76</v>
      </c>
      <c r="AB69" s="121"/>
      <c r="AC69" s="717"/>
      <c r="AD69" s="370"/>
      <c r="AE69" s="371" t="s">
        <v>172</v>
      </c>
      <c r="AF69" s="372" t="s">
        <v>80</v>
      </c>
      <c r="AG69" s="385"/>
      <c r="AH69" s="386" t="s">
        <v>106</v>
      </c>
      <c r="AI69" s="385" t="s">
        <v>173</v>
      </c>
      <c r="AJ69" s="371" t="s">
        <v>108</v>
      </c>
      <c r="AK69" s="282"/>
      <c r="AL69" s="282"/>
      <c r="AM69" s="282"/>
    </row>
    <row r="70" spans="1:39" ht="21" thickBot="1">
      <c r="A70" s="792" t="s">
        <v>128</v>
      </c>
      <c r="B70" s="2844"/>
      <c r="C70" s="2844"/>
      <c r="D70" s="331"/>
      <c r="E70" s="313"/>
      <c r="F70" s="314"/>
      <c r="G70" s="314"/>
      <c r="H70" s="315"/>
      <c r="I70" s="315"/>
      <c r="J70" s="314"/>
      <c r="K70" s="477"/>
      <c r="L70" s="349"/>
      <c r="M70" s="350"/>
      <c r="N70" s="315"/>
      <c r="O70" s="315"/>
      <c r="P70" s="315"/>
      <c r="Q70" s="315"/>
      <c r="R70" s="315"/>
      <c r="S70" s="315"/>
      <c r="T70" s="348"/>
      <c r="U70" s="349"/>
      <c r="V70" s="350"/>
      <c r="W70" s="315"/>
      <c r="X70" s="315"/>
      <c r="Y70" s="315"/>
      <c r="Z70" s="315"/>
      <c r="AA70" s="315"/>
      <c r="AB70" s="315"/>
      <c r="AC70" s="378"/>
      <c r="AD70" s="349"/>
      <c r="AE70" s="379">
        <f t="shared" ref="AE70:AE73" si="47">SUM(E70:AC70)</f>
        <v>0</v>
      </c>
      <c r="AF70" s="379"/>
      <c r="AG70" s="404"/>
      <c r="AH70" s="405">
        <f>AE70+AF70</f>
        <v>0</v>
      </c>
      <c r="AI70" s="406"/>
      <c r="AJ70" s="407">
        <f>AH70+AI70</f>
        <v>0</v>
      </c>
      <c r="AK70" s="234"/>
      <c r="AL70" s="234"/>
      <c r="AM70" s="234"/>
    </row>
    <row r="71" spans="1:39" ht="20.25">
      <c r="A71" s="424" t="s">
        <v>128</v>
      </c>
      <c r="B71" s="317"/>
      <c r="C71" s="317"/>
      <c r="D71" s="312"/>
      <c r="E71" s="319"/>
      <c r="F71" s="320"/>
      <c r="G71" s="320"/>
      <c r="H71" s="321"/>
      <c r="I71" s="321"/>
      <c r="J71" s="320"/>
      <c r="K71" s="351"/>
      <c r="L71" s="352"/>
      <c r="M71" s="353"/>
      <c r="N71" s="320"/>
      <c r="O71" s="320"/>
      <c r="P71" s="321"/>
      <c r="Q71" s="321"/>
      <c r="R71" s="321"/>
      <c r="S71" s="320"/>
      <c r="T71" s="351"/>
      <c r="U71" s="352"/>
      <c r="V71" s="353"/>
      <c r="W71" s="321"/>
      <c r="X71" s="321"/>
      <c r="Y71" s="321"/>
      <c r="Z71" s="321"/>
      <c r="AA71" s="321"/>
      <c r="AB71" s="321"/>
      <c r="AC71" s="380"/>
      <c r="AD71" s="352"/>
      <c r="AE71" s="381">
        <f t="shared" si="47"/>
        <v>0</v>
      </c>
      <c r="AF71" s="381"/>
      <c r="AG71" s="408"/>
      <c r="AH71" s="409">
        <f t="shared" ref="AH71:AH73" si="48">AE71+AF71</f>
        <v>0</v>
      </c>
      <c r="AI71" s="406"/>
      <c r="AJ71" s="411">
        <f>AH71+AI71</f>
        <v>0</v>
      </c>
      <c r="AK71" s="234"/>
      <c r="AL71" s="234"/>
      <c r="AM71" s="234"/>
    </row>
    <row r="72" spans="1:39" ht="20.25">
      <c r="A72" s="424" t="s">
        <v>128</v>
      </c>
      <c r="B72" s="295"/>
      <c r="C72" s="295"/>
      <c r="D72" s="318"/>
      <c r="E72" s="319"/>
      <c r="F72" s="320"/>
      <c r="G72" s="320"/>
      <c r="H72" s="321"/>
      <c r="I72" s="321"/>
      <c r="J72" s="320"/>
      <c r="K72" s="354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47"/>
        <v>0</v>
      </c>
      <c r="AF72" s="381"/>
      <c r="AG72" s="408"/>
      <c r="AH72" s="409">
        <f t="shared" si="48"/>
        <v>0</v>
      </c>
      <c r="AI72" s="410"/>
      <c r="AJ72" s="411">
        <f>AH72+AI72</f>
        <v>0</v>
      </c>
      <c r="AK72" s="234"/>
      <c r="AL72" s="234"/>
      <c r="AM72" s="234"/>
    </row>
    <row r="73" spans="1:39" ht="20.25">
      <c r="A73" s="424" t="s">
        <v>128</v>
      </c>
      <c r="B73" s="295"/>
      <c r="C73" s="295"/>
      <c r="D73" s="318"/>
      <c r="E73" s="319"/>
      <c r="F73" s="320"/>
      <c r="G73" s="320"/>
      <c r="H73" s="321"/>
      <c r="I73" s="321"/>
      <c r="J73" s="320"/>
      <c r="K73" s="354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47"/>
        <v>0</v>
      </c>
      <c r="AF73" s="381"/>
      <c r="AG73" s="408"/>
      <c r="AH73" s="409">
        <f t="shared" si="48"/>
        <v>0</v>
      </c>
      <c r="AI73" s="410"/>
      <c r="AJ73" s="411">
        <f>AH73+AI73</f>
        <v>0</v>
      </c>
      <c r="AK73" s="234"/>
      <c r="AL73" s="234"/>
      <c r="AM73" s="234"/>
    </row>
    <row r="74" spans="1:39" ht="20.25">
      <c r="A74" s="424" t="s">
        <v>128</v>
      </c>
      <c r="B74" s="295"/>
      <c r="C74" s="295"/>
      <c r="D74" s="318"/>
      <c r="E74" s="319"/>
      <c r="F74" s="320"/>
      <c r="G74" s="320"/>
      <c r="H74" s="321"/>
      <c r="I74" s="321"/>
      <c r="J74" s="320"/>
      <c r="K74" s="354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ref="AE74:AE81" si="49">SUM(E74:AC74)</f>
        <v>0</v>
      </c>
      <c r="AF74" s="381"/>
      <c r="AG74" s="408"/>
      <c r="AH74" s="409">
        <f t="shared" ref="AH74:AH81" si="50">AE74+AF74</f>
        <v>0</v>
      </c>
      <c r="AI74" s="410"/>
      <c r="AJ74" s="411">
        <f t="shared" ref="AJ74:AJ76" si="51">AH74+AI74</f>
        <v>0</v>
      </c>
      <c r="AK74" s="234"/>
      <c r="AL74" s="234"/>
      <c r="AM74" s="234"/>
    </row>
    <row r="75" spans="1:39" ht="20.25">
      <c r="A75" s="424" t="s">
        <v>128</v>
      </c>
      <c r="B75" s="295"/>
      <c r="C75" s="295"/>
      <c r="D75" s="318"/>
      <c r="E75" s="319"/>
      <c r="F75" s="320"/>
      <c r="G75" s="320"/>
      <c r="H75" s="321"/>
      <c r="I75" s="321"/>
      <c r="J75" s="320"/>
      <c r="K75" s="354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49"/>
        <v>0</v>
      </c>
      <c r="AF75" s="381"/>
      <c r="AG75" s="408"/>
      <c r="AH75" s="409">
        <f t="shared" si="50"/>
        <v>0</v>
      </c>
      <c r="AI75" s="410"/>
      <c r="AJ75" s="411">
        <f t="shared" si="51"/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49"/>
        <v>0</v>
      </c>
      <c r="AF76" s="381"/>
      <c r="AG76" s="408"/>
      <c r="AH76" s="409">
        <f t="shared" si="50"/>
        <v>0</v>
      </c>
      <c r="AI76" s="410"/>
      <c r="AJ76" s="411">
        <f t="shared" si="51"/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49"/>
        <v>0</v>
      </c>
      <c r="AF77" s="381"/>
      <c r="AG77" s="408"/>
      <c r="AH77" s="409">
        <f t="shared" si="50"/>
        <v>0</v>
      </c>
      <c r="AI77" s="410"/>
      <c r="AJ77" s="411">
        <f t="shared" ref="AJ77:AJ81" si="52">AH77+AI77</f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49"/>
        <v>0</v>
      </c>
      <c r="AF78" s="381"/>
      <c r="AG78" s="408"/>
      <c r="AH78" s="409">
        <f t="shared" si="50"/>
        <v>0</v>
      </c>
      <c r="AI78" s="410"/>
      <c r="AJ78" s="411">
        <f t="shared" si="52"/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49"/>
        <v>0</v>
      </c>
      <c r="AF79" s="381"/>
      <c r="AG79" s="408"/>
      <c r="AH79" s="409">
        <f t="shared" si="50"/>
        <v>0</v>
      </c>
      <c r="AI79" s="410"/>
      <c r="AJ79" s="411">
        <f t="shared" si="52"/>
        <v>0</v>
      </c>
      <c r="AK79" s="234"/>
      <c r="AL79" s="234"/>
      <c r="AM79" s="234"/>
    </row>
    <row r="80" spans="1:39" ht="20.25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49"/>
        <v>0</v>
      </c>
      <c r="AF80" s="381"/>
      <c r="AG80" s="408"/>
      <c r="AH80" s="409">
        <f t="shared" si="50"/>
        <v>0</v>
      </c>
      <c r="AI80" s="410"/>
      <c r="AJ80" s="411">
        <f t="shared" si="52"/>
        <v>0</v>
      </c>
      <c r="AK80" s="234"/>
      <c r="AL80" s="234"/>
      <c r="AM80" s="234"/>
    </row>
    <row r="81" spans="1:39" ht="20.25">
      <c r="A81" s="322"/>
      <c r="B81" s="323"/>
      <c r="C81" s="323"/>
      <c r="D81" s="324"/>
      <c r="E81" s="325"/>
      <c r="F81" s="297"/>
      <c r="G81" s="297"/>
      <c r="H81" s="298"/>
      <c r="I81" s="298"/>
      <c r="J81" s="297"/>
      <c r="K81" s="344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49"/>
        <v>0</v>
      </c>
      <c r="AF81" s="377"/>
      <c r="AG81" s="390"/>
      <c r="AH81" s="391">
        <f t="shared" si="50"/>
        <v>0</v>
      </c>
      <c r="AI81" s="412"/>
      <c r="AJ81" s="413">
        <f t="shared" si="52"/>
        <v>0</v>
      </c>
      <c r="AK81" s="414" t="s">
        <v>8</v>
      </c>
      <c r="AL81" s="397" t="s">
        <v>23</v>
      </c>
      <c r="AM81" s="415" t="s">
        <v>174</v>
      </c>
    </row>
    <row r="82" spans="1:39" ht="19.5" thickBot="1">
      <c r="A82" s="326" t="s">
        <v>129</v>
      </c>
      <c r="B82" s="327"/>
      <c r="C82" s="327"/>
      <c r="D82" s="328"/>
      <c r="E82" s="329">
        <f>SUM(E70:E81)</f>
        <v>0</v>
      </c>
      <c r="F82" s="329">
        <f t="shared" ref="F82:AJ82" si="53">SUM(F70:F81)</f>
        <v>0</v>
      </c>
      <c r="G82" s="329">
        <f t="shared" si="53"/>
        <v>0</v>
      </c>
      <c r="H82" s="329">
        <f t="shared" si="53"/>
        <v>0</v>
      </c>
      <c r="I82" s="329">
        <f t="shared" si="53"/>
        <v>0</v>
      </c>
      <c r="J82" s="329">
        <f t="shared" si="53"/>
        <v>0</v>
      </c>
      <c r="K82" s="329">
        <f t="shared" si="53"/>
        <v>0</v>
      </c>
      <c r="L82" s="329"/>
      <c r="M82" s="329">
        <f t="shared" si="53"/>
        <v>0</v>
      </c>
      <c r="N82" s="329">
        <f t="shared" si="53"/>
        <v>0</v>
      </c>
      <c r="O82" s="329">
        <f t="shared" si="53"/>
        <v>0</v>
      </c>
      <c r="P82" s="329">
        <f t="shared" si="53"/>
        <v>0</v>
      </c>
      <c r="Q82" s="329">
        <f t="shared" si="53"/>
        <v>0</v>
      </c>
      <c r="R82" s="329">
        <f t="shared" si="53"/>
        <v>0</v>
      </c>
      <c r="S82" s="329">
        <f t="shared" si="53"/>
        <v>0</v>
      </c>
      <c r="T82" s="329">
        <f t="shared" si="53"/>
        <v>0</v>
      </c>
      <c r="U82" s="329"/>
      <c r="V82" s="329">
        <f t="shared" si="53"/>
        <v>0</v>
      </c>
      <c r="W82" s="329">
        <f t="shared" si="53"/>
        <v>0</v>
      </c>
      <c r="X82" s="329">
        <f t="shared" si="53"/>
        <v>0</v>
      </c>
      <c r="Y82" s="329">
        <f t="shared" si="53"/>
        <v>0</v>
      </c>
      <c r="Z82" s="329">
        <f t="shared" si="53"/>
        <v>0</v>
      </c>
      <c r="AA82" s="329">
        <f t="shared" si="53"/>
        <v>0</v>
      </c>
      <c r="AB82" s="329">
        <f t="shared" si="53"/>
        <v>0</v>
      </c>
      <c r="AC82" s="329">
        <f t="shared" si="53"/>
        <v>0</v>
      </c>
      <c r="AD82" s="329">
        <f t="shared" si="53"/>
        <v>0</v>
      </c>
      <c r="AE82" s="329">
        <f t="shared" si="53"/>
        <v>0</v>
      </c>
      <c r="AF82" s="329">
        <f t="shared" si="53"/>
        <v>0</v>
      </c>
      <c r="AG82" s="329">
        <f t="shared" si="53"/>
        <v>0</v>
      </c>
      <c r="AH82" s="329">
        <f t="shared" si="53"/>
        <v>0</v>
      </c>
      <c r="AI82" s="329">
        <f t="shared" si="53"/>
        <v>0</v>
      </c>
      <c r="AJ82" s="329">
        <f t="shared" si="53"/>
        <v>0</v>
      </c>
      <c r="AK82" s="399">
        <f>'BIG CHAIR'!CL105</f>
        <v>0</v>
      </c>
      <c r="AL82" s="400">
        <f>'Tea Table'!X195</f>
        <v>0</v>
      </c>
      <c r="AM82" s="401">
        <f>AH82+AK82+AL82</f>
        <v>0</v>
      </c>
    </row>
    <row r="83" spans="1:39" ht="24" thickBot="1">
      <c r="A83" s="286" t="s">
        <v>130</v>
      </c>
      <c r="B83" s="287" t="s">
        <v>68</v>
      </c>
      <c r="C83" s="287" t="s">
        <v>69</v>
      </c>
      <c r="D83" s="288" t="s">
        <v>70</v>
      </c>
      <c r="E83" s="80" t="s">
        <v>86</v>
      </c>
      <c r="F83" s="49" t="s">
        <v>91</v>
      </c>
      <c r="G83" s="49" t="s">
        <v>245</v>
      </c>
      <c r="H83" s="49" t="s">
        <v>238</v>
      </c>
      <c r="I83" s="49" t="s">
        <v>90</v>
      </c>
      <c r="J83" s="49" t="s">
        <v>85</v>
      </c>
      <c r="K83" s="126" t="s">
        <v>123</v>
      </c>
      <c r="L83" s="79"/>
      <c r="M83" s="80" t="s">
        <v>95</v>
      </c>
      <c r="N83" s="49" t="s">
        <v>94</v>
      </c>
      <c r="O83" s="49" t="s">
        <v>190</v>
      </c>
      <c r="P83" s="49" t="s">
        <v>53</v>
      </c>
      <c r="Q83" s="49" t="s">
        <v>119</v>
      </c>
      <c r="R83" s="49" t="s">
        <v>101</v>
      </c>
      <c r="S83" s="49" t="s">
        <v>92</v>
      </c>
      <c r="T83" s="126" t="s">
        <v>124</v>
      </c>
      <c r="U83" s="79"/>
      <c r="V83" s="99" t="s">
        <v>448</v>
      </c>
      <c r="W83" s="716"/>
      <c r="X83" s="104"/>
      <c r="Y83" s="103"/>
      <c r="Z83" s="104"/>
      <c r="AA83" s="104" t="s">
        <v>76</v>
      </c>
      <c r="AB83" s="121"/>
      <c r="AC83" s="717"/>
      <c r="AD83" s="370"/>
      <c r="AE83" s="371" t="s">
        <v>172</v>
      </c>
      <c r="AF83" s="372" t="s">
        <v>80</v>
      </c>
      <c r="AG83" s="385"/>
      <c r="AH83" s="386" t="s">
        <v>106</v>
      </c>
      <c r="AI83" s="385" t="s">
        <v>173</v>
      </c>
      <c r="AJ83" s="371" t="s">
        <v>108</v>
      </c>
      <c r="AK83" s="282"/>
      <c r="AL83" s="282"/>
      <c r="AM83" s="282"/>
    </row>
    <row r="84" spans="1:39" ht="21" thickBot="1">
      <c r="A84" s="792" t="s">
        <v>131</v>
      </c>
      <c r="B84" s="2844"/>
      <c r="C84" s="2844"/>
      <c r="D84" s="331"/>
      <c r="E84" s="313"/>
      <c r="F84" s="314"/>
      <c r="G84" s="314"/>
      <c r="H84" s="315"/>
      <c r="I84" s="315"/>
      <c r="J84" s="314"/>
      <c r="K84" s="477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ref="AE84:AE87" si="54">SUM(E84:AC84)</f>
        <v>0</v>
      </c>
      <c r="AF84" s="379"/>
      <c r="AG84" s="404"/>
      <c r="AH84" s="405">
        <f>AE84+AF84</f>
        <v>0</v>
      </c>
      <c r="AI84" s="406"/>
      <c r="AJ84" s="407">
        <f>AH84+AI84</f>
        <v>0</v>
      </c>
      <c r="AK84" s="234"/>
      <c r="AL84" s="234"/>
      <c r="AM84" s="234"/>
    </row>
    <row r="85" spans="1:39" ht="20.25">
      <c r="A85" s="792" t="s">
        <v>131</v>
      </c>
      <c r="B85" s="317"/>
      <c r="C85" s="317"/>
      <c r="D85" s="312"/>
      <c r="E85" s="319"/>
      <c r="F85" s="320"/>
      <c r="G85" s="320"/>
      <c r="H85" s="321"/>
      <c r="I85" s="321"/>
      <c r="J85" s="320"/>
      <c r="K85" s="351"/>
      <c r="L85" s="352"/>
      <c r="M85" s="353"/>
      <c r="N85" s="320"/>
      <c r="O85" s="320"/>
      <c r="P85" s="321"/>
      <c r="Q85" s="321"/>
      <c r="R85" s="321"/>
      <c r="S85" s="320"/>
      <c r="T85" s="351"/>
      <c r="U85" s="352"/>
      <c r="V85" s="353"/>
      <c r="W85" s="321"/>
      <c r="X85" s="321"/>
      <c r="Y85" s="321"/>
      <c r="Z85" s="321"/>
      <c r="AA85" s="321"/>
      <c r="AB85" s="321"/>
      <c r="AC85" s="380"/>
      <c r="AD85" s="352"/>
      <c r="AE85" s="381">
        <f t="shared" si="54"/>
        <v>0</v>
      </c>
      <c r="AF85" s="381"/>
      <c r="AG85" s="408"/>
      <c r="AH85" s="409">
        <f t="shared" ref="AH85:AH95" si="55">AE85+AF85</f>
        <v>0</v>
      </c>
      <c r="AI85" s="406"/>
      <c r="AJ85" s="411">
        <f>AH85+AI85</f>
        <v>0</v>
      </c>
      <c r="AK85" s="234"/>
      <c r="AL85" s="234"/>
      <c r="AM85" s="234"/>
    </row>
    <row r="86" spans="1:39" ht="20.25">
      <c r="A86" s="792" t="s">
        <v>131</v>
      </c>
      <c r="B86" s="295"/>
      <c r="C86" s="295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54"/>
        <v>0</v>
      </c>
      <c r="AF86" s="381"/>
      <c r="AG86" s="408"/>
      <c r="AH86" s="409">
        <f t="shared" si="55"/>
        <v>0</v>
      </c>
      <c r="AI86" s="410"/>
      <c r="AJ86" s="411">
        <f>AH86+AI86</f>
        <v>0</v>
      </c>
      <c r="AK86" s="234"/>
      <c r="AL86" s="234"/>
      <c r="AM86" s="234"/>
    </row>
    <row r="87" spans="1:39" ht="20.25">
      <c r="A87" s="792" t="s">
        <v>131</v>
      </c>
      <c r="B87" s="295"/>
      <c r="C87" s="295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54"/>
        <v>0</v>
      </c>
      <c r="AF87" s="381"/>
      <c r="AG87" s="408"/>
      <c r="AH87" s="409">
        <f t="shared" si="55"/>
        <v>0</v>
      </c>
      <c r="AI87" s="410"/>
      <c r="AJ87" s="411">
        <f>AH87+AI87</f>
        <v>0</v>
      </c>
      <c r="AK87" s="234"/>
      <c r="AL87" s="234"/>
      <c r="AM87" s="234"/>
    </row>
    <row r="88" spans="1:39" ht="20.25">
      <c r="A88" s="792" t="s">
        <v>131</v>
      </c>
      <c r="B88" s="295"/>
      <c r="C88" s="295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ref="AE88:AE95" si="56">SUM(E88:AC88)</f>
        <v>0</v>
      </c>
      <c r="AF88" s="381"/>
      <c r="AG88" s="408"/>
      <c r="AH88" s="409">
        <f t="shared" si="55"/>
        <v>0</v>
      </c>
      <c r="AI88" s="410"/>
      <c r="AJ88" s="411">
        <f t="shared" ref="AJ88:AJ95" si="57">AH88+AI88</f>
        <v>0</v>
      </c>
      <c r="AK88" s="234"/>
      <c r="AL88" s="234"/>
      <c r="AM88" s="234"/>
    </row>
    <row r="89" spans="1:39" ht="20.25">
      <c r="A89" s="792" t="s">
        <v>131</v>
      </c>
      <c r="B89" s="295"/>
      <c r="C89" s="295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56"/>
        <v>0</v>
      </c>
      <c r="AF89" s="381"/>
      <c r="AG89" s="408"/>
      <c r="AH89" s="409">
        <f t="shared" si="55"/>
        <v>0</v>
      </c>
      <c r="AI89" s="410"/>
      <c r="AJ89" s="411">
        <f t="shared" si="57"/>
        <v>0</v>
      </c>
      <c r="AK89" s="234"/>
      <c r="AL89" s="234"/>
      <c r="AM89" s="234"/>
    </row>
    <row r="90" spans="1:39" ht="20.25">
      <c r="A90" s="792" t="s">
        <v>131</v>
      </c>
      <c r="B90" s="295"/>
      <c r="C90" s="295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56"/>
        <v>0</v>
      </c>
      <c r="AF90" s="381"/>
      <c r="AG90" s="408"/>
      <c r="AH90" s="409">
        <f t="shared" si="55"/>
        <v>0</v>
      </c>
      <c r="AI90" s="410"/>
      <c r="AJ90" s="411">
        <f t="shared" si="57"/>
        <v>0</v>
      </c>
      <c r="AK90" s="234"/>
      <c r="AL90" s="234"/>
      <c r="AM90" s="234"/>
    </row>
    <row r="91" spans="1:39" ht="20.25">
      <c r="A91" s="792" t="s">
        <v>131</v>
      </c>
      <c r="B91" s="295"/>
      <c r="C91" s="295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56"/>
        <v>0</v>
      </c>
      <c r="AF91" s="381"/>
      <c r="AG91" s="408"/>
      <c r="AH91" s="409">
        <f t="shared" si="55"/>
        <v>0</v>
      </c>
      <c r="AI91" s="410"/>
      <c r="AJ91" s="411">
        <f t="shared" si="57"/>
        <v>0</v>
      </c>
      <c r="AK91" s="234"/>
      <c r="AL91" s="234"/>
      <c r="AM91" s="234"/>
    </row>
    <row r="92" spans="1:39" ht="20.25">
      <c r="A92" s="792" t="s">
        <v>131</v>
      </c>
      <c r="B92" s="295"/>
      <c r="C92" s="295"/>
      <c r="D92" s="318"/>
      <c r="E92" s="319"/>
      <c r="F92" s="320"/>
      <c r="G92" s="320"/>
      <c r="H92" s="321"/>
      <c r="I92" s="321"/>
      <c r="J92" s="320"/>
      <c r="K92" s="354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56"/>
        <v>0</v>
      </c>
      <c r="AF92" s="381"/>
      <c r="AG92" s="408"/>
      <c r="AH92" s="409">
        <f t="shared" si="55"/>
        <v>0</v>
      </c>
      <c r="AI92" s="410"/>
      <c r="AJ92" s="411">
        <f t="shared" si="57"/>
        <v>0</v>
      </c>
      <c r="AK92" s="234"/>
      <c r="AL92" s="234"/>
      <c r="AM92" s="234"/>
    </row>
    <row r="93" spans="1:39" ht="20.25">
      <c r="A93" s="792" t="s">
        <v>131</v>
      </c>
      <c r="B93" s="295"/>
      <c r="C93" s="295"/>
      <c r="D93" s="318"/>
      <c r="E93" s="319"/>
      <c r="F93" s="320"/>
      <c r="G93" s="320"/>
      <c r="H93" s="321"/>
      <c r="I93" s="321"/>
      <c r="J93" s="320"/>
      <c r="K93" s="354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56"/>
        <v>0</v>
      </c>
      <c r="AF93" s="381"/>
      <c r="AG93" s="408"/>
      <c r="AH93" s="409">
        <f t="shared" si="55"/>
        <v>0</v>
      </c>
      <c r="AI93" s="410"/>
      <c r="AJ93" s="411">
        <f t="shared" si="57"/>
        <v>0</v>
      </c>
      <c r="AK93" s="234"/>
      <c r="AL93" s="234"/>
      <c r="AM93" s="234"/>
    </row>
    <row r="94" spans="1:39" ht="21" thickBot="1">
      <c r="A94" s="792" t="s">
        <v>131</v>
      </c>
      <c r="B94" s="295"/>
      <c r="C94" s="295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56"/>
        <v>0</v>
      </c>
      <c r="AF94" s="381"/>
      <c r="AG94" s="408"/>
      <c r="AH94" s="409">
        <f t="shared" si="55"/>
        <v>0</v>
      </c>
      <c r="AI94" s="410"/>
      <c r="AJ94" s="411">
        <f t="shared" si="57"/>
        <v>0</v>
      </c>
      <c r="AK94" s="234"/>
      <c r="AL94" s="234"/>
      <c r="AM94" s="234"/>
    </row>
    <row r="95" spans="1:39" ht="21" thickBot="1">
      <c r="A95" s="792" t="s">
        <v>131</v>
      </c>
      <c r="B95" s="323"/>
      <c r="C95" s="323"/>
      <c r="D95" s="324"/>
      <c r="E95" s="325"/>
      <c r="F95" s="297"/>
      <c r="G95" s="297"/>
      <c r="H95" s="298"/>
      <c r="I95" s="298"/>
      <c r="J95" s="297"/>
      <c r="K95" s="344"/>
      <c r="L95" s="355"/>
      <c r="M95" s="343"/>
      <c r="N95" s="298"/>
      <c r="O95" s="298"/>
      <c r="P95" s="298"/>
      <c r="Q95" s="298"/>
      <c r="R95" s="298"/>
      <c r="S95" s="298"/>
      <c r="T95" s="367"/>
      <c r="U95" s="355"/>
      <c r="V95" s="325"/>
      <c r="W95" s="297"/>
      <c r="X95" s="297"/>
      <c r="Y95" s="298"/>
      <c r="Z95" s="298"/>
      <c r="AA95" s="298"/>
      <c r="AB95" s="297"/>
      <c r="AC95" s="375"/>
      <c r="AD95" s="355"/>
      <c r="AE95" s="376">
        <f t="shared" si="56"/>
        <v>0</v>
      </c>
      <c r="AF95" s="377"/>
      <c r="AG95" s="390"/>
      <c r="AH95" s="391">
        <f t="shared" si="55"/>
        <v>0</v>
      </c>
      <c r="AI95" s="412"/>
      <c r="AJ95" s="413">
        <f t="shared" si="57"/>
        <v>0</v>
      </c>
      <c r="AK95" s="414" t="s">
        <v>8</v>
      </c>
      <c r="AL95" s="397" t="s">
        <v>23</v>
      </c>
      <c r="AM95" s="415" t="s">
        <v>174</v>
      </c>
    </row>
    <row r="96" spans="1:39" ht="19.5" thickBot="1">
      <c r="A96" s="326" t="s">
        <v>132</v>
      </c>
      <c r="B96" s="327"/>
      <c r="C96" s="327"/>
      <c r="D96" s="328"/>
      <c r="E96" s="329">
        <f>SUM(E84:E95)</f>
        <v>0</v>
      </c>
      <c r="F96" s="329">
        <f t="shared" ref="F96:K96" si="58">SUM(F84:F95)</f>
        <v>0</v>
      </c>
      <c r="G96" s="329">
        <f t="shared" si="58"/>
        <v>0</v>
      </c>
      <c r="H96" s="329">
        <f t="shared" si="58"/>
        <v>0</v>
      </c>
      <c r="I96" s="329">
        <f t="shared" si="58"/>
        <v>0</v>
      </c>
      <c r="J96" s="329">
        <f t="shared" si="58"/>
        <v>0</v>
      </c>
      <c r="K96" s="329">
        <f t="shared" si="58"/>
        <v>0</v>
      </c>
      <c r="L96" s="329"/>
      <c r="M96" s="329">
        <f t="shared" ref="M96:T96" si="59">SUM(M84:M95)</f>
        <v>0</v>
      </c>
      <c r="N96" s="329">
        <f t="shared" si="59"/>
        <v>0</v>
      </c>
      <c r="O96" s="329">
        <f t="shared" si="59"/>
        <v>0</v>
      </c>
      <c r="P96" s="329">
        <f t="shared" si="59"/>
        <v>0</v>
      </c>
      <c r="Q96" s="329">
        <f t="shared" si="59"/>
        <v>0</v>
      </c>
      <c r="R96" s="329">
        <f t="shared" si="59"/>
        <v>0</v>
      </c>
      <c r="S96" s="329">
        <f t="shared" si="59"/>
        <v>0</v>
      </c>
      <c r="T96" s="329">
        <f t="shared" si="59"/>
        <v>0</v>
      </c>
      <c r="U96" s="329"/>
      <c r="V96" s="329">
        <f t="shared" ref="V96:AJ96" si="60">SUM(V84:V95)</f>
        <v>0</v>
      </c>
      <c r="W96" s="329">
        <f t="shared" si="60"/>
        <v>0</v>
      </c>
      <c r="X96" s="329">
        <f t="shared" si="60"/>
        <v>0</v>
      </c>
      <c r="Y96" s="329">
        <f t="shared" si="60"/>
        <v>0</v>
      </c>
      <c r="Z96" s="329">
        <f t="shared" si="60"/>
        <v>0</v>
      </c>
      <c r="AA96" s="329">
        <f t="shared" si="60"/>
        <v>0</v>
      </c>
      <c r="AB96" s="329">
        <f t="shared" si="60"/>
        <v>0</v>
      </c>
      <c r="AC96" s="329">
        <f t="shared" si="60"/>
        <v>0</v>
      </c>
      <c r="AD96" s="329">
        <f t="shared" si="60"/>
        <v>0</v>
      </c>
      <c r="AE96" s="329">
        <f t="shared" si="60"/>
        <v>0</v>
      </c>
      <c r="AF96" s="329">
        <f t="shared" si="60"/>
        <v>0</v>
      </c>
      <c r="AG96" s="329">
        <f t="shared" si="60"/>
        <v>0</v>
      </c>
      <c r="AH96" s="329">
        <f t="shared" si="60"/>
        <v>0</v>
      </c>
      <c r="AI96" s="329">
        <f t="shared" si="60"/>
        <v>0</v>
      </c>
      <c r="AJ96" s="329">
        <f t="shared" si="60"/>
        <v>0</v>
      </c>
      <c r="AK96" s="399">
        <f>'BIG CHAIR'!CL119</f>
        <v>0</v>
      </c>
      <c r="AL96" s="400">
        <f>'Tea Table'!X209</f>
        <v>144</v>
      </c>
      <c r="AM96" s="401">
        <f>AH96+AK96+AL96</f>
        <v>144</v>
      </c>
    </row>
    <row r="97" spans="1:39" ht="24" thickBot="1">
      <c r="A97" s="721" t="s">
        <v>393</v>
      </c>
      <c r="B97" s="722" t="s">
        <v>68</v>
      </c>
      <c r="C97" s="287" t="s">
        <v>69</v>
      </c>
      <c r="D97" s="288" t="s">
        <v>70</v>
      </c>
      <c r="E97" s="80" t="s">
        <v>86</v>
      </c>
      <c r="F97" s="49" t="s">
        <v>91</v>
      </c>
      <c r="G97" s="49" t="s">
        <v>245</v>
      </c>
      <c r="H97" s="49" t="s">
        <v>238</v>
      </c>
      <c r="I97" s="49" t="s">
        <v>90</v>
      </c>
      <c r="J97" s="49" t="s">
        <v>85</v>
      </c>
      <c r="K97" s="126" t="s">
        <v>123</v>
      </c>
      <c r="L97" s="79"/>
      <c r="M97" s="80" t="s">
        <v>95</v>
      </c>
      <c r="N97" s="49" t="s">
        <v>94</v>
      </c>
      <c r="O97" s="49" t="s">
        <v>190</v>
      </c>
      <c r="P97" s="49" t="s">
        <v>53</v>
      </c>
      <c r="Q97" s="49" t="s">
        <v>119</v>
      </c>
      <c r="R97" s="49" t="s">
        <v>101</v>
      </c>
      <c r="S97" s="49" t="s">
        <v>92</v>
      </c>
      <c r="T97" s="126" t="s">
        <v>124</v>
      </c>
      <c r="U97" s="79"/>
      <c r="V97" s="99" t="s">
        <v>448</v>
      </c>
      <c r="W97" s="716"/>
      <c r="X97" s="104"/>
      <c r="Y97" s="103"/>
      <c r="Z97" s="104"/>
      <c r="AA97" s="104" t="s">
        <v>76</v>
      </c>
      <c r="AB97" s="121"/>
      <c r="AC97" s="717"/>
      <c r="AD97" s="370"/>
      <c r="AE97" s="371" t="s">
        <v>172</v>
      </c>
      <c r="AF97" s="372" t="s">
        <v>80</v>
      </c>
      <c r="AG97" s="385"/>
      <c r="AH97" s="386" t="s">
        <v>106</v>
      </c>
      <c r="AI97" s="385" t="s">
        <v>173</v>
      </c>
      <c r="AJ97" s="371" t="s">
        <v>108</v>
      </c>
      <c r="AK97" s="282"/>
      <c r="AL97" s="282"/>
      <c r="AM97" s="282"/>
    </row>
    <row r="98" spans="1:39" ht="20.25">
      <c r="A98" s="792" t="s">
        <v>392</v>
      </c>
      <c r="B98" s="311"/>
      <c r="C98" s="311"/>
      <c r="D98" s="312"/>
      <c r="E98" s="313"/>
      <c r="F98" s="314"/>
      <c r="G98" s="314"/>
      <c r="H98" s="315"/>
      <c r="I98" s="315"/>
      <c r="J98" s="314"/>
      <c r="K98" s="477"/>
      <c r="L98" s="349"/>
      <c r="M98" s="350"/>
      <c r="N98" s="315"/>
      <c r="O98" s="315"/>
      <c r="P98" s="315"/>
      <c r="Q98" s="315"/>
      <c r="R98" s="315"/>
      <c r="S98" s="315"/>
      <c r="T98" s="348"/>
      <c r="U98" s="349"/>
      <c r="V98" s="350"/>
      <c r="W98" s="315"/>
      <c r="X98" s="315"/>
      <c r="Y98" s="315"/>
      <c r="Z98" s="315"/>
      <c r="AA98" s="315"/>
      <c r="AB98" s="315"/>
      <c r="AC98" s="378"/>
      <c r="AD98" s="349"/>
      <c r="AE98" s="379">
        <f t="shared" ref="AE98:AE101" si="61">SUM(E98:AC98)</f>
        <v>0</v>
      </c>
      <c r="AF98" s="379"/>
      <c r="AG98" s="404"/>
      <c r="AH98" s="405">
        <f>AE98+AF98</f>
        <v>0</v>
      </c>
      <c r="AI98" s="406"/>
      <c r="AJ98" s="407">
        <f>AH98+AI98</f>
        <v>0</v>
      </c>
      <c r="AK98" s="234"/>
      <c r="AL98" s="234"/>
      <c r="AM98" s="234"/>
    </row>
    <row r="99" spans="1:39" ht="20.25">
      <c r="A99" s="424" t="s">
        <v>392</v>
      </c>
      <c r="B99" s="317"/>
      <c r="C99" s="317"/>
      <c r="D99" s="318"/>
      <c r="E99" s="319"/>
      <c r="F99" s="320"/>
      <c r="G99" s="320"/>
      <c r="H99" s="321"/>
      <c r="I99" s="321"/>
      <c r="J99" s="320"/>
      <c r="K99" s="351"/>
      <c r="L99" s="352"/>
      <c r="M99" s="353"/>
      <c r="N99" s="320"/>
      <c r="O99" s="320"/>
      <c r="P99" s="321"/>
      <c r="Q99" s="321"/>
      <c r="R99" s="321"/>
      <c r="S99" s="320"/>
      <c r="T99" s="351"/>
      <c r="U99" s="352"/>
      <c r="V99" s="353"/>
      <c r="W99" s="321"/>
      <c r="X99" s="321"/>
      <c r="Y99" s="321"/>
      <c r="Z99" s="321"/>
      <c r="AA99" s="321"/>
      <c r="AB99" s="321"/>
      <c r="AC99" s="380"/>
      <c r="AD99" s="352"/>
      <c r="AE99" s="381">
        <f t="shared" si="61"/>
        <v>0</v>
      </c>
      <c r="AF99" s="381"/>
      <c r="AG99" s="408"/>
      <c r="AH99" s="409">
        <f t="shared" ref="AH99:AH101" si="62">AE99+AF99</f>
        <v>0</v>
      </c>
      <c r="AI99" s="410"/>
      <c r="AJ99" s="411">
        <f>AH99+AI99</f>
        <v>0</v>
      </c>
      <c r="AK99" s="234"/>
      <c r="AL99" s="234"/>
      <c r="AM99" s="234"/>
    </row>
    <row r="100" spans="1:39" ht="20.25">
      <c r="A100" s="424" t="s">
        <v>392</v>
      </c>
      <c r="B100" s="295"/>
      <c r="C100" s="295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61"/>
        <v>0</v>
      </c>
      <c r="AF100" s="381"/>
      <c r="AG100" s="408"/>
      <c r="AH100" s="409">
        <f t="shared" si="62"/>
        <v>0</v>
      </c>
      <c r="AI100" s="410"/>
      <c r="AJ100" s="411">
        <f>AH100+AI100</f>
        <v>0</v>
      </c>
      <c r="AK100" s="234"/>
      <c r="AL100" s="234"/>
      <c r="AM100" s="234"/>
    </row>
    <row r="101" spans="1:39" ht="20.25">
      <c r="A101" s="424" t="s">
        <v>392</v>
      </c>
      <c r="B101" s="295"/>
      <c r="C101" s="295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61"/>
        <v>0</v>
      </c>
      <c r="AF101" s="381"/>
      <c r="AG101" s="408"/>
      <c r="AH101" s="409">
        <f t="shared" si="62"/>
        <v>0</v>
      </c>
      <c r="AI101" s="410"/>
      <c r="AJ101" s="411">
        <f>AH101+AI101</f>
        <v>0</v>
      </c>
      <c r="AK101" s="234"/>
      <c r="AL101" s="234"/>
      <c r="AM101" s="234"/>
    </row>
    <row r="102" spans="1:39" ht="20.25">
      <c r="A102" s="424" t="s">
        <v>392</v>
      </c>
      <c r="B102" s="295"/>
      <c r="C102" s="295"/>
      <c r="D102" s="318"/>
      <c r="E102" s="319"/>
      <c r="F102" s="320"/>
      <c r="G102" s="320"/>
      <c r="H102" s="321"/>
      <c r="I102" s="321"/>
      <c r="J102" s="320"/>
      <c r="K102" s="816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ref="AE102:AE109" si="63">SUM(E102:AC102)</f>
        <v>0</v>
      </c>
      <c r="AF102" s="381"/>
      <c r="AG102" s="408"/>
      <c r="AH102" s="409">
        <f t="shared" ref="AH102:AH109" si="64">AE102+AF102</f>
        <v>0</v>
      </c>
      <c r="AI102" s="410"/>
      <c r="AJ102" s="411">
        <f t="shared" ref="AJ102:AJ104" si="65">AH102+AI102</f>
        <v>0</v>
      </c>
      <c r="AK102" s="234"/>
      <c r="AL102" s="234"/>
      <c r="AM102" s="234"/>
    </row>
    <row r="103" spans="1:39" ht="20.25">
      <c r="A103" s="424" t="s">
        <v>392</v>
      </c>
      <c r="B103" s="295"/>
      <c r="C103" s="295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63"/>
        <v>0</v>
      </c>
      <c r="AF103" s="381"/>
      <c r="AG103" s="408"/>
      <c r="AH103" s="409">
        <f t="shared" si="64"/>
        <v>0</v>
      </c>
      <c r="AI103" s="410"/>
      <c r="AJ103" s="411">
        <f t="shared" si="65"/>
        <v>0</v>
      </c>
      <c r="AK103" s="234"/>
      <c r="AL103" s="234"/>
      <c r="AM103" s="234"/>
    </row>
    <row r="104" spans="1:39" ht="20.25">
      <c r="A104" s="424" t="s">
        <v>392</v>
      </c>
      <c r="B104" s="295"/>
      <c r="C104" s="295"/>
      <c r="D104" s="318"/>
      <c r="E104" s="319"/>
      <c r="F104" s="320"/>
      <c r="G104" s="320"/>
      <c r="H104" s="321"/>
      <c r="I104" s="321"/>
      <c r="J104" s="320"/>
      <c r="K104" s="354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63"/>
        <v>0</v>
      </c>
      <c r="AF104" s="381"/>
      <c r="AG104" s="408"/>
      <c r="AH104" s="409">
        <f t="shared" si="64"/>
        <v>0</v>
      </c>
      <c r="AI104" s="410"/>
      <c r="AJ104" s="411">
        <f t="shared" si="65"/>
        <v>0</v>
      </c>
      <c r="AK104" s="234"/>
      <c r="AL104" s="234"/>
      <c r="AM104" s="234"/>
    </row>
    <row r="105" spans="1:39" ht="20.25">
      <c r="A105" s="424" t="s">
        <v>392</v>
      </c>
      <c r="B105" s="295"/>
      <c r="C105" s="295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63"/>
        <v>0</v>
      </c>
      <c r="AF105" s="381"/>
      <c r="AG105" s="408"/>
      <c r="AH105" s="409">
        <f t="shared" si="64"/>
        <v>0</v>
      </c>
      <c r="AI105" s="410"/>
      <c r="AJ105" s="411">
        <f t="shared" ref="AJ105:AJ109" si="66">AH105+AI105</f>
        <v>0</v>
      </c>
      <c r="AK105" s="234"/>
      <c r="AL105" s="234"/>
      <c r="AM105" s="234"/>
    </row>
    <row r="106" spans="1:39" ht="20.25">
      <c r="A106" s="424" t="s">
        <v>392</v>
      </c>
      <c r="B106" s="295"/>
      <c r="C106" s="295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63"/>
        <v>0</v>
      </c>
      <c r="AF106" s="381"/>
      <c r="AG106" s="408"/>
      <c r="AH106" s="409">
        <f t="shared" si="64"/>
        <v>0</v>
      </c>
      <c r="AI106" s="410"/>
      <c r="AJ106" s="411">
        <f t="shared" si="66"/>
        <v>0</v>
      </c>
      <c r="AK106" s="234"/>
      <c r="AL106" s="234"/>
      <c r="AM106" s="234"/>
    </row>
    <row r="107" spans="1:39" ht="20.25">
      <c r="A107" s="424" t="s">
        <v>392</v>
      </c>
      <c r="B107" s="295"/>
      <c r="C107" s="295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63"/>
        <v>0</v>
      </c>
      <c r="AF107" s="381"/>
      <c r="AG107" s="408"/>
      <c r="AH107" s="409">
        <f t="shared" si="64"/>
        <v>0</v>
      </c>
      <c r="AI107" s="410"/>
      <c r="AJ107" s="411">
        <f t="shared" si="66"/>
        <v>0</v>
      </c>
      <c r="AK107" s="234"/>
      <c r="AL107" s="234"/>
      <c r="AM107" s="234"/>
    </row>
    <row r="108" spans="1:39" ht="20.25">
      <c r="A108" s="424" t="s">
        <v>392</v>
      </c>
      <c r="B108" s="295"/>
      <c r="C108" s="295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63"/>
        <v>0</v>
      </c>
      <c r="AF108" s="381"/>
      <c r="AG108" s="408"/>
      <c r="AH108" s="409">
        <f t="shared" si="64"/>
        <v>0</v>
      </c>
      <c r="AI108" s="410"/>
      <c r="AJ108" s="411">
        <f t="shared" si="66"/>
        <v>0</v>
      </c>
      <c r="AK108" s="234"/>
      <c r="AL108" s="234"/>
      <c r="AM108" s="234"/>
    </row>
    <row r="109" spans="1:39" ht="20.25">
      <c r="A109" s="424" t="s">
        <v>392</v>
      </c>
      <c r="B109" s="323"/>
      <c r="C109" s="323"/>
      <c r="D109" s="324"/>
      <c r="E109" s="325"/>
      <c r="F109" s="297"/>
      <c r="G109" s="297"/>
      <c r="H109" s="298"/>
      <c r="I109" s="298"/>
      <c r="J109" s="297"/>
      <c r="K109" s="344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si="63"/>
        <v>0</v>
      </c>
      <c r="AF109" s="377"/>
      <c r="AG109" s="390"/>
      <c r="AH109" s="391">
        <f t="shared" si="64"/>
        <v>0</v>
      </c>
      <c r="AI109" s="412"/>
      <c r="AJ109" s="413">
        <f t="shared" si="66"/>
        <v>0</v>
      </c>
      <c r="AK109" s="414" t="s">
        <v>8</v>
      </c>
      <c r="AL109" s="397" t="s">
        <v>23</v>
      </c>
      <c r="AM109" s="415" t="s">
        <v>174</v>
      </c>
    </row>
    <row r="110" spans="1:39" ht="18.75">
      <c r="A110" s="326" t="s">
        <v>426</v>
      </c>
      <c r="B110" s="327"/>
      <c r="C110" s="327"/>
      <c r="D110" s="328"/>
      <c r="E110" s="329">
        <f>SUM(E98:E109)</f>
        <v>0</v>
      </c>
      <c r="F110" s="329">
        <f>SUM(F98:F109)</f>
        <v>0</v>
      </c>
      <c r="G110" s="329">
        <f t="shared" ref="G110:AJ110" si="67">SUM(G98:G109)</f>
        <v>0</v>
      </c>
      <c r="H110" s="329">
        <f t="shared" si="67"/>
        <v>0</v>
      </c>
      <c r="I110" s="329">
        <f t="shared" si="67"/>
        <v>0</v>
      </c>
      <c r="J110" s="329">
        <f t="shared" si="67"/>
        <v>0</v>
      </c>
      <c r="K110" s="329">
        <f t="shared" si="67"/>
        <v>0</v>
      </c>
      <c r="L110" s="329"/>
      <c r="M110" s="329">
        <f t="shared" si="67"/>
        <v>0</v>
      </c>
      <c r="N110" s="329">
        <f t="shared" si="67"/>
        <v>0</v>
      </c>
      <c r="O110" s="329">
        <f t="shared" si="67"/>
        <v>0</v>
      </c>
      <c r="P110" s="329">
        <f t="shared" si="67"/>
        <v>0</v>
      </c>
      <c r="Q110" s="329">
        <f t="shared" si="67"/>
        <v>0</v>
      </c>
      <c r="R110" s="329">
        <f t="shared" si="67"/>
        <v>0</v>
      </c>
      <c r="S110" s="329">
        <f t="shared" si="67"/>
        <v>0</v>
      </c>
      <c r="T110" s="329">
        <f t="shared" si="67"/>
        <v>0</v>
      </c>
      <c r="U110" s="329"/>
      <c r="V110" s="329">
        <f t="shared" si="67"/>
        <v>0</v>
      </c>
      <c r="W110" s="329">
        <f t="shared" si="67"/>
        <v>0</v>
      </c>
      <c r="X110" s="329">
        <f t="shared" si="67"/>
        <v>0</v>
      </c>
      <c r="Y110" s="329">
        <f t="shared" si="67"/>
        <v>0</v>
      </c>
      <c r="Z110" s="329">
        <f t="shared" si="67"/>
        <v>0</v>
      </c>
      <c r="AA110" s="329">
        <f t="shared" si="67"/>
        <v>0</v>
      </c>
      <c r="AB110" s="329">
        <f t="shared" si="67"/>
        <v>0</v>
      </c>
      <c r="AC110" s="329">
        <f t="shared" si="67"/>
        <v>0</v>
      </c>
      <c r="AD110" s="329">
        <f t="shared" si="67"/>
        <v>0</v>
      </c>
      <c r="AE110" s="329">
        <f t="shared" si="67"/>
        <v>0</v>
      </c>
      <c r="AF110" s="329">
        <f t="shared" si="67"/>
        <v>0</v>
      </c>
      <c r="AG110" s="329">
        <f t="shared" si="67"/>
        <v>0</v>
      </c>
      <c r="AH110" s="329">
        <f t="shared" si="67"/>
        <v>0</v>
      </c>
      <c r="AI110" s="329">
        <f t="shared" si="67"/>
        <v>0</v>
      </c>
      <c r="AJ110" s="329">
        <f t="shared" si="67"/>
        <v>0</v>
      </c>
      <c r="AK110" s="399">
        <f>'BIG CHAIR'!CL119</f>
        <v>0</v>
      </c>
      <c r="AL110" s="400">
        <f>'Tea Table'!X207</f>
        <v>120</v>
      </c>
      <c r="AM110" s="401">
        <f>AH110+AK110+AL110</f>
        <v>120</v>
      </c>
    </row>
    <row r="112" spans="1:39" s="284" customFormat="1" ht="18.75" customHeight="1" thickBot="1">
      <c r="A112" s="425"/>
      <c r="B112" s="426"/>
      <c r="C112" s="426"/>
      <c r="D112" s="427"/>
      <c r="E112" s="428"/>
      <c r="F112" s="428"/>
      <c r="G112" s="428"/>
      <c r="H112" s="428"/>
      <c r="I112" s="428"/>
      <c r="J112" s="428"/>
      <c r="K112" s="428"/>
      <c r="L112" s="478"/>
      <c r="M112" s="479"/>
      <c r="N112" s="479"/>
      <c r="O112" s="479"/>
      <c r="P112" s="479"/>
      <c r="Q112" s="479"/>
      <c r="R112" s="479"/>
      <c r="S112" s="479"/>
      <c r="T112" s="479"/>
      <c r="U112" s="478"/>
      <c r="V112" s="479"/>
      <c r="W112" s="479"/>
      <c r="X112" s="479"/>
      <c r="Y112" s="479"/>
      <c r="Z112" s="479"/>
      <c r="AA112" s="479"/>
      <c r="AB112" s="479"/>
      <c r="AC112" s="479"/>
      <c r="AD112" s="478"/>
      <c r="AE112" s="479"/>
      <c r="AF112" s="479"/>
      <c r="AG112" s="479"/>
      <c r="AH112" s="479"/>
      <c r="AI112" s="479"/>
      <c r="AJ112" s="506"/>
      <c r="AK112" s="403"/>
      <c r="AL112" s="403"/>
      <c r="AM112" s="403"/>
    </row>
    <row r="113" spans="1:39" s="282" customFormat="1" ht="16.5" thickBot="1">
      <c r="A113" s="429" t="s">
        <v>179</v>
      </c>
      <c r="B113" s="287" t="s">
        <v>68</v>
      </c>
      <c r="C113" s="287" t="s">
        <v>69</v>
      </c>
      <c r="D113" s="288" t="s">
        <v>70</v>
      </c>
      <c r="E113" s="80" t="s">
        <v>86</v>
      </c>
      <c r="F113" s="49" t="s">
        <v>91</v>
      </c>
      <c r="G113" s="49" t="s">
        <v>245</v>
      </c>
      <c r="H113" s="49" t="s">
        <v>238</v>
      </c>
      <c r="I113" s="49" t="s">
        <v>90</v>
      </c>
      <c r="J113" s="49" t="s">
        <v>85</v>
      </c>
      <c r="K113" s="126" t="s">
        <v>123</v>
      </c>
      <c r="L113" s="79"/>
      <c r="M113" s="80" t="s">
        <v>95</v>
      </c>
      <c r="N113" s="49" t="s">
        <v>94</v>
      </c>
      <c r="O113" s="49" t="s">
        <v>190</v>
      </c>
      <c r="P113" s="49" t="s">
        <v>53</v>
      </c>
      <c r="Q113" s="49" t="s">
        <v>119</v>
      </c>
      <c r="R113" s="49" t="s">
        <v>101</v>
      </c>
      <c r="S113" s="49" t="s">
        <v>92</v>
      </c>
      <c r="T113" s="126" t="s">
        <v>124</v>
      </c>
      <c r="U113" s="79"/>
      <c r="V113" s="745" t="str">
        <f t="shared" ref="V113:AA113" si="68">V40</f>
        <v>P.Green Sumo Baby</v>
      </c>
      <c r="W113" s="746">
        <f t="shared" si="68"/>
        <v>0</v>
      </c>
      <c r="X113" s="102">
        <f t="shared" si="68"/>
        <v>0</v>
      </c>
      <c r="Y113" s="747">
        <f t="shared" si="68"/>
        <v>0</v>
      </c>
      <c r="Z113" s="744">
        <f t="shared" si="68"/>
        <v>0</v>
      </c>
      <c r="AA113" s="101" t="str">
        <f t="shared" si="68"/>
        <v>P.Silver</v>
      </c>
      <c r="AB113" s="748">
        <f>AB3</f>
        <v>0</v>
      </c>
      <c r="AC113" s="717">
        <f>AC3</f>
        <v>0</v>
      </c>
      <c r="AD113" s="79"/>
      <c r="AE113" s="371" t="s">
        <v>172</v>
      </c>
      <c r="AF113" s="372" t="s">
        <v>80</v>
      </c>
      <c r="AG113" s="385"/>
      <c r="AH113" s="386" t="s">
        <v>106</v>
      </c>
      <c r="AI113" s="385" t="s">
        <v>173</v>
      </c>
      <c r="AJ113" s="371" t="s">
        <v>108</v>
      </c>
    </row>
    <row r="114" spans="1:39" s="283" customFormat="1" ht="20.25">
      <c r="A114" s="430"/>
      <c r="B114" s="431"/>
      <c r="C114" s="431"/>
      <c r="D114" s="432"/>
      <c r="E114" s="325"/>
      <c r="F114" s="297"/>
      <c r="G114" s="297"/>
      <c r="H114" s="298"/>
      <c r="I114" s="298"/>
      <c r="J114" s="297"/>
      <c r="K114" s="344"/>
      <c r="L114" s="355"/>
      <c r="M114" s="484"/>
      <c r="N114" s="435"/>
      <c r="O114" s="435"/>
      <c r="P114" s="435"/>
      <c r="Q114" s="435"/>
      <c r="R114" s="435"/>
      <c r="S114" s="435"/>
      <c r="T114" s="492"/>
      <c r="U114" s="355"/>
      <c r="V114" s="325"/>
      <c r="W114" s="297"/>
      <c r="X114" s="297"/>
      <c r="Y114" s="298"/>
      <c r="Z114" s="298"/>
      <c r="AA114" s="298"/>
      <c r="AB114" s="297"/>
      <c r="AC114" s="375"/>
      <c r="AD114" s="355"/>
      <c r="AE114" s="377">
        <f t="shared" ref="AE114:AE116" si="69">SUM(E114:AC114)</f>
        <v>0</v>
      </c>
      <c r="AF114" s="377"/>
      <c r="AG114" s="390"/>
      <c r="AH114" s="507">
        <f t="shared" ref="AH114:AH118" si="70">AE114+AF114</f>
        <v>0</v>
      </c>
      <c r="AI114" s="412"/>
      <c r="AJ114" s="508">
        <f>AH114+AI114</f>
        <v>0</v>
      </c>
    </row>
    <row r="115" spans="1:39" s="283" customFormat="1" ht="20.25">
      <c r="A115" s="430"/>
      <c r="B115" s="431"/>
      <c r="C115" s="431"/>
      <c r="D115" s="432"/>
      <c r="E115" s="325"/>
      <c r="F115" s="297"/>
      <c r="G115" s="297"/>
      <c r="H115" s="298"/>
      <c r="I115" s="298"/>
      <c r="J115" s="297"/>
      <c r="K115" s="344"/>
      <c r="L115" s="355"/>
      <c r="M115" s="343"/>
      <c r="N115" s="298"/>
      <c r="O115" s="298"/>
      <c r="P115" s="298"/>
      <c r="Q115" s="298"/>
      <c r="R115" s="298"/>
      <c r="S115" s="298"/>
      <c r="T115" s="367"/>
      <c r="U115" s="355"/>
      <c r="V115" s="325"/>
      <c r="W115" s="297"/>
      <c r="X115" s="297"/>
      <c r="Y115" s="298"/>
      <c r="Z115" s="298"/>
      <c r="AA115" s="298"/>
      <c r="AB115" s="297"/>
      <c r="AC115" s="375"/>
      <c r="AD115" s="355"/>
      <c r="AE115" s="377">
        <f t="shared" ref="AE115" si="71">SUM(E115:AC115)</f>
        <v>0</v>
      </c>
      <c r="AF115" s="377"/>
      <c r="AG115" s="390"/>
      <c r="AH115" s="507">
        <f t="shared" si="70"/>
        <v>0</v>
      </c>
      <c r="AI115" s="412"/>
      <c r="AJ115" s="508">
        <f>AH115+AI115</f>
        <v>0</v>
      </c>
    </row>
    <row r="116" spans="1:39" s="283" customFormat="1" ht="20.25">
      <c r="A116" s="322"/>
      <c r="B116" s="323"/>
      <c r="C116" s="323"/>
      <c r="D116" s="324"/>
      <c r="E116" s="325"/>
      <c r="F116" s="297"/>
      <c r="G116" s="297"/>
      <c r="H116" s="298"/>
      <c r="I116" s="298"/>
      <c r="J116" s="297"/>
      <c r="K116" s="344"/>
      <c r="L116" s="355"/>
      <c r="M116" s="343"/>
      <c r="N116" s="298"/>
      <c r="O116" s="298"/>
      <c r="P116" s="298"/>
      <c r="Q116" s="298"/>
      <c r="R116" s="298"/>
      <c r="S116" s="298"/>
      <c r="T116" s="367"/>
      <c r="U116" s="355"/>
      <c r="V116" s="325"/>
      <c r="W116" s="297"/>
      <c r="X116" s="297"/>
      <c r="Y116" s="298"/>
      <c r="Z116" s="298"/>
      <c r="AA116" s="298"/>
      <c r="AB116" s="297"/>
      <c r="AC116" s="375"/>
      <c r="AD116" s="355"/>
      <c r="AE116" s="377">
        <f t="shared" si="69"/>
        <v>0</v>
      </c>
      <c r="AF116" s="377"/>
      <c r="AG116" s="390"/>
      <c r="AH116" s="507">
        <f t="shared" si="70"/>
        <v>0</v>
      </c>
      <c r="AI116" s="412"/>
      <c r="AJ116" s="508">
        <f>AH116+AI116</f>
        <v>0</v>
      </c>
    </row>
    <row r="117" spans="1:39" s="283" customFormat="1" ht="20.25">
      <c r="A117" s="322"/>
      <c r="B117" s="323"/>
      <c r="C117" s="323"/>
      <c r="D117" s="324"/>
      <c r="E117" s="325"/>
      <c r="F117" s="297"/>
      <c r="G117" s="297"/>
      <c r="H117" s="298"/>
      <c r="I117" s="298"/>
      <c r="J117" s="297"/>
      <c r="K117" s="344"/>
      <c r="L117" s="355"/>
      <c r="M117" s="343"/>
      <c r="N117" s="298"/>
      <c r="O117" s="298"/>
      <c r="P117" s="298"/>
      <c r="Q117" s="298"/>
      <c r="R117" s="298"/>
      <c r="S117" s="298"/>
      <c r="T117" s="367"/>
      <c r="U117" s="355"/>
      <c r="V117" s="325"/>
      <c r="W117" s="297"/>
      <c r="X117" s="297"/>
      <c r="Y117" s="298"/>
      <c r="Z117" s="298"/>
      <c r="AA117" s="298"/>
      <c r="AB117" s="297"/>
      <c r="AC117" s="375"/>
      <c r="AD117" s="355"/>
      <c r="AE117" s="377">
        <f t="shared" ref="AE117:AE118" si="72">SUM(E117:AC117)</f>
        <v>0</v>
      </c>
      <c r="AF117" s="377"/>
      <c r="AG117" s="390"/>
      <c r="AH117" s="507">
        <f t="shared" si="70"/>
        <v>0</v>
      </c>
      <c r="AI117" s="412"/>
      <c r="AJ117" s="508">
        <f>AH117+AI117</f>
        <v>0</v>
      </c>
    </row>
    <row r="118" spans="1:39" s="283" customFormat="1" ht="20.25">
      <c r="A118" s="322"/>
      <c r="B118" s="323"/>
      <c r="C118" s="323"/>
      <c r="D118" s="324"/>
      <c r="E118" s="325"/>
      <c r="F118" s="297"/>
      <c r="G118" s="297"/>
      <c r="H118" s="298"/>
      <c r="I118" s="298"/>
      <c r="J118" s="297"/>
      <c r="K118" s="344"/>
      <c r="L118" s="355"/>
      <c r="M118" s="343"/>
      <c r="N118" s="298"/>
      <c r="O118" s="298"/>
      <c r="P118" s="298"/>
      <c r="Q118" s="298"/>
      <c r="R118" s="298"/>
      <c r="S118" s="298"/>
      <c r="T118" s="367"/>
      <c r="U118" s="355"/>
      <c r="V118" s="325"/>
      <c r="W118" s="297"/>
      <c r="X118" s="297"/>
      <c r="Y118" s="298"/>
      <c r="Z118" s="298"/>
      <c r="AA118" s="298"/>
      <c r="AB118" s="297"/>
      <c r="AC118" s="375"/>
      <c r="AD118" s="355"/>
      <c r="AE118" s="377">
        <f t="shared" si="72"/>
        <v>0</v>
      </c>
      <c r="AF118" s="377"/>
      <c r="AG118" s="390"/>
      <c r="AH118" s="507">
        <f t="shared" si="70"/>
        <v>0</v>
      </c>
      <c r="AI118" s="412"/>
      <c r="AJ118" s="508">
        <f t="shared" ref="AJ118" si="73">AH118+AI118</f>
        <v>0</v>
      </c>
    </row>
    <row r="119" spans="1:39" s="283" customFormat="1" ht="20.25">
      <c r="A119" s="436"/>
      <c r="B119" s="437"/>
      <c r="C119" s="437"/>
      <c r="D119" s="438"/>
      <c r="E119" s="439">
        <f t="shared" ref="E119:K119" si="74">SUM(E114:E118)</f>
        <v>0</v>
      </c>
      <c r="F119" s="440">
        <f t="shared" si="74"/>
        <v>0</v>
      </c>
      <c r="G119" s="440">
        <f t="shared" si="74"/>
        <v>0</v>
      </c>
      <c r="H119" s="440">
        <f t="shared" si="74"/>
        <v>0</v>
      </c>
      <c r="I119" s="440">
        <f t="shared" si="74"/>
        <v>0</v>
      </c>
      <c r="J119" s="440">
        <f t="shared" si="74"/>
        <v>0</v>
      </c>
      <c r="K119" s="481">
        <f t="shared" si="74"/>
        <v>0</v>
      </c>
      <c r="L119" s="482"/>
      <c r="M119" s="439">
        <f t="shared" ref="M119:T119" si="75">SUM(M114:M118)</f>
        <v>0</v>
      </c>
      <c r="N119" s="440">
        <f t="shared" si="75"/>
        <v>0</v>
      </c>
      <c r="O119" s="440">
        <f t="shared" si="75"/>
        <v>0</v>
      </c>
      <c r="P119" s="440">
        <f t="shared" si="75"/>
        <v>0</v>
      </c>
      <c r="Q119" s="440">
        <f t="shared" si="75"/>
        <v>0</v>
      </c>
      <c r="R119" s="440">
        <f t="shared" si="75"/>
        <v>0</v>
      </c>
      <c r="S119" s="440">
        <f t="shared" si="75"/>
        <v>0</v>
      </c>
      <c r="T119" s="481">
        <f t="shared" si="75"/>
        <v>0</v>
      </c>
      <c r="U119" s="482"/>
      <c r="V119" s="439">
        <f t="shared" ref="V119:AC119" si="76">SUM(V114:V118)</f>
        <v>0</v>
      </c>
      <c r="W119" s="440">
        <f t="shared" si="76"/>
        <v>0</v>
      </c>
      <c r="X119" s="440">
        <f t="shared" si="76"/>
        <v>0</v>
      </c>
      <c r="Y119" s="440">
        <f t="shared" si="76"/>
        <v>0</v>
      </c>
      <c r="Z119" s="440">
        <f t="shared" si="76"/>
        <v>0</v>
      </c>
      <c r="AA119" s="440">
        <f t="shared" si="76"/>
        <v>0</v>
      </c>
      <c r="AB119" s="440">
        <f t="shared" si="76"/>
        <v>0</v>
      </c>
      <c r="AC119" s="481">
        <f t="shared" si="76"/>
        <v>0</v>
      </c>
      <c r="AD119" s="482"/>
      <c r="AE119" s="494">
        <f t="shared" ref="AE119:AJ119" si="77">SUM(AE114:AE118)</f>
        <v>0</v>
      </c>
      <c r="AF119" s="494">
        <f t="shared" si="77"/>
        <v>0</v>
      </c>
      <c r="AG119" s="494">
        <f t="shared" si="77"/>
        <v>0</v>
      </c>
      <c r="AH119" s="509">
        <f t="shared" si="77"/>
        <v>0</v>
      </c>
      <c r="AI119" s="494">
        <f t="shared" si="77"/>
        <v>0</v>
      </c>
      <c r="AJ119" s="509">
        <f t="shared" si="77"/>
        <v>0</v>
      </c>
    </row>
    <row r="120" spans="1:39" s="284" customFormat="1" ht="8.25" customHeight="1" thickBot="1">
      <c r="A120" s="425"/>
      <c r="B120" s="426"/>
      <c r="C120" s="426"/>
      <c r="D120" s="427"/>
      <c r="E120" s="428"/>
      <c r="F120" s="428"/>
      <c r="G120" s="428"/>
      <c r="H120" s="428"/>
      <c r="I120" s="428"/>
      <c r="J120" s="428"/>
      <c r="K120" s="428"/>
      <c r="L120" s="478"/>
      <c r="M120" s="479"/>
      <c r="N120" s="479"/>
      <c r="O120" s="479"/>
      <c r="P120" s="479"/>
      <c r="Q120" s="479"/>
      <c r="R120" s="479"/>
      <c r="S120" s="479"/>
      <c r="T120" s="479"/>
      <c r="U120" s="478"/>
      <c r="V120" s="479"/>
      <c r="W120" s="479"/>
      <c r="X120" s="479"/>
      <c r="Y120" s="479"/>
      <c r="Z120" s="479"/>
      <c r="AA120" s="479"/>
      <c r="AB120" s="479"/>
      <c r="AC120" s="479"/>
      <c r="AD120" s="478"/>
      <c r="AE120" s="479"/>
      <c r="AF120" s="479"/>
      <c r="AG120" s="479"/>
      <c r="AH120" s="479"/>
      <c r="AI120" s="479"/>
      <c r="AJ120" s="506"/>
      <c r="AK120" s="403"/>
      <c r="AL120" s="403"/>
      <c r="AM120" s="403"/>
    </row>
    <row r="121" spans="1:39" s="282" customFormat="1" ht="18.75" thickBot="1">
      <c r="A121" s="441" t="s">
        <v>135</v>
      </c>
      <c r="B121" s="287" t="s">
        <v>68</v>
      </c>
      <c r="C121" s="287" t="s">
        <v>69</v>
      </c>
      <c r="D121" s="288" t="s">
        <v>70</v>
      </c>
      <c r="E121" s="80" t="s">
        <v>86</v>
      </c>
      <c r="F121" s="49" t="s">
        <v>91</v>
      </c>
      <c r="G121" s="49" t="s">
        <v>245</v>
      </c>
      <c r="H121" s="49" t="s">
        <v>238</v>
      </c>
      <c r="I121" s="49" t="s">
        <v>90</v>
      </c>
      <c r="J121" s="49" t="s">
        <v>85</v>
      </c>
      <c r="K121" s="126" t="s">
        <v>123</v>
      </c>
      <c r="L121" s="79"/>
      <c r="M121" s="80" t="s">
        <v>95</v>
      </c>
      <c r="N121" s="49" t="s">
        <v>94</v>
      </c>
      <c r="O121" s="49" t="s">
        <v>190</v>
      </c>
      <c r="P121" s="49" t="s">
        <v>53</v>
      </c>
      <c r="Q121" s="49" t="s">
        <v>119</v>
      </c>
      <c r="R121" s="49" t="s">
        <v>101</v>
      </c>
      <c r="S121" s="49" t="s">
        <v>92</v>
      </c>
      <c r="T121" s="126" t="s">
        <v>124</v>
      </c>
      <c r="U121" s="79"/>
      <c r="V121" s="745" t="str">
        <f t="shared" ref="V121:AC121" si="78">V113</f>
        <v>P.Green Sumo Baby</v>
      </c>
      <c r="W121" s="746">
        <f t="shared" si="78"/>
        <v>0</v>
      </c>
      <c r="X121" s="102">
        <f t="shared" si="78"/>
        <v>0</v>
      </c>
      <c r="Y121" s="747">
        <f t="shared" si="78"/>
        <v>0</v>
      </c>
      <c r="Z121" s="744">
        <f t="shared" si="78"/>
        <v>0</v>
      </c>
      <c r="AA121" s="101" t="str">
        <f t="shared" si="78"/>
        <v>P.Silver</v>
      </c>
      <c r="AB121" s="748">
        <f t="shared" si="78"/>
        <v>0</v>
      </c>
      <c r="AC121" s="717">
        <f t="shared" si="78"/>
        <v>0</v>
      </c>
      <c r="AD121" s="79"/>
      <c r="AE121" s="371" t="s">
        <v>172</v>
      </c>
      <c r="AF121" s="372" t="s">
        <v>80</v>
      </c>
      <c r="AG121" s="385"/>
      <c r="AH121" s="386" t="s">
        <v>106</v>
      </c>
      <c r="AI121" s="385" t="s">
        <v>173</v>
      </c>
      <c r="AJ121" s="371" t="s">
        <v>108</v>
      </c>
    </row>
    <row r="122" spans="1:39" s="283" customFormat="1" ht="20.25">
      <c r="A122" s="442"/>
      <c r="B122" s="443"/>
      <c r="C122" s="443"/>
      <c r="D122" s="444"/>
      <c r="E122" s="325"/>
      <c r="F122" s="297"/>
      <c r="G122" s="297"/>
      <c r="H122" s="298"/>
      <c r="I122" s="298"/>
      <c r="J122" s="434"/>
      <c r="K122" s="480"/>
      <c r="L122" s="483"/>
      <c r="M122" s="484"/>
      <c r="N122" s="435"/>
      <c r="O122" s="435"/>
      <c r="P122" s="435"/>
      <c r="Q122" s="435"/>
      <c r="R122" s="435"/>
      <c r="S122" s="435"/>
      <c r="T122" s="492"/>
      <c r="U122" s="483"/>
      <c r="V122" s="433"/>
      <c r="W122" s="434"/>
      <c r="X122" s="434"/>
      <c r="Y122" s="435"/>
      <c r="Z122" s="435"/>
      <c r="AA122" s="435"/>
      <c r="AB122" s="434"/>
      <c r="AC122" s="495"/>
      <c r="AD122" s="483"/>
      <c r="AE122" s="496">
        <f t="shared" ref="AE122:AE125" si="79">SUM(E122:AC122)</f>
        <v>0</v>
      </c>
      <c r="AF122" s="497"/>
      <c r="AG122" s="510"/>
      <c r="AH122" s="511">
        <f t="shared" ref="AH122:AH125" si="80">AE122+AF122</f>
        <v>0</v>
      </c>
      <c r="AI122" s="512"/>
      <c r="AJ122" s="513">
        <f>AH122+AI122</f>
        <v>0</v>
      </c>
    </row>
    <row r="123" spans="1:39" s="283" customFormat="1" ht="20.25">
      <c r="A123" s="445"/>
      <c r="B123" s="323"/>
      <c r="C123" s="323"/>
      <c r="D123" s="324"/>
      <c r="E123" s="325"/>
      <c r="F123" s="297"/>
      <c r="G123" s="297"/>
      <c r="H123" s="298"/>
      <c r="I123" s="298"/>
      <c r="J123" s="297"/>
      <c r="K123" s="344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79"/>
        <v>0</v>
      </c>
      <c r="AF123" s="377"/>
      <c r="AG123" s="390"/>
      <c r="AH123" s="391">
        <f t="shared" si="80"/>
        <v>0</v>
      </c>
      <c r="AI123" s="412"/>
      <c r="AJ123" s="413">
        <f t="shared" ref="AJ123:AJ125" si="81">AH123+AI123</f>
        <v>0</v>
      </c>
    </row>
    <row r="124" spans="1:39" s="283" customFormat="1" ht="20.25">
      <c r="A124" s="445"/>
      <c r="B124" s="323"/>
      <c r="C124" s="323"/>
      <c r="D124" s="324"/>
      <c r="E124" s="325"/>
      <c r="F124" s="297"/>
      <c r="G124" s="297"/>
      <c r="H124" s="298"/>
      <c r="I124" s="298"/>
      <c r="J124" s="297"/>
      <c r="K124" s="344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79"/>
        <v>0</v>
      </c>
      <c r="AF124" s="377"/>
      <c r="AG124" s="390"/>
      <c r="AH124" s="391">
        <f t="shared" si="80"/>
        <v>0</v>
      </c>
      <c r="AI124" s="412"/>
      <c r="AJ124" s="413">
        <f t="shared" si="81"/>
        <v>0</v>
      </c>
    </row>
    <row r="125" spans="1:39" s="283" customFormat="1" ht="20.25">
      <c r="A125" s="322"/>
      <c r="B125" s="323"/>
      <c r="C125" s="323"/>
      <c r="D125" s="324"/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7">
        <f t="shared" si="79"/>
        <v>0</v>
      </c>
      <c r="AF125" s="377"/>
      <c r="AG125" s="390"/>
      <c r="AH125" s="507">
        <f t="shared" si="80"/>
        <v>0</v>
      </c>
      <c r="AI125" s="412"/>
      <c r="AJ125" s="508">
        <f t="shared" si="81"/>
        <v>0</v>
      </c>
    </row>
    <row r="126" spans="1:39" s="283" customFormat="1" ht="20.25">
      <c r="A126" s="436"/>
      <c r="B126" s="437"/>
      <c r="C126" s="437"/>
      <c r="D126" s="438"/>
      <c r="E126" s="439">
        <f t="shared" ref="E126:K126" si="82">SUM(E123:E125)</f>
        <v>0</v>
      </c>
      <c r="F126" s="440">
        <f t="shared" si="82"/>
        <v>0</v>
      </c>
      <c r="G126" s="440">
        <f t="shared" si="82"/>
        <v>0</v>
      </c>
      <c r="H126" s="440">
        <f t="shared" si="82"/>
        <v>0</v>
      </c>
      <c r="I126" s="440">
        <f t="shared" si="82"/>
        <v>0</v>
      </c>
      <c r="J126" s="440">
        <f t="shared" si="82"/>
        <v>0</v>
      </c>
      <c r="K126" s="481">
        <f t="shared" si="82"/>
        <v>0</v>
      </c>
      <c r="L126" s="482"/>
      <c r="M126" s="439">
        <f t="shared" ref="M126:T126" si="83">SUM(M123:M125)</f>
        <v>0</v>
      </c>
      <c r="N126" s="440">
        <f t="shared" si="83"/>
        <v>0</v>
      </c>
      <c r="O126" s="440">
        <f t="shared" si="83"/>
        <v>0</v>
      </c>
      <c r="P126" s="440">
        <f t="shared" si="83"/>
        <v>0</v>
      </c>
      <c r="Q126" s="440">
        <f t="shared" si="83"/>
        <v>0</v>
      </c>
      <c r="R126" s="440">
        <f t="shared" si="83"/>
        <v>0</v>
      </c>
      <c r="S126" s="440">
        <f t="shared" si="83"/>
        <v>0</v>
      </c>
      <c r="T126" s="481">
        <f t="shared" si="83"/>
        <v>0</v>
      </c>
      <c r="U126" s="482"/>
      <c r="V126" s="439">
        <f t="shared" ref="V126:AC126" si="84">SUM(V123:V125)</f>
        <v>0</v>
      </c>
      <c r="W126" s="440">
        <f t="shared" si="84"/>
        <v>0</v>
      </c>
      <c r="X126" s="440">
        <f t="shared" si="84"/>
        <v>0</v>
      </c>
      <c r="Y126" s="440">
        <f t="shared" si="84"/>
        <v>0</v>
      </c>
      <c r="Z126" s="440">
        <f t="shared" si="84"/>
        <v>0</v>
      </c>
      <c r="AA126" s="440">
        <f t="shared" si="84"/>
        <v>0</v>
      </c>
      <c r="AB126" s="440">
        <f t="shared" si="84"/>
        <v>0</v>
      </c>
      <c r="AC126" s="481">
        <f t="shared" si="84"/>
        <v>0</v>
      </c>
      <c r="AD126" s="482"/>
      <c r="AE126" s="494">
        <f>SUM(AE122:AE125)</f>
        <v>0</v>
      </c>
      <c r="AF126" s="494">
        <f>SUM(AF122:AF125)</f>
        <v>0</v>
      </c>
      <c r="AG126" s="509"/>
      <c r="AH126" s="514">
        <f>SUM(AH122:AH125)</f>
        <v>0</v>
      </c>
      <c r="AI126" s="494">
        <f>SUM(AI122:AI125)</f>
        <v>0</v>
      </c>
      <c r="AJ126" s="515">
        <f>SUM(AJ122:AJ125)</f>
        <v>0</v>
      </c>
    </row>
    <row r="127" spans="1:39" s="284" customFormat="1" ht="8.25" customHeight="1" thickBot="1">
      <c r="A127" s="425"/>
      <c r="B127" s="426"/>
      <c r="C127" s="426"/>
      <c r="D127" s="427"/>
      <c r="E127" s="428"/>
      <c r="F127" s="428"/>
      <c r="G127" s="428"/>
      <c r="H127" s="428"/>
      <c r="I127" s="428"/>
      <c r="J127" s="428"/>
      <c r="K127" s="428"/>
      <c r="L127" s="478"/>
      <c r="M127" s="479"/>
      <c r="N127" s="479"/>
      <c r="O127" s="479"/>
      <c r="P127" s="479"/>
      <c r="Q127" s="479"/>
      <c r="R127" s="479"/>
      <c r="S127" s="479"/>
      <c r="T127" s="479"/>
      <c r="U127" s="478"/>
      <c r="V127" s="479"/>
      <c r="W127" s="479"/>
      <c r="X127" s="479"/>
      <c r="Y127" s="479"/>
      <c r="Z127" s="479"/>
      <c r="AA127" s="479"/>
      <c r="AB127" s="479"/>
      <c r="AC127" s="479"/>
      <c r="AD127" s="478"/>
      <c r="AE127" s="479"/>
      <c r="AF127" s="479"/>
      <c r="AG127" s="479"/>
      <c r="AH127" s="479"/>
      <c r="AI127" s="479"/>
      <c r="AJ127" s="506"/>
      <c r="AK127" s="403"/>
      <c r="AL127" s="403"/>
      <c r="AM127" s="403"/>
    </row>
    <row r="128" spans="1:39" s="282" customFormat="1" ht="16.5" thickBot="1">
      <c r="A128" s="446" t="s">
        <v>140</v>
      </c>
      <c r="B128" s="287" t="s">
        <v>68</v>
      </c>
      <c r="C128" s="447" t="s">
        <v>69</v>
      </c>
      <c r="D128" s="448" t="s">
        <v>70</v>
      </c>
      <c r="E128" s="80" t="s">
        <v>86</v>
      </c>
      <c r="F128" s="49" t="s">
        <v>91</v>
      </c>
      <c r="G128" s="49" t="s">
        <v>245</v>
      </c>
      <c r="H128" s="49" t="s">
        <v>238</v>
      </c>
      <c r="I128" s="49" t="s">
        <v>90</v>
      </c>
      <c r="J128" s="49" t="s">
        <v>85</v>
      </c>
      <c r="K128" s="126" t="s">
        <v>123</v>
      </c>
      <c r="L128" s="79"/>
      <c r="M128" s="80" t="s">
        <v>95</v>
      </c>
      <c r="N128" s="49" t="s">
        <v>94</v>
      </c>
      <c r="O128" s="49" t="s">
        <v>190</v>
      </c>
      <c r="P128" s="49" t="s">
        <v>53</v>
      </c>
      <c r="Q128" s="49" t="s">
        <v>119</v>
      </c>
      <c r="R128" s="49" t="s">
        <v>101</v>
      </c>
      <c r="S128" s="49" t="s">
        <v>92</v>
      </c>
      <c r="T128" s="126" t="s">
        <v>124</v>
      </c>
      <c r="U128" s="79"/>
      <c r="V128" s="745" t="str">
        <f t="shared" ref="V128:AC128" si="85">V121</f>
        <v>P.Green Sumo Baby</v>
      </c>
      <c r="W128" s="746">
        <f t="shared" si="85"/>
        <v>0</v>
      </c>
      <c r="X128" s="102">
        <f t="shared" si="85"/>
        <v>0</v>
      </c>
      <c r="Y128" s="747">
        <f t="shared" si="85"/>
        <v>0</v>
      </c>
      <c r="Z128" s="744">
        <f t="shared" si="85"/>
        <v>0</v>
      </c>
      <c r="AA128" s="101" t="str">
        <f t="shared" si="85"/>
        <v>P.Silver</v>
      </c>
      <c r="AB128" s="748">
        <f t="shared" si="85"/>
        <v>0</v>
      </c>
      <c r="AC128" s="717">
        <f t="shared" si="85"/>
        <v>0</v>
      </c>
      <c r="AD128" s="79"/>
      <c r="AE128" s="371" t="s">
        <v>172</v>
      </c>
      <c r="AF128" s="498" t="s">
        <v>80</v>
      </c>
      <c r="AG128" s="385"/>
      <c r="AH128" s="386" t="s">
        <v>106</v>
      </c>
      <c r="AI128" s="385" t="s">
        <v>173</v>
      </c>
      <c r="AJ128" s="371" t="s">
        <v>108</v>
      </c>
    </row>
    <row r="129" spans="1:39" s="283" customFormat="1" ht="20.25">
      <c r="A129" s="449" t="s">
        <v>180</v>
      </c>
      <c r="B129" s="450"/>
      <c r="C129" s="450"/>
      <c r="D129" s="451"/>
      <c r="E129" s="325"/>
      <c r="F129" s="297"/>
      <c r="G129" s="297"/>
      <c r="H129" s="298"/>
      <c r="I129" s="298"/>
      <c r="J129" s="453"/>
      <c r="K129" s="485"/>
      <c r="L129" s="355"/>
      <c r="M129" s="484"/>
      <c r="N129" s="435"/>
      <c r="O129" s="435"/>
      <c r="P129" s="435"/>
      <c r="Q129" s="435"/>
      <c r="R129" s="435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ref="AE129:AE134" si="86">SUM(E129:AC129)</f>
        <v>0</v>
      </c>
      <c r="AF129" s="499"/>
      <c r="AG129" s="516"/>
      <c r="AH129" s="391">
        <f t="shared" ref="AH129:AH134" si="87">AE129+AF129</f>
        <v>0</v>
      </c>
      <c r="AI129" s="412"/>
      <c r="AJ129" s="413">
        <f>AH129+AI129</f>
        <v>0</v>
      </c>
    </row>
    <row r="130" spans="1:39" s="283" customFormat="1" ht="20.25">
      <c r="A130" s="445"/>
      <c r="B130" s="455"/>
      <c r="C130" s="455"/>
      <c r="D130" s="456"/>
      <c r="E130" s="457"/>
      <c r="F130" s="458"/>
      <c r="G130" s="458"/>
      <c r="H130" s="459"/>
      <c r="I130" s="459"/>
      <c r="J130" s="458"/>
      <c r="K130" s="486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86"/>
        <v>0</v>
      </c>
      <c r="AF130" s="500"/>
      <c r="AG130" s="516"/>
      <c r="AH130" s="391">
        <f t="shared" si="87"/>
        <v>0</v>
      </c>
      <c r="AI130" s="412"/>
      <c r="AJ130" s="413">
        <f t="shared" ref="AJ130:AJ131" si="88">AH130+AI130</f>
        <v>0</v>
      </c>
    </row>
    <row r="131" spans="1:39" s="283" customFormat="1" ht="20.25">
      <c r="A131" s="442"/>
      <c r="B131" s="455"/>
      <c r="C131" s="455"/>
      <c r="D131" s="456"/>
      <c r="E131" s="457"/>
      <c r="F131" s="458"/>
      <c r="G131" s="458"/>
      <c r="H131" s="459"/>
      <c r="I131" s="459"/>
      <c r="J131" s="458"/>
      <c r="K131" s="486"/>
      <c r="L131" s="483"/>
      <c r="M131" s="484"/>
      <c r="N131" s="435"/>
      <c r="O131" s="435"/>
      <c r="P131" s="435"/>
      <c r="Q131" s="435"/>
      <c r="R131" s="435"/>
      <c r="S131" s="435"/>
      <c r="T131" s="492"/>
      <c r="U131" s="483"/>
      <c r="V131" s="433"/>
      <c r="W131" s="434"/>
      <c r="X131" s="434"/>
      <c r="Y131" s="435"/>
      <c r="Z131" s="435"/>
      <c r="AA131" s="435"/>
      <c r="AB131" s="434"/>
      <c r="AC131" s="495"/>
      <c r="AD131" s="483"/>
      <c r="AE131" s="496">
        <f t="shared" si="86"/>
        <v>0</v>
      </c>
      <c r="AF131" s="500"/>
      <c r="AG131" s="517"/>
      <c r="AH131" s="511">
        <f t="shared" si="87"/>
        <v>0</v>
      </c>
      <c r="AI131" s="512"/>
      <c r="AJ131" s="513">
        <f t="shared" si="88"/>
        <v>0</v>
      </c>
    </row>
    <row r="132" spans="1:39" s="283" customFormat="1" ht="20.25">
      <c r="A132" s="445"/>
      <c r="B132" s="455"/>
      <c r="C132" s="455"/>
      <c r="D132" s="456"/>
      <c r="E132" s="457"/>
      <c r="F132" s="458"/>
      <c r="G132" s="458"/>
      <c r="H132" s="459"/>
      <c r="I132" s="459"/>
      <c r="J132" s="458"/>
      <c r="K132" s="486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86"/>
        <v>0</v>
      </c>
      <c r="AF132" s="500"/>
      <c r="AG132" s="516"/>
      <c r="AH132" s="391">
        <f t="shared" si="87"/>
        <v>0</v>
      </c>
      <c r="AI132" s="412"/>
      <c r="AJ132" s="413">
        <f t="shared" ref="AJ132:AJ134" si="89">AH132+AI132</f>
        <v>0</v>
      </c>
    </row>
    <row r="133" spans="1:39" s="283" customFormat="1" ht="20.25">
      <c r="A133" s="445"/>
      <c r="B133" s="455"/>
      <c r="C133" s="455"/>
      <c r="D133" s="456"/>
      <c r="E133" s="457"/>
      <c r="F133" s="458"/>
      <c r="G133" s="458"/>
      <c r="H133" s="459"/>
      <c r="I133" s="459"/>
      <c r="J133" s="458"/>
      <c r="K133" s="486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86"/>
        <v>0</v>
      </c>
      <c r="AF133" s="500"/>
      <c r="AG133" s="516"/>
      <c r="AH133" s="391">
        <f t="shared" si="87"/>
        <v>0</v>
      </c>
      <c r="AI133" s="412"/>
      <c r="AJ133" s="413">
        <f t="shared" si="89"/>
        <v>0</v>
      </c>
    </row>
    <row r="134" spans="1:39" s="283" customFormat="1" ht="20.25">
      <c r="A134" s="460"/>
      <c r="B134" s="461"/>
      <c r="C134" s="461"/>
      <c r="D134" s="462"/>
      <c r="E134" s="463"/>
      <c r="F134" s="464"/>
      <c r="G134" s="464"/>
      <c r="H134" s="465"/>
      <c r="I134" s="465"/>
      <c r="J134" s="464"/>
      <c r="K134" s="48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7">
        <f t="shared" si="86"/>
        <v>0</v>
      </c>
      <c r="AF134" s="501"/>
      <c r="AG134" s="516"/>
      <c r="AH134" s="507">
        <f t="shared" si="87"/>
        <v>0</v>
      </c>
      <c r="AI134" s="412"/>
      <c r="AJ134" s="508">
        <f t="shared" si="89"/>
        <v>0</v>
      </c>
    </row>
    <row r="135" spans="1:39" s="283" customFormat="1" ht="20.25">
      <c r="A135" s="466"/>
      <c r="B135" s="467"/>
      <c r="C135" s="467"/>
      <c r="D135" s="468"/>
      <c r="E135" s="469">
        <f t="shared" ref="E135:K135" si="90">SUM(E131:E134)</f>
        <v>0</v>
      </c>
      <c r="F135" s="470">
        <f t="shared" si="90"/>
        <v>0</v>
      </c>
      <c r="G135" s="470">
        <f t="shared" si="90"/>
        <v>0</v>
      </c>
      <c r="H135" s="470">
        <f t="shared" si="90"/>
        <v>0</v>
      </c>
      <c r="I135" s="470">
        <f t="shared" si="90"/>
        <v>0</v>
      </c>
      <c r="J135" s="470">
        <f t="shared" si="90"/>
        <v>0</v>
      </c>
      <c r="K135" s="488">
        <f t="shared" si="90"/>
        <v>0</v>
      </c>
      <c r="L135" s="482"/>
      <c r="M135" s="439">
        <f t="shared" ref="M135:T135" si="91">SUM(M131:M134)</f>
        <v>0</v>
      </c>
      <c r="N135" s="440">
        <f t="shared" si="91"/>
        <v>0</v>
      </c>
      <c r="O135" s="440">
        <f t="shared" si="91"/>
        <v>0</v>
      </c>
      <c r="P135" s="440">
        <f t="shared" si="91"/>
        <v>0</v>
      </c>
      <c r="Q135" s="440">
        <f t="shared" si="91"/>
        <v>0</v>
      </c>
      <c r="R135" s="440">
        <f t="shared" si="91"/>
        <v>0</v>
      </c>
      <c r="S135" s="440">
        <f t="shared" si="91"/>
        <v>0</v>
      </c>
      <c r="T135" s="481">
        <f t="shared" si="91"/>
        <v>0</v>
      </c>
      <c r="U135" s="482"/>
      <c r="V135" s="439">
        <f t="shared" ref="V135:AC135" si="92">SUM(V131:V134)</f>
        <v>0</v>
      </c>
      <c r="W135" s="440">
        <f t="shared" si="92"/>
        <v>0</v>
      </c>
      <c r="X135" s="440">
        <f t="shared" si="92"/>
        <v>0</v>
      </c>
      <c r="Y135" s="440">
        <f t="shared" si="92"/>
        <v>0</v>
      </c>
      <c r="Z135" s="440">
        <f t="shared" si="92"/>
        <v>0</v>
      </c>
      <c r="AA135" s="440">
        <f t="shared" si="92"/>
        <v>0</v>
      </c>
      <c r="AB135" s="440">
        <f t="shared" si="92"/>
        <v>0</v>
      </c>
      <c r="AC135" s="481">
        <f t="shared" si="92"/>
        <v>0</v>
      </c>
      <c r="AD135" s="482"/>
      <c r="AE135" s="494">
        <f>SUM(AE129:AE134)</f>
        <v>0</v>
      </c>
      <c r="AF135" s="502">
        <f>SUM(AF129:AF134)</f>
        <v>0</v>
      </c>
      <c r="AG135" s="509"/>
      <c r="AH135" s="514">
        <f>SUM(AH129:AH134)</f>
        <v>0</v>
      </c>
      <c r="AI135" s="494">
        <f>SUM(AI129:AI134)</f>
        <v>0</v>
      </c>
      <c r="AJ135" s="515">
        <f>SUM(AJ129:AJ134)</f>
        <v>0</v>
      </c>
    </row>
    <row r="136" spans="1:39" s="284" customFormat="1" ht="8.25" customHeight="1" thickBot="1">
      <c r="A136" s="425"/>
      <c r="B136" s="426"/>
      <c r="C136" s="426"/>
      <c r="D136" s="427"/>
      <c r="E136" s="428"/>
      <c r="F136" s="428"/>
      <c r="G136" s="428"/>
      <c r="H136" s="428"/>
      <c r="I136" s="428"/>
      <c r="J136" s="428"/>
      <c r="K136" s="428"/>
      <c r="L136" s="478"/>
      <c r="M136" s="479"/>
      <c r="N136" s="479"/>
      <c r="O136" s="479"/>
      <c r="P136" s="479"/>
      <c r="Q136" s="479"/>
      <c r="R136" s="479"/>
      <c r="S136" s="479"/>
      <c r="T136" s="479"/>
      <c r="U136" s="478"/>
      <c r="V136" s="479"/>
      <c r="W136" s="479"/>
      <c r="X136" s="479"/>
      <c r="Y136" s="479"/>
      <c r="Z136" s="479"/>
      <c r="AA136" s="479"/>
      <c r="AB136" s="479"/>
      <c r="AC136" s="479"/>
      <c r="AD136" s="478"/>
      <c r="AE136" s="479"/>
      <c r="AF136" s="479"/>
      <c r="AG136" s="479"/>
      <c r="AH136" s="479"/>
      <c r="AI136" s="479"/>
      <c r="AJ136" s="506"/>
      <c r="AK136" s="403"/>
      <c r="AL136" s="403"/>
      <c r="AM136" s="403"/>
    </row>
    <row r="137" spans="1:39" s="282" customFormat="1" ht="18.75" thickBot="1">
      <c r="A137" s="441" t="s">
        <v>143</v>
      </c>
      <c r="B137" s="287" t="s">
        <v>68</v>
      </c>
      <c r="C137" s="287" t="s">
        <v>69</v>
      </c>
      <c r="D137" s="288" t="s">
        <v>70</v>
      </c>
      <c r="E137" s="80" t="s">
        <v>86</v>
      </c>
      <c r="F137" s="49" t="s">
        <v>91</v>
      </c>
      <c r="G137" s="49" t="s">
        <v>245</v>
      </c>
      <c r="H137" s="49" t="s">
        <v>238</v>
      </c>
      <c r="I137" s="49" t="s">
        <v>90</v>
      </c>
      <c r="J137" s="49" t="s">
        <v>85</v>
      </c>
      <c r="K137" s="126" t="s">
        <v>123</v>
      </c>
      <c r="L137" s="79"/>
      <c r="M137" s="80" t="s">
        <v>95</v>
      </c>
      <c r="N137" s="49" t="s">
        <v>94</v>
      </c>
      <c r="O137" s="49" t="s">
        <v>190</v>
      </c>
      <c r="P137" s="49" t="s">
        <v>53</v>
      </c>
      <c r="Q137" s="49" t="s">
        <v>119</v>
      </c>
      <c r="R137" s="49" t="s">
        <v>101</v>
      </c>
      <c r="S137" s="49" t="s">
        <v>92</v>
      </c>
      <c r="T137" s="126" t="s">
        <v>124</v>
      </c>
      <c r="U137" s="79"/>
      <c r="V137" s="745" t="str">
        <f t="shared" ref="V137:AC137" si="93">V128</f>
        <v>P.Green Sumo Baby</v>
      </c>
      <c r="W137" s="746">
        <f t="shared" si="93"/>
        <v>0</v>
      </c>
      <c r="X137" s="102">
        <f t="shared" si="93"/>
        <v>0</v>
      </c>
      <c r="Y137" s="747">
        <f t="shared" si="93"/>
        <v>0</v>
      </c>
      <c r="Z137" s="744">
        <f t="shared" si="93"/>
        <v>0</v>
      </c>
      <c r="AA137" s="101" t="str">
        <f t="shared" si="93"/>
        <v>P.Silver</v>
      </c>
      <c r="AB137" s="748">
        <f t="shared" si="93"/>
        <v>0</v>
      </c>
      <c r="AC137" s="717">
        <f t="shared" si="93"/>
        <v>0</v>
      </c>
      <c r="AD137" s="79"/>
      <c r="AE137" s="371" t="s">
        <v>172</v>
      </c>
      <c r="AF137" s="372" t="s">
        <v>80</v>
      </c>
      <c r="AG137" s="385"/>
      <c r="AH137" s="386" t="s">
        <v>106</v>
      </c>
      <c r="AI137" s="385" t="s">
        <v>173</v>
      </c>
      <c r="AJ137" s="371" t="s">
        <v>108</v>
      </c>
    </row>
    <row r="138" spans="1:39" s="283" customFormat="1" ht="20.25">
      <c r="A138" s="471" t="s">
        <v>181</v>
      </c>
      <c r="B138" s="472"/>
      <c r="C138" s="472"/>
      <c r="D138" s="473"/>
      <c r="E138" s="813"/>
      <c r="F138" s="814"/>
      <c r="G138" s="814"/>
      <c r="H138" s="815"/>
      <c r="I138" s="815"/>
      <c r="J138" s="475"/>
      <c r="K138" s="489"/>
      <c r="L138" s="490"/>
      <c r="M138" s="491"/>
      <c r="N138" s="476"/>
      <c r="O138" s="476"/>
      <c r="P138" s="476"/>
      <c r="Q138" s="476"/>
      <c r="R138" s="476"/>
      <c r="S138" s="476"/>
      <c r="T138" s="493"/>
      <c r="U138" s="490"/>
      <c r="V138" s="474"/>
      <c r="W138" s="475"/>
      <c r="X138" s="475"/>
      <c r="Y138" s="476"/>
      <c r="Z138" s="476"/>
      <c r="AA138" s="476"/>
      <c r="AB138" s="475"/>
      <c r="AC138" s="503"/>
      <c r="AD138" s="490"/>
      <c r="AE138" s="504">
        <f t="shared" ref="AE138:AE142" si="94">SUM(E138:AC138)</f>
        <v>0</v>
      </c>
      <c r="AF138" s="505"/>
      <c r="AG138" s="518"/>
      <c r="AH138" s="519">
        <f t="shared" ref="AH138:AH142" si="95">AE138+AF138</f>
        <v>0</v>
      </c>
      <c r="AI138" s="520"/>
      <c r="AJ138" s="521">
        <f>AH138+AI138</f>
        <v>0</v>
      </c>
    </row>
    <row r="139" spans="1:39" s="283" customFormat="1" ht="20.25">
      <c r="A139" s="445" t="s">
        <v>182</v>
      </c>
      <c r="B139" s="323"/>
      <c r="C139" s="323"/>
      <c r="D139" s="324"/>
      <c r="E139" s="325"/>
      <c r="F139" s="297"/>
      <c r="G139" s="297"/>
      <c r="H139" s="298"/>
      <c r="I139" s="298"/>
      <c r="J139" s="297"/>
      <c r="K139" s="344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6">
        <f t="shared" si="94"/>
        <v>0</v>
      </c>
      <c r="AF139" s="377"/>
      <c r="AG139" s="390"/>
      <c r="AH139" s="391">
        <f t="shared" si="95"/>
        <v>0</v>
      </c>
      <c r="AI139" s="412"/>
      <c r="AJ139" s="413">
        <f t="shared" ref="AJ139:AJ142" si="96">AH139+AI139</f>
        <v>0</v>
      </c>
    </row>
    <row r="140" spans="1:39" s="283" customFormat="1" ht="20.25">
      <c r="A140" s="445"/>
      <c r="B140" s="323"/>
      <c r="C140" s="323"/>
      <c r="D140" s="324"/>
      <c r="E140" s="325"/>
      <c r="F140" s="297"/>
      <c r="G140" s="297"/>
      <c r="H140" s="298"/>
      <c r="I140" s="298"/>
      <c r="J140" s="297"/>
      <c r="K140" s="344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94"/>
        <v>0</v>
      </c>
      <c r="AF140" s="377"/>
      <c r="AG140" s="390"/>
      <c r="AH140" s="391">
        <f t="shared" si="95"/>
        <v>0</v>
      </c>
      <c r="AI140" s="412"/>
      <c r="AJ140" s="413">
        <f t="shared" si="96"/>
        <v>0</v>
      </c>
    </row>
    <row r="141" spans="1:39" s="283" customFormat="1" ht="20.25">
      <c r="A141" s="445"/>
      <c r="B141" s="323"/>
      <c r="C141" s="323"/>
      <c r="D141" s="324"/>
      <c r="E141" s="325"/>
      <c r="F141" s="297"/>
      <c r="G141" s="297"/>
      <c r="H141" s="298"/>
      <c r="I141" s="298"/>
      <c r="J141" s="297"/>
      <c r="K141" s="344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si="94"/>
        <v>0</v>
      </c>
      <c r="AF141" s="377"/>
      <c r="AG141" s="390"/>
      <c r="AH141" s="391">
        <f t="shared" si="95"/>
        <v>0</v>
      </c>
      <c r="AI141" s="412"/>
      <c r="AJ141" s="413">
        <f t="shared" si="96"/>
        <v>0</v>
      </c>
    </row>
    <row r="142" spans="1:39" s="283" customFormat="1" ht="20.25">
      <c r="A142" s="322"/>
      <c r="B142" s="323"/>
      <c r="C142" s="323"/>
      <c r="D142" s="324"/>
      <c r="E142" s="325"/>
      <c r="F142" s="297"/>
      <c r="G142" s="297"/>
      <c r="H142" s="298"/>
      <c r="I142" s="298"/>
      <c r="J142" s="297"/>
      <c r="K142" s="344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 t="shared" si="94"/>
        <v>0</v>
      </c>
      <c r="AF142" s="377"/>
      <c r="AG142" s="390"/>
      <c r="AH142" s="507">
        <f t="shared" si="95"/>
        <v>0</v>
      </c>
      <c r="AI142" s="412"/>
      <c r="AJ142" s="508">
        <f t="shared" si="96"/>
        <v>0</v>
      </c>
    </row>
    <row r="143" spans="1:39" s="283" customFormat="1" ht="20.25">
      <c r="A143" s="436"/>
      <c r="B143" s="437"/>
      <c r="C143" s="437"/>
      <c r="D143" s="438"/>
      <c r="E143" s="439">
        <f t="shared" ref="E143:K143" si="97">SUM(E138:E142)</f>
        <v>0</v>
      </c>
      <c r="F143" s="440">
        <f t="shared" si="97"/>
        <v>0</v>
      </c>
      <c r="G143" s="440">
        <f t="shared" si="97"/>
        <v>0</v>
      </c>
      <c r="H143" s="440">
        <f t="shared" si="97"/>
        <v>0</v>
      </c>
      <c r="I143" s="440">
        <f t="shared" si="97"/>
        <v>0</v>
      </c>
      <c r="J143" s="440">
        <f t="shared" si="97"/>
        <v>0</v>
      </c>
      <c r="K143" s="481">
        <f t="shared" si="97"/>
        <v>0</v>
      </c>
      <c r="L143" s="482"/>
      <c r="M143" s="439">
        <f t="shared" ref="M143:T143" si="98">SUM(M138:M142)</f>
        <v>0</v>
      </c>
      <c r="N143" s="440">
        <f t="shared" si="98"/>
        <v>0</v>
      </c>
      <c r="O143" s="440">
        <f t="shared" si="98"/>
        <v>0</v>
      </c>
      <c r="P143" s="440">
        <f t="shared" si="98"/>
        <v>0</v>
      </c>
      <c r="Q143" s="440">
        <f t="shared" si="98"/>
        <v>0</v>
      </c>
      <c r="R143" s="440">
        <f t="shared" si="98"/>
        <v>0</v>
      </c>
      <c r="S143" s="440">
        <f t="shared" si="98"/>
        <v>0</v>
      </c>
      <c r="T143" s="481">
        <f t="shared" si="98"/>
        <v>0</v>
      </c>
      <c r="U143" s="482"/>
      <c r="V143" s="439">
        <f t="shared" ref="V143:AC143" si="99">SUM(V138:V142)</f>
        <v>0</v>
      </c>
      <c r="W143" s="440">
        <f t="shared" si="99"/>
        <v>0</v>
      </c>
      <c r="X143" s="440">
        <f t="shared" si="99"/>
        <v>0</v>
      </c>
      <c r="Y143" s="440">
        <f t="shared" si="99"/>
        <v>0</v>
      </c>
      <c r="Z143" s="440">
        <f t="shared" si="99"/>
        <v>0</v>
      </c>
      <c r="AA143" s="440">
        <f t="shared" si="99"/>
        <v>0</v>
      </c>
      <c r="AB143" s="440">
        <f t="shared" si="99"/>
        <v>0</v>
      </c>
      <c r="AC143" s="481">
        <f t="shared" si="99"/>
        <v>0</v>
      </c>
      <c r="AD143" s="482"/>
      <c r="AE143" s="494">
        <f>SUM(AE138:AE142)</f>
        <v>0</v>
      </c>
      <c r="AF143" s="494">
        <f>SUM(AF138:AF142)</f>
        <v>0</v>
      </c>
      <c r="AG143" s="509"/>
      <c r="AH143" s="514">
        <f>SUM(AH138:AH142)</f>
        <v>0</v>
      </c>
      <c r="AI143" s="494">
        <f>SUM(AI138:AI142)</f>
        <v>0</v>
      </c>
      <c r="AJ143" s="509">
        <f>SUM(AJ138:AJ142)</f>
        <v>0</v>
      </c>
    </row>
    <row r="144" spans="1:39" s="284" customFormat="1" ht="8.25" customHeight="1">
      <c r="A144" s="522"/>
      <c r="B144" s="523"/>
      <c r="C144" s="523"/>
      <c r="D144" s="524"/>
      <c r="E144" s="525"/>
      <c r="F144" s="525"/>
      <c r="G144" s="525"/>
      <c r="H144" s="525"/>
      <c r="I144" s="525"/>
      <c r="J144" s="525"/>
      <c r="K144" s="525"/>
      <c r="L144" s="572"/>
      <c r="M144" s="573"/>
      <c r="N144" s="573"/>
      <c r="O144" s="573"/>
      <c r="P144" s="573"/>
      <c r="Q144" s="573"/>
      <c r="R144" s="573"/>
      <c r="S144" s="573"/>
      <c r="T144" s="573"/>
      <c r="U144" s="572"/>
      <c r="V144" s="573"/>
      <c r="W144" s="573"/>
      <c r="X144" s="573"/>
      <c r="Y144" s="573"/>
      <c r="Z144" s="573"/>
      <c r="AA144" s="573"/>
      <c r="AB144" s="573"/>
      <c r="AC144" s="573"/>
      <c r="AD144" s="572"/>
      <c r="AE144" s="573"/>
      <c r="AF144" s="573"/>
      <c r="AG144" s="599"/>
      <c r="AH144" s="573"/>
      <c r="AI144" s="573"/>
      <c r="AJ144" s="600"/>
      <c r="AK144" s="403"/>
      <c r="AL144" s="403"/>
      <c r="AM144" s="403"/>
    </row>
    <row r="145" spans="1:36" ht="20.25">
      <c r="A145" s="526" t="s">
        <v>145</v>
      </c>
      <c r="B145" s="527"/>
      <c r="C145" s="527"/>
      <c r="D145" s="528"/>
      <c r="E145" s="529">
        <f>E4+E38+E53+E110+E68+E82+E119+E126+E135+E143+E96</f>
        <v>640</v>
      </c>
      <c r="F145" s="529">
        <f t="shared" ref="F145:K145" si="100">F4+F38+F53+F110+F68+F82+F119+F126+F135+F143+F96</f>
        <v>0</v>
      </c>
      <c r="G145" s="529">
        <f t="shared" si="100"/>
        <v>0</v>
      </c>
      <c r="H145" s="529">
        <f t="shared" si="100"/>
        <v>0</v>
      </c>
      <c r="I145" s="529">
        <f t="shared" si="100"/>
        <v>0</v>
      </c>
      <c r="J145" s="529">
        <f t="shared" si="100"/>
        <v>0</v>
      </c>
      <c r="K145" s="529">
        <f t="shared" si="100"/>
        <v>260</v>
      </c>
      <c r="L145" s="529">
        <f t="shared" ref="L145:AD145" si="101">L4+L38+L53+L110+L68+L82+L119+L126+L135+L143</f>
        <v>0</v>
      </c>
      <c r="M145" s="529">
        <f>M4+M38+M53+M110+M68+M82+M119+M126+M135+M143+M96</f>
        <v>0</v>
      </c>
      <c r="N145" s="529">
        <f t="shared" ref="N145:T145" si="102">N4+N38+N53+N110+N68+N82+N119+N126+N135+N143+N96</f>
        <v>0</v>
      </c>
      <c r="O145" s="529">
        <f t="shared" si="102"/>
        <v>0</v>
      </c>
      <c r="P145" s="529">
        <f t="shared" si="102"/>
        <v>0</v>
      </c>
      <c r="Q145" s="529">
        <f t="shared" si="102"/>
        <v>0</v>
      </c>
      <c r="R145" s="529">
        <f t="shared" si="102"/>
        <v>0</v>
      </c>
      <c r="S145" s="529">
        <f t="shared" si="102"/>
        <v>0</v>
      </c>
      <c r="T145" s="529">
        <f t="shared" si="102"/>
        <v>0</v>
      </c>
      <c r="U145" s="529"/>
      <c r="V145" s="529">
        <f>V4+V38+V53+V110+V68+V82+V119+V126+V135+V143+V96</f>
        <v>0</v>
      </c>
      <c r="W145" s="529">
        <f t="shared" ref="W145:AC145" si="103">W4+W38+W53+W110+W68+W82+W119+W126+W135+W143+W96</f>
        <v>0</v>
      </c>
      <c r="X145" s="529">
        <f t="shared" si="103"/>
        <v>0</v>
      </c>
      <c r="Y145" s="529">
        <f t="shared" si="103"/>
        <v>0</v>
      </c>
      <c r="Z145" s="529">
        <f t="shared" si="103"/>
        <v>0</v>
      </c>
      <c r="AA145" s="529">
        <f t="shared" si="103"/>
        <v>0</v>
      </c>
      <c r="AB145" s="529">
        <f t="shared" si="103"/>
        <v>0</v>
      </c>
      <c r="AC145" s="529">
        <f t="shared" si="103"/>
        <v>0</v>
      </c>
      <c r="AD145" s="529">
        <f t="shared" si="101"/>
        <v>0</v>
      </c>
      <c r="AE145" s="529">
        <f>AE4+AE38+AE53+AE110+AE68+AE82+AE119+AE126+AE135+AE143+AE96</f>
        <v>900</v>
      </c>
      <c r="AF145" s="529">
        <f t="shared" ref="AF145:AJ145" si="104">AF4+AF38+AF53+AF110+AF68+AF82+AF119+AF126+AF135+AF143+AF96</f>
        <v>0</v>
      </c>
      <c r="AG145" s="529">
        <f t="shared" si="104"/>
        <v>0</v>
      </c>
      <c r="AH145" s="529">
        <f t="shared" si="104"/>
        <v>900</v>
      </c>
      <c r="AI145" s="529">
        <f t="shared" si="104"/>
        <v>0</v>
      </c>
      <c r="AJ145" s="529">
        <f t="shared" si="104"/>
        <v>900</v>
      </c>
    </row>
    <row r="146" spans="1:36" ht="20.25">
      <c r="A146" s="530" t="s">
        <v>152</v>
      </c>
      <c r="B146" s="531"/>
      <c r="C146" s="531"/>
      <c r="D146" s="532"/>
      <c r="E146" s="533">
        <f t="shared" ref="E146:K146" si="105">E145/20</f>
        <v>32</v>
      </c>
      <c r="F146" s="534">
        <f t="shared" si="105"/>
        <v>0</v>
      </c>
      <c r="G146" s="534">
        <f t="shared" si="105"/>
        <v>0</v>
      </c>
      <c r="H146" s="534">
        <f t="shared" si="105"/>
        <v>0</v>
      </c>
      <c r="I146" s="534">
        <f t="shared" si="105"/>
        <v>0</v>
      </c>
      <c r="J146" s="534">
        <f t="shared" si="105"/>
        <v>0</v>
      </c>
      <c r="K146" s="586">
        <f t="shared" si="105"/>
        <v>13</v>
      </c>
      <c r="L146" s="575"/>
      <c r="M146" s="576">
        <f>M145/20</f>
        <v>0</v>
      </c>
      <c r="N146" s="577">
        <f t="shared" ref="N146:T146" si="106">N145/20</f>
        <v>0</v>
      </c>
      <c r="O146" s="577">
        <f t="shared" si="106"/>
        <v>0</v>
      </c>
      <c r="P146" s="577">
        <f t="shared" si="106"/>
        <v>0</v>
      </c>
      <c r="Q146" s="577">
        <f t="shared" si="106"/>
        <v>0</v>
      </c>
      <c r="R146" s="577">
        <f t="shared" si="106"/>
        <v>0</v>
      </c>
      <c r="S146" s="577">
        <f t="shared" si="106"/>
        <v>0</v>
      </c>
      <c r="T146" s="586">
        <f t="shared" si="106"/>
        <v>0</v>
      </c>
      <c r="U146" s="575"/>
      <c r="V146" s="576">
        <f>V145/20</f>
        <v>0</v>
      </c>
      <c r="W146" s="577">
        <f t="shared" ref="W146:AA146" si="107">W145/20</f>
        <v>0</v>
      </c>
      <c r="X146" s="577">
        <f t="shared" si="107"/>
        <v>0</v>
      </c>
      <c r="Y146" s="577">
        <f t="shared" si="107"/>
        <v>0</v>
      </c>
      <c r="Z146" s="577">
        <f t="shared" si="107"/>
        <v>0</v>
      </c>
      <c r="AA146" s="577">
        <f t="shared" si="107"/>
        <v>0</v>
      </c>
      <c r="AB146" s="577">
        <f t="shared" ref="AB146:AJ146" si="108">AB145/20</f>
        <v>0</v>
      </c>
      <c r="AC146" s="586">
        <f t="shared" si="108"/>
        <v>0</v>
      </c>
      <c r="AD146" s="586">
        <f t="shared" si="108"/>
        <v>0</v>
      </c>
      <c r="AE146" s="586">
        <f t="shared" si="108"/>
        <v>45</v>
      </c>
      <c r="AF146" s="601">
        <f t="shared" si="108"/>
        <v>0</v>
      </c>
      <c r="AG146" s="586">
        <f t="shared" si="108"/>
        <v>0</v>
      </c>
      <c r="AH146" s="601">
        <f t="shared" si="108"/>
        <v>45</v>
      </c>
      <c r="AI146" s="601">
        <f t="shared" si="108"/>
        <v>0</v>
      </c>
      <c r="AJ146" s="601">
        <f t="shared" si="108"/>
        <v>45</v>
      </c>
    </row>
    <row r="147" spans="1:36" s="1" customFormat="1" ht="21" customHeight="1">
      <c r="A147" s="3755" t="s">
        <v>147</v>
      </c>
      <c r="B147" s="3755"/>
      <c r="C147" s="3755"/>
      <c r="D147" s="3755"/>
      <c r="E147" s="3756"/>
      <c r="F147" s="3756"/>
      <c r="G147" s="3756"/>
      <c r="H147" s="3756"/>
      <c r="I147" s="3756"/>
      <c r="J147" s="3756"/>
      <c r="K147" s="3756"/>
      <c r="L147" s="3755"/>
      <c r="M147" s="3755"/>
      <c r="N147" s="3755"/>
      <c r="O147" s="3755"/>
      <c r="P147" s="3755"/>
      <c r="Q147" s="3755"/>
      <c r="R147" s="3755"/>
      <c r="S147" s="3755"/>
      <c r="T147" s="3755"/>
      <c r="U147" s="3755"/>
      <c r="V147" s="3755"/>
      <c r="W147" s="3755"/>
      <c r="X147" s="3755"/>
      <c r="Y147" s="3755"/>
      <c r="Z147" s="3755"/>
      <c r="AA147" s="3755"/>
      <c r="AB147" s="3755"/>
      <c r="AC147" s="3755"/>
      <c r="AD147" s="3755"/>
      <c r="AE147" s="3755"/>
      <c r="AF147" s="3755"/>
      <c r="AG147" s="3755"/>
      <c r="AH147" s="3755"/>
      <c r="AI147" s="3755"/>
      <c r="AJ147" s="3755"/>
    </row>
    <row r="148" spans="1:36" ht="24" thickBot="1">
      <c r="A148" s="3888" t="s">
        <v>4</v>
      </c>
      <c r="B148" s="3889"/>
      <c r="C148" s="3889"/>
      <c r="D148" s="3890"/>
      <c r="E148" s="3891" t="s">
        <v>246</v>
      </c>
      <c r="F148" s="3892"/>
      <c r="G148" s="3892"/>
      <c r="H148" s="3892"/>
      <c r="I148" s="3892"/>
      <c r="J148" s="3892"/>
      <c r="K148" s="3904"/>
      <c r="L148" s="336"/>
      <c r="M148" s="3893" t="s">
        <v>243</v>
      </c>
      <c r="N148" s="3894"/>
      <c r="O148" s="3894"/>
      <c r="P148" s="3894"/>
      <c r="Q148" s="3894"/>
      <c r="R148" s="3894"/>
      <c r="S148" s="3894"/>
      <c r="T148" s="3895"/>
      <c r="U148" s="364"/>
      <c r="V148" s="3893" t="s">
        <v>244</v>
      </c>
      <c r="W148" s="3894"/>
      <c r="X148" s="3894"/>
      <c r="Y148" s="3894"/>
      <c r="Z148" s="3894"/>
      <c r="AA148" s="3894"/>
      <c r="AB148" s="3894"/>
      <c r="AC148" s="3895"/>
      <c r="AD148" s="364"/>
      <c r="AE148" s="3893"/>
      <c r="AF148" s="3894"/>
      <c r="AG148" s="3894"/>
      <c r="AH148" s="3894"/>
      <c r="AI148" s="3894"/>
      <c r="AJ148" s="3895"/>
    </row>
    <row r="149" spans="1:36" s="276" customFormat="1" ht="30.75" thickBot="1">
      <c r="A149" s="535" t="s">
        <v>148</v>
      </c>
      <c r="B149" s="287" t="s">
        <v>68</v>
      </c>
      <c r="C149" s="536" t="s">
        <v>69</v>
      </c>
      <c r="D149" s="536" t="s">
        <v>70</v>
      </c>
      <c r="E149" s="743" t="s">
        <v>86</v>
      </c>
      <c r="F149" s="744" t="s">
        <v>91</v>
      </c>
      <c r="G149" s="744" t="s">
        <v>245</v>
      </c>
      <c r="H149" s="744" t="s">
        <v>238</v>
      </c>
      <c r="I149" s="744" t="s">
        <v>90</v>
      </c>
      <c r="J149" s="744" t="s">
        <v>85</v>
      </c>
      <c r="K149" s="50" t="s">
        <v>123</v>
      </c>
      <c r="L149" s="79"/>
      <c r="M149" s="743" t="s">
        <v>95</v>
      </c>
      <c r="N149" s="744" t="s">
        <v>94</v>
      </c>
      <c r="O149" s="744" t="s">
        <v>190</v>
      </c>
      <c r="P149" s="744" t="s">
        <v>53</v>
      </c>
      <c r="Q149" s="744" t="s">
        <v>119</v>
      </c>
      <c r="R149" s="744" t="s">
        <v>101</v>
      </c>
      <c r="S149" s="744" t="s">
        <v>92</v>
      </c>
      <c r="T149" s="783" t="s">
        <v>124</v>
      </c>
      <c r="U149" s="578"/>
      <c r="V149" s="764" t="str">
        <f>V3</f>
        <v>P.Green Sumo Baby</v>
      </c>
      <c r="W149" s="765">
        <f>W3</f>
        <v>0</v>
      </c>
      <c r="X149" s="766">
        <f>X113</f>
        <v>0</v>
      </c>
      <c r="Y149" s="770">
        <f>Y113</f>
        <v>0</v>
      </c>
      <c r="Z149" s="770">
        <f>Z113</f>
        <v>0</v>
      </c>
      <c r="AA149" s="765" t="str">
        <f>AA113</f>
        <v>P.Silver</v>
      </c>
      <c r="AB149" s="771">
        <f>AB3</f>
        <v>0</v>
      </c>
      <c r="AC149" s="772">
        <f>AC3</f>
        <v>0</v>
      </c>
      <c r="AD149" s="589"/>
      <c r="AE149" s="590" t="s">
        <v>172</v>
      </c>
      <c r="AF149" s="591" t="s">
        <v>80</v>
      </c>
      <c r="AG149" s="602" t="s">
        <v>150</v>
      </c>
      <c r="AH149" s="603" t="s">
        <v>106</v>
      </c>
      <c r="AI149" s="602" t="s">
        <v>173</v>
      </c>
      <c r="AJ149" s="604" t="s">
        <v>108</v>
      </c>
    </row>
    <row r="150" spans="1:36" s="234" customFormat="1" ht="20.25">
      <c r="A150" s="537" t="s">
        <v>621</v>
      </c>
      <c r="B150" s="545"/>
      <c r="C150" s="539"/>
      <c r="D150" s="544">
        <v>46119</v>
      </c>
      <c r="E150" s="334">
        <f>2*20</f>
        <v>40</v>
      </c>
      <c r="F150" s="434"/>
      <c r="G150" s="334"/>
      <c r="H150" s="334"/>
      <c r="I150" s="435"/>
      <c r="J150" s="333"/>
      <c r="K150" s="798">
        <f>2*20</f>
        <v>40</v>
      </c>
      <c r="L150" s="361"/>
      <c r="M150" s="362"/>
      <c r="N150" s="334"/>
      <c r="O150" s="334"/>
      <c r="P150" s="334"/>
      <c r="Q150" s="334"/>
      <c r="R150" s="334"/>
      <c r="S150" s="334"/>
      <c r="T150" s="818"/>
      <c r="U150" s="361"/>
      <c r="V150" s="362"/>
      <c r="W150" s="334"/>
      <c r="X150" s="334"/>
      <c r="Y150" s="334"/>
      <c r="Z150" s="334"/>
      <c r="AA150" s="334"/>
      <c r="AB150" s="334"/>
      <c r="AC150" s="383"/>
      <c r="AD150" s="361"/>
      <c r="AE150" s="419">
        <f t="shared" ref="AE150" si="109">SUM(E150:AC150)</f>
        <v>80</v>
      </c>
      <c r="AF150" s="420"/>
      <c r="AG150" s="419"/>
      <c r="AH150" s="420">
        <f>AE150+AF150+AG150</f>
        <v>80</v>
      </c>
      <c r="AI150" s="421"/>
      <c r="AJ150" s="422">
        <f>AH150+AI150</f>
        <v>80</v>
      </c>
    </row>
    <row r="151" spans="1:36" s="234" customFormat="1" ht="20.25">
      <c r="A151" s="537" t="s">
        <v>623</v>
      </c>
      <c r="B151" s="545"/>
      <c r="C151" s="539"/>
      <c r="D151" s="544">
        <v>46119</v>
      </c>
      <c r="E151" s="321">
        <f>1*20</f>
        <v>20</v>
      </c>
      <c r="F151" s="320"/>
      <c r="G151" s="321"/>
      <c r="H151" s="321"/>
      <c r="I151" s="321"/>
      <c r="J151" s="320"/>
      <c r="K151" s="351">
        <f>1*20</f>
        <v>20</v>
      </c>
      <c r="L151" s="352"/>
      <c r="M151" s="353"/>
      <c r="N151" s="321"/>
      <c r="O151" s="321"/>
      <c r="P151" s="321"/>
      <c r="Q151" s="321"/>
      <c r="R151" s="321"/>
      <c r="S151" s="321"/>
      <c r="T151" s="363"/>
      <c r="U151" s="352"/>
      <c r="V151" s="353"/>
      <c r="W151" s="321"/>
      <c r="X151" s="321"/>
      <c r="Y151" s="321"/>
      <c r="Z151" s="321"/>
      <c r="AA151" s="321"/>
      <c r="AB151" s="321"/>
      <c r="AC151" s="380"/>
      <c r="AD151" s="352"/>
      <c r="AE151" s="408">
        <f t="shared" ref="AE151:AE188" si="110">SUM(E151:AC151)</f>
        <v>40</v>
      </c>
      <c r="AF151" s="409"/>
      <c r="AG151" s="408"/>
      <c r="AH151" s="409">
        <f t="shared" ref="AH151:AH208" si="111">AE151+AF151+AG151</f>
        <v>40</v>
      </c>
      <c r="AI151" s="410"/>
      <c r="AJ151" s="411">
        <f t="shared" ref="AJ151:AJ153" si="112">AH151+AI151</f>
        <v>40</v>
      </c>
    </row>
    <row r="152" spans="1:36" s="276" customFormat="1" ht="20.25">
      <c r="A152" s="537" t="s">
        <v>633</v>
      </c>
      <c r="B152" s="548"/>
      <c r="C152" s="549"/>
      <c r="D152" s="544">
        <v>46124</v>
      </c>
      <c r="E152" s="543"/>
      <c r="F152" s="542"/>
      <c r="G152" s="543"/>
      <c r="H152" s="543"/>
      <c r="I152" s="543"/>
      <c r="J152" s="542"/>
      <c r="K152" s="579">
        <f>2*20</f>
        <v>40</v>
      </c>
      <c r="L152" s="580"/>
      <c r="M152" s="581"/>
      <c r="N152" s="543"/>
      <c r="O152" s="543"/>
      <c r="P152" s="543"/>
      <c r="Q152" s="543"/>
      <c r="R152" s="543"/>
      <c r="S152" s="543"/>
      <c r="T152" s="767"/>
      <c r="U152" s="580"/>
      <c r="V152" s="581"/>
      <c r="W152" s="543"/>
      <c r="X152" s="543"/>
      <c r="Y152" s="543"/>
      <c r="Z152" s="543"/>
      <c r="AA152" s="543"/>
      <c r="AB152" s="543"/>
      <c r="AC152" s="592"/>
      <c r="AD152" s="580"/>
      <c r="AE152" s="593">
        <f t="shared" si="110"/>
        <v>40</v>
      </c>
      <c r="AF152" s="594"/>
      <c r="AG152" s="593"/>
      <c r="AH152" s="594">
        <f t="shared" si="111"/>
        <v>40</v>
      </c>
      <c r="AI152" s="605"/>
      <c r="AJ152" s="606">
        <f t="shared" si="112"/>
        <v>40</v>
      </c>
    </row>
    <row r="153" spans="1:36" s="276" customFormat="1" ht="20.25">
      <c r="A153" s="551" t="s">
        <v>623</v>
      </c>
      <c r="B153" s="545"/>
      <c r="C153" s="539"/>
      <c r="D153" s="544">
        <v>46126</v>
      </c>
      <c r="E153" s="543">
        <f>1*20</f>
        <v>20</v>
      </c>
      <c r="F153" s="542"/>
      <c r="G153" s="543"/>
      <c r="H153" s="543"/>
      <c r="I153" s="543"/>
      <c r="J153" s="542"/>
      <c r="K153" s="579"/>
      <c r="L153" s="580"/>
      <c r="M153" s="581"/>
      <c r="N153" s="543"/>
      <c r="O153" s="543"/>
      <c r="P153" s="543"/>
      <c r="Q153" s="543"/>
      <c r="R153" s="543"/>
      <c r="S153" s="543"/>
      <c r="T153" s="767"/>
      <c r="U153" s="580"/>
      <c r="V153" s="581"/>
      <c r="W153" s="543"/>
      <c r="X153" s="543"/>
      <c r="Y153" s="543"/>
      <c r="Z153" s="543"/>
      <c r="AA153" s="543"/>
      <c r="AB153" s="543"/>
      <c r="AC153" s="592"/>
      <c r="AD153" s="580"/>
      <c r="AE153" s="593">
        <f t="shared" si="110"/>
        <v>20</v>
      </c>
      <c r="AF153" s="820"/>
      <c r="AG153" s="545"/>
      <c r="AH153" s="594">
        <f t="shared" si="111"/>
        <v>20</v>
      </c>
      <c r="AI153" s="544"/>
      <c r="AJ153" s="606">
        <f t="shared" si="112"/>
        <v>20</v>
      </c>
    </row>
    <row r="154" spans="1:36" s="234" customFormat="1" ht="20.25">
      <c r="A154" s="537"/>
      <c r="B154" s="545"/>
      <c r="C154" s="539"/>
      <c r="D154" s="544"/>
      <c r="E154" s="321"/>
      <c r="F154" s="320"/>
      <c r="G154" s="321"/>
      <c r="H154" s="321"/>
      <c r="I154" s="321"/>
      <c r="J154" s="320"/>
      <c r="K154" s="351"/>
      <c r="L154" s="352"/>
      <c r="M154" s="353"/>
      <c r="N154" s="321"/>
      <c r="O154" s="321"/>
      <c r="P154" s="582"/>
      <c r="Q154" s="321"/>
      <c r="R154" s="321"/>
      <c r="S154" s="321"/>
      <c r="T154" s="363"/>
      <c r="U154" s="352"/>
      <c r="V154" s="353"/>
      <c r="W154" s="321"/>
      <c r="X154" s="321"/>
      <c r="Y154" s="321"/>
      <c r="Z154" s="321"/>
      <c r="AA154" s="321"/>
      <c r="AB154" s="321"/>
      <c r="AC154" s="380"/>
      <c r="AD154" s="352"/>
      <c r="AE154" s="408">
        <f t="shared" si="110"/>
        <v>0</v>
      </c>
      <c r="AF154" s="409"/>
      <c r="AG154" s="408"/>
      <c r="AH154" s="409">
        <f t="shared" si="111"/>
        <v>0</v>
      </c>
      <c r="AI154" s="410"/>
      <c r="AJ154" s="411">
        <f t="shared" ref="AJ154:AJ208" si="113">AH154+AI154</f>
        <v>0</v>
      </c>
    </row>
    <row r="155" spans="1:36" s="276" customFormat="1" ht="20.25">
      <c r="A155" s="537"/>
      <c r="B155" s="550"/>
      <c r="C155" s="549"/>
      <c r="D155" s="544"/>
      <c r="E155" s="541"/>
      <c r="F155" s="542"/>
      <c r="G155" s="542"/>
      <c r="H155" s="543"/>
      <c r="I155" s="543"/>
      <c r="J155" s="542"/>
      <c r="K155" s="579"/>
      <c r="L155" s="580"/>
      <c r="M155" s="581"/>
      <c r="N155" s="543"/>
      <c r="O155" s="543"/>
      <c r="P155" s="558"/>
      <c r="Q155" s="543"/>
      <c r="R155" s="543"/>
      <c r="S155" s="543"/>
      <c r="T155" s="767"/>
      <c r="U155" s="580"/>
      <c r="V155" s="581"/>
      <c r="W155" s="543"/>
      <c r="X155" s="543"/>
      <c r="Y155" s="543"/>
      <c r="Z155" s="543"/>
      <c r="AA155" s="543"/>
      <c r="AB155" s="543"/>
      <c r="AC155" s="592"/>
      <c r="AD155" s="580"/>
      <c r="AE155" s="593">
        <f t="shared" ref="AE155" si="114">SUM(E155:AC155)</f>
        <v>0</v>
      </c>
      <c r="AF155" s="594"/>
      <c r="AG155" s="593"/>
      <c r="AH155" s="594">
        <f t="shared" ref="AH155" si="115">AE155+AF155+AG155</f>
        <v>0</v>
      </c>
      <c r="AI155" s="605"/>
      <c r="AJ155" s="606">
        <f t="shared" ref="AJ155" si="116">AH155+AI155</f>
        <v>0</v>
      </c>
    </row>
    <row r="156" spans="1:36" s="276" customFormat="1" ht="20.25">
      <c r="A156" s="551"/>
      <c r="B156" s="550"/>
      <c r="C156" s="539"/>
      <c r="D156" s="555"/>
      <c r="E156" s="543"/>
      <c r="F156" s="542"/>
      <c r="G156" s="543"/>
      <c r="H156" s="543"/>
      <c r="I156" s="543"/>
      <c r="J156" s="542"/>
      <c r="K156" s="579"/>
      <c r="L156" s="580"/>
      <c r="M156" s="581"/>
      <c r="N156" s="543"/>
      <c r="O156" s="543"/>
      <c r="P156" s="558"/>
      <c r="Q156" s="543"/>
      <c r="R156" s="543"/>
      <c r="S156" s="543"/>
      <c r="T156" s="767"/>
      <c r="U156" s="580"/>
      <c r="V156" s="581"/>
      <c r="W156" s="543"/>
      <c r="X156" s="543"/>
      <c r="Y156" s="543"/>
      <c r="Z156" s="543"/>
      <c r="AA156" s="543"/>
      <c r="AB156" s="543"/>
      <c r="AC156" s="592"/>
      <c r="AD156" s="580"/>
      <c r="AE156" s="593">
        <f t="shared" si="110"/>
        <v>0</v>
      </c>
      <c r="AF156" s="594"/>
      <c r="AG156" s="593"/>
      <c r="AH156" s="594">
        <f t="shared" si="111"/>
        <v>0</v>
      </c>
      <c r="AI156" s="605"/>
      <c r="AJ156" s="606">
        <f t="shared" si="113"/>
        <v>0</v>
      </c>
    </row>
    <row r="157" spans="1:36" s="234" customFormat="1" ht="21" thickBot="1">
      <c r="A157" s="537"/>
      <c r="B157" s="552"/>
      <c r="C157" s="553"/>
      <c r="D157" s="544"/>
      <c r="E157" s="556"/>
      <c r="F157" s="557"/>
      <c r="G157" s="558"/>
      <c r="H157" s="558"/>
      <c r="I157" s="558"/>
      <c r="J157" s="557"/>
      <c r="K157" s="583"/>
      <c r="L157" s="584"/>
      <c r="M157" s="585"/>
      <c r="N157" s="558"/>
      <c r="O157" s="558"/>
      <c r="P157" s="558"/>
      <c r="Q157" s="558"/>
      <c r="R157" s="558"/>
      <c r="S157" s="558"/>
      <c r="T157" s="819"/>
      <c r="U157" s="584"/>
      <c r="V157" s="585"/>
      <c r="W157" s="558"/>
      <c r="X157" s="558"/>
      <c r="Y157" s="558"/>
      <c r="Z157" s="558"/>
      <c r="AA157" s="558"/>
      <c r="AB157" s="558"/>
      <c r="AC157" s="595"/>
      <c r="AD157" s="584"/>
      <c r="AE157" s="596">
        <f t="shared" si="110"/>
        <v>0</v>
      </c>
      <c r="AF157" s="597"/>
      <c r="AG157" s="596"/>
      <c r="AH157" s="597">
        <f t="shared" si="111"/>
        <v>0</v>
      </c>
      <c r="AI157" s="607"/>
      <c r="AJ157" s="606">
        <f t="shared" si="113"/>
        <v>0</v>
      </c>
    </row>
    <row r="158" spans="1:36" s="276" customFormat="1" ht="21" thickBot="1">
      <c r="A158" s="561"/>
      <c r="B158" s="552"/>
      <c r="C158" s="553"/>
      <c r="D158" s="2569"/>
      <c r="E158" s="319"/>
      <c r="F158" s="320"/>
      <c r="G158" s="320"/>
      <c r="H158" s="321"/>
      <c r="I158" s="321"/>
      <c r="J158" s="320"/>
      <c r="K158" s="351"/>
      <c r="L158" s="352"/>
      <c r="M158" s="353"/>
      <c r="N158" s="321"/>
      <c r="O158" s="321"/>
      <c r="P158" s="582"/>
      <c r="Q158" s="321"/>
      <c r="R158" s="321"/>
      <c r="S158" s="321"/>
      <c r="T158" s="363"/>
      <c r="U158" s="352"/>
      <c r="V158" s="353"/>
      <c r="W158" s="321"/>
      <c r="X158" s="321"/>
      <c r="Y158" s="321"/>
      <c r="Z158" s="321"/>
      <c r="AA158" s="321"/>
      <c r="AB158" s="321"/>
      <c r="AC158" s="380"/>
      <c r="AD158" s="352"/>
      <c r="AE158" s="408">
        <f t="shared" si="110"/>
        <v>0</v>
      </c>
      <c r="AF158" s="409"/>
      <c r="AG158" s="408"/>
      <c r="AH158" s="409">
        <f t="shared" si="111"/>
        <v>0</v>
      </c>
      <c r="AI158" s="410"/>
      <c r="AJ158" s="411">
        <f t="shared" si="113"/>
        <v>0</v>
      </c>
    </row>
    <row r="159" spans="1:36" s="234" customFormat="1" ht="20.25">
      <c r="A159" s="547"/>
      <c r="B159" s="552"/>
      <c r="C159" s="553"/>
      <c r="D159" s="544"/>
      <c r="E159" s="541"/>
      <c r="F159" s="542"/>
      <c r="G159" s="542"/>
      <c r="H159" s="543"/>
      <c r="I159" s="543"/>
      <c r="J159" s="542"/>
      <c r="K159" s="579"/>
      <c r="L159" s="580"/>
      <c r="M159" s="581"/>
      <c r="N159" s="543"/>
      <c r="O159" s="543"/>
      <c r="P159" s="558"/>
      <c r="Q159" s="543"/>
      <c r="R159" s="543"/>
      <c r="S159" s="543"/>
      <c r="T159" s="767"/>
      <c r="U159" s="580"/>
      <c r="V159" s="581"/>
      <c r="W159" s="543"/>
      <c r="X159" s="543"/>
      <c r="Y159" s="543"/>
      <c r="Z159" s="543"/>
      <c r="AA159" s="543"/>
      <c r="AB159" s="543"/>
      <c r="AC159" s="592"/>
      <c r="AD159" s="580"/>
      <c r="AE159" s="593">
        <f t="shared" si="110"/>
        <v>0</v>
      </c>
      <c r="AF159" s="594"/>
      <c r="AG159" s="593"/>
      <c r="AH159" s="594">
        <f t="shared" si="111"/>
        <v>0</v>
      </c>
      <c r="AI159" s="605"/>
      <c r="AJ159" s="606">
        <f t="shared" si="113"/>
        <v>0</v>
      </c>
    </row>
    <row r="160" spans="1:36" s="234" customFormat="1" ht="20.25">
      <c r="A160" s="547"/>
      <c r="B160" s="552"/>
      <c r="C160" s="553"/>
      <c r="D160" s="544"/>
      <c r="E160" s="319"/>
      <c r="F160" s="320"/>
      <c r="G160" s="320"/>
      <c r="H160" s="321"/>
      <c r="I160" s="321"/>
      <c r="J160" s="320"/>
      <c r="K160" s="351"/>
      <c r="L160" s="352"/>
      <c r="M160" s="353"/>
      <c r="N160" s="321"/>
      <c r="O160" s="321"/>
      <c r="P160" s="582"/>
      <c r="Q160" s="321"/>
      <c r="R160" s="321"/>
      <c r="S160" s="321"/>
      <c r="T160" s="354"/>
      <c r="U160" s="352"/>
      <c r="V160" s="353"/>
      <c r="W160" s="321"/>
      <c r="X160" s="321"/>
      <c r="Y160" s="321"/>
      <c r="Z160" s="321"/>
      <c r="AA160" s="321"/>
      <c r="AB160" s="321"/>
      <c r="AC160" s="380"/>
      <c r="AD160" s="352"/>
      <c r="AE160" s="408">
        <f t="shared" si="110"/>
        <v>0</v>
      </c>
      <c r="AF160" s="409"/>
      <c r="AG160" s="408"/>
      <c r="AH160" s="409">
        <f t="shared" si="111"/>
        <v>0</v>
      </c>
      <c r="AI160" s="410"/>
      <c r="AJ160" s="411">
        <f t="shared" si="113"/>
        <v>0</v>
      </c>
    </row>
    <row r="161" spans="1:36" s="276" customFormat="1" ht="20.25">
      <c r="A161" s="547"/>
      <c r="B161" s="538"/>
      <c r="C161" s="3079"/>
      <c r="D161" s="544"/>
      <c r="E161" s="319"/>
      <c r="F161" s="320"/>
      <c r="G161" s="320"/>
      <c r="H161" s="321"/>
      <c r="I161" s="321"/>
      <c r="J161" s="320"/>
      <c r="K161" s="351"/>
      <c r="L161" s="352"/>
      <c r="M161" s="353"/>
      <c r="N161" s="321"/>
      <c r="O161" s="321"/>
      <c r="P161" s="582"/>
      <c r="Q161" s="321"/>
      <c r="R161" s="321"/>
      <c r="S161" s="321"/>
      <c r="T161" s="354"/>
      <c r="U161" s="352"/>
      <c r="V161" s="353"/>
      <c r="W161" s="321"/>
      <c r="X161" s="321"/>
      <c r="Y161" s="321"/>
      <c r="Z161" s="321"/>
      <c r="AA161" s="321"/>
      <c r="AB161" s="321"/>
      <c r="AC161" s="380"/>
      <c r="AD161" s="352"/>
      <c r="AE161" s="408">
        <f t="shared" si="110"/>
        <v>0</v>
      </c>
      <c r="AF161" s="409"/>
      <c r="AG161" s="408"/>
      <c r="AH161" s="409">
        <f t="shared" si="111"/>
        <v>0</v>
      </c>
      <c r="AI161" s="410"/>
      <c r="AJ161" s="411">
        <f t="shared" si="113"/>
        <v>0</v>
      </c>
    </row>
    <row r="162" spans="1:36" s="234" customFormat="1" ht="20.25">
      <c r="A162" s="547"/>
      <c r="B162" s="550"/>
      <c r="C162" s="549"/>
      <c r="D162" s="544"/>
      <c r="E162" s="541"/>
      <c r="F162" s="542"/>
      <c r="G162" s="542"/>
      <c r="H162" s="543"/>
      <c r="I162" s="543"/>
      <c r="J162" s="542"/>
      <c r="K162" s="579"/>
      <c r="L162" s="580"/>
      <c r="M162" s="581"/>
      <c r="N162" s="543"/>
      <c r="O162" s="543"/>
      <c r="P162" s="558"/>
      <c r="Q162" s="543"/>
      <c r="R162" s="543"/>
      <c r="S162" s="543"/>
      <c r="T162" s="767"/>
      <c r="U162" s="580"/>
      <c r="V162" s="581"/>
      <c r="W162" s="543"/>
      <c r="X162" s="543"/>
      <c r="Y162" s="543"/>
      <c r="Z162" s="543"/>
      <c r="AA162" s="543"/>
      <c r="AB162" s="543"/>
      <c r="AC162" s="592"/>
      <c r="AD162" s="580"/>
      <c r="AE162" s="593">
        <f t="shared" si="110"/>
        <v>0</v>
      </c>
      <c r="AF162" s="594"/>
      <c r="AG162" s="593"/>
      <c r="AH162" s="594">
        <f t="shared" si="111"/>
        <v>0</v>
      </c>
      <c r="AI162" s="605"/>
      <c r="AJ162" s="606">
        <f t="shared" si="113"/>
        <v>0</v>
      </c>
    </row>
    <row r="163" spans="1:36" s="234" customFormat="1" ht="20.25">
      <c r="A163" s="547"/>
      <c r="B163" s="550"/>
      <c r="C163" s="549"/>
      <c r="D163" s="544"/>
      <c r="E163" s="319"/>
      <c r="F163" s="320"/>
      <c r="G163" s="320"/>
      <c r="H163" s="321"/>
      <c r="I163" s="321"/>
      <c r="J163" s="320"/>
      <c r="K163" s="351"/>
      <c r="L163" s="352"/>
      <c r="M163" s="353"/>
      <c r="N163" s="321"/>
      <c r="O163" s="321"/>
      <c r="P163" s="321"/>
      <c r="Q163" s="321"/>
      <c r="R163" s="321"/>
      <c r="S163" s="321"/>
      <c r="T163" s="354"/>
      <c r="U163" s="352"/>
      <c r="V163" s="353"/>
      <c r="W163" s="321"/>
      <c r="X163" s="321"/>
      <c r="Y163" s="321"/>
      <c r="Z163" s="321"/>
      <c r="AA163" s="321"/>
      <c r="AB163" s="321"/>
      <c r="AC163" s="380"/>
      <c r="AD163" s="352"/>
      <c r="AE163" s="408">
        <f t="shared" si="110"/>
        <v>0</v>
      </c>
      <c r="AF163" s="409"/>
      <c r="AG163" s="408"/>
      <c r="AH163" s="409">
        <f t="shared" si="111"/>
        <v>0</v>
      </c>
      <c r="AI163" s="410"/>
      <c r="AJ163" s="411">
        <f t="shared" si="113"/>
        <v>0</v>
      </c>
    </row>
    <row r="164" spans="1:36" s="276" customFormat="1" ht="20.25">
      <c r="A164" s="547"/>
      <c r="B164" s="1112"/>
      <c r="C164" s="1113"/>
      <c r="D164" s="1114"/>
      <c r="E164" s="319"/>
      <c r="F164" s="320"/>
      <c r="G164" s="320"/>
      <c r="H164" s="321"/>
      <c r="I164" s="321"/>
      <c r="J164" s="320"/>
      <c r="K164" s="351"/>
      <c r="L164" s="352"/>
      <c r="M164" s="353"/>
      <c r="N164" s="321"/>
      <c r="O164" s="321"/>
      <c r="P164" s="321"/>
      <c r="Q164" s="321"/>
      <c r="R164" s="321"/>
      <c r="S164" s="321"/>
      <c r="T164" s="354"/>
      <c r="U164" s="352"/>
      <c r="V164" s="353"/>
      <c r="W164" s="321"/>
      <c r="X164" s="321"/>
      <c r="Y164" s="321"/>
      <c r="Z164" s="321"/>
      <c r="AA164" s="321"/>
      <c r="AB164" s="321"/>
      <c r="AC164" s="380"/>
      <c r="AD164" s="352"/>
      <c r="AE164" s="408">
        <f t="shared" si="110"/>
        <v>0</v>
      </c>
      <c r="AF164" s="409"/>
      <c r="AG164" s="408"/>
      <c r="AH164" s="409">
        <f t="shared" si="111"/>
        <v>0</v>
      </c>
      <c r="AI164" s="410"/>
      <c r="AJ164" s="411">
        <f t="shared" si="113"/>
        <v>0</v>
      </c>
    </row>
    <row r="165" spans="1:36" s="234" customFormat="1" ht="20.25">
      <c r="A165" s="561"/>
      <c r="B165" s="552"/>
      <c r="C165" s="553"/>
      <c r="D165" s="544"/>
      <c r="E165" s="541"/>
      <c r="F165" s="542"/>
      <c r="G165" s="542"/>
      <c r="H165" s="543"/>
      <c r="I165" s="543"/>
      <c r="J165" s="542"/>
      <c r="K165" s="579"/>
      <c r="L165" s="580"/>
      <c r="M165" s="581"/>
      <c r="N165" s="543"/>
      <c r="O165" s="543"/>
      <c r="P165" s="543"/>
      <c r="Q165" s="543"/>
      <c r="R165" s="543"/>
      <c r="S165" s="543"/>
      <c r="T165" s="587"/>
      <c r="U165" s="580"/>
      <c r="V165" s="581"/>
      <c r="W165" s="543"/>
      <c r="X165" s="543"/>
      <c r="Y165" s="543"/>
      <c r="Z165" s="543"/>
      <c r="AA165" s="543"/>
      <c r="AB165" s="543"/>
      <c r="AC165" s="592"/>
      <c r="AD165" s="580"/>
      <c r="AE165" s="593">
        <f t="shared" ref="AE165" si="117">SUM(E165:AC165)</f>
        <v>0</v>
      </c>
      <c r="AF165" s="594"/>
      <c r="AG165" s="593"/>
      <c r="AH165" s="594">
        <f t="shared" si="111"/>
        <v>0</v>
      </c>
      <c r="AI165" s="605"/>
      <c r="AJ165" s="606">
        <f t="shared" si="113"/>
        <v>0</v>
      </c>
    </row>
    <row r="166" spans="1:36" s="276" customFormat="1" ht="20.25">
      <c r="A166" s="537"/>
      <c r="B166" s="550"/>
      <c r="C166" s="549"/>
      <c r="D166" s="544"/>
      <c r="E166" s="319"/>
      <c r="F166" s="320"/>
      <c r="G166" s="320"/>
      <c r="H166" s="321"/>
      <c r="I166" s="321"/>
      <c r="J166" s="320"/>
      <c r="K166" s="351"/>
      <c r="L166" s="352"/>
      <c r="M166" s="353"/>
      <c r="N166" s="321"/>
      <c r="O166" s="321"/>
      <c r="P166" s="321"/>
      <c r="Q166" s="321"/>
      <c r="R166" s="321"/>
      <c r="S166" s="321"/>
      <c r="T166" s="354"/>
      <c r="U166" s="352"/>
      <c r="V166" s="353"/>
      <c r="W166" s="321"/>
      <c r="X166" s="321"/>
      <c r="Y166" s="321"/>
      <c r="Z166" s="321"/>
      <c r="AA166" s="321"/>
      <c r="AB166" s="321"/>
      <c r="AC166" s="380"/>
      <c r="AD166" s="352"/>
      <c r="AE166" s="408">
        <f t="shared" si="110"/>
        <v>0</v>
      </c>
      <c r="AF166" s="409"/>
      <c r="AG166" s="408"/>
      <c r="AH166" s="409">
        <f t="shared" si="111"/>
        <v>0</v>
      </c>
      <c r="AI166" s="410"/>
      <c r="AJ166" s="411">
        <f t="shared" si="113"/>
        <v>0</v>
      </c>
    </row>
    <row r="167" spans="1:36" s="234" customFormat="1" ht="20.25">
      <c r="A167" s="547"/>
      <c r="B167" s="550"/>
      <c r="C167" s="549"/>
      <c r="D167" s="544"/>
      <c r="E167" s="541"/>
      <c r="F167" s="542"/>
      <c r="G167" s="542"/>
      <c r="H167" s="543"/>
      <c r="I167" s="543"/>
      <c r="J167" s="542"/>
      <c r="K167" s="579"/>
      <c r="L167" s="580"/>
      <c r="M167" s="581"/>
      <c r="N167" s="543"/>
      <c r="O167" s="543"/>
      <c r="P167" s="543"/>
      <c r="Q167" s="543"/>
      <c r="R167" s="543"/>
      <c r="S167" s="543"/>
      <c r="T167" s="587"/>
      <c r="U167" s="580"/>
      <c r="V167" s="581"/>
      <c r="W167" s="543"/>
      <c r="X167" s="543"/>
      <c r="Y167" s="543"/>
      <c r="Z167" s="543"/>
      <c r="AA167" s="543"/>
      <c r="AB167" s="543"/>
      <c r="AC167" s="592"/>
      <c r="AD167" s="580"/>
      <c r="AE167" s="593">
        <f t="shared" si="110"/>
        <v>0</v>
      </c>
      <c r="AF167" s="594"/>
      <c r="AG167" s="593"/>
      <c r="AH167" s="594">
        <f t="shared" si="111"/>
        <v>0</v>
      </c>
      <c r="AI167" s="605"/>
      <c r="AJ167" s="606">
        <f t="shared" si="113"/>
        <v>0</v>
      </c>
    </row>
    <row r="168" spans="1:36" s="276" customFormat="1" ht="20.25">
      <c r="A168" s="547"/>
      <c r="B168" s="550"/>
      <c r="C168" s="549"/>
      <c r="D168" s="544"/>
      <c r="E168" s="319"/>
      <c r="F168" s="320"/>
      <c r="G168" s="320"/>
      <c r="H168" s="321"/>
      <c r="I168" s="321"/>
      <c r="J168" s="320"/>
      <c r="K168" s="351"/>
      <c r="L168" s="352"/>
      <c r="M168" s="353"/>
      <c r="N168" s="321"/>
      <c r="O168" s="321"/>
      <c r="P168" s="321"/>
      <c r="Q168" s="321"/>
      <c r="R168" s="321"/>
      <c r="S168" s="321"/>
      <c r="T168" s="354"/>
      <c r="U168" s="352"/>
      <c r="V168" s="353"/>
      <c r="W168" s="321"/>
      <c r="X168" s="321"/>
      <c r="Y168" s="321"/>
      <c r="Z168" s="321"/>
      <c r="AA168" s="321"/>
      <c r="AB168" s="321"/>
      <c r="AC168" s="380"/>
      <c r="AD168" s="352"/>
      <c r="AE168" s="408">
        <f t="shared" si="110"/>
        <v>0</v>
      </c>
      <c r="AF168" s="409"/>
      <c r="AG168" s="408"/>
      <c r="AH168" s="409">
        <f t="shared" si="111"/>
        <v>0</v>
      </c>
      <c r="AI168" s="410"/>
      <c r="AJ168" s="411">
        <f t="shared" si="113"/>
        <v>0</v>
      </c>
    </row>
    <row r="169" spans="1:36" s="234" customFormat="1" ht="20.25">
      <c r="A169" s="547"/>
      <c r="B169" s="550"/>
      <c r="C169" s="539"/>
      <c r="D169" s="555"/>
      <c r="E169" s="541"/>
      <c r="F169" s="542"/>
      <c r="G169" s="542"/>
      <c r="H169" s="543"/>
      <c r="I169" s="543"/>
      <c r="J169" s="542"/>
      <c r="K169" s="579"/>
      <c r="L169" s="580"/>
      <c r="M169" s="581"/>
      <c r="N169" s="543"/>
      <c r="O169" s="543"/>
      <c r="P169" s="543"/>
      <c r="Q169" s="543"/>
      <c r="R169" s="543"/>
      <c r="S169" s="543"/>
      <c r="T169" s="587"/>
      <c r="U169" s="580"/>
      <c r="V169" s="581"/>
      <c r="W169" s="543"/>
      <c r="X169" s="543"/>
      <c r="Y169" s="543"/>
      <c r="Z169" s="543"/>
      <c r="AA169" s="543"/>
      <c r="AB169" s="543"/>
      <c r="AC169" s="592"/>
      <c r="AD169" s="580"/>
      <c r="AE169" s="593">
        <f t="shared" si="110"/>
        <v>0</v>
      </c>
      <c r="AF169" s="594"/>
      <c r="AG169" s="593"/>
      <c r="AH169" s="594">
        <f t="shared" si="111"/>
        <v>0</v>
      </c>
      <c r="AI169" s="605"/>
      <c r="AJ169" s="606">
        <f t="shared" si="113"/>
        <v>0</v>
      </c>
    </row>
    <row r="170" spans="1:36" s="276" customFormat="1" ht="20.25">
      <c r="A170" s="537"/>
      <c r="B170" s="563"/>
      <c r="C170" s="553"/>
      <c r="D170" s="544"/>
      <c r="E170" s="319"/>
      <c r="F170" s="320"/>
      <c r="G170" s="320"/>
      <c r="H170" s="321"/>
      <c r="I170" s="321"/>
      <c r="J170" s="320"/>
      <c r="K170" s="351"/>
      <c r="L170" s="352"/>
      <c r="M170" s="353"/>
      <c r="N170" s="321"/>
      <c r="O170" s="321"/>
      <c r="P170" s="321"/>
      <c r="Q170" s="321"/>
      <c r="R170" s="321"/>
      <c r="S170" s="321"/>
      <c r="T170" s="354"/>
      <c r="U170" s="352"/>
      <c r="V170" s="353"/>
      <c r="W170" s="321"/>
      <c r="X170" s="321"/>
      <c r="Y170" s="321"/>
      <c r="Z170" s="321"/>
      <c r="AA170" s="321"/>
      <c r="AB170" s="321"/>
      <c r="AC170" s="380"/>
      <c r="AD170" s="352"/>
      <c r="AE170" s="408">
        <f t="shared" si="110"/>
        <v>0</v>
      </c>
      <c r="AF170" s="409"/>
      <c r="AG170" s="408"/>
      <c r="AH170" s="409">
        <f t="shared" si="111"/>
        <v>0</v>
      </c>
      <c r="AI170" s="410"/>
      <c r="AJ170" s="411">
        <f t="shared" si="113"/>
        <v>0</v>
      </c>
    </row>
    <row r="171" spans="1:36" s="234" customFormat="1" ht="20.25">
      <c r="A171" s="551"/>
      <c r="B171" s="552"/>
      <c r="C171" s="553"/>
      <c r="D171" s="544"/>
      <c r="E171" s="541"/>
      <c r="F171" s="542"/>
      <c r="G171" s="542"/>
      <c r="H171" s="543"/>
      <c r="I171" s="543"/>
      <c r="J171" s="542"/>
      <c r="K171" s="579"/>
      <c r="L171" s="580"/>
      <c r="M171" s="581"/>
      <c r="N171" s="543"/>
      <c r="O171" s="543"/>
      <c r="P171" s="543"/>
      <c r="Q171" s="543"/>
      <c r="R171" s="543"/>
      <c r="S171" s="543"/>
      <c r="T171" s="587"/>
      <c r="U171" s="580"/>
      <c r="V171" s="581"/>
      <c r="W171" s="543"/>
      <c r="X171" s="543"/>
      <c r="Y171" s="543"/>
      <c r="Z171" s="543"/>
      <c r="AA171" s="543"/>
      <c r="AB171" s="543"/>
      <c r="AC171" s="592"/>
      <c r="AD171" s="580"/>
      <c r="AE171" s="593">
        <f t="shared" si="110"/>
        <v>0</v>
      </c>
      <c r="AF171" s="594"/>
      <c r="AG171" s="593"/>
      <c r="AH171" s="594">
        <f t="shared" si="111"/>
        <v>0</v>
      </c>
      <c r="AI171" s="605"/>
      <c r="AJ171" s="606">
        <f t="shared" si="113"/>
        <v>0</v>
      </c>
    </row>
    <row r="172" spans="1:36" s="276" customFormat="1" ht="20.25">
      <c r="A172" s="537"/>
      <c r="B172" s="552"/>
      <c r="C172" s="553"/>
      <c r="D172" s="544"/>
      <c r="E172" s="319"/>
      <c r="F172" s="320"/>
      <c r="G172" s="320"/>
      <c r="H172" s="321"/>
      <c r="I172" s="321"/>
      <c r="J172" s="320"/>
      <c r="K172" s="351"/>
      <c r="L172" s="352"/>
      <c r="M172" s="353"/>
      <c r="N172" s="321"/>
      <c r="O172" s="321"/>
      <c r="P172" s="321"/>
      <c r="Q172" s="321"/>
      <c r="R172" s="321"/>
      <c r="S172" s="321"/>
      <c r="T172" s="354"/>
      <c r="U172" s="352"/>
      <c r="V172" s="353"/>
      <c r="W172" s="321"/>
      <c r="X172" s="321"/>
      <c r="Y172" s="321"/>
      <c r="Z172" s="321"/>
      <c r="AA172" s="321"/>
      <c r="AB172" s="321"/>
      <c r="AC172" s="380"/>
      <c r="AD172" s="352"/>
      <c r="AE172" s="408">
        <f t="shared" si="110"/>
        <v>0</v>
      </c>
      <c r="AF172" s="409"/>
      <c r="AG172" s="408"/>
      <c r="AH172" s="409">
        <f t="shared" si="111"/>
        <v>0</v>
      </c>
      <c r="AI172" s="410"/>
      <c r="AJ172" s="411">
        <f t="shared" si="113"/>
        <v>0</v>
      </c>
    </row>
    <row r="173" spans="1:36" s="234" customFormat="1" ht="20.25">
      <c r="A173" s="537"/>
      <c r="B173" s="552"/>
      <c r="C173" s="553"/>
      <c r="D173" s="544"/>
      <c r="E173" s="541"/>
      <c r="F173" s="542"/>
      <c r="G173" s="542"/>
      <c r="H173" s="543"/>
      <c r="I173" s="543"/>
      <c r="J173" s="542"/>
      <c r="K173" s="579"/>
      <c r="L173" s="580"/>
      <c r="M173" s="581"/>
      <c r="N173" s="543"/>
      <c r="O173" s="543"/>
      <c r="P173" s="543"/>
      <c r="Q173" s="543"/>
      <c r="R173" s="543"/>
      <c r="S173" s="543"/>
      <c r="T173" s="587"/>
      <c r="U173" s="580"/>
      <c r="V173" s="581"/>
      <c r="W173" s="543"/>
      <c r="X173" s="543"/>
      <c r="Y173" s="543"/>
      <c r="Z173" s="543"/>
      <c r="AA173" s="543"/>
      <c r="AB173" s="543"/>
      <c r="AC173" s="592"/>
      <c r="AD173" s="580"/>
      <c r="AE173" s="593">
        <f t="shared" si="110"/>
        <v>0</v>
      </c>
      <c r="AF173" s="594"/>
      <c r="AG173" s="593"/>
      <c r="AH173" s="594">
        <f t="shared" si="111"/>
        <v>0</v>
      </c>
      <c r="AI173" s="605"/>
      <c r="AJ173" s="606">
        <f t="shared" si="113"/>
        <v>0</v>
      </c>
    </row>
    <row r="174" spans="1:36" s="276" customFormat="1" ht="20.25">
      <c r="A174" s="537"/>
      <c r="B174" s="552"/>
      <c r="C174" s="553"/>
      <c r="D174" s="544"/>
      <c r="E174" s="319"/>
      <c r="F174" s="320"/>
      <c r="G174" s="320"/>
      <c r="H174" s="321"/>
      <c r="I174" s="321"/>
      <c r="J174" s="320"/>
      <c r="K174" s="351"/>
      <c r="L174" s="352"/>
      <c r="M174" s="353"/>
      <c r="N174" s="321"/>
      <c r="O174" s="321"/>
      <c r="P174" s="321"/>
      <c r="Q174" s="321"/>
      <c r="R174" s="321"/>
      <c r="S174" s="321"/>
      <c r="T174" s="354"/>
      <c r="U174" s="352"/>
      <c r="V174" s="353"/>
      <c r="W174" s="321"/>
      <c r="X174" s="321"/>
      <c r="Y174" s="321"/>
      <c r="Z174" s="321"/>
      <c r="AA174" s="321"/>
      <c r="AB174" s="321"/>
      <c r="AC174" s="380"/>
      <c r="AD174" s="352"/>
      <c r="AE174" s="408">
        <f t="shared" si="110"/>
        <v>0</v>
      </c>
      <c r="AF174" s="409"/>
      <c r="AG174" s="408"/>
      <c r="AH174" s="409">
        <f t="shared" si="111"/>
        <v>0</v>
      </c>
      <c r="AI174" s="410"/>
      <c r="AJ174" s="411">
        <f t="shared" si="113"/>
        <v>0</v>
      </c>
    </row>
    <row r="175" spans="1:36" s="234" customFormat="1" ht="26.25">
      <c r="A175" s="551"/>
      <c r="B175" s="552"/>
      <c r="C175" s="553"/>
      <c r="D175" s="544"/>
      <c r="E175" s="541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/>
      <c r="P175" s="543"/>
      <c r="Q175" s="543"/>
      <c r="R175" s="543"/>
      <c r="S175" s="543"/>
      <c r="T175" s="587"/>
      <c r="U175" s="580"/>
      <c r="V175" s="581"/>
      <c r="W175" s="543"/>
      <c r="X175" s="543"/>
      <c r="Y175" s="543"/>
      <c r="Z175" s="598"/>
      <c r="AA175" s="543"/>
      <c r="AB175" s="543"/>
      <c r="AC175" s="592"/>
      <c r="AD175" s="580"/>
      <c r="AE175" s="593">
        <f t="shared" si="110"/>
        <v>0</v>
      </c>
      <c r="AF175" s="594"/>
      <c r="AG175" s="593"/>
      <c r="AH175" s="594">
        <f t="shared" si="111"/>
        <v>0</v>
      </c>
      <c r="AI175" s="605"/>
      <c r="AJ175" s="606">
        <f t="shared" si="113"/>
        <v>0</v>
      </c>
    </row>
    <row r="176" spans="1:36" s="276" customFormat="1" ht="20.25">
      <c r="A176" s="551"/>
      <c r="B176" s="552"/>
      <c r="C176" s="553"/>
      <c r="D176" s="544"/>
      <c r="E176" s="319"/>
      <c r="F176" s="320"/>
      <c r="G176" s="320"/>
      <c r="H176" s="321"/>
      <c r="I176" s="321"/>
      <c r="J176" s="320"/>
      <c r="K176" s="351"/>
      <c r="L176" s="352"/>
      <c r="M176" s="353"/>
      <c r="N176" s="321"/>
      <c r="O176" s="321"/>
      <c r="P176" s="321"/>
      <c r="Q176" s="321"/>
      <c r="R176" s="321"/>
      <c r="S176" s="321"/>
      <c r="T176" s="354"/>
      <c r="U176" s="352"/>
      <c r="V176" s="353"/>
      <c r="W176" s="321"/>
      <c r="X176" s="321"/>
      <c r="Y176" s="321"/>
      <c r="Z176" s="543"/>
      <c r="AA176" s="321"/>
      <c r="AB176" s="321"/>
      <c r="AC176" s="380"/>
      <c r="AD176" s="352"/>
      <c r="AE176" s="408">
        <f t="shared" si="110"/>
        <v>0</v>
      </c>
      <c r="AF176" s="409"/>
      <c r="AG176" s="408"/>
      <c r="AH176" s="409">
        <f t="shared" si="111"/>
        <v>0</v>
      </c>
      <c r="AI176" s="410"/>
      <c r="AJ176" s="411">
        <f t="shared" si="113"/>
        <v>0</v>
      </c>
    </row>
    <row r="177" spans="1:36" s="234" customFormat="1" ht="20.25">
      <c r="A177" s="537"/>
      <c r="B177" s="550"/>
      <c r="C177" s="549"/>
      <c r="D177" s="544"/>
      <c r="E177" s="541"/>
      <c r="F177" s="542"/>
      <c r="G177" s="542"/>
      <c r="H177" s="543"/>
      <c r="I177" s="543"/>
      <c r="J177" s="542"/>
      <c r="K177" s="579"/>
      <c r="L177" s="580"/>
      <c r="M177" s="581"/>
      <c r="N177" s="543"/>
      <c r="O177" s="543"/>
      <c r="P177" s="543"/>
      <c r="Q177" s="543"/>
      <c r="R177" s="543"/>
      <c r="S177" s="543"/>
      <c r="T177" s="587"/>
      <c r="U177" s="580"/>
      <c r="V177" s="581"/>
      <c r="W177" s="543"/>
      <c r="X177" s="543"/>
      <c r="Y177" s="543"/>
      <c r="Z177" s="543"/>
      <c r="AA177" s="543"/>
      <c r="AB177" s="543"/>
      <c r="AC177" s="592"/>
      <c r="AD177" s="580"/>
      <c r="AE177" s="593">
        <f t="shared" si="110"/>
        <v>0</v>
      </c>
      <c r="AF177" s="594"/>
      <c r="AG177" s="593"/>
      <c r="AH177" s="594">
        <f t="shared" si="111"/>
        <v>0</v>
      </c>
      <c r="AI177" s="605"/>
      <c r="AJ177" s="606">
        <f t="shared" si="113"/>
        <v>0</v>
      </c>
    </row>
    <row r="178" spans="1:36" s="276" customFormat="1" ht="20.25">
      <c r="A178" s="537"/>
      <c r="B178" s="550"/>
      <c r="C178" s="549"/>
      <c r="D178" s="544"/>
      <c r="E178" s="319"/>
      <c r="F178" s="320"/>
      <c r="G178" s="320"/>
      <c r="H178" s="321"/>
      <c r="I178" s="321"/>
      <c r="J178" s="320"/>
      <c r="K178" s="351"/>
      <c r="L178" s="352"/>
      <c r="M178" s="353"/>
      <c r="N178" s="321"/>
      <c r="O178" s="321"/>
      <c r="P178" s="321"/>
      <c r="Q178" s="321"/>
      <c r="R178" s="321"/>
      <c r="S178" s="321"/>
      <c r="T178" s="354"/>
      <c r="U178" s="352"/>
      <c r="V178" s="353"/>
      <c r="W178" s="321"/>
      <c r="X178" s="321"/>
      <c r="Y178" s="321"/>
      <c r="Z178" s="321"/>
      <c r="AA178" s="321"/>
      <c r="AB178" s="321"/>
      <c r="AC178" s="380"/>
      <c r="AD178" s="352"/>
      <c r="AE178" s="408">
        <f t="shared" si="110"/>
        <v>0</v>
      </c>
      <c r="AF178" s="409"/>
      <c r="AG178" s="408"/>
      <c r="AH178" s="409">
        <f t="shared" si="111"/>
        <v>0</v>
      </c>
      <c r="AI178" s="410"/>
      <c r="AJ178" s="411">
        <f t="shared" si="113"/>
        <v>0</v>
      </c>
    </row>
    <row r="179" spans="1:36" s="234" customFormat="1" ht="20.25">
      <c r="A179" s="537"/>
      <c r="B179" s="550"/>
      <c r="C179" s="549"/>
      <c r="D179" s="544"/>
      <c r="E179" s="541"/>
      <c r="F179" s="542"/>
      <c r="G179" s="542"/>
      <c r="H179" s="543"/>
      <c r="I179" s="543"/>
      <c r="J179" s="542"/>
      <c r="K179" s="579"/>
      <c r="L179" s="580"/>
      <c r="M179" s="581"/>
      <c r="N179" s="543"/>
      <c r="O179" s="543"/>
      <c r="P179" s="543"/>
      <c r="Q179" s="543"/>
      <c r="R179" s="543"/>
      <c r="S179" s="543"/>
      <c r="T179" s="587"/>
      <c r="U179" s="580"/>
      <c r="V179" s="581"/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si="110"/>
        <v>0</v>
      </c>
      <c r="AF179" s="594"/>
      <c r="AG179" s="593"/>
      <c r="AH179" s="594">
        <f t="shared" si="111"/>
        <v>0</v>
      </c>
      <c r="AI179" s="605"/>
      <c r="AJ179" s="606">
        <f t="shared" si="113"/>
        <v>0</v>
      </c>
    </row>
    <row r="180" spans="1:36" s="276" customFormat="1" ht="20.25">
      <c r="A180" s="537"/>
      <c r="B180" s="550"/>
      <c r="C180" s="549"/>
      <c r="D180" s="544"/>
      <c r="E180" s="319"/>
      <c r="F180" s="320"/>
      <c r="G180" s="320"/>
      <c r="H180" s="321"/>
      <c r="I180" s="321"/>
      <c r="J180" s="320"/>
      <c r="K180" s="351"/>
      <c r="L180" s="352"/>
      <c r="M180" s="353"/>
      <c r="N180" s="321"/>
      <c r="O180" s="321"/>
      <c r="P180" s="321"/>
      <c r="Q180" s="321"/>
      <c r="R180" s="321"/>
      <c r="S180" s="321"/>
      <c r="T180" s="354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110"/>
        <v>0</v>
      </c>
      <c r="AF180" s="409"/>
      <c r="AG180" s="408"/>
      <c r="AH180" s="409">
        <f t="shared" si="111"/>
        <v>0</v>
      </c>
      <c r="AI180" s="410"/>
      <c r="AJ180" s="411">
        <f t="shared" si="113"/>
        <v>0</v>
      </c>
    </row>
    <row r="181" spans="1:36" s="234" customFormat="1" ht="20.25">
      <c r="A181" s="537"/>
      <c r="B181" s="550"/>
      <c r="C181" s="549"/>
      <c r="D181" s="544"/>
      <c r="E181" s="541"/>
      <c r="F181" s="542"/>
      <c r="G181" s="542"/>
      <c r="H181" s="543"/>
      <c r="I181" s="543"/>
      <c r="J181" s="542"/>
      <c r="K181" s="579"/>
      <c r="L181" s="580"/>
      <c r="M181" s="581"/>
      <c r="N181" s="543"/>
      <c r="O181" s="543"/>
      <c r="P181" s="543"/>
      <c r="Q181" s="543"/>
      <c r="R181" s="543"/>
      <c r="S181" s="543"/>
      <c r="T181" s="587"/>
      <c r="U181" s="580"/>
      <c r="V181" s="581"/>
      <c r="W181" s="543"/>
      <c r="X181" s="543"/>
      <c r="Y181" s="543"/>
      <c r="Z181" s="543"/>
      <c r="AA181" s="543"/>
      <c r="AB181" s="543"/>
      <c r="AC181" s="592"/>
      <c r="AD181" s="580"/>
      <c r="AE181" s="593">
        <f t="shared" si="110"/>
        <v>0</v>
      </c>
      <c r="AF181" s="594"/>
      <c r="AG181" s="593"/>
      <c r="AH181" s="594">
        <f t="shared" si="111"/>
        <v>0</v>
      </c>
      <c r="AI181" s="605"/>
      <c r="AJ181" s="606">
        <f t="shared" si="113"/>
        <v>0</v>
      </c>
    </row>
    <row r="182" spans="1:36" s="276" customFormat="1" ht="20.25">
      <c r="A182" s="537"/>
      <c r="B182" s="550"/>
      <c r="C182" s="549"/>
      <c r="D182" s="544"/>
      <c r="E182" s="319"/>
      <c r="F182" s="320"/>
      <c r="G182" s="320"/>
      <c r="H182" s="321"/>
      <c r="I182" s="321"/>
      <c r="J182" s="320"/>
      <c r="K182" s="351"/>
      <c r="L182" s="352"/>
      <c r="M182" s="353"/>
      <c r="N182" s="321"/>
      <c r="O182" s="321"/>
      <c r="P182" s="321"/>
      <c r="Q182" s="321"/>
      <c r="R182" s="321"/>
      <c r="S182" s="321"/>
      <c r="T182" s="354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110"/>
        <v>0</v>
      </c>
      <c r="AF182" s="409"/>
      <c r="AG182" s="408"/>
      <c r="AH182" s="409">
        <f t="shared" si="111"/>
        <v>0</v>
      </c>
      <c r="AI182" s="410"/>
      <c r="AJ182" s="411">
        <f t="shared" si="113"/>
        <v>0</v>
      </c>
    </row>
    <row r="183" spans="1:36" s="234" customFormat="1" ht="20.25">
      <c r="A183" s="564"/>
      <c r="B183" s="565"/>
      <c r="C183" s="565"/>
      <c r="D183" s="566"/>
      <c r="E183" s="54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43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110"/>
        <v>0</v>
      </c>
      <c r="AF183" s="594"/>
      <c r="AG183" s="593"/>
      <c r="AH183" s="594">
        <f t="shared" si="111"/>
        <v>0</v>
      </c>
      <c r="AI183" s="605"/>
      <c r="AJ183" s="606">
        <f t="shared" si="113"/>
        <v>0</v>
      </c>
    </row>
    <row r="184" spans="1:36" s="234" customFormat="1" ht="20.25">
      <c r="A184" s="316"/>
      <c r="B184" s="570"/>
      <c r="C184" s="570"/>
      <c r="D184" s="571"/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54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110"/>
        <v>0</v>
      </c>
      <c r="AF184" s="409"/>
      <c r="AG184" s="408"/>
      <c r="AH184" s="409">
        <f t="shared" si="111"/>
        <v>0</v>
      </c>
      <c r="AI184" s="410"/>
      <c r="AJ184" s="411">
        <f t="shared" si="113"/>
        <v>0</v>
      </c>
    </row>
    <row r="185" spans="1:36" s="276" customFormat="1" ht="20.25">
      <c r="A185" s="316"/>
      <c r="B185" s="570"/>
      <c r="C185" s="570"/>
      <c r="D185" s="571"/>
      <c r="E185" s="319"/>
      <c r="F185" s="320"/>
      <c r="G185" s="320"/>
      <c r="H185" s="321"/>
      <c r="I185" s="321"/>
      <c r="J185" s="320"/>
      <c r="K185" s="351"/>
      <c r="L185" s="352"/>
      <c r="M185" s="353"/>
      <c r="N185" s="321"/>
      <c r="O185" s="321"/>
      <c r="P185" s="321"/>
      <c r="Q185" s="321"/>
      <c r="R185" s="321"/>
      <c r="S185" s="321"/>
      <c r="T185" s="354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si="110"/>
        <v>0</v>
      </c>
      <c r="AF185" s="409"/>
      <c r="AG185" s="408"/>
      <c r="AH185" s="409">
        <f t="shared" si="111"/>
        <v>0</v>
      </c>
      <c r="AI185" s="410"/>
      <c r="AJ185" s="411">
        <f t="shared" si="113"/>
        <v>0</v>
      </c>
    </row>
    <row r="186" spans="1:36" s="276" customFormat="1" ht="20.25">
      <c r="A186" s="564"/>
      <c r="B186" s="565"/>
      <c r="C186" s="565"/>
      <c r="D186" s="566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110"/>
        <v>0</v>
      </c>
      <c r="AF186" s="594"/>
      <c r="AG186" s="593"/>
      <c r="AH186" s="594">
        <f t="shared" si="111"/>
        <v>0</v>
      </c>
      <c r="AI186" s="605"/>
      <c r="AJ186" s="606">
        <f t="shared" si="113"/>
        <v>0</v>
      </c>
    </row>
    <row r="187" spans="1:36" s="234" customFormat="1" ht="20.25">
      <c r="A187" s="564"/>
      <c r="B187" s="565"/>
      <c r="C187" s="565"/>
      <c r="D187" s="566"/>
      <c r="E187" s="541"/>
      <c r="F187" s="542"/>
      <c r="G187" s="542"/>
      <c r="H187" s="543"/>
      <c r="I187" s="543"/>
      <c r="J187" s="542"/>
      <c r="K187" s="579"/>
      <c r="L187" s="580"/>
      <c r="M187" s="581"/>
      <c r="N187" s="543"/>
      <c r="O187" s="543"/>
      <c r="P187" s="543"/>
      <c r="Q187" s="543"/>
      <c r="R187" s="543"/>
      <c r="S187" s="543"/>
      <c r="T187" s="587"/>
      <c r="U187" s="580"/>
      <c r="V187" s="581"/>
      <c r="W187" s="543"/>
      <c r="X187" s="543"/>
      <c r="Y187" s="543"/>
      <c r="Z187" s="543"/>
      <c r="AA187" s="543"/>
      <c r="AB187" s="543"/>
      <c r="AC187" s="592"/>
      <c r="AD187" s="580"/>
      <c r="AE187" s="593">
        <f t="shared" si="110"/>
        <v>0</v>
      </c>
      <c r="AF187" s="594"/>
      <c r="AG187" s="593"/>
      <c r="AH187" s="594">
        <f t="shared" si="111"/>
        <v>0</v>
      </c>
      <c r="AI187" s="605"/>
      <c r="AJ187" s="606">
        <f t="shared" si="113"/>
        <v>0</v>
      </c>
    </row>
    <row r="188" spans="1:36" s="276" customFormat="1" ht="20.25">
      <c r="A188" s="316"/>
      <c r="B188" s="570"/>
      <c r="C188" s="570"/>
      <c r="D188" s="571"/>
      <c r="E188" s="319"/>
      <c r="F188" s="320"/>
      <c r="G188" s="320"/>
      <c r="H188" s="321"/>
      <c r="I188" s="321"/>
      <c r="J188" s="320"/>
      <c r="K188" s="351"/>
      <c r="L188" s="352"/>
      <c r="M188" s="353"/>
      <c r="N188" s="321"/>
      <c r="O188" s="321"/>
      <c r="P188" s="321"/>
      <c r="Q188" s="321"/>
      <c r="R188" s="321"/>
      <c r="S188" s="321"/>
      <c r="T188" s="354"/>
      <c r="U188" s="352"/>
      <c r="V188" s="353"/>
      <c r="W188" s="321"/>
      <c r="X188" s="321"/>
      <c r="Y188" s="321"/>
      <c r="Z188" s="321"/>
      <c r="AA188" s="321"/>
      <c r="AB188" s="321"/>
      <c r="AC188" s="380"/>
      <c r="AD188" s="352"/>
      <c r="AE188" s="593">
        <f t="shared" si="110"/>
        <v>0</v>
      </c>
      <c r="AF188" s="409"/>
      <c r="AG188" s="408"/>
      <c r="AH188" s="409">
        <f t="shared" si="111"/>
        <v>0</v>
      </c>
      <c r="AI188" s="410"/>
      <c r="AJ188" s="411">
        <f t="shared" si="113"/>
        <v>0</v>
      </c>
    </row>
    <row r="189" spans="1:36" s="276" customFormat="1" ht="20.25">
      <c r="A189" s="564"/>
      <c r="B189" s="565"/>
      <c r="C189" s="565"/>
      <c r="D189" s="566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ref="AE189:AE190" si="118">SUM(E189:AC189)</f>
        <v>0</v>
      </c>
      <c r="AF189" s="594"/>
      <c r="AG189" s="593"/>
      <c r="AH189" s="594">
        <f t="shared" ref="AH189" si="119">AE189+AF189+AG189</f>
        <v>0</v>
      </c>
      <c r="AI189" s="605"/>
      <c r="AJ189" s="606">
        <f t="shared" ref="AJ189" si="120">AH189+AI189</f>
        <v>0</v>
      </c>
    </row>
    <row r="190" spans="1:36" s="234" customFormat="1" ht="20.25">
      <c r="A190" s="564"/>
      <c r="B190" s="565"/>
      <c r="C190" s="565"/>
      <c r="D190" s="566"/>
      <c r="E190" s="541"/>
      <c r="F190" s="542"/>
      <c r="G190" s="542"/>
      <c r="H190" s="543"/>
      <c r="I190" s="543"/>
      <c r="J190" s="542"/>
      <c r="K190" s="579"/>
      <c r="L190" s="580"/>
      <c r="M190" s="581"/>
      <c r="N190" s="543"/>
      <c r="O190" s="543"/>
      <c r="P190" s="543"/>
      <c r="Q190" s="543"/>
      <c r="R190" s="543"/>
      <c r="S190" s="543"/>
      <c r="T190" s="587"/>
      <c r="U190" s="580"/>
      <c r="V190" s="581"/>
      <c r="W190" s="543"/>
      <c r="X190" s="543"/>
      <c r="Y190" s="543"/>
      <c r="Z190" s="543"/>
      <c r="AA190" s="543"/>
      <c r="AB190" s="543"/>
      <c r="AC190" s="592"/>
      <c r="AD190" s="580"/>
      <c r="AE190" s="593">
        <f t="shared" si="118"/>
        <v>0</v>
      </c>
      <c r="AF190" s="594"/>
      <c r="AG190" s="593"/>
      <c r="AH190" s="594">
        <f t="shared" si="111"/>
        <v>0</v>
      </c>
      <c r="AI190" s="605"/>
      <c r="AJ190" s="606">
        <f t="shared" si="113"/>
        <v>0</v>
      </c>
    </row>
    <row r="191" spans="1:36" s="276" customFormat="1" ht="20.25">
      <c r="A191" s="316"/>
      <c r="B191" s="570"/>
      <c r="C191" s="570"/>
      <c r="D191" s="571"/>
      <c r="E191" s="319"/>
      <c r="F191" s="320"/>
      <c r="G191" s="320"/>
      <c r="H191" s="321"/>
      <c r="I191" s="321"/>
      <c r="J191" s="320"/>
      <c r="K191" s="351"/>
      <c r="L191" s="352"/>
      <c r="M191" s="353"/>
      <c r="N191" s="321"/>
      <c r="O191" s="321"/>
      <c r="P191" s="321"/>
      <c r="Q191" s="321"/>
      <c r="R191" s="321"/>
      <c r="S191" s="321"/>
      <c r="T191" s="354"/>
      <c r="U191" s="352"/>
      <c r="V191" s="353"/>
      <c r="W191" s="321"/>
      <c r="X191" s="321"/>
      <c r="Y191" s="321"/>
      <c r="Z191" s="321"/>
      <c r="AA191" s="321"/>
      <c r="AB191" s="321"/>
      <c r="AC191" s="380"/>
      <c r="AD191" s="352"/>
      <c r="AE191" s="408">
        <f t="shared" ref="AE191:AE208" si="121">SUM(E191:AC191)</f>
        <v>0</v>
      </c>
      <c r="AF191" s="409"/>
      <c r="AG191" s="408"/>
      <c r="AH191" s="409">
        <f t="shared" si="111"/>
        <v>0</v>
      </c>
      <c r="AI191" s="410"/>
      <c r="AJ191" s="411">
        <f t="shared" si="113"/>
        <v>0</v>
      </c>
    </row>
    <row r="192" spans="1:36" s="276" customFormat="1" ht="20.25">
      <c r="A192" s="564"/>
      <c r="B192" s="565"/>
      <c r="C192" s="565"/>
      <c r="D192" s="566"/>
      <c r="E192" s="541"/>
      <c r="F192" s="542"/>
      <c r="G192" s="542"/>
      <c r="H192" s="543"/>
      <c r="I192" s="543"/>
      <c r="J192" s="542"/>
      <c r="K192" s="579"/>
      <c r="L192" s="580"/>
      <c r="M192" s="581"/>
      <c r="N192" s="543"/>
      <c r="O192" s="543"/>
      <c r="P192" s="543"/>
      <c r="Q192" s="543"/>
      <c r="R192" s="543"/>
      <c r="S192" s="543"/>
      <c r="T192" s="587"/>
      <c r="U192" s="580"/>
      <c r="V192" s="581"/>
      <c r="W192" s="543"/>
      <c r="X192" s="543"/>
      <c r="Y192" s="543"/>
      <c r="Z192" s="543"/>
      <c r="AA192" s="543"/>
      <c r="AB192" s="543"/>
      <c r="AC192" s="592"/>
      <c r="AD192" s="580"/>
      <c r="AE192" s="593">
        <f t="shared" si="121"/>
        <v>0</v>
      </c>
      <c r="AF192" s="594"/>
      <c r="AG192" s="593"/>
      <c r="AH192" s="594">
        <f t="shared" si="111"/>
        <v>0</v>
      </c>
      <c r="AI192" s="605"/>
      <c r="AJ192" s="606">
        <f t="shared" si="113"/>
        <v>0</v>
      </c>
    </row>
    <row r="193" spans="1:36" s="234" customFormat="1" ht="20.25">
      <c r="A193" s="564"/>
      <c r="B193" s="565"/>
      <c r="C193" s="565"/>
      <c r="D193" s="566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58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si="121"/>
        <v>0</v>
      </c>
      <c r="AF193" s="594"/>
      <c r="AG193" s="593"/>
      <c r="AH193" s="594">
        <f t="shared" si="111"/>
        <v>0</v>
      </c>
      <c r="AI193" s="605"/>
      <c r="AJ193" s="606">
        <f t="shared" si="113"/>
        <v>0</v>
      </c>
    </row>
    <row r="194" spans="1:36" s="276" customFormat="1" ht="20.25">
      <c r="A194" s="316"/>
      <c r="B194" s="570"/>
      <c r="C194" s="570"/>
      <c r="D194" s="571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121"/>
        <v>0</v>
      </c>
      <c r="AF194" s="409"/>
      <c r="AG194" s="408"/>
      <c r="AH194" s="409">
        <f t="shared" si="111"/>
        <v>0</v>
      </c>
      <c r="AI194" s="410"/>
      <c r="AJ194" s="411">
        <f t="shared" si="113"/>
        <v>0</v>
      </c>
    </row>
    <row r="195" spans="1:36" s="234" customFormat="1" ht="20.25">
      <c r="A195" s="564"/>
      <c r="B195" s="565"/>
      <c r="C195" s="565"/>
      <c r="D195" s="566"/>
      <c r="E195" s="541"/>
      <c r="F195" s="542"/>
      <c r="G195" s="542"/>
      <c r="H195" s="543"/>
      <c r="I195" s="543"/>
      <c r="J195" s="542"/>
      <c r="K195" s="579"/>
      <c r="L195" s="580"/>
      <c r="M195" s="581"/>
      <c r="N195" s="543"/>
      <c r="O195" s="543"/>
      <c r="P195" s="543"/>
      <c r="Q195" s="543"/>
      <c r="R195" s="543"/>
      <c r="S195" s="543"/>
      <c r="T195" s="587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121"/>
        <v>0</v>
      </c>
      <c r="AF195" s="594"/>
      <c r="AG195" s="593"/>
      <c r="AH195" s="594">
        <f t="shared" si="111"/>
        <v>0</v>
      </c>
      <c r="AI195" s="605"/>
      <c r="AJ195" s="606">
        <f t="shared" si="113"/>
        <v>0</v>
      </c>
    </row>
    <row r="196" spans="1:36" s="276" customFormat="1" ht="20.25">
      <c r="A196" s="316"/>
      <c r="B196" s="570"/>
      <c r="C196" s="570"/>
      <c r="D196" s="571"/>
      <c r="E196" s="319"/>
      <c r="F196" s="320"/>
      <c r="G196" s="320"/>
      <c r="H196" s="321"/>
      <c r="I196" s="321"/>
      <c r="J196" s="320"/>
      <c r="K196" s="351"/>
      <c r="L196" s="352"/>
      <c r="M196" s="353"/>
      <c r="N196" s="321"/>
      <c r="O196" s="321"/>
      <c r="P196" s="321"/>
      <c r="Q196" s="321"/>
      <c r="R196" s="321"/>
      <c r="S196" s="321"/>
      <c r="T196" s="354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121"/>
        <v>0</v>
      </c>
      <c r="AF196" s="409"/>
      <c r="AG196" s="408"/>
      <c r="AH196" s="409">
        <f t="shared" si="111"/>
        <v>0</v>
      </c>
      <c r="AI196" s="410"/>
      <c r="AJ196" s="411">
        <f t="shared" si="113"/>
        <v>0</v>
      </c>
    </row>
    <row r="197" spans="1:36" s="234" customFormat="1" ht="20.25">
      <c r="A197" s="564"/>
      <c r="B197" s="565"/>
      <c r="C197" s="565"/>
      <c r="D197" s="566"/>
      <c r="E197" s="541"/>
      <c r="F197" s="542"/>
      <c r="G197" s="542"/>
      <c r="H197" s="543"/>
      <c r="I197" s="543"/>
      <c r="J197" s="542"/>
      <c r="K197" s="579"/>
      <c r="L197" s="580"/>
      <c r="M197" s="581"/>
      <c r="N197" s="543"/>
      <c r="O197" s="543"/>
      <c r="P197" s="543"/>
      <c r="Q197" s="543"/>
      <c r="R197" s="543"/>
      <c r="S197" s="543"/>
      <c r="T197" s="587"/>
      <c r="U197" s="580"/>
      <c r="V197" s="581"/>
      <c r="W197" s="543"/>
      <c r="X197" s="543"/>
      <c r="Y197" s="543"/>
      <c r="Z197" s="543"/>
      <c r="AA197" s="543"/>
      <c r="AB197" s="543"/>
      <c r="AC197" s="592"/>
      <c r="AD197" s="580"/>
      <c r="AE197" s="593">
        <f t="shared" si="121"/>
        <v>0</v>
      </c>
      <c r="AF197" s="594"/>
      <c r="AG197" s="593"/>
      <c r="AH197" s="594">
        <f t="shared" si="111"/>
        <v>0</v>
      </c>
      <c r="AI197" s="605"/>
      <c r="AJ197" s="606">
        <f t="shared" si="113"/>
        <v>0</v>
      </c>
    </row>
    <row r="198" spans="1:36" s="234" customFormat="1" ht="20.25">
      <c r="A198" s="316"/>
      <c r="B198" s="570"/>
      <c r="C198" s="570"/>
      <c r="D198" s="571"/>
      <c r="E198" s="319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121"/>
        <v>0</v>
      </c>
      <c r="AF198" s="409"/>
      <c r="AG198" s="408"/>
      <c r="AH198" s="409">
        <f t="shared" si="111"/>
        <v>0</v>
      </c>
      <c r="AI198" s="410"/>
      <c r="AJ198" s="411">
        <f t="shared" si="113"/>
        <v>0</v>
      </c>
    </row>
    <row r="199" spans="1:36" s="234" customFormat="1" ht="20.25">
      <c r="A199" s="316"/>
      <c r="B199" s="570"/>
      <c r="C199" s="570"/>
      <c r="D199" s="571"/>
      <c r="E199" s="319"/>
      <c r="F199" s="320"/>
      <c r="G199" s="320"/>
      <c r="H199" s="321"/>
      <c r="I199" s="321"/>
      <c r="J199" s="320"/>
      <c r="K199" s="351"/>
      <c r="L199" s="352"/>
      <c r="M199" s="353"/>
      <c r="N199" s="321"/>
      <c r="O199" s="321"/>
      <c r="P199" s="321"/>
      <c r="Q199" s="321"/>
      <c r="R199" s="321"/>
      <c r="S199" s="321"/>
      <c r="T199" s="354"/>
      <c r="U199" s="352"/>
      <c r="V199" s="353"/>
      <c r="W199" s="321"/>
      <c r="X199" s="321"/>
      <c r="Y199" s="321"/>
      <c r="Z199" s="321"/>
      <c r="AA199" s="321"/>
      <c r="AB199" s="321"/>
      <c r="AC199" s="380"/>
      <c r="AD199" s="352"/>
      <c r="AE199" s="408">
        <f t="shared" si="121"/>
        <v>0</v>
      </c>
      <c r="AF199" s="409"/>
      <c r="AG199" s="408"/>
      <c r="AH199" s="409">
        <f t="shared" si="111"/>
        <v>0</v>
      </c>
      <c r="AI199" s="410"/>
      <c r="AJ199" s="411">
        <f t="shared" si="113"/>
        <v>0</v>
      </c>
    </row>
    <row r="200" spans="1:36" s="234" customFormat="1" ht="20.25">
      <c r="A200" s="316"/>
      <c r="B200" s="570"/>
      <c r="C200" s="570"/>
      <c r="D200" s="571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121"/>
        <v>0</v>
      </c>
      <c r="AF200" s="409"/>
      <c r="AG200" s="408"/>
      <c r="AH200" s="409">
        <f t="shared" si="111"/>
        <v>0</v>
      </c>
      <c r="AI200" s="410"/>
      <c r="AJ200" s="411">
        <f t="shared" si="113"/>
        <v>0</v>
      </c>
    </row>
    <row r="201" spans="1:36" s="234" customFormat="1" ht="20.25">
      <c r="A201" s="316"/>
      <c r="B201" s="570"/>
      <c r="C201" s="570"/>
      <c r="D201" s="571"/>
      <c r="E201" s="319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121"/>
        <v>0</v>
      </c>
      <c r="AF201" s="409"/>
      <c r="AG201" s="408"/>
      <c r="AH201" s="409">
        <f t="shared" si="111"/>
        <v>0</v>
      </c>
      <c r="AI201" s="410"/>
      <c r="AJ201" s="411">
        <f t="shared" si="113"/>
        <v>0</v>
      </c>
    </row>
    <row r="202" spans="1:36" s="234" customFormat="1" ht="20.25">
      <c r="A202" s="316"/>
      <c r="B202" s="570"/>
      <c r="C202" s="570"/>
      <c r="D202" s="571"/>
      <c r="E202" s="319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54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121"/>
        <v>0</v>
      </c>
      <c r="AF202" s="409"/>
      <c r="AG202" s="408"/>
      <c r="AH202" s="409">
        <f t="shared" si="111"/>
        <v>0</v>
      </c>
      <c r="AI202" s="410"/>
      <c r="AJ202" s="411">
        <f t="shared" si="113"/>
        <v>0</v>
      </c>
    </row>
    <row r="203" spans="1:36" s="234" customFormat="1" ht="20.25">
      <c r="A203" s="316"/>
      <c r="B203" s="570"/>
      <c r="C203" s="570"/>
      <c r="D203" s="571"/>
      <c r="E203" s="319"/>
      <c r="F203" s="320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/>
      <c r="X203" s="321"/>
      <c r="Y203" s="321"/>
      <c r="Z203" s="321"/>
      <c r="AA203" s="321"/>
      <c r="AB203" s="321"/>
      <c r="AC203" s="380"/>
      <c r="AD203" s="352"/>
      <c r="AE203" s="408">
        <f t="shared" si="121"/>
        <v>0</v>
      </c>
      <c r="AF203" s="409"/>
      <c r="AG203" s="408"/>
      <c r="AH203" s="409">
        <f t="shared" si="111"/>
        <v>0</v>
      </c>
      <c r="AI203" s="410"/>
      <c r="AJ203" s="411">
        <f t="shared" si="113"/>
        <v>0</v>
      </c>
    </row>
    <row r="204" spans="1:36" s="234" customFormat="1" ht="20.25">
      <c r="A204" s="316"/>
      <c r="B204" s="570"/>
      <c r="C204" s="570"/>
      <c r="D204" s="571"/>
      <c r="E204" s="319"/>
      <c r="F204" s="320"/>
      <c r="G204" s="320"/>
      <c r="H204" s="321"/>
      <c r="I204" s="321"/>
      <c r="J204" s="320"/>
      <c r="K204" s="351"/>
      <c r="L204" s="352"/>
      <c r="M204" s="353"/>
      <c r="N204" s="321"/>
      <c r="O204" s="321"/>
      <c r="P204" s="321"/>
      <c r="Q204" s="321"/>
      <c r="R204" s="321"/>
      <c r="S204" s="321"/>
      <c r="T204" s="354"/>
      <c r="U204" s="352"/>
      <c r="V204" s="353"/>
      <c r="W204" s="321"/>
      <c r="X204" s="321"/>
      <c r="Y204" s="321"/>
      <c r="Z204" s="321"/>
      <c r="AA204" s="321"/>
      <c r="AB204" s="321"/>
      <c r="AC204" s="380"/>
      <c r="AD204" s="352"/>
      <c r="AE204" s="408">
        <f t="shared" si="121"/>
        <v>0</v>
      </c>
      <c r="AF204" s="409"/>
      <c r="AG204" s="408"/>
      <c r="AH204" s="409">
        <f t="shared" si="111"/>
        <v>0</v>
      </c>
      <c r="AI204" s="410"/>
      <c r="AJ204" s="411">
        <f t="shared" si="113"/>
        <v>0</v>
      </c>
    </row>
    <row r="205" spans="1:36" s="234" customFormat="1" ht="20.25">
      <c r="A205" s="547"/>
      <c r="B205" s="796"/>
      <c r="C205" s="797"/>
      <c r="D205" s="544"/>
      <c r="E205" s="319"/>
      <c r="F205" s="320"/>
      <c r="G205" s="320"/>
      <c r="H205" s="321"/>
      <c r="I205" s="321"/>
      <c r="J205" s="320"/>
      <c r="K205" s="351"/>
      <c r="L205" s="352"/>
      <c r="M205" s="353"/>
      <c r="N205" s="321"/>
      <c r="O205" s="321"/>
      <c r="P205" s="321"/>
      <c r="Q205" s="321"/>
      <c r="R205" s="321"/>
      <c r="S205" s="321"/>
      <c r="T205" s="354"/>
      <c r="U205" s="352"/>
      <c r="V205" s="353"/>
      <c r="W205" s="321"/>
      <c r="X205" s="321"/>
      <c r="Y205" s="321"/>
      <c r="Z205" s="321"/>
      <c r="AA205" s="321"/>
      <c r="AB205" s="321"/>
      <c r="AC205" s="380"/>
      <c r="AD205" s="352"/>
      <c r="AE205" s="408">
        <f t="shared" si="121"/>
        <v>0</v>
      </c>
      <c r="AF205" s="409"/>
      <c r="AG205" s="408"/>
      <c r="AH205" s="409">
        <f t="shared" si="111"/>
        <v>0</v>
      </c>
      <c r="AI205" s="410"/>
      <c r="AJ205" s="411">
        <f t="shared" si="113"/>
        <v>0</v>
      </c>
    </row>
    <row r="206" spans="1:36" s="234" customFormat="1" ht="20.25">
      <c r="A206" s="608"/>
      <c r="B206" s="609"/>
      <c r="C206" s="609"/>
      <c r="D206" s="610"/>
      <c r="E206" s="611"/>
      <c r="F206" s="612"/>
      <c r="G206" s="612"/>
      <c r="H206" s="613"/>
      <c r="I206" s="613"/>
      <c r="J206" s="612"/>
      <c r="K206" s="653"/>
      <c r="L206" s="654"/>
      <c r="M206" s="655"/>
      <c r="N206" s="613"/>
      <c r="O206" s="613"/>
      <c r="P206" s="613"/>
      <c r="Q206" s="613"/>
      <c r="R206" s="613"/>
      <c r="S206" s="613"/>
      <c r="T206" s="670"/>
      <c r="U206" s="654"/>
      <c r="V206" s="655"/>
      <c r="W206" s="613"/>
      <c r="X206" s="613"/>
      <c r="Y206" s="613"/>
      <c r="Z206" s="613"/>
      <c r="AA206" s="613"/>
      <c r="AB206" s="613"/>
      <c r="AC206" s="678"/>
      <c r="AD206" s="654"/>
      <c r="AE206" s="679">
        <f t="shared" si="121"/>
        <v>0</v>
      </c>
      <c r="AF206" s="680"/>
      <c r="AG206" s="679"/>
      <c r="AH206" s="680">
        <f t="shared" si="111"/>
        <v>0</v>
      </c>
      <c r="AI206" s="697"/>
      <c r="AJ206" s="698">
        <f t="shared" si="113"/>
        <v>0</v>
      </c>
    </row>
    <row r="207" spans="1:36" s="234" customFormat="1" ht="20.25">
      <c r="A207" s="614"/>
      <c r="B207" s="615"/>
      <c r="C207" s="615"/>
      <c r="D207" s="616"/>
      <c r="E207" s="617"/>
      <c r="F207" s="618"/>
      <c r="G207" s="618"/>
      <c r="H207" s="619"/>
      <c r="I207" s="619"/>
      <c r="J207" s="618"/>
      <c r="K207" s="656"/>
      <c r="L207" s="657"/>
      <c r="M207" s="658"/>
      <c r="N207" s="619"/>
      <c r="O207" s="619"/>
      <c r="P207" s="619"/>
      <c r="Q207" s="619"/>
      <c r="R207" s="619"/>
      <c r="S207" s="619"/>
      <c r="T207" s="671"/>
      <c r="U207" s="657"/>
      <c r="V207" s="658"/>
      <c r="W207" s="619"/>
      <c r="X207" s="619"/>
      <c r="Y207" s="619"/>
      <c r="Z207" s="619"/>
      <c r="AA207" s="619"/>
      <c r="AB207" s="619"/>
      <c r="AC207" s="681"/>
      <c r="AD207" s="657"/>
      <c r="AE207" s="682">
        <f t="shared" si="121"/>
        <v>0</v>
      </c>
      <c r="AF207" s="683"/>
      <c r="AG207" s="682"/>
      <c r="AH207" s="683">
        <f t="shared" si="111"/>
        <v>0</v>
      </c>
      <c r="AI207" s="699"/>
      <c r="AJ207" s="700">
        <f t="shared" si="113"/>
        <v>0</v>
      </c>
    </row>
    <row r="208" spans="1:36" ht="21" thickBot="1">
      <c r="A208" s="620"/>
      <c r="B208" s="621"/>
      <c r="C208" s="621"/>
      <c r="D208" s="622"/>
      <c r="E208" s="623"/>
      <c r="F208" s="624"/>
      <c r="G208" s="624"/>
      <c r="H208" s="625"/>
      <c r="I208" s="625"/>
      <c r="J208" s="624"/>
      <c r="K208" s="659"/>
      <c r="L208" s="660"/>
      <c r="M208" s="661"/>
      <c r="N208" s="625"/>
      <c r="O208" s="625"/>
      <c r="P208" s="625"/>
      <c r="Q208" s="625"/>
      <c r="R208" s="625"/>
      <c r="S208" s="625"/>
      <c r="T208" s="672"/>
      <c r="U208" s="660"/>
      <c r="V208" s="661"/>
      <c r="W208" s="625"/>
      <c r="X208" s="625"/>
      <c r="Y208" s="625"/>
      <c r="Z208" s="625"/>
      <c r="AA208" s="625"/>
      <c r="AB208" s="625"/>
      <c r="AC208" s="684"/>
      <c r="AD208" s="660"/>
      <c r="AE208" s="685">
        <f t="shared" si="121"/>
        <v>0</v>
      </c>
      <c r="AF208" s="686"/>
      <c r="AG208" s="685"/>
      <c r="AH208" s="686">
        <f t="shared" si="111"/>
        <v>0</v>
      </c>
      <c r="AI208" s="701"/>
      <c r="AJ208" s="702">
        <f t="shared" si="113"/>
        <v>0</v>
      </c>
    </row>
    <row r="209" spans="1:39" ht="21" thickBot="1">
      <c r="A209" s="626" t="s">
        <v>151</v>
      </c>
      <c r="B209" s="627"/>
      <c r="C209" s="627"/>
      <c r="D209" s="628"/>
      <c r="E209" s="533">
        <f t="shared" ref="E209:K209" si="122">SUM(E150:E208)</f>
        <v>80</v>
      </c>
      <c r="F209" s="629">
        <f t="shared" si="122"/>
        <v>0</v>
      </c>
      <c r="G209" s="629">
        <f t="shared" si="122"/>
        <v>0</v>
      </c>
      <c r="H209" s="821">
        <f t="shared" si="122"/>
        <v>0</v>
      </c>
      <c r="I209" s="629">
        <f t="shared" si="122"/>
        <v>0</v>
      </c>
      <c r="J209" s="629">
        <f t="shared" si="122"/>
        <v>0</v>
      </c>
      <c r="K209" s="662">
        <f t="shared" si="122"/>
        <v>100</v>
      </c>
      <c r="L209" s="575"/>
      <c r="M209" s="533">
        <f t="shared" ref="M209:T209" si="123">SUM(M150:M208)</f>
        <v>0</v>
      </c>
      <c r="N209" s="629">
        <f t="shared" si="123"/>
        <v>0</v>
      </c>
      <c r="O209" s="629">
        <f t="shared" si="123"/>
        <v>0</v>
      </c>
      <c r="P209" s="629">
        <f t="shared" si="123"/>
        <v>0</v>
      </c>
      <c r="Q209" s="629">
        <f t="shared" si="123"/>
        <v>0</v>
      </c>
      <c r="R209" s="629">
        <f t="shared" si="123"/>
        <v>0</v>
      </c>
      <c r="S209" s="629">
        <f t="shared" si="123"/>
        <v>0</v>
      </c>
      <c r="T209" s="662">
        <f t="shared" si="123"/>
        <v>0</v>
      </c>
      <c r="U209" s="575"/>
      <c r="V209" s="533">
        <f t="shared" ref="V209:AC209" si="124">SUM(V150:V208)</f>
        <v>0</v>
      </c>
      <c r="W209" s="629">
        <f t="shared" si="124"/>
        <v>0</v>
      </c>
      <c r="X209" s="629">
        <f t="shared" si="124"/>
        <v>0</v>
      </c>
      <c r="Y209" s="629">
        <f t="shared" si="124"/>
        <v>0</v>
      </c>
      <c r="Z209" s="629">
        <f t="shared" si="124"/>
        <v>0</v>
      </c>
      <c r="AA209" s="629">
        <f t="shared" si="124"/>
        <v>0</v>
      </c>
      <c r="AB209" s="629">
        <f t="shared" si="124"/>
        <v>0</v>
      </c>
      <c r="AC209" s="662">
        <f t="shared" si="124"/>
        <v>0</v>
      </c>
      <c r="AD209" s="575"/>
      <c r="AE209" s="687">
        <f t="shared" ref="AE209:AJ209" si="125">SUM(AE150:AE208)</f>
        <v>180</v>
      </c>
      <c r="AF209" s="575">
        <f t="shared" si="125"/>
        <v>0</v>
      </c>
      <c r="AG209" s="687">
        <f t="shared" si="125"/>
        <v>0</v>
      </c>
      <c r="AH209" s="662">
        <f t="shared" si="125"/>
        <v>180</v>
      </c>
      <c r="AI209" s="575">
        <f t="shared" si="125"/>
        <v>0</v>
      </c>
      <c r="AJ209" s="687">
        <f t="shared" si="125"/>
        <v>180</v>
      </c>
    </row>
    <row r="210" spans="1:39" s="284" customFormat="1" ht="21" thickBot="1">
      <c r="A210" s="530" t="s">
        <v>152</v>
      </c>
      <c r="B210" s="531"/>
      <c r="C210" s="531"/>
      <c r="D210" s="630"/>
      <c r="E210" s="533">
        <f>E209/20</f>
        <v>4</v>
      </c>
      <c r="F210" s="534">
        <f t="shared" ref="F210:K210" si="126">F209/20</f>
        <v>0</v>
      </c>
      <c r="G210" s="534">
        <f t="shared" si="126"/>
        <v>0</v>
      </c>
      <c r="H210" s="534">
        <f t="shared" si="126"/>
        <v>0</v>
      </c>
      <c r="I210" s="534">
        <f t="shared" si="126"/>
        <v>0</v>
      </c>
      <c r="J210" s="534">
        <f t="shared" si="126"/>
        <v>0</v>
      </c>
      <c r="K210" s="586">
        <f t="shared" si="126"/>
        <v>5</v>
      </c>
      <c r="L210" s="575"/>
      <c r="M210" s="576">
        <f>M209/20</f>
        <v>0</v>
      </c>
      <c r="N210" s="577">
        <f t="shared" ref="N210:T210" si="127">N209/20</f>
        <v>0</v>
      </c>
      <c r="O210" s="577">
        <f t="shared" si="127"/>
        <v>0</v>
      </c>
      <c r="P210" s="577">
        <f t="shared" si="127"/>
        <v>0</v>
      </c>
      <c r="Q210" s="577">
        <f t="shared" si="127"/>
        <v>0</v>
      </c>
      <c r="R210" s="577">
        <f t="shared" si="127"/>
        <v>0</v>
      </c>
      <c r="S210" s="577">
        <f t="shared" si="127"/>
        <v>0</v>
      </c>
      <c r="T210" s="586">
        <f t="shared" si="127"/>
        <v>0</v>
      </c>
      <c r="U210" s="575"/>
      <c r="V210" s="576">
        <f>V209/20</f>
        <v>0</v>
      </c>
      <c r="W210" s="577">
        <f t="shared" ref="W210:AA210" si="128">W209/20</f>
        <v>0</v>
      </c>
      <c r="X210" s="577">
        <f t="shared" si="128"/>
        <v>0</v>
      </c>
      <c r="Y210" s="577">
        <f t="shared" si="128"/>
        <v>0</v>
      </c>
      <c r="Z210" s="577">
        <f t="shared" si="128"/>
        <v>0</v>
      </c>
      <c r="AA210" s="577">
        <f t="shared" si="128"/>
        <v>0</v>
      </c>
      <c r="AB210" s="577">
        <f t="shared" ref="AB210:AC210" si="129">AB209/20</f>
        <v>0</v>
      </c>
      <c r="AC210" s="586">
        <f t="shared" si="129"/>
        <v>0</v>
      </c>
      <c r="AD210" s="575"/>
      <c r="AE210" s="668">
        <f>SUM(E210:AC210)</f>
        <v>9</v>
      </c>
      <c r="AF210" s="687">
        <f>AF209/20</f>
        <v>0</v>
      </c>
      <c r="AG210" s="687">
        <f>AG209/20</f>
        <v>0</v>
      </c>
      <c r="AH210" s="575">
        <f t="shared" ref="AH210:AJ210" si="130">AH209/20</f>
        <v>9</v>
      </c>
      <c r="AI210" s="687">
        <f t="shared" si="130"/>
        <v>0</v>
      </c>
      <c r="AJ210" s="662">
        <f t="shared" si="130"/>
        <v>9</v>
      </c>
      <c r="AK210" s="403"/>
      <c r="AL210" s="403"/>
      <c r="AM210" s="403"/>
    </row>
    <row r="211" spans="1:39" s="282" customFormat="1" ht="19.5" thickBot="1">
      <c r="A211" s="306"/>
      <c r="B211" s="307"/>
      <c r="C211" s="307"/>
      <c r="D211" s="308"/>
      <c r="E211" s="309"/>
      <c r="F211" s="309"/>
      <c r="G211" s="309"/>
      <c r="H211" s="309"/>
      <c r="I211" s="309"/>
      <c r="J211" s="309"/>
      <c r="K211" s="309"/>
      <c r="L211" s="346"/>
      <c r="M211" s="347"/>
      <c r="N211" s="347"/>
      <c r="O211" s="347"/>
      <c r="P211" s="347"/>
      <c r="Q211" s="347"/>
      <c r="R211" s="347"/>
      <c r="S211" s="347"/>
      <c r="T211" s="347"/>
      <c r="U211" s="346"/>
      <c r="V211" s="347"/>
      <c r="W211" s="347"/>
      <c r="X211" s="347"/>
      <c r="Y211" s="347"/>
      <c r="Z211" s="347"/>
      <c r="AA211" s="347"/>
      <c r="AB211" s="347"/>
      <c r="AC211" s="347"/>
      <c r="AD211" s="346"/>
      <c r="AE211" s="347"/>
      <c r="AF211" s="347"/>
      <c r="AG211" s="347"/>
      <c r="AH211" s="347"/>
      <c r="AI211" s="347"/>
      <c r="AJ211" s="402"/>
    </row>
    <row r="212" spans="1:39" s="283" customFormat="1" ht="16.5" thickBot="1">
      <c r="A212" s="3881" t="s">
        <v>183</v>
      </c>
      <c r="B212" s="3882"/>
      <c r="C212" s="3883"/>
      <c r="D212" s="288" t="s">
        <v>70</v>
      </c>
      <c r="E212" s="743" t="s">
        <v>86</v>
      </c>
      <c r="F212" s="744" t="s">
        <v>91</v>
      </c>
      <c r="G212" s="744" t="s">
        <v>245</v>
      </c>
      <c r="H212" s="744" t="s">
        <v>238</v>
      </c>
      <c r="I212" s="744" t="s">
        <v>90</v>
      </c>
      <c r="J212" s="744" t="s">
        <v>85</v>
      </c>
      <c r="K212" s="50" t="s">
        <v>123</v>
      </c>
      <c r="L212" s="79"/>
      <c r="M212" s="743" t="s">
        <v>95</v>
      </c>
      <c r="N212" s="744" t="s">
        <v>94</v>
      </c>
      <c r="O212" s="744" t="s">
        <v>190</v>
      </c>
      <c r="P212" s="744" t="s">
        <v>53</v>
      </c>
      <c r="Q212" s="744" t="s">
        <v>119</v>
      </c>
      <c r="R212" s="744" t="s">
        <v>101</v>
      </c>
      <c r="S212" s="744" t="s">
        <v>92</v>
      </c>
      <c r="T212" s="50" t="s">
        <v>124</v>
      </c>
      <c r="U212" s="79"/>
      <c r="V212" s="745" t="str">
        <f t="shared" ref="V212:AC212" si="131">V3</f>
        <v>P.Green Sumo Baby</v>
      </c>
      <c r="W212" s="746">
        <f t="shared" si="131"/>
        <v>0</v>
      </c>
      <c r="X212" s="746">
        <f t="shared" si="131"/>
        <v>0</v>
      </c>
      <c r="Y212" s="746">
        <f t="shared" si="131"/>
        <v>0</v>
      </c>
      <c r="Z212" s="746">
        <f t="shared" si="131"/>
        <v>0</v>
      </c>
      <c r="AA212" s="746" t="str">
        <f t="shared" si="131"/>
        <v>Sumo Baby Chair</v>
      </c>
      <c r="AB212" s="746">
        <f t="shared" si="131"/>
        <v>0</v>
      </c>
      <c r="AC212" s="844">
        <f t="shared" si="131"/>
        <v>0</v>
      </c>
      <c r="AD212" s="79"/>
      <c r="AE212" s="371" t="s">
        <v>172</v>
      </c>
      <c r="AF212" s="372" t="s">
        <v>80</v>
      </c>
      <c r="AG212" s="385"/>
      <c r="AH212" s="386" t="s">
        <v>106</v>
      </c>
      <c r="AI212" s="385" t="s">
        <v>173</v>
      </c>
      <c r="AJ212" s="371" t="s">
        <v>108</v>
      </c>
    </row>
    <row r="213" spans="1:39" s="283" customFormat="1" ht="20.25">
      <c r="A213" s="631" t="s">
        <v>184</v>
      </c>
      <c r="B213" s="443"/>
      <c r="C213" s="443"/>
      <c r="D213" s="444"/>
      <c r="E213" s="433"/>
      <c r="F213" s="434"/>
      <c r="G213" s="434"/>
      <c r="H213" s="435"/>
      <c r="I213" s="435"/>
      <c r="J213" s="434"/>
      <c r="K213" s="480"/>
      <c r="L213" s="483"/>
      <c r="M213" s="484"/>
      <c r="N213" s="435"/>
      <c r="O213" s="435"/>
      <c r="P213" s="435"/>
      <c r="Q213" s="435"/>
      <c r="R213" s="435"/>
      <c r="S213" s="435"/>
      <c r="T213" s="492"/>
      <c r="U213" s="483"/>
      <c r="V213" s="433"/>
      <c r="W213" s="434"/>
      <c r="X213" s="434"/>
      <c r="Y213" s="435"/>
      <c r="Z213" s="435"/>
      <c r="AA213" s="435"/>
      <c r="AB213" s="434"/>
      <c r="AC213" s="495"/>
      <c r="AD213" s="483"/>
      <c r="AE213" s="496">
        <f t="shared" ref="AE213:AE214" si="132">SUM(E213:AC213)</f>
        <v>0</v>
      </c>
      <c r="AF213" s="497"/>
      <c r="AG213" s="510"/>
      <c r="AH213" s="511">
        <f t="shared" ref="AH213:AH214" si="133">AE213+AF213</f>
        <v>0</v>
      </c>
      <c r="AI213" s="512"/>
      <c r="AJ213" s="703">
        <f>AH213+AI213</f>
        <v>0</v>
      </c>
    </row>
    <row r="214" spans="1:39" s="283" customFormat="1" ht="21" thickBot="1">
      <c r="A214" s="322"/>
      <c r="B214" s="323"/>
      <c r="C214" s="323"/>
      <c r="D214" s="324"/>
      <c r="E214" s="325"/>
      <c r="F214" s="297"/>
      <c r="G214" s="297"/>
      <c r="H214" s="298"/>
      <c r="I214" s="298"/>
      <c r="J214" s="297"/>
      <c r="K214" s="344"/>
      <c r="L214" s="355"/>
      <c r="M214" s="343"/>
      <c r="N214" s="298"/>
      <c r="O214" s="298"/>
      <c r="P214" s="298"/>
      <c r="Q214" s="298"/>
      <c r="R214" s="298"/>
      <c r="S214" s="298"/>
      <c r="T214" s="367"/>
      <c r="U214" s="355"/>
      <c r="V214" s="325"/>
      <c r="W214" s="297"/>
      <c r="X214" s="297"/>
      <c r="Y214" s="298"/>
      <c r="Z214" s="298"/>
      <c r="AA214" s="298"/>
      <c r="AB214" s="297"/>
      <c r="AC214" s="375"/>
      <c r="AD214" s="355"/>
      <c r="AE214" s="377">
        <f t="shared" si="132"/>
        <v>0</v>
      </c>
      <c r="AF214" s="377"/>
      <c r="AG214" s="390"/>
      <c r="AH214" s="507">
        <f t="shared" si="133"/>
        <v>0</v>
      </c>
      <c r="AI214" s="412"/>
      <c r="AJ214" s="508">
        <f t="shared" ref="AJ214" si="134">AH214+AI214</f>
        <v>0</v>
      </c>
    </row>
    <row r="215" spans="1:39" s="284" customFormat="1" ht="17.25" customHeight="1" thickBot="1">
      <c r="A215" s="436"/>
      <c r="B215" s="437"/>
      <c r="C215" s="437"/>
      <c r="D215" s="438"/>
      <c r="E215" s="439">
        <f>SUM(E213:E214)</f>
        <v>0</v>
      </c>
      <c r="F215" s="440">
        <f t="shared" ref="F215:K215" si="135">SUM(F213:F214)</f>
        <v>0</v>
      </c>
      <c r="G215" s="440">
        <f t="shared" si="135"/>
        <v>0</v>
      </c>
      <c r="H215" s="440">
        <f t="shared" si="135"/>
        <v>0</v>
      </c>
      <c r="I215" s="440">
        <f t="shared" si="135"/>
        <v>0</v>
      </c>
      <c r="J215" s="440">
        <f t="shared" si="135"/>
        <v>0</v>
      </c>
      <c r="K215" s="481">
        <f t="shared" si="135"/>
        <v>0</v>
      </c>
      <c r="L215" s="482"/>
      <c r="M215" s="439">
        <f t="shared" ref="M215:T215" si="136">SUM(M213:M214)</f>
        <v>0</v>
      </c>
      <c r="N215" s="440">
        <f t="shared" si="136"/>
        <v>0</v>
      </c>
      <c r="O215" s="440">
        <f t="shared" si="136"/>
        <v>0</v>
      </c>
      <c r="P215" s="440">
        <f t="shared" si="136"/>
        <v>0</v>
      </c>
      <c r="Q215" s="440">
        <f t="shared" si="136"/>
        <v>0</v>
      </c>
      <c r="R215" s="440">
        <f t="shared" si="136"/>
        <v>0</v>
      </c>
      <c r="S215" s="440">
        <f t="shared" si="136"/>
        <v>0</v>
      </c>
      <c r="T215" s="481">
        <f t="shared" si="136"/>
        <v>0</v>
      </c>
      <c r="U215" s="482"/>
      <c r="V215" s="439">
        <f t="shared" ref="V215:AC215" si="137">SUM(V213:V214)</f>
        <v>0</v>
      </c>
      <c r="W215" s="440">
        <f t="shared" si="137"/>
        <v>0</v>
      </c>
      <c r="X215" s="440">
        <f t="shared" si="137"/>
        <v>0</v>
      </c>
      <c r="Y215" s="440">
        <f t="shared" si="137"/>
        <v>0</v>
      </c>
      <c r="Z215" s="440">
        <f t="shared" si="137"/>
        <v>0</v>
      </c>
      <c r="AA215" s="440">
        <f t="shared" si="137"/>
        <v>0</v>
      </c>
      <c r="AB215" s="440">
        <f t="shared" si="137"/>
        <v>0</v>
      </c>
      <c r="AC215" s="481">
        <f t="shared" si="137"/>
        <v>0</v>
      </c>
      <c r="AD215" s="482"/>
      <c r="AE215" s="494">
        <f>SUM(AE213:AE214)</f>
        <v>0</v>
      </c>
      <c r="AF215" s="494">
        <f>SUM(AF213:AF214)</f>
        <v>0</v>
      </c>
      <c r="AG215" s="509"/>
      <c r="AH215" s="514">
        <f>SUM(AH213:AH214)</f>
        <v>0</v>
      </c>
      <c r="AI215" s="494">
        <f>SUM(AI213:AI214)</f>
        <v>0</v>
      </c>
      <c r="AJ215" s="509">
        <f>SUM(AJ213:AJ214)</f>
        <v>0</v>
      </c>
      <c r="AK215" s="403"/>
      <c r="AL215" s="403"/>
      <c r="AM215" s="403"/>
    </row>
    <row r="216" spans="1:39" ht="19.5" thickBot="1">
      <c r="A216" s="522"/>
      <c r="B216" s="523"/>
      <c r="C216" s="523"/>
      <c r="D216" s="524"/>
      <c r="E216" s="525"/>
      <c r="F216" s="525"/>
      <c r="G216" s="525"/>
      <c r="H216" s="525"/>
      <c r="I216" s="525"/>
      <c r="J216" s="525"/>
      <c r="K216" s="525"/>
      <c r="L216" s="572"/>
      <c r="M216" s="573"/>
      <c r="N216" s="573"/>
      <c r="O216" s="573"/>
      <c r="P216" s="573"/>
      <c r="Q216" s="573"/>
      <c r="R216" s="573"/>
      <c r="S216" s="573"/>
      <c r="T216" s="573"/>
      <c r="U216" s="572"/>
      <c r="V216" s="573"/>
      <c r="W216" s="573"/>
      <c r="X216" s="573"/>
      <c r="Y216" s="573"/>
      <c r="Z216" s="573"/>
      <c r="AA216" s="573"/>
      <c r="AB216" s="573"/>
      <c r="AC216" s="573"/>
      <c r="AD216" s="572"/>
      <c r="AE216" s="573"/>
      <c r="AF216" s="573"/>
      <c r="AG216" s="599"/>
      <c r="AH216" s="573"/>
      <c r="AI216" s="573"/>
      <c r="AJ216" s="600"/>
    </row>
    <row r="217" spans="1:39" ht="21" thickBot="1">
      <c r="A217" s="636" t="s">
        <v>185</v>
      </c>
      <c r="B217" s="637"/>
      <c r="C217" s="637"/>
      <c r="D217" s="638"/>
      <c r="E217" s="529">
        <f t="shared" ref="E217:K217" si="138">E145-E209+E215</f>
        <v>560</v>
      </c>
      <c r="F217" s="639">
        <f t="shared" si="138"/>
        <v>0</v>
      </c>
      <c r="G217" s="639">
        <f t="shared" si="138"/>
        <v>0</v>
      </c>
      <c r="H217" s="639">
        <f t="shared" si="138"/>
        <v>0</v>
      </c>
      <c r="I217" s="639">
        <f t="shared" si="138"/>
        <v>0</v>
      </c>
      <c r="J217" s="639">
        <f t="shared" si="138"/>
        <v>0</v>
      </c>
      <c r="K217" s="664">
        <f t="shared" si="138"/>
        <v>160</v>
      </c>
      <c r="L217" s="574"/>
      <c r="M217" s="665">
        <f t="shared" ref="M217:T217" si="139">M145-M209+M215</f>
        <v>0</v>
      </c>
      <c r="N217" s="666">
        <f t="shared" si="139"/>
        <v>0</v>
      </c>
      <c r="O217" s="666">
        <f t="shared" si="139"/>
        <v>0</v>
      </c>
      <c r="P217" s="666">
        <f t="shared" si="139"/>
        <v>0</v>
      </c>
      <c r="Q217" s="666">
        <f t="shared" si="139"/>
        <v>0</v>
      </c>
      <c r="R217" s="666">
        <f t="shared" si="139"/>
        <v>0</v>
      </c>
      <c r="S217" s="666">
        <f t="shared" si="139"/>
        <v>0</v>
      </c>
      <c r="T217" s="674">
        <f t="shared" si="139"/>
        <v>0</v>
      </c>
      <c r="U217" s="574"/>
      <c r="V217" s="665">
        <f t="shared" ref="V217:AC217" si="140">V145-V209+V215</f>
        <v>0</v>
      </c>
      <c r="W217" s="666">
        <f t="shared" si="140"/>
        <v>0</v>
      </c>
      <c r="X217" s="666">
        <f t="shared" si="140"/>
        <v>0</v>
      </c>
      <c r="Y217" s="666">
        <f t="shared" si="140"/>
        <v>0</v>
      </c>
      <c r="Z217" s="666">
        <f t="shared" si="140"/>
        <v>0</v>
      </c>
      <c r="AA217" s="666">
        <f t="shared" si="140"/>
        <v>0</v>
      </c>
      <c r="AB217" s="666">
        <f t="shared" si="140"/>
        <v>0</v>
      </c>
      <c r="AC217" s="674">
        <f t="shared" si="140"/>
        <v>0</v>
      </c>
      <c r="AD217" s="691"/>
      <c r="AE217" s="529">
        <f>AE145-AE209+AE215</f>
        <v>720</v>
      </c>
      <c r="AF217" s="3775">
        <f>AF145-AF209-AG209+AF215</f>
        <v>0</v>
      </c>
      <c r="AG217" s="3884"/>
      <c r="AH217" s="529">
        <f>AH145-AH209+AH215</f>
        <v>720</v>
      </c>
      <c r="AI217" s="529">
        <f>AI145-AI209+AI215</f>
        <v>0</v>
      </c>
      <c r="AJ217" s="693">
        <f>AJ145-AJ209+AJ215</f>
        <v>720</v>
      </c>
    </row>
    <row r="218" spans="1:39" ht="21" thickBot="1">
      <c r="A218" s="640" t="s">
        <v>152</v>
      </c>
      <c r="B218" s="641"/>
      <c r="C218" s="641"/>
      <c r="D218" s="642"/>
      <c r="E218" s="529">
        <f>E217/20</f>
        <v>28</v>
      </c>
      <c r="F218" s="529">
        <f t="shared" ref="F218:K218" si="141">F217/20</f>
        <v>0</v>
      </c>
      <c r="G218" s="529">
        <f t="shared" si="141"/>
        <v>0</v>
      </c>
      <c r="H218" s="529">
        <f t="shared" si="141"/>
        <v>0</v>
      </c>
      <c r="I218" s="529">
        <f t="shared" si="141"/>
        <v>0</v>
      </c>
      <c r="J218" s="529">
        <f t="shared" si="141"/>
        <v>0</v>
      </c>
      <c r="K218" s="529">
        <f t="shared" si="141"/>
        <v>8</v>
      </c>
      <c r="L218" s="529"/>
      <c r="M218" s="529">
        <f>M217/20</f>
        <v>0</v>
      </c>
      <c r="N218" s="529">
        <f>N217/20</f>
        <v>0</v>
      </c>
      <c r="O218" s="529">
        <f t="shared" ref="O218:T218" si="142">O217/20</f>
        <v>0</v>
      </c>
      <c r="P218" s="529">
        <f t="shared" si="142"/>
        <v>0</v>
      </c>
      <c r="Q218" s="529">
        <f t="shared" si="142"/>
        <v>0</v>
      </c>
      <c r="R218" s="529">
        <f t="shared" si="142"/>
        <v>0</v>
      </c>
      <c r="S218" s="529">
        <f t="shared" si="142"/>
        <v>0</v>
      </c>
      <c r="T218" s="529">
        <f t="shared" si="142"/>
        <v>0</v>
      </c>
      <c r="U218" s="529"/>
      <c r="V218" s="529">
        <f>V217/20</f>
        <v>0</v>
      </c>
      <c r="W218" s="529">
        <f t="shared" ref="W218:AC218" si="143">W217/20</f>
        <v>0</v>
      </c>
      <c r="X218" s="529">
        <f t="shared" si="143"/>
        <v>0</v>
      </c>
      <c r="Y218" s="529">
        <f t="shared" si="143"/>
        <v>0</v>
      </c>
      <c r="Z218" s="529">
        <f t="shared" si="143"/>
        <v>0</v>
      </c>
      <c r="AA218" s="529">
        <f t="shared" si="143"/>
        <v>0</v>
      </c>
      <c r="AB218" s="529">
        <f t="shared" si="143"/>
        <v>0</v>
      </c>
      <c r="AC218" s="529">
        <f t="shared" si="143"/>
        <v>0</v>
      </c>
      <c r="AD218" s="692"/>
      <c r="AE218" s="693">
        <f>AE217/20</f>
        <v>36</v>
      </c>
      <c r="AF218" s="3775">
        <f>AF217/20</f>
        <v>0</v>
      </c>
      <c r="AG218" s="3884"/>
      <c r="AH218" s="693">
        <f>AH217/20</f>
        <v>36</v>
      </c>
      <c r="AI218" s="574">
        <f>AI217/20</f>
        <v>0</v>
      </c>
      <c r="AJ218" s="706">
        <f>AJ217/20</f>
        <v>36</v>
      </c>
      <c r="AK218" s="1"/>
    </row>
    <row r="219" spans="1:39" ht="21" thickBot="1">
      <c r="A219" s="643" t="s">
        <v>156</v>
      </c>
      <c r="B219" s="644"/>
      <c r="C219" s="644"/>
      <c r="D219" s="645"/>
      <c r="E219" s="3897">
        <f>SUM(E218:K218)</f>
        <v>36</v>
      </c>
      <c r="F219" s="3898"/>
      <c r="G219" s="3898"/>
      <c r="H219" s="3898"/>
      <c r="I219" s="3898"/>
      <c r="J219" s="3898"/>
      <c r="K219" s="3899"/>
      <c r="L219" s="667"/>
      <c r="M219" s="3778">
        <f>SUM(M218:T218)</f>
        <v>0</v>
      </c>
      <c r="N219" s="3779"/>
      <c r="O219" s="3779"/>
      <c r="P219" s="3779"/>
      <c r="Q219" s="3779"/>
      <c r="R219" s="3779"/>
      <c r="S219" s="3779"/>
      <c r="T219" s="3780"/>
      <c r="U219" s="675"/>
      <c r="V219" s="3778">
        <f>SUM(V218:AC218)</f>
        <v>0</v>
      </c>
      <c r="W219" s="3779"/>
      <c r="X219" s="3779"/>
      <c r="Y219" s="3779"/>
      <c r="Z219" s="3779"/>
      <c r="AA219" s="3779"/>
      <c r="AB219" s="3779"/>
      <c r="AC219" s="3780"/>
      <c r="AD219" s="694"/>
      <c r="AE219" s="694"/>
      <c r="AF219" s="694"/>
      <c r="AG219" s="694"/>
      <c r="AH219" s="694"/>
      <c r="AI219" s="694"/>
      <c r="AJ219" s="707"/>
    </row>
    <row r="220" spans="1:39" ht="21" thickBot="1">
      <c r="A220" s="646" t="s">
        <v>157</v>
      </c>
      <c r="B220" s="647"/>
      <c r="C220" s="647"/>
      <c r="D220" s="648"/>
      <c r="E220" s="3875">
        <f>SUM(E217:K217)</f>
        <v>720</v>
      </c>
      <c r="F220" s="3876"/>
      <c r="G220" s="3876"/>
      <c r="H220" s="3876"/>
      <c r="I220" s="3876"/>
      <c r="J220" s="3876"/>
      <c r="K220" s="3900"/>
      <c r="L220" s="669"/>
      <c r="M220" s="3877">
        <f>SUM(M217:T217)</f>
        <v>0</v>
      </c>
      <c r="N220" s="3878"/>
      <c r="O220" s="3878"/>
      <c r="P220" s="3878"/>
      <c r="Q220" s="3878"/>
      <c r="R220" s="3878"/>
      <c r="S220" s="3878"/>
      <c r="T220" s="3879"/>
      <c r="U220" s="676"/>
      <c r="V220" s="3781">
        <f>SUM(V217:AC217)</f>
        <v>0</v>
      </c>
      <c r="W220" s="3788"/>
      <c r="X220" s="3788"/>
      <c r="Y220" s="3788"/>
      <c r="Z220" s="3788"/>
      <c r="AA220" s="3788"/>
      <c r="AB220" s="3788"/>
      <c r="AC220" s="3880"/>
      <c r="AD220" s="688"/>
      <c r="AE220" s="689"/>
      <c r="AF220" s="673"/>
      <c r="AG220" s="673"/>
      <c r="AH220" s="689"/>
      <c r="AI220" s="689"/>
      <c r="AJ220" s="704"/>
    </row>
    <row r="221" spans="1:39">
      <c r="A221" s="634"/>
      <c r="B221" s="635"/>
      <c r="C221" s="635"/>
      <c r="D221" s="649"/>
      <c r="E221" s="634"/>
      <c r="F221" s="634"/>
      <c r="G221" s="634"/>
      <c r="H221" s="634"/>
      <c r="I221" s="634"/>
      <c r="J221" s="634"/>
      <c r="K221" s="634"/>
      <c r="L221" s="634"/>
      <c r="M221" s="634"/>
      <c r="N221" s="634"/>
      <c r="O221" s="634"/>
      <c r="P221" s="634"/>
      <c r="Q221" s="634"/>
      <c r="R221" s="634"/>
      <c r="S221" s="634"/>
      <c r="T221" s="634"/>
      <c r="U221" s="634"/>
      <c r="V221" s="634"/>
      <c r="W221" s="634"/>
      <c r="X221" s="634"/>
      <c r="Y221" s="634"/>
      <c r="Z221" s="634"/>
      <c r="AA221" s="634"/>
      <c r="AB221" s="690"/>
      <c r="AC221" s="690"/>
      <c r="AD221" s="690"/>
      <c r="AE221" s="690"/>
      <c r="AF221" s="634"/>
      <c r="AG221" s="634"/>
      <c r="AH221" s="634"/>
      <c r="AI221" s="634"/>
      <c r="AJ221" s="634"/>
    </row>
    <row r="222" spans="1:39" ht="21" thickBot="1">
      <c r="A222" s="650"/>
      <c r="B222" s="651"/>
      <c r="C222" s="651"/>
      <c r="D222" s="650"/>
      <c r="E222" s="650"/>
      <c r="F222" s="650"/>
      <c r="G222" s="650"/>
      <c r="H222" s="650"/>
      <c r="I222" s="650"/>
      <c r="J222" s="650"/>
      <c r="K222" s="650"/>
      <c r="L222" s="650"/>
      <c r="M222" s="650"/>
      <c r="N222" s="650"/>
      <c r="O222" s="650"/>
      <c r="P222" s="650"/>
      <c r="Q222" s="650"/>
      <c r="R222" s="650"/>
      <c r="S222" s="650"/>
      <c r="T222" s="650"/>
      <c r="U222" s="650"/>
      <c r="V222" s="650"/>
      <c r="W222" s="650"/>
      <c r="X222" s="650"/>
      <c r="Y222" s="650"/>
      <c r="Z222" s="650"/>
      <c r="AA222" s="650"/>
      <c r="AB222" s="650"/>
      <c r="AC222" s="650"/>
      <c r="AD222" s="650"/>
      <c r="AE222" s="650"/>
      <c r="AF222" s="650"/>
      <c r="AG222" s="650"/>
      <c r="AH222" s="650"/>
      <c r="AI222" s="650"/>
      <c r="AJ222" s="650"/>
    </row>
    <row r="223" spans="1:39" ht="27.75" thickBot="1">
      <c r="A223" s="634"/>
      <c r="B223" s="635"/>
      <c r="C223" s="635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677"/>
      <c r="X223" s="3857" t="s">
        <v>158</v>
      </c>
      <c r="Y223" s="3858"/>
      <c r="Z223" s="3858"/>
      <c r="AA223" s="3858"/>
      <c r="AB223" s="3859"/>
      <c r="AC223" s="3802">
        <f>'BIG CHAIR'!CI325</f>
        <v>0</v>
      </c>
      <c r="AD223" s="3803"/>
      <c r="AE223" s="3804"/>
      <c r="AF223" s="634"/>
      <c r="AG223" s="634"/>
      <c r="AH223" s="634"/>
      <c r="AI223" s="634"/>
      <c r="AJ223" s="634"/>
    </row>
    <row r="224" spans="1:39" ht="27.75" thickBot="1">
      <c r="A224" s="634"/>
      <c r="B224" s="635"/>
      <c r="C224" s="635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4"/>
      <c r="P224" s="634"/>
      <c r="Q224" s="634"/>
      <c r="R224" s="634"/>
      <c r="S224" s="634"/>
      <c r="T224" s="634"/>
      <c r="U224" s="634"/>
      <c r="V224" s="634"/>
      <c r="W224" s="677"/>
      <c r="X224" s="3857" t="s">
        <v>159</v>
      </c>
      <c r="Y224" s="3858"/>
      <c r="Z224" s="3858"/>
      <c r="AA224" s="3858"/>
      <c r="AB224" s="3859"/>
      <c r="AC224" s="3872">
        <f>AE217</f>
        <v>720</v>
      </c>
      <c r="AD224" s="3873"/>
      <c r="AE224" s="3874"/>
      <c r="AF224" s="634"/>
      <c r="AG224" s="634"/>
      <c r="AH224" s="634"/>
      <c r="AI224" s="634"/>
      <c r="AJ224" s="708"/>
    </row>
    <row r="225" spans="1:36" ht="27.75" thickBot="1">
      <c r="A225" s="634"/>
      <c r="B225" s="635"/>
      <c r="C225" s="635"/>
      <c r="D225" s="634"/>
      <c r="E225" s="634"/>
      <c r="F225" s="634"/>
      <c r="G225" s="634"/>
      <c r="H225" s="634"/>
      <c r="I225" s="634"/>
      <c r="J225" s="634"/>
      <c r="K225" s="634"/>
      <c r="L225" s="634"/>
      <c r="M225" s="634"/>
      <c r="N225" s="634"/>
      <c r="O225" s="634"/>
      <c r="P225" s="634"/>
      <c r="Q225" s="634"/>
      <c r="R225" s="634"/>
      <c r="S225" s="634"/>
      <c r="T225" s="634"/>
      <c r="U225" s="634"/>
      <c r="V225" s="634"/>
      <c r="W225" s="677"/>
      <c r="X225" s="3857" t="s">
        <v>160</v>
      </c>
      <c r="Y225" s="3858"/>
      <c r="Z225" s="3858"/>
      <c r="AA225" s="3858"/>
      <c r="AB225" s="3859"/>
      <c r="AC225" s="3802">
        <f>'BIG CHAIR'!CJ325</f>
        <v>0</v>
      </c>
      <c r="AD225" s="3803"/>
      <c r="AE225" s="3804"/>
      <c r="AF225" s="634"/>
      <c r="AG225" s="634"/>
      <c r="AH225" s="634"/>
      <c r="AI225" s="634"/>
      <c r="AJ225" s="634"/>
    </row>
    <row r="226" spans="1:36" ht="27.75" thickBot="1">
      <c r="A226" s="634"/>
      <c r="B226" s="635"/>
      <c r="C226" s="635"/>
      <c r="D226" s="634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4"/>
      <c r="P226" s="634"/>
      <c r="Q226" s="634"/>
      <c r="R226" s="634"/>
      <c r="S226" s="634"/>
      <c r="T226" s="634"/>
      <c r="U226" s="634"/>
      <c r="V226" s="634"/>
      <c r="W226" s="677"/>
      <c r="X226" s="3857" t="s">
        <v>161</v>
      </c>
      <c r="Y226" s="3858"/>
      <c r="Z226" s="3858"/>
      <c r="AA226" s="3858"/>
      <c r="AB226" s="3858"/>
      <c r="AC226" s="3872">
        <f>AF217</f>
        <v>0</v>
      </c>
      <c r="AD226" s="3803"/>
      <c r="AE226" s="3804"/>
      <c r="AF226" s="634"/>
      <c r="AG226" s="634"/>
      <c r="AH226" s="634"/>
      <c r="AI226" s="634"/>
      <c r="AJ226" s="634"/>
    </row>
    <row r="227" spans="1:36" ht="27.75" thickBot="1">
      <c r="A227" s="634"/>
      <c r="B227" s="635"/>
      <c r="C227" s="635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77"/>
      <c r="X227" s="3857" t="s">
        <v>162</v>
      </c>
      <c r="Y227" s="3858"/>
      <c r="Z227" s="3858"/>
      <c r="AA227" s="3858"/>
      <c r="AB227" s="3859"/>
      <c r="AC227" s="3802">
        <f>'Tea Table'!U285</f>
        <v>2676</v>
      </c>
      <c r="AD227" s="3803"/>
      <c r="AE227" s="3804"/>
      <c r="AF227" s="634"/>
      <c r="AG227" s="634"/>
      <c r="AH227" s="634"/>
      <c r="AI227" s="634"/>
      <c r="AJ227" s="634"/>
    </row>
    <row r="228" spans="1:36" ht="27.75" thickBot="1">
      <c r="A228" s="634"/>
      <c r="B228" s="635"/>
      <c r="C228" s="635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4"/>
      <c r="P228" s="634"/>
      <c r="Q228" s="634"/>
      <c r="R228" s="634"/>
      <c r="S228" s="634"/>
      <c r="T228" s="634"/>
      <c r="U228" s="634"/>
      <c r="V228" s="634"/>
      <c r="W228" s="677"/>
      <c r="X228" s="3860" t="s">
        <v>163</v>
      </c>
      <c r="Y228" s="3861"/>
      <c r="Z228" s="3861"/>
      <c r="AA228" s="3861"/>
      <c r="AB228" s="3862"/>
      <c r="AC228" s="3863">
        <f>'Tea Table'!V285</f>
        <v>29</v>
      </c>
      <c r="AD228" s="3864"/>
      <c r="AE228" s="3865"/>
      <c r="AF228" s="634"/>
      <c r="AG228" s="634"/>
      <c r="AH228" s="634"/>
      <c r="AI228" s="634"/>
      <c r="AJ228" s="634"/>
    </row>
    <row r="229" spans="1:36" ht="28.5" thickTop="1" thickBot="1">
      <c r="A229" s="634"/>
      <c r="B229" s="635"/>
      <c r="C229" s="635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4"/>
      <c r="S229" s="634"/>
      <c r="T229" s="634"/>
      <c r="U229" s="634"/>
      <c r="V229" s="634"/>
      <c r="W229" s="677"/>
      <c r="X229" s="3866"/>
      <c r="Y229" s="3867"/>
      <c r="Z229" s="3867"/>
      <c r="AA229" s="3867"/>
      <c r="AB229" s="3868"/>
      <c r="AC229" s="3869"/>
      <c r="AD229" s="3870"/>
      <c r="AE229" s="3871"/>
      <c r="AF229" s="634"/>
      <c r="AG229" s="634"/>
      <c r="AH229" s="634"/>
      <c r="AI229" s="634"/>
      <c r="AJ229" s="634"/>
    </row>
    <row r="230" spans="1:36" ht="27.75" thickBot="1">
      <c r="A230" s="634"/>
      <c r="B230" s="635"/>
      <c r="C230" s="635"/>
      <c r="D230" s="634"/>
      <c r="E230" s="634"/>
      <c r="F230" s="634"/>
      <c r="G230" s="634"/>
      <c r="H230" s="634"/>
      <c r="I230" s="634"/>
      <c r="J230" s="634"/>
      <c r="K230" s="634"/>
      <c r="L230" s="634"/>
      <c r="M230" s="634"/>
      <c r="N230" s="634"/>
      <c r="O230" s="634"/>
      <c r="P230" s="634"/>
      <c r="Q230" s="634"/>
      <c r="R230" s="634"/>
      <c r="S230" s="634"/>
      <c r="T230" s="634"/>
      <c r="U230" s="634"/>
      <c r="V230" s="634"/>
      <c r="W230" s="677"/>
      <c r="X230" s="3857" t="s">
        <v>164</v>
      </c>
      <c r="Y230" s="3858"/>
      <c r="Z230" s="3858"/>
      <c r="AA230" s="3858"/>
      <c r="AB230" s="3859"/>
      <c r="AC230" s="3796">
        <f>SUM(AC223:AE229)</f>
        <v>3425</v>
      </c>
      <c r="AD230" s="3797"/>
      <c r="AE230" s="3798"/>
      <c r="AF230" s="634"/>
      <c r="AG230" s="634"/>
      <c r="AH230" s="634"/>
      <c r="AI230" s="634"/>
      <c r="AJ230" s="634"/>
    </row>
    <row r="231" spans="1:36" ht="27.75" thickBot="1">
      <c r="A231" s="634"/>
      <c r="B231" s="635"/>
      <c r="C231" s="635"/>
      <c r="D231" s="634"/>
      <c r="E231" s="634"/>
      <c r="F231" s="634"/>
      <c r="G231" s="634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77"/>
      <c r="X231" s="3857" t="s">
        <v>165</v>
      </c>
      <c r="Y231" s="3858"/>
      <c r="Z231" s="3858"/>
      <c r="AA231" s="3858"/>
      <c r="AB231" s="3859"/>
      <c r="AC231" s="3796">
        <f>AE218+'BIG CHAIR'!CI326+'Tea Table'!U286</f>
        <v>259</v>
      </c>
      <c r="AD231" s="3797"/>
      <c r="AE231" s="3798"/>
      <c r="AF231" s="695"/>
      <c r="AG231" s="695"/>
      <c r="AH231" s="695"/>
      <c r="AI231" s="634"/>
      <c r="AJ231" s="634"/>
    </row>
    <row r="232" spans="1:36">
      <c r="B232" s="652"/>
      <c r="C232" s="652"/>
      <c r="AB232" s="696"/>
      <c r="AC232" s="696"/>
      <c r="AD232" s="696"/>
      <c r="AE232" s="696"/>
    </row>
    <row r="233" spans="1:36">
      <c r="B233" s="652"/>
      <c r="C233" s="652"/>
      <c r="AB233" s="696"/>
      <c r="AC233" s="696"/>
      <c r="AD233" s="696"/>
      <c r="AE233" s="696"/>
    </row>
    <row r="234" spans="1:36">
      <c r="B234" s="652"/>
      <c r="C234" s="652"/>
      <c r="AB234" s="696"/>
      <c r="AC234" s="696"/>
      <c r="AD234" s="696"/>
      <c r="AE234" s="696"/>
    </row>
    <row r="235" spans="1:36">
      <c r="B235" s="652"/>
      <c r="C235" s="652"/>
      <c r="AB235" s="696"/>
      <c r="AC235" s="696"/>
      <c r="AD235" s="696"/>
      <c r="AE235" s="696"/>
    </row>
    <row r="236" spans="1:36">
      <c r="B236" s="652"/>
      <c r="C236" s="652"/>
      <c r="AB236" s="696"/>
      <c r="AC236" s="696"/>
      <c r="AD236" s="696"/>
      <c r="AE236" s="696"/>
    </row>
    <row r="237" spans="1:36">
      <c r="B237" s="652"/>
      <c r="C237" s="652"/>
      <c r="AB237" s="696"/>
      <c r="AC237" s="696"/>
      <c r="AD237" s="696"/>
      <c r="AE237" s="696"/>
    </row>
    <row r="238" spans="1:36">
      <c r="B238" s="652"/>
      <c r="C238" s="652"/>
      <c r="AB238" s="696"/>
      <c r="AC238" s="696"/>
      <c r="AD238" s="696"/>
      <c r="AE238" s="696"/>
    </row>
    <row r="239" spans="1:36">
      <c r="B239" s="652"/>
      <c r="C239" s="652"/>
      <c r="AB239" s="696"/>
      <c r="AC239" s="696"/>
      <c r="AD239" s="696"/>
      <c r="AE239" s="696"/>
    </row>
    <row r="240" spans="1:36">
      <c r="B240" s="652"/>
      <c r="C240" s="652"/>
      <c r="AB240" s="696"/>
      <c r="AC240" s="696"/>
      <c r="AD240" s="696"/>
      <c r="AE240" s="696"/>
    </row>
    <row r="241" spans="2:31">
      <c r="B241" s="652"/>
      <c r="C241" s="652"/>
      <c r="AB241" s="696"/>
      <c r="AC241" s="696"/>
      <c r="AD241" s="696"/>
      <c r="AE241" s="696"/>
    </row>
    <row r="242" spans="2:31">
      <c r="B242" s="652"/>
      <c r="C242" s="652"/>
      <c r="AB242" s="696"/>
      <c r="AC242" s="696"/>
      <c r="AD242" s="696"/>
      <c r="AE242" s="696"/>
    </row>
    <row r="243" spans="2:31">
      <c r="B243" s="652"/>
      <c r="C243" s="652"/>
      <c r="AB243" s="696"/>
      <c r="AC243" s="696"/>
      <c r="AD243" s="696"/>
      <c r="AE243" s="696"/>
    </row>
    <row r="244" spans="2:31">
      <c r="B244" s="652"/>
      <c r="C244" s="652"/>
      <c r="AB244" s="696"/>
      <c r="AC244" s="696"/>
      <c r="AD244" s="696"/>
      <c r="AE244" s="696"/>
    </row>
    <row r="245" spans="2:31">
      <c r="B245" s="652"/>
      <c r="C245" s="652"/>
      <c r="AB245" s="696"/>
      <c r="AC245" s="696"/>
      <c r="AD245" s="696"/>
      <c r="AE245" s="696"/>
    </row>
    <row r="246" spans="2:31">
      <c r="B246" s="652"/>
      <c r="C246" s="652"/>
      <c r="AB246" s="696"/>
      <c r="AC246" s="696"/>
      <c r="AD246" s="696"/>
      <c r="AE246" s="696"/>
    </row>
    <row r="247" spans="2:31">
      <c r="B247" s="652"/>
      <c r="C247" s="652"/>
      <c r="AB247" s="696"/>
      <c r="AC247" s="696"/>
      <c r="AD247" s="696"/>
      <c r="AE247" s="696"/>
    </row>
    <row r="248" spans="2:31">
      <c r="B248" s="652"/>
      <c r="C248" s="652"/>
      <c r="AB248" s="696"/>
      <c r="AC248" s="696"/>
      <c r="AD248" s="696"/>
      <c r="AE248" s="696"/>
    </row>
    <row r="249" spans="2:31">
      <c r="B249" s="652"/>
      <c r="C249" s="652"/>
      <c r="AB249" s="696"/>
      <c r="AC249" s="696"/>
      <c r="AD249" s="696"/>
      <c r="AE249" s="696"/>
    </row>
  </sheetData>
  <mergeCells count="38">
    <mergeCell ref="A2:D2"/>
    <mergeCell ref="E2:K2"/>
    <mergeCell ref="M2:T2"/>
    <mergeCell ref="V2:AC2"/>
    <mergeCell ref="AE2:AJ2"/>
    <mergeCell ref="A147:AJ147"/>
    <mergeCell ref="A148:D148"/>
    <mergeCell ref="E148:K148"/>
    <mergeCell ref="M148:T148"/>
    <mergeCell ref="V148:AC148"/>
    <mergeCell ref="AE148:AJ148"/>
    <mergeCell ref="A212:C212"/>
    <mergeCell ref="AF217:AG217"/>
    <mergeCell ref="AF218:AG218"/>
    <mergeCell ref="E219:K219"/>
    <mergeCell ref="M219:T219"/>
    <mergeCell ref="V219:AC219"/>
    <mergeCell ref="E220:K220"/>
    <mergeCell ref="M220:T220"/>
    <mergeCell ref="V220:AC220"/>
    <mergeCell ref="X223:AB223"/>
    <mergeCell ref="AC223:AE223"/>
    <mergeCell ref="X224:AB224"/>
    <mergeCell ref="AC224:AE224"/>
    <mergeCell ref="X225:AB225"/>
    <mergeCell ref="AC225:AE225"/>
    <mergeCell ref="X226:AB226"/>
    <mergeCell ref="AC226:AE226"/>
    <mergeCell ref="X230:AB230"/>
    <mergeCell ref="AC230:AE230"/>
    <mergeCell ref="X231:AB231"/>
    <mergeCell ref="AC231:AE231"/>
    <mergeCell ref="X227:AB227"/>
    <mergeCell ref="AC227:AE227"/>
    <mergeCell ref="X228:AB228"/>
    <mergeCell ref="AC228:AE228"/>
    <mergeCell ref="X229:AB229"/>
    <mergeCell ref="AC229:AE229"/>
  </mergeCells>
  <pageMargins left="0.69930555555555596" right="0.69930555555555596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1"/>
  <sheetViews>
    <sheetView zoomScale="107" zoomScaleNormal="107" workbookViewId="0">
      <pane ySplit="3" topLeftCell="A162" activePane="bottomLeft" state="frozen"/>
      <selection activeCell="A173" sqref="A173"/>
      <selection pane="bottomLeft" activeCell="A173" sqref="A173"/>
    </sheetView>
  </sheetViews>
  <sheetFormatPr defaultColWidth="9" defaultRowHeight="15"/>
  <cols>
    <col min="1" max="1" width="55.42578125" customWidth="1"/>
    <col min="2" max="2" width="18.140625" style="276" customWidth="1"/>
    <col min="3" max="3" width="14.140625" style="276" customWidth="1"/>
    <col min="4" max="4" width="20.85546875" customWidth="1"/>
    <col min="5" max="7" width="11.5703125" customWidth="1"/>
    <col min="8" max="8" width="11.7109375" customWidth="1"/>
    <col min="9" max="9" width="15.42578125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6" width="11.5703125" customWidth="1"/>
    <col min="17" max="17" width="12" customWidth="1"/>
    <col min="18" max="18" width="13.85546875" customWidth="1"/>
    <col min="19" max="19" width="11.5703125" customWidth="1"/>
    <col min="20" max="20" width="13.140625" customWidth="1"/>
    <col min="21" max="21" width="1.5703125" customWidth="1"/>
    <col min="22" max="22" width="15.7109375" customWidth="1"/>
    <col min="23" max="25" width="11.5703125" customWidth="1"/>
    <col min="26" max="26" width="12.85546875" customWidth="1"/>
    <col min="27" max="27" width="12.7109375" customWidth="1"/>
    <col min="28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7" thickBot="1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408</v>
      </c>
      <c r="F2" s="3892"/>
      <c r="G2" s="3892"/>
      <c r="H2" s="3892"/>
      <c r="I2" s="3892"/>
      <c r="J2" s="3892"/>
      <c r="K2" s="3904"/>
      <c r="L2" s="336"/>
      <c r="M2" s="3893" t="s">
        <v>408</v>
      </c>
      <c r="N2" s="3894"/>
      <c r="O2" s="3894"/>
      <c r="P2" s="3894"/>
      <c r="Q2" s="3894"/>
      <c r="R2" s="3894"/>
      <c r="S2" s="3894"/>
      <c r="T2" s="3895"/>
      <c r="U2" s="364"/>
      <c r="V2" s="3893" t="s">
        <v>408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86</v>
      </c>
      <c r="F3" s="49" t="s">
        <v>91</v>
      </c>
      <c r="G3" s="49" t="s">
        <v>245</v>
      </c>
      <c r="H3" s="49" t="s">
        <v>238</v>
      </c>
      <c r="I3" s="49" t="s">
        <v>90</v>
      </c>
      <c r="J3" s="49" t="s">
        <v>85</v>
      </c>
      <c r="K3" s="126" t="s">
        <v>123</v>
      </c>
      <c r="L3" s="79"/>
      <c r="M3" s="80" t="s">
        <v>95</v>
      </c>
      <c r="N3" s="49" t="s">
        <v>94</v>
      </c>
      <c r="O3" s="49" t="s">
        <v>190</v>
      </c>
      <c r="P3" s="49" t="s">
        <v>123</v>
      </c>
      <c r="Q3" s="49" t="s">
        <v>119</v>
      </c>
      <c r="R3" s="49" t="s">
        <v>101</v>
      </c>
      <c r="S3" s="49" t="s">
        <v>92</v>
      </c>
      <c r="T3" s="126" t="s">
        <v>124</v>
      </c>
      <c r="U3" s="79"/>
      <c r="V3" s="99"/>
      <c r="W3" s="716"/>
      <c r="X3" s="104"/>
      <c r="Y3" s="103"/>
      <c r="Z3" s="104"/>
      <c r="AA3" s="104" t="s">
        <v>76</v>
      </c>
      <c r="AB3" s="121"/>
      <c r="AC3" s="717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>
        <f>37*20</f>
        <v>740</v>
      </c>
      <c r="F4" s="293">
        <f>67*20</f>
        <v>1340</v>
      </c>
      <c r="G4" s="293">
        <f>210*20</f>
        <v>4200</v>
      </c>
      <c r="H4" s="293">
        <f>112*20</f>
        <v>2240</v>
      </c>
      <c r="I4" s="337"/>
      <c r="J4" s="337"/>
      <c r="K4" s="338">
        <f>31*20</f>
        <v>620</v>
      </c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9140</v>
      </c>
      <c r="AF4" s="374"/>
      <c r="AG4" s="373"/>
      <c r="AH4" s="387">
        <f>AF4+AE4</f>
        <v>9140</v>
      </c>
      <c r="AI4" s="388"/>
      <c r="AJ4" s="389">
        <f>AH4+AI4</f>
        <v>9140</v>
      </c>
    </row>
    <row r="5" spans="1:39" s="283" customFormat="1" ht="21" thickBot="1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7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1" thickBot="1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37" si="1">AE6+AF6</f>
        <v>0</v>
      </c>
      <c r="AI6" s="392"/>
      <c r="AJ6" s="393">
        <f t="shared" ref="AJ6:AJ37" si="2">AH6+AI6</f>
        <v>0</v>
      </c>
      <c r="AK6" s="394"/>
      <c r="AL6" s="54"/>
      <c r="AM6" s="394"/>
    </row>
    <row r="7" spans="1:39" s="283" customFormat="1" ht="21" thickBot="1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1" thickBot="1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1" thickBot="1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299"/>
      <c r="C10" s="299"/>
      <c r="D10" s="709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299"/>
      <c r="C11" s="299"/>
      <c r="D11" s="709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2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5">
        <f t="shared" si="2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9.5" thickBot="1">
      <c r="A38" s="302" t="s">
        <v>175</v>
      </c>
      <c r="B38" s="303"/>
      <c r="C38" s="303"/>
      <c r="D38" s="304"/>
      <c r="E38" s="305">
        <f t="shared" ref="E38:AJ38" si="3">SUM(E5:E37)</f>
        <v>0</v>
      </c>
      <c r="F38" s="305">
        <f t="shared" si="3"/>
        <v>0</v>
      </c>
      <c r="G38" s="305">
        <f t="shared" si="3"/>
        <v>0</v>
      </c>
      <c r="H38" s="305">
        <f t="shared" si="3"/>
        <v>0</v>
      </c>
      <c r="I38" s="305">
        <f t="shared" si="3"/>
        <v>0</v>
      </c>
      <c r="J38" s="305">
        <f t="shared" si="3"/>
        <v>0</v>
      </c>
      <c r="K38" s="305">
        <f t="shared" si="3"/>
        <v>0</v>
      </c>
      <c r="L38" s="305">
        <f t="shared" si="3"/>
        <v>0</v>
      </c>
      <c r="M38" s="305">
        <f t="shared" si="3"/>
        <v>0</v>
      </c>
      <c r="N38" s="305">
        <f t="shared" si="3"/>
        <v>0</v>
      </c>
      <c r="O38" s="305">
        <f t="shared" si="3"/>
        <v>0</v>
      </c>
      <c r="P38" s="305">
        <f t="shared" si="3"/>
        <v>0</v>
      </c>
      <c r="Q38" s="305">
        <f t="shared" si="3"/>
        <v>0</v>
      </c>
      <c r="R38" s="305">
        <f t="shared" si="3"/>
        <v>0</v>
      </c>
      <c r="S38" s="305">
        <f t="shared" si="3"/>
        <v>0</v>
      </c>
      <c r="T38" s="812">
        <f t="shared" si="3"/>
        <v>0</v>
      </c>
      <c r="U38" s="305">
        <f t="shared" si="3"/>
        <v>0</v>
      </c>
      <c r="V38" s="305">
        <f t="shared" si="3"/>
        <v>0</v>
      </c>
      <c r="W38" s="305">
        <f t="shared" si="3"/>
        <v>0</v>
      </c>
      <c r="X38" s="305">
        <f t="shared" si="3"/>
        <v>0</v>
      </c>
      <c r="Y38" s="305">
        <f t="shared" si="3"/>
        <v>0</v>
      </c>
      <c r="Z38" s="305">
        <f t="shared" si="3"/>
        <v>0</v>
      </c>
      <c r="AA38" s="305">
        <f t="shared" si="3"/>
        <v>0</v>
      </c>
      <c r="AB38" s="305">
        <f t="shared" si="3"/>
        <v>0</v>
      </c>
      <c r="AC38" s="305">
        <f t="shared" si="3"/>
        <v>0</v>
      </c>
      <c r="AD38" s="305">
        <f t="shared" si="3"/>
        <v>0</v>
      </c>
      <c r="AE38" s="305">
        <f t="shared" si="3"/>
        <v>0</v>
      </c>
      <c r="AF38" s="305">
        <f t="shared" si="3"/>
        <v>0</v>
      </c>
      <c r="AG38" s="305">
        <f t="shared" si="3"/>
        <v>0</v>
      </c>
      <c r="AH38" s="305">
        <f t="shared" si="3"/>
        <v>0</v>
      </c>
      <c r="AI38" s="305">
        <f t="shared" si="3"/>
        <v>0</v>
      </c>
      <c r="AJ38" s="305">
        <f t="shared" si="3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19.5" thickBot="1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86" t="s">
        <v>117</v>
      </c>
      <c r="B40" s="287" t="s">
        <v>68</v>
      </c>
      <c r="C40" s="287" t="s">
        <v>69</v>
      </c>
      <c r="D40" s="288" t="s">
        <v>70</v>
      </c>
      <c r="E40" s="80" t="s">
        <v>86</v>
      </c>
      <c r="F40" s="49" t="s">
        <v>91</v>
      </c>
      <c r="G40" s="49" t="s">
        <v>245</v>
      </c>
      <c r="H40" s="49" t="s">
        <v>238</v>
      </c>
      <c r="I40" s="49" t="s">
        <v>90</v>
      </c>
      <c r="J40" s="49" t="s">
        <v>85</v>
      </c>
      <c r="K40" s="126" t="s">
        <v>123</v>
      </c>
      <c r="L40" s="79"/>
      <c r="M40" s="80" t="s">
        <v>95</v>
      </c>
      <c r="N40" s="49" t="s">
        <v>94</v>
      </c>
      <c r="O40" s="49" t="s">
        <v>190</v>
      </c>
      <c r="P40" s="49" t="s">
        <v>123</v>
      </c>
      <c r="Q40" s="49" t="s">
        <v>119</v>
      </c>
      <c r="R40" s="49" t="s">
        <v>101</v>
      </c>
      <c r="S40" s="49" t="s">
        <v>92</v>
      </c>
      <c r="T40" s="126" t="s">
        <v>124</v>
      </c>
      <c r="U40" s="79"/>
      <c r="V40" s="713">
        <f t="shared" ref="V40:AC40" si="4">V3</f>
        <v>0</v>
      </c>
      <c r="W40" s="714">
        <f t="shared" si="4"/>
        <v>0</v>
      </c>
      <c r="X40" s="104">
        <f t="shared" si="4"/>
        <v>0</v>
      </c>
      <c r="Y40" s="103">
        <f t="shared" si="4"/>
        <v>0</v>
      </c>
      <c r="Z40" s="104">
        <f t="shared" si="4"/>
        <v>0</v>
      </c>
      <c r="AA40" s="104" t="s">
        <v>76</v>
      </c>
      <c r="AB40" s="179">
        <f t="shared" si="4"/>
        <v>0</v>
      </c>
      <c r="AC40" s="717">
        <f t="shared" si="4"/>
        <v>0</v>
      </c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1" thickBot="1">
      <c r="A41" s="2663" t="s">
        <v>176</v>
      </c>
      <c r="B41" s="724"/>
      <c r="C41" s="725"/>
      <c r="D41" s="806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5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1180" t="s">
        <v>120</v>
      </c>
      <c r="B42" s="727"/>
      <c r="C42" s="728"/>
      <c r="D42" s="806"/>
      <c r="E42" s="319"/>
      <c r="F42" s="320"/>
      <c r="G42" s="320"/>
      <c r="H42" s="321"/>
      <c r="I42" s="321"/>
      <c r="J42" s="320"/>
      <c r="K42" s="351"/>
      <c r="L42" s="352"/>
      <c r="M42" s="353"/>
      <c r="N42" s="320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5"/>
        <v>0</v>
      </c>
      <c r="AF42" s="381"/>
      <c r="AG42" s="408"/>
      <c r="AH42" s="409">
        <f t="shared" ref="AH42:AH52" si="6">AE42+AF42</f>
        <v>0</v>
      </c>
      <c r="AI42" s="410"/>
      <c r="AJ42" s="411">
        <f>AH42+AI42</f>
        <v>0</v>
      </c>
    </row>
    <row r="43" spans="1:39" s="234" customFormat="1" ht="20.25">
      <c r="A43" s="1180" t="s">
        <v>120</v>
      </c>
      <c r="B43" s="729"/>
      <c r="C43" s="730"/>
      <c r="D43" s="807"/>
      <c r="E43" s="319"/>
      <c r="F43" s="320"/>
      <c r="G43" s="320"/>
      <c r="H43" s="321"/>
      <c r="I43" s="321"/>
      <c r="J43" s="320"/>
      <c r="K43" s="354"/>
      <c r="L43" s="352"/>
      <c r="M43" s="353"/>
      <c r="N43" s="321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5"/>
        <v>0</v>
      </c>
      <c r="AF43" s="381"/>
      <c r="AG43" s="408"/>
      <c r="AH43" s="409">
        <f t="shared" si="6"/>
        <v>0</v>
      </c>
      <c r="AI43" s="410"/>
      <c r="AJ43" s="411">
        <f>AH43+AI43</f>
        <v>0</v>
      </c>
    </row>
    <row r="44" spans="1:39" s="234" customFormat="1" ht="20.25">
      <c r="A44" s="1180" t="s">
        <v>120</v>
      </c>
      <c r="B44" s="729"/>
      <c r="C44" s="730"/>
      <c r="D44" s="807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5"/>
        <v>0</v>
      </c>
      <c r="AF44" s="381"/>
      <c r="AG44" s="408"/>
      <c r="AH44" s="409">
        <f t="shared" si="6"/>
        <v>0</v>
      </c>
      <c r="AI44" s="410"/>
      <c r="AJ44" s="411">
        <f>AH44+AI44</f>
        <v>0</v>
      </c>
    </row>
    <row r="45" spans="1:39" s="234" customFormat="1" ht="20.25">
      <c r="A45" s="1180" t="s">
        <v>120</v>
      </c>
      <c r="B45" s="729"/>
      <c r="C45" s="730"/>
      <c r="D45" s="807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5"/>
        <v>0</v>
      </c>
      <c r="AF45" s="381"/>
      <c r="AG45" s="408"/>
      <c r="AH45" s="409">
        <f t="shared" si="6"/>
        <v>0</v>
      </c>
      <c r="AI45" s="410"/>
      <c r="AJ45" s="411">
        <f t="shared" ref="AJ45:AJ52" si="7">AH45+AI45</f>
        <v>0</v>
      </c>
    </row>
    <row r="46" spans="1:39" s="234" customFormat="1" ht="20.25">
      <c r="A46" s="1180" t="s">
        <v>120</v>
      </c>
      <c r="B46" s="729"/>
      <c r="C46" s="730"/>
      <c r="D46" s="807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8">SUM(E46:AC46)</f>
        <v>0</v>
      </c>
      <c r="AF46" s="381"/>
      <c r="AG46" s="408"/>
      <c r="AH46" s="409">
        <f t="shared" si="6"/>
        <v>0</v>
      </c>
      <c r="AI46" s="410"/>
      <c r="AJ46" s="411">
        <f t="shared" si="7"/>
        <v>0</v>
      </c>
    </row>
    <row r="47" spans="1:39" s="234" customFormat="1" ht="20.25">
      <c r="A47" s="1180" t="s">
        <v>120</v>
      </c>
      <c r="B47" s="729"/>
      <c r="C47" s="730"/>
      <c r="D47" s="807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5"/>
        <v>0</v>
      </c>
      <c r="AF47" s="381"/>
      <c r="AG47" s="408"/>
      <c r="AH47" s="409">
        <f t="shared" si="6"/>
        <v>0</v>
      </c>
      <c r="AI47" s="410"/>
      <c r="AJ47" s="411">
        <f t="shared" si="7"/>
        <v>0</v>
      </c>
    </row>
    <row r="48" spans="1:39" s="234" customFormat="1" ht="20.25">
      <c r="A48" s="1180" t="s">
        <v>120</v>
      </c>
      <c r="B48" s="729"/>
      <c r="C48" s="730"/>
      <c r="D48" s="807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5"/>
        <v>0</v>
      </c>
      <c r="AF48" s="381"/>
      <c r="AG48" s="408"/>
      <c r="AH48" s="409">
        <f t="shared" si="6"/>
        <v>0</v>
      </c>
      <c r="AI48" s="410"/>
      <c r="AJ48" s="411">
        <f t="shared" si="7"/>
        <v>0</v>
      </c>
    </row>
    <row r="49" spans="1:39" s="234" customFormat="1" ht="20.25">
      <c r="A49" s="1180" t="s">
        <v>120</v>
      </c>
      <c r="B49" s="729"/>
      <c r="C49" s="730"/>
      <c r="D49" s="807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9">SUM(E49:AC49)</f>
        <v>0</v>
      </c>
      <c r="AF49" s="381"/>
      <c r="AG49" s="408"/>
      <c r="AH49" s="409">
        <f t="shared" si="6"/>
        <v>0</v>
      </c>
      <c r="AI49" s="410"/>
      <c r="AJ49" s="411">
        <f t="shared" si="7"/>
        <v>0</v>
      </c>
    </row>
    <row r="50" spans="1:39" s="234" customFormat="1" ht="20.25">
      <c r="A50" s="1180" t="s">
        <v>120</v>
      </c>
      <c r="B50" s="729"/>
      <c r="C50" s="730"/>
      <c r="D50" s="807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9"/>
        <v>0</v>
      </c>
      <c r="AF50" s="381"/>
      <c r="AG50" s="408"/>
      <c r="AH50" s="409">
        <f t="shared" si="6"/>
        <v>0</v>
      </c>
      <c r="AI50" s="410"/>
      <c r="AJ50" s="411">
        <f t="shared" si="7"/>
        <v>0</v>
      </c>
    </row>
    <row r="51" spans="1:39" s="234" customFormat="1" ht="21" thickBot="1">
      <c r="A51" s="1180" t="s">
        <v>120</v>
      </c>
      <c r="B51" s="729"/>
      <c r="C51" s="730"/>
      <c r="D51" s="807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5"/>
        <v>0</v>
      </c>
      <c r="AF51" s="381"/>
      <c r="AG51" s="408"/>
      <c r="AH51" s="409">
        <f t="shared" si="6"/>
        <v>0</v>
      </c>
      <c r="AI51" s="410"/>
      <c r="AJ51" s="411">
        <f t="shared" si="7"/>
        <v>0</v>
      </c>
    </row>
    <row r="52" spans="1:39" s="283" customFormat="1" ht="21" thickBot="1">
      <c r="A52" s="2582"/>
      <c r="B52" s="2564"/>
      <c r="C52" s="732"/>
      <c r="D52" s="808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10">SUM(E52:AC52)</f>
        <v>0</v>
      </c>
      <c r="AF52" s="377"/>
      <c r="AG52" s="390"/>
      <c r="AH52" s="391">
        <f t="shared" si="6"/>
        <v>0</v>
      </c>
      <c r="AI52" s="412"/>
      <c r="AJ52" s="413">
        <f t="shared" si="7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9.5" thickBot="1">
      <c r="A53" s="326" t="s">
        <v>177</v>
      </c>
      <c r="B53" s="327"/>
      <c r="C53" s="327"/>
      <c r="D53" s="809"/>
      <c r="E53" s="329">
        <f t="shared" ref="E53:K53" si="11">SUM(E41:E52)</f>
        <v>0</v>
      </c>
      <c r="F53" s="330">
        <f t="shared" si="11"/>
        <v>0</v>
      </c>
      <c r="G53" s="330">
        <f t="shared" si="11"/>
        <v>0</v>
      </c>
      <c r="H53" s="330">
        <f t="shared" si="11"/>
        <v>0</v>
      </c>
      <c r="I53" s="330">
        <f t="shared" si="11"/>
        <v>0</v>
      </c>
      <c r="J53" s="330">
        <f t="shared" si="11"/>
        <v>0</v>
      </c>
      <c r="K53" s="356">
        <f t="shared" si="11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12">SUM(Q41:Q52)</f>
        <v>0</v>
      </c>
      <c r="R53" s="359">
        <f t="shared" si="12"/>
        <v>0</v>
      </c>
      <c r="S53" s="359">
        <f t="shared" si="12"/>
        <v>0</v>
      </c>
      <c r="T53" s="369">
        <f t="shared" si="12"/>
        <v>0</v>
      </c>
      <c r="U53" s="357"/>
      <c r="V53" s="358">
        <f t="shared" ref="V53:AC53" si="13">SUM(V41:V52)</f>
        <v>0</v>
      </c>
      <c r="W53" s="359">
        <f t="shared" si="13"/>
        <v>0</v>
      </c>
      <c r="X53" s="359">
        <f t="shared" si="13"/>
        <v>0</v>
      </c>
      <c r="Y53" s="359">
        <f t="shared" si="13"/>
        <v>0</v>
      </c>
      <c r="Z53" s="359">
        <f t="shared" si="13"/>
        <v>0</v>
      </c>
      <c r="AA53" s="359">
        <f t="shared" si="13"/>
        <v>0</v>
      </c>
      <c r="AB53" s="359">
        <f t="shared" si="13"/>
        <v>0</v>
      </c>
      <c r="AC53" s="369">
        <f t="shared" si="13"/>
        <v>0</v>
      </c>
      <c r="AD53" s="357"/>
      <c r="AE53" s="382">
        <f>SUM(AE41:AE52)</f>
        <v>0</v>
      </c>
      <c r="AF53" s="382">
        <f>SUM(AF41:AF52)</f>
        <v>0</v>
      </c>
      <c r="AG53" s="416"/>
      <c r="AH53" s="417">
        <f t="shared" ref="AH53:AJ53" si="14">SUM(AH41:AH52)</f>
        <v>0</v>
      </c>
      <c r="AI53" s="382">
        <f t="shared" si="14"/>
        <v>0</v>
      </c>
      <c r="AJ53" s="418">
        <f t="shared" si="14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19.5" thickBot="1">
      <c r="A54" s="306"/>
      <c r="B54" s="307"/>
      <c r="C54" s="307"/>
      <c r="D54" s="810"/>
      <c r="E54" s="309"/>
      <c r="F54" s="309"/>
      <c r="G54" s="309"/>
      <c r="H54" s="309"/>
      <c r="I54" s="309"/>
      <c r="J54" s="309"/>
      <c r="K54" s="309"/>
      <c r="L54" s="346"/>
      <c r="M54" s="347"/>
      <c r="N54" s="347"/>
      <c r="O54" s="347"/>
      <c r="P54" s="347"/>
      <c r="Q54" s="347"/>
      <c r="R54" s="347"/>
      <c r="S54" s="347"/>
      <c r="T54" s="347"/>
      <c r="U54" s="346"/>
      <c r="V54" s="347"/>
      <c r="W54" s="347"/>
      <c r="X54" s="347"/>
      <c r="Y54" s="347"/>
      <c r="Z54" s="347"/>
      <c r="AA54" s="347"/>
      <c r="AB54" s="347"/>
      <c r="AC54" s="347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86" t="s">
        <v>122</v>
      </c>
      <c r="B55" s="287" t="s">
        <v>68</v>
      </c>
      <c r="C55" s="287" t="s">
        <v>69</v>
      </c>
      <c r="D55" s="811" t="s">
        <v>70</v>
      </c>
      <c r="E55" s="80" t="s">
        <v>86</v>
      </c>
      <c r="F55" s="49" t="s">
        <v>91</v>
      </c>
      <c r="G55" s="49" t="s">
        <v>245</v>
      </c>
      <c r="H55" s="49" t="s">
        <v>238</v>
      </c>
      <c r="I55" s="49" t="s">
        <v>90</v>
      </c>
      <c r="J55" s="49" t="s">
        <v>85</v>
      </c>
      <c r="K55" s="126" t="s">
        <v>123</v>
      </c>
      <c r="L55" s="79"/>
      <c r="M55" s="80" t="s">
        <v>95</v>
      </c>
      <c r="N55" s="49" t="s">
        <v>94</v>
      </c>
      <c r="O55" s="49" t="s">
        <v>190</v>
      </c>
      <c r="P55" s="49" t="s">
        <v>123</v>
      </c>
      <c r="Q55" s="49" t="s">
        <v>119</v>
      </c>
      <c r="R55" s="49" t="s">
        <v>101</v>
      </c>
      <c r="S55" s="49" t="s">
        <v>92</v>
      </c>
      <c r="T55" s="126" t="s">
        <v>124</v>
      </c>
      <c r="U55" s="79"/>
      <c r="V55" s="99"/>
      <c r="W55" s="716"/>
      <c r="X55" s="104"/>
      <c r="Y55" s="103"/>
      <c r="Z55" s="104"/>
      <c r="AA55" s="104" t="s">
        <v>76</v>
      </c>
      <c r="AB55" s="121"/>
      <c r="AC55" s="717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2663" t="s">
        <v>125</v>
      </c>
      <c r="B56" s="724"/>
      <c r="C56" s="725"/>
      <c r="D56" s="806"/>
      <c r="E56" s="313"/>
      <c r="F56" s="314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15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1180" t="s">
        <v>125</v>
      </c>
      <c r="B57" s="727"/>
      <c r="C57" s="728"/>
      <c r="D57" s="807"/>
      <c r="E57" s="319"/>
      <c r="F57" s="320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15"/>
        <v>0</v>
      </c>
      <c r="AF57" s="381"/>
      <c r="AG57" s="408"/>
      <c r="AH57" s="409">
        <f t="shared" ref="AH57:AH67" si="16">AE57+AF57</f>
        <v>0</v>
      </c>
      <c r="AI57" s="410"/>
      <c r="AJ57" s="411">
        <f>AH57+AI57</f>
        <v>0</v>
      </c>
    </row>
    <row r="58" spans="1:39" s="234" customFormat="1" ht="20.25">
      <c r="A58" s="1180" t="s">
        <v>125</v>
      </c>
      <c r="B58" s="729"/>
      <c r="C58" s="730"/>
      <c r="D58" s="807"/>
      <c r="E58" s="319"/>
      <c r="F58" s="320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5"/>
        <v>0</v>
      </c>
      <c r="AF58" s="381"/>
      <c r="AG58" s="408"/>
      <c r="AH58" s="409">
        <f t="shared" si="16"/>
        <v>0</v>
      </c>
      <c r="AI58" s="410"/>
      <c r="AJ58" s="411">
        <f>AH58+AI58</f>
        <v>0</v>
      </c>
    </row>
    <row r="59" spans="1:39" s="234" customFormat="1" ht="20.25">
      <c r="A59" s="1180" t="s">
        <v>125</v>
      </c>
      <c r="B59" s="729"/>
      <c r="C59" s="730"/>
      <c r="D59" s="807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15"/>
        <v>0</v>
      </c>
      <c r="AF59" s="381"/>
      <c r="AG59" s="408"/>
      <c r="AH59" s="409">
        <f t="shared" si="16"/>
        <v>0</v>
      </c>
      <c r="AI59" s="410"/>
      <c r="AJ59" s="411">
        <f>AH59+AI59</f>
        <v>0</v>
      </c>
    </row>
    <row r="60" spans="1:39" s="234" customFormat="1" ht="20.25">
      <c r="A60" s="1180" t="s">
        <v>125</v>
      </c>
      <c r="B60" s="729"/>
      <c r="C60" s="730"/>
      <c r="D60" s="807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67" si="17">SUM(E60:AC60)</f>
        <v>0</v>
      </c>
      <c r="AF60" s="381"/>
      <c r="AG60" s="408"/>
      <c r="AH60" s="409">
        <f t="shared" si="16"/>
        <v>0</v>
      </c>
      <c r="AI60" s="410"/>
      <c r="AJ60" s="411">
        <f t="shared" ref="AJ60:AJ67" si="18">AH60+AI60</f>
        <v>0</v>
      </c>
    </row>
    <row r="61" spans="1:39" s="234" customFormat="1" ht="20.25">
      <c r="A61" s="1180" t="s">
        <v>125</v>
      </c>
      <c r="B61" s="729"/>
      <c r="C61" s="730"/>
      <c r="D61" s="807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7"/>
        <v>0</v>
      </c>
      <c r="AF61" s="381"/>
      <c r="AG61" s="408"/>
      <c r="AH61" s="409">
        <f t="shared" si="16"/>
        <v>0</v>
      </c>
      <c r="AI61" s="410"/>
      <c r="AJ61" s="411">
        <f t="shared" si="18"/>
        <v>0</v>
      </c>
    </row>
    <row r="62" spans="1:39" s="234" customFormat="1" ht="20.25">
      <c r="A62" s="1180" t="s">
        <v>125</v>
      </c>
      <c r="B62" s="729"/>
      <c r="C62" s="730"/>
      <c r="D62" s="807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7"/>
        <v>0</v>
      </c>
      <c r="AF62" s="381"/>
      <c r="AG62" s="408"/>
      <c r="AH62" s="409">
        <f t="shared" si="16"/>
        <v>0</v>
      </c>
      <c r="AI62" s="410"/>
      <c r="AJ62" s="411">
        <f t="shared" si="18"/>
        <v>0</v>
      </c>
    </row>
    <row r="63" spans="1:39" s="234" customFormat="1" ht="20.25">
      <c r="A63" s="1180" t="s">
        <v>125</v>
      </c>
      <c r="B63" s="729"/>
      <c r="C63" s="730"/>
      <c r="D63" s="807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7"/>
        <v>0</v>
      </c>
      <c r="AF63" s="381"/>
      <c r="AG63" s="408"/>
      <c r="AH63" s="409">
        <f t="shared" si="16"/>
        <v>0</v>
      </c>
      <c r="AI63" s="410"/>
      <c r="AJ63" s="411">
        <f t="shared" si="18"/>
        <v>0</v>
      </c>
    </row>
    <row r="64" spans="1:39" s="234" customFormat="1" ht="20.25">
      <c r="A64" s="1180" t="s">
        <v>125</v>
      </c>
      <c r="B64" s="729"/>
      <c r="C64" s="730"/>
      <c r="D64" s="807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7"/>
        <v>0</v>
      </c>
      <c r="AF64" s="381"/>
      <c r="AG64" s="408"/>
      <c r="AH64" s="409">
        <f t="shared" si="16"/>
        <v>0</v>
      </c>
      <c r="AI64" s="410"/>
      <c r="AJ64" s="411">
        <f t="shared" si="18"/>
        <v>0</v>
      </c>
    </row>
    <row r="65" spans="1:39" s="234" customFormat="1" ht="20.25">
      <c r="A65" s="1180" t="s">
        <v>125</v>
      </c>
      <c r="B65" s="729"/>
      <c r="C65" s="730"/>
      <c r="D65" s="807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7"/>
        <v>0</v>
      </c>
      <c r="AF65" s="381"/>
      <c r="AG65" s="408"/>
      <c r="AH65" s="409">
        <f t="shared" si="16"/>
        <v>0</v>
      </c>
      <c r="AI65" s="410"/>
      <c r="AJ65" s="411">
        <f t="shared" si="18"/>
        <v>0</v>
      </c>
    </row>
    <row r="66" spans="1:39" s="234" customFormat="1" ht="21" thickBot="1">
      <c r="A66" s="1180" t="s">
        <v>125</v>
      </c>
      <c r="B66" s="729"/>
      <c r="C66" s="730"/>
      <c r="D66" s="807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7"/>
        <v>0</v>
      </c>
      <c r="AF66" s="381"/>
      <c r="AG66" s="408"/>
      <c r="AH66" s="409">
        <f t="shared" si="16"/>
        <v>0</v>
      </c>
      <c r="AI66" s="410"/>
      <c r="AJ66" s="411">
        <f t="shared" si="18"/>
        <v>0</v>
      </c>
    </row>
    <row r="67" spans="1:39" s="283" customFormat="1" ht="21" thickBot="1">
      <c r="A67" s="2582"/>
      <c r="B67" s="2564"/>
      <c r="C67" s="732"/>
      <c r="D67" s="808"/>
      <c r="E67" s="325"/>
      <c r="F67" s="297"/>
      <c r="G67" s="297"/>
      <c r="H67" s="298"/>
      <c r="I67" s="298"/>
      <c r="J67" s="297"/>
      <c r="K67" s="344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325"/>
      <c r="W67" s="297"/>
      <c r="X67" s="297"/>
      <c r="Y67" s="298"/>
      <c r="Z67" s="298"/>
      <c r="AA67" s="298"/>
      <c r="AB67" s="297"/>
      <c r="AC67" s="375"/>
      <c r="AD67" s="355"/>
      <c r="AE67" s="376">
        <f t="shared" si="17"/>
        <v>0</v>
      </c>
      <c r="AF67" s="377"/>
      <c r="AG67" s="390"/>
      <c r="AH67" s="391">
        <f t="shared" si="16"/>
        <v>0</v>
      </c>
      <c r="AI67" s="412"/>
      <c r="AJ67" s="413">
        <f t="shared" si="18"/>
        <v>0</v>
      </c>
      <c r="AK67" s="414" t="s">
        <v>8</v>
      </c>
      <c r="AL67" s="397" t="s">
        <v>23</v>
      </c>
      <c r="AM67" s="415" t="s">
        <v>174</v>
      </c>
    </row>
    <row r="68" spans="1:39" s="284" customFormat="1" ht="19.5" thickBot="1">
      <c r="A68" s="326" t="s">
        <v>126</v>
      </c>
      <c r="B68" s="327"/>
      <c r="C68" s="327"/>
      <c r="D68" s="809"/>
      <c r="E68" s="329">
        <f t="shared" ref="E68:K68" si="19">SUM(E56:E67)</f>
        <v>0</v>
      </c>
      <c r="F68" s="330">
        <f t="shared" si="19"/>
        <v>0</v>
      </c>
      <c r="G68" s="330">
        <f t="shared" si="19"/>
        <v>0</v>
      </c>
      <c r="H68" s="330">
        <f t="shared" si="19"/>
        <v>0</v>
      </c>
      <c r="I68" s="330">
        <f t="shared" si="19"/>
        <v>0</v>
      </c>
      <c r="J68" s="330">
        <f t="shared" si="19"/>
        <v>0</v>
      </c>
      <c r="K68" s="356">
        <f t="shared" si="19"/>
        <v>0</v>
      </c>
      <c r="L68" s="357"/>
      <c r="M68" s="358">
        <f>SUM(M56:M67)</f>
        <v>0</v>
      </c>
      <c r="N68" s="359">
        <f>SUM(N56:N67)</f>
        <v>0</v>
      </c>
      <c r="O68" s="359">
        <f>SUM(O56:O67)</f>
        <v>0</v>
      </c>
      <c r="P68" s="359">
        <f>SUM(P56:P67)</f>
        <v>0</v>
      </c>
      <c r="Q68" s="359">
        <f t="shared" ref="Q68:T68" si="20">SUM(Q56:Q67)</f>
        <v>0</v>
      </c>
      <c r="R68" s="359">
        <f t="shared" si="20"/>
        <v>0</v>
      </c>
      <c r="S68" s="359">
        <f t="shared" si="20"/>
        <v>0</v>
      </c>
      <c r="T68" s="369">
        <f t="shared" si="20"/>
        <v>0</v>
      </c>
      <c r="U68" s="357"/>
      <c r="V68" s="358">
        <f t="shared" ref="V68:AC68" si="21">SUM(V56:V67)</f>
        <v>0</v>
      </c>
      <c r="W68" s="359">
        <f t="shared" si="21"/>
        <v>0</v>
      </c>
      <c r="X68" s="359">
        <f t="shared" si="21"/>
        <v>0</v>
      </c>
      <c r="Y68" s="359">
        <f t="shared" si="21"/>
        <v>0</v>
      </c>
      <c r="Z68" s="359">
        <f t="shared" si="21"/>
        <v>0</v>
      </c>
      <c r="AA68" s="359">
        <f t="shared" si="21"/>
        <v>0</v>
      </c>
      <c r="AB68" s="359">
        <f t="shared" si="21"/>
        <v>0</v>
      </c>
      <c r="AC68" s="369">
        <f t="shared" si="21"/>
        <v>0</v>
      </c>
      <c r="AD68" s="357"/>
      <c r="AE68" s="382">
        <f>SUM(AE56:AE67)</f>
        <v>0</v>
      </c>
      <c r="AF68" s="382">
        <f>SUM(AF56:AF67)</f>
        <v>0</v>
      </c>
      <c r="AG68" s="416">
        <f t="shared" ref="AG68:AJ68" si="22">SUM(AG56:AG67)</f>
        <v>0</v>
      </c>
      <c r="AH68" s="417">
        <f t="shared" si="22"/>
        <v>0</v>
      </c>
      <c r="AI68" s="382">
        <f t="shared" si="22"/>
        <v>0</v>
      </c>
      <c r="AJ68" s="418">
        <f t="shared" si="22"/>
        <v>0</v>
      </c>
      <c r="AK68" s="399">
        <f>'BIG CHAIR'!CL91</f>
        <v>0</v>
      </c>
      <c r="AL68" s="400">
        <f>'Tea Table'!X181</f>
        <v>0</v>
      </c>
      <c r="AM68" s="401">
        <f>AH68+AK68+AL68</f>
        <v>0</v>
      </c>
    </row>
    <row r="69" spans="1:39" ht="24" thickBot="1">
      <c r="A69" s="286" t="s">
        <v>127</v>
      </c>
      <c r="B69" s="287" t="s">
        <v>68</v>
      </c>
      <c r="C69" s="287" t="s">
        <v>69</v>
      </c>
      <c r="D69" s="288" t="s">
        <v>70</v>
      </c>
      <c r="E69" s="80" t="s">
        <v>86</v>
      </c>
      <c r="F69" s="49" t="s">
        <v>91</v>
      </c>
      <c r="G69" s="49" t="s">
        <v>245</v>
      </c>
      <c r="H69" s="49" t="s">
        <v>238</v>
      </c>
      <c r="I69" s="49" t="s">
        <v>90</v>
      </c>
      <c r="J69" s="49" t="s">
        <v>85</v>
      </c>
      <c r="K69" s="126" t="s">
        <v>123</v>
      </c>
      <c r="L69" s="79"/>
      <c r="M69" s="80" t="s">
        <v>95</v>
      </c>
      <c r="N69" s="49" t="s">
        <v>94</v>
      </c>
      <c r="O69" s="49" t="s">
        <v>190</v>
      </c>
      <c r="P69" s="49" t="s">
        <v>123</v>
      </c>
      <c r="Q69" s="49" t="s">
        <v>119</v>
      </c>
      <c r="R69" s="49" t="s">
        <v>101</v>
      </c>
      <c r="S69" s="49" t="s">
        <v>92</v>
      </c>
      <c r="T69" s="126" t="s">
        <v>124</v>
      </c>
      <c r="U69" s="79"/>
      <c r="V69" s="99"/>
      <c r="W69" s="716"/>
      <c r="X69" s="104"/>
      <c r="Y69" s="103"/>
      <c r="Z69" s="104"/>
      <c r="AA69" s="104" t="s">
        <v>76</v>
      </c>
      <c r="AB69" s="121"/>
      <c r="AC69" s="717"/>
      <c r="AD69" s="370"/>
      <c r="AE69" s="371" t="s">
        <v>172</v>
      </c>
      <c r="AF69" s="372" t="s">
        <v>80</v>
      </c>
      <c r="AG69" s="385"/>
      <c r="AH69" s="386" t="s">
        <v>106</v>
      </c>
      <c r="AI69" s="385" t="s">
        <v>173</v>
      </c>
      <c r="AJ69" s="371" t="s">
        <v>108</v>
      </c>
      <c r="AK69" s="282"/>
      <c r="AL69" s="282"/>
      <c r="AM69" s="282"/>
    </row>
    <row r="70" spans="1:39" ht="21" thickBot="1">
      <c r="A70" s="3135" t="s">
        <v>128</v>
      </c>
      <c r="B70" s="724"/>
      <c r="C70" s="2665"/>
      <c r="D70" s="331"/>
      <c r="E70" s="313"/>
      <c r="F70" s="314"/>
      <c r="G70" s="314"/>
      <c r="H70" s="315"/>
      <c r="I70" s="315"/>
      <c r="J70" s="314"/>
      <c r="K70" s="477"/>
      <c r="L70" s="349"/>
      <c r="M70" s="350"/>
      <c r="N70" s="315"/>
      <c r="O70" s="315"/>
      <c r="P70" s="315"/>
      <c r="Q70" s="315"/>
      <c r="R70" s="315"/>
      <c r="S70" s="315"/>
      <c r="T70" s="348"/>
      <c r="U70" s="349"/>
      <c r="V70" s="350"/>
      <c r="W70" s="315"/>
      <c r="X70" s="315"/>
      <c r="Y70" s="315"/>
      <c r="Z70" s="315"/>
      <c r="AA70" s="315"/>
      <c r="AB70" s="315"/>
      <c r="AC70" s="378"/>
      <c r="AD70" s="349"/>
      <c r="AE70" s="379">
        <f t="shared" ref="AE70:AE73" si="23">SUM(E70:AC70)</f>
        <v>0</v>
      </c>
      <c r="AF70" s="379"/>
      <c r="AG70" s="404"/>
      <c r="AH70" s="405">
        <f>AE70+AF70</f>
        <v>0</v>
      </c>
      <c r="AI70" s="406"/>
      <c r="AJ70" s="407">
        <f>AH70+AI70</f>
        <v>0</v>
      </c>
      <c r="AK70" s="234"/>
      <c r="AL70" s="234"/>
      <c r="AM70" s="234"/>
    </row>
    <row r="71" spans="1:39" ht="20.25">
      <c r="A71" s="2667" t="s">
        <v>128</v>
      </c>
      <c r="B71" s="727"/>
      <c r="C71" s="728"/>
      <c r="D71" s="312"/>
      <c r="E71" s="319"/>
      <c r="F71" s="320"/>
      <c r="G71" s="320"/>
      <c r="H71" s="321"/>
      <c r="I71" s="321"/>
      <c r="J71" s="320"/>
      <c r="K71" s="351"/>
      <c r="L71" s="352"/>
      <c r="M71" s="353"/>
      <c r="N71" s="320"/>
      <c r="O71" s="320"/>
      <c r="P71" s="321"/>
      <c r="Q71" s="321"/>
      <c r="R71" s="321"/>
      <c r="S71" s="320"/>
      <c r="T71" s="351"/>
      <c r="U71" s="352"/>
      <c r="V71" s="353"/>
      <c r="W71" s="321"/>
      <c r="X71" s="321"/>
      <c r="Y71" s="321"/>
      <c r="Z71" s="321"/>
      <c r="AA71" s="321"/>
      <c r="AB71" s="321"/>
      <c r="AC71" s="380"/>
      <c r="AD71" s="352"/>
      <c r="AE71" s="381">
        <f t="shared" si="23"/>
        <v>0</v>
      </c>
      <c r="AF71" s="381"/>
      <c r="AG71" s="408"/>
      <c r="AH71" s="409">
        <f t="shared" ref="AH71:AH81" si="24">AE71+AF71</f>
        <v>0</v>
      </c>
      <c r="AI71" s="406"/>
      <c r="AJ71" s="411">
        <f>AH71+AI71</f>
        <v>0</v>
      </c>
      <c r="AK71" s="234"/>
      <c r="AL71" s="234"/>
      <c r="AM71" s="234"/>
    </row>
    <row r="72" spans="1:39" ht="20.25">
      <c r="A72" s="2667" t="s">
        <v>128</v>
      </c>
      <c r="B72" s="729"/>
      <c r="C72" s="730"/>
      <c r="D72" s="318"/>
      <c r="E72" s="319"/>
      <c r="F72" s="320"/>
      <c r="G72" s="320"/>
      <c r="H72" s="321"/>
      <c r="I72" s="321"/>
      <c r="J72" s="320"/>
      <c r="K72" s="354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/>
      <c r="X72" s="320"/>
      <c r="Y72" s="321"/>
      <c r="Z72" s="321"/>
      <c r="AA72" s="321"/>
      <c r="AB72" s="320"/>
      <c r="AC72" s="380"/>
      <c r="AD72" s="352"/>
      <c r="AE72" s="381">
        <f t="shared" si="23"/>
        <v>0</v>
      </c>
      <c r="AF72" s="381"/>
      <c r="AG72" s="408"/>
      <c r="AH72" s="409">
        <f t="shared" si="24"/>
        <v>0</v>
      </c>
      <c r="AI72" s="410"/>
      <c r="AJ72" s="411">
        <f>AH72+AI72</f>
        <v>0</v>
      </c>
      <c r="AK72" s="234"/>
      <c r="AL72" s="234"/>
      <c r="AM72" s="234"/>
    </row>
    <row r="73" spans="1:39" ht="20.25">
      <c r="A73" s="2667" t="s">
        <v>128</v>
      </c>
      <c r="B73" s="729"/>
      <c r="C73" s="730"/>
      <c r="D73" s="318"/>
      <c r="E73" s="319"/>
      <c r="F73" s="320"/>
      <c r="G73" s="320"/>
      <c r="H73" s="321"/>
      <c r="I73" s="321"/>
      <c r="J73" s="320"/>
      <c r="K73" s="354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23"/>
        <v>0</v>
      </c>
      <c r="AF73" s="381"/>
      <c r="AG73" s="408"/>
      <c r="AH73" s="409">
        <f t="shared" si="24"/>
        <v>0</v>
      </c>
      <c r="AI73" s="410"/>
      <c r="AJ73" s="411">
        <f>AH73+AI73</f>
        <v>0</v>
      </c>
      <c r="AK73" s="234"/>
      <c r="AL73" s="234"/>
      <c r="AM73" s="234"/>
    </row>
    <row r="74" spans="1:39" ht="20.25">
      <c r="A74" s="2667" t="s">
        <v>128</v>
      </c>
      <c r="B74" s="729"/>
      <c r="C74" s="730"/>
      <c r="D74" s="318"/>
      <c r="E74" s="319"/>
      <c r="F74" s="320"/>
      <c r="G74" s="320"/>
      <c r="H74" s="321"/>
      <c r="I74" s="321"/>
      <c r="J74" s="320"/>
      <c r="K74" s="354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ref="AE74:AE81" si="25">SUM(E74:AC74)</f>
        <v>0</v>
      </c>
      <c r="AF74" s="381"/>
      <c r="AG74" s="408"/>
      <c r="AH74" s="409">
        <f t="shared" si="24"/>
        <v>0</v>
      </c>
      <c r="AI74" s="410"/>
      <c r="AJ74" s="411">
        <f t="shared" ref="AJ74:AJ81" si="26">AH74+AI74</f>
        <v>0</v>
      </c>
      <c r="AK74" s="234"/>
      <c r="AL74" s="234"/>
      <c r="AM74" s="234"/>
    </row>
    <row r="75" spans="1:39" ht="20.25">
      <c r="A75" s="2667" t="s">
        <v>128</v>
      </c>
      <c r="B75" s="729"/>
      <c r="C75" s="730"/>
      <c r="D75" s="318"/>
      <c r="E75" s="319"/>
      <c r="F75" s="320"/>
      <c r="G75" s="320"/>
      <c r="H75" s="321"/>
      <c r="I75" s="321"/>
      <c r="J75" s="320"/>
      <c r="K75" s="354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25"/>
        <v>0</v>
      </c>
      <c r="AF75" s="381"/>
      <c r="AG75" s="408"/>
      <c r="AH75" s="409">
        <f t="shared" si="24"/>
        <v>0</v>
      </c>
      <c r="AI75" s="410"/>
      <c r="AJ75" s="411">
        <f t="shared" si="26"/>
        <v>0</v>
      </c>
      <c r="AK75" s="234"/>
      <c r="AL75" s="234"/>
      <c r="AM75" s="234"/>
    </row>
    <row r="76" spans="1:39" ht="20.25">
      <c r="A76" s="2667" t="s">
        <v>128</v>
      </c>
      <c r="B76" s="729"/>
      <c r="C76" s="730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5"/>
        <v>0</v>
      </c>
      <c r="AF76" s="381"/>
      <c r="AG76" s="408"/>
      <c r="AH76" s="409">
        <f t="shared" si="24"/>
        <v>0</v>
      </c>
      <c r="AI76" s="410"/>
      <c r="AJ76" s="411">
        <f t="shared" si="26"/>
        <v>0</v>
      </c>
      <c r="AK76" s="234"/>
      <c r="AL76" s="234"/>
      <c r="AM76" s="234"/>
    </row>
    <row r="77" spans="1:39" ht="20.25">
      <c r="A77" s="2667" t="s">
        <v>128</v>
      </c>
      <c r="B77" s="729"/>
      <c r="C77" s="730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5"/>
        <v>0</v>
      </c>
      <c r="AF77" s="381"/>
      <c r="AG77" s="408"/>
      <c r="AH77" s="409">
        <f t="shared" si="24"/>
        <v>0</v>
      </c>
      <c r="AI77" s="410"/>
      <c r="AJ77" s="411">
        <f t="shared" si="26"/>
        <v>0</v>
      </c>
      <c r="AK77" s="234"/>
      <c r="AL77" s="234"/>
      <c r="AM77" s="234"/>
    </row>
    <row r="78" spans="1:39" ht="20.25">
      <c r="A78" s="2667" t="s">
        <v>128</v>
      </c>
      <c r="B78" s="729"/>
      <c r="C78" s="730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25"/>
        <v>0</v>
      </c>
      <c r="AF78" s="381"/>
      <c r="AG78" s="408"/>
      <c r="AH78" s="409">
        <f t="shared" si="24"/>
        <v>0</v>
      </c>
      <c r="AI78" s="410"/>
      <c r="AJ78" s="411">
        <f t="shared" si="26"/>
        <v>0</v>
      </c>
      <c r="AK78" s="234"/>
      <c r="AL78" s="234"/>
      <c r="AM78" s="234"/>
    </row>
    <row r="79" spans="1:39" ht="20.25">
      <c r="A79" s="2667" t="s">
        <v>128</v>
      </c>
      <c r="B79" s="729"/>
      <c r="C79" s="730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5"/>
        <v>0</v>
      </c>
      <c r="AF79" s="381"/>
      <c r="AG79" s="408"/>
      <c r="AH79" s="409">
        <f t="shared" si="24"/>
        <v>0</v>
      </c>
      <c r="AI79" s="410"/>
      <c r="AJ79" s="411">
        <f t="shared" si="26"/>
        <v>0</v>
      </c>
      <c r="AK79" s="234"/>
      <c r="AL79" s="234"/>
      <c r="AM79" s="234"/>
    </row>
    <row r="80" spans="1:39" ht="21" thickBot="1">
      <c r="A80" s="2667" t="s">
        <v>128</v>
      </c>
      <c r="B80" s="729"/>
      <c r="C80" s="730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25"/>
        <v>0</v>
      </c>
      <c r="AF80" s="381"/>
      <c r="AG80" s="408"/>
      <c r="AH80" s="409">
        <f t="shared" si="24"/>
        <v>0</v>
      </c>
      <c r="AI80" s="410"/>
      <c r="AJ80" s="411">
        <f t="shared" si="26"/>
        <v>0</v>
      </c>
      <c r="AK80" s="234"/>
      <c r="AL80" s="234"/>
      <c r="AM80" s="234"/>
    </row>
    <row r="81" spans="1:39" ht="21" thickBot="1">
      <c r="A81" s="2582"/>
      <c r="B81" s="2564"/>
      <c r="C81" s="732"/>
      <c r="D81" s="324"/>
      <c r="E81" s="325"/>
      <c r="F81" s="297"/>
      <c r="G81" s="297"/>
      <c r="H81" s="298"/>
      <c r="I81" s="298"/>
      <c r="J81" s="297"/>
      <c r="K81" s="344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25"/>
        <v>0</v>
      </c>
      <c r="AF81" s="377"/>
      <c r="AG81" s="390"/>
      <c r="AH81" s="391">
        <f t="shared" si="24"/>
        <v>0</v>
      </c>
      <c r="AI81" s="412"/>
      <c r="AJ81" s="413">
        <f t="shared" si="26"/>
        <v>0</v>
      </c>
      <c r="AK81" s="414" t="s">
        <v>8</v>
      </c>
      <c r="AL81" s="397" t="s">
        <v>23</v>
      </c>
      <c r="AM81" s="415" t="s">
        <v>174</v>
      </c>
    </row>
    <row r="82" spans="1:39" ht="19.5" thickBot="1">
      <c r="A82" s="326" t="s">
        <v>129</v>
      </c>
      <c r="B82" s="327"/>
      <c r="C82" s="327"/>
      <c r="D82" s="328"/>
      <c r="E82" s="329">
        <f>SUM(E70:E81)</f>
        <v>0</v>
      </c>
      <c r="F82" s="329">
        <f t="shared" ref="F82:AJ82" si="27">SUM(F70:F81)</f>
        <v>0</v>
      </c>
      <c r="G82" s="329">
        <f t="shared" si="27"/>
        <v>0</v>
      </c>
      <c r="H82" s="329">
        <f t="shared" si="27"/>
        <v>0</v>
      </c>
      <c r="I82" s="329">
        <f t="shared" si="27"/>
        <v>0</v>
      </c>
      <c r="J82" s="329">
        <f t="shared" si="27"/>
        <v>0</v>
      </c>
      <c r="K82" s="329">
        <f t="shared" si="27"/>
        <v>0</v>
      </c>
      <c r="L82" s="329"/>
      <c r="M82" s="329">
        <f t="shared" si="27"/>
        <v>0</v>
      </c>
      <c r="N82" s="329">
        <f t="shared" si="27"/>
        <v>0</v>
      </c>
      <c r="O82" s="329">
        <f t="shared" si="27"/>
        <v>0</v>
      </c>
      <c r="P82" s="329">
        <f t="shared" si="27"/>
        <v>0</v>
      </c>
      <c r="Q82" s="329">
        <f t="shared" si="27"/>
        <v>0</v>
      </c>
      <c r="R82" s="329">
        <f t="shared" si="27"/>
        <v>0</v>
      </c>
      <c r="S82" s="329">
        <f t="shared" si="27"/>
        <v>0</v>
      </c>
      <c r="T82" s="329">
        <f t="shared" si="27"/>
        <v>0</v>
      </c>
      <c r="U82" s="329"/>
      <c r="V82" s="329">
        <f t="shared" si="27"/>
        <v>0</v>
      </c>
      <c r="W82" s="329">
        <f t="shared" si="27"/>
        <v>0</v>
      </c>
      <c r="X82" s="329">
        <f t="shared" si="27"/>
        <v>0</v>
      </c>
      <c r="Y82" s="329">
        <f t="shared" si="27"/>
        <v>0</v>
      </c>
      <c r="Z82" s="329">
        <f t="shared" si="27"/>
        <v>0</v>
      </c>
      <c r="AA82" s="329">
        <f t="shared" si="27"/>
        <v>0</v>
      </c>
      <c r="AB82" s="329">
        <f t="shared" si="27"/>
        <v>0</v>
      </c>
      <c r="AC82" s="329">
        <f t="shared" si="27"/>
        <v>0</v>
      </c>
      <c r="AD82" s="329">
        <f t="shared" si="27"/>
        <v>0</v>
      </c>
      <c r="AE82" s="329">
        <f t="shared" si="27"/>
        <v>0</v>
      </c>
      <c r="AF82" s="329">
        <f t="shared" si="27"/>
        <v>0</v>
      </c>
      <c r="AG82" s="329"/>
      <c r="AH82" s="329">
        <f t="shared" si="27"/>
        <v>0</v>
      </c>
      <c r="AI82" s="329">
        <f t="shared" si="27"/>
        <v>0</v>
      </c>
      <c r="AJ82" s="329">
        <f t="shared" si="27"/>
        <v>0</v>
      </c>
      <c r="AK82" s="399">
        <f>'BIG CHAIR'!CL105</f>
        <v>0</v>
      </c>
      <c r="AL82" s="400">
        <f>'Tea Table'!X195</f>
        <v>0</v>
      </c>
      <c r="AM82" s="401">
        <f>AH82+AK82+AL82</f>
        <v>0</v>
      </c>
    </row>
    <row r="83" spans="1:39" ht="24" thickBot="1">
      <c r="A83" s="286" t="s">
        <v>130</v>
      </c>
      <c r="B83" s="287" t="s">
        <v>68</v>
      </c>
      <c r="C83" s="287" t="s">
        <v>69</v>
      </c>
      <c r="D83" s="288" t="s">
        <v>70</v>
      </c>
      <c r="E83" s="80" t="s">
        <v>86</v>
      </c>
      <c r="F83" s="49" t="s">
        <v>91</v>
      </c>
      <c r="G83" s="49" t="s">
        <v>245</v>
      </c>
      <c r="H83" s="49" t="s">
        <v>238</v>
      </c>
      <c r="I83" s="49" t="s">
        <v>90</v>
      </c>
      <c r="J83" s="49" t="s">
        <v>85</v>
      </c>
      <c r="K83" s="126" t="s">
        <v>123</v>
      </c>
      <c r="L83" s="79"/>
      <c r="M83" s="80" t="s">
        <v>95</v>
      </c>
      <c r="N83" s="49" t="s">
        <v>94</v>
      </c>
      <c r="O83" s="49" t="s">
        <v>190</v>
      </c>
      <c r="P83" s="49" t="s">
        <v>123</v>
      </c>
      <c r="Q83" s="49" t="s">
        <v>119</v>
      </c>
      <c r="R83" s="49" t="s">
        <v>101</v>
      </c>
      <c r="S83" s="49" t="s">
        <v>92</v>
      </c>
      <c r="T83" s="126" t="s">
        <v>124</v>
      </c>
      <c r="U83" s="79"/>
      <c r="V83" s="99"/>
      <c r="W83" s="716"/>
      <c r="X83" s="104"/>
      <c r="Y83" s="103"/>
      <c r="Z83" s="104"/>
      <c r="AA83" s="104" t="s">
        <v>76</v>
      </c>
      <c r="AB83" s="121"/>
      <c r="AC83" s="717"/>
      <c r="AD83" s="370"/>
      <c r="AE83" s="371" t="s">
        <v>172</v>
      </c>
      <c r="AF83" s="372" t="s">
        <v>80</v>
      </c>
      <c r="AG83" s="385"/>
      <c r="AH83" s="386" t="s">
        <v>106</v>
      </c>
      <c r="AI83" s="385" t="s">
        <v>173</v>
      </c>
      <c r="AJ83" s="371" t="s">
        <v>108</v>
      </c>
      <c r="AK83" s="282"/>
      <c r="AL83" s="282"/>
      <c r="AM83" s="282"/>
    </row>
    <row r="84" spans="1:39" ht="21" thickBot="1">
      <c r="A84" s="3135" t="s">
        <v>131</v>
      </c>
      <c r="B84" s="724"/>
      <c r="C84" s="2665"/>
      <c r="D84" s="331"/>
      <c r="E84" s="313"/>
      <c r="F84" s="314"/>
      <c r="G84" s="314"/>
      <c r="H84" s="315"/>
      <c r="I84" s="315"/>
      <c r="J84" s="314"/>
      <c r="K84" s="477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ref="AE84:AE87" si="28">SUM(E84:AC84)</f>
        <v>0</v>
      </c>
      <c r="AF84" s="379"/>
      <c r="AG84" s="404"/>
      <c r="AH84" s="405">
        <f>AE84+AF84</f>
        <v>0</v>
      </c>
      <c r="AI84" s="406"/>
      <c r="AJ84" s="407">
        <f>AH84+AI84</f>
        <v>0</v>
      </c>
      <c r="AK84" s="234"/>
      <c r="AL84" s="234"/>
      <c r="AM84" s="234"/>
    </row>
    <row r="85" spans="1:39" ht="20.25">
      <c r="A85" s="3135" t="s">
        <v>131</v>
      </c>
      <c r="B85" s="727"/>
      <c r="C85" s="728"/>
      <c r="D85" s="312"/>
      <c r="E85" s="319"/>
      <c r="F85" s="320"/>
      <c r="G85" s="320"/>
      <c r="H85" s="321"/>
      <c r="I85" s="321"/>
      <c r="J85" s="320"/>
      <c r="K85" s="351"/>
      <c r="L85" s="352"/>
      <c r="M85" s="353"/>
      <c r="N85" s="320"/>
      <c r="O85" s="320"/>
      <c r="P85" s="321"/>
      <c r="Q85" s="321"/>
      <c r="R85" s="321"/>
      <c r="S85" s="320"/>
      <c r="T85" s="351"/>
      <c r="U85" s="352"/>
      <c r="V85" s="353"/>
      <c r="W85" s="321"/>
      <c r="X85" s="321"/>
      <c r="Y85" s="321"/>
      <c r="Z85" s="321"/>
      <c r="AA85" s="321"/>
      <c r="AB85" s="321"/>
      <c r="AC85" s="380"/>
      <c r="AD85" s="352"/>
      <c r="AE85" s="381">
        <f t="shared" si="28"/>
        <v>0</v>
      </c>
      <c r="AF85" s="381"/>
      <c r="AG85" s="408"/>
      <c r="AH85" s="409">
        <f t="shared" ref="AH85:AH95" si="29">AE85+AF85</f>
        <v>0</v>
      </c>
      <c r="AI85" s="406"/>
      <c r="AJ85" s="411">
        <f>AH85+AI85</f>
        <v>0</v>
      </c>
      <c r="AK85" s="234"/>
      <c r="AL85" s="234"/>
      <c r="AM85" s="234"/>
    </row>
    <row r="86" spans="1:39" ht="20.25">
      <c r="A86" s="3135" t="s">
        <v>131</v>
      </c>
      <c r="B86" s="729"/>
      <c r="C86" s="730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28"/>
        <v>0</v>
      </c>
      <c r="AF86" s="381"/>
      <c r="AG86" s="408"/>
      <c r="AH86" s="409">
        <f t="shared" si="29"/>
        <v>0</v>
      </c>
      <c r="AI86" s="410"/>
      <c r="AJ86" s="411">
        <f>AH86+AI86</f>
        <v>0</v>
      </c>
      <c r="AK86" s="234"/>
      <c r="AL86" s="234"/>
      <c r="AM86" s="234"/>
    </row>
    <row r="87" spans="1:39" ht="20.25">
      <c r="A87" s="3135" t="s">
        <v>131</v>
      </c>
      <c r="B87" s="729"/>
      <c r="C87" s="730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28"/>
        <v>0</v>
      </c>
      <c r="AF87" s="381"/>
      <c r="AG87" s="408"/>
      <c r="AH87" s="409">
        <f t="shared" si="29"/>
        <v>0</v>
      </c>
      <c r="AI87" s="410"/>
      <c r="AJ87" s="411">
        <f>AH87+AI87</f>
        <v>0</v>
      </c>
      <c r="AK87" s="234"/>
      <c r="AL87" s="234"/>
      <c r="AM87" s="234"/>
    </row>
    <row r="88" spans="1:39" ht="20.25">
      <c r="A88" s="3135" t="s">
        <v>131</v>
      </c>
      <c r="B88" s="729"/>
      <c r="C88" s="730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ref="AE88:AE95" si="30">SUM(E88:AC88)</f>
        <v>0</v>
      </c>
      <c r="AF88" s="381"/>
      <c r="AG88" s="408"/>
      <c r="AH88" s="409">
        <f t="shared" si="29"/>
        <v>0</v>
      </c>
      <c r="AI88" s="410"/>
      <c r="AJ88" s="411">
        <f t="shared" ref="AJ88:AJ95" si="31">AH88+AI88</f>
        <v>0</v>
      </c>
      <c r="AK88" s="234"/>
      <c r="AL88" s="234"/>
      <c r="AM88" s="234"/>
    </row>
    <row r="89" spans="1:39" ht="20.25">
      <c r="A89" s="3135" t="s">
        <v>131</v>
      </c>
      <c r="B89" s="729"/>
      <c r="C89" s="730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30"/>
        <v>0</v>
      </c>
      <c r="AF89" s="381"/>
      <c r="AG89" s="408"/>
      <c r="AH89" s="409">
        <f t="shared" si="29"/>
        <v>0</v>
      </c>
      <c r="AI89" s="410"/>
      <c r="AJ89" s="411">
        <f t="shared" si="31"/>
        <v>0</v>
      </c>
      <c r="AK89" s="234"/>
      <c r="AL89" s="234"/>
      <c r="AM89" s="234"/>
    </row>
    <row r="90" spans="1:39" ht="20.25">
      <c r="A90" s="3135" t="s">
        <v>131</v>
      </c>
      <c r="B90" s="729"/>
      <c r="C90" s="730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30"/>
        <v>0</v>
      </c>
      <c r="AF90" s="381"/>
      <c r="AG90" s="408"/>
      <c r="AH90" s="409">
        <f t="shared" si="29"/>
        <v>0</v>
      </c>
      <c r="AI90" s="410"/>
      <c r="AJ90" s="411">
        <f t="shared" si="31"/>
        <v>0</v>
      </c>
      <c r="AK90" s="234"/>
      <c r="AL90" s="234"/>
      <c r="AM90" s="234"/>
    </row>
    <row r="91" spans="1:39" ht="20.25">
      <c r="A91" s="3135" t="s">
        <v>131</v>
      </c>
      <c r="B91" s="729"/>
      <c r="C91" s="730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30"/>
        <v>0</v>
      </c>
      <c r="AF91" s="381"/>
      <c r="AG91" s="408"/>
      <c r="AH91" s="409">
        <f t="shared" si="29"/>
        <v>0</v>
      </c>
      <c r="AI91" s="410"/>
      <c r="AJ91" s="411">
        <f t="shared" si="31"/>
        <v>0</v>
      </c>
      <c r="AK91" s="234"/>
      <c r="AL91" s="234"/>
      <c r="AM91" s="234"/>
    </row>
    <row r="92" spans="1:39" ht="20.25">
      <c r="A92" s="3135" t="s">
        <v>131</v>
      </c>
      <c r="B92" s="729"/>
      <c r="C92" s="730"/>
      <c r="D92" s="318"/>
      <c r="E92" s="319"/>
      <c r="F92" s="320"/>
      <c r="G92" s="320"/>
      <c r="H92" s="321"/>
      <c r="I92" s="321"/>
      <c r="J92" s="320"/>
      <c r="K92" s="354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30"/>
        <v>0</v>
      </c>
      <c r="AF92" s="381"/>
      <c r="AG92" s="408"/>
      <c r="AH92" s="409">
        <f t="shared" si="29"/>
        <v>0</v>
      </c>
      <c r="AI92" s="410"/>
      <c r="AJ92" s="411">
        <f t="shared" si="31"/>
        <v>0</v>
      </c>
      <c r="AK92" s="234"/>
      <c r="AL92" s="234"/>
      <c r="AM92" s="234"/>
    </row>
    <row r="93" spans="1:39" ht="20.25">
      <c r="A93" s="3135" t="s">
        <v>131</v>
      </c>
      <c r="B93" s="729"/>
      <c r="C93" s="730"/>
      <c r="D93" s="318"/>
      <c r="E93" s="319"/>
      <c r="F93" s="320"/>
      <c r="G93" s="320"/>
      <c r="H93" s="321"/>
      <c r="I93" s="321"/>
      <c r="J93" s="320"/>
      <c r="K93" s="354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30"/>
        <v>0</v>
      </c>
      <c r="AF93" s="381"/>
      <c r="AG93" s="408"/>
      <c r="AH93" s="409">
        <f t="shared" si="29"/>
        <v>0</v>
      </c>
      <c r="AI93" s="410"/>
      <c r="AJ93" s="411">
        <f t="shared" si="31"/>
        <v>0</v>
      </c>
      <c r="AK93" s="234"/>
      <c r="AL93" s="234"/>
      <c r="AM93" s="234"/>
    </row>
    <row r="94" spans="1:39" ht="21" thickBot="1">
      <c r="A94" s="3135" t="s">
        <v>131</v>
      </c>
      <c r="B94" s="729"/>
      <c r="C94" s="730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30"/>
        <v>0</v>
      </c>
      <c r="AF94" s="381"/>
      <c r="AG94" s="408"/>
      <c r="AH94" s="409">
        <f t="shared" si="29"/>
        <v>0</v>
      </c>
      <c r="AI94" s="410"/>
      <c r="AJ94" s="411">
        <f t="shared" si="31"/>
        <v>0</v>
      </c>
      <c r="AK94" s="234"/>
      <c r="AL94" s="234"/>
      <c r="AM94" s="234"/>
    </row>
    <row r="95" spans="1:39" ht="21" thickBot="1">
      <c r="A95" s="3135" t="s">
        <v>131</v>
      </c>
      <c r="B95" s="2564"/>
      <c r="C95" s="732"/>
      <c r="D95" s="324"/>
      <c r="E95" s="325"/>
      <c r="F95" s="297"/>
      <c r="G95" s="297"/>
      <c r="H95" s="298"/>
      <c r="I95" s="298"/>
      <c r="J95" s="297"/>
      <c r="K95" s="344"/>
      <c r="L95" s="355"/>
      <c r="M95" s="343"/>
      <c r="N95" s="298"/>
      <c r="O95" s="298"/>
      <c r="P95" s="298"/>
      <c r="Q95" s="298"/>
      <c r="R95" s="298"/>
      <c r="S95" s="298"/>
      <c r="T95" s="367"/>
      <c r="U95" s="355"/>
      <c r="V95" s="325"/>
      <c r="W95" s="297"/>
      <c r="X95" s="297"/>
      <c r="Y95" s="298"/>
      <c r="Z95" s="298"/>
      <c r="AA95" s="298"/>
      <c r="AB95" s="297"/>
      <c r="AC95" s="375"/>
      <c r="AD95" s="355"/>
      <c r="AE95" s="376">
        <f t="shared" si="30"/>
        <v>0</v>
      </c>
      <c r="AF95" s="377"/>
      <c r="AG95" s="390"/>
      <c r="AH95" s="391">
        <f t="shared" si="29"/>
        <v>0</v>
      </c>
      <c r="AI95" s="412"/>
      <c r="AJ95" s="413">
        <f t="shared" si="31"/>
        <v>0</v>
      </c>
      <c r="AK95" s="414" t="s">
        <v>8</v>
      </c>
      <c r="AL95" s="397" t="s">
        <v>23</v>
      </c>
      <c r="AM95" s="415" t="s">
        <v>174</v>
      </c>
    </row>
    <row r="96" spans="1:39" ht="19.5" thickBot="1">
      <c r="A96" s="326" t="s">
        <v>132</v>
      </c>
      <c r="B96" s="327"/>
      <c r="C96" s="327"/>
      <c r="D96" s="328"/>
      <c r="E96" s="329">
        <f>SUM(E84:E95)</f>
        <v>0</v>
      </c>
      <c r="F96" s="329">
        <f t="shared" ref="F96:K96" si="32">SUM(F84:F95)</f>
        <v>0</v>
      </c>
      <c r="G96" s="329">
        <f t="shared" si="32"/>
        <v>0</v>
      </c>
      <c r="H96" s="329">
        <f t="shared" si="32"/>
        <v>0</v>
      </c>
      <c r="I96" s="329">
        <f t="shared" si="32"/>
        <v>0</v>
      </c>
      <c r="J96" s="329">
        <f t="shared" si="32"/>
        <v>0</v>
      </c>
      <c r="K96" s="329">
        <f t="shared" si="32"/>
        <v>0</v>
      </c>
      <c r="L96" s="329"/>
      <c r="M96" s="329">
        <f t="shared" ref="M96:T96" si="33">SUM(M84:M95)</f>
        <v>0</v>
      </c>
      <c r="N96" s="329">
        <f t="shared" si="33"/>
        <v>0</v>
      </c>
      <c r="O96" s="329">
        <f t="shared" si="33"/>
        <v>0</v>
      </c>
      <c r="P96" s="329">
        <f t="shared" si="33"/>
        <v>0</v>
      </c>
      <c r="Q96" s="329">
        <f t="shared" si="33"/>
        <v>0</v>
      </c>
      <c r="R96" s="329">
        <f t="shared" si="33"/>
        <v>0</v>
      </c>
      <c r="S96" s="329">
        <f t="shared" si="33"/>
        <v>0</v>
      </c>
      <c r="T96" s="329">
        <f t="shared" si="33"/>
        <v>0</v>
      </c>
      <c r="U96" s="329"/>
      <c r="V96" s="329">
        <f t="shared" ref="V96:AF96" si="34">SUM(V84:V95)</f>
        <v>0</v>
      </c>
      <c r="W96" s="329">
        <f t="shared" si="34"/>
        <v>0</v>
      </c>
      <c r="X96" s="329">
        <f t="shared" si="34"/>
        <v>0</v>
      </c>
      <c r="Y96" s="329">
        <f t="shared" si="34"/>
        <v>0</v>
      </c>
      <c r="Z96" s="329">
        <f t="shared" si="34"/>
        <v>0</v>
      </c>
      <c r="AA96" s="329">
        <f t="shared" si="34"/>
        <v>0</v>
      </c>
      <c r="AB96" s="329">
        <f t="shared" si="34"/>
        <v>0</v>
      </c>
      <c r="AC96" s="329">
        <f t="shared" si="34"/>
        <v>0</v>
      </c>
      <c r="AD96" s="329">
        <f t="shared" si="34"/>
        <v>0</v>
      </c>
      <c r="AE96" s="329">
        <f t="shared" si="34"/>
        <v>0</v>
      </c>
      <c r="AF96" s="329">
        <f t="shared" si="34"/>
        <v>0</v>
      </c>
      <c r="AG96" s="329"/>
      <c r="AH96" s="329">
        <f t="shared" ref="AH96:AJ96" si="35">SUM(AH84:AH95)</f>
        <v>0</v>
      </c>
      <c r="AI96" s="329">
        <f t="shared" si="35"/>
        <v>0</v>
      </c>
      <c r="AJ96" s="329">
        <f t="shared" si="35"/>
        <v>0</v>
      </c>
      <c r="AK96" s="399">
        <f>'BIG CHAIR'!CL119</f>
        <v>0</v>
      </c>
      <c r="AL96" s="400">
        <f>'Tea Table'!X209</f>
        <v>144</v>
      </c>
      <c r="AM96" s="401">
        <f>AH96+AK96+AL96</f>
        <v>144</v>
      </c>
    </row>
    <row r="97" spans="1:39" ht="24" thickBot="1">
      <c r="A97" s="721" t="s">
        <v>393</v>
      </c>
      <c r="B97" s="722" t="s">
        <v>68</v>
      </c>
      <c r="C97" s="287" t="s">
        <v>69</v>
      </c>
      <c r="D97" s="288" t="s">
        <v>70</v>
      </c>
      <c r="E97" s="80" t="s">
        <v>86</v>
      </c>
      <c r="F97" s="49" t="s">
        <v>91</v>
      </c>
      <c r="G97" s="49" t="s">
        <v>245</v>
      </c>
      <c r="H97" s="49" t="s">
        <v>238</v>
      </c>
      <c r="I97" s="49" t="s">
        <v>90</v>
      </c>
      <c r="J97" s="49" t="s">
        <v>85</v>
      </c>
      <c r="K97" s="126" t="s">
        <v>123</v>
      </c>
      <c r="L97" s="79"/>
      <c r="M97" s="80" t="s">
        <v>95</v>
      </c>
      <c r="N97" s="49" t="s">
        <v>94</v>
      </c>
      <c r="O97" s="49" t="s">
        <v>190</v>
      </c>
      <c r="P97" s="49" t="s">
        <v>123</v>
      </c>
      <c r="Q97" s="49" t="s">
        <v>119</v>
      </c>
      <c r="R97" s="49" t="s">
        <v>101</v>
      </c>
      <c r="S97" s="49" t="s">
        <v>92</v>
      </c>
      <c r="T97" s="126" t="s">
        <v>124</v>
      </c>
      <c r="U97" s="79"/>
      <c r="V97" s="99"/>
      <c r="W97" s="716"/>
      <c r="X97" s="104"/>
      <c r="Y97" s="103"/>
      <c r="Z97" s="104"/>
      <c r="AA97" s="104" t="s">
        <v>76</v>
      </c>
      <c r="AB97" s="121"/>
      <c r="AC97" s="717"/>
      <c r="AD97" s="370"/>
      <c r="AE97" s="371" t="s">
        <v>172</v>
      </c>
      <c r="AF97" s="372" t="s">
        <v>80</v>
      </c>
      <c r="AG97" s="385"/>
      <c r="AH97" s="386" t="s">
        <v>106</v>
      </c>
      <c r="AI97" s="385" t="s">
        <v>173</v>
      </c>
      <c r="AJ97" s="371" t="s">
        <v>108</v>
      </c>
      <c r="AK97" s="282"/>
      <c r="AL97" s="282"/>
      <c r="AM97" s="282"/>
    </row>
    <row r="98" spans="1:39" ht="20.25">
      <c r="A98" s="3135" t="s">
        <v>392</v>
      </c>
      <c r="B98" s="724"/>
      <c r="C98" s="725"/>
      <c r="D98" s="312"/>
      <c r="E98" s="313"/>
      <c r="F98" s="314"/>
      <c r="G98" s="314"/>
      <c r="H98" s="315"/>
      <c r="I98" s="315"/>
      <c r="J98" s="314"/>
      <c r="K98" s="477"/>
      <c r="L98" s="349"/>
      <c r="M98" s="350"/>
      <c r="N98" s="315"/>
      <c r="O98" s="315"/>
      <c r="P98" s="315"/>
      <c r="Q98" s="315"/>
      <c r="R98" s="315"/>
      <c r="S98" s="315"/>
      <c r="T98" s="348"/>
      <c r="U98" s="349"/>
      <c r="V98" s="350"/>
      <c r="W98" s="315"/>
      <c r="X98" s="315"/>
      <c r="Y98" s="315"/>
      <c r="Z98" s="315"/>
      <c r="AA98" s="315"/>
      <c r="AB98" s="315"/>
      <c r="AC98" s="378"/>
      <c r="AD98" s="349"/>
      <c r="AE98" s="379">
        <f t="shared" ref="AE98:AE101" si="36">SUM(E98:AC98)</f>
        <v>0</v>
      </c>
      <c r="AF98" s="379"/>
      <c r="AG98" s="404"/>
      <c r="AH98" s="405">
        <f>AE98+AF98</f>
        <v>0</v>
      </c>
      <c r="AI98" s="406"/>
      <c r="AJ98" s="407">
        <f>AH98+AI98</f>
        <v>0</v>
      </c>
      <c r="AK98" s="234"/>
      <c r="AL98" s="234"/>
      <c r="AM98" s="234"/>
    </row>
    <row r="99" spans="1:39" ht="20.25">
      <c r="A99" s="2667" t="s">
        <v>392</v>
      </c>
      <c r="B99" s="727"/>
      <c r="C99" s="728"/>
      <c r="D99" s="318"/>
      <c r="E99" s="319"/>
      <c r="F99" s="320"/>
      <c r="G99" s="320"/>
      <c r="H99" s="321"/>
      <c r="I99" s="321"/>
      <c r="J99" s="320"/>
      <c r="K99" s="351"/>
      <c r="L99" s="352"/>
      <c r="M99" s="353"/>
      <c r="N99" s="320"/>
      <c r="O99" s="320"/>
      <c r="P99" s="321"/>
      <c r="Q99" s="321"/>
      <c r="R99" s="321"/>
      <c r="S99" s="320"/>
      <c r="T99" s="351"/>
      <c r="U99" s="352"/>
      <c r="V99" s="353"/>
      <c r="W99" s="321"/>
      <c r="X99" s="321"/>
      <c r="Y99" s="321"/>
      <c r="Z99" s="321"/>
      <c r="AA99" s="321"/>
      <c r="AB99" s="321"/>
      <c r="AC99" s="380"/>
      <c r="AD99" s="352"/>
      <c r="AE99" s="381">
        <f t="shared" si="36"/>
        <v>0</v>
      </c>
      <c r="AF99" s="381"/>
      <c r="AG99" s="408"/>
      <c r="AH99" s="409">
        <f t="shared" ref="AH99:AH109" si="37">AE99+AF99</f>
        <v>0</v>
      </c>
      <c r="AI99" s="410"/>
      <c r="AJ99" s="411">
        <f>AH99+AI99</f>
        <v>0</v>
      </c>
      <c r="AK99" s="234"/>
      <c r="AL99" s="234"/>
      <c r="AM99" s="234"/>
    </row>
    <row r="100" spans="1:39" ht="20.25">
      <c r="A100" s="2667" t="s">
        <v>392</v>
      </c>
      <c r="B100" s="729"/>
      <c r="C100" s="730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36"/>
        <v>0</v>
      </c>
      <c r="AF100" s="381"/>
      <c r="AG100" s="408"/>
      <c r="AH100" s="409">
        <f t="shared" si="37"/>
        <v>0</v>
      </c>
      <c r="AI100" s="410"/>
      <c r="AJ100" s="411">
        <f>AH100+AI100</f>
        <v>0</v>
      </c>
      <c r="AK100" s="234"/>
      <c r="AL100" s="234"/>
      <c r="AM100" s="234"/>
    </row>
    <row r="101" spans="1:39" ht="20.25">
      <c r="A101" s="2667" t="s">
        <v>392</v>
      </c>
      <c r="B101" s="729"/>
      <c r="C101" s="730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36"/>
        <v>0</v>
      </c>
      <c r="AF101" s="381"/>
      <c r="AG101" s="408"/>
      <c r="AH101" s="409">
        <f t="shared" si="37"/>
        <v>0</v>
      </c>
      <c r="AI101" s="410"/>
      <c r="AJ101" s="411">
        <f>AH101+AI101</f>
        <v>0</v>
      </c>
      <c r="AK101" s="234"/>
      <c r="AL101" s="234"/>
      <c r="AM101" s="234"/>
    </row>
    <row r="102" spans="1:39" ht="20.25">
      <c r="A102" s="2667" t="s">
        <v>392</v>
      </c>
      <c r="B102" s="729"/>
      <c r="C102" s="730"/>
      <c r="D102" s="318"/>
      <c r="E102" s="319"/>
      <c r="F102" s="320"/>
      <c r="G102" s="320"/>
      <c r="H102" s="321"/>
      <c r="I102" s="321"/>
      <c r="J102" s="320"/>
      <c r="K102" s="816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ref="AE102:AE109" si="38">SUM(E102:AC102)</f>
        <v>0</v>
      </c>
      <c r="AF102" s="381"/>
      <c r="AG102" s="408"/>
      <c r="AH102" s="409">
        <f t="shared" si="37"/>
        <v>0</v>
      </c>
      <c r="AI102" s="410"/>
      <c r="AJ102" s="411">
        <f t="shared" ref="AJ102:AJ109" si="39">AH102+AI102</f>
        <v>0</v>
      </c>
      <c r="AK102" s="234"/>
      <c r="AL102" s="234"/>
      <c r="AM102" s="234"/>
    </row>
    <row r="103" spans="1:39" ht="20.25">
      <c r="A103" s="2667" t="s">
        <v>392</v>
      </c>
      <c r="B103" s="729"/>
      <c r="C103" s="730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38"/>
        <v>0</v>
      </c>
      <c r="AF103" s="381"/>
      <c r="AG103" s="408"/>
      <c r="AH103" s="409">
        <f t="shared" si="37"/>
        <v>0</v>
      </c>
      <c r="AI103" s="410"/>
      <c r="AJ103" s="411">
        <f t="shared" si="39"/>
        <v>0</v>
      </c>
      <c r="AK103" s="234"/>
      <c r="AL103" s="234"/>
      <c r="AM103" s="234"/>
    </row>
    <row r="104" spans="1:39" ht="20.25">
      <c r="A104" s="2667" t="s">
        <v>392</v>
      </c>
      <c r="B104" s="729"/>
      <c r="C104" s="730"/>
      <c r="D104" s="318"/>
      <c r="E104" s="319"/>
      <c r="F104" s="320"/>
      <c r="G104" s="320"/>
      <c r="H104" s="321"/>
      <c r="I104" s="321"/>
      <c r="J104" s="320"/>
      <c r="K104" s="354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38"/>
        <v>0</v>
      </c>
      <c r="AF104" s="381"/>
      <c r="AG104" s="408"/>
      <c r="AH104" s="409">
        <f t="shared" si="37"/>
        <v>0</v>
      </c>
      <c r="AI104" s="410"/>
      <c r="AJ104" s="411">
        <f t="shared" si="39"/>
        <v>0</v>
      </c>
      <c r="AK104" s="234"/>
      <c r="AL104" s="234"/>
      <c r="AM104" s="234"/>
    </row>
    <row r="105" spans="1:39" ht="20.25">
      <c r="A105" s="2667" t="s">
        <v>392</v>
      </c>
      <c r="B105" s="729"/>
      <c r="C105" s="730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38"/>
        <v>0</v>
      </c>
      <c r="AF105" s="381"/>
      <c r="AG105" s="408"/>
      <c r="AH105" s="409">
        <f t="shared" si="37"/>
        <v>0</v>
      </c>
      <c r="AI105" s="410"/>
      <c r="AJ105" s="411">
        <f t="shared" si="39"/>
        <v>0</v>
      </c>
      <c r="AK105" s="234"/>
      <c r="AL105" s="234"/>
      <c r="AM105" s="234"/>
    </row>
    <row r="106" spans="1:39" ht="20.25">
      <c r="A106" s="2667" t="s">
        <v>392</v>
      </c>
      <c r="B106" s="729"/>
      <c r="C106" s="730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38"/>
        <v>0</v>
      </c>
      <c r="AF106" s="381"/>
      <c r="AG106" s="408"/>
      <c r="AH106" s="409">
        <f t="shared" si="37"/>
        <v>0</v>
      </c>
      <c r="AI106" s="410"/>
      <c r="AJ106" s="411">
        <f t="shared" si="39"/>
        <v>0</v>
      </c>
      <c r="AK106" s="234"/>
      <c r="AL106" s="234"/>
      <c r="AM106" s="234"/>
    </row>
    <row r="107" spans="1:39" ht="20.25">
      <c r="A107" s="2667" t="s">
        <v>392</v>
      </c>
      <c r="B107" s="729"/>
      <c r="C107" s="730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38"/>
        <v>0</v>
      </c>
      <c r="AF107" s="381"/>
      <c r="AG107" s="408"/>
      <c r="AH107" s="409">
        <f t="shared" si="37"/>
        <v>0</v>
      </c>
      <c r="AI107" s="410"/>
      <c r="AJ107" s="411">
        <f t="shared" si="39"/>
        <v>0</v>
      </c>
      <c r="AK107" s="234"/>
      <c r="AL107" s="234"/>
      <c r="AM107" s="234"/>
    </row>
    <row r="108" spans="1:39" ht="21" thickBot="1">
      <c r="A108" s="2667" t="s">
        <v>392</v>
      </c>
      <c r="B108" s="729"/>
      <c r="C108" s="730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38"/>
        <v>0</v>
      </c>
      <c r="AF108" s="381"/>
      <c r="AG108" s="408"/>
      <c r="AH108" s="409">
        <f t="shared" si="37"/>
        <v>0</v>
      </c>
      <c r="AI108" s="410"/>
      <c r="AJ108" s="411">
        <f t="shared" si="39"/>
        <v>0</v>
      </c>
      <c r="AK108" s="234"/>
      <c r="AL108" s="234"/>
      <c r="AM108" s="234"/>
    </row>
    <row r="109" spans="1:39" ht="21" thickBot="1">
      <c r="A109" s="2667" t="s">
        <v>392</v>
      </c>
      <c r="B109" s="2564"/>
      <c r="C109" s="732"/>
      <c r="D109" s="324"/>
      <c r="E109" s="325"/>
      <c r="F109" s="297"/>
      <c r="G109" s="297"/>
      <c r="H109" s="298"/>
      <c r="I109" s="298"/>
      <c r="J109" s="297"/>
      <c r="K109" s="344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si="38"/>
        <v>0</v>
      </c>
      <c r="AF109" s="377"/>
      <c r="AG109" s="390"/>
      <c r="AH109" s="391">
        <f t="shared" si="37"/>
        <v>0</v>
      </c>
      <c r="AI109" s="412"/>
      <c r="AJ109" s="413">
        <f t="shared" si="39"/>
        <v>0</v>
      </c>
      <c r="AK109" s="414" t="s">
        <v>8</v>
      </c>
      <c r="AL109" s="397" t="s">
        <v>23</v>
      </c>
      <c r="AM109" s="415" t="s">
        <v>174</v>
      </c>
    </row>
    <row r="110" spans="1:39" ht="19.5" thickBot="1">
      <c r="A110" s="326" t="s">
        <v>426</v>
      </c>
      <c r="B110" s="327"/>
      <c r="C110" s="327"/>
      <c r="D110" s="328"/>
      <c r="E110" s="329">
        <f>SUM(E98:E109)</f>
        <v>0</v>
      </c>
      <c r="F110" s="329">
        <f>SUM(F98:F109)</f>
        <v>0</v>
      </c>
      <c r="G110" s="329">
        <f t="shared" ref="G110:AJ110" si="40">SUM(G98:G109)</f>
        <v>0</v>
      </c>
      <c r="H110" s="329">
        <f t="shared" si="40"/>
        <v>0</v>
      </c>
      <c r="I110" s="329">
        <f t="shared" si="40"/>
        <v>0</v>
      </c>
      <c r="J110" s="329">
        <f t="shared" si="40"/>
        <v>0</v>
      </c>
      <c r="K110" s="329">
        <f t="shared" si="40"/>
        <v>0</v>
      </c>
      <c r="L110" s="329"/>
      <c r="M110" s="329">
        <f t="shared" si="40"/>
        <v>0</v>
      </c>
      <c r="N110" s="329">
        <f t="shared" si="40"/>
        <v>0</v>
      </c>
      <c r="O110" s="329">
        <f t="shared" si="40"/>
        <v>0</v>
      </c>
      <c r="P110" s="329">
        <f t="shared" si="40"/>
        <v>0</v>
      </c>
      <c r="Q110" s="329">
        <f t="shared" si="40"/>
        <v>0</v>
      </c>
      <c r="R110" s="329">
        <f t="shared" si="40"/>
        <v>0</v>
      </c>
      <c r="S110" s="329">
        <f t="shared" si="40"/>
        <v>0</v>
      </c>
      <c r="T110" s="329">
        <f t="shared" si="40"/>
        <v>0</v>
      </c>
      <c r="U110" s="329"/>
      <c r="V110" s="329">
        <f t="shared" si="40"/>
        <v>0</v>
      </c>
      <c r="W110" s="329">
        <f t="shared" si="40"/>
        <v>0</v>
      </c>
      <c r="X110" s="329">
        <f t="shared" si="40"/>
        <v>0</v>
      </c>
      <c r="Y110" s="329">
        <f t="shared" si="40"/>
        <v>0</v>
      </c>
      <c r="Z110" s="329">
        <f t="shared" si="40"/>
        <v>0</v>
      </c>
      <c r="AA110" s="329">
        <f t="shared" si="40"/>
        <v>0</v>
      </c>
      <c r="AB110" s="329">
        <f t="shared" si="40"/>
        <v>0</v>
      </c>
      <c r="AC110" s="329">
        <f t="shared" si="40"/>
        <v>0</v>
      </c>
      <c r="AD110" s="329">
        <f t="shared" si="40"/>
        <v>0</v>
      </c>
      <c r="AE110" s="329">
        <f t="shared" si="40"/>
        <v>0</v>
      </c>
      <c r="AF110" s="329">
        <f t="shared" si="40"/>
        <v>0</v>
      </c>
      <c r="AG110" s="329"/>
      <c r="AH110" s="329">
        <f t="shared" si="40"/>
        <v>0</v>
      </c>
      <c r="AI110" s="329">
        <f t="shared" si="40"/>
        <v>0</v>
      </c>
      <c r="AJ110" s="329">
        <f t="shared" si="40"/>
        <v>0</v>
      </c>
      <c r="AK110" s="399">
        <f>'BIG CHAIR'!CL119</f>
        <v>0</v>
      </c>
      <c r="AL110" s="400">
        <f>'Tea Table'!X207</f>
        <v>120</v>
      </c>
      <c r="AM110" s="401">
        <f>AH110+AK110+AL110</f>
        <v>120</v>
      </c>
    </row>
    <row r="112" spans="1:39" s="284" customFormat="1" ht="18.75" customHeight="1" thickBot="1">
      <c r="A112" s="425"/>
      <c r="B112" s="426"/>
      <c r="C112" s="426"/>
      <c r="D112" s="427"/>
      <c r="E112" s="428"/>
      <c r="F112" s="428"/>
      <c r="G112" s="428"/>
      <c r="H112" s="428"/>
      <c r="I112" s="428"/>
      <c r="J112" s="428"/>
      <c r="K112" s="428"/>
      <c r="L112" s="478"/>
      <c r="M112" s="479"/>
      <c r="N112" s="479"/>
      <c r="O112" s="479"/>
      <c r="P112" s="479"/>
      <c r="Q112" s="479"/>
      <c r="R112" s="479"/>
      <c r="S112" s="479"/>
      <c r="T112" s="479"/>
      <c r="U112" s="478"/>
      <c r="V112" s="479"/>
      <c r="W112" s="479"/>
      <c r="X112" s="479"/>
      <c r="Y112" s="479"/>
      <c r="Z112" s="479"/>
      <c r="AA112" s="479"/>
      <c r="AB112" s="479"/>
      <c r="AC112" s="479"/>
      <c r="AD112" s="478"/>
      <c r="AE112" s="479"/>
      <c r="AF112" s="479"/>
      <c r="AG112" s="479"/>
      <c r="AH112" s="479"/>
      <c r="AI112" s="479"/>
      <c r="AJ112" s="506"/>
      <c r="AK112" s="403"/>
      <c r="AL112" s="403"/>
      <c r="AM112" s="403"/>
    </row>
    <row r="113" spans="1:39" s="282" customFormat="1" ht="16.5" thickBot="1">
      <c r="A113" s="429" t="s">
        <v>179</v>
      </c>
      <c r="B113" s="287" t="s">
        <v>68</v>
      </c>
      <c r="C113" s="287" t="s">
        <v>69</v>
      </c>
      <c r="D113" s="288" t="s">
        <v>70</v>
      </c>
      <c r="E113" s="80" t="s">
        <v>86</v>
      </c>
      <c r="F113" s="49" t="s">
        <v>91</v>
      </c>
      <c r="G113" s="49" t="s">
        <v>245</v>
      </c>
      <c r="H113" s="49" t="s">
        <v>238</v>
      </c>
      <c r="I113" s="49" t="s">
        <v>90</v>
      </c>
      <c r="J113" s="49" t="s">
        <v>85</v>
      </c>
      <c r="K113" s="126" t="s">
        <v>123</v>
      </c>
      <c r="L113" s="79"/>
      <c r="M113" s="80" t="s">
        <v>95</v>
      </c>
      <c r="N113" s="49" t="s">
        <v>94</v>
      </c>
      <c r="O113" s="49" t="s">
        <v>190</v>
      </c>
      <c r="P113" s="49" t="s">
        <v>123</v>
      </c>
      <c r="Q113" s="49" t="s">
        <v>119</v>
      </c>
      <c r="R113" s="49" t="s">
        <v>101</v>
      </c>
      <c r="S113" s="49" t="s">
        <v>92</v>
      </c>
      <c r="T113" s="126" t="s">
        <v>124</v>
      </c>
      <c r="U113" s="79"/>
      <c r="V113" s="745">
        <f t="shared" ref="V113:AA113" si="41">V40</f>
        <v>0</v>
      </c>
      <c r="W113" s="746">
        <f t="shared" si="41"/>
        <v>0</v>
      </c>
      <c r="X113" s="102">
        <f t="shared" si="41"/>
        <v>0</v>
      </c>
      <c r="Y113" s="747">
        <f t="shared" si="41"/>
        <v>0</v>
      </c>
      <c r="Z113" s="744">
        <f t="shared" si="41"/>
        <v>0</v>
      </c>
      <c r="AA113" s="101" t="str">
        <f t="shared" si="41"/>
        <v>P.Silver</v>
      </c>
      <c r="AB113" s="748">
        <f>AB3</f>
        <v>0</v>
      </c>
      <c r="AC113" s="717">
        <f>AC3</f>
        <v>0</v>
      </c>
      <c r="AD113" s="79"/>
      <c r="AE113" s="371" t="s">
        <v>172</v>
      </c>
      <c r="AF113" s="372" t="s">
        <v>80</v>
      </c>
      <c r="AG113" s="385"/>
      <c r="AH113" s="386" t="s">
        <v>106</v>
      </c>
      <c r="AI113" s="385" t="s">
        <v>173</v>
      </c>
      <c r="AJ113" s="371" t="s">
        <v>108</v>
      </c>
    </row>
    <row r="114" spans="1:39" s="283" customFormat="1" ht="20.25">
      <c r="A114" s="294"/>
      <c r="B114" s="3212"/>
      <c r="C114" s="3213"/>
      <c r="D114" s="3214"/>
      <c r="E114" s="325"/>
      <c r="F114" s="297"/>
      <c r="G114" s="297"/>
      <c r="H114" s="298"/>
      <c r="I114" s="298"/>
      <c r="J114" s="297"/>
      <c r="K114" s="344"/>
      <c r="L114" s="355"/>
      <c r="M114" s="484"/>
      <c r="N114" s="435"/>
      <c r="O114" s="435"/>
      <c r="P114" s="435"/>
      <c r="Q114" s="435"/>
      <c r="R114" s="435"/>
      <c r="S114" s="435"/>
      <c r="T114" s="492"/>
      <c r="U114" s="355"/>
      <c r="V114" s="325"/>
      <c r="W114" s="297"/>
      <c r="X114" s="297"/>
      <c r="Y114" s="298"/>
      <c r="Z114" s="298"/>
      <c r="AA114" s="298"/>
      <c r="AB114" s="297"/>
      <c r="AC114" s="375"/>
      <c r="AD114" s="355"/>
      <c r="AE114" s="377">
        <f t="shared" ref="AE114:AE116" si="42">SUM(E114:AC114)</f>
        <v>0</v>
      </c>
      <c r="AF114" s="377"/>
      <c r="AG114" s="390"/>
      <c r="AH114" s="507">
        <f t="shared" ref="AH114:AH118" si="43">AE114+AF114</f>
        <v>0</v>
      </c>
      <c r="AI114" s="412"/>
      <c r="AJ114" s="508">
        <f>AH114+AI114</f>
        <v>0</v>
      </c>
    </row>
    <row r="115" spans="1:39" s="283" customFormat="1" ht="20.25">
      <c r="A115" s="294"/>
      <c r="B115" s="2622"/>
      <c r="C115" s="3213"/>
      <c r="D115" s="2617"/>
      <c r="E115" s="325"/>
      <c r="F115" s="297"/>
      <c r="G115" s="297"/>
      <c r="H115" s="298"/>
      <c r="I115" s="298"/>
      <c r="J115" s="297"/>
      <c r="K115" s="344"/>
      <c r="L115" s="355"/>
      <c r="M115" s="343"/>
      <c r="N115" s="298"/>
      <c r="O115" s="298"/>
      <c r="P115" s="298"/>
      <c r="Q115" s="298"/>
      <c r="R115" s="298"/>
      <c r="S115" s="298"/>
      <c r="T115" s="367"/>
      <c r="U115" s="355"/>
      <c r="V115" s="325"/>
      <c r="W115" s="297"/>
      <c r="X115" s="297"/>
      <c r="Y115" s="298"/>
      <c r="Z115" s="298"/>
      <c r="AA115" s="298"/>
      <c r="AB115" s="297"/>
      <c r="AC115" s="375"/>
      <c r="AD115" s="355"/>
      <c r="AE115" s="377">
        <f t="shared" ref="AE115" si="44">SUM(E115:AC115)</f>
        <v>0</v>
      </c>
      <c r="AF115" s="377"/>
      <c r="AG115" s="390"/>
      <c r="AH115" s="507">
        <f t="shared" si="43"/>
        <v>0</v>
      </c>
      <c r="AI115" s="412"/>
      <c r="AJ115" s="508">
        <f>AH115+AI115</f>
        <v>0</v>
      </c>
    </row>
    <row r="116" spans="1:39" s="283" customFormat="1" ht="20.25">
      <c r="A116" s="2582"/>
      <c r="B116" s="731"/>
      <c r="C116" s="732"/>
      <c r="D116" s="324"/>
      <c r="E116" s="325"/>
      <c r="F116" s="297"/>
      <c r="G116" s="297"/>
      <c r="H116" s="298"/>
      <c r="I116" s="298"/>
      <c r="J116" s="297"/>
      <c r="K116" s="344"/>
      <c r="L116" s="355"/>
      <c r="M116" s="343"/>
      <c r="N116" s="298"/>
      <c r="O116" s="298"/>
      <c r="P116" s="298"/>
      <c r="Q116" s="298"/>
      <c r="R116" s="298"/>
      <c r="S116" s="298"/>
      <c r="T116" s="367"/>
      <c r="U116" s="355"/>
      <c r="V116" s="325"/>
      <c r="W116" s="297"/>
      <c r="X116" s="297"/>
      <c r="Y116" s="298"/>
      <c r="Z116" s="298"/>
      <c r="AA116" s="298"/>
      <c r="AB116" s="297"/>
      <c r="AC116" s="375"/>
      <c r="AD116" s="355"/>
      <c r="AE116" s="377">
        <f t="shared" si="42"/>
        <v>0</v>
      </c>
      <c r="AF116" s="377"/>
      <c r="AG116" s="390"/>
      <c r="AH116" s="507">
        <f t="shared" si="43"/>
        <v>0</v>
      </c>
      <c r="AI116" s="412"/>
      <c r="AJ116" s="508">
        <f>AH116+AI116</f>
        <v>0</v>
      </c>
    </row>
    <row r="117" spans="1:39" s="283" customFormat="1" ht="20.25">
      <c r="A117" s="2582"/>
      <c r="B117" s="731"/>
      <c r="C117" s="732"/>
      <c r="D117" s="324"/>
      <c r="E117" s="325"/>
      <c r="F117" s="297"/>
      <c r="G117" s="297"/>
      <c r="H117" s="298"/>
      <c r="I117" s="298"/>
      <c r="J117" s="297"/>
      <c r="K117" s="344"/>
      <c r="L117" s="355"/>
      <c r="M117" s="343"/>
      <c r="N117" s="298"/>
      <c r="O117" s="298"/>
      <c r="P117" s="298"/>
      <c r="Q117" s="298"/>
      <c r="R117" s="298"/>
      <c r="S117" s="298"/>
      <c r="T117" s="367"/>
      <c r="U117" s="355"/>
      <c r="V117" s="325"/>
      <c r="W117" s="297"/>
      <c r="X117" s="297"/>
      <c r="Y117" s="298"/>
      <c r="Z117" s="298"/>
      <c r="AA117" s="298"/>
      <c r="AB117" s="297"/>
      <c r="AC117" s="375"/>
      <c r="AD117" s="355"/>
      <c r="AE117" s="377">
        <f t="shared" ref="AE117:AE118" si="45">SUM(E117:AC117)</f>
        <v>0</v>
      </c>
      <c r="AF117" s="377"/>
      <c r="AG117" s="390"/>
      <c r="AH117" s="507">
        <f t="shared" si="43"/>
        <v>0</v>
      </c>
      <c r="AI117" s="412"/>
      <c r="AJ117" s="508">
        <f>AH117+AI117</f>
        <v>0</v>
      </c>
    </row>
    <row r="118" spans="1:39" s="283" customFormat="1" ht="21" thickBot="1">
      <c r="A118" s="2582"/>
      <c r="B118" s="2564"/>
      <c r="C118" s="732"/>
      <c r="D118" s="301"/>
      <c r="E118" s="325"/>
      <c r="F118" s="297"/>
      <c r="G118" s="297"/>
      <c r="H118" s="298"/>
      <c r="I118" s="298"/>
      <c r="J118" s="297"/>
      <c r="K118" s="344"/>
      <c r="L118" s="355"/>
      <c r="M118" s="343"/>
      <c r="N118" s="298"/>
      <c r="O118" s="298"/>
      <c r="P118" s="298"/>
      <c r="Q118" s="298"/>
      <c r="R118" s="298"/>
      <c r="S118" s="298"/>
      <c r="T118" s="367"/>
      <c r="U118" s="355"/>
      <c r="V118" s="325"/>
      <c r="W118" s="297"/>
      <c r="X118" s="297"/>
      <c r="Y118" s="298"/>
      <c r="Z118" s="298"/>
      <c r="AA118" s="298"/>
      <c r="AB118" s="297"/>
      <c r="AC118" s="375"/>
      <c r="AD118" s="355"/>
      <c r="AE118" s="377">
        <f t="shared" si="45"/>
        <v>0</v>
      </c>
      <c r="AF118" s="377"/>
      <c r="AG118" s="390"/>
      <c r="AH118" s="507">
        <f t="shared" si="43"/>
        <v>0</v>
      </c>
      <c r="AI118" s="412"/>
      <c r="AJ118" s="508">
        <f t="shared" ref="AJ118" si="46">AH118+AI118</f>
        <v>0</v>
      </c>
    </row>
    <row r="119" spans="1:39" s="283" customFormat="1" ht="21" thickBot="1">
      <c r="A119" s="436"/>
      <c r="B119" s="437"/>
      <c r="C119" s="437"/>
      <c r="D119" s="438"/>
      <c r="E119" s="439">
        <f t="shared" ref="E119:K119" si="47">SUM(E114:E118)</f>
        <v>0</v>
      </c>
      <c r="F119" s="440">
        <f t="shared" si="47"/>
        <v>0</v>
      </c>
      <c r="G119" s="440">
        <f t="shared" si="47"/>
        <v>0</v>
      </c>
      <c r="H119" s="440">
        <f t="shared" si="47"/>
        <v>0</v>
      </c>
      <c r="I119" s="440">
        <f t="shared" si="47"/>
        <v>0</v>
      </c>
      <c r="J119" s="440">
        <f t="shared" si="47"/>
        <v>0</v>
      </c>
      <c r="K119" s="481">
        <f t="shared" si="47"/>
        <v>0</v>
      </c>
      <c r="L119" s="482"/>
      <c r="M119" s="439">
        <f t="shared" ref="M119:T119" si="48">SUM(M114:M118)</f>
        <v>0</v>
      </c>
      <c r="N119" s="440">
        <f t="shared" si="48"/>
        <v>0</v>
      </c>
      <c r="O119" s="440">
        <f t="shared" si="48"/>
        <v>0</v>
      </c>
      <c r="P119" s="440">
        <f t="shared" si="48"/>
        <v>0</v>
      </c>
      <c r="Q119" s="440">
        <f t="shared" si="48"/>
        <v>0</v>
      </c>
      <c r="R119" s="440">
        <f t="shared" si="48"/>
        <v>0</v>
      </c>
      <c r="S119" s="440">
        <f t="shared" si="48"/>
        <v>0</v>
      </c>
      <c r="T119" s="481">
        <f t="shared" si="48"/>
        <v>0</v>
      </c>
      <c r="U119" s="482"/>
      <c r="V119" s="439">
        <f t="shared" ref="V119:AC119" si="49">SUM(V114:V118)</f>
        <v>0</v>
      </c>
      <c r="W119" s="440">
        <f t="shared" si="49"/>
        <v>0</v>
      </c>
      <c r="X119" s="440">
        <f t="shared" si="49"/>
        <v>0</v>
      </c>
      <c r="Y119" s="440">
        <f t="shared" si="49"/>
        <v>0</v>
      </c>
      <c r="Z119" s="440">
        <f t="shared" si="49"/>
        <v>0</v>
      </c>
      <c r="AA119" s="440">
        <f t="shared" si="49"/>
        <v>0</v>
      </c>
      <c r="AB119" s="440">
        <f t="shared" si="49"/>
        <v>0</v>
      </c>
      <c r="AC119" s="481">
        <f t="shared" si="49"/>
        <v>0</v>
      </c>
      <c r="AD119" s="482"/>
      <c r="AE119" s="494">
        <f t="shared" ref="AE119:AJ119" si="50">SUM(AE114:AE118)</f>
        <v>0</v>
      </c>
      <c r="AF119" s="494">
        <f t="shared" si="50"/>
        <v>0</v>
      </c>
      <c r="AG119" s="494"/>
      <c r="AH119" s="509">
        <f t="shared" si="50"/>
        <v>0</v>
      </c>
      <c r="AI119" s="494">
        <f t="shared" si="50"/>
        <v>0</v>
      </c>
      <c r="AJ119" s="509">
        <f t="shared" si="50"/>
        <v>0</v>
      </c>
    </row>
    <row r="120" spans="1:39" s="284" customFormat="1" ht="8.25" customHeight="1" thickBot="1">
      <c r="A120" s="425"/>
      <c r="B120" s="426"/>
      <c r="C120" s="426"/>
      <c r="D120" s="427"/>
      <c r="E120" s="428"/>
      <c r="F120" s="428"/>
      <c r="G120" s="428"/>
      <c r="H120" s="428"/>
      <c r="I120" s="428"/>
      <c r="J120" s="428"/>
      <c r="K120" s="428"/>
      <c r="L120" s="478"/>
      <c r="M120" s="479"/>
      <c r="N120" s="479"/>
      <c r="O120" s="479"/>
      <c r="P120" s="479"/>
      <c r="Q120" s="479"/>
      <c r="R120" s="479"/>
      <c r="S120" s="479"/>
      <c r="T120" s="479"/>
      <c r="U120" s="478"/>
      <c r="V120" s="479"/>
      <c r="W120" s="479"/>
      <c r="X120" s="479"/>
      <c r="Y120" s="479"/>
      <c r="Z120" s="479"/>
      <c r="AA120" s="479"/>
      <c r="AB120" s="479"/>
      <c r="AC120" s="479"/>
      <c r="AD120" s="478"/>
      <c r="AE120" s="479"/>
      <c r="AF120" s="479"/>
      <c r="AG120" s="479"/>
      <c r="AH120" s="479"/>
      <c r="AI120" s="479"/>
      <c r="AJ120" s="506"/>
      <c r="AK120" s="403"/>
      <c r="AL120" s="403"/>
      <c r="AM120" s="403"/>
    </row>
    <row r="121" spans="1:39" s="282" customFormat="1" ht="18.75" thickBot="1">
      <c r="A121" s="441" t="s">
        <v>135</v>
      </c>
      <c r="B121" s="287" t="s">
        <v>68</v>
      </c>
      <c r="C121" s="287" t="s">
        <v>69</v>
      </c>
      <c r="D121" s="288" t="s">
        <v>70</v>
      </c>
      <c r="E121" s="80" t="s">
        <v>86</v>
      </c>
      <c r="F121" s="49" t="s">
        <v>91</v>
      </c>
      <c r="G121" s="49" t="s">
        <v>245</v>
      </c>
      <c r="H121" s="49" t="s">
        <v>238</v>
      </c>
      <c r="I121" s="49" t="s">
        <v>90</v>
      </c>
      <c r="J121" s="49" t="s">
        <v>85</v>
      </c>
      <c r="K121" s="126" t="s">
        <v>123</v>
      </c>
      <c r="L121" s="79"/>
      <c r="M121" s="80" t="s">
        <v>95</v>
      </c>
      <c r="N121" s="49" t="s">
        <v>94</v>
      </c>
      <c r="O121" s="49" t="s">
        <v>190</v>
      </c>
      <c r="P121" s="49" t="s">
        <v>123</v>
      </c>
      <c r="Q121" s="49" t="s">
        <v>119</v>
      </c>
      <c r="R121" s="49" t="s">
        <v>101</v>
      </c>
      <c r="S121" s="49" t="s">
        <v>92</v>
      </c>
      <c r="T121" s="126" t="s">
        <v>124</v>
      </c>
      <c r="U121" s="79"/>
      <c r="V121" s="745">
        <f t="shared" ref="V121:AC121" si="51">V113</f>
        <v>0</v>
      </c>
      <c r="W121" s="746">
        <f t="shared" si="51"/>
        <v>0</v>
      </c>
      <c r="X121" s="102">
        <f t="shared" si="51"/>
        <v>0</v>
      </c>
      <c r="Y121" s="747">
        <f t="shared" si="51"/>
        <v>0</v>
      </c>
      <c r="Z121" s="744">
        <f t="shared" si="51"/>
        <v>0</v>
      </c>
      <c r="AA121" s="101" t="str">
        <f t="shared" si="51"/>
        <v>P.Silver</v>
      </c>
      <c r="AB121" s="748">
        <f t="shared" si="51"/>
        <v>0</v>
      </c>
      <c r="AC121" s="717">
        <f t="shared" si="51"/>
        <v>0</v>
      </c>
      <c r="AD121" s="79"/>
      <c r="AE121" s="371" t="s">
        <v>172</v>
      </c>
      <c r="AF121" s="372" t="s">
        <v>80</v>
      </c>
      <c r="AG121" s="385"/>
      <c r="AH121" s="386" t="s">
        <v>106</v>
      </c>
      <c r="AI121" s="385" t="s">
        <v>173</v>
      </c>
      <c r="AJ121" s="371" t="s">
        <v>108</v>
      </c>
    </row>
    <row r="122" spans="1:39" s="283" customFormat="1" ht="20.25">
      <c r="A122" s="2624"/>
      <c r="B122" s="2583"/>
      <c r="C122" s="2626"/>
      <c r="D122" s="444"/>
      <c r="E122" s="325"/>
      <c r="F122" s="297"/>
      <c r="G122" s="297"/>
      <c r="H122" s="298"/>
      <c r="I122" s="298"/>
      <c r="J122" s="434"/>
      <c r="K122" s="480"/>
      <c r="L122" s="483"/>
      <c r="M122" s="484"/>
      <c r="N122" s="435"/>
      <c r="O122" s="435"/>
      <c r="P122" s="435"/>
      <c r="Q122" s="435"/>
      <c r="R122" s="435"/>
      <c r="S122" s="435"/>
      <c r="T122" s="492"/>
      <c r="U122" s="483"/>
      <c r="V122" s="433"/>
      <c r="W122" s="434"/>
      <c r="X122" s="434"/>
      <c r="Y122" s="435"/>
      <c r="Z122" s="435"/>
      <c r="AA122" s="435"/>
      <c r="AB122" s="434"/>
      <c r="AC122" s="495"/>
      <c r="AD122" s="483"/>
      <c r="AE122" s="496">
        <f t="shared" ref="AE122:AE125" si="52">SUM(E122:AC122)</f>
        <v>0</v>
      </c>
      <c r="AF122" s="497"/>
      <c r="AG122" s="510"/>
      <c r="AH122" s="511">
        <f t="shared" ref="AH122:AH125" si="53">AE122+AF122</f>
        <v>0</v>
      </c>
      <c r="AI122" s="512"/>
      <c r="AJ122" s="513">
        <f>AH122+AI122</f>
        <v>0</v>
      </c>
    </row>
    <row r="123" spans="1:39" s="283" customFormat="1" ht="20.25">
      <c r="A123" s="2625"/>
      <c r="B123" s="731"/>
      <c r="C123" s="732"/>
      <c r="D123" s="324"/>
      <c r="E123" s="325"/>
      <c r="F123" s="297"/>
      <c r="G123" s="297"/>
      <c r="H123" s="298"/>
      <c r="I123" s="298"/>
      <c r="J123" s="297"/>
      <c r="K123" s="344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52"/>
        <v>0</v>
      </c>
      <c r="AF123" s="377"/>
      <c r="AG123" s="390"/>
      <c r="AH123" s="391">
        <f t="shared" si="53"/>
        <v>0</v>
      </c>
      <c r="AI123" s="412"/>
      <c r="AJ123" s="413">
        <f t="shared" ref="AJ123:AJ125" si="54">AH123+AI123</f>
        <v>0</v>
      </c>
    </row>
    <row r="124" spans="1:39" s="283" customFormat="1" ht="20.25">
      <c r="A124" s="2625"/>
      <c r="B124" s="731"/>
      <c r="C124" s="732"/>
      <c r="D124" s="324"/>
      <c r="E124" s="325"/>
      <c r="F124" s="297"/>
      <c r="G124" s="297"/>
      <c r="H124" s="298"/>
      <c r="I124" s="298"/>
      <c r="J124" s="297"/>
      <c r="K124" s="344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52"/>
        <v>0</v>
      </c>
      <c r="AF124" s="377"/>
      <c r="AG124" s="390"/>
      <c r="AH124" s="391">
        <f t="shared" si="53"/>
        <v>0</v>
      </c>
      <c r="AI124" s="412"/>
      <c r="AJ124" s="413">
        <f t="shared" si="54"/>
        <v>0</v>
      </c>
    </row>
    <row r="125" spans="1:39" s="283" customFormat="1" ht="21" thickBot="1">
      <c r="A125" s="2582"/>
      <c r="B125" s="2564"/>
      <c r="C125" s="732"/>
      <c r="D125" s="324"/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7">
        <f t="shared" si="52"/>
        <v>0</v>
      </c>
      <c r="AF125" s="377"/>
      <c r="AG125" s="390"/>
      <c r="AH125" s="507">
        <f t="shared" si="53"/>
        <v>0</v>
      </c>
      <c r="AI125" s="412"/>
      <c r="AJ125" s="508">
        <f t="shared" si="54"/>
        <v>0</v>
      </c>
    </row>
    <row r="126" spans="1:39" s="283" customFormat="1" ht="21" thickBot="1">
      <c r="A126" s="436"/>
      <c r="B126" s="437"/>
      <c r="C126" s="437"/>
      <c r="D126" s="438"/>
      <c r="E126" s="439">
        <f t="shared" ref="E126:K126" si="55">SUM(E123:E125)</f>
        <v>0</v>
      </c>
      <c r="F126" s="440">
        <f t="shared" si="55"/>
        <v>0</v>
      </c>
      <c r="G126" s="440">
        <f t="shared" si="55"/>
        <v>0</v>
      </c>
      <c r="H126" s="440">
        <f t="shared" si="55"/>
        <v>0</v>
      </c>
      <c r="I126" s="440">
        <f t="shared" si="55"/>
        <v>0</v>
      </c>
      <c r="J126" s="440">
        <f t="shared" si="55"/>
        <v>0</v>
      </c>
      <c r="K126" s="481">
        <f t="shared" si="55"/>
        <v>0</v>
      </c>
      <c r="L126" s="482"/>
      <c r="M126" s="439">
        <f t="shared" ref="M126:T126" si="56">SUM(M123:M125)</f>
        <v>0</v>
      </c>
      <c r="N126" s="440">
        <f t="shared" si="56"/>
        <v>0</v>
      </c>
      <c r="O126" s="440">
        <f t="shared" si="56"/>
        <v>0</v>
      </c>
      <c r="P126" s="440">
        <f t="shared" si="56"/>
        <v>0</v>
      </c>
      <c r="Q126" s="440">
        <f t="shared" si="56"/>
        <v>0</v>
      </c>
      <c r="R126" s="440">
        <f t="shared" si="56"/>
        <v>0</v>
      </c>
      <c r="S126" s="440">
        <f t="shared" si="56"/>
        <v>0</v>
      </c>
      <c r="T126" s="481">
        <f t="shared" si="56"/>
        <v>0</v>
      </c>
      <c r="U126" s="482"/>
      <c r="V126" s="439">
        <f t="shared" ref="V126:AC126" si="57">SUM(V123:V125)</f>
        <v>0</v>
      </c>
      <c r="W126" s="440">
        <f t="shared" si="57"/>
        <v>0</v>
      </c>
      <c r="X126" s="440">
        <f t="shared" si="57"/>
        <v>0</v>
      </c>
      <c r="Y126" s="440">
        <f t="shared" si="57"/>
        <v>0</v>
      </c>
      <c r="Z126" s="440">
        <f t="shared" si="57"/>
        <v>0</v>
      </c>
      <c r="AA126" s="440">
        <f t="shared" si="57"/>
        <v>0</v>
      </c>
      <c r="AB126" s="440">
        <f t="shared" si="57"/>
        <v>0</v>
      </c>
      <c r="AC126" s="481">
        <f t="shared" si="57"/>
        <v>0</v>
      </c>
      <c r="AD126" s="482"/>
      <c r="AE126" s="494">
        <f>SUM(AE122:AE125)</f>
        <v>0</v>
      </c>
      <c r="AF126" s="494">
        <f>SUM(AF122:AF125)</f>
        <v>0</v>
      </c>
      <c r="AG126" s="509"/>
      <c r="AH126" s="514">
        <f>SUM(AH122:AH125)</f>
        <v>0</v>
      </c>
      <c r="AI126" s="494">
        <f>SUM(AI122:AI125)</f>
        <v>0</v>
      </c>
      <c r="AJ126" s="515">
        <f>SUM(AJ122:AJ125)</f>
        <v>0</v>
      </c>
    </row>
    <row r="127" spans="1:39" s="284" customFormat="1" ht="8.25" customHeight="1" thickBot="1">
      <c r="A127" s="425"/>
      <c r="B127" s="426"/>
      <c r="C127" s="426"/>
      <c r="D127" s="427"/>
      <c r="E127" s="428"/>
      <c r="F127" s="428"/>
      <c r="G127" s="428"/>
      <c r="H127" s="428"/>
      <c r="I127" s="428"/>
      <c r="J127" s="428"/>
      <c r="K127" s="428"/>
      <c r="L127" s="478"/>
      <c r="M127" s="479"/>
      <c r="N127" s="479"/>
      <c r="O127" s="479"/>
      <c r="P127" s="479"/>
      <c r="Q127" s="479"/>
      <c r="R127" s="479"/>
      <c r="S127" s="479"/>
      <c r="T127" s="479"/>
      <c r="U127" s="478"/>
      <c r="V127" s="479"/>
      <c r="W127" s="479"/>
      <c r="X127" s="479"/>
      <c r="Y127" s="479"/>
      <c r="Z127" s="479"/>
      <c r="AA127" s="479"/>
      <c r="AB127" s="479"/>
      <c r="AC127" s="479"/>
      <c r="AD127" s="478"/>
      <c r="AE127" s="479"/>
      <c r="AF127" s="479"/>
      <c r="AG127" s="479"/>
      <c r="AH127" s="479"/>
      <c r="AI127" s="479"/>
      <c r="AJ127" s="506"/>
      <c r="AK127" s="403"/>
      <c r="AL127" s="403"/>
      <c r="AM127" s="403"/>
    </row>
    <row r="128" spans="1:39" s="282" customFormat="1" ht="16.5" thickBot="1">
      <c r="A128" s="446" t="s">
        <v>140</v>
      </c>
      <c r="B128" s="287" t="s">
        <v>68</v>
      </c>
      <c r="C128" s="447" t="s">
        <v>69</v>
      </c>
      <c r="D128" s="448" t="s">
        <v>70</v>
      </c>
      <c r="E128" s="80" t="s">
        <v>86</v>
      </c>
      <c r="F128" s="49" t="s">
        <v>91</v>
      </c>
      <c r="G128" s="49" t="s">
        <v>245</v>
      </c>
      <c r="H128" s="49" t="s">
        <v>238</v>
      </c>
      <c r="I128" s="49" t="s">
        <v>90</v>
      </c>
      <c r="J128" s="49" t="s">
        <v>85</v>
      </c>
      <c r="K128" s="126" t="s">
        <v>123</v>
      </c>
      <c r="L128" s="79"/>
      <c r="M128" s="80" t="s">
        <v>95</v>
      </c>
      <c r="N128" s="49" t="s">
        <v>94</v>
      </c>
      <c r="O128" s="49" t="s">
        <v>190</v>
      </c>
      <c r="P128" s="49" t="s">
        <v>123</v>
      </c>
      <c r="Q128" s="49" t="s">
        <v>119</v>
      </c>
      <c r="R128" s="49" t="s">
        <v>101</v>
      </c>
      <c r="S128" s="49" t="s">
        <v>92</v>
      </c>
      <c r="T128" s="126" t="s">
        <v>124</v>
      </c>
      <c r="U128" s="79"/>
      <c r="V128" s="745">
        <f t="shared" ref="V128:AC128" si="58">V121</f>
        <v>0</v>
      </c>
      <c r="W128" s="746">
        <f t="shared" si="58"/>
        <v>0</v>
      </c>
      <c r="X128" s="102">
        <f t="shared" si="58"/>
        <v>0</v>
      </c>
      <c r="Y128" s="747">
        <f t="shared" si="58"/>
        <v>0</v>
      </c>
      <c r="Z128" s="744">
        <f t="shared" si="58"/>
        <v>0</v>
      </c>
      <c r="AA128" s="101" t="str">
        <f t="shared" si="58"/>
        <v>P.Silver</v>
      </c>
      <c r="AB128" s="748">
        <f t="shared" si="58"/>
        <v>0</v>
      </c>
      <c r="AC128" s="717">
        <f t="shared" si="58"/>
        <v>0</v>
      </c>
      <c r="AD128" s="79"/>
      <c r="AE128" s="371" t="s">
        <v>172</v>
      </c>
      <c r="AF128" s="498" t="s">
        <v>80</v>
      </c>
      <c r="AG128" s="385"/>
      <c r="AH128" s="386" t="s">
        <v>106</v>
      </c>
      <c r="AI128" s="385" t="s">
        <v>173</v>
      </c>
      <c r="AJ128" s="371" t="s">
        <v>108</v>
      </c>
    </row>
    <row r="129" spans="1:39" s="283" customFormat="1" ht="20.25">
      <c r="A129" s="2627" t="s">
        <v>180</v>
      </c>
      <c r="B129" s="2633"/>
      <c r="C129" s="2631"/>
      <c r="D129" s="451"/>
      <c r="E129" s="325"/>
      <c r="F129" s="297"/>
      <c r="G129" s="297"/>
      <c r="H129" s="298"/>
      <c r="I129" s="298"/>
      <c r="J129" s="453"/>
      <c r="K129" s="485"/>
      <c r="L129" s="355"/>
      <c r="M129" s="484"/>
      <c r="N129" s="435"/>
      <c r="O129" s="435"/>
      <c r="P129" s="435"/>
      <c r="Q129" s="435"/>
      <c r="R129" s="435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ref="AE129:AE134" si="59">SUM(E129:AC129)</f>
        <v>0</v>
      </c>
      <c r="AF129" s="499"/>
      <c r="AG129" s="516"/>
      <c r="AH129" s="391">
        <f t="shared" ref="AH129:AH134" si="60">AE129+AF129</f>
        <v>0</v>
      </c>
      <c r="AI129" s="412"/>
      <c r="AJ129" s="413">
        <f>AH129+AI129</f>
        <v>0</v>
      </c>
    </row>
    <row r="130" spans="1:39" s="283" customFormat="1" ht="20.25">
      <c r="A130" s="2625"/>
      <c r="B130" s="2598"/>
      <c r="C130" s="2614"/>
      <c r="D130" s="456"/>
      <c r="E130" s="457"/>
      <c r="F130" s="458"/>
      <c r="G130" s="458"/>
      <c r="H130" s="459"/>
      <c r="I130" s="459"/>
      <c r="J130" s="458"/>
      <c r="K130" s="486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59"/>
        <v>0</v>
      </c>
      <c r="AF130" s="500"/>
      <c r="AG130" s="516"/>
      <c r="AH130" s="391">
        <f t="shared" si="60"/>
        <v>0</v>
      </c>
      <c r="AI130" s="412"/>
      <c r="AJ130" s="413">
        <f t="shared" ref="AJ130:AJ134" si="61">AH130+AI130</f>
        <v>0</v>
      </c>
    </row>
    <row r="131" spans="1:39" s="283" customFormat="1" ht="20.25">
      <c r="A131" s="2624"/>
      <c r="B131" s="2598"/>
      <c r="C131" s="2614"/>
      <c r="D131" s="456"/>
      <c r="E131" s="457"/>
      <c r="F131" s="458"/>
      <c r="G131" s="458"/>
      <c r="H131" s="459"/>
      <c r="I131" s="459"/>
      <c r="J131" s="458"/>
      <c r="K131" s="486"/>
      <c r="L131" s="483"/>
      <c r="M131" s="484"/>
      <c r="N131" s="435"/>
      <c r="O131" s="435"/>
      <c r="P131" s="435"/>
      <c r="Q131" s="435"/>
      <c r="R131" s="435"/>
      <c r="S131" s="435"/>
      <c r="T131" s="492"/>
      <c r="U131" s="483"/>
      <c r="V131" s="433"/>
      <c r="W131" s="434"/>
      <c r="X131" s="434"/>
      <c r="Y131" s="435"/>
      <c r="Z131" s="435"/>
      <c r="AA131" s="435"/>
      <c r="AB131" s="434"/>
      <c r="AC131" s="495"/>
      <c r="AD131" s="483"/>
      <c r="AE131" s="496">
        <f t="shared" si="59"/>
        <v>0</v>
      </c>
      <c r="AF131" s="500"/>
      <c r="AG131" s="517"/>
      <c r="AH131" s="511">
        <f t="shared" si="60"/>
        <v>0</v>
      </c>
      <c r="AI131" s="512"/>
      <c r="AJ131" s="513">
        <f t="shared" si="61"/>
        <v>0</v>
      </c>
    </row>
    <row r="132" spans="1:39" s="283" customFormat="1" ht="20.25">
      <c r="A132" s="2625"/>
      <c r="B132" s="2598"/>
      <c r="C132" s="2614"/>
      <c r="D132" s="456"/>
      <c r="E132" s="457"/>
      <c r="F132" s="458"/>
      <c r="G132" s="458"/>
      <c r="H132" s="459"/>
      <c r="I132" s="459"/>
      <c r="J132" s="458"/>
      <c r="K132" s="486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59"/>
        <v>0</v>
      </c>
      <c r="AF132" s="500"/>
      <c r="AG132" s="516"/>
      <c r="AH132" s="391">
        <f t="shared" si="60"/>
        <v>0</v>
      </c>
      <c r="AI132" s="412"/>
      <c r="AJ132" s="413">
        <f t="shared" si="61"/>
        <v>0</v>
      </c>
    </row>
    <row r="133" spans="1:39" s="283" customFormat="1" ht="20.25">
      <c r="A133" s="2625"/>
      <c r="B133" s="2598"/>
      <c r="C133" s="2614"/>
      <c r="D133" s="456"/>
      <c r="E133" s="457"/>
      <c r="F133" s="458"/>
      <c r="G133" s="458"/>
      <c r="H133" s="459"/>
      <c r="I133" s="459"/>
      <c r="J133" s="458"/>
      <c r="K133" s="486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59"/>
        <v>0</v>
      </c>
      <c r="AF133" s="500"/>
      <c r="AG133" s="516"/>
      <c r="AH133" s="391">
        <f t="shared" si="60"/>
        <v>0</v>
      </c>
      <c r="AI133" s="412"/>
      <c r="AJ133" s="413">
        <f t="shared" si="61"/>
        <v>0</v>
      </c>
    </row>
    <row r="134" spans="1:39" s="283" customFormat="1" ht="21" thickBot="1">
      <c r="A134" s="2628"/>
      <c r="B134" s="2564"/>
      <c r="C134" s="2632"/>
      <c r="D134" s="462"/>
      <c r="E134" s="463"/>
      <c r="F134" s="464"/>
      <c r="G134" s="464"/>
      <c r="H134" s="465"/>
      <c r="I134" s="465"/>
      <c r="J134" s="464"/>
      <c r="K134" s="48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7">
        <f t="shared" si="59"/>
        <v>0</v>
      </c>
      <c r="AF134" s="501"/>
      <c r="AG134" s="516"/>
      <c r="AH134" s="507">
        <f t="shared" si="60"/>
        <v>0</v>
      </c>
      <c r="AI134" s="412"/>
      <c r="AJ134" s="508">
        <f t="shared" si="61"/>
        <v>0</v>
      </c>
    </row>
    <row r="135" spans="1:39" s="283" customFormat="1" ht="21" thickBot="1">
      <c r="A135" s="466"/>
      <c r="B135" s="467"/>
      <c r="C135" s="467"/>
      <c r="D135" s="468"/>
      <c r="E135" s="469">
        <f t="shared" ref="E135:K135" si="62">SUM(E131:E134)</f>
        <v>0</v>
      </c>
      <c r="F135" s="470">
        <f t="shared" si="62"/>
        <v>0</v>
      </c>
      <c r="G135" s="470">
        <f t="shared" si="62"/>
        <v>0</v>
      </c>
      <c r="H135" s="470">
        <f t="shared" si="62"/>
        <v>0</v>
      </c>
      <c r="I135" s="470">
        <f t="shared" si="62"/>
        <v>0</v>
      </c>
      <c r="J135" s="470">
        <f t="shared" si="62"/>
        <v>0</v>
      </c>
      <c r="K135" s="488">
        <f t="shared" si="62"/>
        <v>0</v>
      </c>
      <c r="L135" s="482"/>
      <c r="M135" s="439">
        <f t="shared" ref="M135:T135" si="63">SUM(M131:M134)</f>
        <v>0</v>
      </c>
      <c r="N135" s="440">
        <f t="shared" si="63"/>
        <v>0</v>
      </c>
      <c r="O135" s="440">
        <f t="shared" si="63"/>
        <v>0</v>
      </c>
      <c r="P135" s="440">
        <f t="shared" si="63"/>
        <v>0</v>
      </c>
      <c r="Q135" s="440">
        <f t="shared" si="63"/>
        <v>0</v>
      </c>
      <c r="R135" s="440">
        <f t="shared" si="63"/>
        <v>0</v>
      </c>
      <c r="S135" s="440">
        <f t="shared" si="63"/>
        <v>0</v>
      </c>
      <c r="T135" s="481">
        <f t="shared" si="63"/>
        <v>0</v>
      </c>
      <c r="U135" s="482"/>
      <c r="V135" s="439">
        <f t="shared" ref="V135:AC135" si="64">SUM(V131:V134)</f>
        <v>0</v>
      </c>
      <c r="W135" s="440">
        <f t="shared" si="64"/>
        <v>0</v>
      </c>
      <c r="X135" s="440">
        <f t="shared" si="64"/>
        <v>0</v>
      </c>
      <c r="Y135" s="440">
        <f t="shared" si="64"/>
        <v>0</v>
      </c>
      <c r="Z135" s="440">
        <f t="shared" si="64"/>
        <v>0</v>
      </c>
      <c r="AA135" s="440">
        <f t="shared" si="64"/>
        <v>0</v>
      </c>
      <c r="AB135" s="440">
        <f t="shared" si="64"/>
        <v>0</v>
      </c>
      <c r="AC135" s="481">
        <f t="shared" si="64"/>
        <v>0</v>
      </c>
      <c r="AD135" s="482"/>
      <c r="AE135" s="494">
        <f>SUM(AE129:AE134)</f>
        <v>0</v>
      </c>
      <c r="AF135" s="502">
        <f>SUM(AF129:AF134)</f>
        <v>0</v>
      </c>
      <c r="AG135" s="509"/>
      <c r="AH135" s="514">
        <f>SUM(AH129:AH134)</f>
        <v>0</v>
      </c>
      <c r="AI135" s="494">
        <f>SUM(AI129:AI134)</f>
        <v>0</v>
      </c>
      <c r="AJ135" s="515">
        <f>SUM(AJ129:AJ134)</f>
        <v>0</v>
      </c>
    </row>
    <row r="136" spans="1:39" s="284" customFormat="1" ht="8.25" customHeight="1" thickBot="1">
      <c r="A136" s="425"/>
      <c r="B136" s="426"/>
      <c r="C136" s="426"/>
      <c r="D136" s="427"/>
      <c r="E136" s="428"/>
      <c r="F136" s="428"/>
      <c r="G136" s="428"/>
      <c r="H136" s="428"/>
      <c r="I136" s="428"/>
      <c r="J136" s="428"/>
      <c r="K136" s="428"/>
      <c r="L136" s="478"/>
      <c r="M136" s="479"/>
      <c r="N136" s="479"/>
      <c r="O136" s="479"/>
      <c r="P136" s="479"/>
      <c r="Q136" s="479"/>
      <c r="R136" s="479"/>
      <c r="S136" s="479"/>
      <c r="T136" s="479"/>
      <c r="U136" s="478"/>
      <c r="V136" s="479"/>
      <c r="W136" s="479"/>
      <c r="X136" s="479"/>
      <c r="Y136" s="479"/>
      <c r="Z136" s="479"/>
      <c r="AA136" s="479"/>
      <c r="AB136" s="479"/>
      <c r="AC136" s="479"/>
      <c r="AD136" s="478"/>
      <c r="AE136" s="479"/>
      <c r="AF136" s="479"/>
      <c r="AG136" s="479"/>
      <c r="AH136" s="479"/>
      <c r="AI136" s="479"/>
      <c r="AJ136" s="506"/>
      <c r="AK136" s="403"/>
      <c r="AL136" s="403"/>
      <c r="AM136" s="403"/>
    </row>
    <row r="137" spans="1:39" s="282" customFormat="1" ht="18.75" thickBot="1">
      <c r="A137" s="441" t="s">
        <v>143</v>
      </c>
      <c r="B137" s="287" t="s">
        <v>68</v>
      </c>
      <c r="C137" s="287" t="s">
        <v>69</v>
      </c>
      <c r="D137" s="288" t="s">
        <v>70</v>
      </c>
      <c r="E137" s="80" t="s">
        <v>86</v>
      </c>
      <c r="F137" s="49" t="s">
        <v>91</v>
      </c>
      <c r="G137" s="49" t="s">
        <v>245</v>
      </c>
      <c r="H137" s="49" t="s">
        <v>238</v>
      </c>
      <c r="I137" s="49" t="s">
        <v>90</v>
      </c>
      <c r="J137" s="49" t="s">
        <v>85</v>
      </c>
      <c r="K137" s="126" t="s">
        <v>123</v>
      </c>
      <c r="L137" s="79"/>
      <c r="M137" s="80" t="s">
        <v>95</v>
      </c>
      <c r="N137" s="49" t="s">
        <v>94</v>
      </c>
      <c r="O137" s="49" t="s">
        <v>190</v>
      </c>
      <c r="P137" s="49" t="s">
        <v>123</v>
      </c>
      <c r="Q137" s="49" t="s">
        <v>119</v>
      </c>
      <c r="R137" s="49" t="s">
        <v>101</v>
      </c>
      <c r="S137" s="49" t="s">
        <v>92</v>
      </c>
      <c r="T137" s="126" t="s">
        <v>124</v>
      </c>
      <c r="U137" s="79"/>
      <c r="V137" s="745">
        <f t="shared" ref="V137:AC137" si="65">V128</f>
        <v>0</v>
      </c>
      <c r="W137" s="746">
        <f t="shared" si="65"/>
        <v>0</v>
      </c>
      <c r="X137" s="102">
        <f t="shared" si="65"/>
        <v>0</v>
      </c>
      <c r="Y137" s="747">
        <f t="shared" si="65"/>
        <v>0</v>
      </c>
      <c r="Z137" s="744">
        <f t="shared" si="65"/>
        <v>0</v>
      </c>
      <c r="AA137" s="101" t="str">
        <f t="shared" si="65"/>
        <v>P.Silver</v>
      </c>
      <c r="AB137" s="748">
        <f t="shared" si="65"/>
        <v>0</v>
      </c>
      <c r="AC137" s="717">
        <f t="shared" si="65"/>
        <v>0</v>
      </c>
      <c r="AD137" s="79"/>
      <c r="AE137" s="371" t="s">
        <v>172</v>
      </c>
      <c r="AF137" s="372" t="s">
        <v>80</v>
      </c>
      <c r="AG137" s="385"/>
      <c r="AH137" s="386" t="s">
        <v>106</v>
      </c>
      <c r="AI137" s="385" t="s">
        <v>173</v>
      </c>
      <c r="AJ137" s="371" t="s">
        <v>108</v>
      </c>
    </row>
    <row r="138" spans="1:39" s="283" customFormat="1" ht="21" thickBot="1">
      <c r="A138" s="471" t="s">
        <v>181</v>
      </c>
      <c r="B138" s="472"/>
      <c r="C138" s="472"/>
      <c r="D138" s="473"/>
      <c r="E138" s="813"/>
      <c r="F138" s="814"/>
      <c r="G138" s="814"/>
      <c r="H138" s="815"/>
      <c r="I138" s="815"/>
      <c r="J138" s="475"/>
      <c r="K138" s="489"/>
      <c r="L138" s="490"/>
      <c r="M138" s="491"/>
      <c r="N138" s="476"/>
      <c r="O138" s="476"/>
      <c r="P138" s="476"/>
      <c r="Q138" s="476"/>
      <c r="R138" s="476"/>
      <c r="S138" s="476"/>
      <c r="T138" s="493"/>
      <c r="U138" s="490"/>
      <c r="V138" s="474"/>
      <c r="W138" s="475"/>
      <c r="X138" s="475"/>
      <c r="Y138" s="476"/>
      <c r="Z138" s="476"/>
      <c r="AA138" s="476"/>
      <c r="AB138" s="475"/>
      <c r="AC138" s="503"/>
      <c r="AD138" s="490"/>
      <c r="AE138" s="504">
        <f t="shared" ref="AE138:AE142" si="66">SUM(E138:AC138)</f>
        <v>0</v>
      </c>
      <c r="AF138" s="505"/>
      <c r="AG138" s="518"/>
      <c r="AH138" s="519">
        <f t="shared" ref="AH138:AH142" si="67">AE138+AF138</f>
        <v>0</v>
      </c>
      <c r="AI138" s="520"/>
      <c r="AJ138" s="521">
        <f>AH138+AI138</f>
        <v>0</v>
      </c>
    </row>
    <row r="139" spans="1:39" s="283" customFormat="1" ht="20.25">
      <c r="A139" s="2625" t="s">
        <v>182</v>
      </c>
      <c r="B139" s="2583"/>
      <c r="C139" s="732"/>
      <c r="D139" s="324"/>
      <c r="E139" s="325"/>
      <c r="F139" s="297"/>
      <c r="G139" s="297"/>
      <c r="H139" s="298"/>
      <c r="I139" s="298"/>
      <c r="J139" s="297"/>
      <c r="K139" s="344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6">
        <f t="shared" si="66"/>
        <v>0</v>
      </c>
      <c r="AF139" s="377"/>
      <c r="AG139" s="390"/>
      <c r="AH139" s="391">
        <f t="shared" si="67"/>
        <v>0</v>
      </c>
      <c r="AI139" s="412"/>
      <c r="AJ139" s="413">
        <f t="shared" ref="AJ139:AJ142" si="68">AH139+AI139</f>
        <v>0</v>
      </c>
    </row>
    <row r="140" spans="1:39" s="283" customFormat="1" ht="20.25">
      <c r="A140" s="2625"/>
      <c r="B140" s="731"/>
      <c r="C140" s="732"/>
      <c r="D140" s="324"/>
      <c r="E140" s="325"/>
      <c r="F140" s="297"/>
      <c r="G140" s="297"/>
      <c r="H140" s="298"/>
      <c r="I140" s="298"/>
      <c r="J140" s="297"/>
      <c r="K140" s="344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66"/>
        <v>0</v>
      </c>
      <c r="AF140" s="377"/>
      <c r="AG140" s="390"/>
      <c r="AH140" s="391">
        <f t="shared" si="67"/>
        <v>0</v>
      </c>
      <c r="AI140" s="412"/>
      <c r="AJ140" s="413">
        <f t="shared" si="68"/>
        <v>0</v>
      </c>
    </row>
    <row r="141" spans="1:39" s="283" customFormat="1" ht="20.25">
      <c r="A141" s="2625"/>
      <c r="B141" s="731"/>
      <c r="C141" s="732"/>
      <c r="D141" s="324"/>
      <c r="E141" s="325"/>
      <c r="F141" s="297"/>
      <c r="G141" s="297"/>
      <c r="H141" s="298"/>
      <c r="I141" s="298"/>
      <c r="J141" s="297"/>
      <c r="K141" s="344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si="66"/>
        <v>0</v>
      </c>
      <c r="AF141" s="377"/>
      <c r="AG141" s="390"/>
      <c r="AH141" s="391">
        <f t="shared" si="67"/>
        <v>0</v>
      </c>
      <c r="AI141" s="412"/>
      <c r="AJ141" s="413">
        <f t="shared" si="68"/>
        <v>0</v>
      </c>
    </row>
    <row r="142" spans="1:39" s="283" customFormat="1" ht="21" thickBot="1">
      <c r="A142" s="2582"/>
      <c r="B142" s="2564"/>
      <c r="C142" s="732"/>
      <c r="D142" s="324"/>
      <c r="E142" s="325"/>
      <c r="F142" s="297"/>
      <c r="G142" s="297"/>
      <c r="H142" s="298"/>
      <c r="I142" s="298"/>
      <c r="J142" s="297"/>
      <c r="K142" s="344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 t="shared" si="66"/>
        <v>0</v>
      </c>
      <c r="AF142" s="377"/>
      <c r="AG142" s="390"/>
      <c r="AH142" s="507">
        <f t="shared" si="67"/>
        <v>0</v>
      </c>
      <c r="AI142" s="412"/>
      <c r="AJ142" s="508">
        <f t="shared" si="68"/>
        <v>0</v>
      </c>
    </row>
    <row r="143" spans="1:39" s="283" customFormat="1" ht="21" thickBot="1">
      <c r="A143" s="436"/>
      <c r="B143" s="437"/>
      <c r="C143" s="437"/>
      <c r="D143" s="438"/>
      <c r="E143" s="439">
        <f t="shared" ref="E143:K143" si="69">SUM(E138:E142)</f>
        <v>0</v>
      </c>
      <c r="F143" s="440">
        <f t="shared" si="69"/>
        <v>0</v>
      </c>
      <c r="G143" s="440">
        <f t="shared" si="69"/>
        <v>0</v>
      </c>
      <c r="H143" s="440">
        <f t="shared" si="69"/>
        <v>0</v>
      </c>
      <c r="I143" s="440">
        <f t="shared" si="69"/>
        <v>0</v>
      </c>
      <c r="J143" s="440">
        <f t="shared" si="69"/>
        <v>0</v>
      </c>
      <c r="K143" s="481">
        <f t="shared" si="69"/>
        <v>0</v>
      </c>
      <c r="L143" s="482"/>
      <c r="M143" s="439">
        <f t="shared" ref="M143:T143" si="70">SUM(M138:M142)</f>
        <v>0</v>
      </c>
      <c r="N143" s="440">
        <f t="shared" si="70"/>
        <v>0</v>
      </c>
      <c r="O143" s="440">
        <f t="shared" si="70"/>
        <v>0</v>
      </c>
      <c r="P143" s="440">
        <f t="shared" si="70"/>
        <v>0</v>
      </c>
      <c r="Q143" s="440">
        <f t="shared" si="70"/>
        <v>0</v>
      </c>
      <c r="R143" s="440">
        <f t="shared" si="70"/>
        <v>0</v>
      </c>
      <c r="S143" s="440">
        <f t="shared" si="70"/>
        <v>0</v>
      </c>
      <c r="T143" s="481">
        <f t="shared" si="70"/>
        <v>0</v>
      </c>
      <c r="U143" s="482"/>
      <c r="V143" s="439">
        <f t="shared" ref="V143:AC143" si="71">SUM(V138:V142)</f>
        <v>0</v>
      </c>
      <c r="W143" s="440">
        <f t="shared" si="71"/>
        <v>0</v>
      </c>
      <c r="X143" s="440">
        <f t="shared" si="71"/>
        <v>0</v>
      </c>
      <c r="Y143" s="440">
        <f t="shared" si="71"/>
        <v>0</v>
      </c>
      <c r="Z143" s="440">
        <f t="shared" si="71"/>
        <v>0</v>
      </c>
      <c r="AA143" s="440">
        <f t="shared" si="71"/>
        <v>0</v>
      </c>
      <c r="AB143" s="440">
        <f t="shared" si="71"/>
        <v>0</v>
      </c>
      <c r="AC143" s="481">
        <f t="shared" si="71"/>
        <v>0</v>
      </c>
      <c r="AD143" s="482"/>
      <c r="AE143" s="494">
        <f>SUM(AE138:AE142)</f>
        <v>0</v>
      </c>
      <c r="AF143" s="494">
        <f>SUM(AF138:AF142)</f>
        <v>0</v>
      </c>
      <c r="AG143" s="509"/>
      <c r="AH143" s="514">
        <f>SUM(AH138:AH142)</f>
        <v>0</v>
      </c>
      <c r="AI143" s="494">
        <f>SUM(AI138:AI142)</f>
        <v>0</v>
      </c>
      <c r="AJ143" s="509">
        <f>SUM(AJ138:AJ142)</f>
        <v>0</v>
      </c>
    </row>
    <row r="144" spans="1:39" s="284" customFormat="1" ht="8.25" customHeight="1" thickBot="1">
      <c r="A144" s="522"/>
      <c r="B144" s="523"/>
      <c r="C144" s="523"/>
      <c r="D144" s="524"/>
      <c r="E144" s="525"/>
      <c r="F144" s="525"/>
      <c r="G144" s="525"/>
      <c r="H144" s="525"/>
      <c r="I144" s="525"/>
      <c r="J144" s="525"/>
      <c r="K144" s="525"/>
      <c r="L144" s="572"/>
      <c r="M144" s="573"/>
      <c r="N144" s="573"/>
      <c r="O144" s="573"/>
      <c r="P144" s="573"/>
      <c r="Q144" s="573"/>
      <c r="R144" s="573"/>
      <c r="S144" s="573"/>
      <c r="T144" s="573"/>
      <c r="U144" s="572"/>
      <c r="V144" s="573"/>
      <c r="W144" s="573"/>
      <c r="X144" s="573"/>
      <c r="Y144" s="573"/>
      <c r="Z144" s="573"/>
      <c r="AA144" s="573"/>
      <c r="AB144" s="573"/>
      <c r="AC144" s="573"/>
      <c r="AD144" s="572"/>
      <c r="AE144" s="573"/>
      <c r="AF144" s="573"/>
      <c r="AG144" s="599"/>
      <c r="AH144" s="573"/>
      <c r="AI144" s="573"/>
      <c r="AJ144" s="600"/>
      <c r="AK144" s="403"/>
      <c r="AL144" s="403"/>
      <c r="AM144" s="403"/>
    </row>
    <row r="145" spans="1:36" ht="21" thickBot="1">
      <c r="A145" s="526" t="s">
        <v>145</v>
      </c>
      <c r="B145" s="527"/>
      <c r="C145" s="527"/>
      <c r="D145" s="528"/>
      <c r="E145" s="529">
        <f>E4+E38+E53+E110+E68+E82+E119+E126+E135+E143+E96</f>
        <v>740</v>
      </c>
      <c r="F145" s="529">
        <f t="shared" ref="F145:K145" si="72">F4+F38+F53+F110+F68+F82+F119+F126+F135+F143+F96</f>
        <v>1340</v>
      </c>
      <c r="G145" s="529">
        <f t="shared" si="72"/>
        <v>4200</v>
      </c>
      <c r="H145" s="529">
        <f t="shared" si="72"/>
        <v>2240</v>
      </c>
      <c r="I145" s="529">
        <f t="shared" si="72"/>
        <v>0</v>
      </c>
      <c r="J145" s="529">
        <f t="shared" si="72"/>
        <v>0</v>
      </c>
      <c r="K145" s="529">
        <f t="shared" si="72"/>
        <v>620</v>
      </c>
      <c r="L145" s="529">
        <f t="shared" ref="L145:AD145" si="73">L4+L38+L53+L110+L68+L82+L119+L126+L135+L143</f>
        <v>0</v>
      </c>
      <c r="M145" s="529">
        <f>M4+M38+M53+M110+M68+M82+M119+M126+M135+M143+M96</f>
        <v>0</v>
      </c>
      <c r="N145" s="529">
        <f t="shared" ref="N145:T145" si="74">N4+N38+N53+N110+N68+N82+N119+N126+N135+N143+N96</f>
        <v>0</v>
      </c>
      <c r="O145" s="529">
        <f t="shared" si="74"/>
        <v>0</v>
      </c>
      <c r="P145" s="529">
        <f t="shared" si="74"/>
        <v>0</v>
      </c>
      <c r="Q145" s="529">
        <f t="shared" si="74"/>
        <v>0</v>
      </c>
      <c r="R145" s="529">
        <f t="shared" si="74"/>
        <v>0</v>
      </c>
      <c r="S145" s="529">
        <f t="shared" si="74"/>
        <v>0</v>
      </c>
      <c r="T145" s="529">
        <f t="shared" si="74"/>
        <v>0</v>
      </c>
      <c r="U145" s="529"/>
      <c r="V145" s="529">
        <f>V4+V38+V53+V110+V68+V82+V119+V126+V135+V143+V96</f>
        <v>0</v>
      </c>
      <c r="W145" s="529">
        <f t="shared" ref="W145:AC145" si="75">W4+W38+W53+W110+W68+W82+W119+W126+W135+W143+W96</f>
        <v>0</v>
      </c>
      <c r="X145" s="529">
        <f t="shared" si="75"/>
        <v>0</v>
      </c>
      <c r="Y145" s="529">
        <f t="shared" si="75"/>
        <v>0</v>
      </c>
      <c r="Z145" s="529">
        <f t="shared" si="75"/>
        <v>0</v>
      </c>
      <c r="AA145" s="529">
        <f t="shared" si="75"/>
        <v>0</v>
      </c>
      <c r="AB145" s="529">
        <f t="shared" si="75"/>
        <v>0</v>
      </c>
      <c r="AC145" s="529">
        <f t="shared" si="75"/>
        <v>0</v>
      </c>
      <c r="AD145" s="529">
        <f t="shared" si="73"/>
        <v>0</v>
      </c>
      <c r="AE145" s="529">
        <f>AE4+AE38+AE53+AE110+AE68+AE82+AE119+AE126+AE135+AE143+AE96</f>
        <v>9140</v>
      </c>
      <c r="AF145" s="529">
        <f t="shared" ref="AF145:AJ145" si="76">AF4+AF38+AF53+AF110+AF68+AF82+AF119+AF126+AF135+AF143+AF96</f>
        <v>0</v>
      </c>
      <c r="AG145" s="529">
        <f t="shared" si="76"/>
        <v>0</v>
      </c>
      <c r="AH145" s="529">
        <f t="shared" si="76"/>
        <v>9140</v>
      </c>
      <c r="AI145" s="529">
        <f t="shared" si="76"/>
        <v>0</v>
      </c>
      <c r="AJ145" s="529">
        <f t="shared" si="76"/>
        <v>9140</v>
      </c>
    </row>
    <row r="146" spans="1:36" ht="21" thickBot="1">
      <c r="A146" s="530" t="s">
        <v>152</v>
      </c>
      <c r="B146" s="531"/>
      <c r="C146" s="531"/>
      <c r="D146" s="532"/>
      <c r="E146" s="533">
        <f t="shared" ref="E146:K146" si="77">E145/20</f>
        <v>37</v>
      </c>
      <c r="F146" s="534">
        <f t="shared" si="77"/>
        <v>67</v>
      </c>
      <c r="G146" s="534">
        <f t="shared" si="77"/>
        <v>210</v>
      </c>
      <c r="H146" s="534">
        <f t="shared" si="77"/>
        <v>112</v>
      </c>
      <c r="I146" s="534">
        <f t="shared" si="77"/>
        <v>0</v>
      </c>
      <c r="J146" s="534">
        <f t="shared" si="77"/>
        <v>0</v>
      </c>
      <c r="K146" s="586">
        <f t="shared" si="77"/>
        <v>31</v>
      </c>
      <c r="L146" s="575"/>
      <c r="M146" s="576">
        <f>M145/20</f>
        <v>0</v>
      </c>
      <c r="N146" s="577">
        <f t="shared" ref="N146:T146" si="78">N145/20</f>
        <v>0</v>
      </c>
      <c r="O146" s="577">
        <f t="shared" si="78"/>
        <v>0</v>
      </c>
      <c r="P146" s="577">
        <f t="shared" si="78"/>
        <v>0</v>
      </c>
      <c r="Q146" s="577">
        <f t="shared" si="78"/>
        <v>0</v>
      </c>
      <c r="R146" s="577">
        <f t="shared" si="78"/>
        <v>0</v>
      </c>
      <c r="S146" s="577">
        <f t="shared" si="78"/>
        <v>0</v>
      </c>
      <c r="T146" s="586">
        <f t="shared" si="78"/>
        <v>0</v>
      </c>
      <c r="U146" s="575"/>
      <c r="V146" s="576">
        <f>V145/20</f>
        <v>0</v>
      </c>
      <c r="W146" s="577">
        <f t="shared" ref="W146:AJ146" si="79">W145/20</f>
        <v>0</v>
      </c>
      <c r="X146" s="577">
        <f t="shared" si="79"/>
        <v>0</v>
      </c>
      <c r="Y146" s="577">
        <f t="shared" si="79"/>
        <v>0</v>
      </c>
      <c r="Z146" s="577">
        <f t="shared" si="79"/>
        <v>0</v>
      </c>
      <c r="AA146" s="577">
        <f t="shared" si="79"/>
        <v>0</v>
      </c>
      <c r="AB146" s="577">
        <f t="shared" si="79"/>
        <v>0</v>
      </c>
      <c r="AC146" s="586">
        <f t="shared" si="79"/>
        <v>0</v>
      </c>
      <c r="AD146" s="586">
        <f t="shared" si="79"/>
        <v>0</v>
      </c>
      <c r="AE146" s="586">
        <f t="shared" si="79"/>
        <v>457</v>
      </c>
      <c r="AF146" s="601">
        <f t="shared" si="79"/>
        <v>0</v>
      </c>
      <c r="AG146" s="586"/>
      <c r="AH146" s="601">
        <f t="shared" si="79"/>
        <v>457</v>
      </c>
      <c r="AI146" s="601">
        <f t="shared" si="79"/>
        <v>0</v>
      </c>
      <c r="AJ146" s="601">
        <f t="shared" si="79"/>
        <v>457</v>
      </c>
    </row>
    <row r="147" spans="1:36" s="1" customFormat="1" ht="21" customHeight="1" thickBot="1">
      <c r="A147" s="3755" t="s">
        <v>147</v>
      </c>
      <c r="B147" s="3755"/>
      <c r="C147" s="3755"/>
      <c r="D147" s="3755"/>
      <c r="E147" s="3756"/>
      <c r="F147" s="3756"/>
      <c r="G147" s="3756"/>
      <c r="H147" s="3756"/>
      <c r="I147" s="3756"/>
      <c r="J147" s="3756"/>
      <c r="K147" s="3756"/>
      <c r="L147" s="3755"/>
      <c r="M147" s="3755"/>
      <c r="N147" s="3755"/>
      <c r="O147" s="3755"/>
      <c r="P147" s="3755"/>
      <c r="Q147" s="3755"/>
      <c r="R147" s="3755"/>
      <c r="S147" s="3755"/>
      <c r="T147" s="3755"/>
      <c r="U147" s="3755"/>
      <c r="V147" s="3755"/>
      <c r="W147" s="3755"/>
      <c r="X147" s="3755"/>
      <c r="Y147" s="3755"/>
      <c r="Z147" s="3755"/>
      <c r="AA147" s="3755"/>
      <c r="AB147" s="3755"/>
      <c r="AC147" s="3755"/>
      <c r="AD147" s="3755"/>
      <c r="AE147" s="3755"/>
      <c r="AF147" s="3755"/>
      <c r="AG147" s="3755"/>
      <c r="AH147" s="3755"/>
      <c r="AI147" s="3755"/>
      <c r="AJ147" s="3755"/>
    </row>
    <row r="148" spans="1:36" ht="24" thickBot="1">
      <c r="A148" s="3888" t="s">
        <v>4</v>
      </c>
      <c r="B148" s="3889"/>
      <c r="C148" s="3889"/>
      <c r="D148" s="3890"/>
      <c r="E148" s="3891" t="s">
        <v>409</v>
      </c>
      <c r="F148" s="3892"/>
      <c r="G148" s="3892"/>
      <c r="H148" s="3892"/>
      <c r="I148" s="3892"/>
      <c r="J148" s="3892"/>
      <c r="K148" s="3904"/>
      <c r="L148" s="336"/>
      <c r="M148" s="3893" t="s">
        <v>410</v>
      </c>
      <c r="N148" s="3894"/>
      <c r="O148" s="3894"/>
      <c r="P148" s="3894"/>
      <c r="Q148" s="3894"/>
      <c r="R148" s="3894"/>
      <c r="S148" s="3894"/>
      <c r="T148" s="3895"/>
      <c r="U148" s="364"/>
      <c r="V148" s="3893" t="s">
        <v>411</v>
      </c>
      <c r="W148" s="3894"/>
      <c r="X148" s="3894"/>
      <c r="Y148" s="3894"/>
      <c r="Z148" s="3894"/>
      <c r="AA148" s="3894"/>
      <c r="AB148" s="3894"/>
      <c r="AC148" s="3895"/>
      <c r="AD148" s="364"/>
      <c r="AE148" s="3893"/>
      <c r="AF148" s="3894"/>
      <c r="AG148" s="3894"/>
      <c r="AH148" s="3894"/>
      <c r="AI148" s="3894"/>
      <c r="AJ148" s="3895"/>
    </row>
    <row r="149" spans="1:36" s="276" customFormat="1" ht="30.75" thickBot="1">
      <c r="A149" s="535" t="s">
        <v>148</v>
      </c>
      <c r="B149" s="287" t="s">
        <v>68</v>
      </c>
      <c r="C149" s="536" t="s">
        <v>69</v>
      </c>
      <c r="D149" s="536" t="s">
        <v>70</v>
      </c>
      <c r="E149" s="743" t="s">
        <v>86</v>
      </c>
      <c r="F149" s="744" t="s">
        <v>91</v>
      </c>
      <c r="G149" s="744" t="s">
        <v>245</v>
      </c>
      <c r="H149" s="744" t="s">
        <v>238</v>
      </c>
      <c r="I149" s="744" t="s">
        <v>90</v>
      </c>
      <c r="J149" s="744" t="s">
        <v>85</v>
      </c>
      <c r="K149" s="50" t="s">
        <v>123</v>
      </c>
      <c r="L149" s="79"/>
      <c r="M149" s="743" t="s">
        <v>95</v>
      </c>
      <c r="N149" s="744" t="s">
        <v>94</v>
      </c>
      <c r="O149" s="744" t="s">
        <v>190</v>
      </c>
      <c r="P149" s="744" t="s">
        <v>123</v>
      </c>
      <c r="Q149" s="744" t="s">
        <v>119</v>
      </c>
      <c r="R149" s="744" t="s">
        <v>101</v>
      </c>
      <c r="S149" s="744" t="s">
        <v>92</v>
      </c>
      <c r="T149" s="783" t="s">
        <v>124</v>
      </c>
      <c r="U149" s="578"/>
      <c r="V149" s="764">
        <f>V3</f>
        <v>0</v>
      </c>
      <c r="W149" s="765">
        <f>W3</f>
        <v>0</v>
      </c>
      <c r="X149" s="766">
        <f>X113</f>
        <v>0</v>
      </c>
      <c r="Y149" s="770">
        <f>Y113</f>
        <v>0</v>
      </c>
      <c r="Z149" s="770">
        <f>Z113</f>
        <v>0</v>
      </c>
      <c r="AA149" s="765" t="str">
        <f>AA113</f>
        <v>P.Silver</v>
      </c>
      <c r="AB149" s="771">
        <f>AB3</f>
        <v>0</v>
      </c>
      <c r="AC149" s="772">
        <f>AC3</f>
        <v>0</v>
      </c>
      <c r="AD149" s="589"/>
      <c r="AE149" s="590" t="s">
        <v>172</v>
      </c>
      <c r="AF149" s="591" t="s">
        <v>80</v>
      </c>
      <c r="AG149" s="602" t="s">
        <v>150</v>
      </c>
      <c r="AH149" s="603" t="s">
        <v>106</v>
      </c>
      <c r="AI149" s="602" t="s">
        <v>173</v>
      </c>
      <c r="AJ149" s="604" t="s">
        <v>108</v>
      </c>
    </row>
    <row r="150" spans="1:36" s="234" customFormat="1" ht="20.25">
      <c r="A150" s="547" t="s">
        <v>618</v>
      </c>
      <c r="B150" s="545"/>
      <c r="C150" s="539"/>
      <c r="D150" s="544">
        <v>46116</v>
      </c>
      <c r="E150" s="3207"/>
      <c r="F150" s="434"/>
      <c r="G150" s="334">
        <f>5*20</f>
        <v>100</v>
      </c>
      <c r="H150" s="334"/>
      <c r="I150" s="435"/>
      <c r="J150" s="333"/>
      <c r="K150" s="798"/>
      <c r="L150" s="361"/>
      <c r="M150" s="362"/>
      <c r="N150" s="334"/>
      <c r="O150" s="334"/>
      <c r="P150" s="334"/>
      <c r="Q150" s="334"/>
      <c r="R150" s="334"/>
      <c r="S150" s="334"/>
      <c r="T150" s="818"/>
      <c r="U150" s="361"/>
      <c r="V150" s="362"/>
      <c r="W150" s="334"/>
      <c r="X150" s="334"/>
      <c r="Y150" s="334"/>
      <c r="Z150" s="334"/>
      <c r="AA150" s="334"/>
      <c r="AB150" s="334"/>
      <c r="AC150" s="383"/>
      <c r="AD150" s="361"/>
      <c r="AE150" s="419">
        <f t="shared" ref="AE150" si="80">SUM(E150:AC150)</f>
        <v>100</v>
      </c>
      <c r="AF150" s="420"/>
      <c r="AG150" s="419"/>
      <c r="AH150" s="420">
        <f>AE150+AF150+AG150</f>
        <v>100</v>
      </c>
      <c r="AI150" s="421"/>
      <c r="AJ150" s="422">
        <f>AH150+AI150</f>
        <v>100</v>
      </c>
    </row>
    <row r="151" spans="1:36" s="234" customFormat="1" ht="20.25">
      <c r="A151" s="537" t="s">
        <v>621</v>
      </c>
      <c r="B151" s="545"/>
      <c r="C151" s="539"/>
      <c r="D151" s="544">
        <v>46119</v>
      </c>
      <c r="E151" s="1177">
        <f>3*20</f>
        <v>60</v>
      </c>
      <c r="F151" s="320">
        <f>2*20</f>
        <v>40</v>
      </c>
      <c r="G151" s="321">
        <f>4*20</f>
        <v>80</v>
      </c>
      <c r="H151" s="321">
        <f>3*20</f>
        <v>60</v>
      </c>
      <c r="I151" s="321"/>
      <c r="J151" s="320"/>
      <c r="K151" s="351">
        <f>3*20</f>
        <v>60</v>
      </c>
      <c r="L151" s="352"/>
      <c r="M151" s="353"/>
      <c r="N151" s="321"/>
      <c r="O151" s="321"/>
      <c r="P151" s="321"/>
      <c r="Q151" s="321"/>
      <c r="R151" s="321"/>
      <c r="S151" s="321"/>
      <c r="T151" s="363"/>
      <c r="U151" s="352"/>
      <c r="V151" s="353"/>
      <c r="W151" s="321"/>
      <c r="X151" s="321"/>
      <c r="Y151" s="321"/>
      <c r="Z151" s="321"/>
      <c r="AA151" s="321"/>
      <c r="AB151" s="321"/>
      <c r="AC151" s="380"/>
      <c r="AD151" s="352"/>
      <c r="AE151" s="408">
        <f t="shared" ref="AE151:AE190" si="81">SUM(E151:AC151)</f>
        <v>300</v>
      </c>
      <c r="AF151" s="409"/>
      <c r="AG151" s="408"/>
      <c r="AH151" s="409">
        <f t="shared" ref="AH151:AH210" si="82">AE151+AF151+AG151</f>
        <v>300</v>
      </c>
      <c r="AI151" s="410"/>
      <c r="AJ151" s="411">
        <f t="shared" ref="AJ151:AJ210" si="83">AH151+AI151</f>
        <v>300</v>
      </c>
    </row>
    <row r="152" spans="1:36" s="276" customFormat="1" ht="20.25">
      <c r="A152" s="537" t="s">
        <v>623</v>
      </c>
      <c r="B152" s="545"/>
      <c r="C152" s="539"/>
      <c r="D152" s="544">
        <v>46119</v>
      </c>
      <c r="E152" s="3208">
        <f>2*20</f>
        <v>40</v>
      </c>
      <c r="F152" s="542">
        <f>2*20</f>
        <v>40</v>
      </c>
      <c r="G152" s="543">
        <f>2*20</f>
        <v>40</v>
      </c>
      <c r="H152" s="543">
        <f>2*20</f>
        <v>40</v>
      </c>
      <c r="I152" s="543"/>
      <c r="J152" s="542"/>
      <c r="K152" s="579">
        <f>2*20</f>
        <v>40</v>
      </c>
      <c r="L152" s="580"/>
      <c r="M152" s="581"/>
      <c r="N152" s="543"/>
      <c r="O152" s="543"/>
      <c r="P152" s="543"/>
      <c r="Q152" s="543"/>
      <c r="R152" s="543"/>
      <c r="S152" s="543"/>
      <c r="T152" s="767"/>
      <c r="U152" s="580"/>
      <c r="V152" s="581"/>
      <c r="W152" s="543"/>
      <c r="X152" s="543"/>
      <c r="Y152" s="543"/>
      <c r="Z152" s="543"/>
      <c r="AA152" s="543"/>
      <c r="AB152" s="543"/>
      <c r="AC152" s="592"/>
      <c r="AD152" s="580"/>
      <c r="AE152" s="593">
        <f t="shared" si="81"/>
        <v>200</v>
      </c>
      <c r="AF152" s="594"/>
      <c r="AG152" s="593"/>
      <c r="AH152" s="594">
        <f t="shared" si="82"/>
        <v>200</v>
      </c>
      <c r="AI152" s="605"/>
      <c r="AJ152" s="606">
        <f t="shared" si="83"/>
        <v>200</v>
      </c>
    </row>
    <row r="153" spans="1:36" s="276" customFormat="1" ht="20.25">
      <c r="A153" s="537" t="s">
        <v>624</v>
      </c>
      <c r="B153" s="548"/>
      <c r="C153" s="549"/>
      <c r="D153" s="544">
        <v>46120</v>
      </c>
      <c r="E153" s="3208">
        <f>2*20</f>
        <v>40</v>
      </c>
      <c r="F153" s="542"/>
      <c r="G153" s="543">
        <f>2*20</f>
        <v>40</v>
      </c>
      <c r="H153" s="543">
        <f>3*20</f>
        <v>60</v>
      </c>
      <c r="I153" s="543"/>
      <c r="J153" s="542"/>
      <c r="K153" s="579"/>
      <c r="L153" s="580"/>
      <c r="M153" s="581"/>
      <c r="N153" s="543"/>
      <c r="O153" s="543"/>
      <c r="P153" s="543"/>
      <c r="Q153" s="543"/>
      <c r="R153" s="543"/>
      <c r="S153" s="543"/>
      <c r="T153" s="767"/>
      <c r="U153" s="580"/>
      <c r="V153" s="581"/>
      <c r="W153" s="543"/>
      <c r="X153" s="543"/>
      <c r="Y153" s="543"/>
      <c r="Z153" s="543"/>
      <c r="AA153" s="543"/>
      <c r="AB153" s="543"/>
      <c r="AC153" s="592"/>
      <c r="AD153" s="580"/>
      <c r="AE153" s="593">
        <f t="shared" si="81"/>
        <v>140</v>
      </c>
      <c r="AF153" s="820"/>
      <c r="AG153" s="545"/>
      <c r="AH153" s="594">
        <f t="shared" si="82"/>
        <v>140</v>
      </c>
      <c r="AI153" s="544"/>
      <c r="AJ153" s="606">
        <f t="shared" si="83"/>
        <v>140</v>
      </c>
    </row>
    <row r="154" spans="1:36" s="234" customFormat="1" ht="20.25">
      <c r="A154" s="537" t="s">
        <v>628</v>
      </c>
      <c r="B154" s="548"/>
      <c r="C154" s="549"/>
      <c r="D154" s="544">
        <v>46122</v>
      </c>
      <c r="E154" s="1177">
        <f>2*20</f>
        <v>40</v>
      </c>
      <c r="F154" s="320"/>
      <c r="G154" s="321">
        <f>3*20</f>
        <v>60</v>
      </c>
      <c r="H154" s="321">
        <f>1*20</f>
        <v>20</v>
      </c>
      <c r="I154" s="321"/>
      <c r="J154" s="320"/>
      <c r="K154" s="351"/>
      <c r="L154" s="352"/>
      <c r="M154" s="353"/>
      <c r="N154" s="321"/>
      <c r="O154" s="321"/>
      <c r="P154" s="582"/>
      <c r="Q154" s="321"/>
      <c r="R154" s="321"/>
      <c r="S154" s="321"/>
      <c r="T154" s="363"/>
      <c r="U154" s="352"/>
      <c r="V154" s="353"/>
      <c r="W154" s="321"/>
      <c r="X154" s="321"/>
      <c r="Y154" s="321"/>
      <c r="Z154" s="321"/>
      <c r="AA154" s="321"/>
      <c r="AB154" s="321"/>
      <c r="AC154" s="380"/>
      <c r="AD154" s="352"/>
      <c r="AE154" s="408">
        <f t="shared" si="81"/>
        <v>120</v>
      </c>
      <c r="AF154" s="409"/>
      <c r="AG154" s="408"/>
      <c r="AH154" s="409">
        <f t="shared" si="82"/>
        <v>120</v>
      </c>
      <c r="AI154" s="410"/>
      <c r="AJ154" s="411">
        <f t="shared" si="83"/>
        <v>120</v>
      </c>
    </row>
    <row r="155" spans="1:36" s="276" customFormat="1" ht="20.25">
      <c r="A155" s="551" t="s">
        <v>632</v>
      </c>
      <c r="B155" s="563"/>
      <c r="C155" s="553"/>
      <c r="D155" s="544">
        <v>46124</v>
      </c>
      <c r="E155" s="3208">
        <f>12*20</f>
        <v>240</v>
      </c>
      <c r="F155" s="542">
        <f>12*20</f>
        <v>240</v>
      </c>
      <c r="G155" s="543">
        <f>12*20</f>
        <v>240</v>
      </c>
      <c r="H155" s="543">
        <f>12*20</f>
        <v>240</v>
      </c>
      <c r="I155" s="543"/>
      <c r="J155" s="542"/>
      <c r="K155" s="579">
        <f>12*20</f>
        <v>240</v>
      </c>
      <c r="L155" s="580"/>
      <c r="M155" s="581"/>
      <c r="N155" s="543"/>
      <c r="O155" s="543"/>
      <c r="P155" s="558"/>
      <c r="Q155" s="543"/>
      <c r="R155" s="543"/>
      <c r="S155" s="543"/>
      <c r="T155" s="767"/>
      <c r="U155" s="580"/>
      <c r="V155" s="581"/>
      <c r="W155" s="543"/>
      <c r="X155" s="543"/>
      <c r="Y155" s="543"/>
      <c r="Z155" s="543"/>
      <c r="AA155" s="543"/>
      <c r="AB155" s="543"/>
      <c r="AC155" s="592"/>
      <c r="AD155" s="580"/>
      <c r="AE155" s="593">
        <f t="shared" si="81"/>
        <v>1200</v>
      </c>
      <c r="AF155" s="594"/>
      <c r="AG155" s="593"/>
      <c r="AH155" s="594">
        <f t="shared" si="82"/>
        <v>1200</v>
      </c>
      <c r="AI155" s="605"/>
      <c r="AJ155" s="606">
        <f t="shared" si="83"/>
        <v>1200</v>
      </c>
    </row>
    <row r="156" spans="1:36" s="234" customFormat="1" ht="20.25">
      <c r="A156" s="561" t="s">
        <v>623</v>
      </c>
      <c r="B156" s="550"/>
      <c r="C156" s="539"/>
      <c r="D156" s="544">
        <v>46126</v>
      </c>
      <c r="E156" s="1177">
        <f>1*20</f>
        <v>20</v>
      </c>
      <c r="F156" s="320"/>
      <c r="G156" s="321"/>
      <c r="H156" s="321">
        <f>1*20</f>
        <v>20</v>
      </c>
      <c r="I156" s="321"/>
      <c r="J156" s="320"/>
      <c r="K156" s="351"/>
      <c r="L156" s="352"/>
      <c r="M156" s="353"/>
      <c r="N156" s="321"/>
      <c r="O156" s="321"/>
      <c r="P156" s="582"/>
      <c r="Q156" s="321"/>
      <c r="R156" s="321"/>
      <c r="S156" s="321"/>
      <c r="T156" s="363"/>
      <c r="U156" s="352"/>
      <c r="V156" s="353"/>
      <c r="W156" s="321"/>
      <c r="X156" s="321"/>
      <c r="Y156" s="321"/>
      <c r="Z156" s="321"/>
      <c r="AA156" s="321"/>
      <c r="AB156" s="321"/>
      <c r="AC156" s="380"/>
      <c r="AD156" s="352"/>
      <c r="AE156" s="408">
        <f t="shared" si="81"/>
        <v>40</v>
      </c>
      <c r="AF156" s="409"/>
      <c r="AG156" s="408"/>
      <c r="AH156" s="409">
        <f t="shared" si="82"/>
        <v>40</v>
      </c>
      <c r="AI156" s="410"/>
      <c r="AJ156" s="411">
        <f t="shared" si="83"/>
        <v>40</v>
      </c>
    </row>
    <row r="157" spans="1:36" s="276" customFormat="1" ht="20.25">
      <c r="A157" s="561" t="s">
        <v>639</v>
      </c>
      <c r="B157" s="796"/>
      <c r="C157" s="797"/>
      <c r="D157" s="544">
        <v>46126</v>
      </c>
      <c r="E157" s="3209">
        <f>5*20</f>
        <v>100</v>
      </c>
      <c r="F157" s="557">
        <f>10*20</f>
        <v>200</v>
      </c>
      <c r="G157" s="558">
        <f>20*20</f>
        <v>400</v>
      </c>
      <c r="H157" s="558">
        <f>20*20</f>
        <v>400</v>
      </c>
      <c r="I157" s="558"/>
      <c r="J157" s="557"/>
      <c r="K157" s="583">
        <f>5*20</f>
        <v>100</v>
      </c>
      <c r="L157" s="584"/>
      <c r="M157" s="585"/>
      <c r="N157" s="558"/>
      <c r="O157" s="558"/>
      <c r="P157" s="558"/>
      <c r="Q157" s="558"/>
      <c r="R157" s="558"/>
      <c r="S157" s="558"/>
      <c r="T157" s="819"/>
      <c r="U157" s="584"/>
      <c r="V157" s="585"/>
      <c r="W157" s="558"/>
      <c r="X157" s="558"/>
      <c r="Y157" s="558"/>
      <c r="Z157" s="558"/>
      <c r="AA157" s="558"/>
      <c r="AB157" s="558"/>
      <c r="AC157" s="595"/>
      <c r="AD157" s="584"/>
      <c r="AE157" s="596">
        <f t="shared" si="81"/>
        <v>1200</v>
      </c>
      <c r="AF157" s="597"/>
      <c r="AG157" s="596"/>
      <c r="AH157" s="597">
        <f t="shared" si="82"/>
        <v>1200</v>
      </c>
      <c r="AI157" s="607"/>
      <c r="AJ157" s="606">
        <f t="shared" si="83"/>
        <v>1200</v>
      </c>
    </row>
    <row r="158" spans="1:36" s="234" customFormat="1" ht="20.25">
      <c r="A158" s="547" t="s">
        <v>647</v>
      </c>
      <c r="B158" s="545"/>
      <c r="C158" s="539"/>
      <c r="D158" s="544">
        <v>46130</v>
      </c>
      <c r="E158" s="794">
        <f>1*20</f>
        <v>20</v>
      </c>
      <c r="F158" s="320">
        <f>1*20</f>
        <v>20</v>
      </c>
      <c r="G158" s="320">
        <f>1*20</f>
        <v>20</v>
      </c>
      <c r="H158" s="321">
        <f>1*20</f>
        <v>20</v>
      </c>
      <c r="I158" s="321"/>
      <c r="J158" s="320"/>
      <c r="K158" s="351"/>
      <c r="L158" s="352"/>
      <c r="M158" s="353"/>
      <c r="N158" s="321"/>
      <c r="O158" s="321"/>
      <c r="P158" s="582"/>
      <c r="Q158" s="321"/>
      <c r="R158" s="321"/>
      <c r="S158" s="321"/>
      <c r="T158" s="363"/>
      <c r="U158" s="352"/>
      <c r="V158" s="353"/>
      <c r="W158" s="321"/>
      <c r="X158" s="321"/>
      <c r="Y158" s="321"/>
      <c r="Z158" s="321"/>
      <c r="AA158" s="321"/>
      <c r="AB158" s="321"/>
      <c r="AC158" s="380"/>
      <c r="AD158" s="352"/>
      <c r="AE158" s="408">
        <f t="shared" si="81"/>
        <v>80</v>
      </c>
      <c r="AF158" s="409"/>
      <c r="AG158" s="408"/>
      <c r="AH158" s="409">
        <f t="shared" si="82"/>
        <v>80</v>
      </c>
      <c r="AI158" s="410"/>
      <c r="AJ158" s="411">
        <f t="shared" si="83"/>
        <v>80</v>
      </c>
    </row>
    <row r="159" spans="1:36" s="276" customFormat="1" ht="20.25">
      <c r="A159" s="547" t="s">
        <v>653</v>
      </c>
      <c r="B159" s="552"/>
      <c r="C159" s="553"/>
      <c r="D159" s="3369">
        <v>46130</v>
      </c>
      <c r="E159" s="794">
        <f>2*20</f>
        <v>40</v>
      </c>
      <c r="F159" s="320"/>
      <c r="G159" s="320">
        <f>4*20</f>
        <v>80</v>
      </c>
      <c r="H159" s="321"/>
      <c r="I159" s="321"/>
      <c r="J159" s="320"/>
      <c r="K159" s="351"/>
      <c r="L159" s="352"/>
      <c r="M159" s="353"/>
      <c r="N159" s="321"/>
      <c r="O159" s="321"/>
      <c r="P159" s="582"/>
      <c r="Q159" s="321"/>
      <c r="R159" s="321"/>
      <c r="S159" s="321"/>
      <c r="T159" s="354"/>
      <c r="U159" s="352"/>
      <c r="V159" s="353"/>
      <c r="W159" s="321"/>
      <c r="X159" s="321"/>
      <c r="Y159" s="321"/>
      <c r="Z159" s="321"/>
      <c r="AA159" s="321"/>
      <c r="AB159" s="321"/>
      <c r="AC159" s="380"/>
      <c r="AD159" s="352"/>
      <c r="AE159" s="408">
        <f t="shared" ref="AE159:AE161" si="84">SUM(E159:AC159)</f>
        <v>120</v>
      </c>
      <c r="AF159" s="409"/>
      <c r="AG159" s="408"/>
      <c r="AH159" s="409">
        <f t="shared" ref="AH159:AH161" si="85">AE159+AF159+AG159</f>
        <v>120</v>
      </c>
      <c r="AI159" s="410"/>
      <c r="AJ159" s="411">
        <f t="shared" ref="AJ159:AJ161" si="86">AH159+AI159</f>
        <v>120</v>
      </c>
    </row>
    <row r="160" spans="1:36" s="234" customFormat="1" ht="20.25">
      <c r="A160" s="547" t="s">
        <v>655</v>
      </c>
      <c r="B160" s="552"/>
      <c r="C160" s="553"/>
      <c r="D160" s="3369">
        <v>46131</v>
      </c>
      <c r="E160" s="794"/>
      <c r="F160" s="320"/>
      <c r="G160" s="320">
        <f>4*20</f>
        <v>80</v>
      </c>
      <c r="H160" s="321"/>
      <c r="I160" s="321"/>
      <c r="J160" s="320"/>
      <c r="K160" s="351"/>
      <c r="L160" s="352"/>
      <c r="M160" s="353"/>
      <c r="N160" s="321"/>
      <c r="O160" s="321"/>
      <c r="P160" s="582"/>
      <c r="Q160" s="321"/>
      <c r="R160" s="321"/>
      <c r="S160" s="321"/>
      <c r="T160" s="354"/>
      <c r="U160" s="352"/>
      <c r="V160" s="353"/>
      <c r="W160" s="321"/>
      <c r="X160" s="321"/>
      <c r="Y160" s="321"/>
      <c r="Z160" s="321"/>
      <c r="AA160" s="321"/>
      <c r="AB160" s="321"/>
      <c r="AC160" s="380"/>
      <c r="AD160" s="352"/>
      <c r="AE160" s="408">
        <f t="shared" si="84"/>
        <v>80</v>
      </c>
      <c r="AF160" s="409"/>
      <c r="AG160" s="408"/>
      <c r="AH160" s="409">
        <f t="shared" si="85"/>
        <v>80</v>
      </c>
      <c r="AI160" s="410"/>
      <c r="AJ160" s="411">
        <f t="shared" si="86"/>
        <v>80</v>
      </c>
    </row>
    <row r="161" spans="1:36" s="234" customFormat="1" ht="20.25">
      <c r="A161" s="561" t="s">
        <v>656</v>
      </c>
      <c r="B161" s="552"/>
      <c r="C161" s="553"/>
      <c r="D161" s="3369">
        <v>46131</v>
      </c>
      <c r="E161" s="794">
        <f>1*20</f>
        <v>20</v>
      </c>
      <c r="F161" s="320">
        <f>1*20</f>
        <v>20</v>
      </c>
      <c r="G161" s="320">
        <f>1*20</f>
        <v>20</v>
      </c>
      <c r="H161" s="321">
        <f>1*20</f>
        <v>20</v>
      </c>
      <c r="I161" s="321"/>
      <c r="J161" s="320"/>
      <c r="K161" s="351">
        <f>1*20</f>
        <v>20</v>
      </c>
      <c r="L161" s="352"/>
      <c r="M161" s="353"/>
      <c r="N161" s="321"/>
      <c r="O161" s="321"/>
      <c r="P161" s="582"/>
      <c r="Q161" s="321"/>
      <c r="R161" s="321"/>
      <c r="S161" s="321"/>
      <c r="T161" s="354"/>
      <c r="U161" s="352"/>
      <c r="V161" s="353"/>
      <c r="W161" s="321"/>
      <c r="X161" s="321"/>
      <c r="Y161" s="321"/>
      <c r="Z161" s="321"/>
      <c r="AA161" s="321"/>
      <c r="AB161" s="321"/>
      <c r="AC161" s="380"/>
      <c r="AD161" s="352"/>
      <c r="AE161" s="408">
        <f t="shared" si="84"/>
        <v>100</v>
      </c>
      <c r="AF161" s="409"/>
      <c r="AG161" s="408"/>
      <c r="AH161" s="409">
        <f t="shared" si="85"/>
        <v>100</v>
      </c>
      <c r="AI161" s="410"/>
      <c r="AJ161" s="411">
        <f t="shared" si="86"/>
        <v>100</v>
      </c>
    </row>
    <row r="162" spans="1:36" s="276" customFormat="1" ht="20.25">
      <c r="A162" s="547" t="s">
        <v>657</v>
      </c>
      <c r="B162" s="796"/>
      <c r="C162" s="797"/>
      <c r="D162" s="544">
        <v>46132</v>
      </c>
      <c r="E162" s="1175">
        <f>2*20</f>
        <v>40</v>
      </c>
      <c r="F162" s="542">
        <f>2*20</f>
        <v>40</v>
      </c>
      <c r="G162" s="542"/>
      <c r="H162" s="543">
        <f>2*20</f>
        <v>40</v>
      </c>
      <c r="I162" s="543"/>
      <c r="J162" s="542"/>
      <c r="K162" s="579"/>
      <c r="L162" s="580"/>
      <c r="M162" s="581"/>
      <c r="N162" s="543"/>
      <c r="O162" s="543"/>
      <c r="P162" s="558"/>
      <c r="Q162" s="543"/>
      <c r="R162" s="543"/>
      <c r="S162" s="543"/>
      <c r="T162" s="767"/>
      <c r="U162" s="580"/>
      <c r="V162" s="581"/>
      <c r="W162" s="543"/>
      <c r="X162" s="543"/>
      <c r="Y162" s="543"/>
      <c r="Z162" s="543"/>
      <c r="AA162" s="543"/>
      <c r="AB162" s="543"/>
      <c r="AC162" s="592"/>
      <c r="AD162" s="580"/>
      <c r="AE162" s="593">
        <f t="shared" si="81"/>
        <v>120</v>
      </c>
      <c r="AF162" s="594"/>
      <c r="AG162" s="593"/>
      <c r="AH162" s="594">
        <f t="shared" si="82"/>
        <v>120</v>
      </c>
      <c r="AI162" s="605"/>
      <c r="AJ162" s="606">
        <f t="shared" si="83"/>
        <v>120</v>
      </c>
    </row>
    <row r="163" spans="1:36" s="234" customFormat="1" ht="20.25">
      <c r="A163" s="547" t="s">
        <v>661</v>
      </c>
      <c r="B163" s="552"/>
      <c r="C163" s="553"/>
      <c r="D163" s="3369">
        <v>46133</v>
      </c>
      <c r="E163" s="794">
        <f>2*20</f>
        <v>40</v>
      </c>
      <c r="F163" s="320">
        <f>2*20</f>
        <v>40</v>
      </c>
      <c r="G163" s="320">
        <f>1*20</f>
        <v>20</v>
      </c>
      <c r="H163" s="321">
        <f>1*20</f>
        <v>20</v>
      </c>
      <c r="I163" s="321"/>
      <c r="J163" s="320"/>
      <c r="K163" s="351">
        <f>1*20</f>
        <v>20</v>
      </c>
      <c r="L163" s="352"/>
      <c r="M163" s="353"/>
      <c r="N163" s="321"/>
      <c r="O163" s="321"/>
      <c r="P163" s="582"/>
      <c r="Q163" s="321"/>
      <c r="R163" s="321"/>
      <c r="S163" s="321"/>
      <c r="T163" s="354"/>
      <c r="U163" s="352"/>
      <c r="V163" s="353"/>
      <c r="W163" s="321"/>
      <c r="X163" s="321"/>
      <c r="Y163" s="321"/>
      <c r="Z163" s="321"/>
      <c r="AA163" s="321"/>
      <c r="AB163" s="321"/>
      <c r="AC163" s="380"/>
      <c r="AD163" s="352"/>
      <c r="AE163" s="408">
        <f t="shared" si="81"/>
        <v>140</v>
      </c>
      <c r="AF163" s="409"/>
      <c r="AG163" s="408"/>
      <c r="AH163" s="409">
        <f t="shared" si="82"/>
        <v>140</v>
      </c>
      <c r="AI163" s="410"/>
      <c r="AJ163" s="411">
        <f t="shared" si="83"/>
        <v>140</v>
      </c>
    </row>
    <row r="164" spans="1:36" s="234" customFormat="1" ht="20.25">
      <c r="A164" s="551" t="s">
        <v>623</v>
      </c>
      <c r="B164" s="552"/>
      <c r="C164" s="553"/>
      <c r="D164" s="2787">
        <v>46133</v>
      </c>
      <c r="E164" s="794"/>
      <c r="F164" s="320">
        <f>1*20</f>
        <v>20</v>
      </c>
      <c r="G164" s="320">
        <f>2*20</f>
        <v>40</v>
      </c>
      <c r="H164" s="321">
        <f>1*20</f>
        <v>20</v>
      </c>
      <c r="I164" s="321"/>
      <c r="J164" s="320"/>
      <c r="K164" s="351">
        <f>1*20</f>
        <v>20</v>
      </c>
      <c r="L164" s="352"/>
      <c r="M164" s="353"/>
      <c r="N164" s="321"/>
      <c r="O164" s="321"/>
      <c r="P164" s="582"/>
      <c r="Q164" s="321"/>
      <c r="R164" s="321"/>
      <c r="S164" s="321"/>
      <c r="T164" s="354"/>
      <c r="U164" s="352"/>
      <c r="V164" s="353"/>
      <c r="W164" s="321"/>
      <c r="X164" s="321"/>
      <c r="Y164" s="321"/>
      <c r="Z164" s="321"/>
      <c r="AA164" s="321"/>
      <c r="AB164" s="321"/>
      <c r="AC164" s="380"/>
      <c r="AD164" s="352"/>
      <c r="AE164" s="408">
        <f t="shared" si="81"/>
        <v>100</v>
      </c>
      <c r="AF164" s="409"/>
      <c r="AG164" s="408"/>
      <c r="AH164" s="409">
        <f t="shared" si="82"/>
        <v>100</v>
      </c>
      <c r="AI164" s="410"/>
      <c r="AJ164" s="411">
        <f t="shared" si="83"/>
        <v>100</v>
      </c>
    </row>
    <row r="165" spans="1:36" s="276" customFormat="1" ht="21" thickBot="1">
      <c r="A165" s="561" t="s">
        <v>665</v>
      </c>
      <c r="B165" s="552"/>
      <c r="C165" s="553"/>
      <c r="D165" s="544">
        <v>46134</v>
      </c>
      <c r="E165" s="1175"/>
      <c r="F165" s="542"/>
      <c r="G165" s="542">
        <f>5*20</f>
        <v>100</v>
      </c>
      <c r="H165" s="543">
        <f>2*20</f>
        <v>40</v>
      </c>
      <c r="I165" s="543"/>
      <c r="J165" s="542"/>
      <c r="K165" s="579">
        <f>3*20</f>
        <v>60</v>
      </c>
      <c r="L165" s="580"/>
      <c r="M165" s="581"/>
      <c r="N165" s="543"/>
      <c r="O165" s="543"/>
      <c r="P165" s="558"/>
      <c r="Q165" s="543"/>
      <c r="R165" s="543"/>
      <c r="S165" s="543"/>
      <c r="T165" s="767"/>
      <c r="U165" s="580"/>
      <c r="V165" s="581"/>
      <c r="W165" s="543"/>
      <c r="X165" s="543"/>
      <c r="Y165" s="543"/>
      <c r="Z165" s="543"/>
      <c r="AA165" s="543"/>
      <c r="AB165" s="543"/>
      <c r="AC165" s="592"/>
      <c r="AD165" s="580"/>
      <c r="AE165" s="593">
        <f t="shared" si="81"/>
        <v>200</v>
      </c>
      <c r="AF165" s="594"/>
      <c r="AG165" s="593"/>
      <c r="AH165" s="594">
        <f t="shared" si="82"/>
        <v>200</v>
      </c>
      <c r="AI165" s="605"/>
      <c r="AJ165" s="606">
        <f t="shared" si="83"/>
        <v>200</v>
      </c>
    </row>
    <row r="166" spans="1:36" s="234" customFormat="1" ht="21" thickBot="1">
      <c r="A166" s="547" t="s">
        <v>619</v>
      </c>
      <c r="B166" s="552"/>
      <c r="C166" s="553"/>
      <c r="D166" s="2569">
        <v>46135</v>
      </c>
      <c r="E166" s="794">
        <f>1*20</f>
        <v>20</v>
      </c>
      <c r="F166" s="320">
        <f>1*20</f>
        <v>20</v>
      </c>
      <c r="G166" s="320">
        <f>1*20</f>
        <v>20</v>
      </c>
      <c r="H166" s="321">
        <f>1*20</f>
        <v>20</v>
      </c>
      <c r="I166" s="321"/>
      <c r="J166" s="320"/>
      <c r="K166" s="351">
        <f>1*20</f>
        <v>20</v>
      </c>
      <c r="L166" s="352"/>
      <c r="M166" s="353"/>
      <c r="N166" s="321"/>
      <c r="O166" s="321"/>
      <c r="P166" s="321"/>
      <c r="Q166" s="321"/>
      <c r="R166" s="321"/>
      <c r="S166" s="321"/>
      <c r="T166" s="354"/>
      <c r="U166" s="352"/>
      <c r="V166" s="353"/>
      <c r="W166" s="321"/>
      <c r="X166" s="321"/>
      <c r="Y166" s="321"/>
      <c r="Z166" s="321"/>
      <c r="AA166" s="321"/>
      <c r="AB166" s="321"/>
      <c r="AC166" s="380"/>
      <c r="AD166" s="352"/>
      <c r="AE166" s="408">
        <f t="shared" si="81"/>
        <v>100</v>
      </c>
      <c r="AF166" s="409"/>
      <c r="AG166" s="408"/>
      <c r="AH166" s="409">
        <f t="shared" si="82"/>
        <v>100</v>
      </c>
      <c r="AI166" s="410"/>
      <c r="AJ166" s="411">
        <f t="shared" si="83"/>
        <v>100</v>
      </c>
    </row>
    <row r="167" spans="1:36" s="276" customFormat="1" ht="20.25">
      <c r="A167" s="551" t="s">
        <v>672</v>
      </c>
      <c r="B167" s="563"/>
      <c r="C167" s="553"/>
      <c r="D167" s="544">
        <v>46136</v>
      </c>
      <c r="E167" s="794"/>
      <c r="F167" s="320"/>
      <c r="G167" s="320">
        <f>1*20</f>
        <v>20</v>
      </c>
      <c r="H167" s="321">
        <f>2*20</f>
        <v>40</v>
      </c>
      <c r="I167" s="321"/>
      <c r="J167" s="320"/>
      <c r="K167" s="351"/>
      <c r="L167" s="352"/>
      <c r="M167" s="353"/>
      <c r="N167" s="321"/>
      <c r="O167" s="321"/>
      <c r="P167" s="321"/>
      <c r="Q167" s="321"/>
      <c r="R167" s="321"/>
      <c r="S167" s="321"/>
      <c r="T167" s="354"/>
      <c r="U167" s="352"/>
      <c r="V167" s="353"/>
      <c r="W167" s="321"/>
      <c r="X167" s="321"/>
      <c r="Y167" s="321"/>
      <c r="Z167" s="321"/>
      <c r="AA167" s="321"/>
      <c r="AB167" s="321"/>
      <c r="AC167" s="380"/>
      <c r="AD167" s="352"/>
      <c r="AE167" s="408">
        <f t="shared" si="81"/>
        <v>60</v>
      </c>
      <c r="AF167" s="409"/>
      <c r="AG167" s="408"/>
      <c r="AH167" s="409">
        <f t="shared" si="82"/>
        <v>60</v>
      </c>
      <c r="AI167" s="410"/>
      <c r="AJ167" s="411">
        <f t="shared" si="83"/>
        <v>60</v>
      </c>
    </row>
    <row r="168" spans="1:36" s="234" customFormat="1" ht="20.25">
      <c r="A168" s="547" t="s">
        <v>674</v>
      </c>
      <c r="B168" s="552"/>
      <c r="C168" s="553"/>
      <c r="D168" s="544">
        <v>46137</v>
      </c>
      <c r="E168" s="1175"/>
      <c r="F168" s="542">
        <f>5*20</f>
        <v>100</v>
      </c>
      <c r="G168" s="542">
        <f>5*20</f>
        <v>100</v>
      </c>
      <c r="H168" s="543">
        <f>5*20</f>
        <v>100</v>
      </c>
      <c r="I168" s="543"/>
      <c r="J168" s="542"/>
      <c r="K168" s="579"/>
      <c r="L168" s="580"/>
      <c r="M168" s="581"/>
      <c r="N168" s="543"/>
      <c r="O168" s="543"/>
      <c r="P168" s="543"/>
      <c r="Q168" s="543"/>
      <c r="R168" s="543"/>
      <c r="S168" s="543"/>
      <c r="T168" s="587"/>
      <c r="U168" s="580"/>
      <c r="V168" s="581"/>
      <c r="W168" s="543"/>
      <c r="X168" s="543"/>
      <c r="Y168" s="543"/>
      <c r="Z168" s="543"/>
      <c r="AA168" s="543"/>
      <c r="AB168" s="543"/>
      <c r="AC168" s="592"/>
      <c r="AD168" s="580"/>
      <c r="AE168" s="593">
        <f t="shared" ref="AE168" si="87">SUM(E168:AC168)</f>
        <v>300</v>
      </c>
      <c r="AF168" s="594"/>
      <c r="AG168" s="593"/>
      <c r="AH168" s="594">
        <f t="shared" si="82"/>
        <v>300</v>
      </c>
      <c r="AI168" s="605"/>
      <c r="AJ168" s="606">
        <f t="shared" si="83"/>
        <v>300</v>
      </c>
    </row>
    <row r="169" spans="1:36" s="276" customFormat="1" ht="20.25">
      <c r="A169" s="547" t="s">
        <v>683</v>
      </c>
      <c r="B169" s="552"/>
      <c r="C169" s="553"/>
      <c r="D169" s="544">
        <v>46140</v>
      </c>
      <c r="E169" s="794"/>
      <c r="F169" s="320"/>
      <c r="G169" s="320">
        <f>3*20</f>
        <v>60</v>
      </c>
      <c r="H169" s="321">
        <f>3*20</f>
        <v>60</v>
      </c>
      <c r="I169" s="321"/>
      <c r="J169" s="320"/>
      <c r="K169" s="351">
        <f>1*20</f>
        <v>20</v>
      </c>
      <c r="L169" s="352"/>
      <c r="M169" s="353"/>
      <c r="N169" s="321"/>
      <c r="O169" s="321"/>
      <c r="P169" s="321"/>
      <c r="Q169" s="321"/>
      <c r="R169" s="321"/>
      <c r="S169" s="321"/>
      <c r="T169" s="354"/>
      <c r="U169" s="352"/>
      <c r="V169" s="353"/>
      <c r="W169" s="321"/>
      <c r="X169" s="321"/>
      <c r="Y169" s="321"/>
      <c r="Z169" s="321"/>
      <c r="AA169" s="321"/>
      <c r="AB169" s="321"/>
      <c r="AC169" s="380"/>
      <c r="AD169" s="352"/>
      <c r="AE169" s="408">
        <f t="shared" si="81"/>
        <v>140</v>
      </c>
      <c r="AF169" s="409"/>
      <c r="AG169" s="408"/>
      <c r="AH169" s="409">
        <f t="shared" si="82"/>
        <v>140</v>
      </c>
      <c r="AI169" s="410"/>
      <c r="AJ169" s="411">
        <f t="shared" si="83"/>
        <v>140</v>
      </c>
    </row>
    <row r="170" spans="1:36" s="234" customFormat="1" ht="20.25">
      <c r="A170" s="547" t="s">
        <v>685</v>
      </c>
      <c r="B170" s="552"/>
      <c r="C170" s="553"/>
      <c r="D170" s="544">
        <v>46141</v>
      </c>
      <c r="E170" s="1175"/>
      <c r="F170" s="542">
        <f>4*20</f>
        <v>80</v>
      </c>
      <c r="G170" s="542">
        <f>4*20</f>
        <v>80</v>
      </c>
      <c r="H170" s="543">
        <f>4*20</f>
        <v>80</v>
      </c>
      <c r="I170" s="543"/>
      <c r="J170" s="542"/>
      <c r="K170" s="579"/>
      <c r="L170" s="580"/>
      <c r="M170" s="581"/>
      <c r="N170" s="543"/>
      <c r="O170" s="543"/>
      <c r="P170" s="543"/>
      <c r="Q170" s="543"/>
      <c r="R170" s="543"/>
      <c r="S170" s="543"/>
      <c r="T170" s="587"/>
      <c r="U170" s="580"/>
      <c r="V170" s="581"/>
      <c r="W170" s="543"/>
      <c r="X170" s="543"/>
      <c r="Y170" s="543"/>
      <c r="Z170" s="543"/>
      <c r="AA170" s="543"/>
      <c r="AB170" s="543"/>
      <c r="AC170" s="592"/>
      <c r="AD170" s="580"/>
      <c r="AE170" s="593">
        <f t="shared" si="81"/>
        <v>240</v>
      </c>
      <c r="AF170" s="594"/>
      <c r="AG170" s="593"/>
      <c r="AH170" s="594">
        <f t="shared" si="82"/>
        <v>240</v>
      </c>
      <c r="AI170" s="605"/>
      <c r="AJ170" s="606">
        <f t="shared" si="83"/>
        <v>240</v>
      </c>
    </row>
    <row r="171" spans="1:36" s="276" customFormat="1" ht="20.25">
      <c r="A171" s="537" t="s">
        <v>687</v>
      </c>
      <c r="B171" s="552"/>
      <c r="C171" s="553"/>
      <c r="D171" s="555">
        <v>46141</v>
      </c>
      <c r="E171" s="794"/>
      <c r="F171" s="320">
        <f>2*20</f>
        <v>40</v>
      </c>
      <c r="G171" s="320">
        <f>2*20</f>
        <v>40</v>
      </c>
      <c r="H171" s="321">
        <f>3*20</f>
        <v>60</v>
      </c>
      <c r="I171" s="321"/>
      <c r="J171" s="320"/>
      <c r="K171" s="351"/>
      <c r="L171" s="352"/>
      <c r="M171" s="353"/>
      <c r="N171" s="321"/>
      <c r="O171" s="321"/>
      <c r="P171" s="321"/>
      <c r="Q171" s="321"/>
      <c r="R171" s="321"/>
      <c r="S171" s="321"/>
      <c r="T171" s="354"/>
      <c r="U171" s="352"/>
      <c r="V171" s="353"/>
      <c r="W171" s="321"/>
      <c r="X171" s="321"/>
      <c r="Y171" s="321"/>
      <c r="Z171" s="321"/>
      <c r="AA171" s="321"/>
      <c r="AB171" s="321"/>
      <c r="AC171" s="380"/>
      <c r="AD171" s="352"/>
      <c r="AE171" s="408">
        <f t="shared" si="81"/>
        <v>140</v>
      </c>
      <c r="AF171" s="409"/>
      <c r="AG171" s="408"/>
      <c r="AH171" s="409">
        <f t="shared" si="82"/>
        <v>140</v>
      </c>
      <c r="AI171" s="410"/>
      <c r="AJ171" s="411">
        <f t="shared" si="83"/>
        <v>140</v>
      </c>
    </row>
    <row r="172" spans="1:36" s="276" customFormat="1" ht="20.25">
      <c r="A172" s="537" t="s">
        <v>659</v>
      </c>
      <c r="B172" s="552"/>
      <c r="C172" s="553"/>
      <c r="D172" s="555">
        <v>46142</v>
      </c>
      <c r="E172" s="1175"/>
      <c r="F172" s="542">
        <f>4*20</f>
        <v>80</v>
      </c>
      <c r="G172" s="542">
        <f>2*20</f>
        <v>40</v>
      </c>
      <c r="H172" s="543">
        <f>3*20</f>
        <v>60</v>
      </c>
      <c r="I172" s="543"/>
      <c r="J172" s="542"/>
      <c r="K172" s="579"/>
      <c r="L172" s="580"/>
      <c r="M172" s="581"/>
      <c r="N172" s="543"/>
      <c r="O172" s="543"/>
      <c r="P172" s="543"/>
      <c r="Q172" s="543"/>
      <c r="R172" s="543"/>
      <c r="S172" s="543"/>
      <c r="T172" s="587"/>
      <c r="U172" s="580"/>
      <c r="V172" s="581"/>
      <c r="W172" s="543"/>
      <c r="X172" s="543"/>
      <c r="Y172" s="543"/>
      <c r="Z172" s="543"/>
      <c r="AA172" s="543"/>
      <c r="AB172" s="543"/>
      <c r="AC172" s="592"/>
      <c r="AD172" s="580"/>
      <c r="AE172" s="593">
        <f t="shared" si="81"/>
        <v>180</v>
      </c>
      <c r="AF172" s="594"/>
      <c r="AG172" s="593"/>
      <c r="AH172" s="594">
        <f t="shared" si="82"/>
        <v>180</v>
      </c>
      <c r="AI172" s="605"/>
      <c r="AJ172" s="606">
        <f t="shared" si="83"/>
        <v>180</v>
      </c>
    </row>
    <row r="173" spans="1:36" s="234" customFormat="1" ht="20.25">
      <c r="A173" s="537"/>
      <c r="B173" s="552"/>
      <c r="C173" s="553"/>
      <c r="D173" s="544"/>
      <c r="E173" s="794"/>
      <c r="F173" s="320"/>
      <c r="G173" s="320"/>
      <c r="H173" s="321"/>
      <c r="I173" s="321"/>
      <c r="J173" s="320"/>
      <c r="K173" s="351"/>
      <c r="L173" s="352"/>
      <c r="M173" s="353"/>
      <c r="N173" s="321"/>
      <c r="O173" s="321"/>
      <c r="P173" s="321"/>
      <c r="Q173" s="321"/>
      <c r="R173" s="321"/>
      <c r="S173" s="321"/>
      <c r="T173" s="354"/>
      <c r="U173" s="352"/>
      <c r="V173" s="353"/>
      <c r="W173" s="321"/>
      <c r="X173" s="321"/>
      <c r="Y173" s="321"/>
      <c r="Z173" s="321"/>
      <c r="AA173" s="321"/>
      <c r="AB173" s="321"/>
      <c r="AC173" s="380"/>
      <c r="AD173" s="352"/>
      <c r="AE173" s="408">
        <f t="shared" si="81"/>
        <v>0</v>
      </c>
      <c r="AF173" s="409"/>
      <c r="AG173" s="408"/>
      <c r="AH173" s="409">
        <f>AE173+AF173+AG173</f>
        <v>0</v>
      </c>
      <c r="AI173" s="410"/>
      <c r="AJ173" s="411">
        <f t="shared" si="83"/>
        <v>0</v>
      </c>
    </row>
    <row r="174" spans="1:36" s="276" customFormat="1" ht="20.25">
      <c r="A174" s="561"/>
      <c r="B174" s="538"/>
      <c r="C174" s="3079"/>
      <c r="D174" s="544"/>
      <c r="E174" s="1175"/>
      <c r="F174" s="542"/>
      <c r="G174" s="542"/>
      <c r="H174" s="543"/>
      <c r="I174" s="543"/>
      <c r="J174" s="542"/>
      <c r="K174" s="579"/>
      <c r="L174" s="580"/>
      <c r="M174" s="581"/>
      <c r="N174" s="543"/>
      <c r="O174" s="543"/>
      <c r="P174" s="543"/>
      <c r="Q174" s="543"/>
      <c r="R174" s="543"/>
      <c r="S174" s="543"/>
      <c r="T174" s="587"/>
      <c r="U174" s="580"/>
      <c r="V174" s="581"/>
      <c r="W174" s="543"/>
      <c r="X174" s="543"/>
      <c r="Y174" s="543"/>
      <c r="Z174" s="543"/>
      <c r="AA174" s="543"/>
      <c r="AB174" s="543"/>
      <c r="AC174" s="592"/>
      <c r="AD174" s="580"/>
      <c r="AE174" s="593">
        <f t="shared" si="81"/>
        <v>0</v>
      </c>
      <c r="AF174" s="594"/>
      <c r="AG174" s="593"/>
      <c r="AH174" s="594">
        <f t="shared" si="82"/>
        <v>0</v>
      </c>
      <c r="AI174" s="605"/>
      <c r="AJ174" s="606">
        <f t="shared" si="83"/>
        <v>0</v>
      </c>
    </row>
    <row r="175" spans="1:36" s="234" customFormat="1" ht="20.25">
      <c r="A175" s="537"/>
      <c r="B175" s="552"/>
      <c r="C175" s="553"/>
      <c r="D175" s="544"/>
      <c r="E175" s="1175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/>
      <c r="P175" s="543"/>
      <c r="Q175" s="543"/>
      <c r="R175" s="543"/>
      <c r="S175" s="543"/>
      <c r="T175" s="587"/>
      <c r="U175" s="580"/>
      <c r="V175" s="581"/>
      <c r="W175" s="543"/>
      <c r="X175" s="543"/>
      <c r="Y175" s="543"/>
      <c r="Z175" s="543"/>
      <c r="AA175" s="543"/>
      <c r="AB175" s="543"/>
      <c r="AC175" s="592"/>
      <c r="AD175" s="580"/>
      <c r="AE175" s="593">
        <f t="shared" si="81"/>
        <v>0</v>
      </c>
      <c r="AF175" s="594"/>
      <c r="AG175" s="593"/>
      <c r="AH175" s="594">
        <f t="shared" si="82"/>
        <v>0</v>
      </c>
      <c r="AI175" s="605"/>
      <c r="AJ175" s="606">
        <f t="shared" si="83"/>
        <v>0</v>
      </c>
    </row>
    <row r="176" spans="1:36" s="276" customFormat="1" ht="20.25">
      <c r="A176" s="537"/>
      <c r="B176" s="550"/>
      <c r="C176" s="549"/>
      <c r="D176" s="544"/>
      <c r="E176" s="794"/>
      <c r="F176" s="320"/>
      <c r="G176" s="320"/>
      <c r="H176" s="321"/>
      <c r="I176" s="321"/>
      <c r="J176" s="320"/>
      <c r="K176" s="351"/>
      <c r="L176" s="352"/>
      <c r="M176" s="353"/>
      <c r="N176" s="321"/>
      <c r="O176" s="321"/>
      <c r="P176" s="321"/>
      <c r="Q176" s="321"/>
      <c r="R176" s="321"/>
      <c r="S176" s="321"/>
      <c r="T176" s="354"/>
      <c r="U176" s="352"/>
      <c r="V176" s="353"/>
      <c r="W176" s="321"/>
      <c r="X176" s="321"/>
      <c r="Y176" s="321"/>
      <c r="Z176" s="321"/>
      <c r="AA176" s="321"/>
      <c r="AB176" s="321"/>
      <c r="AC176" s="380"/>
      <c r="AD176" s="352"/>
      <c r="AE176" s="408">
        <f t="shared" si="81"/>
        <v>0</v>
      </c>
      <c r="AF176" s="409"/>
      <c r="AG176" s="408"/>
      <c r="AH176" s="409">
        <f t="shared" si="82"/>
        <v>0</v>
      </c>
      <c r="AI176" s="410"/>
      <c r="AJ176" s="411">
        <f t="shared" si="83"/>
        <v>0</v>
      </c>
    </row>
    <row r="177" spans="1:36" s="234" customFormat="1" ht="26.25">
      <c r="A177" s="537"/>
      <c r="B177" s="538"/>
      <c r="C177" s="539"/>
      <c r="D177" s="544"/>
      <c r="E177" s="1175"/>
      <c r="F177" s="542"/>
      <c r="G177" s="542"/>
      <c r="H177" s="543"/>
      <c r="I177" s="543"/>
      <c r="J177" s="542"/>
      <c r="K177" s="579"/>
      <c r="L177" s="580"/>
      <c r="M177" s="581"/>
      <c r="N177" s="543"/>
      <c r="O177" s="543"/>
      <c r="P177" s="543"/>
      <c r="Q177" s="543"/>
      <c r="R177" s="543"/>
      <c r="S177" s="543"/>
      <c r="T177" s="587"/>
      <c r="U177" s="580"/>
      <c r="V177" s="581"/>
      <c r="W177" s="543"/>
      <c r="X177" s="543"/>
      <c r="Y177" s="543"/>
      <c r="Z177" s="598"/>
      <c r="AA177" s="543"/>
      <c r="AB177" s="543"/>
      <c r="AC177" s="592"/>
      <c r="AD177" s="580"/>
      <c r="AE177" s="593">
        <f t="shared" si="81"/>
        <v>0</v>
      </c>
      <c r="AF177" s="594"/>
      <c r="AG177" s="593"/>
      <c r="AH177" s="594">
        <f t="shared" si="82"/>
        <v>0</v>
      </c>
      <c r="AI177" s="605"/>
      <c r="AJ177" s="606">
        <f t="shared" si="83"/>
        <v>0</v>
      </c>
    </row>
    <row r="178" spans="1:36" s="276" customFormat="1" ht="20.25">
      <c r="A178" s="551"/>
      <c r="B178" s="550"/>
      <c r="C178" s="549"/>
      <c r="D178" s="544"/>
      <c r="E178" s="794"/>
      <c r="F178" s="320"/>
      <c r="G178" s="320"/>
      <c r="H178" s="321"/>
      <c r="I178" s="321"/>
      <c r="J178" s="320"/>
      <c r="K178" s="351"/>
      <c r="L178" s="352"/>
      <c r="M178" s="353"/>
      <c r="N178" s="321"/>
      <c r="O178" s="321"/>
      <c r="P178" s="321"/>
      <c r="Q178" s="321"/>
      <c r="R178" s="321"/>
      <c r="S178" s="321"/>
      <c r="T178" s="354"/>
      <c r="U178" s="352"/>
      <c r="V178" s="353"/>
      <c r="W178" s="321"/>
      <c r="X178" s="321"/>
      <c r="Y178" s="321"/>
      <c r="Z178" s="543"/>
      <c r="AA178" s="321"/>
      <c r="AB178" s="321"/>
      <c r="AC178" s="380"/>
      <c r="AD178" s="352"/>
      <c r="AE178" s="408">
        <f t="shared" si="81"/>
        <v>0</v>
      </c>
      <c r="AF178" s="409"/>
      <c r="AG178" s="408"/>
      <c r="AH178" s="409">
        <f t="shared" si="82"/>
        <v>0</v>
      </c>
      <c r="AI178" s="410"/>
      <c r="AJ178" s="411">
        <f t="shared" si="83"/>
        <v>0</v>
      </c>
    </row>
    <row r="179" spans="1:36" s="234" customFormat="1" ht="20.25">
      <c r="A179" s="537"/>
      <c r="B179" s="550"/>
      <c r="C179" s="549"/>
      <c r="D179" s="544"/>
      <c r="E179" s="1175"/>
      <c r="F179" s="542"/>
      <c r="G179" s="542"/>
      <c r="H179" s="543"/>
      <c r="I179" s="543"/>
      <c r="J179" s="542"/>
      <c r="K179" s="579"/>
      <c r="L179" s="580"/>
      <c r="M179" s="581"/>
      <c r="N179" s="543"/>
      <c r="O179" s="543"/>
      <c r="P179" s="543"/>
      <c r="Q179" s="543"/>
      <c r="R179" s="543"/>
      <c r="S179" s="543"/>
      <c r="T179" s="587"/>
      <c r="U179" s="580"/>
      <c r="V179" s="581"/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si="81"/>
        <v>0</v>
      </c>
      <c r="AF179" s="594"/>
      <c r="AG179" s="593"/>
      <c r="AH179" s="594">
        <f t="shared" si="82"/>
        <v>0</v>
      </c>
      <c r="AI179" s="605"/>
      <c r="AJ179" s="606">
        <f t="shared" si="83"/>
        <v>0</v>
      </c>
    </row>
    <row r="180" spans="1:36" s="276" customFormat="1" ht="20.25">
      <c r="A180" s="551"/>
      <c r="B180" s="550"/>
      <c r="C180" s="549"/>
      <c r="D180" s="544"/>
      <c r="E180" s="794"/>
      <c r="F180" s="320"/>
      <c r="G180" s="320"/>
      <c r="H180" s="321"/>
      <c r="I180" s="321"/>
      <c r="J180" s="320"/>
      <c r="K180" s="351"/>
      <c r="L180" s="352"/>
      <c r="M180" s="353"/>
      <c r="N180" s="321"/>
      <c r="O180" s="321"/>
      <c r="P180" s="321"/>
      <c r="Q180" s="321"/>
      <c r="R180" s="321"/>
      <c r="S180" s="321"/>
      <c r="T180" s="354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81"/>
        <v>0</v>
      </c>
      <c r="AF180" s="409"/>
      <c r="AG180" s="408"/>
      <c r="AH180" s="409">
        <f t="shared" si="82"/>
        <v>0</v>
      </c>
      <c r="AI180" s="410"/>
      <c r="AJ180" s="411">
        <f t="shared" si="83"/>
        <v>0</v>
      </c>
    </row>
    <row r="181" spans="1:36" s="234" customFormat="1" ht="20.25">
      <c r="A181" s="537"/>
      <c r="B181" s="550"/>
      <c r="C181" s="549"/>
      <c r="D181" s="544"/>
      <c r="E181" s="1175"/>
      <c r="F181" s="542"/>
      <c r="G181" s="542"/>
      <c r="H181" s="543"/>
      <c r="I181" s="543"/>
      <c r="J181" s="542"/>
      <c r="K181" s="579"/>
      <c r="L181" s="580"/>
      <c r="M181" s="581"/>
      <c r="N181" s="543"/>
      <c r="O181" s="543"/>
      <c r="P181" s="543"/>
      <c r="Q181" s="543"/>
      <c r="R181" s="543"/>
      <c r="S181" s="543"/>
      <c r="T181" s="587"/>
      <c r="U181" s="580"/>
      <c r="V181" s="581"/>
      <c r="W181" s="543"/>
      <c r="X181" s="543"/>
      <c r="Y181" s="543"/>
      <c r="Z181" s="543"/>
      <c r="AA181" s="543"/>
      <c r="AB181" s="543"/>
      <c r="AC181" s="592"/>
      <c r="AD181" s="580"/>
      <c r="AE181" s="593">
        <f t="shared" si="81"/>
        <v>0</v>
      </c>
      <c r="AF181" s="594"/>
      <c r="AG181" s="593"/>
      <c r="AH181" s="594">
        <f t="shared" si="82"/>
        <v>0</v>
      </c>
      <c r="AI181" s="605"/>
      <c r="AJ181" s="606">
        <f t="shared" si="83"/>
        <v>0</v>
      </c>
    </row>
    <row r="182" spans="1:36" s="276" customFormat="1" ht="20.25">
      <c r="A182" s="537"/>
      <c r="B182" s="1112"/>
      <c r="C182" s="1113"/>
      <c r="D182" s="1114"/>
      <c r="E182" s="794"/>
      <c r="F182" s="320"/>
      <c r="G182" s="320"/>
      <c r="H182" s="321"/>
      <c r="I182" s="321"/>
      <c r="J182" s="320"/>
      <c r="K182" s="351"/>
      <c r="L182" s="352"/>
      <c r="M182" s="353"/>
      <c r="N182" s="321"/>
      <c r="O182" s="321"/>
      <c r="P182" s="321"/>
      <c r="Q182" s="321"/>
      <c r="R182" s="321"/>
      <c r="S182" s="321"/>
      <c r="T182" s="354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81"/>
        <v>0</v>
      </c>
      <c r="AF182" s="409"/>
      <c r="AG182" s="408"/>
      <c r="AH182" s="409">
        <f t="shared" si="82"/>
        <v>0</v>
      </c>
      <c r="AI182" s="410"/>
      <c r="AJ182" s="411">
        <f t="shared" si="83"/>
        <v>0</v>
      </c>
    </row>
    <row r="183" spans="1:36" s="234" customFormat="1" ht="20.25">
      <c r="A183" s="551"/>
      <c r="B183" s="550"/>
      <c r="C183" s="549"/>
      <c r="D183" s="544"/>
      <c r="E183" s="1175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43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81"/>
        <v>0</v>
      </c>
      <c r="AF183" s="594"/>
      <c r="AG183" s="593"/>
      <c r="AH183" s="594">
        <f t="shared" si="82"/>
        <v>0</v>
      </c>
      <c r="AI183" s="605"/>
      <c r="AJ183" s="606">
        <f t="shared" si="83"/>
        <v>0</v>
      </c>
    </row>
    <row r="184" spans="1:36" s="234" customFormat="1" ht="20.25">
      <c r="A184" s="537"/>
      <c r="B184" s="550"/>
      <c r="C184" s="549"/>
      <c r="D184" s="544"/>
      <c r="E184" s="794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54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81"/>
        <v>0</v>
      </c>
      <c r="AF184" s="409"/>
      <c r="AG184" s="408"/>
      <c r="AH184" s="409">
        <f t="shared" si="82"/>
        <v>0</v>
      </c>
      <c r="AI184" s="410"/>
      <c r="AJ184" s="411">
        <f t="shared" si="83"/>
        <v>0</v>
      </c>
    </row>
    <row r="185" spans="1:36" s="276" customFormat="1" ht="20.25">
      <c r="A185" s="537"/>
      <c r="B185" s="550"/>
      <c r="C185" s="549"/>
      <c r="D185" s="544"/>
      <c r="E185" s="1175"/>
      <c r="F185" s="542"/>
      <c r="G185" s="542"/>
      <c r="H185" s="543"/>
      <c r="I185" s="543"/>
      <c r="J185" s="542"/>
      <c r="K185" s="579"/>
      <c r="L185" s="580"/>
      <c r="M185" s="581"/>
      <c r="N185" s="543"/>
      <c r="O185" s="543"/>
      <c r="P185" s="543"/>
      <c r="Q185" s="543"/>
      <c r="R185" s="543"/>
      <c r="S185" s="543"/>
      <c r="T185" s="587"/>
      <c r="U185" s="580"/>
      <c r="V185" s="581"/>
      <c r="W185" s="543"/>
      <c r="X185" s="543"/>
      <c r="Y185" s="543"/>
      <c r="Z185" s="543"/>
      <c r="AA185" s="543"/>
      <c r="AB185" s="543"/>
      <c r="AC185" s="592"/>
      <c r="AD185" s="580"/>
      <c r="AE185" s="593">
        <f t="shared" si="81"/>
        <v>0</v>
      </c>
      <c r="AF185" s="594"/>
      <c r="AG185" s="593"/>
      <c r="AH185" s="594">
        <f t="shared" si="82"/>
        <v>0</v>
      </c>
      <c r="AI185" s="605"/>
      <c r="AJ185" s="606">
        <f t="shared" si="83"/>
        <v>0</v>
      </c>
    </row>
    <row r="186" spans="1:36" s="276" customFormat="1" ht="20.25">
      <c r="A186" s="547"/>
      <c r="B186" s="550"/>
      <c r="C186" s="549"/>
      <c r="D186" s="544"/>
      <c r="E186" s="794"/>
      <c r="F186" s="320"/>
      <c r="G186" s="320"/>
      <c r="H186" s="321"/>
      <c r="I186" s="321"/>
      <c r="J186" s="320"/>
      <c r="K186" s="351"/>
      <c r="L186" s="352"/>
      <c r="M186" s="353"/>
      <c r="N186" s="321"/>
      <c r="O186" s="321"/>
      <c r="P186" s="321"/>
      <c r="Q186" s="321"/>
      <c r="R186" s="321"/>
      <c r="S186" s="321"/>
      <c r="T186" s="354"/>
      <c r="U186" s="352"/>
      <c r="V186" s="353"/>
      <c r="W186" s="321"/>
      <c r="X186" s="321"/>
      <c r="Y186" s="321"/>
      <c r="Z186" s="321"/>
      <c r="AA186" s="321"/>
      <c r="AB186" s="321"/>
      <c r="AC186" s="380"/>
      <c r="AD186" s="352"/>
      <c r="AE186" s="408">
        <f t="shared" si="81"/>
        <v>0</v>
      </c>
      <c r="AF186" s="409"/>
      <c r="AG186" s="408"/>
      <c r="AH186" s="409">
        <f t="shared" si="82"/>
        <v>0</v>
      </c>
      <c r="AI186" s="410"/>
      <c r="AJ186" s="411">
        <f t="shared" si="83"/>
        <v>0</v>
      </c>
    </row>
    <row r="187" spans="1:36" s="234" customFormat="1" ht="20.25">
      <c r="A187" s="537"/>
      <c r="B187" s="550"/>
      <c r="C187" s="549"/>
      <c r="D187" s="544"/>
      <c r="E187" s="794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81"/>
        <v>0</v>
      </c>
      <c r="AF187" s="409"/>
      <c r="AG187" s="408"/>
      <c r="AH187" s="409">
        <f t="shared" si="82"/>
        <v>0</v>
      </c>
      <c r="AI187" s="410"/>
      <c r="AJ187" s="411">
        <f t="shared" si="83"/>
        <v>0</v>
      </c>
    </row>
    <row r="188" spans="1:36" s="276" customFormat="1" ht="20.25">
      <c r="A188" s="551"/>
      <c r="B188" s="552"/>
      <c r="C188" s="553"/>
      <c r="D188" s="544"/>
      <c r="E188" s="1175"/>
      <c r="F188" s="542"/>
      <c r="G188" s="542"/>
      <c r="H188" s="543"/>
      <c r="I188" s="543"/>
      <c r="J188" s="542"/>
      <c r="K188" s="579"/>
      <c r="L188" s="580"/>
      <c r="M188" s="581"/>
      <c r="N188" s="543"/>
      <c r="O188" s="543"/>
      <c r="P188" s="543"/>
      <c r="Q188" s="543"/>
      <c r="R188" s="543"/>
      <c r="S188" s="543"/>
      <c r="T188" s="587"/>
      <c r="U188" s="580"/>
      <c r="V188" s="581"/>
      <c r="W188" s="543"/>
      <c r="X188" s="543"/>
      <c r="Y188" s="543"/>
      <c r="Z188" s="543"/>
      <c r="AA188" s="543"/>
      <c r="AB188" s="543"/>
      <c r="AC188" s="592"/>
      <c r="AD188" s="580"/>
      <c r="AE188" s="593">
        <f t="shared" si="81"/>
        <v>0</v>
      </c>
      <c r="AF188" s="594"/>
      <c r="AG188" s="593"/>
      <c r="AH188" s="594">
        <f t="shared" si="82"/>
        <v>0</v>
      </c>
      <c r="AI188" s="605"/>
      <c r="AJ188" s="606">
        <f t="shared" si="83"/>
        <v>0</v>
      </c>
    </row>
    <row r="189" spans="1:36" s="276" customFormat="1" ht="20.25">
      <c r="A189" s="1111"/>
      <c r="B189" s="1112"/>
      <c r="C189" s="1113"/>
      <c r="D189" s="1114"/>
      <c r="E189" s="1175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81"/>
        <v>0</v>
      </c>
      <c r="AF189" s="594"/>
      <c r="AG189" s="593"/>
      <c r="AH189" s="594">
        <f t="shared" si="82"/>
        <v>0</v>
      </c>
      <c r="AI189" s="605"/>
      <c r="AJ189" s="606">
        <f t="shared" si="83"/>
        <v>0</v>
      </c>
    </row>
    <row r="190" spans="1:36" s="234" customFormat="1" ht="20.25">
      <c r="A190" s="537"/>
      <c r="B190" s="550"/>
      <c r="C190" s="549"/>
      <c r="D190" s="544"/>
      <c r="E190" s="794"/>
      <c r="F190" s="320"/>
      <c r="G190" s="320"/>
      <c r="H190" s="321"/>
      <c r="I190" s="321"/>
      <c r="J190" s="320"/>
      <c r="K190" s="351"/>
      <c r="L190" s="352"/>
      <c r="M190" s="353"/>
      <c r="N190" s="321"/>
      <c r="O190" s="321"/>
      <c r="P190" s="321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593">
        <f t="shared" si="81"/>
        <v>0</v>
      </c>
      <c r="AF190" s="409"/>
      <c r="AG190" s="408"/>
      <c r="AH190" s="409">
        <f t="shared" si="82"/>
        <v>0</v>
      </c>
      <c r="AI190" s="410"/>
      <c r="AJ190" s="411">
        <f t="shared" si="83"/>
        <v>0</v>
      </c>
    </row>
    <row r="191" spans="1:36" s="276" customFormat="1" ht="20.25">
      <c r="A191" s="537"/>
      <c r="B191" s="550"/>
      <c r="C191" s="549"/>
      <c r="D191" s="544"/>
      <c r="E191" s="1175"/>
      <c r="F191" s="542"/>
      <c r="G191" s="542"/>
      <c r="H191" s="543"/>
      <c r="I191" s="543"/>
      <c r="J191" s="542"/>
      <c r="K191" s="579"/>
      <c r="L191" s="580"/>
      <c r="M191" s="581"/>
      <c r="N191" s="543"/>
      <c r="O191" s="543"/>
      <c r="P191" s="543"/>
      <c r="Q191" s="543"/>
      <c r="R191" s="543"/>
      <c r="S191" s="543"/>
      <c r="T191" s="58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ref="AE191:AE210" si="88">SUM(E191:AC191)</f>
        <v>0</v>
      </c>
      <c r="AF191" s="594"/>
      <c r="AG191" s="593"/>
      <c r="AH191" s="594">
        <f t="shared" si="82"/>
        <v>0</v>
      </c>
      <c r="AI191" s="605"/>
      <c r="AJ191" s="606">
        <f t="shared" si="83"/>
        <v>0</v>
      </c>
    </row>
    <row r="192" spans="1:36" s="276" customFormat="1" ht="20.25">
      <c r="A192" s="537"/>
      <c r="B192" s="550"/>
      <c r="C192" s="549"/>
      <c r="D192" s="544"/>
      <c r="E192" s="1175"/>
      <c r="F192" s="542"/>
      <c r="G192" s="542"/>
      <c r="H192" s="543"/>
      <c r="I192" s="543"/>
      <c r="J192" s="542"/>
      <c r="K192" s="579"/>
      <c r="L192" s="580"/>
      <c r="M192" s="581"/>
      <c r="N192" s="543"/>
      <c r="O192" s="543"/>
      <c r="P192" s="543"/>
      <c r="Q192" s="543"/>
      <c r="R192" s="543"/>
      <c r="S192" s="543"/>
      <c r="T192" s="587"/>
      <c r="U192" s="580"/>
      <c r="V192" s="581"/>
      <c r="W192" s="543"/>
      <c r="X192" s="543"/>
      <c r="Y192" s="543"/>
      <c r="Z192" s="543"/>
      <c r="AA192" s="543"/>
      <c r="AB192" s="543"/>
      <c r="AC192" s="592"/>
      <c r="AD192" s="580"/>
      <c r="AE192" s="593">
        <f t="shared" si="88"/>
        <v>0</v>
      </c>
      <c r="AF192" s="594"/>
      <c r="AG192" s="593"/>
      <c r="AH192" s="594">
        <f t="shared" si="82"/>
        <v>0</v>
      </c>
      <c r="AI192" s="605"/>
      <c r="AJ192" s="606">
        <f t="shared" si="83"/>
        <v>0</v>
      </c>
    </row>
    <row r="193" spans="1:36" s="234" customFormat="1" ht="20.25">
      <c r="A193" s="1180"/>
      <c r="B193" s="727"/>
      <c r="C193" s="728"/>
      <c r="D193" s="1181"/>
      <c r="E193" s="794"/>
      <c r="F193" s="320"/>
      <c r="G193" s="320"/>
      <c r="H193" s="321"/>
      <c r="I193" s="321"/>
      <c r="J193" s="320"/>
      <c r="K193" s="351"/>
      <c r="L193" s="352"/>
      <c r="M193" s="353"/>
      <c r="N193" s="321"/>
      <c r="O193" s="321"/>
      <c r="P193" s="321"/>
      <c r="Q193" s="321"/>
      <c r="R193" s="321"/>
      <c r="S193" s="321"/>
      <c r="T193" s="354"/>
      <c r="U193" s="352"/>
      <c r="V193" s="353"/>
      <c r="W193" s="321"/>
      <c r="X193" s="321"/>
      <c r="Y193" s="321"/>
      <c r="Z193" s="321"/>
      <c r="AA193" s="321"/>
      <c r="AB193" s="321"/>
      <c r="AC193" s="380"/>
      <c r="AD193" s="352"/>
      <c r="AE193" s="408">
        <f t="shared" si="88"/>
        <v>0</v>
      </c>
      <c r="AF193" s="409"/>
      <c r="AG193" s="408"/>
      <c r="AH193" s="409">
        <f t="shared" si="82"/>
        <v>0</v>
      </c>
      <c r="AI193" s="410"/>
      <c r="AJ193" s="411">
        <f t="shared" si="83"/>
        <v>0</v>
      </c>
    </row>
    <row r="194" spans="1:36" s="276" customFormat="1" ht="20.25">
      <c r="A194" s="561"/>
      <c r="B194" s="554"/>
      <c r="C194" s="3204"/>
      <c r="D194" s="555"/>
      <c r="E194" s="1175"/>
      <c r="F194" s="542"/>
      <c r="G194" s="542"/>
      <c r="H194" s="543"/>
      <c r="I194" s="543"/>
      <c r="J194" s="542"/>
      <c r="K194" s="579"/>
      <c r="L194" s="580"/>
      <c r="M194" s="581"/>
      <c r="N194" s="543"/>
      <c r="O194" s="543"/>
      <c r="P194" s="543"/>
      <c r="Q194" s="543"/>
      <c r="R194" s="543"/>
      <c r="S194" s="543"/>
      <c r="T194" s="587"/>
      <c r="U194" s="580"/>
      <c r="V194" s="581"/>
      <c r="W194" s="543"/>
      <c r="X194" s="543"/>
      <c r="Y194" s="543"/>
      <c r="Z194" s="543"/>
      <c r="AA194" s="543"/>
      <c r="AB194" s="543"/>
      <c r="AC194" s="592"/>
      <c r="AD194" s="580"/>
      <c r="AE194" s="593">
        <f t="shared" si="88"/>
        <v>0</v>
      </c>
      <c r="AF194" s="594"/>
      <c r="AG194" s="593"/>
      <c r="AH194" s="594">
        <f t="shared" si="82"/>
        <v>0</v>
      </c>
      <c r="AI194" s="605"/>
      <c r="AJ194" s="606">
        <f t="shared" si="83"/>
        <v>0</v>
      </c>
    </row>
    <row r="195" spans="1:36" s="234" customFormat="1" ht="20.25">
      <c r="A195" s="561"/>
      <c r="B195" s="554"/>
      <c r="C195" s="3204"/>
      <c r="D195" s="555"/>
      <c r="E195" s="1175"/>
      <c r="F195" s="542"/>
      <c r="G195" s="542"/>
      <c r="H195" s="543"/>
      <c r="I195" s="543"/>
      <c r="J195" s="542"/>
      <c r="K195" s="579"/>
      <c r="L195" s="580"/>
      <c r="M195" s="581"/>
      <c r="N195" s="543"/>
      <c r="O195" s="543"/>
      <c r="P195" s="543"/>
      <c r="Q195" s="543"/>
      <c r="R195" s="543"/>
      <c r="S195" s="543"/>
      <c r="T195" s="587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si="88"/>
        <v>0</v>
      </c>
      <c r="AF195" s="594"/>
      <c r="AG195" s="593"/>
      <c r="AH195" s="594">
        <f t="shared" si="82"/>
        <v>0</v>
      </c>
      <c r="AI195" s="605"/>
      <c r="AJ195" s="606">
        <f t="shared" si="83"/>
        <v>0</v>
      </c>
    </row>
    <row r="196" spans="1:36" s="276" customFormat="1" ht="20.25">
      <c r="A196" s="1180"/>
      <c r="B196" s="727"/>
      <c r="C196" s="728"/>
      <c r="D196" s="1181"/>
      <c r="E196" s="794"/>
      <c r="F196" s="320"/>
      <c r="G196" s="320"/>
      <c r="H196" s="321"/>
      <c r="I196" s="321"/>
      <c r="J196" s="320"/>
      <c r="K196" s="351"/>
      <c r="L196" s="352"/>
      <c r="M196" s="353"/>
      <c r="N196" s="321"/>
      <c r="O196" s="321"/>
      <c r="P196" s="321"/>
      <c r="Q196" s="321"/>
      <c r="R196" s="321"/>
      <c r="S196" s="321"/>
      <c r="T196" s="354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88"/>
        <v>0</v>
      </c>
      <c r="AF196" s="409"/>
      <c r="AG196" s="408"/>
      <c r="AH196" s="409">
        <f t="shared" si="82"/>
        <v>0</v>
      </c>
      <c r="AI196" s="410"/>
      <c r="AJ196" s="411">
        <f t="shared" si="83"/>
        <v>0</v>
      </c>
    </row>
    <row r="197" spans="1:36" s="234" customFormat="1" ht="20.25">
      <c r="A197" s="561"/>
      <c r="B197" s="554"/>
      <c r="C197" s="3204"/>
      <c r="D197" s="555"/>
      <c r="E197" s="1175"/>
      <c r="F197" s="542"/>
      <c r="G197" s="542"/>
      <c r="H197" s="543"/>
      <c r="I197" s="543"/>
      <c r="J197" s="542"/>
      <c r="K197" s="579"/>
      <c r="L197" s="580"/>
      <c r="M197" s="581"/>
      <c r="N197" s="543"/>
      <c r="O197" s="543"/>
      <c r="P197" s="543"/>
      <c r="Q197" s="543"/>
      <c r="R197" s="543"/>
      <c r="S197" s="543"/>
      <c r="T197" s="587"/>
      <c r="U197" s="580"/>
      <c r="V197" s="581"/>
      <c r="W197" s="543"/>
      <c r="X197" s="543"/>
      <c r="Y197" s="543"/>
      <c r="Z197" s="543"/>
      <c r="AA197" s="543"/>
      <c r="AB197" s="543"/>
      <c r="AC197" s="592"/>
      <c r="AD197" s="580"/>
      <c r="AE197" s="593">
        <f t="shared" si="88"/>
        <v>0</v>
      </c>
      <c r="AF197" s="594"/>
      <c r="AG197" s="593"/>
      <c r="AH197" s="594">
        <f t="shared" si="82"/>
        <v>0</v>
      </c>
      <c r="AI197" s="605"/>
      <c r="AJ197" s="606">
        <f t="shared" si="83"/>
        <v>0</v>
      </c>
    </row>
    <row r="198" spans="1:36" s="234" customFormat="1" ht="20.25">
      <c r="A198" s="1180"/>
      <c r="B198" s="727"/>
      <c r="C198" s="728"/>
      <c r="D198" s="1181"/>
      <c r="E198" s="794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88"/>
        <v>0</v>
      </c>
      <c r="AF198" s="409"/>
      <c r="AG198" s="408"/>
      <c r="AH198" s="409">
        <f t="shared" si="82"/>
        <v>0</v>
      </c>
      <c r="AI198" s="410"/>
      <c r="AJ198" s="411">
        <f t="shared" si="83"/>
        <v>0</v>
      </c>
    </row>
    <row r="199" spans="1:36" s="234" customFormat="1" ht="20.25">
      <c r="A199" s="561"/>
      <c r="B199" s="554"/>
      <c r="C199" s="3204"/>
      <c r="D199" s="555"/>
      <c r="E199" s="1175"/>
      <c r="F199" s="542"/>
      <c r="G199" s="542"/>
      <c r="H199" s="543"/>
      <c r="I199" s="543"/>
      <c r="J199" s="542"/>
      <c r="K199" s="579"/>
      <c r="L199" s="580"/>
      <c r="M199" s="581"/>
      <c r="N199" s="543"/>
      <c r="O199" s="543"/>
      <c r="P199" s="543"/>
      <c r="Q199" s="543"/>
      <c r="R199" s="543"/>
      <c r="S199" s="543"/>
      <c r="T199" s="587"/>
      <c r="U199" s="580"/>
      <c r="V199" s="581"/>
      <c r="W199" s="543"/>
      <c r="X199" s="543"/>
      <c r="Y199" s="543"/>
      <c r="Z199" s="543"/>
      <c r="AA199" s="543"/>
      <c r="AB199" s="543"/>
      <c r="AC199" s="592"/>
      <c r="AD199" s="580"/>
      <c r="AE199" s="593">
        <f t="shared" si="88"/>
        <v>0</v>
      </c>
      <c r="AF199" s="594"/>
      <c r="AG199" s="593"/>
      <c r="AH199" s="594">
        <f t="shared" si="82"/>
        <v>0</v>
      </c>
      <c r="AI199" s="605"/>
      <c r="AJ199" s="606">
        <f t="shared" si="83"/>
        <v>0</v>
      </c>
    </row>
    <row r="200" spans="1:36" s="234" customFormat="1" ht="20.25">
      <c r="A200" s="1180"/>
      <c r="B200" s="727"/>
      <c r="C200" s="728"/>
      <c r="D200" s="1181"/>
      <c r="E200" s="794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88"/>
        <v>0</v>
      </c>
      <c r="AF200" s="409"/>
      <c r="AG200" s="408"/>
      <c r="AH200" s="409">
        <f t="shared" si="82"/>
        <v>0</v>
      </c>
      <c r="AI200" s="410"/>
      <c r="AJ200" s="411">
        <f t="shared" si="83"/>
        <v>0</v>
      </c>
    </row>
    <row r="201" spans="1:36" s="234" customFormat="1" ht="20.25">
      <c r="A201" s="1180"/>
      <c r="B201" s="727"/>
      <c r="C201" s="728"/>
      <c r="D201" s="1181"/>
      <c r="E201" s="794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88"/>
        <v>0</v>
      </c>
      <c r="AF201" s="409"/>
      <c r="AG201" s="408"/>
      <c r="AH201" s="409">
        <f t="shared" si="82"/>
        <v>0</v>
      </c>
      <c r="AI201" s="410"/>
      <c r="AJ201" s="411">
        <f t="shared" si="83"/>
        <v>0</v>
      </c>
    </row>
    <row r="202" spans="1:36" s="234" customFormat="1" ht="20.25">
      <c r="A202" s="1180"/>
      <c r="B202" s="727"/>
      <c r="C202" s="728"/>
      <c r="D202" s="1181"/>
      <c r="E202" s="794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54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88"/>
        <v>0</v>
      </c>
      <c r="AF202" s="409"/>
      <c r="AG202" s="408"/>
      <c r="AH202" s="409">
        <f t="shared" si="82"/>
        <v>0</v>
      </c>
      <c r="AI202" s="410"/>
      <c r="AJ202" s="411">
        <f t="shared" si="83"/>
        <v>0</v>
      </c>
    </row>
    <row r="203" spans="1:36" s="234" customFormat="1" ht="20.25">
      <c r="A203" s="1180"/>
      <c r="B203" s="727"/>
      <c r="C203" s="728"/>
      <c r="D203" s="1181"/>
      <c r="E203" s="794"/>
      <c r="F203" s="320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/>
      <c r="X203" s="321"/>
      <c r="Y203" s="321"/>
      <c r="Z203" s="321"/>
      <c r="AA203" s="321"/>
      <c r="AB203" s="321"/>
      <c r="AC203" s="380"/>
      <c r="AD203" s="352"/>
      <c r="AE203" s="408">
        <f t="shared" si="88"/>
        <v>0</v>
      </c>
      <c r="AF203" s="409"/>
      <c r="AG203" s="408"/>
      <c r="AH203" s="409">
        <f t="shared" si="82"/>
        <v>0</v>
      </c>
      <c r="AI203" s="410"/>
      <c r="AJ203" s="411">
        <f t="shared" si="83"/>
        <v>0</v>
      </c>
    </row>
    <row r="204" spans="1:36" s="234" customFormat="1" ht="20.25">
      <c r="A204" s="1180"/>
      <c r="B204" s="727"/>
      <c r="C204" s="728"/>
      <c r="D204" s="1181"/>
      <c r="E204" s="794"/>
      <c r="F204" s="320"/>
      <c r="G204" s="320"/>
      <c r="H204" s="321"/>
      <c r="I204" s="321"/>
      <c r="J204" s="320"/>
      <c r="K204" s="351"/>
      <c r="L204" s="352"/>
      <c r="M204" s="353"/>
      <c r="N204" s="321"/>
      <c r="O204" s="321"/>
      <c r="P204" s="321"/>
      <c r="Q204" s="321"/>
      <c r="R204" s="321"/>
      <c r="S204" s="321"/>
      <c r="T204" s="354"/>
      <c r="U204" s="352"/>
      <c r="V204" s="353"/>
      <c r="W204" s="321"/>
      <c r="X204" s="321"/>
      <c r="Y204" s="321"/>
      <c r="Z204" s="321"/>
      <c r="AA204" s="321"/>
      <c r="AB204" s="321"/>
      <c r="AC204" s="380"/>
      <c r="AD204" s="352"/>
      <c r="AE204" s="408">
        <f t="shared" si="88"/>
        <v>0</v>
      </c>
      <c r="AF204" s="409"/>
      <c r="AG204" s="408"/>
      <c r="AH204" s="409">
        <f t="shared" si="82"/>
        <v>0</v>
      </c>
      <c r="AI204" s="410"/>
      <c r="AJ204" s="411">
        <f t="shared" si="83"/>
        <v>0</v>
      </c>
    </row>
    <row r="205" spans="1:36" s="234" customFormat="1" ht="20.25">
      <c r="A205" s="1180"/>
      <c r="B205" s="727"/>
      <c r="C205" s="728"/>
      <c r="D205" s="1181"/>
      <c r="E205" s="794"/>
      <c r="F205" s="320"/>
      <c r="G205" s="320"/>
      <c r="H205" s="321"/>
      <c r="I205" s="321"/>
      <c r="J205" s="320"/>
      <c r="K205" s="351"/>
      <c r="L205" s="352"/>
      <c r="M205" s="353"/>
      <c r="N205" s="321"/>
      <c r="O205" s="321"/>
      <c r="P205" s="321"/>
      <c r="Q205" s="321"/>
      <c r="R205" s="321"/>
      <c r="S205" s="321"/>
      <c r="T205" s="354"/>
      <c r="U205" s="352"/>
      <c r="V205" s="353"/>
      <c r="W205" s="321"/>
      <c r="X205" s="321"/>
      <c r="Y205" s="321"/>
      <c r="Z205" s="321"/>
      <c r="AA205" s="321"/>
      <c r="AB205" s="321"/>
      <c r="AC205" s="380"/>
      <c r="AD205" s="352"/>
      <c r="AE205" s="408">
        <f t="shared" si="88"/>
        <v>0</v>
      </c>
      <c r="AF205" s="409"/>
      <c r="AG205" s="408"/>
      <c r="AH205" s="409">
        <f t="shared" si="82"/>
        <v>0</v>
      </c>
      <c r="AI205" s="410"/>
      <c r="AJ205" s="411">
        <f t="shared" si="83"/>
        <v>0</v>
      </c>
    </row>
    <row r="206" spans="1:36" s="234" customFormat="1" ht="20.25">
      <c r="A206" s="1180"/>
      <c r="B206" s="727"/>
      <c r="C206" s="728"/>
      <c r="D206" s="1181"/>
      <c r="E206" s="794"/>
      <c r="F206" s="320"/>
      <c r="G206" s="320"/>
      <c r="H206" s="321"/>
      <c r="I206" s="321"/>
      <c r="J206" s="320"/>
      <c r="K206" s="351"/>
      <c r="L206" s="352"/>
      <c r="M206" s="353"/>
      <c r="N206" s="321"/>
      <c r="O206" s="321"/>
      <c r="P206" s="321"/>
      <c r="Q206" s="321"/>
      <c r="R206" s="321"/>
      <c r="S206" s="321"/>
      <c r="T206" s="354"/>
      <c r="U206" s="352"/>
      <c r="V206" s="353"/>
      <c r="W206" s="321"/>
      <c r="X206" s="321"/>
      <c r="Y206" s="321"/>
      <c r="Z206" s="321"/>
      <c r="AA206" s="321"/>
      <c r="AB206" s="321"/>
      <c r="AC206" s="380"/>
      <c r="AD206" s="352"/>
      <c r="AE206" s="408">
        <f t="shared" si="88"/>
        <v>0</v>
      </c>
      <c r="AF206" s="409"/>
      <c r="AG206" s="408"/>
      <c r="AH206" s="409">
        <f t="shared" si="82"/>
        <v>0</v>
      </c>
      <c r="AI206" s="410"/>
      <c r="AJ206" s="411">
        <f t="shared" si="83"/>
        <v>0</v>
      </c>
    </row>
    <row r="207" spans="1:36" s="234" customFormat="1" ht="20.25">
      <c r="A207" s="3202"/>
      <c r="B207" s="3203"/>
      <c r="C207" s="3205"/>
      <c r="D207" s="3211"/>
      <c r="E207" s="794"/>
      <c r="F207" s="320"/>
      <c r="G207" s="320"/>
      <c r="H207" s="321"/>
      <c r="I207" s="321"/>
      <c r="J207" s="320"/>
      <c r="K207" s="351"/>
      <c r="L207" s="352"/>
      <c r="M207" s="353"/>
      <c r="N207" s="321"/>
      <c r="O207" s="321"/>
      <c r="P207" s="321"/>
      <c r="Q207" s="321"/>
      <c r="R207" s="321"/>
      <c r="S207" s="321"/>
      <c r="T207" s="354"/>
      <c r="U207" s="352"/>
      <c r="V207" s="353"/>
      <c r="W207" s="321"/>
      <c r="X207" s="321"/>
      <c r="Y207" s="321"/>
      <c r="Z207" s="321"/>
      <c r="AA207" s="321"/>
      <c r="AB207" s="321"/>
      <c r="AC207" s="380"/>
      <c r="AD207" s="352"/>
      <c r="AE207" s="408">
        <f t="shared" si="88"/>
        <v>0</v>
      </c>
      <c r="AF207" s="409"/>
      <c r="AG207" s="408"/>
      <c r="AH207" s="409">
        <f t="shared" si="82"/>
        <v>0</v>
      </c>
      <c r="AI207" s="410"/>
      <c r="AJ207" s="411">
        <f t="shared" si="83"/>
        <v>0</v>
      </c>
    </row>
    <row r="208" spans="1:36" ht="20.25">
      <c r="A208" s="2645"/>
      <c r="B208" s="2646"/>
      <c r="C208" s="1203"/>
      <c r="D208" s="2648"/>
      <c r="E208" s="1184"/>
      <c r="F208" s="612"/>
      <c r="G208" s="612"/>
      <c r="H208" s="613"/>
      <c r="I208" s="613"/>
      <c r="J208" s="612"/>
      <c r="K208" s="653"/>
      <c r="L208" s="654"/>
      <c r="M208" s="655"/>
      <c r="N208" s="613"/>
      <c r="O208" s="613"/>
      <c r="P208" s="613"/>
      <c r="Q208" s="613"/>
      <c r="R208" s="613"/>
      <c r="S208" s="613"/>
      <c r="T208" s="670"/>
      <c r="U208" s="654"/>
      <c r="V208" s="655"/>
      <c r="W208" s="613"/>
      <c r="X208" s="613"/>
      <c r="Y208" s="613"/>
      <c r="Z208" s="613"/>
      <c r="AA208" s="613"/>
      <c r="AB208" s="613"/>
      <c r="AC208" s="678"/>
      <c r="AD208" s="654"/>
      <c r="AE208" s="679">
        <f t="shared" si="88"/>
        <v>0</v>
      </c>
      <c r="AF208" s="680"/>
      <c r="AG208" s="679"/>
      <c r="AH208" s="680">
        <f t="shared" si="82"/>
        <v>0</v>
      </c>
      <c r="AI208" s="697"/>
      <c r="AJ208" s="698">
        <f t="shared" si="83"/>
        <v>0</v>
      </c>
    </row>
    <row r="209" spans="1:39" ht="20.25">
      <c r="A209" s="551"/>
      <c r="B209" s="800"/>
      <c r="C209" s="1182"/>
      <c r="D209" s="1183"/>
      <c r="E209" s="778"/>
      <c r="F209" s="618"/>
      <c r="G209" s="618"/>
      <c r="H209" s="619"/>
      <c r="I209" s="619"/>
      <c r="J209" s="618"/>
      <c r="K209" s="656"/>
      <c r="L209" s="657"/>
      <c r="M209" s="658"/>
      <c r="N209" s="619"/>
      <c r="O209" s="619"/>
      <c r="P209" s="619"/>
      <c r="Q209" s="619"/>
      <c r="R209" s="619"/>
      <c r="S209" s="619"/>
      <c r="T209" s="671"/>
      <c r="U209" s="657"/>
      <c r="V209" s="658"/>
      <c r="W209" s="619"/>
      <c r="X209" s="619"/>
      <c r="Y209" s="619"/>
      <c r="Z209" s="619"/>
      <c r="AA209" s="619"/>
      <c r="AB209" s="619"/>
      <c r="AC209" s="681"/>
      <c r="AD209" s="657"/>
      <c r="AE209" s="682">
        <f t="shared" si="88"/>
        <v>0</v>
      </c>
      <c r="AF209" s="683"/>
      <c r="AG209" s="682"/>
      <c r="AH209" s="683">
        <f t="shared" si="82"/>
        <v>0</v>
      </c>
      <c r="AI209" s="699"/>
      <c r="AJ209" s="700">
        <f t="shared" si="83"/>
        <v>0</v>
      </c>
    </row>
    <row r="210" spans="1:39" s="284" customFormat="1" ht="21" thickBot="1">
      <c r="A210" s="802"/>
      <c r="B210" s="803"/>
      <c r="C210" s="3206"/>
      <c r="D210" s="2649"/>
      <c r="E210" s="3210"/>
      <c r="F210" s="624"/>
      <c r="G210" s="624"/>
      <c r="H210" s="625"/>
      <c r="I210" s="625"/>
      <c r="J210" s="624"/>
      <c r="K210" s="659"/>
      <c r="L210" s="660"/>
      <c r="M210" s="661"/>
      <c r="N210" s="625"/>
      <c r="O210" s="625"/>
      <c r="P210" s="625"/>
      <c r="Q210" s="625"/>
      <c r="R210" s="625"/>
      <c r="S210" s="625"/>
      <c r="T210" s="672"/>
      <c r="U210" s="660"/>
      <c r="V210" s="661"/>
      <c r="W210" s="625"/>
      <c r="X210" s="625"/>
      <c r="Y210" s="625"/>
      <c r="Z210" s="625"/>
      <c r="AA210" s="625"/>
      <c r="AB210" s="625"/>
      <c r="AC210" s="684"/>
      <c r="AD210" s="660"/>
      <c r="AE210" s="685">
        <f t="shared" si="88"/>
        <v>0</v>
      </c>
      <c r="AF210" s="686"/>
      <c r="AG210" s="685"/>
      <c r="AH210" s="686">
        <f t="shared" si="82"/>
        <v>0</v>
      </c>
      <c r="AI210" s="701"/>
      <c r="AJ210" s="702">
        <f t="shared" si="83"/>
        <v>0</v>
      </c>
      <c r="AK210" s="403"/>
      <c r="AL210" s="403"/>
      <c r="AM210" s="403"/>
    </row>
    <row r="211" spans="1:39" s="282" customFormat="1" ht="21" thickBot="1">
      <c r="A211" s="626" t="s">
        <v>151</v>
      </c>
      <c r="B211" s="627"/>
      <c r="C211" s="627"/>
      <c r="D211" s="628"/>
      <c r="E211" s="533">
        <f t="shared" ref="E211:K211" si="89">SUM(E150:E210)</f>
        <v>720</v>
      </c>
      <c r="F211" s="629">
        <f t="shared" si="89"/>
        <v>980</v>
      </c>
      <c r="G211" s="629">
        <f t="shared" si="89"/>
        <v>1680</v>
      </c>
      <c r="H211" s="821">
        <f t="shared" si="89"/>
        <v>1420</v>
      </c>
      <c r="I211" s="629">
        <f t="shared" si="89"/>
        <v>0</v>
      </c>
      <c r="J211" s="629">
        <f t="shared" si="89"/>
        <v>0</v>
      </c>
      <c r="K211" s="662">
        <f t="shared" si="89"/>
        <v>600</v>
      </c>
      <c r="L211" s="575"/>
      <c r="M211" s="533">
        <f t="shared" ref="M211:T211" si="90">SUM(M150:M210)</f>
        <v>0</v>
      </c>
      <c r="N211" s="629">
        <f t="shared" si="90"/>
        <v>0</v>
      </c>
      <c r="O211" s="629">
        <f t="shared" si="90"/>
        <v>0</v>
      </c>
      <c r="P211" s="629">
        <f t="shared" si="90"/>
        <v>0</v>
      </c>
      <c r="Q211" s="629">
        <f t="shared" si="90"/>
        <v>0</v>
      </c>
      <c r="R211" s="629">
        <f t="shared" si="90"/>
        <v>0</v>
      </c>
      <c r="S211" s="629">
        <f t="shared" si="90"/>
        <v>0</v>
      </c>
      <c r="T211" s="662">
        <f t="shared" si="90"/>
        <v>0</v>
      </c>
      <c r="U211" s="575"/>
      <c r="V211" s="533">
        <f t="shared" ref="V211:AC211" si="91">SUM(V150:V210)</f>
        <v>0</v>
      </c>
      <c r="W211" s="629">
        <f t="shared" si="91"/>
        <v>0</v>
      </c>
      <c r="X211" s="629">
        <f t="shared" si="91"/>
        <v>0</v>
      </c>
      <c r="Y211" s="629">
        <f t="shared" si="91"/>
        <v>0</v>
      </c>
      <c r="Z211" s="629">
        <f t="shared" si="91"/>
        <v>0</v>
      </c>
      <c r="AA211" s="629">
        <f t="shared" si="91"/>
        <v>0</v>
      </c>
      <c r="AB211" s="629">
        <f t="shared" si="91"/>
        <v>0</v>
      </c>
      <c r="AC211" s="662">
        <f t="shared" si="91"/>
        <v>0</v>
      </c>
      <c r="AD211" s="575"/>
      <c r="AE211" s="687">
        <f t="shared" ref="AE211:AJ211" si="92">SUM(AE150:AE210)</f>
        <v>5400</v>
      </c>
      <c r="AF211" s="575">
        <f t="shared" si="92"/>
        <v>0</v>
      </c>
      <c r="AG211" s="687">
        <f t="shared" si="92"/>
        <v>0</v>
      </c>
      <c r="AH211" s="662">
        <f t="shared" si="92"/>
        <v>5400</v>
      </c>
      <c r="AI211" s="575">
        <f t="shared" si="92"/>
        <v>0</v>
      </c>
      <c r="AJ211" s="687">
        <f t="shared" si="92"/>
        <v>5400</v>
      </c>
    </row>
    <row r="212" spans="1:39" s="283" customFormat="1" ht="21" thickBot="1">
      <c r="A212" s="530" t="s">
        <v>152</v>
      </c>
      <c r="B212" s="531"/>
      <c r="C212" s="531"/>
      <c r="D212" s="630"/>
      <c r="E212" s="533">
        <f>E211/20</f>
        <v>36</v>
      </c>
      <c r="F212" s="534">
        <f t="shared" ref="F212:K212" si="93">F211/20</f>
        <v>49</v>
      </c>
      <c r="G212" s="534">
        <f t="shared" si="93"/>
        <v>84</v>
      </c>
      <c r="H212" s="534">
        <f t="shared" si="93"/>
        <v>71</v>
      </c>
      <c r="I212" s="534">
        <f t="shared" si="93"/>
        <v>0</v>
      </c>
      <c r="J212" s="534">
        <f t="shared" si="93"/>
        <v>0</v>
      </c>
      <c r="K212" s="586">
        <f t="shared" si="93"/>
        <v>30</v>
      </c>
      <c r="L212" s="575"/>
      <c r="M212" s="576">
        <f>M211/20</f>
        <v>0</v>
      </c>
      <c r="N212" s="577">
        <f t="shared" ref="N212:T212" si="94">N211/20</f>
        <v>0</v>
      </c>
      <c r="O212" s="577">
        <f t="shared" si="94"/>
        <v>0</v>
      </c>
      <c r="P212" s="577">
        <f t="shared" si="94"/>
        <v>0</v>
      </c>
      <c r="Q212" s="577">
        <f t="shared" si="94"/>
        <v>0</v>
      </c>
      <c r="R212" s="577">
        <f t="shared" si="94"/>
        <v>0</v>
      </c>
      <c r="S212" s="577">
        <f t="shared" si="94"/>
        <v>0</v>
      </c>
      <c r="T212" s="586">
        <f t="shared" si="94"/>
        <v>0</v>
      </c>
      <c r="U212" s="575"/>
      <c r="V212" s="576">
        <f>V211/20</f>
        <v>0</v>
      </c>
      <c r="W212" s="577">
        <f t="shared" ref="W212:AC212" si="95">W211/20</f>
        <v>0</v>
      </c>
      <c r="X212" s="577">
        <f t="shared" si="95"/>
        <v>0</v>
      </c>
      <c r="Y212" s="577">
        <f t="shared" si="95"/>
        <v>0</v>
      </c>
      <c r="Z212" s="577">
        <f t="shared" si="95"/>
        <v>0</v>
      </c>
      <c r="AA212" s="577">
        <f t="shared" si="95"/>
        <v>0</v>
      </c>
      <c r="AB212" s="577">
        <f t="shared" si="95"/>
        <v>0</v>
      </c>
      <c r="AC212" s="586">
        <f t="shared" si="95"/>
        <v>0</v>
      </c>
      <c r="AD212" s="575"/>
      <c r="AE212" s="668">
        <f>SUM(E212:AC212)</f>
        <v>270</v>
      </c>
      <c r="AF212" s="687">
        <f>AF211/20</f>
        <v>0</v>
      </c>
      <c r="AG212" s="687">
        <f>AG211/20</f>
        <v>0</v>
      </c>
      <c r="AH212" s="575">
        <f t="shared" ref="AH212:AJ212" si="96">AH211/20</f>
        <v>270</v>
      </c>
      <c r="AI212" s="687">
        <f t="shared" si="96"/>
        <v>0</v>
      </c>
      <c r="AJ212" s="662">
        <f t="shared" si="96"/>
        <v>270</v>
      </c>
    </row>
    <row r="213" spans="1:39" s="283" customFormat="1" ht="19.5" thickBot="1">
      <c r="A213" s="306"/>
      <c r="B213" s="307"/>
      <c r="C213" s="307"/>
      <c r="D213" s="308"/>
      <c r="E213" s="309"/>
      <c r="F213" s="309"/>
      <c r="G213" s="309"/>
      <c r="H213" s="309"/>
      <c r="I213" s="309"/>
      <c r="J213" s="309"/>
      <c r="K213" s="309"/>
      <c r="L213" s="346"/>
      <c r="M213" s="347"/>
      <c r="N213" s="347"/>
      <c r="O213" s="347"/>
      <c r="P213" s="347"/>
      <c r="Q213" s="347"/>
      <c r="R213" s="347"/>
      <c r="S213" s="347"/>
      <c r="T213" s="347"/>
      <c r="U213" s="346"/>
      <c r="V213" s="347"/>
      <c r="W213" s="347"/>
      <c r="X213" s="347"/>
      <c r="Y213" s="347"/>
      <c r="Z213" s="347"/>
      <c r="AA213" s="347"/>
      <c r="AB213" s="347"/>
      <c r="AC213" s="347"/>
      <c r="AD213" s="346"/>
      <c r="AE213" s="347"/>
      <c r="AF213" s="347"/>
      <c r="AG213" s="347"/>
      <c r="AH213" s="347"/>
      <c r="AI213" s="347"/>
      <c r="AJ213" s="402"/>
    </row>
    <row r="214" spans="1:39" s="283" customFormat="1" ht="16.5" thickBot="1">
      <c r="A214" s="3881" t="s">
        <v>183</v>
      </c>
      <c r="B214" s="3882"/>
      <c r="C214" s="3883"/>
      <c r="D214" s="288" t="s">
        <v>70</v>
      </c>
      <c r="E214" s="743" t="s">
        <v>86</v>
      </c>
      <c r="F214" s="744" t="s">
        <v>91</v>
      </c>
      <c r="G214" s="744" t="s">
        <v>245</v>
      </c>
      <c r="H214" s="744" t="s">
        <v>238</v>
      </c>
      <c r="I214" s="744" t="s">
        <v>90</v>
      </c>
      <c r="J214" s="744" t="s">
        <v>85</v>
      </c>
      <c r="K214" s="50" t="s">
        <v>123</v>
      </c>
      <c r="L214" s="79"/>
      <c r="M214" s="80" t="s">
        <v>95</v>
      </c>
      <c r="N214" s="49" t="s">
        <v>94</v>
      </c>
      <c r="O214" s="49" t="s">
        <v>190</v>
      </c>
      <c r="P214" s="49" t="s">
        <v>123</v>
      </c>
      <c r="Q214" s="49" t="s">
        <v>119</v>
      </c>
      <c r="R214" s="49" t="s">
        <v>101</v>
      </c>
      <c r="S214" s="49" t="s">
        <v>92</v>
      </c>
      <c r="T214" s="126" t="s">
        <v>124</v>
      </c>
      <c r="U214" s="79"/>
      <c r="V214" s="745">
        <f t="shared" ref="V214:AC214" si="97">V3</f>
        <v>0</v>
      </c>
      <c r="W214" s="746">
        <f t="shared" si="97"/>
        <v>0</v>
      </c>
      <c r="X214" s="746">
        <f t="shared" si="97"/>
        <v>0</v>
      </c>
      <c r="Y214" s="746">
        <f t="shared" si="97"/>
        <v>0</v>
      </c>
      <c r="Z214" s="746">
        <f t="shared" si="97"/>
        <v>0</v>
      </c>
      <c r="AA214" s="746" t="str">
        <f t="shared" si="97"/>
        <v>P.Silver</v>
      </c>
      <c r="AB214" s="746">
        <f t="shared" si="97"/>
        <v>0</v>
      </c>
      <c r="AC214" s="844">
        <f t="shared" si="97"/>
        <v>0</v>
      </c>
      <c r="AD214" s="79"/>
      <c r="AE214" s="371" t="s">
        <v>172</v>
      </c>
      <c r="AF214" s="372" t="s">
        <v>80</v>
      </c>
      <c r="AG214" s="385"/>
      <c r="AH214" s="386" t="s">
        <v>106</v>
      </c>
      <c r="AI214" s="385" t="s">
        <v>173</v>
      </c>
      <c r="AJ214" s="371" t="s">
        <v>108</v>
      </c>
    </row>
    <row r="215" spans="1:39" s="284" customFormat="1" ht="17.25" customHeight="1">
      <c r="A215" s="631" t="s">
        <v>184</v>
      </c>
      <c r="B215" s="443"/>
      <c r="C215" s="443"/>
      <c r="D215" s="444"/>
      <c r="E215" s="433"/>
      <c r="F215" s="434"/>
      <c r="G215" s="434"/>
      <c r="H215" s="435"/>
      <c r="I215" s="435"/>
      <c r="J215" s="434"/>
      <c r="K215" s="480"/>
      <c r="L215" s="483"/>
      <c r="M215" s="484"/>
      <c r="N215" s="435"/>
      <c r="O215" s="435"/>
      <c r="P215" s="435"/>
      <c r="Q215" s="435"/>
      <c r="R215" s="435"/>
      <c r="S215" s="435"/>
      <c r="T215" s="492"/>
      <c r="U215" s="483"/>
      <c r="V215" s="433"/>
      <c r="W215" s="434"/>
      <c r="X215" s="434"/>
      <c r="Y215" s="435"/>
      <c r="Z215" s="435"/>
      <c r="AA215" s="435"/>
      <c r="AB215" s="434"/>
      <c r="AC215" s="495"/>
      <c r="AD215" s="483"/>
      <c r="AE215" s="496">
        <f t="shared" ref="AE215:AE216" si="98">SUM(E215:AC215)</f>
        <v>0</v>
      </c>
      <c r="AF215" s="497"/>
      <c r="AG215" s="510"/>
      <c r="AH215" s="511">
        <f t="shared" ref="AH215:AH216" si="99">AE215+AF215</f>
        <v>0</v>
      </c>
      <c r="AI215" s="512"/>
      <c r="AJ215" s="703">
        <f>AH215+AI215</f>
        <v>0</v>
      </c>
      <c r="AK215" s="403"/>
      <c r="AL215" s="403"/>
      <c r="AM215" s="403"/>
    </row>
    <row r="216" spans="1:39" ht="21" thickBot="1">
      <c r="A216" s="322"/>
      <c r="B216" s="323"/>
      <c r="C216" s="323"/>
      <c r="D216" s="324"/>
      <c r="E216" s="325"/>
      <c r="F216" s="297"/>
      <c r="G216" s="297"/>
      <c r="H216" s="298"/>
      <c r="I216" s="298"/>
      <c r="J216" s="297"/>
      <c r="K216" s="344"/>
      <c r="L216" s="355"/>
      <c r="M216" s="343"/>
      <c r="N216" s="298"/>
      <c r="O216" s="298"/>
      <c r="P216" s="298"/>
      <c r="Q216" s="298"/>
      <c r="R216" s="298"/>
      <c r="S216" s="298"/>
      <c r="T216" s="367"/>
      <c r="U216" s="355"/>
      <c r="V216" s="325"/>
      <c r="W216" s="297"/>
      <c r="X216" s="297"/>
      <c r="Y216" s="298"/>
      <c r="Z216" s="298"/>
      <c r="AA216" s="298"/>
      <c r="AB216" s="297"/>
      <c r="AC216" s="375"/>
      <c r="AD216" s="355"/>
      <c r="AE216" s="377">
        <f t="shared" si="98"/>
        <v>0</v>
      </c>
      <c r="AF216" s="377"/>
      <c r="AG216" s="390"/>
      <c r="AH216" s="507">
        <f t="shared" si="99"/>
        <v>0</v>
      </c>
      <c r="AI216" s="412"/>
      <c r="AJ216" s="508">
        <f t="shared" ref="AJ216" si="100">AH216+AI216</f>
        <v>0</v>
      </c>
    </row>
    <row r="217" spans="1:39" ht="21" thickBot="1">
      <c r="A217" s="436"/>
      <c r="B217" s="437"/>
      <c r="C217" s="437"/>
      <c r="D217" s="438"/>
      <c r="E217" s="439">
        <f>SUM(E215:E216)</f>
        <v>0</v>
      </c>
      <c r="F217" s="440">
        <f t="shared" ref="F217:K217" si="101">SUM(F215:F216)</f>
        <v>0</v>
      </c>
      <c r="G217" s="440">
        <f t="shared" si="101"/>
        <v>0</v>
      </c>
      <c r="H217" s="440">
        <f t="shared" si="101"/>
        <v>0</v>
      </c>
      <c r="I217" s="440">
        <f t="shared" si="101"/>
        <v>0</v>
      </c>
      <c r="J217" s="440">
        <f t="shared" si="101"/>
        <v>0</v>
      </c>
      <c r="K217" s="481">
        <f t="shared" si="101"/>
        <v>0</v>
      </c>
      <c r="L217" s="482"/>
      <c r="M217" s="439">
        <f t="shared" ref="M217:T217" si="102">SUM(M215:M216)</f>
        <v>0</v>
      </c>
      <c r="N217" s="440">
        <f t="shared" si="102"/>
        <v>0</v>
      </c>
      <c r="O217" s="440">
        <f t="shared" si="102"/>
        <v>0</v>
      </c>
      <c r="P217" s="440">
        <f t="shared" si="102"/>
        <v>0</v>
      </c>
      <c r="Q217" s="440">
        <f t="shared" si="102"/>
        <v>0</v>
      </c>
      <c r="R217" s="440">
        <f t="shared" si="102"/>
        <v>0</v>
      </c>
      <c r="S217" s="440">
        <f t="shared" si="102"/>
        <v>0</v>
      </c>
      <c r="T217" s="481">
        <f t="shared" si="102"/>
        <v>0</v>
      </c>
      <c r="U217" s="482"/>
      <c r="V217" s="439">
        <f t="shared" ref="V217:AC217" si="103">SUM(V215:V216)</f>
        <v>0</v>
      </c>
      <c r="W217" s="440">
        <f t="shared" si="103"/>
        <v>0</v>
      </c>
      <c r="X217" s="440">
        <f t="shared" si="103"/>
        <v>0</v>
      </c>
      <c r="Y217" s="440">
        <f t="shared" si="103"/>
        <v>0</v>
      </c>
      <c r="Z217" s="440">
        <f t="shared" si="103"/>
        <v>0</v>
      </c>
      <c r="AA217" s="440">
        <f t="shared" si="103"/>
        <v>0</v>
      </c>
      <c r="AB217" s="440">
        <f t="shared" si="103"/>
        <v>0</v>
      </c>
      <c r="AC217" s="481">
        <f t="shared" si="103"/>
        <v>0</v>
      </c>
      <c r="AD217" s="482"/>
      <c r="AE217" s="494">
        <f>SUM(AE215:AE216)</f>
        <v>0</v>
      </c>
      <c r="AF217" s="494">
        <f>SUM(AF215:AF216)</f>
        <v>0</v>
      </c>
      <c r="AG217" s="509"/>
      <c r="AH217" s="514">
        <f>SUM(AH215:AH216)</f>
        <v>0</v>
      </c>
      <c r="AI217" s="494">
        <f>SUM(AI215:AI216)</f>
        <v>0</v>
      </c>
      <c r="AJ217" s="509">
        <f>SUM(AJ215:AJ216)</f>
        <v>0</v>
      </c>
    </row>
    <row r="218" spans="1:39" ht="19.5" thickBot="1">
      <c r="A218" s="522"/>
      <c r="B218" s="523"/>
      <c r="C218" s="523"/>
      <c r="D218" s="524"/>
      <c r="E218" s="525"/>
      <c r="F218" s="525"/>
      <c r="G218" s="525"/>
      <c r="H218" s="525"/>
      <c r="I218" s="525"/>
      <c r="J218" s="525"/>
      <c r="K218" s="525"/>
      <c r="L218" s="572"/>
      <c r="M218" s="573"/>
      <c r="N218" s="573"/>
      <c r="O218" s="573"/>
      <c r="P218" s="573"/>
      <c r="Q218" s="573"/>
      <c r="R218" s="573"/>
      <c r="S218" s="573"/>
      <c r="T218" s="573"/>
      <c r="U218" s="572"/>
      <c r="V218" s="573"/>
      <c r="W218" s="573"/>
      <c r="X218" s="573"/>
      <c r="Y218" s="573"/>
      <c r="Z218" s="573"/>
      <c r="AA218" s="573"/>
      <c r="AB218" s="573"/>
      <c r="AC218" s="573"/>
      <c r="AD218" s="572"/>
      <c r="AE218" s="573"/>
      <c r="AF218" s="573"/>
      <c r="AG218" s="599"/>
      <c r="AH218" s="573"/>
      <c r="AI218" s="573"/>
      <c r="AJ218" s="600"/>
      <c r="AK218" s="1"/>
    </row>
    <row r="219" spans="1:39" ht="21" thickBot="1">
      <c r="A219" s="636" t="s">
        <v>185</v>
      </c>
      <c r="B219" s="637"/>
      <c r="C219" s="637"/>
      <c r="D219" s="638"/>
      <c r="E219" s="529">
        <f t="shared" ref="E219:K219" si="104">E145-E211+E217</f>
        <v>20</v>
      </c>
      <c r="F219" s="639">
        <f t="shared" si="104"/>
        <v>360</v>
      </c>
      <c r="G219" s="639">
        <f t="shared" si="104"/>
        <v>2520</v>
      </c>
      <c r="H219" s="639">
        <f t="shared" si="104"/>
        <v>820</v>
      </c>
      <c r="I219" s="639">
        <f t="shared" si="104"/>
        <v>0</v>
      </c>
      <c r="J219" s="639">
        <f t="shared" si="104"/>
        <v>0</v>
      </c>
      <c r="K219" s="664">
        <f t="shared" si="104"/>
        <v>20</v>
      </c>
      <c r="L219" s="574"/>
      <c r="M219" s="665">
        <f t="shared" ref="M219:T219" si="105">M145-M211+M217</f>
        <v>0</v>
      </c>
      <c r="N219" s="666">
        <f t="shared" si="105"/>
        <v>0</v>
      </c>
      <c r="O219" s="666">
        <f t="shared" si="105"/>
        <v>0</v>
      </c>
      <c r="P219" s="666">
        <f t="shared" si="105"/>
        <v>0</v>
      </c>
      <c r="Q219" s="666">
        <f t="shared" si="105"/>
        <v>0</v>
      </c>
      <c r="R219" s="666">
        <f t="shared" si="105"/>
        <v>0</v>
      </c>
      <c r="S219" s="666">
        <f t="shared" si="105"/>
        <v>0</v>
      </c>
      <c r="T219" s="674">
        <f t="shared" si="105"/>
        <v>0</v>
      </c>
      <c r="U219" s="574"/>
      <c r="V219" s="665">
        <f t="shared" ref="V219:AC219" si="106">V145-V211+V217</f>
        <v>0</v>
      </c>
      <c r="W219" s="666">
        <f t="shared" si="106"/>
        <v>0</v>
      </c>
      <c r="X219" s="666">
        <f t="shared" si="106"/>
        <v>0</v>
      </c>
      <c r="Y219" s="666">
        <f t="shared" si="106"/>
        <v>0</v>
      </c>
      <c r="Z219" s="666">
        <f t="shared" si="106"/>
        <v>0</v>
      </c>
      <c r="AA219" s="666">
        <f t="shared" si="106"/>
        <v>0</v>
      </c>
      <c r="AB219" s="666">
        <f t="shared" si="106"/>
        <v>0</v>
      </c>
      <c r="AC219" s="674">
        <f t="shared" si="106"/>
        <v>0</v>
      </c>
      <c r="AD219" s="691"/>
      <c r="AE219" s="529">
        <f>AE145-AE211+AE217</f>
        <v>3740</v>
      </c>
      <c r="AF219" s="3775">
        <f>AF145-AF211+AF217</f>
        <v>0</v>
      </c>
      <c r="AG219" s="3884"/>
      <c r="AH219" s="529">
        <f>AH145-AH211+AH217</f>
        <v>3740</v>
      </c>
      <c r="AI219" s="529">
        <f>AI145-AI211+AI217</f>
        <v>0</v>
      </c>
      <c r="AJ219" s="693">
        <f>AJ145-AJ211+AJ217</f>
        <v>3740</v>
      </c>
    </row>
    <row r="220" spans="1:39" ht="21" thickBot="1">
      <c r="A220" s="640" t="s">
        <v>152</v>
      </c>
      <c r="B220" s="641"/>
      <c r="C220" s="641"/>
      <c r="D220" s="642"/>
      <c r="E220" s="529">
        <f>E219/20</f>
        <v>1</v>
      </c>
      <c r="F220" s="529">
        <f t="shared" ref="F220:K220" si="107">F219/20</f>
        <v>18</v>
      </c>
      <c r="G220" s="529">
        <f t="shared" si="107"/>
        <v>126</v>
      </c>
      <c r="H220" s="529">
        <f t="shared" si="107"/>
        <v>41</v>
      </c>
      <c r="I220" s="529">
        <f t="shared" si="107"/>
        <v>0</v>
      </c>
      <c r="J220" s="529">
        <f t="shared" si="107"/>
        <v>0</v>
      </c>
      <c r="K220" s="529">
        <f t="shared" si="107"/>
        <v>1</v>
      </c>
      <c r="L220" s="529"/>
      <c r="M220" s="529">
        <f>M219/20</f>
        <v>0</v>
      </c>
      <c r="N220" s="529">
        <f>N219/20</f>
        <v>0</v>
      </c>
      <c r="O220" s="529">
        <f t="shared" ref="O220:T220" si="108">O219/20</f>
        <v>0</v>
      </c>
      <c r="P220" s="529">
        <f t="shared" si="108"/>
        <v>0</v>
      </c>
      <c r="Q220" s="529">
        <f t="shared" si="108"/>
        <v>0</v>
      </c>
      <c r="R220" s="529">
        <f t="shared" si="108"/>
        <v>0</v>
      </c>
      <c r="S220" s="529">
        <f t="shared" si="108"/>
        <v>0</v>
      </c>
      <c r="T220" s="529">
        <f t="shared" si="108"/>
        <v>0</v>
      </c>
      <c r="U220" s="529"/>
      <c r="V220" s="529">
        <f>V219/20</f>
        <v>0</v>
      </c>
      <c r="W220" s="529">
        <f t="shared" ref="W220:AC220" si="109">W219/20</f>
        <v>0</v>
      </c>
      <c r="X220" s="529">
        <f t="shared" si="109"/>
        <v>0</v>
      </c>
      <c r="Y220" s="529">
        <f t="shared" si="109"/>
        <v>0</v>
      </c>
      <c r="Z220" s="529">
        <f t="shared" si="109"/>
        <v>0</v>
      </c>
      <c r="AA220" s="529">
        <f t="shared" si="109"/>
        <v>0</v>
      </c>
      <c r="AB220" s="529">
        <f t="shared" si="109"/>
        <v>0</v>
      </c>
      <c r="AC220" s="529">
        <f t="shared" si="109"/>
        <v>0</v>
      </c>
      <c r="AD220" s="692"/>
      <c r="AE220" s="693">
        <f>AE219/20</f>
        <v>187</v>
      </c>
      <c r="AF220" s="3775">
        <f>AF219/20</f>
        <v>0</v>
      </c>
      <c r="AG220" s="3884"/>
      <c r="AH220" s="693">
        <f>AH219/20</f>
        <v>187</v>
      </c>
      <c r="AI220" s="574">
        <f>AI219/20</f>
        <v>0</v>
      </c>
      <c r="AJ220" s="706">
        <f>AJ219/20</f>
        <v>187</v>
      </c>
    </row>
    <row r="221" spans="1:39" ht="21" thickBot="1">
      <c r="A221" s="643" t="s">
        <v>156</v>
      </c>
      <c r="B221" s="644"/>
      <c r="C221" s="644"/>
      <c r="D221" s="645"/>
      <c r="E221" s="3897">
        <f>SUM(E220:K220)</f>
        <v>187</v>
      </c>
      <c r="F221" s="3898"/>
      <c r="G221" s="3898"/>
      <c r="H221" s="3898"/>
      <c r="I221" s="3898"/>
      <c r="J221" s="3898"/>
      <c r="K221" s="3899"/>
      <c r="L221" s="667"/>
      <c r="M221" s="3778">
        <f>SUM(M220:T220)</f>
        <v>0</v>
      </c>
      <c r="N221" s="3779"/>
      <c r="O221" s="3779"/>
      <c r="P221" s="3779"/>
      <c r="Q221" s="3779"/>
      <c r="R221" s="3779"/>
      <c r="S221" s="3779"/>
      <c r="T221" s="3780"/>
      <c r="U221" s="675"/>
      <c r="V221" s="3778">
        <f>SUM(V220:AC220)</f>
        <v>0</v>
      </c>
      <c r="W221" s="3779"/>
      <c r="X221" s="3779"/>
      <c r="Y221" s="3779"/>
      <c r="Z221" s="3779"/>
      <c r="AA221" s="3779"/>
      <c r="AB221" s="3779"/>
      <c r="AC221" s="3780"/>
      <c r="AD221" s="694"/>
      <c r="AE221" s="694"/>
      <c r="AF221" s="694"/>
      <c r="AG221" s="694"/>
      <c r="AH221" s="694"/>
      <c r="AI221" s="694"/>
      <c r="AJ221" s="707"/>
    </row>
    <row r="222" spans="1:39" ht="21" thickBot="1">
      <c r="A222" s="646" t="s">
        <v>157</v>
      </c>
      <c r="B222" s="647"/>
      <c r="C222" s="647"/>
      <c r="D222" s="648"/>
      <c r="E222" s="3875">
        <f>SUM(E219:K219)</f>
        <v>3740</v>
      </c>
      <c r="F222" s="3876"/>
      <c r="G222" s="3876"/>
      <c r="H222" s="3876"/>
      <c r="I222" s="3876"/>
      <c r="J222" s="3876"/>
      <c r="K222" s="3900"/>
      <c r="L222" s="669"/>
      <c r="M222" s="3877">
        <f>SUM(M219:T219)</f>
        <v>0</v>
      </c>
      <c r="N222" s="3878"/>
      <c r="O222" s="3878"/>
      <c r="P222" s="3878"/>
      <c r="Q222" s="3878"/>
      <c r="R222" s="3878"/>
      <c r="S222" s="3878"/>
      <c r="T222" s="3879"/>
      <c r="U222" s="676"/>
      <c r="V222" s="3781">
        <f>SUM(V219:AC219)</f>
        <v>0</v>
      </c>
      <c r="W222" s="3788"/>
      <c r="X222" s="3788"/>
      <c r="Y222" s="3788"/>
      <c r="Z222" s="3788"/>
      <c r="AA222" s="3788"/>
      <c r="AB222" s="3788"/>
      <c r="AC222" s="3880"/>
      <c r="AD222" s="688"/>
      <c r="AE222" s="689"/>
      <c r="AF222" s="673"/>
      <c r="AG222" s="673"/>
      <c r="AH222" s="689"/>
      <c r="AI222" s="689"/>
      <c r="AJ222" s="704"/>
    </row>
    <row r="223" spans="1:39">
      <c r="A223" s="634"/>
      <c r="B223" s="635"/>
      <c r="C223" s="635"/>
      <c r="D223" s="649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634"/>
      <c r="X223" s="634"/>
      <c r="Y223" s="634"/>
      <c r="Z223" s="634"/>
      <c r="AA223" s="634"/>
      <c r="AB223" s="690"/>
      <c r="AC223" s="690"/>
      <c r="AD223" s="690"/>
      <c r="AE223" s="690"/>
      <c r="AF223" s="634"/>
      <c r="AG223" s="634"/>
      <c r="AH223" s="634"/>
      <c r="AI223" s="634"/>
      <c r="AJ223" s="634"/>
    </row>
    <row r="224" spans="1:39" ht="21" thickBot="1">
      <c r="A224" s="650"/>
      <c r="B224" s="651"/>
      <c r="C224" s="651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0"/>
      <c r="Q224" s="650"/>
      <c r="R224" s="650"/>
      <c r="S224" s="650"/>
      <c r="T224" s="650"/>
      <c r="U224" s="650"/>
      <c r="V224" s="650"/>
      <c r="W224" s="650"/>
      <c r="X224" s="650"/>
      <c r="Y224" s="650"/>
      <c r="Z224" s="650"/>
      <c r="AA224" s="650"/>
      <c r="AB224" s="650"/>
      <c r="AC224" s="650"/>
      <c r="AD224" s="650"/>
      <c r="AE224" s="650"/>
      <c r="AF224" s="650"/>
      <c r="AG224" s="650"/>
      <c r="AH224" s="650"/>
      <c r="AI224" s="650"/>
      <c r="AJ224" s="650"/>
    </row>
    <row r="225" spans="1:36" ht="27.75" thickBot="1">
      <c r="A225" s="634"/>
      <c r="B225" s="635"/>
      <c r="C225" s="635"/>
      <c r="D225" s="634"/>
      <c r="E225" s="634"/>
      <c r="F225" s="634"/>
      <c r="G225" s="634"/>
      <c r="H225" s="634"/>
      <c r="I225" s="634"/>
      <c r="J225" s="634"/>
      <c r="K225" s="634"/>
      <c r="L225" s="634"/>
      <c r="M225" s="634"/>
      <c r="N225" s="634"/>
      <c r="O225" s="634"/>
      <c r="P225" s="634"/>
      <c r="Q225" s="634"/>
      <c r="R225" s="634"/>
      <c r="S225" s="634"/>
      <c r="T225" s="634"/>
      <c r="U225" s="634"/>
      <c r="V225" s="634"/>
      <c r="W225" s="677"/>
      <c r="X225" s="3857" t="s">
        <v>158</v>
      </c>
      <c r="Y225" s="3858"/>
      <c r="Z225" s="3858"/>
      <c r="AA225" s="3858"/>
      <c r="AB225" s="3859"/>
      <c r="AC225" s="3802">
        <f>'BIG CHAIR'!CI325</f>
        <v>0</v>
      </c>
      <c r="AD225" s="3803"/>
      <c r="AE225" s="3804"/>
      <c r="AF225" s="634"/>
      <c r="AG225" s="634"/>
      <c r="AH225" s="634"/>
      <c r="AI225" s="634"/>
      <c r="AJ225" s="634"/>
    </row>
    <row r="226" spans="1:36" ht="27.75" thickBot="1">
      <c r="A226" s="634"/>
      <c r="B226" s="635"/>
      <c r="C226" s="635"/>
      <c r="D226" s="634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4"/>
      <c r="P226" s="634"/>
      <c r="Q226" s="634"/>
      <c r="R226" s="634"/>
      <c r="S226" s="634"/>
      <c r="T226" s="634"/>
      <c r="U226" s="634"/>
      <c r="V226" s="634"/>
      <c r="W226" s="677"/>
      <c r="X226" s="3857" t="s">
        <v>159</v>
      </c>
      <c r="Y226" s="3858"/>
      <c r="Z226" s="3858"/>
      <c r="AA226" s="3858"/>
      <c r="AB226" s="3859"/>
      <c r="AC226" s="3872">
        <f>AE219</f>
        <v>3740</v>
      </c>
      <c r="AD226" s="3873"/>
      <c r="AE226" s="3874"/>
      <c r="AF226" s="634"/>
      <c r="AG226" s="634"/>
      <c r="AH226" s="634"/>
      <c r="AI226" s="634"/>
      <c r="AJ226" s="708"/>
    </row>
    <row r="227" spans="1:36" ht="27.75" thickBot="1">
      <c r="A227" s="634"/>
      <c r="B227" s="635"/>
      <c r="C227" s="635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77"/>
      <c r="X227" s="3857" t="s">
        <v>160</v>
      </c>
      <c r="Y227" s="3858"/>
      <c r="Z227" s="3858"/>
      <c r="AA227" s="3858"/>
      <c r="AB227" s="3859"/>
      <c r="AC227" s="3802">
        <f>'BIG CHAIR'!CJ325</f>
        <v>0</v>
      </c>
      <c r="AD227" s="3803"/>
      <c r="AE227" s="3804"/>
      <c r="AF227" s="634"/>
      <c r="AG227" s="634"/>
      <c r="AH227" s="634"/>
      <c r="AI227" s="634"/>
      <c r="AJ227" s="634"/>
    </row>
    <row r="228" spans="1:36" ht="27.75" thickBot="1">
      <c r="A228" s="634"/>
      <c r="B228" s="635"/>
      <c r="C228" s="635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4"/>
      <c r="P228" s="634"/>
      <c r="Q228" s="634"/>
      <c r="R228" s="634"/>
      <c r="S228" s="634"/>
      <c r="T228" s="634"/>
      <c r="U228" s="634"/>
      <c r="V228" s="634"/>
      <c r="W228" s="677"/>
      <c r="X228" s="3857" t="s">
        <v>161</v>
      </c>
      <c r="Y228" s="3858"/>
      <c r="Z228" s="3858"/>
      <c r="AA228" s="3858"/>
      <c r="AB228" s="3858"/>
      <c r="AC228" s="3872">
        <f>AF219</f>
        <v>0</v>
      </c>
      <c r="AD228" s="3803"/>
      <c r="AE228" s="3804"/>
      <c r="AF228" s="634"/>
      <c r="AG228" s="634"/>
      <c r="AH228" s="634"/>
      <c r="AI228" s="634"/>
      <c r="AJ228" s="634"/>
    </row>
    <row r="229" spans="1:36" ht="27.75" thickBot="1">
      <c r="A229" s="634"/>
      <c r="B229" s="635"/>
      <c r="C229" s="635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4"/>
      <c r="S229" s="634"/>
      <c r="T229" s="634"/>
      <c r="U229" s="634"/>
      <c r="V229" s="634"/>
      <c r="W229" s="677"/>
      <c r="X229" s="3857" t="s">
        <v>162</v>
      </c>
      <c r="Y229" s="3858"/>
      <c r="Z229" s="3858"/>
      <c r="AA229" s="3858"/>
      <c r="AB229" s="3859"/>
      <c r="AC229" s="3802">
        <f>'Tea Table'!U285</f>
        <v>2676</v>
      </c>
      <c r="AD229" s="3803"/>
      <c r="AE229" s="3804"/>
      <c r="AF229" s="634"/>
      <c r="AG229" s="634"/>
      <c r="AH229" s="634"/>
      <c r="AI229" s="634"/>
      <c r="AJ229" s="634"/>
    </row>
    <row r="230" spans="1:36" ht="27.75" thickBot="1">
      <c r="A230" s="634"/>
      <c r="B230" s="635"/>
      <c r="C230" s="635"/>
      <c r="D230" s="634"/>
      <c r="E230" s="634"/>
      <c r="F230" s="634"/>
      <c r="G230" s="634"/>
      <c r="H230" s="634"/>
      <c r="I230" s="634"/>
      <c r="J230" s="634"/>
      <c r="K230" s="634"/>
      <c r="L230" s="634"/>
      <c r="M230" s="634"/>
      <c r="N230" s="634"/>
      <c r="O230" s="634"/>
      <c r="P230" s="634"/>
      <c r="Q230" s="634"/>
      <c r="R230" s="634"/>
      <c r="S230" s="634"/>
      <c r="T230" s="634"/>
      <c r="U230" s="634"/>
      <c r="V230" s="634"/>
      <c r="W230" s="677"/>
      <c r="X230" s="3860" t="s">
        <v>163</v>
      </c>
      <c r="Y230" s="3861"/>
      <c r="Z230" s="3861"/>
      <c r="AA230" s="3861"/>
      <c r="AB230" s="3862"/>
      <c r="AC230" s="3863">
        <f>'Tea Table'!V285</f>
        <v>29</v>
      </c>
      <c r="AD230" s="3864"/>
      <c r="AE230" s="3865"/>
      <c r="AF230" s="634"/>
      <c r="AG230" s="634"/>
      <c r="AH230" s="634"/>
      <c r="AI230" s="634"/>
      <c r="AJ230" s="634"/>
    </row>
    <row r="231" spans="1:36" ht="28.5" thickTop="1" thickBot="1">
      <c r="A231" s="634"/>
      <c r="B231" s="635"/>
      <c r="C231" s="635"/>
      <c r="D231" s="634"/>
      <c r="E231" s="634"/>
      <c r="F231" s="634"/>
      <c r="G231" s="634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77"/>
      <c r="X231" s="3866"/>
      <c r="Y231" s="3867"/>
      <c r="Z231" s="3867"/>
      <c r="AA231" s="3867"/>
      <c r="AB231" s="3868"/>
      <c r="AC231" s="3869"/>
      <c r="AD231" s="3870"/>
      <c r="AE231" s="3871"/>
      <c r="AF231" s="634"/>
      <c r="AG231" s="634"/>
      <c r="AH231" s="634"/>
      <c r="AI231" s="634"/>
      <c r="AJ231" s="634"/>
    </row>
    <row r="232" spans="1:36" ht="27.75" thickBot="1">
      <c r="A232" s="634"/>
      <c r="B232" s="635"/>
      <c r="C232" s="635"/>
      <c r="D232" s="634"/>
      <c r="E232" s="634"/>
      <c r="F232" s="634"/>
      <c r="G232" s="634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4"/>
      <c r="S232" s="634"/>
      <c r="T232" s="634"/>
      <c r="U232" s="634"/>
      <c r="V232" s="634"/>
      <c r="W232" s="677"/>
      <c r="X232" s="3857" t="s">
        <v>164</v>
      </c>
      <c r="Y232" s="3858"/>
      <c r="Z232" s="3858"/>
      <c r="AA232" s="3858"/>
      <c r="AB232" s="3859"/>
      <c r="AC232" s="3796">
        <f>SUM(AC225:AE231)</f>
        <v>6445</v>
      </c>
      <c r="AD232" s="3797"/>
      <c r="AE232" s="3798"/>
      <c r="AF232" s="634"/>
      <c r="AG232" s="634"/>
      <c r="AH232" s="634"/>
      <c r="AI232" s="634"/>
      <c r="AJ232" s="634"/>
    </row>
    <row r="233" spans="1:36" ht="27.75" thickBot="1">
      <c r="A233" s="634"/>
      <c r="B233" s="635"/>
      <c r="C233" s="635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77"/>
      <c r="X233" s="3857" t="s">
        <v>165</v>
      </c>
      <c r="Y233" s="3858"/>
      <c r="Z233" s="3858"/>
      <c r="AA233" s="3858"/>
      <c r="AB233" s="3859"/>
      <c r="AC233" s="3796">
        <f>AE220+'BIG CHAIR'!CI326+'Tea Table'!U286</f>
        <v>410</v>
      </c>
      <c r="AD233" s="3797"/>
      <c r="AE233" s="3798"/>
      <c r="AF233" s="695"/>
      <c r="AG233" s="695"/>
      <c r="AH233" s="695"/>
      <c r="AI233" s="634"/>
      <c r="AJ233" s="634"/>
    </row>
    <row r="234" spans="1:36">
      <c r="B234" s="652"/>
      <c r="C234" s="652"/>
      <c r="AB234" s="696"/>
      <c r="AC234" s="696"/>
      <c r="AD234" s="696"/>
      <c r="AE234" s="696"/>
    </row>
    <row r="235" spans="1:36">
      <c r="B235" s="652"/>
      <c r="C235" s="652"/>
      <c r="AB235" s="696"/>
      <c r="AC235" s="696"/>
      <c r="AD235" s="696"/>
      <c r="AE235" s="696"/>
    </row>
    <row r="236" spans="1:36">
      <c r="B236" s="652"/>
      <c r="C236" s="652"/>
      <c r="AB236" s="696"/>
      <c r="AC236" s="696"/>
      <c r="AD236" s="696"/>
      <c r="AE236" s="696"/>
    </row>
    <row r="237" spans="1:36">
      <c r="B237" s="652"/>
      <c r="C237" s="652"/>
      <c r="AB237" s="696"/>
      <c r="AC237" s="696"/>
      <c r="AD237" s="696"/>
      <c r="AE237" s="696"/>
    </row>
    <row r="238" spans="1:36">
      <c r="B238" s="652"/>
      <c r="C238" s="652"/>
      <c r="AB238" s="696"/>
      <c r="AC238" s="696"/>
      <c r="AD238" s="696"/>
      <c r="AE238" s="696"/>
    </row>
    <row r="239" spans="1:36">
      <c r="B239" s="652"/>
      <c r="C239" s="652"/>
      <c r="AB239" s="696"/>
      <c r="AC239" s="696"/>
      <c r="AD239" s="696"/>
      <c r="AE239" s="696"/>
    </row>
    <row r="240" spans="1:36">
      <c r="B240" s="652"/>
      <c r="C240" s="652"/>
      <c r="AB240" s="696"/>
      <c r="AC240" s="696"/>
      <c r="AD240" s="696"/>
      <c r="AE240" s="696"/>
    </row>
    <row r="241" spans="2:31">
      <c r="B241" s="652"/>
      <c r="C241" s="652"/>
      <c r="AB241" s="696"/>
      <c r="AC241" s="696"/>
      <c r="AD241" s="696"/>
      <c r="AE241" s="696"/>
    </row>
    <row r="242" spans="2:31">
      <c r="B242" s="652"/>
      <c r="C242" s="652"/>
      <c r="AB242" s="696"/>
      <c r="AC242" s="696"/>
      <c r="AD242" s="696"/>
      <c r="AE242" s="696"/>
    </row>
    <row r="243" spans="2:31">
      <c r="B243" s="652"/>
      <c r="C243" s="652"/>
      <c r="AB243" s="696"/>
      <c r="AC243" s="696"/>
      <c r="AD243" s="696"/>
      <c r="AE243" s="696"/>
    </row>
    <row r="244" spans="2:31">
      <c r="B244" s="652"/>
      <c r="C244" s="652"/>
      <c r="AB244" s="696"/>
      <c r="AC244" s="696"/>
      <c r="AD244" s="696"/>
      <c r="AE244" s="696"/>
    </row>
    <row r="245" spans="2:31">
      <c r="B245" s="652"/>
      <c r="C245" s="652"/>
      <c r="AB245" s="696"/>
      <c r="AC245" s="696"/>
      <c r="AD245" s="696"/>
      <c r="AE245" s="696"/>
    </row>
    <row r="246" spans="2:31">
      <c r="B246" s="652"/>
      <c r="C246" s="652"/>
      <c r="AB246" s="696"/>
      <c r="AC246" s="696"/>
      <c r="AD246" s="696"/>
      <c r="AE246" s="696"/>
    </row>
    <row r="247" spans="2:31">
      <c r="B247" s="652"/>
      <c r="C247" s="652"/>
      <c r="AB247" s="696"/>
      <c r="AC247" s="696"/>
      <c r="AD247" s="696"/>
      <c r="AE247" s="696"/>
    </row>
    <row r="248" spans="2:31">
      <c r="B248" s="652"/>
      <c r="C248" s="652"/>
      <c r="AB248" s="696"/>
      <c r="AC248" s="696"/>
      <c r="AD248" s="696"/>
      <c r="AE248" s="696"/>
    </row>
    <row r="249" spans="2:31">
      <c r="B249" s="652"/>
      <c r="C249" s="652"/>
      <c r="AB249" s="696"/>
      <c r="AC249" s="696"/>
      <c r="AD249" s="696"/>
      <c r="AE249" s="696"/>
    </row>
    <row r="250" spans="2:31">
      <c r="B250" s="652"/>
      <c r="C250" s="652"/>
      <c r="AB250" s="696"/>
      <c r="AC250" s="696"/>
      <c r="AD250" s="696"/>
      <c r="AE250" s="696"/>
    </row>
    <row r="251" spans="2:31">
      <c r="B251" s="652"/>
      <c r="C251" s="652"/>
      <c r="AB251" s="696"/>
      <c r="AC251" s="696"/>
      <c r="AD251" s="696"/>
      <c r="AE251" s="696"/>
    </row>
  </sheetData>
  <mergeCells count="38">
    <mergeCell ref="X231:AB231"/>
    <mergeCell ref="AC231:AE231"/>
    <mergeCell ref="X232:AB232"/>
    <mergeCell ref="AC232:AE232"/>
    <mergeCell ref="X233:AB233"/>
    <mergeCell ref="AC233:AE233"/>
    <mergeCell ref="X228:AB228"/>
    <mergeCell ref="AC228:AE228"/>
    <mergeCell ref="X229:AB229"/>
    <mergeCell ref="AC229:AE229"/>
    <mergeCell ref="X230:AB230"/>
    <mergeCell ref="AC230:AE230"/>
    <mergeCell ref="X225:AB225"/>
    <mergeCell ref="AC225:AE225"/>
    <mergeCell ref="X226:AB226"/>
    <mergeCell ref="AC226:AE226"/>
    <mergeCell ref="X227:AB227"/>
    <mergeCell ref="AC227:AE227"/>
    <mergeCell ref="AF219:AG219"/>
    <mergeCell ref="AF220:AG220"/>
    <mergeCell ref="E221:K221"/>
    <mergeCell ref="M221:T221"/>
    <mergeCell ref="V221:AC221"/>
    <mergeCell ref="E222:K222"/>
    <mergeCell ref="M222:T222"/>
    <mergeCell ref="V222:AC222"/>
    <mergeCell ref="A148:D148"/>
    <mergeCell ref="E148:K148"/>
    <mergeCell ref="M148:T148"/>
    <mergeCell ref="V148:AC148"/>
    <mergeCell ref="A214:C214"/>
    <mergeCell ref="AE148:AJ148"/>
    <mergeCell ref="A2:D2"/>
    <mergeCell ref="E2:K2"/>
    <mergeCell ref="M2:T2"/>
    <mergeCell ref="V2:AC2"/>
    <mergeCell ref="AE2:AJ2"/>
    <mergeCell ref="A147:AJ147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85"/>
  <sheetViews>
    <sheetView topLeftCell="W1" zoomScaleNormal="100" workbookViewId="0">
      <pane ySplit="3" topLeftCell="A64" activePane="bottomLeft" state="frozen"/>
      <selection pane="bottomLeft" activeCell="AL75" sqref="AL75"/>
    </sheetView>
  </sheetViews>
  <sheetFormatPr defaultColWidth="9" defaultRowHeight="15"/>
  <cols>
    <col min="1" max="1" width="57.5703125" customWidth="1"/>
    <col min="2" max="2" width="18.140625" style="276" customWidth="1"/>
    <col min="3" max="3" width="14.140625" style="276" customWidth="1"/>
    <col min="4" max="4" width="21.85546875" customWidth="1"/>
    <col min="5" max="9" width="11.5703125" customWidth="1"/>
    <col min="10" max="10" width="18" customWidth="1"/>
    <col min="11" max="11" width="11.5703125" customWidth="1"/>
    <col min="12" max="12" width="1.7109375" customWidth="1"/>
    <col min="13" max="13" width="13.7109375" customWidth="1"/>
    <col min="14" max="15" width="12.7109375" customWidth="1"/>
    <col min="16" max="16" width="11.5703125" customWidth="1"/>
    <col min="17" max="18" width="12.7109375" customWidth="1"/>
    <col min="19" max="19" width="11.5703125" customWidth="1"/>
    <col min="20" max="20" width="17.5703125" customWidth="1"/>
    <col min="21" max="21" width="1.5703125" customWidth="1"/>
    <col min="22" max="22" width="15.7109375" customWidth="1"/>
    <col min="23" max="23" width="15.42578125" customWidth="1"/>
    <col min="24" max="24" width="12.140625" customWidth="1"/>
    <col min="25" max="25" width="11.5703125" customWidth="1"/>
    <col min="26" max="26" width="14.85546875" customWidth="1"/>
    <col min="27" max="27" width="12.5703125" customWidth="1"/>
    <col min="28" max="29" width="11.5703125" customWidth="1"/>
    <col min="30" max="30" width="2.8554687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37" width="10"/>
    <col min="38" max="38" width="12.85546875"/>
    <col min="39" max="39" width="11" customWidth="1"/>
    <col min="40" max="256" width="10" customWidth="1"/>
  </cols>
  <sheetData>
    <row r="1" spans="1:39" ht="26.25">
      <c r="A1" s="285" t="s">
        <v>166</v>
      </c>
      <c r="B1" s="285"/>
      <c r="C1" s="285"/>
      <c r="D1" s="285"/>
      <c r="E1" s="285"/>
      <c r="F1" s="285"/>
      <c r="G1" s="285"/>
      <c r="H1" s="285"/>
      <c r="I1" s="285"/>
      <c r="J1" s="335">
        <v>1</v>
      </c>
      <c r="K1" s="335">
        <v>4</v>
      </c>
      <c r="L1" s="285"/>
      <c r="M1" s="285">
        <v>2026</v>
      </c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3.25">
      <c r="A2" s="3888" t="s">
        <v>4</v>
      </c>
      <c r="B2" s="3889"/>
      <c r="C2" s="3889"/>
      <c r="D2" s="3896"/>
      <c r="E2" s="3891">
        <v>1001</v>
      </c>
      <c r="F2" s="3892"/>
      <c r="G2" s="3892"/>
      <c r="H2" s="3892"/>
      <c r="I2" s="3892"/>
      <c r="J2" s="3892"/>
      <c r="K2" s="3892"/>
      <c r="L2" s="336"/>
      <c r="M2" s="3893">
        <v>1002</v>
      </c>
      <c r="N2" s="3894"/>
      <c r="O2" s="3894"/>
      <c r="P2" s="3894"/>
      <c r="Q2" s="3894"/>
      <c r="R2" s="3894"/>
      <c r="S2" s="3894"/>
      <c r="T2" s="3895"/>
      <c r="U2" s="364"/>
      <c r="V2" s="3893">
        <v>1003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3.25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96</v>
      </c>
      <c r="F3" s="49" t="s">
        <v>482</v>
      </c>
      <c r="G3" s="49" t="s">
        <v>206</v>
      </c>
      <c r="H3" s="49" t="s">
        <v>53</v>
      </c>
      <c r="I3" s="49" t="s">
        <v>94</v>
      </c>
      <c r="J3" s="42" t="s">
        <v>555</v>
      </c>
      <c r="K3" s="49" t="s">
        <v>92</v>
      </c>
      <c r="L3" s="79"/>
      <c r="M3" s="80" t="s">
        <v>71</v>
      </c>
      <c r="N3" s="49" t="s">
        <v>72</v>
      </c>
      <c r="O3" s="49" t="s">
        <v>118</v>
      </c>
      <c r="P3" s="49" t="s">
        <v>95</v>
      </c>
      <c r="Q3" s="49" t="s">
        <v>75</v>
      </c>
      <c r="R3" s="49" t="s">
        <v>53</v>
      </c>
      <c r="S3" s="126" t="s">
        <v>77</v>
      </c>
      <c r="T3" s="171" t="s">
        <v>239</v>
      </c>
      <c r="U3" s="79"/>
      <c r="V3" s="171" t="s">
        <v>94</v>
      </c>
      <c r="W3" s="716" t="s">
        <v>136</v>
      </c>
      <c r="X3" s="49" t="s">
        <v>53</v>
      </c>
      <c r="Y3" s="103" t="s">
        <v>549</v>
      </c>
      <c r="Z3" s="104" t="s">
        <v>190</v>
      </c>
      <c r="AA3" s="716" t="s">
        <v>240</v>
      </c>
      <c r="AB3" s="121" t="s">
        <v>206</v>
      </c>
      <c r="AC3" s="717" t="s">
        <v>557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5.5" customHeigh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>
        <f>17*12</f>
        <v>204</v>
      </c>
      <c r="G4" s="293">
        <f>2*12</f>
        <v>24</v>
      </c>
      <c r="H4" s="293">
        <f>32*12</f>
        <v>384</v>
      </c>
      <c r="I4" s="293">
        <f>10*12</f>
        <v>120</v>
      </c>
      <c r="J4" s="337">
        <f>16*12</f>
        <v>192</v>
      </c>
      <c r="K4" s="337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>
        <f>54*12</f>
        <v>648</v>
      </c>
      <c r="Y4" s="337"/>
      <c r="Z4" s="337">
        <f>37*12</f>
        <v>444</v>
      </c>
      <c r="AA4" s="337">
        <f>106*12</f>
        <v>1272</v>
      </c>
      <c r="AB4" s="293">
        <f>3*12</f>
        <v>36</v>
      </c>
      <c r="AC4" s="338"/>
      <c r="AD4" s="339"/>
      <c r="AE4" s="373">
        <f>SUM(E4:AC4)</f>
        <v>3324</v>
      </c>
      <c r="AF4" s="374"/>
      <c r="AG4" s="373"/>
      <c r="AH4" s="387">
        <f>AF4+AE4</f>
        <v>3324</v>
      </c>
      <c r="AI4" s="388"/>
      <c r="AJ4" s="389">
        <f>AH4+AI4</f>
        <v>3324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7"/>
      <c r="I5" s="298"/>
      <c r="J5" s="298"/>
      <c r="K5" s="297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8" si="0">SUM(E5:AC5)</f>
        <v>0</v>
      </c>
      <c r="AF5" s="377"/>
      <c r="AG5" s="390"/>
      <c r="AH5" s="391">
        <f t="shared" ref="AH5:AH38" si="1"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/>
      <c r="E6" s="296"/>
      <c r="F6" s="297"/>
      <c r="G6" s="297"/>
      <c r="H6" s="297"/>
      <c r="I6" s="298"/>
      <c r="J6" s="298"/>
      <c r="K6" s="297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si="1"/>
        <v>0</v>
      </c>
      <c r="AI6" s="392"/>
      <c r="AJ6" s="393">
        <f>AH6+AI6</f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/>
      <c r="E7" s="296"/>
      <c r="F7" s="297"/>
      <c r="G7" s="297"/>
      <c r="H7" s="297"/>
      <c r="I7" s="298"/>
      <c r="J7" s="298"/>
      <c r="K7" s="297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ref="AJ7:AJ8" si="2">AH7+AI7</f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7"/>
      <c r="I8" s="298"/>
      <c r="J8" s="298"/>
      <c r="K8" s="297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7"/>
      <c r="I9" s="298"/>
      <c r="J9" s="298"/>
      <c r="K9" s="297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ref="AJ9:AJ14" si="3">AH9+AI9</f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7"/>
      <c r="I10" s="298"/>
      <c r="J10" s="298"/>
      <c r="K10" s="297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3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3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342"/>
      <c r="M15" s="711"/>
      <c r="N15" s="712"/>
      <c r="O15" s="712"/>
      <c r="P15" s="712"/>
      <c r="Q15" s="712"/>
      <c r="R15" s="712"/>
      <c r="S15" s="712"/>
      <c r="T15" s="715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ref="AJ15:AJ20" si="4">AH15+AI15</f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342"/>
      <c r="M16" s="711"/>
      <c r="N16" s="712"/>
      <c r="O16" s="712"/>
      <c r="P16" s="712"/>
      <c r="Q16" s="712"/>
      <c r="R16" s="712"/>
      <c r="S16" s="712"/>
      <c r="T16" s="715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4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342"/>
      <c r="M17" s="711"/>
      <c r="N17" s="712"/>
      <c r="O17" s="712"/>
      <c r="P17" s="712"/>
      <c r="Q17" s="712"/>
      <c r="R17" s="712"/>
      <c r="S17" s="712"/>
      <c r="T17" s="715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4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342"/>
      <c r="M18" s="711"/>
      <c r="N18" s="712"/>
      <c r="O18" s="712"/>
      <c r="P18" s="712"/>
      <c r="Q18" s="712"/>
      <c r="R18" s="712"/>
      <c r="S18" s="712"/>
      <c r="T18" s="715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4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342"/>
      <c r="M19" s="711"/>
      <c r="N19" s="712"/>
      <c r="O19" s="712"/>
      <c r="P19" s="712"/>
      <c r="Q19" s="712"/>
      <c r="R19" s="712"/>
      <c r="S19" s="712"/>
      <c r="T19" s="715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4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342"/>
      <c r="M20" s="711"/>
      <c r="N20" s="712"/>
      <c r="O20" s="712"/>
      <c r="P20" s="712"/>
      <c r="Q20" s="712"/>
      <c r="R20" s="712"/>
      <c r="S20" s="712"/>
      <c r="T20" s="715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4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342"/>
      <c r="M21" s="711"/>
      <c r="N21" s="712"/>
      <c r="O21" s="712"/>
      <c r="P21" s="712"/>
      <c r="Q21" s="712"/>
      <c r="R21" s="712"/>
      <c r="S21" s="712"/>
      <c r="T21" s="715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ref="AJ21:AJ22" si="5">AH21+AI21</f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342"/>
      <c r="M22" s="711"/>
      <c r="N22" s="712"/>
      <c r="O22" s="712"/>
      <c r="P22" s="712"/>
      <c r="Q22" s="712"/>
      <c r="R22" s="712"/>
      <c r="S22" s="712"/>
      <c r="T22" s="715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5"/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342"/>
      <c r="M23" s="711"/>
      <c r="N23" s="712"/>
      <c r="O23" s="712"/>
      <c r="P23" s="712"/>
      <c r="Q23" s="712"/>
      <c r="R23" s="712"/>
      <c r="S23" s="712"/>
      <c r="T23" s="715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ref="AJ23:AJ28" si="6">AH23+AI23</f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342"/>
      <c r="M24" s="711"/>
      <c r="N24" s="712"/>
      <c r="O24" s="712"/>
      <c r="P24" s="712"/>
      <c r="Q24" s="712"/>
      <c r="R24" s="712"/>
      <c r="S24" s="712"/>
      <c r="T24" s="715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6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342"/>
      <c r="M25" s="711"/>
      <c r="N25" s="712"/>
      <c r="O25" s="712"/>
      <c r="P25" s="712"/>
      <c r="Q25" s="712"/>
      <c r="R25" s="712"/>
      <c r="S25" s="712"/>
      <c r="T25" s="715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6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342"/>
      <c r="M26" s="711"/>
      <c r="N26" s="712"/>
      <c r="O26" s="712"/>
      <c r="P26" s="712"/>
      <c r="Q26" s="712"/>
      <c r="R26" s="712"/>
      <c r="S26" s="712"/>
      <c r="T26" s="715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6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342"/>
      <c r="M27" s="711"/>
      <c r="N27" s="712"/>
      <c r="O27" s="712"/>
      <c r="P27" s="712"/>
      <c r="Q27" s="712"/>
      <c r="R27" s="712"/>
      <c r="S27" s="712"/>
      <c r="T27" s="715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6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342"/>
      <c r="M28" s="711"/>
      <c r="N28" s="712"/>
      <c r="O28" s="712"/>
      <c r="P28" s="712"/>
      <c r="Q28" s="712"/>
      <c r="R28" s="712"/>
      <c r="S28" s="712"/>
      <c r="T28" s="715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6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342"/>
      <c r="M29" s="711"/>
      <c r="N29" s="712"/>
      <c r="O29" s="712"/>
      <c r="P29" s="712"/>
      <c r="Q29" s="712"/>
      <c r="R29" s="712"/>
      <c r="S29" s="712"/>
      <c r="T29" s="715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ref="AJ29:AJ31" si="7">AH29+AI29</f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342"/>
      <c r="M30" s="711"/>
      <c r="N30" s="712"/>
      <c r="O30" s="712"/>
      <c r="P30" s="712"/>
      <c r="Q30" s="712"/>
      <c r="R30" s="712"/>
      <c r="S30" s="712"/>
      <c r="T30" s="715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7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342"/>
      <c r="M31" s="711"/>
      <c r="N31" s="712"/>
      <c r="O31" s="712"/>
      <c r="P31" s="712"/>
      <c r="Q31" s="712"/>
      <c r="R31" s="712"/>
      <c r="S31" s="712"/>
      <c r="T31" s="715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7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342"/>
      <c r="M32" s="711"/>
      <c r="N32" s="712"/>
      <c r="O32" s="712"/>
      <c r="P32" s="712"/>
      <c r="Q32" s="712"/>
      <c r="R32" s="712"/>
      <c r="S32" s="712"/>
      <c r="T32" s="715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ref="AJ32:AJ34" si="8">AH32+AI32</f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342"/>
      <c r="M33" s="711"/>
      <c r="N33" s="712"/>
      <c r="O33" s="712"/>
      <c r="P33" s="712"/>
      <c r="Q33" s="712"/>
      <c r="R33" s="712"/>
      <c r="S33" s="712"/>
      <c r="T33" s="715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8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342"/>
      <c r="M34" s="711"/>
      <c r="N34" s="712"/>
      <c r="O34" s="712"/>
      <c r="P34" s="712"/>
      <c r="Q34" s="712"/>
      <c r="R34" s="712"/>
      <c r="S34" s="712"/>
      <c r="T34" s="715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8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342"/>
      <c r="M35" s="711"/>
      <c r="N35" s="712"/>
      <c r="O35" s="712"/>
      <c r="P35" s="712"/>
      <c r="Q35" s="712"/>
      <c r="R35" s="712"/>
      <c r="S35" s="712"/>
      <c r="T35" s="715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ref="AJ35:AJ36" si="9">AH35+AI35</f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342"/>
      <c r="M36" s="711"/>
      <c r="N36" s="712"/>
      <c r="O36" s="712"/>
      <c r="P36" s="712"/>
      <c r="Q36" s="712"/>
      <c r="R36" s="712"/>
      <c r="S36" s="712"/>
      <c r="T36" s="715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9"/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342"/>
      <c r="M37" s="711"/>
      <c r="N37" s="712"/>
      <c r="O37" s="712"/>
      <c r="P37" s="712"/>
      <c r="Q37" s="712"/>
      <c r="R37" s="712"/>
      <c r="S37" s="712"/>
      <c r="T37" s="715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3">
        <f t="shared" ref="AJ37:AJ38" si="10">AH37+AI37</f>
        <v>0</v>
      </c>
      <c r="AK37" s="394"/>
      <c r="AL37" s="54"/>
      <c r="AM37" s="394"/>
    </row>
    <row r="38" spans="1:39" s="283" customFormat="1" ht="20.25">
      <c r="A38" s="294" t="s">
        <v>110</v>
      </c>
      <c r="B38" s="299"/>
      <c r="C38" s="299"/>
      <c r="D38" s="301"/>
      <c r="E38" s="296"/>
      <c r="F38" s="297"/>
      <c r="G38" s="297"/>
      <c r="H38" s="297"/>
      <c r="I38" s="298"/>
      <c r="J38" s="298"/>
      <c r="K38" s="297"/>
      <c r="L38" s="342"/>
      <c r="M38" s="711"/>
      <c r="N38" s="712"/>
      <c r="O38" s="712"/>
      <c r="P38" s="712"/>
      <c r="Q38" s="712"/>
      <c r="R38" s="712"/>
      <c r="S38" s="712"/>
      <c r="T38" s="715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0"/>
        <v>0</v>
      </c>
      <c r="AF38" s="377"/>
      <c r="AG38" s="390"/>
      <c r="AH38" s="391">
        <f t="shared" si="1"/>
        <v>0</v>
      </c>
      <c r="AI38" s="392"/>
      <c r="AJ38" s="395">
        <f t="shared" si="10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8.75">
      <c r="A39" s="302" t="s">
        <v>175</v>
      </c>
      <c r="B39" s="303"/>
      <c r="C39" s="303"/>
      <c r="D39" s="304"/>
      <c r="E39" s="305">
        <f>SUM(E5:E38)</f>
        <v>0</v>
      </c>
      <c r="F39" s="305">
        <f t="shared" ref="F39:AD39" si="11">SUM(F5:F38)</f>
        <v>0</v>
      </c>
      <c r="G39" s="305">
        <f t="shared" si="11"/>
        <v>0</v>
      </c>
      <c r="H39" s="305">
        <f t="shared" si="11"/>
        <v>0</v>
      </c>
      <c r="I39" s="305">
        <f t="shared" si="11"/>
        <v>0</v>
      </c>
      <c r="J39" s="305">
        <f t="shared" si="11"/>
        <v>0</v>
      </c>
      <c r="K39" s="305">
        <f t="shared" si="11"/>
        <v>0</v>
      </c>
      <c r="L39" s="305">
        <f t="shared" si="11"/>
        <v>0</v>
      </c>
      <c r="M39" s="305">
        <f t="shared" si="11"/>
        <v>0</v>
      </c>
      <c r="N39" s="305">
        <f t="shared" si="11"/>
        <v>0</v>
      </c>
      <c r="O39" s="812">
        <f>SUM(O15:O38)</f>
        <v>0</v>
      </c>
      <c r="P39" s="812">
        <f>SUM(P15:P38)</f>
        <v>0</v>
      </c>
      <c r="Q39" s="812">
        <f>SUM(Q15:Q38)</f>
        <v>0</v>
      </c>
      <c r="R39" s="812">
        <f>SUM(R15:R38)</f>
        <v>0</v>
      </c>
      <c r="S39" s="305">
        <f>SUM(S5:S38)</f>
        <v>0</v>
      </c>
      <c r="T39" s="812">
        <f>SUM(T15:T38)</f>
        <v>0</v>
      </c>
      <c r="U39" s="305">
        <f t="shared" si="11"/>
        <v>0</v>
      </c>
      <c r="V39" s="305">
        <f t="shared" si="11"/>
        <v>0</v>
      </c>
      <c r="W39" s="305">
        <f t="shared" si="11"/>
        <v>0</v>
      </c>
      <c r="X39" s="305">
        <f t="shared" si="11"/>
        <v>0</v>
      </c>
      <c r="Y39" s="305">
        <f t="shared" si="11"/>
        <v>0</v>
      </c>
      <c r="Z39" s="305">
        <f t="shared" si="11"/>
        <v>0</v>
      </c>
      <c r="AA39" s="305">
        <f t="shared" si="11"/>
        <v>0</v>
      </c>
      <c r="AB39" s="305">
        <f t="shared" si="11"/>
        <v>0</v>
      </c>
      <c r="AC39" s="305">
        <f t="shared" si="11"/>
        <v>0</v>
      </c>
      <c r="AD39" s="305">
        <f t="shared" si="11"/>
        <v>0</v>
      </c>
      <c r="AE39" s="305">
        <f>SUM(AE15:AE38)</f>
        <v>0</v>
      </c>
      <c r="AF39" s="305">
        <f>SUM(AF5:AF38)</f>
        <v>0</v>
      </c>
      <c r="AG39" s="305">
        <f>SUM(AG5:AG38)</f>
        <v>0</v>
      </c>
      <c r="AH39" s="305">
        <f>SUM(AH15:AH38)</f>
        <v>0</v>
      </c>
      <c r="AI39" s="305">
        <f>SUM(AI15:AI38)</f>
        <v>0</v>
      </c>
      <c r="AJ39" s="305">
        <f>SUM(AJ15:AJ38)</f>
        <v>0</v>
      </c>
      <c r="AK39" s="399">
        <f>'BIG CHAIR'!CL36</f>
        <v>0</v>
      </c>
      <c r="AL39" s="400">
        <f>'Tea Table'!X29</f>
        <v>0</v>
      </c>
      <c r="AM39" s="718">
        <f>AH39+AK39+AL39</f>
        <v>0</v>
      </c>
    </row>
    <row r="40" spans="1:39" s="284" customFormat="1" ht="18.75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3.25">
      <c r="A41" s="286" t="s">
        <v>117</v>
      </c>
      <c r="B41" s="287" t="s">
        <v>68</v>
      </c>
      <c r="C41" s="287" t="s">
        <v>69</v>
      </c>
      <c r="D41" s="288" t="s">
        <v>70</v>
      </c>
      <c r="E41" s="80" t="s">
        <v>96</v>
      </c>
      <c r="F41" s="49" t="s">
        <v>482</v>
      </c>
      <c r="G41" s="49" t="s">
        <v>206</v>
      </c>
      <c r="H41" s="49" t="s">
        <v>53</v>
      </c>
      <c r="I41" s="49" t="s">
        <v>94</v>
      </c>
      <c r="J41" s="42" t="s">
        <v>555</v>
      </c>
      <c r="K41" s="49" t="s">
        <v>92</v>
      </c>
      <c r="L41" s="79"/>
      <c r="M41" s="80" t="s">
        <v>71</v>
      </c>
      <c r="N41" s="49" t="s">
        <v>72</v>
      </c>
      <c r="O41" s="49" t="s">
        <v>118</v>
      </c>
      <c r="P41" s="49" t="s">
        <v>95</v>
      </c>
      <c r="Q41" s="49" t="s">
        <v>75</v>
      </c>
      <c r="R41" s="49" t="s">
        <v>53</v>
      </c>
      <c r="S41" s="126" t="s">
        <v>77</v>
      </c>
      <c r="T41" s="171" t="s">
        <v>239</v>
      </c>
      <c r="U41" s="79"/>
      <c r="V41" s="171" t="s">
        <v>94</v>
      </c>
      <c r="W41" s="716" t="s">
        <v>136</v>
      </c>
      <c r="X41" s="49" t="s">
        <v>53</v>
      </c>
      <c r="Y41" s="103" t="s">
        <v>171</v>
      </c>
      <c r="Z41" s="104" t="s">
        <v>190</v>
      </c>
      <c r="AA41" s="716" t="s">
        <v>240</v>
      </c>
      <c r="AB41" s="121" t="s">
        <v>206</v>
      </c>
      <c r="AC41" s="717" t="s">
        <v>170</v>
      </c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0.25">
      <c r="A42" s="310" t="s">
        <v>176</v>
      </c>
      <c r="B42" s="311"/>
      <c r="C42" s="311"/>
      <c r="D42" s="312"/>
      <c r="E42" s="313"/>
      <c r="F42" s="314"/>
      <c r="G42" s="314"/>
      <c r="H42" s="314"/>
      <c r="I42" s="315"/>
      <c r="J42" s="315"/>
      <c r="K42" s="314"/>
      <c r="L42" s="349"/>
      <c r="M42" s="350"/>
      <c r="N42" s="315"/>
      <c r="O42" s="315"/>
      <c r="P42" s="315"/>
      <c r="Q42" s="315"/>
      <c r="R42" s="315"/>
      <c r="S42" s="315"/>
      <c r="T42" s="477"/>
      <c r="U42" s="349"/>
      <c r="V42" s="313"/>
      <c r="W42" s="315"/>
      <c r="X42" s="315"/>
      <c r="Y42" s="315"/>
      <c r="Z42" s="315"/>
      <c r="AA42" s="315"/>
      <c r="AB42" s="315"/>
      <c r="AC42" s="378"/>
      <c r="AD42" s="349"/>
      <c r="AE42" s="379">
        <f>SUM(E42:AC42)</f>
        <v>0</v>
      </c>
      <c r="AF42" s="379"/>
      <c r="AG42" s="404"/>
      <c r="AH42" s="405">
        <f t="shared" ref="AH42:AH63" si="12">AE42+AF42</f>
        <v>0</v>
      </c>
      <c r="AI42" s="406"/>
      <c r="AJ42" s="407">
        <f>AH42+AI42</f>
        <v>0</v>
      </c>
    </row>
    <row r="43" spans="1:39" s="234" customFormat="1" ht="20.25">
      <c r="A43" s="316" t="s">
        <v>120</v>
      </c>
      <c r="B43" s="317"/>
      <c r="C43" s="317"/>
      <c r="D43" s="318"/>
      <c r="E43" s="319"/>
      <c r="F43" s="320"/>
      <c r="G43" s="320"/>
      <c r="H43" s="320"/>
      <c r="I43" s="321"/>
      <c r="J43" s="321"/>
      <c r="K43" s="320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19"/>
      <c r="W43" s="321"/>
      <c r="X43" s="321"/>
      <c r="Y43" s="321"/>
      <c r="Z43" s="321"/>
      <c r="AA43" s="321"/>
      <c r="AB43" s="321"/>
      <c r="AC43" s="380"/>
      <c r="AD43" s="352"/>
      <c r="AE43" s="381">
        <f t="shared" ref="AE43:AE63" si="13">SUM(E43:AC43)</f>
        <v>0</v>
      </c>
      <c r="AF43" s="381"/>
      <c r="AG43" s="408"/>
      <c r="AH43" s="409">
        <f t="shared" si="12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822"/>
      <c r="C44" s="295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1"/>
      <c r="Y44" s="321"/>
      <c r="Z44" s="321"/>
      <c r="AA44" s="321"/>
      <c r="AB44" s="320"/>
      <c r="AC44" s="380"/>
      <c r="AD44" s="352"/>
      <c r="AE44" s="381">
        <f t="shared" si="13"/>
        <v>0</v>
      </c>
      <c r="AF44" s="381"/>
      <c r="AG44" s="408"/>
      <c r="AH44" s="409">
        <f t="shared" si="12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822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13"/>
        <v>0</v>
      </c>
      <c r="AF45" s="381"/>
      <c r="AG45" s="408"/>
      <c r="AH45" s="409">
        <f t="shared" si="12"/>
        <v>0</v>
      </c>
      <c r="AI45" s="410"/>
      <c r="AJ45" s="411">
        <f>AH45+AI45</f>
        <v>0</v>
      </c>
    </row>
    <row r="46" spans="1:39" s="234" customFormat="1" ht="20.25">
      <c r="A46" s="316" t="s">
        <v>120</v>
      </c>
      <c r="B46" s="822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582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13"/>
        <v>0</v>
      </c>
      <c r="AF46" s="381"/>
      <c r="AG46" s="408"/>
      <c r="AH46" s="409">
        <f t="shared" si="12"/>
        <v>0</v>
      </c>
      <c r="AI46" s="410"/>
      <c r="AJ46" s="411">
        <f t="shared" ref="AJ46:AJ48" si="14">AH46+AI46</f>
        <v>0</v>
      </c>
    </row>
    <row r="47" spans="1:39" s="234" customFormat="1" ht="20.25">
      <c r="A47" s="316" t="s">
        <v>120</v>
      </c>
      <c r="B47" s="822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13"/>
        <v>0</v>
      </c>
      <c r="AF47" s="381"/>
      <c r="AG47" s="408"/>
      <c r="AH47" s="409">
        <f t="shared" si="12"/>
        <v>0</v>
      </c>
      <c r="AI47" s="410"/>
      <c r="AJ47" s="411">
        <f t="shared" si="14"/>
        <v>0</v>
      </c>
    </row>
    <row r="48" spans="1:39" s="234" customFormat="1" ht="20.25">
      <c r="A48" s="316" t="s">
        <v>120</v>
      </c>
      <c r="B48" s="822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13"/>
        <v>0</v>
      </c>
      <c r="AF48" s="381"/>
      <c r="AG48" s="408"/>
      <c r="AH48" s="409">
        <f t="shared" si="12"/>
        <v>0</v>
      </c>
      <c r="AI48" s="410"/>
      <c r="AJ48" s="411">
        <f t="shared" si="14"/>
        <v>0</v>
      </c>
    </row>
    <row r="49" spans="1:39" s="234" customFormat="1" ht="20.25">
      <c r="A49" s="316" t="s">
        <v>120</v>
      </c>
      <c r="B49" s="822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13"/>
        <v>0</v>
      </c>
      <c r="AF49" s="381"/>
      <c r="AG49" s="408"/>
      <c r="AH49" s="409">
        <f t="shared" si="12"/>
        <v>0</v>
      </c>
      <c r="AI49" s="410"/>
      <c r="AJ49" s="411">
        <f t="shared" ref="AJ49:AJ63" si="15">AH49+AI49</f>
        <v>0</v>
      </c>
    </row>
    <row r="50" spans="1:39" s="234" customFormat="1" ht="20.25">
      <c r="A50" s="316" t="s">
        <v>120</v>
      </c>
      <c r="B50" s="822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13"/>
        <v>0</v>
      </c>
      <c r="AF50" s="381"/>
      <c r="AG50" s="408"/>
      <c r="AH50" s="409">
        <f t="shared" si="12"/>
        <v>0</v>
      </c>
      <c r="AI50" s="410"/>
      <c r="AJ50" s="411">
        <f t="shared" si="15"/>
        <v>0</v>
      </c>
    </row>
    <row r="51" spans="1:39" s="234" customFormat="1" ht="20.25">
      <c r="A51" s="316" t="s">
        <v>120</v>
      </c>
      <c r="B51" s="710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13"/>
        <v>0</v>
      </c>
      <c r="AF51" s="381"/>
      <c r="AG51" s="408"/>
      <c r="AH51" s="409">
        <f t="shared" si="12"/>
        <v>0</v>
      </c>
      <c r="AI51" s="410"/>
      <c r="AJ51" s="411">
        <f t="shared" si="15"/>
        <v>0</v>
      </c>
    </row>
    <row r="52" spans="1:39" s="234" customFormat="1" ht="20.25">
      <c r="A52" s="316" t="s">
        <v>120</v>
      </c>
      <c r="B52" s="822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13"/>
        <v>0</v>
      </c>
      <c r="AF52" s="381"/>
      <c r="AG52" s="408"/>
      <c r="AH52" s="409">
        <f t="shared" si="12"/>
        <v>0</v>
      </c>
      <c r="AI52" s="410"/>
      <c r="AJ52" s="411">
        <f t="shared" ref="AJ52:AJ54" si="16">AH52+AI52</f>
        <v>0</v>
      </c>
    </row>
    <row r="53" spans="1:39" s="234" customFormat="1" ht="20.25">
      <c r="A53" s="316" t="s">
        <v>120</v>
      </c>
      <c r="B53" s="710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320"/>
      <c r="AC53" s="380"/>
      <c r="AD53" s="352"/>
      <c r="AE53" s="381">
        <f t="shared" si="13"/>
        <v>0</v>
      </c>
      <c r="AF53" s="381"/>
      <c r="AG53" s="408"/>
      <c r="AH53" s="409">
        <f t="shared" si="12"/>
        <v>0</v>
      </c>
      <c r="AI53" s="410"/>
      <c r="AJ53" s="411">
        <f t="shared" si="16"/>
        <v>0</v>
      </c>
    </row>
    <row r="54" spans="1:39" s="234" customFormat="1" ht="20.25">
      <c r="A54" s="316" t="s">
        <v>120</v>
      </c>
      <c r="B54" s="710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319"/>
      <c r="W54" s="320"/>
      <c r="X54" s="320"/>
      <c r="Y54" s="321"/>
      <c r="Z54" s="321"/>
      <c r="AA54" s="321"/>
      <c r="AB54" s="320"/>
      <c r="AC54" s="380"/>
      <c r="AD54" s="352"/>
      <c r="AE54" s="381">
        <f t="shared" si="13"/>
        <v>0</v>
      </c>
      <c r="AF54" s="381"/>
      <c r="AG54" s="408"/>
      <c r="AH54" s="409">
        <f t="shared" si="12"/>
        <v>0</v>
      </c>
      <c r="AI54" s="410"/>
      <c r="AJ54" s="411">
        <f t="shared" si="16"/>
        <v>0</v>
      </c>
    </row>
    <row r="55" spans="1:39" s="234" customFormat="1" ht="20.25">
      <c r="A55" s="316" t="s">
        <v>120</v>
      </c>
      <c r="B55" s="710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13"/>
        <v>0</v>
      </c>
      <c r="AF55" s="381"/>
      <c r="AG55" s="408"/>
      <c r="AH55" s="409">
        <f t="shared" si="12"/>
        <v>0</v>
      </c>
      <c r="AI55" s="410"/>
      <c r="AJ55" s="411">
        <f t="shared" ref="AJ55" si="17">AH55+AI55</f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13"/>
        <v>0</v>
      </c>
      <c r="AF56" s="381"/>
      <c r="AG56" s="408"/>
      <c r="AH56" s="409">
        <f t="shared" si="12"/>
        <v>0</v>
      </c>
      <c r="AI56" s="410"/>
      <c r="AJ56" s="411">
        <f t="shared" si="15"/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13"/>
        <v>0</v>
      </c>
      <c r="AF57" s="381"/>
      <c r="AG57" s="408"/>
      <c r="AH57" s="409">
        <f t="shared" si="12"/>
        <v>0</v>
      </c>
      <c r="AI57" s="410"/>
      <c r="AJ57" s="411">
        <f t="shared" si="15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3"/>
        <v>0</v>
      </c>
      <c r="AF58" s="381"/>
      <c r="AG58" s="408"/>
      <c r="AH58" s="409">
        <f t="shared" si="12"/>
        <v>0</v>
      </c>
      <c r="AI58" s="410"/>
      <c r="AJ58" s="411">
        <f t="shared" si="15"/>
        <v>0</v>
      </c>
    </row>
    <row r="59" spans="1:39" s="234" customFormat="1" ht="20.25">
      <c r="A59" s="316" t="s">
        <v>120</v>
      </c>
      <c r="B59" s="823"/>
      <c r="C59" s="317"/>
      <c r="D59" s="318"/>
      <c r="E59" s="319"/>
      <c r="F59" s="320"/>
      <c r="G59" s="320"/>
      <c r="H59" s="320"/>
      <c r="I59" s="321"/>
      <c r="J59" s="825"/>
      <c r="K59" s="825"/>
      <c r="L59" s="352"/>
      <c r="M59" s="353"/>
      <c r="N59" s="320"/>
      <c r="O59" s="320"/>
      <c r="P59" s="321"/>
      <c r="Q59" s="321"/>
      <c r="R59" s="321"/>
      <c r="S59" s="320"/>
      <c r="T59" s="351"/>
      <c r="U59" s="352"/>
      <c r="V59" s="353"/>
      <c r="W59" s="321"/>
      <c r="X59" s="321"/>
      <c r="Y59" s="321"/>
      <c r="Z59" s="321"/>
      <c r="AA59" s="321"/>
      <c r="AB59" s="321"/>
      <c r="AC59" s="380"/>
      <c r="AD59" s="352"/>
      <c r="AE59" s="381">
        <f t="shared" si="13"/>
        <v>0</v>
      </c>
      <c r="AF59" s="381"/>
      <c r="AG59" s="408"/>
      <c r="AH59" s="409">
        <f t="shared" si="12"/>
        <v>0</v>
      </c>
      <c r="AI59" s="410"/>
      <c r="AJ59" s="411">
        <f t="shared" si="15"/>
        <v>0</v>
      </c>
    </row>
    <row r="60" spans="1:39" s="234" customFormat="1" ht="20.25">
      <c r="A60" s="316" t="s">
        <v>120</v>
      </c>
      <c r="B60" s="317"/>
      <c r="C60" s="317"/>
      <c r="D60" s="318"/>
      <c r="E60" s="319"/>
      <c r="F60" s="320"/>
      <c r="G60" s="320"/>
      <c r="H60" s="320"/>
      <c r="I60" s="321"/>
      <c r="J60" s="825"/>
      <c r="K60" s="825"/>
      <c r="L60" s="352"/>
      <c r="M60" s="353"/>
      <c r="N60" s="320"/>
      <c r="O60" s="320"/>
      <c r="P60" s="321"/>
      <c r="Q60" s="321"/>
      <c r="R60" s="321"/>
      <c r="S60" s="320"/>
      <c r="T60" s="351"/>
      <c r="U60" s="352"/>
      <c r="V60" s="353"/>
      <c r="W60" s="321"/>
      <c r="X60" s="321"/>
      <c r="Y60" s="321"/>
      <c r="Z60" s="321"/>
      <c r="AA60" s="321"/>
      <c r="AB60" s="321"/>
      <c r="AC60" s="380"/>
      <c r="AD60" s="352"/>
      <c r="AE60" s="381">
        <f t="shared" si="13"/>
        <v>0</v>
      </c>
      <c r="AF60" s="381"/>
      <c r="AG60" s="408"/>
      <c r="AH60" s="409">
        <f t="shared" si="12"/>
        <v>0</v>
      </c>
      <c r="AI60" s="410"/>
      <c r="AJ60" s="411">
        <f t="shared" si="15"/>
        <v>0</v>
      </c>
    </row>
    <row r="61" spans="1:39" s="234" customFormat="1" ht="20.25">
      <c r="A61" s="316" t="s">
        <v>120</v>
      </c>
      <c r="B61" s="824"/>
      <c r="C61" s="317"/>
      <c r="D61" s="318"/>
      <c r="E61" s="319"/>
      <c r="F61" s="320"/>
      <c r="G61" s="320"/>
      <c r="H61" s="320"/>
      <c r="I61" s="321"/>
      <c r="J61" s="825"/>
      <c r="K61" s="825"/>
      <c r="L61" s="352"/>
      <c r="M61" s="353"/>
      <c r="N61" s="320"/>
      <c r="O61" s="320"/>
      <c r="P61" s="321"/>
      <c r="Q61" s="321"/>
      <c r="R61" s="321"/>
      <c r="S61" s="320"/>
      <c r="T61" s="351"/>
      <c r="U61" s="352"/>
      <c r="V61" s="353"/>
      <c r="W61" s="321"/>
      <c r="X61" s="321"/>
      <c r="Y61" s="321"/>
      <c r="Z61" s="321"/>
      <c r="AA61" s="321"/>
      <c r="AB61" s="321"/>
      <c r="AC61" s="380"/>
      <c r="AD61" s="352"/>
      <c r="AE61" s="381">
        <f t="shared" si="13"/>
        <v>0</v>
      </c>
      <c r="AF61" s="381"/>
      <c r="AG61" s="408"/>
      <c r="AH61" s="409">
        <f t="shared" si="12"/>
        <v>0</v>
      </c>
      <c r="AI61" s="410"/>
      <c r="AJ61" s="411">
        <f t="shared" si="15"/>
        <v>0</v>
      </c>
    </row>
    <row r="62" spans="1:39" s="234" customFormat="1" ht="20.25">
      <c r="A62" s="316" t="s">
        <v>120</v>
      </c>
      <c r="B62" s="824"/>
      <c r="C62" s="317"/>
      <c r="D62" s="318"/>
      <c r="E62" s="319"/>
      <c r="F62" s="320"/>
      <c r="G62" s="320"/>
      <c r="H62" s="320"/>
      <c r="I62" s="321"/>
      <c r="J62" s="825"/>
      <c r="K62" s="825"/>
      <c r="L62" s="352"/>
      <c r="M62" s="353"/>
      <c r="N62" s="320"/>
      <c r="O62" s="320"/>
      <c r="P62" s="321"/>
      <c r="Q62" s="321"/>
      <c r="R62" s="321"/>
      <c r="S62" s="320"/>
      <c r="T62" s="351"/>
      <c r="U62" s="352"/>
      <c r="V62" s="353"/>
      <c r="W62" s="321"/>
      <c r="X62" s="321"/>
      <c r="Y62" s="321"/>
      <c r="Z62" s="321"/>
      <c r="AA62" s="321"/>
      <c r="AB62" s="321"/>
      <c r="AC62" s="380"/>
      <c r="AD62" s="352"/>
      <c r="AE62" s="381">
        <f t="shared" si="13"/>
        <v>0</v>
      </c>
      <c r="AF62" s="381"/>
      <c r="AG62" s="408"/>
      <c r="AH62" s="409">
        <f t="shared" si="12"/>
        <v>0</v>
      </c>
      <c r="AI62" s="410"/>
      <c r="AJ62" s="411">
        <f t="shared" si="15"/>
        <v>0</v>
      </c>
    </row>
    <row r="63" spans="1:39" s="283" customFormat="1" ht="20.25">
      <c r="A63" s="316" t="s">
        <v>120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325"/>
      <c r="W63" s="297"/>
      <c r="X63" s="297"/>
      <c r="Y63" s="298"/>
      <c r="Z63" s="298"/>
      <c r="AA63" s="298"/>
      <c r="AB63" s="297"/>
      <c r="AC63" s="375"/>
      <c r="AD63" s="355"/>
      <c r="AE63" s="376">
        <f t="shared" si="13"/>
        <v>0</v>
      </c>
      <c r="AF63" s="377"/>
      <c r="AG63" s="390"/>
      <c r="AH63" s="391">
        <f t="shared" si="12"/>
        <v>0</v>
      </c>
      <c r="AI63" s="412"/>
      <c r="AJ63" s="413">
        <f t="shared" si="15"/>
        <v>0</v>
      </c>
      <c r="AK63" s="414" t="s">
        <v>8</v>
      </c>
      <c r="AL63" s="397" t="s">
        <v>23</v>
      </c>
      <c r="AM63" s="415" t="s">
        <v>174</v>
      </c>
    </row>
    <row r="64" spans="1:39" s="284" customFormat="1" ht="18.75">
      <c r="A64" s="326" t="s">
        <v>177</v>
      </c>
      <c r="B64" s="327"/>
      <c r="C64" s="327"/>
      <c r="D64" s="328"/>
      <c r="E64" s="329">
        <f t="shared" ref="E64:K64" si="18">SUM(E42:E63)</f>
        <v>0</v>
      </c>
      <c r="F64" s="330">
        <f t="shared" si="18"/>
        <v>0</v>
      </c>
      <c r="G64" s="330">
        <f t="shared" si="18"/>
        <v>0</v>
      </c>
      <c r="H64" s="330">
        <f t="shared" si="18"/>
        <v>0</v>
      </c>
      <c r="I64" s="330">
        <f t="shared" si="18"/>
        <v>0</v>
      </c>
      <c r="J64" s="330">
        <f t="shared" si="18"/>
        <v>0</v>
      </c>
      <c r="K64" s="330">
        <f t="shared" si="18"/>
        <v>0</v>
      </c>
      <c r="L64" s="357"/>
      <c r="M64" s="358">
        <f t="shared" ref="M64:T64" si="19">SUM(M42:M63)</f>
        <v>0</v>
      </c>
      <c r="N64" s="359">
        <f t="shared" si="19"/>
        <v>0</v>
      </c>
      <c r="O64" s="359">
        <f t="shared" si="19"/>
        <v>0</v>
      </c>
      <c r="P64" s="359">
        <f t="shared" si="19"/>
        <v>0</v>
      </c>
      <c r="Q64" s="359">
        <f t="shared" si="19"/>
        <v>0</v>
      </c>
      <c r="R64" s="359">
        <f t="shared" si="19"/>
        <v>0</v>
      </c>
      <c r="S64" s="359">
        <f t="shared" si="19"/>
        <v>0</v>
      </c>
      <c r="T64" s="369">
        <f t="shared" si="19"/>
        <v>0</v>
      </c>
      <c r="U64" s="357"/>
      <c r="V64" s="358">
        <f t="shared" ref="V64:AC64" si="20">SUM(V42:V63)</f>
        <v>0</v>
      </c>
      <c r="W64" s="359">
        <f t="shared" si="20"/>
        <v>0</v>
      </c>
      <c r="X64" s="359">
        <f t="shared" si="20"/>
        <v>0</v>
      </c>
      <c r="Y64" s="359">
        <f t="shared" si="20"/>
        <v>0</v>
      </c>
      <c r="Z64" s="359">
        <f t="shared" si="20"/>
        <v>0</v>
      </c>
      <c r="AA64" s="359">
        <f t="shared" si="20"/>
        <v>0</v>
      </c>
      <c r="AB64" s="359">
        <f t="shared" si="20"/>
        <v>0</v>
      </c>
      <c r="AC64" s="369">
        <f t="shared" si="20"/>
        <v>0</v>
      </c>
      <c r="AD64" s="357"/>
      <c r="AE64" s="382">
        <f>SUM(AE42:AE63)</f>
        <v>0</v>
      </c>
      <c r="AF64" s="382">
        <f>SUM(AF42:AF63)</f>
        <v>0</v>
      </c>
      <c r="AG64" s="416">
        <f>SUM(AG42:AG63)</f>
        <v>0</v>
      </c>
      <c r="AH64" s="417">
        <f>SUM(AH42:AH63)</f>
        <v>0</v>
      </c>
      <c r="AI64" s="382">
        <f>SUM(AI42:AI63)</f>
        <v>0</v>
      </c>
      <c r="AJ64" s="418">
        <f t="shared" ref="AJ64" si="21">SUM(AJ42:AJ63)</f>
        <v>0</v>
      </c>
      <c r="AK64" s="399">
        <f>'BIG CHAIR'!CL77</f>
        <v>14560</v>
      </c>
      <c r="AL64" s="400">
        <f>'Tea Table'!X85</f>
        <v>0</v>
      </c>
      <c r="AM64" s="401">
        <f>AH64+AK64+AL64</f>
        <v>14560</v>
      </c>
    </row>
    <row r="65" spans="1:39" s="284" customFormat="1" ht="18.75">
      <c r="A65" s="306"/>
      <c r="B65" s="307"/>
      <c r="C65" s="307"/>
      <c r="D65" s="308"/>
      <c r="E65" s="309"/>
      <c r="F65" s="309"/>
      <c r="G65" s="309"/>
      <c r="H65" s="309"/>
      <c r="I65" s="309"/>
      <c r="J65" s="309"/>
      <c r="K65" s="309"/>
      <c r="L65" s="346"/>
      <c r="M65" s="347"/>
      <c r="N65" s="347"/>
      <c r="O65" s="347"/>
      <c r="P65" s="347"/>
      <c r="Q65" s="347"/>
      <c r="R65" s="347"/>
      <c r="S65" s="347"/>
      <c r="T65" s="347"/>
      <c r="U65" s="346"/>
      <c r="V65" s="347"/>
      <c r="W65" s="347"/>
      <c r="X65" s="347"/>
      <c r="Y65" s="347"/>
      <c r="Z65" s="347"/>
      <c r="AA65" s="347"/>
      <c r="AB65" s="347"/>
      <c r="AC65" s="347"/>
      <c r="AD65" s="346"/>
      <c r="AE65" s="347"/>
      <c r="AF65" s="347"/>
      <c r="AG65" s="347"/>
      <c r="AH65" s="347"/>
      <c r="AI65" s="347"/>
      <c r="AJ65" s="402"/>
      <c r="AK65" s="403"/>
      <c r="AL65" s="403"/>
      <c r="AM65" s="403"/>
    </row>
    <row r="66" spans="1:39" s="282" customFormat="1" ht="23.25">
      <c r="A66" s="286" t="s">
        <v>122</v>
      </c>
      <c r="B66" s="287" t="s">
        <v>68</v>
      </c>
      <c r="C66" s="287" t="s">
        <v>69</v>
      </c>
      <c r="D66" s="288" t="s">
        <v>70</v>
      </c>
      <c r="E66" s="80" t="s">
        <v>96</v>
      </c>
      <c r="F66" s="49" t="s">
        <v>482</v>
      </c>
      <c r="G66" s="49" t="s">
        <v>206</v>
      </c>
      <c r="H66" s="49" t="s">
        <v>53</v>
      </c>
      <c r="I66" s="49" t="s">
        <v>94</v>
      </c>
      <c r="J66" s="42" t="s">
        <v>555</v>
      </c>
      <c r="K66" s="49" t="s">
        <v>92</v>
      </c>
      <c r="L66" s="79"/>
      <c r="M66" s="80" t="s">
        <v>71</v>
      </c>
      <c r="N66" s="49" t="s">
        <v>72</v>
      </c>
      <c r="O66" s="49" t="s">
        <v>118</v>
      </c>
      <c r="P66" s="49" t="s">
        <v>95</v>
      </c>
      <c r="Q66" s="49" t="s">
        <v>75</v>
      </c>
      <c r="R66" s="49" t="s">
        <v>53</v>
      </c>
      <c r="S66" s="126" t="s">
        <v>77</v>
      </c>
      <c r="T66" s="171" t="s">
        <v>94</v>
      </c>
      <c r="U66" s="79"/>
      <c r="V66" s="171" t="s">
        <v>94</v>
      </c>
      <c r="W66" s="716" t="s">
        <v>136</v>
      </c>
      <c r="X66" s="49" t="s">
        <v>53</v>
      </c>
      <c r="Y66" s="103" t="s">
        <v>549</v>
      </c>
      <c r="Z66" s="104" t="s">
        <v>190</v>
      </c>
      <c r="AA66" s="716" t="s">
        <v>240</v>
      </c>
      <c r="AB66" s="121" t="s">
        <v>206</v>
      </c>
      <c r="AC66" s="717" t="s">
        <v>170</v>
      </c>
      <c r="AD66" s="370"/>
      <c r="AE66" s="371" t="s">
        <v>172</v>
      </c>
      <c r="AF66" s="372" t="s">
        <v>80</v>
      </c>
      <c r="AG66" s="385"/>
      <c r="AH66" s="386" t="s">
        <v>106</v>
      </c>
      <c r="AI66" s="385" t="s">
        <v>173</v>
      </c>
      <c r="AJ66" s="371" t="s">
        <v>108</v>
      </c>
    </row>
    <row r="67" spans="1:39" s="234" customFormat="1" ht="20.25">
      <c r="A67" s="310" t="s">
        <v>125</v>
      </c>
      <c r="B67" s="826" t="s">
        <v>472</v>
      </c>
      <c r="C67" s="311"/>
      <c r="D67" s="291">
        <v>46116</v>
      </c>
      <c r="E67" s="313"/>
      <c r="F67" s="314"/>
      <c r="G67" s="314"/>
      <c r="H67" s="314"/>
      <c r="I67" s="315"/>
      <c r="J67" s="315"/>
      <c r="K67" s="314"/>
      <c r="L67" s="349"/>
      <c r="M67" s="350"/>
      <c r="N67" s="315"/>
      <c r="O67" s="315"/>
      <c r="P67" s="315"/>
      <c r="Q67" s="315"/>
      <c r="R67" s="315"/>
      <c r="S67" s="315"/>
      <c r="T67" s="477"/>
      <c r="U67" s="349"/>
      <c r="V67" s="350">
        <f>2*12</f>
        <v>24</v>
      </c>
      <c r="W67" s="315">
        <f>22*12+30*12</f>
        <v>624</v>
      </c>
      <c r="X67" s="315"/>
      <c r="Y67" s="315"/>
      <c r="Z67" s="315"/>
      <c r="AA67" s="315"/>
      <c r="AB67" s="315"/>
      <c r="AC67" s="378"/>
      <c r="AD67" s="349"/>
      <c r="AE67" s="379">
        <f t="shared" ref="AE67:AE84" si="22">SUM(E67:AC67)</f>
        <v>648</v>
      </c>
      <c r="AF67" s="379">
        <f>2+3+4</f>
        <v>9</v>
      </c>
      <c r="AG67" s="404"/>
      <c r="AH67" s="405">
        <f t="shared" ref="AH67:AH84" si="23">AE67+AF67</f>
        <v>657</v>
      </c>
      <c r="AI67" s="406">
        <v>4</v>
      </c>
      <c r="AJ67" s="407">
        <f>AH67+AI67</f>
        <v>661</v>
      </c>
    </row>
    <row r="68" spans="1:39" s="234" customFormat="1" ht="21">
      <c r="A68" s="316" t="s">
        <v>125</v>
      </c>
      <c r="B68" s="824"/>
      <c r="C68" s="317"/>
      <c r="D68" s="291">
        <v>46117</v>
      </c>
      <c r="E68" s="319"/>
      <c r="F68" s="320"/>
      <c r="G68" s="320"/>
      <c r="H68" s="320"/>
      <c r="I68" s="321"/>
      <c r="J68" s="742"/>
      <c r="K68" s="319"/>
      <c r="L68" s="352"/>
      <c r="M68" s="353"/>
      <c r="N68" s="320"/>
      <c r="O68" s="320"/>
      <c r="P68" s="321"/>
      <c r="Q68" s="321"/>
      <c r="R68" s="321"/>
      <c r="S68" s="320"/>
      <c r="T68" s="351"/>
      <c r="U68" s="352"/>
      <c r="V68" s="353">
        <f>36*12+14*12</f>
        <v>600</v>
      </c>
      <c r="W68" s="321"/>
      <c r="X68" s="321"/>
      <c r="Y68" s="321"/>
      <c r="Z68" s="321"/>
      <c r="AA68" s="321"/>
      <c r="AB68" s="321"/>
      <c r="AC68" s="380"/>
      <c r="AD68" s="352"/>
      <c r="AE68" s="381">
        <f t="shared" si="22"/>
        <v>600</v>
      </c>
      <c r="AF68" s="381"/>
      <c r="AG68" s="408"/>
      <c r="AH68" s="409">
        <f t="shared" si="23"/>
        <v>600</v>
      </c>
      <c r="AI68" s="410">
        <v>4</v>
      </c>
      <c r="AJ68" s="411">
        <f>AH68+AI68</f>
        <v>604</v>
      </c>
    </row>
    <row r="69" spans="1:39" s="234" customFormat="1" ht="20.25">
      <c r="A69" s="316" t="s">
        <v>125</v>
      </c>
      <c r="B69" s="822"/>
      <c r="C69" s="295"/>
      <c r="D69" s="291">
        <v>46120</v>
      </c>
      <c r="E69" s="319"/>
      <c r="F69" s="320"/>
      <c r="G69" s="320"/>
      <c r="H69" s="320"/>
      <c r="I69" s="321"/>
      <c r="J69" s="321"/>
      <c r="K69" s="320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>
        <f>27*12</f>
        <v>324</v>
      </c>
      <c r="Z69" s="321"/>
      <c r="AA69" s="321"/>
      <c r="AB69" s="320"/>
      <c r="AC69" s="380"/>
      <c r="AD69" s="352"/>
      <c r="AE69" s="381">
        <f t="shared" si="22"/>
        <v>324</v>
      </c>
      <c r="AF69" s="381">
        <v>5</v>
      </c>
      <c r="AG69" s="408"/>
      <c r="AH69" s="409">
        <f t="shared" si="23"/>
        <v>329</v>
      </c>
      <c r="AI69" s="410">
        <v>1</v>
      </c>
      <c r="AJ69" s="411">
        <f>AH69+AI69</f>
        <v>330</v>
      </c>
    </row>
    <row r="70" spans="1:39" s="234" customFormat="1" ht="20.25">
      <c r="A70" s="316" t="s">
        <v>125</v>
      </c>
      <c r="B70" s="710"/>
      <c r="C70" s="295"/>
      <c r="D70" s="291">
        <v>46121</v>
      </c>
      <c r="E70" s="319"/>
      <c r="F70" s="320"/>
      <c r="G70" s="320"/>
      <c r="H70" s="320"/>
      <c r="I70" s="321"/>
      <c r="J70" s="321"/>
      <c r="K70" s="320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>
        <f>23*12+41*12</f>
        <v>768</v>
      </c>
      <c r="Z70" s="321"/>
      <c r="AA70" s="321"/>
      <c r="AB70" s="320"/>
      <c r="AC70" s="380"/>
      <c r="AD70" s="352"/>
      <c r="AE70" s="381">
        <f t="shared" si="22"/>
        <v>768</v>
      </c>
      <c r="AF70" s="381"/>
      <c r="AG70" s="408"/>
      <c r="AH70" s="409">
        <f t="shared" si="23"/>
        <v>768</v>
      </c>
      <c r="AI70" s="410">
        <f>4+4</f>
        <v>8</v>
      </c>
      <c r="AJ70" s="411">
        <f>AH70+AI70</f>
        <v>776</v>
      </c>
    </row>
    <row r="71" spans="1:39" s="234" customFormat="1" ht="20.25">
      <c r="A71" s="316" t="s">
        <v>125</v>
      </c>
      <c r="B71" s="710"/>
      <c r="C71" s="295"/>
      <c r="D71" s="291">
        <v>46091</v>
      </c>
      <c r="E71" s="319"/>
      <c r="F71" s="320"/>
      <c r="G71" s="320"/>
      <c r="H71" s="320"/>
      <c r="I71" s="321"/>
      <c r="J71" s="321"/>
      <c r="K71" s="320"/>
      <c r="L71" s="352"/>
      <c r="M71" s="353"/>
      <c r="N71" s="321"/>
      <c r="O71" s="321"/>
      <c r="P71" s="321"/>
      <c r="Q71" s="321"/>
      <c r="R71" s="321"/>
      <c r="S71" s="321"/>
      <c r="T71" s="351"/>
      <c r="U71" s="352"/>
      <c r="V71" s="319"/>
      <c r="W71" s="320"/>
      <c r="X71" s="320"/>
      <c r="Y71" s="321">
        <f>3*12</f>
        <v>36</v>
      </c>
      <c r="Z71" s="321"/>
      <c r="AA71" s="321"/>
      <c r="AB71" s="320"/>
      <c r="AC71" s="380"/>
      <c r="AD71" s="352"/>
      <c r="AE71" s="381">
        <f t="shared" si="22"/>
        <v>36</v>
      </c>
      <c r="AF71" s="381"/>
      <c r="AG71" s="408"/>
      <c r="AH71" s="409">
        <f t="shared" si="23"/>
        <v>36</v>
      </c>
      <c r="AI71" s="410"/>
      <c r="AJ71" s="411">
        <f t="shared" ref="AJ71:AJ73" si="24">AH71+AI71</f>
        <v>36</v>
      </c>
    </row>
    <row r="72" spans="1:39" s="234" customFormat="1" ht="20.25">
      <c r="A72" s="316" t="s">
        <v>125</v>
      </c>
      <c r="B72" s="710"/>
      <c r="C72" s="295"/>
      <c r="D72" s="291">
        <v>46138</v>
      </c>
      <c r="E72" s="319"/>
      <c r="F72" s="320"/>
      <c r="G72" s="320"/>
      <c r="H72" s="321"/>
      <c r="I72" s="321"/>
      <c r="J72" s="321"/>
      <c r="K72" s="320"/>
      <c r="L72" s="352"/>
      <c r="M72" s="353"/>
      <c r="N72" s="321"/>
      <c r="O72" s="321"/>
      <c r="P72" s="321"/>
      <c r="Q72" s="321"/>
      <c r="R72" s="321"/>
      <c r="S72" s="321"/>
      <c r="T72" s="351"/>
      <c r="U72" s="352"/>
      <c r="V72" s="319"/>
      <c r="W72" s="320">
        <f>19*12+33*12</f>
        <v>624</v>
      </c>
      <c r="X72" s="320"/>
      <c r="Y72" s="321"/>
      <c r="Z72" s="321"/>
      <c r="AA72" s="321"/>
      <c r="AB72" s="320"/>
      <c r="AC72" s="380"/>
      <c r="AD72" s="352"/>
      <c r="AE72" s="381">
        <f t="shared" si="22"/>
        <v>624</v>
      </c>
      <c r="AF72" s="381">
        <v>3</v>
      </c>
      <c r="AG72" s="408"/>
      <c r="AH72" s="409">
        <f t="shared" si="23"/>
        <v>627</v>
      </c>
      <c r="AI72" s="410">
        <f>11+14</f>
        <v>25</v>
      </c>
      <c r="AJ72" s="411">
        <f t="shared" si="24"/>
        <v>652</v>
      </c>
    </row>
    <row r="73" spans="1:39" s="234" customFormat="1" ht="20.25">
      <c r="A73" s="316" t="s">
        <v>125</v>
      </c>
      <c r="B73" s="710"/>
      <c r="C73" s="295"/>
      <c r="D73" s="291">
        <v>46139</v>
      </c>
      <c r="E73" s="319"/>
      <c r="F73" s="320"/>
      <c r="G73" s="320"/>
      <c r="H73" s="320"/>
      <c r="I73" s="321"/>
      <c r="J73" s="321"/>
      <c r="K73" s="320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>
        <f>6*12</f>
        <v>72</v>
      </c>
      <c r="X73" s="320"/>
      <c r="Y73" s="321">
        <f>30*12+35*12</f>
        <v>780</v>
      </c>
      <c r="Z73" s="321"/>
      <c r="AA73" s="321"/>
      <c r="AB73" s="320"/>
      <c r="AC73" s="380"/>
      <c r="AD73" s="352"/>
      <c r="AE73" s="381">
        <f t="shared" si="22"/>
        <v>852</v>
      </c>
      <c r="AF73" s="381">
        <f>1+2</f>
        <v>3</v>
      </c>
      <c r="AG73" s="408"/>
      <c r="AH73" s="409">
        <f t="shared" si="23"/>
        <v>855</v>
      </c>
      <c r="AI73" s="410">
        <f>3+14+19</f>
        <v>36</v>
      </c>
      <c r="AJ73" s="411">
        <f t="shared" si="24"/>
        <v>891</v>
      </c>
    </row>
    <row r="74" spans="1:39" s="234" customFormat="1" ht="20.25">
      <c r="A74" s="316" t="s">
        <v>125</v>
      </c>
      <c r="B74" s="822"/>
      <c r="C74" s="295"/>
      <c r="D74" s="291">
        <v>46140</v>
      </c>
      <c r="E74" s="319"/>
      <c r="F74" s="320"/>
      <c r="G74" s="320"/>
      <c r="H74" s="320"/>
      <c r="I74" s="321"/>
      <c r="J74" s="321"/>
      <c r="K74" s="741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>
        <f>21*12</f>
        <v>252</v>
      </c>
      <c r="Y74" s="321">
        <f>6*12</f>
        <v>72</v>
      </c>
      <c r="Z74" s="321"/>
      <c r="AA74" s="321"/>
      <c r="AB74" s="320"/>
      <c r="AC74" s="380"/>
      <c r="AD74" s="352"/>
      <c r="AE74" s="381">
        <f t="shared" si="22"/>
        <v>324</v>
      </c>
      <c r="AF74" s="381"/>
      <c r="AG74" s="408"/>
      <c r="AH74" s="409">
        <f t="shared" si="23"/>
        <v>324</v>
      </c>
      <c r="AI74" s="410">
        <v>5</v>
      </c>
      <c r="AJ74" s="411">
        <f t="shared" ref="AJ74:AJ84" si="25">AH74+AI74</f>
        <v>329</v>
      </c>
    </row>
    <row r="75" spans="1:39" s="234" customFormat="1" ht="20.25">
      <c r="A75" s="316" t="s">
        <v>125</v>
      </c>
      <c r="B75" s="822"/>
      <c r="C75" s="295"/>
      <c r="D75" s="291">
        <v>46141</v>
      </c>
      <c r="E75" s="319"/>
      <c r="F75" s="320"/>
      <c r="G75" s="320"/>
      <c r="H75" s="320"/>
      <c r="I75" s="321"/>
      <c r="J75" s="321"/>
      <c r="K75" s="741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>
        <f>6*12+24*12</f>
        <v>360</v>
      </c>
      <c r="W75" s="320"/>
      <c r="X75" s="320">
        <f>23*12</f>
        <v>276</v>
      </c>
      <c r="Y75" s="321"/>
      <c r="Z75" s="321"/>
      <c r="AA75" s="321"/>
      <c r="AB75" s="320"/>
      <c r="AC75" s="380"/>
      <c r="AD75" s="352"/>
      <c r="AE75" s="381">
        <f t="shared" si="22"/>
        <v>636</v>
      </c>
      <c r="AF75" s="381">
        <f>6+2</f>
        <v>8</v>
      </c>
      <c r="AG75" s="408"/>
      <c r="AH75" s="409">
        <f t="shared" si="23"/>
        <v>644</v>
      </c>
      <c r="AI75" s="410">
        <f>10+10</f>
        <v>20</v>
      </c>
      <c r="AJ75" s="411">
        <f t="shared" si="25"/>
        <v>664</v>
      </c>
    </row>
    <row r="76" spans="1:39" s="234" customFormat="1" ht="20.25">
      <c r="A76" s="316" t="s">
        <v>125</v>
      </c>
      <c r="B76" s="822"/>
      <c r="C76" s="295"/>
      <c r="D76" s="291"/>
      <c r="E76" s="319"/>
      <c r="F76" s="320"/>
      <c r="G76" s="320"/>
      <c r="H76" s="320"/>
      <c r="I76" s="321"/>
      <c r="J76" s="321"/>
      <c r="K76" s="320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2"/>
        <v>0</v>
      </c>
      <c r="AF76" s="381"/>
      <c r="AG76" s="408"/>
      <c r="AH76" s="409">
        <f t="shared" si="23"/>
        <v>0</v>
      </c>
      <c r="AI76" s="410"/>
      <c r="AJ76" s="411">
        <f t="shared" si="25"/>
        <v>0</v>
      </c>
    </row>
    <row r="77" spans="1:39" s="234" customFormat="1" ht="20.25">
      <c r="A77" s="316" t="s">
        <v>125</v>
      </c>
      <c r="B77" s="822"/>
      <c r="C77" s="295"/>
      <c r="D77" s="291"/>
      <c r="E77" s="319"/>
      <c r="F77" s="320"/>
      <c r="G77" s="320"/>
      <c r="H77" s="320"/>
      <c r="I77" s="321"/>
      <c r="J77" s="321"/>
      <c r="K77" s="320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2"/>
        <v>0</v>
      </c>
      <c r="AF77" s="381"/>
      <c r="AG77" s="408"/>
      <c r="AH77" s="409">
        <f t="shared" si="23"/>
        <v>0</v>
      </c>
      <c r="AI77" s="410"/>
      <c r="AJ77" s="411">
        <f t="shared" si="25"/>
        <v>0</v>
      </c>
    </row>
    <row r="78" spans="1:39" s="234" customFormat="1" ht="20.25">
      <c r="A78" s="316" t="s">
        <v>125</v>
      </c>
      <c r="B78" s="822"/>
      <c r="C78" s="295"/>
      <c r="D78" s="318"/>
      <c r="E78" s="319"/>
      <c r="F78" s="320"/>
      <c r="G78" s="320"/>
      <c r="H78" s="320"/>
      <c r="I78" s="321"/>
      <c r="J78" s="321"/>
      <c r="K78" s="320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" si="26">SUM(E78:AC78)</f>
        <v>0</v>
      </c>
      <c r="AF78" s="381"/>
      <c r="AG78" s="408"/>
      <c r="AH78" s="409">
        <f t="shared" si="23"/>
        <v>0</v>
      </c>
      <c r="AI78" s="410"/>
      <c r="AJ78" s="411">
        <f t="shared" si="25"/>
        <v>0</v>
      </c>
    </row>
    <row r="79" spans="1:39" s="234" customFormat="1" ht="20.25">
      <c r="A79" s="316" t="s">
        <v>125</v>
      </c>
      <c r="B79" s="822"/>
      <c r="C79" s="295"/>
      <c r="D79" s="318"/>
      <c r="E79" s="319"/>
      <c r="F79" s="320"/>
      <c r="G79" s="320"/>
      <c r="H79" s="320"/>
      <c r="I79" s="321"/>
      <c r="J79" s="321"/>
      <c r="K79" s="320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2"/>
        <v>0</v>
      </c>
      <c r="AF79" s="381"/>
      <c r="AG79" s="408"/>
      <c r="AH79" s="409">
        <f t="shared" si="23"/>
        <v>0</v>
      </c>
      <c r="AI79" s="410"/>
      <c r="AJ79" s="411">
        <f t="shared" si="25"/>
        <v>0</v>
      </c>
    </row>
    <row r="80" spans="1:39" s="283" customFormat="1" ht="20.25">
      <c r="A80" s="316" t="s">
        <v>125</v>
      </c>
      <c r="B80" s="827"/>
      <c r="C80" s="323"/>
      <c r="D80" s="324"/>
      <c r="E80" s="325"/>
      <c r="F80" s="297"/>
      <c r="G80" s="297"/>
      <c r="H80" s="297"/>
      <c r="I80" s="298"/>
      <c r="J80" s="298"/>
      <c r="K80" s="297"/>
      <c r="L80" s="355"/>
      <c r="M80" s="343"/>
      <c r="N80" s="298"/>
      <c r="O80" s="298"/>
      <c r="P80" s="298"/>
      <c r="Q80" s="298"/>
      <c r="R80" s="298"/>
      <c r="S80" s="298"/>
      <c r="T80" s="367"/>
      <c r="U80" s="355"/>
      <c r="V80" s="325"/>
      <c r="W80" s="297"/>
      <c r="X80" s="297"/>
      <c r="Y80" s="298"/>
      <c r="Z80" s="298"/>
      <c r="AA80" s="298"/>
      <c r="AB80" s="297"/>
      <c r="AC80" s="375"/>
      <c r="AD80" s="355"/>
      <c r="AE80" s="376">
        <f t="shared" ref="AE80:AE83" si="27">SUM(E80:AC80)</f>
        <v>0</v>
      </c>
      <c r="AF80" s="377"/>
      <c r="AG80" s="390"/>
      <c r="AH80" s="391">
        <f t="shared" si="23"/>
        <v>0</v>
      </c>
      <c r="AI80" s="412"/>
      <c r="AJ80" s="413">
        <f t="shared" si="25"/>
        <v>0</v>
      </c>
      <c r="AK80" s="414" t="s">
        <v>8</v>
      </c>
      <c r="AL80" s="397" t="s">
        <v>23</v>
      </c>
      <c r="AM80" s="415" t="s">
        <v>174</v>
      </c>
    </row>
    <row r="81" spans="1:39" s="283" customFormat="1" ht="20.25">
      <c r="A81" s="316" t="s">
        <v>125</v>
      </c>
      <c r="B81" s="827"/>
      <c r="C81" s="323"/>
      <c r="D81" s="324"/>
      <c r="E81" s="325"/>
      <c r="F81" s="297"/>
      <c r="G81" s="297"/>
      <c r="H81" s="297"/>
      <c r="I81" s="298"/>
      <c r="J81" s="298"/>
      <c r="K81" s="297"/>
      <c r="L81" s="355"/>
      <c r="M81" s="343"/>
      <c r="N81" s="298"/>
      <c r="O81" s="298"/>
      <c r="P81" s="298"/>
      <c r="Q81" s="298"/>
      <c r="R81" s="298"/>
      <c r="S81" s="298"/>
      <c r="T81" s="367"/>
      <c r="U81" s="355"/>
      <c r="V81" s="325"/>
      <c r="W81" s="297"/>
      <c r="X81" s="297"/>
      <c r="Y81" s="298"/>
      <c r="Z81" s="298"/>
      <c r="AA81" s="298"/>
      <c r="AB81" s="297"/>
      <c r="AC81" s="375"/>
      <c r="AD81" s="355"/>
      <c r="AE81" s="376">
        <f t="shared" si="27"/>
        <v>0</v>
      </c>
      <c r="AF81" s="377"/>
      <c r="AG81" s="390"/>
      <c r="AH81" s="391">
        <f t="shared" si="23"/>
        <v>0</v>
      </c>
      <c r="AI81" s="412"/>
      <c r="AJ81" s="413">
        <f t="shared" si="25"/>
        <v>0</v>
      </c>
      <c r="AK81" s="414" t="s">
        <v>8</v>
      </c>
      <c r="AL81" s="397" t="s">
        <v>23</v>
      </c>
      <c r="AM81" s="415" t="s">
        <v>174</v>
      </c>
    </row>
    <row r="82" spans="1:39" s="283" customFormat="1" ht="20.25">
      <c r="A82" s="316" t="s">
        <v>125</v>
      </c>
      <c r="B82" s="827"/>
      <c r="C82" s="323"/>
      <c r="D82" s="324"/>
      <c r="E82" s="325"/>
      <c r="F82" s="297"/>
      <c r="G82" s="297"/>
      <c r="H82" s="297"/>
      <c r="I82" s="298"/>
      <c r="J82" s="298"/>
      <c r="K82" s="297"/>
      <c r="L82" s="355"/>
      <c r="M82" s="343"/>
      <c r="N82" s="298"/>
      <c r="O82" s="298"/>
      <c r="P82" s="298"/>
      <c r="Q82" s="298"/>
      <c r="R82" s="298"/>
      <c r="S82" s="298"/>
      <c r="T82" s="367"/>
      <c r="U82" s="355"/>
      <c r="V82" s="325"/>
      <c r="W82" s="297"/>
      <c r="X82" s="297"/>
      <c r="Y82" s="298"/>
      <c r="Z82" s="298"/>
      <c r="AA82" s="298"/>
      <c r="AB82" s="297"/>
      <c r="AC82" s="375"/>
      <c r="AD82" s="355"/>
      <c r="AE82" s="376">
        <f t="shared" si="27"/>
        <v>0</v>
      </c>
      <c r="AF82" s="377"/>
      <c r="AG82" s="390"/>
      <c r="AH82" s="391">
        <f t="shared" si="23"/>
        <v>0</v>
      </c>
      <c r="AI82" s="412"/>
      <c r="AJ82" s="413">
        <f t="shared" si="25"/>
        <v>0</v>
      </c>
      <c r="AK82" s="414" t="s">
        <v>8</v>
      </c>
      <c r="AL82" s="397" t="s">
        <v>23</v>
      </c>
      <c r="AM82" s="415" t="s">
        <v>174</v>
      </c>
    </row>
    <row r="83" spans="1:39" s="283" customFormat="1" ht="20.25">
      <c r="A83" s="316" t="s">
        <v>125</v>
      </c>
      <c r="B83" s="827"/>
      <c r="C83" s="323"/>
      <c r="D83" s="324"/>
      <c r="E83" s="325"/>
      <c r="F83" s="297"/>
      <c r="G83" s="297"/>
      <c r="H83" s="297"/>
      <c r="I83" s="298"/>
      <c r="J83" s="298"/>
      <c r="K83" s="297"/>
      <c r="L83" s="355"/>
      <c r="M83" s="343"/>
      <c r="N83" s="298"/>
      <c r="O83" s="298"/>
      <c r="P83" s="298"/>
      <c r="Q83" s="298"/>
      <c r="R83" s="298"/>
      <c r="S83" s="298"/>
      <c r="T83" s="367"/>
      <c r="U83" s="355"/>
      <c r="V83" s="325"/>
      <c r="W83" s="297"/>
      <c r="X83" s="297"/>
      <c r="Y83" s="298"/>
      <c r="Z83" s="298"/>
      <c r="AA83" s="298"/>
      <c r="AB83" s="297"/>
      <c r="AC83" s="375"/>
      <c r="AD83" s="355"/>
      <c r="AE83" s="376">
        <f t="shared" si="27"/>
        <v>0</v>
      </c>
      <c r="AF83" s="377"/>
      <c r="AG83" s="390"/>
      <c r="AH83" s="391">
        <f t="shared" si="23"/>
        <v>0</v>
      </c>
      <c r="AI83" s="412"/>
      <c r="AJ83" s="413">
        <f t="shared" si="25"/>
        <v>0</v>
      </c>
      <c r="AK83" s="414" t="s">
        <v>8</v>
      </c>
      <c r="AL83" s="397" t="s">
        <v>23</v>
      </c>
      <c r="AM83" s="415" t="s">
        <v>174</v>
      </c>
    </row>
    <row r="84" spans="1:39" s="283" customFormat="1" ht="20.25">
      <c r="A84" s="316" t="s">
        <v>125</v>
      </c>
      <c r="B84" s="827"/>
      <c r="C84" s="323"/>
      <c r="D84" s="324"/>
      <c r="E84" s="325"/>
      <c r="F84" s="297"/>
      <c r="G84" s="297"/>
      <c r="H84" s="297"/>
      <c r="I84" s="298"/>
      <c r="J84" s="298"/>
      <c r="K84" s="297"/>
      <c r="L84" s="355"/>
      <c r="M84" s="343"/>
      <c r="N84" s="298"/>
      <c r="O84" s="298"/>
      <c r="P84" s="298"/>
      <c r="Q84" s="298"/>
      <c r="R84" s="298"/>
      <c r="S84" s="298"/>
      <c r="T84" s="367"/>
      <c r="U84" s="355"/>
      <c r="V84" s="325"/>
      <c r="W84" s="297"/>
      <c r="X84" s="297"/>
      <c r="Y84" s="298"/>
      <c r="Z84" s="298"/>
      <c r="AA84" s="298"/>
      <c r="AB84" s="297"/>
      <c r="AC84" s="375"/>
      <c r="AD84" s="355"/>
      <c r="AE84" s="376">
        <f t="shared" si="22"/>
        <v>0</v>
      </c>
      <c r="AF84" s="377"/>
      <c r="AG84" s="390"/>
      <c r="AH84" s="391">
        <f t="shared" si="23"/>
        <v>0</v>
      </c>
      <c r="AI84" s="412"/>
      <c r="AJ84" s="413">
        <f t="shared" si="25"/>
        <v>0</v>
      </c>
      <c r="AK84" s="414" t="s">
        <v>8</v>
      </c>
      <c r="AL84" s="397" t="s">
        <v>23</v>
      </c>
      <c r="AM84" s="415" t="s">
        <v>174</v>
      </c>
    </row>
    <row r="85" spans="1:39" s="284" customFormat="1" ht="18.75">
      <c r="A85" s="326" t="s">
        <v>126</v>
      </c>
      <c r="B85" s="327"/>
      <c r="C85" s="327"/>
      <c r="D85" s="328"/>
      <c r="E85" s="329">
        <f>SUM(E67:E84)</f>
        <v>0</v>
      </c>
      <c r="F85" s="329">
        <f t="shared" ref="F85:AJ85" si="28">SUM(F67:F84)</f>
        <v>0</v>
      </c>
      <c r="G85" s="329">
        <f t="shared" si="28"/>
        <v>0</v>
      </c>
      <c r="H85" s="329">
        <f t="shared" si="28"/>
        <v>0</v>
      </c>
      <c r="I85" s="329">
        <f t="shared" si="28"/>
        <v>0</v>
      </c>
      <c r="J85" s="329">
        <f t="shared" si="28"/>
        <v>0</v>
      </c>
      <c r="K85" s="329">
        <f t="shared" si="28"/>
        <v>0</v>
      </c>
      <c r="L85" s="329">
        <f t="shared" si="28"/>
        <v>0</v>
      </c>
      <c r="M85" s="329">
        <f t="shared" si="28"/>
        <v>0</v>
      </c>
      <c r="N85" s="329">
        <f t="shared" si="28"/>
        <v>0</v>
      </c>
      <c r="O85" s="329">
        <f t="shared" si="28"/>
        <v>0</v>
      </c>
      <c r="P85" s="329">
        <f t="shared" si="28"/>
        <v>0</v>
      </c>
      <c r="Q85" s="329">
        <f t="shared" si="28"/>
        <v>0</v>
      </c>
      <c r="R85" s="329">
        <f t="shared" si="28"/>
        <v>0</v>
      </c>
      <c r="S85" s="329">
        <f t="shared" si="28"/>
        <v>0</v>
      </c>
      <c r="T85" s="329">
        <f t="shared" si="28"/>
        <v>0</v>
      </c>
      <c r="U85" s="329">
        <f t="shared" si="28"/>
        <v>0</v>
      </c>
      <c r="V85" s="329">
        <f t="shared" si="28"/>
        <v>984</v>
      </c>
      <c r="W85" s="329">
        <f t="shared" si="28"/>
        <v>1320</v>
      </c>
      <c r="X85" s="329">
        <f t="shared" si="28"/>
        <v>528</v>
      </c>
      <c r="Y85" s="329">
        <f t="shared" si="28"/>
        <v>1980</v>
      </c>
      <c r="Z85" s="329">
        <f t="shared" si="28"/>
        <v>0</v>
      </c>
      <c r="AA85" s="329">
        <f t="shared" si="28"/>
        <v>0</v>
      </c>
      <c r="AB85" s="329">
        <f t="shared" si="28"/>
        <v>0</v>
      </c>
      <c r="AC85" s="329">
        <f t="shared" si="28"/>
        <v>0</v>
      </c>
      <c r="AD85" s="329">
        <f t="shared" si="28"/>
        <v>0</v>
      </c>
      <c r="AE85" s="329">
        <f t="shared" si="28"/>
        <v>4812</v>
      </c>
      <c r="AF85" s="329">
        <f t="shared" si="28"/>
        <v>28</v>
      </c>
      <c r="AG85" s="329">
        <f t="shared" si="28"/>
        <v>0</v>
      </c>
      <c r="AH85" s="329">
        <f t="shared" si="28"/>
        <v>4840</v>
      </c>
      <c r="AI85" s="329">
        <f t="shared" si="28"/>
        <v>103</v>
      </c>
      <c r="AJ85" s="329">
        <f t="shared" si="28"/>
        <v>4943</v>
      </c>
      <c r="AK85" s="399">
        <f>'BIG CHAIR'!CL91</f>
        <v>0</v>
      </c>
      <c r="AL85" s="400">
        <f>'Tea Table'!X181</f>
        <v>0</v>
      </c>
      <c r="AM85" s="401">
        <f>AH85+AK85+AL85</f>
        <v>4840</v>
      </c>
    </row>
    <row r="86" spans="1:39" ht="23.25">
      <c r="A86" s="721" t="s">
        <v>127</v>
      </c>
      <c r="B86" s="722"/>
      <c r="C86" s="287"/>
      <c r="D86" s="288"/>
      <c r="E86" s="80" t="s">
        <v>96</v>
      </c>
      <c r="F86" s="49" t="s">
        <v>482</v>
      </c>
      <c r="G86" s="49" t="s">
        <v>206</v>
      </c>
      <c r="H86" s="49" t="s">
        <v>53</v>
      </c>
      <c r="I86" s="49" t="s">
        <v>94</v>
      </c>
      <c r="J86" s="42" t="s">
        <v>555</v>
      </c>
      <c r="K86" s="49" t="s">
        <v>92</v>
      </c>
      <c r="L86" s="79"/>
      <c r="M86" s="80" t="s">
        <v>71</v>
      </c>
      <c r="N86" s="49" t="s">
        <v>72</v>
      </c>
      <c r="O86" s="49" t="s">
        <v>118</v>
      </c>
      <c r="P86" s="49" t="s">
        <v>95</v>
      </c>
      <c r="Q86" s="49" t="s">
        <v>75</v>
      </c>
      <c r="R86" s="49" t="s">
        <v>53</v>
      </c>
      <c r="S86" s="126" t="s">
        <v>77</v>
      </c>
      <c r="T86" s="171" t="s">
        <v>94</v>
      </c>
      <c r="U86" s="79"/>
      <c r="V86" s="171" t="s">
        <v>94</v>
      </c>
      <c r="W86" s="716" t="s">
        <v>136</v>
      </c>
      <c r="X86" s="49" t="s">
        <v>53</v>
      </c>
      <c r="Y86" s="103" t="s">
        <v>171</v>
      </c>
      <c r="Z86" s="104" t="s">
        <v>190</v>
      </c>
      <c r="AA86" s="716" t="s">
        <v>240</v>
      </c>
      <c r="AB86" s="121" t="s">
        <v>206</v>
      </c>
      <c r="AC86" s="717" t="s">
        <v>170</v>
      </c>
      <c r="AD86" s="370"/>
      <c r="AE86" s="371" t="s">
        <v>172</v>
      </c>
      <c r="AF86" s="372"/>
      <c r="AG86" s="385"/>
      <c r="AH86" s="386" t="s">
        <v>106</v>
      </c>
      <c r="AI86" s="385"/>
      <c r="AJ86" s="371" t="s">
        <v>108</v>
      </c>
      <c r="AK86" s="282"/>
      <c r="AL86" s="282"/>
      <c r="AM86" s="282"/>
    </row>
    <row r="87" spans="1:39" ht="20.25">
      <c r="A87" s="792" t="s">
        <v>128</v>
      </c>
      <c r="B87" s="826"/>
      <c r="C87" s="311"/>
      <c r="D87" s="312"/>
      <c r="E87" s="313"/>
      <c r="F87" s="314"/>
      <c r="G87" s="314"/>
      <c r="H87" s="314"/>
      <c r="I87" s="315"/>
      <c r="J87" s="315"/>
      <c r="K87" s="314"/>
      <c r="L87" s="349"/>
      <c r="M87" s="350"/>
      <c r="N87" s="315"/>
      <c r="O87" s="315"/>
      <c r="P87" s="315"/>
      <c r="Q87" s="315"/>
      <c r="R87" s="315"/>
      <c r="S87" s="315"/>
      <c r="T87" s="477"/>
      <c r="U87" s="349"/>
      <c r="V87" s="350"/>
      <c r="W87" s="315"/>
      <c r="X87" s="315"/>
      <c r="Y87" s="315"/>
      <c r="Z87" s="315"/>
      <c r="AA87" s="315"/>
      <c r="AB87" s="315"/>
      <c r="AC87" s="378"/>
      <c r="AD87" s="349"/>
      <c r="AE87" s="379">
        <f t="shared" ref="AE87:AE102" si="29">SUM(E87:AC87)</f>
        <v>0</v>
      </c>
      <c r="AF87" s="379"/>
      <c r="AG87" s="404"/>
      <c r="AH87" s="405">
        <f t="shared" ref="AH87:AH104" si="30">AE87+AF87</f>
        <v>0</v>
      </c>
      <c r="AI87" s="406"/>
      <c r="AJ87" s="407">
        <f>AH87+AI87</f>
        <v>0</v>
      </c>
      <c r="AK87" s="234"/>
      <c r="AL87" s="234"/>
      <c r="AM87" s="234"/>
    </row>
    <row r="88" spans="1:39" ht="20.25">
      <c r="A88" s="424" t="s">
        <v>128</v>
      </c>
      <c r="B88" s="824"/>
      <c r="C88" s="317"/>
      <c r="D88" s="318"/>
      <c r="E88" s="319"/>
      <c r="F88" s="320"/>
      <c r="G88" s="320"/>
      <c r="H88" s="320"/>
      <c r="I88" s="321"/>
      <c r="J88" s="234"/>
      <c r="K88" s="234"/>
      <c r="L88" s="352"/>
      <c r="M88" s="353"/>
      <c r="N88" s="320"/>
      <c r="O88" s="320"/>
      <c r="P88" s="321"/>
      <c r="Q88" s="321"/>
      <c r="R88" s="321"/>
      <c r="S88" s="320"/>
      <c r="T88" s="351"/>
      <c r="U88" s="352"/>
      <c r="V88" s="353"/>
      <c r="W88" s="321"/>
      <c r="X88" s="321"/>
      <c r="Y88" s="321"/>
      <c r="Z88" s="321"/>
      <c r="AA88" s="321"/>
      <c r="AB88" s="321"/>
      <c r="AC88" s="380"/>
      <c r="AD88" s="352"/>
      <c r="AE88" s="381">
        <f t="shared" si="29"/>
        <v>0</v>
      </c>
      <c r="AF88" s="381"/>
      <c r="AG88" s="408"/>
      <c r="AH88" s="409">
        <f t="shared" si="30"/>
        <v>0</v>
      </c>
      <c r="AI88" s="410"/>
      <c r="AJ88" s="411">
        <f>AH88+AI88</f>
        <v>0</v>
      </c>
      <c r="AK88" s="234"/>
      <c r="AL88" s="234"/>
      <c r="AM88" s="234"/>
    </row>
    <row r="89" spans="1:39" ht="20.25">
      <c r="A89" s="424" t="s">
        <v>128</v>
      </c>
      <c r="B89" s="822"/>
      <c r="C89" s="295"/>
      <c r="D89" s="318"/>
      <c r="E89" s="319"/>
      <c r="F89" s="320"/>
      <c r="G89" s="320"/>
      <c r="H89" s="320"/>
      <c r="I89" s="321"/>
      <c r="J89" s="321"/>
      <c r="K89" s="320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29"/>
        <v>0</v>
      </c>
      <c r="AF89" s="381"/>
      <c r="AG89" s="408"/>
      <c r="AH89" s="409">
        <f t="shared" si="30"/>
        <v>0</v>
      </c>
      <c r="AI89" s="410"/>
      <c r="AJ89" s="411">
        <f>AH89+AI89</f>
        <v>0</v>
      </c>
      <c r="AK89" s="234"/>
      <c r="AL89" s="234"/>
      <c r="AM89" s="234"/>
    </row>
    <row r="90" spans="1:39" ht="20.25">
      <c r="A90" s="424" t="s">
        <v>128</v>
      </c>
      <c r="B90" s="710"/>
      <c r="C90" s="295"/>
      <c r="D90" s="318"/>
      <c r="E90" s="319"/>
      <c r="F90" s="320"/>
      <c r="G90" s="320"/>
      <c r="H90" s="320"/>
      <c r="I90" s="321"/>
      <c r="J90" s="321"/>
      <c r="K90" s="320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29"/>
        <v>0</v>
      </c>
      <c r="AF90" s="381"/>
      <c r="AG90" s="408"/>
      <c r="AH90" s="409">
        <f t="shared" si="30"/>
        <v>0</v>
      </c>
      <c r="AI90" s="410"/>
      <c r="AJ90" s="411">
        <f>AH90+AI90</f>
        <v>0</v>
      </c>
      <c r="AK90" s="234"/>
      <c r="AL90" s="234"/>
      <c r="AM90" s="234"/>
    </row>
    <row r="91" spans="1:39" ht="20.25">
      <c r="A91" s="424" t="s">
        <v>128</v>
      </c>
      <c r="B91" s="710"/>
      <c r="C91" s="295"/>
      <c r="D91" s="318"/>
      <c r="E91" s="319"/>
      <c r="F91" s="320"/>
      <c r="G91" s="320"/>
      <c r="H91" s="320"/>
      <c r="I91" s="321"/>
      <c r="J91" s="321"/>
      <c r="K91" s="320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29"/>
        <v>0</v>
      </c>
      <c r="AF91" s="381"/>
      <c r="AG91" s="408"/>
      <c r="AH91" s="409">
        <f t="shared" si="30"/>
        <v>0</v>
      </c>
      <c r="AI91" s="410"/>
      <c r="AJ91" s="411">
        <f t="shared" ref="AJ91:AJ93" si="31">AH91+AI91</f>
        <v>0</v>
      </c>
      <c r="AK91" s="234"/>
      <c r="AL91" s="234"/>
      <c r="AM91" s="234"/>
    </row>
    <row r="92" spans="1:39" ht="20.25">
      <c r="A92" s="424" t="s">
        <v>128</v>
      </c>
      <c r="B92" s="710"/>
      <c r="C92" s="295"/>
      <c r="D92" s="318"/>
      <c r="E92" s="319"/>
      <c r="F92" s="320"/>
      <c r="G92" s="320"/>
      <c r="H92" s="321"/>
      <c r="I92" s="234"/>
      <c r="J92" s="321"/>
      <c r="K92" s="320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29"/>
        <v>0</v>
      </c>
      <c r="AF92" s="381"/>
      <c r="AG92" s="408"/>
      <c r="AH92" s="409">
        <f t="shared" si="30"/>
        <v>0</v>
      </c>
      <c r="AI92" s="410"/>
      <c r="AJ92" s="411">
        <f t="shared" si="31"/>
        <v>0</v>
      </c>
      <c r="AK92" s="234"/>
      <c r="AL92" s="234"/>
      <c r="AM92" s="234"/>
    </row>
    <row r="93" spans="1:39" ht="20.25">
      <c r="A93" s="424" t="s">
        <v>128</v>
      </c>
      <c r="B93" s="710"/>
      <c r="C93" s="295"/>
      <c r="D93" s="318"/>
      <c r="E93" s="319"/>
      <c r="F93" s="320"/>
      <c r="G93" s="320"/>
      <c r="H93" s="320"/>
      <c r="I93" s="321"/>
      <c r="J93" s="321"/>
      <c r="K93" s="320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29"/>
        <v>0</v>
      </c>
      <c r="AF93" s="381"/>
      <c r="AG93" s="408"/>
      <c r="AH93" s="409">
        <f t="shared" si="30"/>
        <v>0</v>
      </c>
      <c r="AI93" s="410"/>
      <c r="AJ93" s="411">
        <f t="shared" si="31"/>
        <v>0</v>
      </c>
      <c r="AK93" s="234"/>
      <c r="AL93" s="234"/>
      <c r="AM93" s="234"/>
    </row>
    <row r="94" spans="1:39" ht="20.25">
      <c r="A94" s="424" t="s">
        <v>128</v>
      </c>
      <c r="B94" s="822"/>
      <c r="C94" s="295"/>
      <c r="D94" s="318"/>
      <c r="E94" s="319"/>
      <c r="F94" s="320"/>
      <c r="G94" s="320"/>
      <c r="H94" s="320"/>
      <c r="I94" s="321"/>
      <c r="J94" s="321"/>
      <c r="K94" s="741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29"/>
        <v>0</v>
      </c>
      <c r="AF94" s="381"/>
      <c r="AG94" s="408"/>
      <c r="AH94" s="409">
        <f t="shared" si="30"/>
        <v>0</v>
      </c>
      <c r="AI94" s="410"/>
      <c r="AJ94" s="411">
        <f t="shared" ref="AJ94:AJ104" si="32">AH94+AI94</f>
        <v>0</v>
      </c>
      <c r="AK94" s="234"/>
      <c r="AL94" s="234"/>
      <c r="AM94" s="234"/>
    </row>
    <row r="95" spans="1:39" ht="20.25">
      <c r="A95" s="424" t="s">
        <v>128</v>
      </c>
      <c r="B95" s="822"/>
      <c r="C95" s="295"/>
      <c r="D95" s="318"/>
      <c r="E95" s="319"/>
      <c r="F95" s="320"/>
      <c r="G95" s="320"/>
      <c r="H95" s="320"/>
      <c r="I95" s="321"/>
      <c r="J95" s="321"/>
      <c r="K95" s="741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29"/>
        <v>0</v>
      </c>
      <c r="AF95" s="381"/>
      <c r="AG95" s="408"/>
      <c r="AH95" s="409">
        <f t="shared" si="30"/>
        <v>0</v>
      </c>
      <c r="AI95" s="410"/>
      <c r="AJ95" s="411">
        <f t="shared" si="32"/>
        <v>0</v>
      </c>
      <c r="AK95" s="234"/>
      <c r="AL95" s="234"/>
      <c r="AM95" s="234"/>
    </row>
    <row r="96" spans="1:39" ht="20.25">
      <c r="A96" s="424" t="s">
        <v>128</v>
      </c>
      <c r="B96" s="822"/>
      <c r="C96" s="295"/>
      <c r="D96" s="318"/>
      <c r="E96" s="319"/>
      <c r="F96" s="320"/>
      <c r="G96" s="320"/>
      <c r="H96" s="320"/>
      <c r="I96" s="321"/>
      <c r="J96" s="321"/>
      <c r="K96" s="320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29"/>
        <v>0</v>
      </c>
      <c r="AF96" s="381"/>
      <c r="AG96" s="408"/>
      <c r="AH96" s="409">
        <f t="shared" si="30"/>
        <v>0</v>
      </c>
      <c r="AI96" s="410"/>
      <c r="AJ96" s="411">
        <f t="shared" si="32"/>
        <v>0</v>
      </c>
      <c r="AK96" s="234"/>
      <c r="AL96" s="234"/>
      <c r="AM96" s="234"/>
    </row>
    <row r="97" spans="1:39" ht="20.25">
      <c r="A97" s="424" t="s">
        <v>128</v>
      </c>
      <c r="B97" s="822"/>
      <c r="C97" s="295"/>
      <c r="D97" s="318"/>
      <c r="E97" s="319"/>
      <c r="F97" s="320"/>
      <c r="G97" s="320"/>
      <c r="H97" s="320"/>
      <c r="I97" s="321"/>
      <c r="J97" s="321"/>
      <c r="K97" s="320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29"/>
        <v>0</v>
      </c>
      <c r="AF97" s="381"/>
      <c r="AG97" s="408"/>
      <c r="AH97" s="409">
        <f t="shared" si="30"/>
        <v>0</v>
      </c>
      <c r="AI97" s="410"/>
      <c r="AJ97" s="411">
        <f t="shared" si="32"/>
        <v>0</v>
      </c>
      <c r="AK97" s="234"/>
      <c r="AL97" s="234"/>
      <c r="AM97" s="234"/>
    </row>
    <row r="98" spans="1:39" ht="20.25">
      <c r="A98" s="424" t="s">
        <v>128</v>
      </c>
      <c r="B98" s="822"/>
      <c r="C98" s="295"/>
      <c r="D98" s="318"/>
      <c r="E98" s="319"/>
      <c r="F98" s="320"/>
      <c r="G98" s="320"/>
      <c r="H98" s="320"/>
      <c r="I98" s="321"/>
      <c r="J98" s="321"/>
      <c r="K98" s="320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29"/>
        <v>0</v>
      </c>
      <c r="AF98" s="381"/>
      <c r="AG98" s="408"/>
      <c r="AH98" s="409">
        <f t="shared" si="30"/>
        <v>0</v>
      </c>
      <c r="AI98" s="410"/>
      <c r="AJ98" s="411">
        <f t="shared" si="32"/>
        <v>0</v>
      </c>
      <c r="AK98" s="234"/>
      <c r="AL98" s="234"/>
      <c r="AM98" s="234"/>
    </row>
    <row r="99" spans="1:39" ht="20.25">
      <c r="A99" s="424" t="s">
        <v>128</v>
      </c>
      <c r="B99" s="822"/>
      <c r="C99" s="295"/>
      <c r="D99" s="318"/>
      <c r="E99" s="319"/>
      <c r="F99" s="320"/>
      <c r="G99" s="320"/>
      <c r="H99" s="320"/>
      <c r="I99" s="321"/>
      <c r="J99" s="321"/>
      <c r="K99" s="320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29"/>
        <v>0</v>
      </c>
      <c r="AF99" s="381"/>
      <c r="AG99" s="408"/>
      <c r="AH99" s="409">
        <f t="shared" si="30"/>
        <v>0</v>
      </c>
      <c r="AI99" s="410"/>
      <c r="AJ99" s="411">
        <f t="shared" si="32"/>
        <v>0</v>
      </c>
      <c r="AK99" s="234"/>
      <c r="AL99" s="234"/>
      <c r="AM99" s="234"/>
    </row>
    <row r="100" spans="1:39" ht="20.25">
      <c r="A100" s="424" t="s">
        <v>128</v>
      </c>
      <c r="B100" s="827"/>
      <c r="C100" s="323"/>
      <c r="D100" s="324"/>
      <c r="E100" s="325"/>
      <c r="F100" s="297"/>
      <c r="G100" s="297"/>
      <c r="H100" s="297"/>
      <c r="I100" s="298"/>
      <c r="J100" s="298"/>
      <c r="K100" s="297"/>
      <c r="L100" s="355"/>
      <c r="M100" s="343"/>
      <c r="N100" s="298"/>
      <c r="O100" s="298"/>
      <c r="P100" s="298"/>
      <c r="Q100" s="298"/>
      <c r="R100" s="298"/>
      <c r="S100" s="298"/>
      <c r="T100" s="367"/>
      <c r="U100" s="355"/>
      <c r="V100" s="325"/>
      <c r="W100" s="297"/>
      <c r="X100" s="297"/>
      <c r="Y100" s="298"/>
      <c r="Z100" s="298"/>
      <c r="AA100" s="298"/>
      <c r="AB100" s="297"/>
      <c r="AC100" s="375"/>
      <c r="AD100" s="355"/>
      <c r="AE100" s="376">
        <f t="shared" si="29"/>
        <v>0</v>
      </c>
      <c r="AF100" s="377"/>
      <c r="AG100" s="390"/>
      <c r="AH100" s="391">
        <f t="shared" si="30"/>
        <v>0</v>
      </c>
      <c r="AI100" s="412"/>
      <c r="AJ100" s="413">
        <f t="shared" si="32"/>
        <v>0</v>
      </c>
      <c r="AK100" s="414" t="s">
        <v>8</v>
      </c>
      <c r="AL100" s="397" t="s">
        <v>23</v>
      </c>
      <c r="AM100" s="415" t="s">
        <v>174</v>
      </c>
    </row>
    <row r="101" spans="1:39" ht="20.25">
      <c r="A101" s="424" t="s">
        <v>128</v>
      </c>
      <c r="B101" s="827"/>
      <c r="C101" s="323"/>
      <c r="D101" s="324"/>
      <c r="E101" s="325"/>
      <c r="F101" s="297"/>
      <c r="G101" s="297"/>
      <c r="H101" s="297"/>
      <c r="I101" s="298"/>
      <c r="J101" s="298"/>
      <c r="K101" s="297"/>
      <c r="L101" s="355"/>
      <c r="M101" s="343"/>
      <c r="N101" s="298"/>
      <c r="O101" s="298"/>
      <c r="P101" s="298"/>
      <c r="Q101" s="298"/>
      <c r="R101" s="298"/>
      <c r="S101" s="298"/>
      <c r="T101" s="367"/>
      <c r="U101" s="355"/>
      <c r="V101" s="325"/>
      <c r="W101" s="297"/>
      <c r="X101" s="297"/>
      <c r="Y101" s="298"/>
      <c r="Z101" s="298"/>
      <c r="AA101" s="298"/>
      <c r="AB101" s="297"/>
      <c r="AC101" s="375"/>
      <c r="AD101" s="355"/>
      <c r="AE101" s="376">
        <f t="shared" si="29"/>
        <v>0</v>
      </c>
      <c r="AF101" s="377"/>
      <c r="AG101" s="390"/>
      <c r="AH101" s="391">
        <f t="shared" si="30"/>
        <v>0</v>
      </c>
      <c r="AI101" s="412"/>
      <c r="AJ101" s="413">
        <f t="shared" si="32"/>
        <v>0</v>
      </c>
      <c r="AK101" s="414" t="s">
        <v>8</v>
      </c>
      <c r="AL101" s="397" t="s">
        <v>23</v>
      </c>
      <c r="AM101" s="415" t="s">
        <v>174</v>
      </c>
    </row>
    <row r="102" spans="1:39" ht="20.25">
      <c r="A102" s="424" t="s">
        <v>128</v>
      </c>
      <c r="B102" s="827"/>
      <c r="C102" s="323"/>
      <c r="D102" s="324"/>
      <c r="E102" s="325"/>
      <c r="F102" s="297"/>
      <c r="G102" s="297"/>
      <c r="H102" s="297"/>
      <c r="I102" s="298"/>
      <c r="J102" s="298"/>
      <c r="K102" s="297"/>
      <c r="L102" s="355"/>
      <c r="M102" s="343"/>
      <c r="N102" s="298"/>
      <c r="O102" s="298"/>
      <c r="P102" s="298"/>
      <c r="Q102" s="298"/>
      <c r="R102" s="298"/>
      <c r="S102" s="298"/>
      <c r="T102" s="367"/>
      <c r="U102" s="355"/>
      <c r="V102" s="325"/>
      <c r="W102" s="297"/>
      <c r="X102" s="297"/>
      <c r="Y102" s="298"/>
      <c r="Z102" s="298"/>
      <c r="AA102" s="298"/>
      <c r="AB102" s="297"/>
      <c r="AC102" s="375"/>
      <c r="AD102" s="355"/>
      <c r="AE102" s="376">
        <f t="shared" si="29"/>
        <v>0</v>
      </c>
      <c r="AF102" s="377"/>
      <c r="AG102" s="390"/>
      <c r="AH102" s="391">
        <f t="shared" si="30"/>
        <v>0</v>
      </c>
      <c r="AI102" s="412"/>
      <c r="AJ102" s="413">
        <f t="shared" si="32"/>
        <v>0</v>
      </c>
      <c r="AK102" s="414" t="s">
        <v>8</v>
      </c>
      <c r="AL102" s="397" t="s">
        <v>23</v>
      </c>
      <c r="AM102" s="415" t="s">
        <v>174</v>
      </c>
    </row>
    <row r="103" spans="1:39" ht="20.25">
      <c r="A103" s="424" t="s">
        <v>128</v>
      </c>
      <c r="B103" s="827"/>
      <c r="C103" s="323"/>
      <c r="D103" s="324"/>
      <c r="E103" s="325"/>
      <c r="F103" s="297"/>
      <c r="G103" s="297"/>
      <c r="H103" s="297"/>
      <c r="I103" s="298"/>
      <c r="J103" s="298"/>
      <c r="K103" s="297"/>
      <c r="L103" s="355"/>
      <c r="M103" s="343"/>
      <c r="N103" s="298"/>
      <c r="O103" s="298"/>
      <c r="P103" s="298"/>
      <c r="Q103" s="298"/>
      <c r="R103" s="298"/>
      <c r="S103" s="298"/>
      <c r="T103" s="367"/>
      <c r="U103" s="355"/>
      <c r="V103" s="325"/>
      <c r="W103" s="297"/>
      <c r="X103" s="297"/>
      <c r="Y103" s="298"/>
      <c r="Z103" s="298"/>
      <c r="AA103" s="298"/>
      <c r="AB103" s="297"/>
      <c r="AC103" s="375"/>
      <c r="AD103" s="355"/>
      <c r="AE103" s="376">
        <f t="shared" ref="AE103:AE104" si="33">SUM(E103:AC103)</f>
        <v>0</v>
      </c>
      <c r="AF103" s="377"/>
      <c r="AG103" s="390"/>
      <c r="AH103" s="391">
        <f t="shared" si="30"/>
        <v>0</v>
      </c>
      <c r="AI103" s="412"/>
      <c r="AJ103" s="413">
        <f t="shared" si="32"/>
        <v>0</v>
      </c>
      <c r="AK103" s="414" t="s">
        <v>8</v>
      </c>
      <c r="AL103" s="397" t="s">
        <v>23</v>
      </c>
      <c r="AM103" s="415" t="s">
        <v>174</v>
      </c>
    </row>
    <row r="104" spans="1:39" ht="20.25">
      <c r="A104" s="424" t="s">
        <v>128</v>
      </c>
      <c r="B104" s="827"/>
      <c r="C104" s="323"/>
      <c r="D104" s="324"/>
      <c r="E104" s="325"/>
      <c r="F104" s="297"/>
      <c r="G104" s="297"/>
      <c r="H104" s="297"/>
      <c r="I104" s="298"/>
      <c r="J104" s="298"/>
      <c r="K104" s="297"/>
      <c r="L104" s="355"/>
      <c r="M104" s="343"/>
      <c r="N104" s="298"/>
      <c r="O104" s="298"/>
      <c r="P104" s="298"/>
      <c r="Q104" s="298"/>
      <c r="R104" s="298"/>
      <c r="S104" s="298"/>
      <c r="T104" s="367"/>
      <c r="U104" s="355"/>
      <c r="V104" s="325"/>
      <c r="W104" s="297"/>
      <c r="X104" s="297"/>
      <c r="Y104" s="298"/>
      <c r="Z104" s="298"/>
      <c r="AA104" s="298"/>
      <c r="AB104" s="297"/>
      <c r="AC104" s="375"/>
      <c r="AD104" s="355"/>
      <c r="AE104" s="376">
        <f t="shared" si="33"/>
        <v>0</v>
      </c>
      <c r="AF104" s="377"/>
      <c r="AG104" s="390"/>
      <c r="AH104" s="391">
        <f t="shared" si="30"/>
        <v>0</v>
      </c>
      <c r="AI104" s="412"/>
      <c r="AJ104" s="413">
        <f t="shared" si="32"/>
        <v>0</v>
      </c>
      <c r="AK104" s="414" t="s">
        <v>8</v>
      </c>
      <c r="AL104" s="397" t="s">
        <v>23</v>
      </c>
      <c r="AM104" s="415" t="s">
        <v>174</v>
      </c>
    </row>
    <row r="105" spans="1:39" ht="18.75">
      <c r="A105" s="828" t="s">
        <v>129</v>
      </c>
      <c r="B105" s="327"/>
      <c r="C105" s="327"/>
      <c r="D105" s="328"/>
      <c r="E105" s="329">
        <f>SUM(E87:E104)</f>
        <v>0</v>
      </c>
      <c r="F105" s="329">
        <f t="shared" ref="F105:AJ105" si="34">SUM(F87:F104)</f>
        <v>0</v>
      </c>
      <c r="G105" s="329">
        <f t="shared" si="34"/>
        <v>0</v>
      </c>
      <c r="H105" s="329">
        <f t="shared" si="34"/>
        <v>0</v>
      </c>
      <c r="I105" s="329">
        <f t="shared" si="34"/>
        <v>0</v>
      </c>
      <c r="J105" s="329">
        <f t="shared" si="34"/>
        <v>0</v>
      </c>
      <c r="K105" s="329">
        <f t="shared" si="34"/>
        <v>0</v>
      </c>
      <c r="L105" s="329">
        <f t="shared" si="34"/>
        <v>0</v>
      </c>
      <c r="M105" s="329">
        <f t="shared" si="34"/>
        <v>0</v>
      </c>
      <c r="N105" s="329">
        <f t="shared" si="34"/>
        <v>0</v>
      </c>
      <c r="O105" s="329">
        <f t="shared" si="34"/>
        <v>0</v>
      </c>
      <c r="P105" s="329">
        <f t="shared" si="34"/>
        <v>0</v>
      </c>
      <c r="Q105" s="329">
        <f t="shared" si="34"/>
        <v>0</v>
      </c>
      <c r="R105" s="329">
        <f t="shared" si="34"/>
        <v>0</v>
      </c>
      <c r="S105" s="329">
        <f t="shared" si="34"/>
        <v>0</v>
      </c>
      <c r="T105" s="329">
        <f t="shared" si="34"/>
        <v>0</v>
      </c>
      <c r="U105" s="329">
        <f t="shared" si="34"/>
        <v>0</v>
      </c>
      <c r="V105" s="329">
        <f t="shared" si="34"/>
        <v>0</v>
      </c>
      <c r="W105" s="329">
        <f t="shared" si="34"/>
        <v>0</v>
      </c>
      <c r="X105" s="329">
        <f t="shared" si="34"/>
        <v>0</v>
      </c>
      <c r="Y105" s="329">
        <f t="shared" si="34"/>
        <v>0</v>
      </c>
      <c r="Z105" s="329">
        <f t="shared" si="34"/>
        <v>0</v>
      </c>
      <c r="AA105" s="329">
        <f t="shared" si="34"/>
        <v>0</v>
      </c>
      <c r="AB105" s="329">
        <f t="shared" si="34"/>
        <v>0</v>
      </c>
      <c r="AC105" s="329">
        <f t="shared" si="34"/>
        <v>0</v>
      </c>
      <c r="AD105" s="329">
        <f t="shared" si="34"/>
        <v>0</v>
      </c>
      <c r="AE105" s="329">
        <f t="shared" si="34"/>
        <v>0</v>
      </c>
      <c r="AF105" s="329">
        <f t="shared" si="34"/>
        <v>0</v>
      </c>
      <c r="AG105" s="329">
        <f t="shared" si="34"/>
        <v>0</v>
      </c>
      <c r="AH105" s="329">
        <f t="shared" si="34"/>
        <v>0</v>
      </c>
      <c r="AI105" s="329">
        <f t="shared" si="34"/>
        <v>0</v>
      </c>
      <c r="AJ105" s="329">
        <f t="shared" si="34"/>
        <v>0</v>
      </c>
      <c r="AK105" s="399">
        <f>'BIG CHAIR'!CL111</f>
        <v>0</v>
      </c>
      <c r="AL105" s="400">
        <f>'Tea Table'!X201</f>
        <v>577.41666666666663</v>
      </c>
      <c r="AM105" s="401">
        <f>AH105+AK105+AL105</f>
        <v>577.41666666666663</v>
      </c>
    </row>
    <row r="106" spans="1:39" ht="23.25">
      <c r="A106" s="721" t="s">
        <v>130</v>
      </c>
      <c r="B106" s="722" t="s">
        <v>68</v>
      </c>
      <c r="C106" s="287" t="s">
        <v>69</v>
      </c>
      <c r="D106" s="288" t="s">
        <v>70</v>
      </c>
      <c r="E106" s="80" t="s">
        <v>96</v>
      </c>
      <c r="F106" s="49" t="s">
        <v>482</v>
      </c>
      <c r="G106" s="49" t="s">
        <v>206</v>
      </c>
      <c r="H106" s="49" t="s">
        <v>53</v>
      </c>
      <c r="I106" s="49" t="s">
        <v>94</v>
      </c>
      <c r="J106" s="42" t="s">
        <v>555</v>
      </c>
      <c r="K106" s="49" t="s">
        <v>92</v>
      </c>
      <c r="L106" s="79"/>
      <c r="M106" s="80" t="s">
        <v>71</v>
      </c>
      <c r="N106" s="49" t="s">
        <v>72</v>
      </c>
      <c r="O106" s="49" t="s">
        <v>118</v>
      </c>
      <c r="P106" s="49" t="s">
        <v>95</v>
      </c>
      <c r="Q106" s="49" t="s">
        <v>75</v>
      </c>
      <c r="R106" s="49" t="s">
        <v>53</v>
      </c>
      <c r="S106" s="126" t="s">
        <v>77</v>
      </c>
      <c r="T106" s="171" t="s">
        <v>94</v>
      </c>
      <c r="U106" s="79"/>
      <c r="V106" s="171" t="s">
        <v>94</v>
      </c>
      <c r="W106" s="716" t="s">
        <v>136</v>
      </c>
      <c r="X106" s="49" t="s">
        <v>53</v>
      </c>
      <c r="Y106" s="103" t="s">
        <v>171</v>
      </c>
      <c r="Z106" s="104" t="s">
        <v>190</v>
      </c>
      <c r="AA106" s="716" t="s">
        <v>240</v>
      </c>
      <c r="AB106" s="121" t="s">
        <v>206</v>
      </c>
      <c r="AC106" s="717" t="s">
        <v>170</v>
      </c>
      <c r="AD106" s="370"/>
      <c r="AE106" s="371" t="s">
        <v>172</v>
      </c>
      <c r="AF106" s="372" t="s">
        <v>80</v>
      </c>
      <c r="AG106" s="385"/>
      <c r="AH106" s="386" t="s">
        <v>106</v>
      </c>
      <c r="AI106" s="385" t="s">
        <v>173</v>
      </c>
      <c r="AJ106" s="371" t="s">
        <v>108</v>
      </c>
      <c r="AK106" s="282"/>
      <c r="AL106" s="282"/>
      <c r="AM106" s="282"/>
    </row>
    <row r="107" spans="1:39" ht="20.25">
      <c r="A107" s="792" t="s">
        <v>131</v>
      </c>
      <c r="B107" s="826"/>
      <c r="C107" s="311"/>
      <c r="D107" s="312"/>
      <c r="E107" s="313"/>
      <c r="F107" s="314"/>
      <c r="G107" s="314"/>
      <c r="H107" s="314"/>
      <c r="I107" s="315"/>
      <c r="J107" s="315"/>
      <c r="K107" s="314"/>
      <c r="L107" s="349"/>
      <c r="M107" s="350"/>
      <c r="N107" s="315"/>
      <c r="O107" s="315"/>
      <c r="P107" s="315"/>
      <c r="Q107" s="315"/>
      <c r="R107" s="315"/>
      <c r="S107" s="315"/>
      <c r="T107" s="477"/>
      <c r="U107" s="349"/>
      <c r="V107" s="350"/>
      <c r="W107" s="315"/>
      <c r="X107" s="315"/>
      <c r="Y107" s="315"/>
      <c r="Z107" s="315"/>
      <c r="AA107" s="315"/>
      <c r="AB107" s="315"/>
      <c r="AC107" s="378"/>
      <c r="AD107" s="349"/>
      <c r="AE107" s="379">
        <f t="shared" ref="AE107:AE117" si="35">SUM(E107:AC107)</f>
        <v>0</v>
      </c>
      <c r="AF107" s="379"/>
      <c r="AG107" s="404"/>
      <c r="AH107" s="405">
        <f t="shared" ref="AH107:AH134" si="36">AE107+AF107</f>
        <v>0</v>
      </c>
      <c r="AI107" s="406"/>
      <c r="AJ107" s="407">
        <f>AH107+AI107</f>
        <v>0</v>
      </c>
      <c r="AK107" s="234"/>
      <c r="AL107" s="234"/>
      <c r="AM107" s="234"/>
    </row>
    <row r="108" spans="1:39" ht="20.25">
      <c r="A108" s="792" t="s">
        <v>131</v>
      </c>
      <c r="B108" s="824"/>
      <c r="C108" s="317"/>
      <c r="D108" s="318"/>
      <c r="E108" s="319"/>
      <c r="F108" s="320"/>
      <c r="G108" s="320"/>
      <c r="H108" s="320"/>
      <c r="I108" s="321"/>
      <c r="J108" s="234"/>
      <c r="K108" s="234"/>
      <c r="L108" s="352"/>
      <c r="M108" s="353"/>
      <c r="N108" s="320"/>
      <c r="O108" s="320"/>
      <c r="P108" s="321"/>
      <c r="Q108" s="321"/>
      <c r="R108" s="321"/>
      <c r="S108" s="320"/>
      <c r="T108" s="351"/>
      <c r="U108" s="352"/>
      <c r="V108" s="353"/>
      <c r="W108" s="321"/>
      <c r="X108" s="321"/>
      <c r="Y108" s="321"/>
      <c r="Z108" s="321"/>
      <c r="AA108" s="321"/>
      <c r="AB108" s="321"/>
      <c r="AC108" s="380"/>
      <c r="AD108" s="352"/>
      <c r="AE108" s="381">
        <f t="shared" si="35"/>
        <v>0</v>
      </c>
      <c r="AF108" s="381"/>
      <c r="AG108" s="408"/>
      <c r="AH108" s="409">
        <f t="shared" si="36"/>
        <v>0</v>
      </c>
      <c r="AI108" s="410"/>
      <c r="AJ108" s="411">
        <f>AH108+AI108</f>
        <v>0</v>
      </c>
      <c r="AK108" s="234"/>
      <c r="AL108" s="234"/>
      <c r="AM108" s="234"/>
    </row>
    <row r="109" spans="1:39" ht="20.25">
      <c r="A109" s="792" t="s">
        <v>131</v>
      </c>
      <c r="B109" s="822"/>
      <c r="C109" s="295"/>
      <c r="D109" s="318"/>
      <c r="E109" s="319"/>
      <c r="F109" s="320"/>
      <c r="G109" s="320"/>
      <c r="H109" s="320"/>
      <c r="I109" s="321"/>
      <c r="J109" s="321"/>
      <c r="K109" s="320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35"/>
        <v>0</v>
      </c>
      <c r="AF109" s="381"/>
      <c r="AG109" s="408"/>
      <c r="AH109" s="409">
        <f t="shared" si="36"/>
        <v>0</v>
      </c>
      <c r="AI109" s="410"/>
      <c r="AJ109" s="411">
        <f>AH109+AI109</f>
        <v>0</v>
      </c>
      <c r="AK109" s="234"/>
      <c r="AL109" s="234"/>
      <c r="AM109" s="234"/>
    </row>
    <row r="110" spans="1:39" ht="20.25">
      <c r="A110" s="792" t="s">
        <v>131</v>
      </c>
      <c r="B110" s="710"/>
      <c r="C110" s="295"/>
      <c r="D110" s="318"/>
      <c r="E110" s="319"/>
      <c r="F110" s="320"/>
      <c r="G110" s="320"/>
      <c r="H110" s="320"/>
      <c r="I110" s="321"/>
      <c r="J110" s="321"/>
      <c r="K110" s="320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/>
      <c r="AD110" s="352"/>
      <c r="AE110" s="381">
        <f t="shared" si="35"/>
        <v>0</v>
      </c>
      <c r="AF110" s="381"/>
      <c r="AG110" s="408"/>
      <c r="AH110" s="409">
        <f t="shared" si="36"/>
        <v>0</v>
      </c>
      <c r="AI110" s="410"/>
      <c r="AJ110" s="411">
        <f>AH110+AI110</f>
        <v>0</v>
      </c>
      <c r="AK110" s="234"/>
      <c r="AL110" s="234"/>
      <c r="AM110" s="234"/>
    </row>
    <row r="111" spans="1:39" ht="20.25">
      <c r="A111" s="792" t="s">
        <v>131</v>
      </c>
      <c r="B111" s="710"/>
      <c r="C111" s="295"/>
      <c r="D111" s="318"/>
      <c r="E111" s="319"/>
      <c r="F111" s="320"/>
      <c r="G111" s="320"/>
      <c r="H111" s="320"/>
      <c r="I111" s="321"/>
      <c r="J111" s="321"/>
      <c r="K111" s="320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35"/>
        <v>0</v>
      </c>
      <c r="AF111" s="381"/>
      <c r="AG111" s="408"/>
      <c r="AH111" s="409">
        <f t="shared" si="36"/>
        <v>0</v>
      </c>
      <c r="AI111" s="410"/>
      <c r="AJ111" s="411">
        <f t="shared" ref="AJ111:AJ113" si="37">AH111+AI111</f>
        <v>0</v>
      </c>
      <c r="AK111" s="234"/>
      <c r="AL111" s="234"/>
      <c r="AM111" s="234"/>
    </row>
    <row r="112" spans="1:39" ht="20.25">
      <c r="A112" s="792" t="s">
        <v>131</v>
      </c>
      <c r="B112" s="710"/>
      <c r="C112" s="295"/>
      <c r="D112" s="318"/>
      <c r="E112" s="319"/>
      <c r="F112" s="320"/>
      <c r="G112" s="320"/>
      <c r="H112" s="321"/>
      <c r="I112" s="234"/>
      <c r="J112" s="321"/>
      <c r="K112" s="320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35"/>
        <v>0</v>
      </c>
      <c r="AF112" s="381"/>
      <c r="AG112" s="408"/>
      <c r="AH112" s="409">
        <f t="shared" si="36"/>
        <v>0</v>
      </c>
      <c r="AI112" s="410"/>
      <c r="AJ112" s="411">
        <f t="shared" si="37"/>
        <v>0</v>
      </c>
      <c r="AK112" s="234"/>
      <c r="AL112" s="234"/>
      <c r="AM112" s="234"/>
    </row>
    <row r="113" spans="1:39" ht="20.25">
      <c r="A113" s="792" t="s">
        <v>131</v>
      </c>
      <c r="B113" s="710"/>
      <c r="C113" s="295"/>
      <c r="D113" s="318"/>
      <c r="E113" s="319"/>
      <c r="F113" s="320"/>
      <c r="G113" s="320"/>
      <c r="H113" s="320"/>
      <c r="I113" s="321"/>
      <c r="J113" s="321"/>
      <c r="K113" s="320"/>
      <c r="L113" s="352"/>
      <c r="M113" s="353"/>
      <c r="N113" s="321"/>
      <c r="O113" s="321"/>
      <c r="P113" s="321"/>
      <c r="Q113" s="321"/>
      <c r="R113" s="321"/>
      <c r="S113" s="321"/>
      <c r="T113" s="351"/>
      <c r="U113" s="352"/>
      <c r="V113" s="319"/>
      <c r="W113" s="320"/>
      <c r="X113" s="320"/>
      <c r="Y113" s="321"/>
      <c r="Z113" s="321"/>
      <c r="AA113" s="321"/>
      <c r="AB113" s="320"/>
      <c r="AC113" s="380"/>
      <c r="AD113" s="352"/>
      <c r="AE113" s="381">
        <f t="shared" si="35"/>
        <v>0</v>
      </c>
      <c r="AF113" s="381"/>
      <c r="AG113" s="408"/>
      <c r="AH113" s="409">
        <f t="shared" si="36"/>
        <v>0</v>
      </c>
      <c r="AI113" s="410"/>
      <c r="AJ113" s="411">
        <f t="shared" si="37"/>
        <v>0</v>
      </c>
      <c r="AK113" s="234"/>
      <c r="AL113" s="234"/>
      <c r="AM113" s="234"/>
    </row>
    <row r="114" spans="1:39" ht="20.25">
      <c r="A114" s="792" t="s">
        <v>131</v>
      </c>
      <c r="B114" s="822"/>
      <c r="C114" s="295"/>
      <c r="D114" s="318"/>
      <c r="E114" s="319"/>
      <c r="F114" s="320"/>
      <c r="G114" s="320"/>
      <c r="H114" s="320"/>
      <c r="I114" s="321"/>
      <c r="J114" s="321"/>
      <c r="K114" s="741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/>
      <c r="X114" s="320"/>
      <c r="Y114" s="321"/>
      <c r="Z114" s="321"/>
      <c r="AA114" s="321"/>
      <c r="AB114" s="320"/>
      <c r="AC114" s="380"/>
      <c r="AD114" s="352"/>
      <c r="AE114" s="381">
        <f t="shared" si="35"/>
        <v>0</v>
      </c>
      <c r="AF114" s="381"/>
      <c r="AG114" s="408"/>
      <c r="AH114" s="409">
        <f t="shared" si="36"/>
        <v>0</v>
      </c>
      <c r="AI114" s="410"/>
      <c r="AJ114" s="411">
        <f t="shared" ref="AJ114:AJ134" si="38">AH114+AI114</f>
        <v>0</v>
      </c>
      <c r="AK114" s="234"/>
      <c r="AL114" s="234"/>
      <c r="AM114" s="234"/>
    </row>
    <row r="115" spans="1:39" ht="20.25">
      <c r="A115" s="792" t="s">
        <v>131</v>
      </c>
      <c r="B115" s="822"/>
      <c r="C115" s="295"/>
      <c r="D115" s="318"/>
      <c r="E115" s="319"/>
      <c r="F115" s="320"/>
      <c r="G115" s="320"/>
      <c r="H115" s="320"/>
      <c r="I115" s="321"/>
      <c r="J115" s="321"/>
      <c r="K115" s="741"/>
      <c r="L115" s="352"/>
      <c r="M115" s="353"/>
      <c r="N115" s="321"/>
      <c r="O115" s="321"/>
      <c r="P115" s="321"/>
      <c r="Q115" s="321"/>
      <c r="R115" s="582"/>
      <c r="S115" s="321"/>
      <c r="T115" s="351"/>
      <c r="U115" s="352"/>
      <c r="V115" s="319"/>
      <c r="W115" s="320"/>
      <c r="X115" s="320"/>
      <c r="Y115" s="321"/>
      <c r="Z115" s="321"/>
      <c r="AA115" s="321"/>
      <c r="AB115" s="320"/>
      <c r="AC115" s="380"/>
      <c r="AD115" s="352"/>
      <c r="AE115" s="381">
        <f t="shared" si="35"/>
        <v>0</v>
      </c>
      <c r="AF115" s="381"/>
      <c r="AG115" s="408"/>
      <c r="AH115" s="409">
        <f t="shared" si="36"/>
        <v>0</v>
      </c>
      <c r="AI115" s="410"/>
      <c r="AJ115" s="411">
        <f t="shared" si="38"/>
        <v>0</v>
      </c>
      <c r="AK115" s="234"/>
      <c r="AL115" s="234"/>
      <c r="AM115" s="234"/>
    </row>
    <row r="116" spans="1:39" ht="20.25">
      <c r="A116" s="792" t="s">
        <v>131</v>
      </c>
      <c r="B116" s="822"/>
      <c r="C116" s="295"/>
      <c r="D116" s="318"/>
      <c r="E116" s="829"/>
      <c r="F116" s="741"/>
      <c r="G116" s="741"/>
      <c r="H116" s="741"/>
      <c r="I116" s="582"/>
      <c r="J116" s="582"/>
      <c r="K116" s="741"/>
      <c r="L116" s="830"/>
      <c r="M116" s="831"/>
      <c r="N116" s="582"/>
      <c r="O116" s="582"/>
      <c r="P116" s="582"/>
      <c r="Q116" s="582"/>
      <c r="R116" s="582"/>
      <c r="S116" s="582"/>
      <c r="T116" s="832"/>
      <c r="U116" s="830"/>
      <c r="V116" s="829"/>
      <c r="W116" s="741"/>
      <c r="X116" s="741"/>
      <c r="Y116" s="582"/>
      <c r="Z116" s="582"/>
      <c r="AA116" s="582"/>
      <c r="AB116" s="741"/>
      <c r="AC116" s="833"/>
      <c r="AD116" s="352"/>
      <c r="AE116" s="381">
        <f t="shared" si="35"/>
        <v>0</v>
      </c>
      <c r="AF116" s="381"/>
      <c r="AG116" s="408"/>
      <c r="AH116" s="409">
        <f t="shared" si="36"/>
        <v>0</v>
      </c>
      <c r="AI116" s="410"/>
      <c r="AJ116" s="411">
        <f t="shared" si="38"/>
        <v>0</v>
      </c>
      <c r="AK116" s="234"/>
      <c r="AL116" s="234"/>
      <c r="AM116" s="234"/>
    </row>
    <row r="117" spans="1:39" ht="20.25">
      <c r="A117" s="792" t="s">
        <v>131</v>
      </c>
      <c r="B117" s="822"/>
      <c r="C117" s="295"/>
      <c r="D117" s="318"/>
      <c r="E117" s="829"/>
      <c r="F117" s="741"/>
      <c r="G117" s="741"/>
      <c r="H117" s="741"/>
      <c r="I117" s="582"/>
      <c r="J117" s="582"/>
      <c r="K117" s="741"/>
      <c r="L117" s="830"/>
      <c r="M117" s="831"/>
      <c r="N117" s="582"/>
      <c r="O117" s="582"/>
      <c r="P117" s="582"/>
      <c r="Q117" s="582"/>
      <c r="R117" s="582"/>
      <c r="S117" s="582"/>
      <c r="T117" s="832"/>
      <c r="U117" s="830"/>
      <c r="V117" s="829"/>
      <c r="W117" s="741"/>
      <c r="X117" s="741"/>
      <c r="Y117" s="582"/>
      <c r="Z117" s="582"/>
      <c r="AA117" s="582"/>
      <c r="AB117" s="741"/>
      <c r="AC117" s="833"/>
      <c r="AD117" s="352"/>
      <c r="AE117" s="381">
        <f t="shared" si="35"/>
        <v>0</v>
      </c>
      <c r="AF117" s="381"/>
      <c r="AG117" s="408"/>
      <c r="AH117" s="409">
        <f t="shared" si="36"/>
        <v>0</v>
      </c>
      <c r="AI117" s="410"/>
      <c r="AJ117" s="411">
        <f t="shared" si="38"/>
        <v>0</v>
      </c>
      <c r="AK117" s="234"/>
      <c r="AL117" s="234"/>
      <c r="AM117" s="234"/>
    </row>
    <row r="118" spans="1:39" ht="20.25">
      <c r="A118" s="792" t="s">
        <v>131</v>
      </c>
      <c r="B118" s="822"/>
      <c r="C118" s="295"/>
      <c r="D118" s="318"/>
      <c r="E118" s="829"/>
      <c r="F118" s="741"/>
      <c r="G118" s="741"/>
      <c r="H118" s="741"/>
      <c r="I118" s="582"/>
      <c r="J118" s="582"/>
      <c r="K118" s="741"/>
      <c r="L118" s="830"/>
      <c r="M118" s="831"/>
      <c r="N118" s="582"/>
      <c r="O118" s="582"/>
      <c r="P118" s="582"/>
      <c r="Q118" s="582"/>
      <c r="R118" s="582"/>
      <c r="S118" s="582"/>
      <c r="T118" s="832"/>
      <c r="U118" s="830"/>
      <c r="V118" s="829"/>
      <c r="W118" s="741"/>
      <c r="X118" s="741"/>
      <c r="Y118" s="582"/>
      <c r="Z118" s="582"/>
      <c r="AA118" s="582"/>
      <c r="AB118" s="741"/>
      <c r="AC118" s="833"/>
      <c r="AD118" s="352"/>
      <c r="AE118" s="381">
        <f t="shared" ref="AE118:AE134" si="39">SUM(E118:AC118)</f>
        <v>0</v>
      </c>
      <c r="AF118" s="381"/>
      <c r="AG118" s="408"/>
      <c r="AH118" s="409">
        <f t="shared" si="36"/>
        <v>0</v>
      </c>
      <c r="AI118" s="410"/>
      <c r="AJ118" s="411">
        <f t="shared" si="38"/>
        <v>0</v>
      </c>
      <c r="AK118" s="234"/>
      <c r="AL118" s="234"/>
      <c r="AM118" s="234"/>
    </row>
    <row r="119" spans="1:39" ht="20.25">
      <c r="A119" s="792" t="s">
        <v>131</v>
      </c>
      <c r="B119" s="822"/>
      <c r="C119" s="295"/>
      <c r="D119" s="318"/>
      <c r="E119" s="829"/>
      <c r="F119" s="741"/>
      <c r="G119" s="741"/>
      <c r="H119" s="741"/>
      <c r="I119" s="582"/>
      <c r="J119" s="582"/>
      <c r="K119" s="741"/>
      <c r="L119" s="830"/>
      <c r="M119" s="831"/>
      <c r="N119" s="582"/>
      <c r="O119" s="582"/>
      <c r="P119" s="582"/>
      <c r="Q119" s="582"/>
      <c r="R119" s="582"/>
      <c r="S119" s="582"/>
      <c r="T119" s="832"/>
      <c r="U119" s="830"/>
      <c r="V119" s="829"/>
      <c r="W119" s="741"/>
      <c r="X119" s="741"/>
      <c r="Y119" s="582"/>
      <c r="Z119" s="582"/>
      <c r="AA119" s="582"/>
      <c r="AB119" s="741"/>
      <c r="AC119" s="833"/>
      <c r="AD119" s="352"/>
      <c r="AE119" s="381">
        <f t="shared" si="39"/>
        <v>0</v>
      </c>
      <c r="AF119" s="381"/>
      <c r="AG119" s="408"/>
      <c r="AH119" s="409">
        <f t="shared" si="36"/>
        <v>0</v>
      </c>
      <c r="AI119" s="410"/>
      <c r="AJ119" s="411">
        <f t="shared" si="38"/>
        <v>0</v>
      </c>
      <c r="AK119" s="234"/>
      <c r="AL119" s="234"/>
      <c r="AM119" s="234"/>
    </row>
    <row r="120" spans="1:39" ht="20.25">
      <c r="A120" s="792" t="s">
        <v>131</v>
      </c>
      <c r="B120" s="827"/>
      <c r="C120" s="323"/>
      <c r="D120" s="324"/>
      <c r="E120" s="325"/>
      <c r="F120" s="297"/>
      <c r="G120" s="297"/>
      <c r="H120" s="297"/>
      <c r="I120" s="298"/>
      <c r="J120" s="298"/>
      <c r="K120" s="297"/>
      <c r="L120" s="355"/>
      <c r="M120" s="343"/>
      <c r="N120" s="298"/>
      <c r="O120" s="298"/>
      <c r="P120" s="298"/>
      <c r="Q120" s="298"/>
      <c r="R120" s="298"/>
      <c r="S120" s="298"/>
      <c r="T120" s="367"/>
      <c r="U120" s="355"/>
      <c r="V120" s="325"/>
      <c r="W120" s="297"/>
      <c r="X120" s="297"/>
      <c r="Y120" s="298"/>
      <c r="Z120" s="298"/>
      <c r="AA120" s="298"/>
      <c r="AB120" s="297"/>
      <c r="AC120" s="375"/>
      <c r="AD120" s="355"/>
      <c r="AE120" s="376">
        <f t="shared" si="39"/>
        <v>0</v>
      </c>
      <c r="AF120" s="377"/>
      <c r="AG120" s="390"/>
      <c r="AH120" s="391">
        <f t="shared" si="36"/>
        <v>0</v>
      </c>
      <c r="AI120" s="412"/>
      <c r="AJ120" s="413">
        <f t="shared" si="38"/>
        <v>0</v>
      </c>
      <c r="AK120" s="414" t="s">
        <v>8</v>
      </c>
      <c r="AL120" s="397" t="s">
        <v>23</v>
      </c>
      <c r="AM120" s="415" t="s">
        <v>174</v>
      </c>
    </row>
    <row r="121" spans="1:39" ht="20.25">
      <c r="A121" s="792" t="s">
        <v>131</v>
      </c>
      <c r="B121" s="827"/>
      <c r="C121" s="323"/>
      <c r="D121" s="324"/>
      <c r="E121" s="325"/>
      <c r="F121" s="297"/>
      <c r="G121" s="297"/>
      <c r="H121" s="297"/>
      <c r="I121" s="298"/>
      <c r="J121" s="298"/>
      <c r="K121" s="297"/>
      <c r="L121" s="355"/>
      <c r="M121" s="343"/>
      <c r="N121" s="298"/>
      <c r="O121" s="298"/>
      <c r="P121" s="298"/>
      <c r="Q121" s="298"/>
      <c r="R121" s="298"/>
      <c r="S121" s="298"/>
      <c r="T121" s="367"/>
      <c r="U121" s="355"/>
      <c r="V121" s="325"/>
      <c r="W121" s="297"/>
      <c r="X121" s="297"/>
      <c r="Y121" s="298"/>
      <c r="Z121" s="298"/>
      <c r="AA121" s="298"/>
      <c r="AB121" s="297"/>
      <c r="AC121" s="375"/>
      <c r="AD121" s="355"/>
      <c r="AE121" s="376">
        <f t="shared" si="39"/>
        <v>0</v>
      </c>
      <c r="AF121" s="377"/>
      <c r="AG121" s="390"/>
      <c r="AH121" s="391">
        <f t="shared" si="36"/>
        <v>0</v>
      </c>
      <c r="AI121" s="412"/>
      <c r="AJ121" s="413">
        <f t="shared" si="38"/>
        <v>0</v>
      </c>
      <c r="AK121" s="414" t="s">
        <v>8</v>
      </c>
      <c r="AL121" s="397" t="s">
        <v>23</v>
      </c>
      <c r="AM121" s="415" t="s">
        <v>174</v>
      </c>
    </row>
    <row r="122" spans="1:39" ht="20.25">
      <c r="A122" s="792" t="s">
        <v>131</v>
      </c>
      <c r="B122" s="827"/>
      <c r="C122" s="323"/>
      <c r="D122" s="324"/>
      <c r="E122" s="325"/>
      <c r="F122" s="297"/>
      <c r="G122" s="297"/>
      <c r="H122" s="297"/>
      <c r="I122" s="298"/>
      <c r="J122" s="298"/>
      <c r="K122" s="297"/>
      <c r="L122" s="355"/>
      <c r="M122" s="343"/>
      <c r="N122" s="298"/>
      <c r="O122" s="298"/>
      <c r="P122" s="298"/>
      <c r="Q122" s="298"/>
      <c r="R122" s="298"/>
      <c r="S122" s="298"/>
      <c r="T122" s="367"/>
      <c r="U122" s="355"/>
      <c r="V122" s="325"/>
      <c r="W122" s="297"/>
      <c r="X122" s="297"/>
      <c r="Y122" s="298"/>
      <c r="Z122" s="298"/>
      <c r="AA122" s="298"/>
      <c r="AB122" s="297"/>
      <c r="AC122" s="375"/>
      <c r="AD122" s="355"/>
      <c r="AE122" s="376">
        <f t="shared" si="39"/>
        <v>0</v>
      </c>
      <c r="AF122" s="377"/>
      <c r="AG122" s="390"/>
      <c r="AH122" s="391">
        <f t="shared" si="36"/>
        <v>0</v>
      </c>
      <c r="AI122" s="412"/>
      <c r="AJ122" s="413">
        <f t="shared" si="38"/>
        <v>0</v>
      </c>
      <c r="AK122" s="414" t="s">
        <v>8</v>
      </c>
      <c r="AL122" s="397" t="s">
        <v>23</v>
      </c>
      <c r="AM122" s="415" t="s">
        <v>174</v>
      </c>
    </row>
    <row r="123" spans="1:39" ht="20.25">
      <c r="A123" s="792" t="s">
        <v>131</v>
      </c>
      <c r="B123" s="827"/>
      <c r="C123" s="323"/>
      <c r="D123" s="324"/>
      <c r="E123" s="325"/>
      <c r="F123" s="297"/>
      <c r="G123" s="297"/>
      <c r="H123" s="297"/>
      <c r="I123" s="298"/>
      <c r="J123" s="298"/>
      <c r="K123" s="297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39"/>
        <v>0</v>
      </c>
      <c r="AF123" s="377"/>
      <c r="AG123" s="390"/>
      <c r="AH123" s="391">
        <f t="shared" si="36"/>
        <v>0</v>
      </c>
      <c r="AI123" s="412"/>
      <c r="AJ123" s="413">
        <f t="shared" si="38"/>
        <v>0</v>
      </c>
      <c r="AK123" s="414" t="s">
        <v>8</v>
      </c>
      <c r="AL123" s="397" t="s">
        <v>23</v>
      </c>
      <c r="AM123" s="415" t="s">
        <v>174</v>
      </c>
    </row>
    <row r="124" spans="1:39" ht="20.25">
      <c r="A124" s="792" t="s">
        <v>131</v>
      </c>
      <c r="B124" s="827"/>
      <c r="C124" s="323"/>
      <c r="D124" s="324"/>
      <c r="E124" s="325"/>
      <c r="F124" s="297"/>
      <c r="G124" s="297"/>
      <c r="H124" s="297"/>
      <c r="I124" s="298"/>
      <c r="J124" s="298"/>
      <c r="K124" s="297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39"/>
        <v>0</v>
      </c>
      <c r="AF124" s="377"/>
      <c r="AG124" s="390"/>
      <c r="AH124" s="391">
        <f t="shared" si="36"/>
        <v>0</v>
      </c>
      <c r="AI124" s="412"/>
      <c r="AJ124" s="413">
        <f t="shared" si="38"/>
        <v>0</v>
      </c>
      <c r="AK124" s="414" t="s">
        <v>8</v>
      </c>
      <c r="AL124" s="397" t="s">
        <v>23</v>
      </c>
      <c r="AM124" s="415" t="s">
        <v>174</v>
      </c>
    </row>
    <row r="125" spans="1:39" ht="20.25">
      <c r="A125" s="792" t="s">
        <v>131</v>
      </c>
      <c r="B125" s="827"/>
      <c r="C125" s="323"/>
      <c r="D125" s="324"/>
      <c r="E125" s="325"/>
      <c r="F125" s="297"/>
      <c r="G125" s="297"/>
      <c r="H125" s="297"/>
      <c r="I125" s="298"/>
      <c r="J125" s="298"/>
      <c r="K125" s="297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6">
        <f t="shared" si="39"/>
        <v>0</v>
      </c>
      <c r="AF125" s="377"/>
      <c r="AG125" s="390"/>
      <c r="AH125" s="391">
        <f t="shared" si="36"/>
        <v>0</v>
      </c>
      <c r="AI125" s="412"/>
      <c r="AJ125" s="413">
        <f t="shared" si="38"/>
        <v>0</v>
      </c>
      <c r="AK125" s="414" t="s">
        <v>8</v>
      </c>
      <c r="AL125" s="397" t="s">
        <v>23</v>
      </c>
      <c r="AM125" s="415" t="s">
        <v>174</v>
      </c>
    </row>
    <row r="126" spans="1:39" ht="20.25">
      <c r="A126" s="792" t="s">
        <v>131</v>
      </c>
      <c r="B126" s="827"/>
      <c r="C126" s="323"/>
      <c r="D126" s="324"/>
      <c r="E126" s="325"/>
      <c r="F126" s="297"/>
      <c r="G126" s="297"/>
      <c r="H126" s="297"/>
      <c r="I126" s="298"/>
      <c r="J126" s="298"/>
      <c r="K126" s="297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/>
      <c r="X126" s="297"/>
      <c r="Y126" s="298"/>
      <c r="Z126" s="298"/>
      <c r="AA126" s="298"/>
      <c r="AB126" s="297"/>
      <c r="AC126" s="375"/>
      <c r="AD126" s="355"/>
      <c r="AE126" s="376">
        <f t="shared" si="39"/>
        <v>0</v>
      </c>
      <c r="AF126" s="377"/>
      <c r="AG126" s="390"/>
      <c r="AH126" s="391">
        <f t="shared" si="36"/>
        <v>0</v>
      </c>
      <c r="AI126" s="412"/>
      <c r="AJ126" s="413">
        <f t="shared" si="38"/>
        <v>0</v>
      </c>
      <c r="AK126" s="414" t="s">
        <v>8</v>
      </c>
      <c r="AL126" s="397" t="s">
        <v>23</v>
      </c>
      <c r="AM126" s="415" t="s">
        <v>174</v>
      </c>
    </row>
    <row r="127" spans="1:39" ht="20.25">
      <c r="A127" s="792" t="s">
        <v>131</v>
      </c>
      <c r="B127" s="827"/>
      <c r="C127" s="323"/>
      <c r="D127" s="324"/>
      <c r="E127" s="325"/>
      <c r="F127" s="297"/>
      <c r="G127" s="297"/>
      <c r="H127" s="297"/>
      <c r="I127" s="298"/>
      <c r="J127" s="298"/>
      <c r="K127" s="297"/>
      <c r="L127" s="355"/>
      <c r="M127" s="343"/>
      <c r="N127" s="298"/>
      <c r="O127" s="298"/>
      <c r="P127" s="298"/>
      <c r="Q127" s="298"/>
      <c r="R127" s="298"/>
      <c r="S127" s="298"/>
      <c r="T127" s="367"/>
      <c r="U127" s="355"/>
      <c r="V127" s="325"/>
      <c r="W127" s="297"/>
      <c r="X127" s="297"/>
      <c r="Y127" s="298"/>
      <c r="Z127" s="298"/>
      <c r="AA127" s="298"/>
      <c r="AB127" s="297"/>
      <c r="AC127" s="375"/>
      <c r="AD127" s="355"/>
      <c r="AE127" s="376">
        <f t="shared" si="39"/>
        <v>0</v>
      </c>
      <c r="AF127" s="377"/>
      <c r="AG127" s="390"/>
      <c r="AH127" s="391">
        <f t="shared" si="36"/>
        <v>0</v>
      </c>
      <c r="AI127" s="412"/>
      <c r="AJ127" s="413">
        <f t="shared" si="38"/>
        <v>0</v>
      </c>
      <c r="AK127" s="414" t="s">
        <v>8</v>
      </c>
      <c r="AL127" s="397" t="s">
        <v>23</v>
      </c>
      <c r="AM127" s="415" t="s">
        <v>174</v>
      </c>
    </row>
    <row r="128" spans="1:39" ht="20.25">
      <c r="A128" s="792" t="s">
        <v>131</v>
      </c>
      <c r="B128" s="827"/>
      <c r="C128" s="323"/>
      <c r="D128" s="324"/>
      <c r="E128" s="325"/>
      <c r="F128" s="297"/>
      <c r="G128" s="297"/>
      <c r="H128" s="297"/>
      <c r="I128" s="298"/>
      <c r="J128" s="298"/>
      <c r="K128" s="297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6">
        <f t="shared" si="39"/>
        <v>0</v>
      </c>
      <c r="AF128" s="377"/>
      <c r="AG128" s="390"/>
      <c r="AH128" s="391">
        <f t="shared" si="36"/>
        <v>0</v>
      </c>
      <c r="AI128" s="412"/>
      <c r="AJ128" s="413">
        <f t="shared" si="38"/>
        <v>0</v>
      </c>
      <c r="AK128" s="414" t="s">
        <v>8</v>
      </c>
      <c r="AL128" s="397" t="s">
        <v>23</v>
      </c>
      <c r="AM128" s="415" t="s">
        <v>174</v>
      </c>
    </row>
    <row r="129" spans="1:39" ht="20.25">
      <c r="A129" s="792" t="s">
        <v>131</v>
      </c>
      <c r="B129" s="827"/>
      <c r="C129" s="323"/>
      <c r="D129" s="324"/>
      <c r="E129" s="325"/>
      <c r="F129" s="297"/>
      <c r="G129" s="297"/>
      <c r="H129" s="297"/>
      <c r="I129" s="298"/>
      <c r="J129" s="298"/>
      <c r="K129" s="297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si="39"/>
        <v>0</v>
      </c>
      <c r="AF129" s="377"/>
      <c r="AG129" s="390"/>
      <c r="AH129" s="391">
        <f t="shared" si="36"/>
        <v>0</v>
      </c>
      <c r="AI129" s="412"/>
      <c r="AJ129" s="413">
        <f t="shared" si="38"/>
        <v>0</v>
      </c>
      <c r="AK129" s="414" t="s">
        <v>8</v>
      </c>
      <c r="AL129" s="397" t="s">
        <v>23</v>
      </c>
      <c r="AM129" s="415" t="s">
        <v>174</v>
      </c>
    </row>
    <row r="130" spans="1:39" ht="20.25">
      <c r="A130" s="792" t="s">
        <v>131</v>
      </c>
      <c r="B130" s="827"/>
      <c r="C130" s="323"/>
      <c r="D130" s="324"/>
      <c r="E130" s="325"/>
      <c r="F130" s="297"/>
      <c r="G130" s="297"/>
      <c r="H130" s="297"/>
      <c r="I130" s="298"/>
      <c r="J130" s="298"/>
      <c r="K130" s="297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39"/>
        <v>0</v>
      </c>
      <c r="AF130" s="377"/>
      <c r="AG130" s="390"/>
      <c r="AH130" s="391">
        <f t="shared" si="36"/>
        <v>0</v>
      </c>
      <c r="AI130" s="412"/>
      <c r="AJ130" s="413">
        <f t="shared" si="38"/>
        <v>0</v>
      </c>
      <c r="AK130" s="414" t="s">
        <v>8</v>
      </c>
      <c r="AL130" s="397" t="s">
        <v>23</v>
      </c>
      <c r="AM130" s="415" t="s">
        <v>174</v>
      </c>
    </row>
    <row r="131" spans="1:39" ht="20.25">
      <c r="A131" s="792" t="s">
        <v>131</v>
      </c>
      <c r="B131" s="827"/>
      <c r="C131" s="323"/>
      <c r="D131" s="324"/>
      <c r="E131" s="325"/>
      <c r="F131" s="297"/>
      <c r="G131" s="297"/>
      <c r="H131" s="297"/>
      <c r="I131" s="298"/>
      <c r="J131" s="298"/>
      <c r="K131" s="297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si="39"/>
        <v>0</v>
      </c>
      <c r="AF131" s="377"/>
      <c r="AG131" s="390"/>
      <c r="AH131" s="391">
        <f t="shared" si="36"/>
        <v>0</v>
      </c>
      <c r="AI131" s="412"/>
      <c r="AJ131" s="413">
        <f t="shared" si="38"/>
        <v>0</v>
      </c>
      <c r="AK131" s="414" t="s">
        <v>8</v>
      </c>
      <c r="AL131" s="397" t="s">
        <v>23</v>
      </c>
      <c r="AM131" s="415" t="s">
        <v>174</v>
      </c>
    </row>
    <row r="132" spans="1:39" ht="20.25">
      <c r="A132" s="792" t="s">
        <v>131</v>
      </c>
      <c r="B132" s="827"/>
      <c r="C132" s="323"/>
      <c r="D132" s="324"/>
      <c r="E132" s="325"/>
      <c r="F132" s="297"/>
      <c r="G132" s="297"/>
      <c r="H132" s="297"/>
      <c r="I132" s="298"/>
      <c r="J132" s="298"/>
      <c r="K132" s="297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39"/>
        <v>0</v>
      </c>
      <c r="AF132" s="377"/>
      <c r="AG132" s="390"/>
      <c r="AH132" s="391">
        <f t="shared" si="36"/>
        <v>0</v>
      </c>
      <c r="AI132" s="412"/>
      <c r="AJ132" s="413">
        <f t="shared" si="38"/>
        <v>0</v>
      </c>
      <c r="AK132" s="414" t="s">
        <v>8</v>
      </c>
      <c r="AL132" s="397" t="s">
        <v>23</v>
      </c>
      <c r="AM132" s="415" t="s">
        <v>174</v>
      </c>
    </row>
    <row r="133" spans="1:39" ht="20.25">
      <c r="A133" s="792" t="s">
        <v>131</v>
      </c>
      <c r="B133" s="827"/>
      <c r="C133" s="323"/>
      <c r="D133" s="324"/>
      <c r="E133" s="325"/>
      <c r="F133" s="297"/>
      <c r="G133" s="297"/>
      <c r="H133" s="297"/>
      <c r="I133" s="298"/>
      <c r="J133" s="298"/>
      <c r="K133" s="297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39"/>
        <v>0</v>
      </c>
      <c r="AF133" s="377"/>
      <c r="AG133" s="390"/>
      <c r="AH133" s="391">
        <f t="shared" si="36"/>
        <v>0</v>
      </c>
      <c r="AI133" s="412"/>
      <c r="AJ133" s="413">
        <f t="shared" si="38"/>
        <v>0</v>
      </c>
      <c r="AK133" s="414" t="s">
        <v>8</v>
      </c>
      <c r="AL133" s="397" t="s">
        <v>23</v>
      </c>
      <c r="AM133" s="415" t="s">
        <v>174</v>
      </c>
    </row>
    <row r="134" spans="1:39" ht="20.25">
      <c r="A134" s="792" t="s">
        <v>131</v>
      </c>
      <c r="B134" s="827"/>
      <c r="C134" s="323"/>
      <c r="D134" s="324"/>
      <c r="E134" s="325"/>
      <c r="F134" s="297"/>
      <c r="G134" s="297"/>
      <c r="H134" s="297"/>
      <c r="I134" s="298"/>
      <c r="J134" s="298"/>
      <c r="K134" s="297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39"/>
        <v>0</v>
      </c>
      <c r="AF134" s="377"/>
      <c r="AG134" s="390"/>
      <c r="AH134" s="391">
        <f t="shared" si="36"/>
        <v>0</v>
      </c>
      <c r="AI134" s="412"/>
      <c r="AJ134" s="413">
        <f t="shared" si="38"/>
        <v>0</v>
      </c>
      <c r="AK134" s="414" t="s">
        <v>8</v>
      </c>
      <c r="AL134" s="397" t="s">
        <v>23</v>
      </c>
      <c r="AM134" s="415" t="s">
        <v>174</v>
      </c>
    </row>
    <row r="135" spans="1:39" ht="18.75">
      <c r="A135" s="828" t="s">
        <v>132</v>
      </c>
      <c r="B135" s="327"/>
      <c r="C135" s="327"/>
      <c r="D135" s="328"/>
      <c r="E135" s="329">
        <f>SUM(E107:E134)</f>
        <v>0</v>
      </c>
      <c r="F135" s="329">
        <f t="shared" ref="F135:AJ135" si="40">SUM(F107:F134)</f>
        <v>0</v>
      </c>
      <c r="G135" s="329">
        <f t="shared" si="40"/>
        <v>0</v>
      </c>
      <c r="H135" s="329">
        <f t="shared" si="40"/>
        <v>0</v>
      </c>
      <c r="I135" s="329">
        <f t="shared" si="40"/>
        <v>0</v>
      </c>
      <c r="J135" s="329">
        <f t="shared" si="40"/>
        <v>0</v>
      </c>
      <c r="K135" s="329">
        <f t="shared" si="40"/>
        <v>0</v>
      </c>
      <c r="L135" s="329">
        <f t="shared" si="40"/>
        <v>0</v>
      </c>
      <c r="M135" s="329">
        <f t="shared" si="40"/>
        <v>0</v>
      </c>
      <c r="N135" s="329">
        <f t="shared" si="40"/>
        <v>0</v>
      </c>
      <c r="O135" s="329">
        <f t="shared" si="40"/>
        <v>0</v>
      </c>
      <c r="P135" s="329">
        <f t="shared" si="40"/>
        <v>0</v>
      </c>
      <c r="Q135" s="329">
        <f t="shared" si="40"/>
        <v>0</v>
      </c>
      <c r="R135" s="329">
        <f t="shared" si="40"/>
        <v>0</v>
      </c>
      <c r="S135" s="329">
        <f t="shared" si="40"/>
        <v>0</v>
      </c>
      <c r="T135" s="329">
        <f t="shared" si="40"/>
        <v>0</v>
      </c>
      <c r="U135" s="329">
        <f t="shared" si="40"/>
        <v>0</v>
      </c>
      <c r="V135" s="329">
        <f t="shared" si="40"/>
        <v>0</v>
      </c>
      <c r="W135" s="329">
        <f t="shared" si="40"/>
        <v>0</v>
      </c>
      <c r="X135" s="329">
        <f t="shared" si="40"/>
        <v>0</v>
      </c>
      <c r="Y135" s="329">
        <f t="shared" si="40"/>
        <v>0</v>
      </c>
      <c r="Z135" s="329">
        <f t="shared" si="40"/>
        <v>0</v>
      </c>
      <c r="AA135" s="329">
        <f t="shared" si="40"/>
        <v>0</v>
      </c>
      <c r="AB135" s="329">
        <f t="shared" si="40"/>
        <v>0</v>
      </c>
      <c r="AC135" s="329">
        <f t="shared" si="40"/>
        <v>0</v>
      </c>
      <c r="AD135" s="329">
        <f t="shared" si="40"/>
        <v>0</v>
      </c>
      <c r="AE135" s="329">
        <f t="shared" si="40"/>
        <v>0</v>
      </c>
      <c r="AF135" s="329">
        <f t="shared" si="40"/>
        <v>0</v>
      </c>
      <c r="AG135" s="329">
        <f t="shared" si="40"/>
        <v>0</v>
      </c>
      <c r="AH135" s="329">
        <f t="shared" si="40"/>
        <v>0</v>
      </c>
      <c r="AI135" s="329">
        <f t="shared" si="40"/>
        <v>0</v>
      </c>
      <c r="AJ135" s="329">
        <f t="shared" si="40"/>
        <v>0</v>
      </c>
      <c r="AK135" s="399">
        <f>'BIG CHAIR'!CL132</f>
        <v>0</v>
      </c>
      <c r="AL135" s="400">
        <f>'Tea Table'!X224</f>
        <v>120</v>
      </c>
      <c r="AM135" s="401">
        <f>AH135+AK135+AL135</f>
        <v>120</v>
      </c>
    </row>
    <row r="136" spans="1:39" s="284" customFormat="1" ht="8.25" customHeight="1">
      <c r="A136" s="425"/>
      <c r="B136" s="426"/>
      <c r="C136" s="426"/>
      <c r="D136" s="427"/>
      <c r="E136" s="428"/>
      <c r="F136" s="428"/>
      <c r="G136" s="428"/>
      <c r="H136" s="428"/>
      <c r="I136" s="428"/>
      <c r="J136" s="428"/>
      <c r="K136" s="428"/>
      <c r="L136" s="478"/>
      <c r="M136" s="479"/>
      <c r="N136" s="479"/>
      <c r="O136" s="479"/>
      <c r="P136" s="479"/>
      <c r="Q136" s="479"/>
      <c r="R136" s="479"/>
      <c r="S136" s="479"/>
      <c r="T136" s="479"/>
      <c r="U136" s="478"/>
      <c r="V136" s="479"/>
      <c r="W136" s="479"/>
      <c r="X136" s="479"/>
      <c r="Y136" s="479"/>
      <c r="Z136" s="479"/>
      <c r="AA136" s="479"/>
      <c r="AB136" s="479"/>
      <c r="AC136" s="479"/>
      <c r="AD136" s="478"/>
      <c r="AE136" s="479"/>
      <c r="AF136" s="479"/>
      <c r="AG136" s="479"/>
      <c r="AH136" s="479"/>
      <c r="AI136" s="479"/>
      <c r="AJ136" s="506"/>
      <c r="AK136" s="403"/>
      <c r="AL136" s="403"/>
      <c r="AM136" s="403"/>
    </row>
    <row r="137" spans="1:39" s="282" customFormat="1" ht="15.75">
      <c r="A137" s="429" t="s">
        <v>179</v>
      </c>
      <c r="B137" s="287" t="s">
        <v>68</v>
      </c>
      <c r="C137" s="287" t="s">
        <v>69</v>
      </c>
      <c r="D137" s="288" t="s">
        <v>70</v>
      </c>
      <c r="E137" s="80" t="s">
        <v>96</v>
      </c>
      <c r="F137" s="49" t="s">
        <v>482</v>
      </c>
      <c r="G137" s="49" t="s">
        <v>206</v>
      </c>
      <c r="H137" s="49" t="s">
        <v>53</v>
      </c>
      <c r="I137" s="49" t="s">
        <v>94</v>
      </c>
      <c r="J137" s="42" t="s">
        <v>555</v>
      </c>
      <c r="K137" s="49" t="s">
        <v>92</v>
      </c>
      <c r="L137" s="79"/>
      <c r="M137" s="743" t="s">
        <v>71</v>
      </c>
      <c r="N137" s="50" t="s">
        <v>72</v>
      </c>
      <c r="O137" s="48" t="s">
        <v>118</v>
      </c>
      <c r="P137" s="755" t="s">
        <v>95</v>
      </c>
      <c r="Q137" s="744" t="s">
        <v>75</v>
      </c>
      <c r="R137" s="744" t="s">
        <v>53</v>
      </c>
      <c r="S137" s="50" t="s">
        <v>77</v>
      </c>
      <c r="T137" s="171" t="s">
        <v>94</v>
      </c>
      <c r="U137" s="79"/>
      <c r="V137" s="171" t="s">
        <v>94</v>
      </c>
      <c r="W137" s="716" t="s">
        <v>136</v>
      </c>
      <c r="X137" s="49" t="s">
        <v>53</v>
      </c>
      <c r="Y137" s="103" t="s">
        <v>171</v>
      </c>
      <c r="Z137" s="104" t="s">
        <v>190</v>
      </c>
      <c r="AA137" s="716" t="s">
        <v>240</v>
      </c>
      <c r="AB137" s="121" t="s">
        <v>206</v>
      </c>
      <c r="AC137" s="717" t="s">
        <v>170</v>
      </c>
      <c r="AD137" s="79"/>
      <c r="AE137" s="371" t="s">
        <v>172</v>
      </c>
      <c r="AF137" s="372" t="s">
        <v>80</v>
      </c>
      <c r="AG137" s="385"/>
      <c r="AH137" s="386" t="s">
        <v>106</v>
      </c>
      <c r="AI137" s="385" t="s">
        <v>173</v>
      </c>
      <c r="AJ137" s="371" t="s">
        <v>108</v>
      </c>
    </row>
    <row r="138" spans="1:39" s="283" customFormat="1" ht="20.25">
      <c r="A138" s="430"/>
      <c r="B138" s="431"/>
      <c r="C138" s="431"/>
      <c r="D138" s="432"/>
      <c r="E138" s="325"/>
      <c r="F138" s="297"/>
      <c r="G138" s="297"/>
      <c r="H138" s="297"/>
      <c r="I138" s="298"/>
      <c r="J138" s="298"/>
      <c r="K138" s="297"/>
      <c r="L138" s="355"/>
      <c r="M138" s="343"/>
      <c r="N138" s="298"/>
      <c r="O138" s="435"/>
      <c r="P138" s="298"/>
      <c r="Q138" s="298"/>
      <c r="R138" s="435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7">
        <f>SUM(E138:AC138)</f>
        <v>0</v>
      </c>
      <c r="AF138" s="377"/>
      <c r="AG138" s="390"/>
      <c r="AH138" s="507">
        <f>AE138+AF138</f>
        <v>0</v>
      </c>
      <c r="AI138" s="412"/>
      <c r="AJ138" s="508">
        <f>AH138+AI138</f>
        <v>0</v>
      </c>
    </row>
    <row r="139" spans="1:39" s="283" customFormat="1" ht="20.25">
      <c r="A139" s="430"/>
      <c r="B139" s="431"/>
      <c r="C139" s="431"/>
      <c r="D139" s="432"/>
      <c r="E139" s="325"/>
      <c r="F139" s="297"/>
      <c r="G139" s="297"/>
      <c r="H139" s="297"/>
      <c r="I139" s="298"/>
      <c r="J139" s="298"/>
      <c r="K139" s="297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7">
        <f>SUM(E139:AC139)</f>
        <v>0</v>
      </c>
      <c r="AF139" s="377"/>
      <c r="AG139" s="390"/>
      <c r="AH139" s="507">
        <f>AE139+AF139</f>
        <v>0</v>
      </c>
      <c r="AI139" s="412"/>
      <c r="AJ139" s="508">
        <f>AH139+AI139</f>
        <v>0</v>
      </c>
    </row>
    <row r="140" spans="1:39" s="283" customFormat="1" ht="20.25">
      <c r="A140" s="322"/>
      <c r="B140" s="323"/>
      <c r="C140" s="323"/>
      <c r="D140" s="324"/>
      <c r="E140" s="325"/>
      <c r="F140" s="297"/>
      <c r="G140" s="297"/>
      <c r="H140" s="297"/>
      <c r="I140" s="298"/>
      <c r="J140" s="298"/>
      <c r="K140" s="297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7">
        <f>SUM(E140:AC140)</f>
        <v>0</v>
      </c>
      <c r="AF140" s="377"/>
      <c r="AG140" s="390"/>
      <c r="AH140" s="507">
        <f>AE140+AF140</f>
        <v>0</v>
      </c>
      <c r="AI140" s="412"/>
      <c r="AJ140" s="508">
        <f>AH140+AI140</f>
        <v>0</v>
      </c>
    </row>
    <row r="141" spans="1:39" s="283" customFormat="1" ht="20.25">
      <c r="A141" s="322"/>
      <c r="B141" s="323"/>
      <c r="C141" s="323"/>
      <c r="D141" s="324"/>
      <c r="E141" s="325"/>
      <c r="F141" s="297"/>
      <c r="G141" s="297"/>
      <c r="H141" s="297"/>
      <c r="I141" s="298"/>
      <c r="J141" s="298"/>
      <c r="K141" s="297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7">
        <f>SUM(E141:AC141)</f>
        <v>0</v>
      </c>
      <c r="AF141" s="377"/>
      <c r="AG141" s="390"/>
      <c r="AH141" s="507">
        <f>AE141+AF141</f>
        <v>0</v>
      </c>
      <c r="AI141" s="412"/>
      <c r="AJ141" s="508">
        <f>AH141+AI141</f>
        <v>0</v>
      </c>
    </row>
    <row r="142" spans="1:39" s="283" customFormat="1" ht="20.25">
      <c r="A142" s="322"/>
      <c r="B142" s="323"/>
      <c r="C142" s="323"/>
      <c r="D142" s="324"/>
      <c r="E142" s="325"/>
      <c r="F142" s="297"/>
      <c r="G142" s="297"/>
      <c r="H142" s="297"/>
      <c r="I142" s="298"/>
      <c r="J142" s="298"/>
      <c r="K142" s="297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>SUM(E142:AC142)</f>
        <v>0</v>
      </c>
      <c r="AF142" s="377"/>
      <c r="AG142" s="390"/>
      <c r="AH142" s="507">
        <f>AE142+AF142</f>
        <v>0</v>
      </c>
      <c r="AI142" s="412"/>
      <c r="AJ142" s="508">
        <f t="shared" ref="AJ142" si="41">AH142+AI142</f>
        <v>0</v>
      </c>
    </row>
    <row r="143" spans="1:39" s="283" customFormat="1" ht="20.25">
      <c r="A143" s="436"/>
      <c r="B143" s="437"/>
      <c r="C143" s="437"/>
      <c r="D143" s="438"/>
      <c r="E143" s="439">
        <f>SUM(E138:E142)</f>
        <v>0</v>
      </c>
      <c r="F143" s="440">
        <f t="shared" ref="F143:K143" si="42">SUM(F138:F142)</f>
        <v>0</v>
      </c>
      <c r="G143" s="440">
        <f t="shared" si="42"/>
        <v>0</v>
      </c>
      <c r="H143" s="440">
        <f t="shared" si="42"/>
        <v>0</v>
      </c>
      <c r="I143" s="440">
        <f t="shared" si="42"/>
        <v>0</v>
      </c>
      <c r="J143" s="440">
        <f t="shared" si="42"/>
        <v>0</v>
      </c>
      <c r="K143" s="440">
        <f t="shared" si="42"/>
        <v>0</v>
      </c>
      <c r="L143" s="482"/>
      <c r="M143" s="439">
        <f t="shared" ref="M143:T143" si="43">SUM(M138:M142)</f>
        <v>0</v>
      </c>
      <c r="N143" s="440">
        <f t="shared" si="43"/>
        <v>0</v>
      </c>
      <c r="O143" s="440">
        <f t="shared" si="43"/>
        <v>0</v>
      </c>
      <c r="P143" s="440">
        <f t="shared" si="43"/>
        <v>0</v>
      </c>
      <c r="Q143" s="440">
        <f t="shared" si="43"/>
        <v>0</v>
      </c>
      <c r="R143" s="440">
        <f t="shared" si="43"/>
        <v>0</v>
      </c>
      <c r="S143" s="440">
        <f t="shared" si="43"/>
        <v>0</v>
      </c>
      <c r="T143" s="481">
        <f t="shared" si="43"/>
        <v>0</v>
      </c>
      <c r="U143" s="482"/>
      <c r="V143" s="439">
        <f t="shared" ref="V143:AC143" si="44">SUM(V138:V142)</f>
        <v>0</v>
      </c>
      <c r="W143" s="440">
        <f t="shared" si="44"/>
        <v>0</v>
      </c>
      <c r="X143" s="440">
        <f t="shared" si="44"/>
        <v>0</v>
      </c>
      <c r="Y143" s="440">
        <f t="shared" si="44"/>
        <v>0</v>
      </c>
      <c r="Z143" s="440">
        <f t="shared" si="44"/>
        <v>0</v>
      </c>
      <c r="AA143" s="440">
        <f t="shared" si="44"/>
        <v>0</v>
      </c>
      <c r="AB143" s="440">
        <f t="shared" si="44"/>
        <v>0</v>
      </c>
      <c r="AC143" s="481">
        <f t="shared" si="44"/>
        <v>0</v>
      </c>
      <c r="AD143" s="482"/>
      <c r="AE143" s="494">
        <f>SUM(AE138:AE142)</f>
        <v>0</v>
      </c>
      <c r="AF143" s="494">
        <f t="shared" ref="AF143:AJ143" si="45">SUM(AF138:AF142)</f>
        <v>0</v>
      </c>
      <c r="AG143" s="494">
        <f t="shared" si="45"/>
        <v>0</v>
      </c>
      <c r="AH143" s="509">
        <f t="shared" si="45"/>
        <v>0</v>
      </c>
      <c r="AI143" s="494">
        <f t="shared" si="45"/>
        <v>0</v>
      </c>
      <c r="AJ143" s="515">
        <f t="shared" si="45"/>
        <v>0</v>
      </c>
    </row>
    <row r="144" spans="1:39" s="284" customFormat="1" ht="8.25" customHeight="1">
      <c r="A144" s="425"/>
      <c r="B144" s="426"/>
      <c r="C144" s="426"/>
      <c r="D144" s="427"/>
      <c r="E144" s="428"/>
      <c r="F144" s="428"/>
      <c r="G144" s="428"/>
      <c r="H144" s="428"/>
      <c r="I144" s="428"/>
      <c r="J144" s="428"/>
      <c r="K144" s="428"/>
      <c r="L144" s="478"/>
      <c r="M144" s="479"/>
      <c r="N144" s="479"/>
      <c r="O144" s="479"/>
      <c r="P144" s="479"/>
      <c r="Q144" s="479"/>
      <c r="R144" s="479"/>
      <c r="S144" s="479"/>
      <c r="T144" s="479"/>
      <c r="U144" s="478"/>
      <c r="V144" s="479"/>
      <c r="W144" s="479"/>
      <c r="X144" s="479"/>
      <c r="Y144" s="479"/>
      <c r="Z144" s="479"/>
      <c r="AA144" s="479"/>
      <c r="AB144" s="479"/>
      <c r="AC144" s="479"/>
      <c r="AD144" s="478"/>
      <c r="AE144" s="479"/>
      <c r="AF144" s="479"/>
      <c r="AG144" s="479"/>
      <c r="AH144" s="479"/>
      <c r="AI144" s="479"/>
      <c r="AJ144" s="506"/>
      <c r="AK144" s="403"/>
      <c r="AL144" s="403"/>
      <c r="AM144" s="403"/>
    </row>
    <row r="145" spans="1:39" s="282" customFormat="1" ht="18">
      <c r="A145" s="441" t="s">
        <v>135</v>
      </c>
      <c r="B145" s="287" t="s">
        <v>68</v>
      </c>
      <c r="C145" s="287" t="s">
        <v>69</v>
      </c>
      <c r="D145" s="288" t="s">
        <v>70</v>
      </c>
      <c r="E145" s="80" t="s">
        <v>96</v>
      </c>
      <c r="F145" s="49" t="s">
        <v>190</v>
      </c>
      <c r="G145" s="49" t="s">
        <v>206</v>
      </c>
      <c r="H145" s="49" t="s">
        <v>53</v>
      </c>
      <c r="I145" s="49" t="s">
        <v>94</v>
      </c>
      <c r="J145" s="42" t="s">
        <v>461</v>
      </c>
      <c r="K145" s="49" t="s">
        <v>92</v>
      </c>
      <c r="L145" s="79"/>
      <c r="M145" s="743" t="s">
        <v>71</v>
      </c>
      <c r="N145" s="744" t="s">
        <v>72</v>
      </c>
      <c r="O145" s="744" t="s">
        <v>118</v>
      </c>
      <c r="P145" s="744" t="s">
        <v>95</v>
      </c>
      <c r="Q145" s="744" t="s">
        <v>75</v>
      </c>
      <c r="R145" s="744" t="s">
        <v>53</v>
      </c>
      <c r="S145" s="50" t="s">
        <v>77</v>
      </c>
      <c r="T145" s="805" t="s">
        <v>94</v>
      </c>
      <c r="U145" s="79"/>
      <c r="V145" s="171" t="s">
        <v>94</v>
      </c>
      <c r="W145" s="716" t="s">
        <v>136</v>
      </c>
      <c r="X145" s="49" t="s">
        <v>53</v>
      </c>
      <c r="Y145" s="103" t="s">
        <v>171</v>
      </c>
      <c r="Z145" s="104" t="s">
        <v>190</v>
      </c>
      <c r="AA145" s="716" t="s">
        <v>240</v>
      </c>
      <c r="AB145" s="121" t="s">
        <v>206</v>
      </c>
      <c r="AC145" s="717" t="s">
        <v>170</v>
      </c>
      <c r="AD145" s="79"/>
      <c r="AE145" s="371" t="s">
        <v>172</v>
      </c>
      <c r="AF145" s="372" t="s">
        <v>80</v>
      </c>
      <c r="AG145" s="385"/>
      <c r="AH145" s="386" t="s">
        <v>106</v>
      </c>
      <c r="AI145" s="385" t="s">
        <v>173</v>
      </c>
      <c r="AJ145" s="371" t="s">
        <v>108</v>
      </c>
    </row>
    <row r="146" spans="1:39" s="283" customFormat="1" ht="20.25">
      <c r="A146" s="442"/>
      <c r="B146" s="443"/>
      <c r="C146" s="443"/>
      <c r="D146" s="444"/>
      <c r="E146" s="433"/>
      <c r="F146" s="434"/>
      <c r="G146" s="434"/>
      <c r="H146" s="434"/>
      <c r="I146" s="435"/>
      <c r="J146" s="435"/>
      <c r="K146" s="434"/>
      <c r="L146" s="483"/>
      <c r="M146" s="484"/>
      <c r="N146" s="435"/>
      <c r="O146" s="435"/>
      <c r="P146" s="435"/>
      <c r="Q146" s="435"/>
      <c r="R146" s="435"/>
      <c r="S146" s="435"/>
      <c r="T146" s="492"/>
      <c r="U146" s="483"/>
      <c r="V146" s="433"/>
      <c r="W146" s="434"/>
      <c r="X146" s="434"/>
      <c r="Y146" s="435"/>
      <c r="Z146" s="435"/>
      <c r="AA146" s="435"/>
      <c r="AB146" s="434"/>
      <c r="AC146" s="495"/>
      <c r="AD146" s="483"/>
      <c r="AE146" s="496">
        <f>SUM(E146:AC146)</f>
        <v>0</v>
      </c>
      <c r="AF146" s="497"/>
      <c r="AG146" s="510"/>
      <c r="AH146" s="511">
        <f>AE146+AF146</f>
        <v>0</v>
      </c>
      <c r="AI146" s="512"/>
      <c r="AJ146" s="513">
        <f>AH146+AI146</f>
        <v>0</v>
      </c>
    </row>
    <row r="147" spans="1:39" s="283" customFormat="1" ht="20.25">
      <c r="A147" s="445"/>
      <c r="B147" s="323"/>
      <c r="C147" s="323"/>
      <c r="D147" s="324"/>
      <c r="E147" s="325"/>
      <c r="F147" s="297"/>
      <c r="G147" s="297"/>
      <c r="H147" s="297"/>
      <c r="I147" s="298"/>
      <c r="J147" s="298"/>
      <c r="K147" s="297"/>
      <c r="L147" s="355"/>
      <c r="M147" s="343"/>
      <c r="N147" s="298"/>
      <c r="O147" s="298"/>
      <c r="P147" s="298"/>
      <c r="Q147" s="298"/>
      <c r="R147" s="298"/>
      <c r="S147" s="298"/>
      <c r="T147" s="367"/>
      <c r="U147" s="355"/>
      <c r="V147" s="325"/>
      <c r="W147" s="297"/>
      <c r="X147" s="297"/>
      <c r="Y147" s="298"/>
      <c r="Z147" s="298"/>
      <c r="AA147" s="298"/>
      <c r="AB147" s="297"/>
      <c r="AC147" s="375"/>
      <c r="AD147" s="355"/>
      <c r="AE147" s="376">
        <f>SUM(E147:AC147)</f>
        <v>0</v>
      </c>
      <c r="AF147" s="377"/>
      <c r="AG147" s="390"/>
      <c r="AH147" s="391">
        <f>AE147+AF147</f>
        <v>0</v>
      </c>
      <c r="AI147" s="412"/>
      <c r="AJ147" s="413">
        <f t="shared" ref="AJ147:AJ149" si="46">AH147+AI147</f>
        <v>0</v>
      </c>
    </row>
    <row r="148" spans="1:39" s="283" customFormat="1" ht="20.25">
      <c r="A148" s="445"/>
      <c r="B148" s="323"/>
      <c r="C148" s="323"/>
      <c r="D148" s="324"/>
      <c r="E148" s="325"/>
      <c r="F148" s="297"/>
      <c r="G148" s="297"/>
      <c r="H148" s="297"/>
      <c r="I148" s="298"/>
      <c r="J148" s="298"/>
      <c r="K148" s="297"/>
      <c r="L148" s="355"/>
      <c r="M148" s="343"/>
      <c r="N148" s="298"/>
      <c r="O148" s="298"/>
      <c r="P148" s="298"/>
      <c r="Q148" s="298"/>
      <c r="R148" s="298"/>
      <c r="S148" s="298"/>
      <c r="T148" s="367"/>
      <c r="U148" s="355"/>
      <c r="V148" s="325"/>
      <c r="W148" s="297"/>
      <c r="X148" s="297"/>
      <c r="Y148" s="298"/>
      <c r="Z148" s="298"/>
      <c r="AA148" s="298"/>
      <c r="AB148" s="297"/>
      <c r="AC148" s="375"/>
      <c r="AD148" s="355"/>
      <c r="AE148" s="376">
        <f>SUM(E148:AC148)</f>
        <v>0</v>
      </c>
      <c r="AF148" s="377"/>
      <c r="AG148" s="390"/>
      <c r="AH148" s="391">
        <f>AE148+AF148</f>
        <v>0</v>
      </c>
      <c r="AI148" s="412"/>
      <c r="AJ148" s="413">
        <f t="shared" si="46"/>
        <v>0</v>
      </c>
    </row>
    <row r="149" spans="1:39" s="283" customFormat="1" ht="20.25">
      <c r="A149" s="322"/>
      <c r="B149" s="323"/>
      <c r="C149" s="323"/>
      <c r="D149" s="324"/>
      <c r="E149" s="325"/>
      <c r="F149" s="297"/>
      <c r="G149" s="297"/>
      <c r="H149" s="297"/>
      <c r="I149" s="298"/>
      <c r="J149" s="298"/>
      <c r="K149" s="297"/>
      <c r="L149" s="355"/>
      <c r="M149" s="343"/>
      <c r="N149" s="298"/>
      <c r="O149" s="298"/>
      <c r="P149" s="298"/>
      <c r="Q149" s="298"/>
      <c r="R149" s="298"/>
      <c r="S149" s="298"/>
      <c r="T149" s="367"/>
      <c r="U149" s="355"/>
      <c r="V149" s="325"/>
      <c r="W149" s="297"/>
      <c r="X149" s="297"/>
      <c r="Y149" s="298"/>
      <c r="Z149" s="298"/>
      <c r="AA149" s="298"/>
      <c r="AB149" s="297"/>
      <c r="AC149" s="375"/>
      <c r="AD149" s="355"/>
      <c r="AE149" s="377">
        <f>SUM(E149:AC149)</f>
        <v>0</v>
      </c>
      <c r="AF149" s="377"/>
      <c r="AG149" s="390"/>
      <c r="AH149" s="507">
        <f>AE149+AF149</f>
        <v>0</v>
      </c>
      <c r="AI149" s="412"/>
      <c r="AJ149" s="508">
        <f t="shared" si="46"/>
        <v>0</v>
      </c>
    </row>
    <row r="150" spans="1:39" s="283" customFormat="1" ht="20.25">
      <c r="A150" s="436"/>
      <c r="B150" s="437"/>
      <c r="C150" s="437"/>
      <c r="D150" s="438"/>
      <c r="E150" s="439">
        <f>SUM(E146:E149)</f>
        <v>0</v>
      </c>
      <c r="F150" s="439">
        <f t="shared" ref="F150:M150" si="47">SUM(F146:F149)</f>
        <v>0</v>
      </c>
      <c r="G150" s="439">
        <f t="shared" si="47"/>
        <v>0</v>
      </c>
      <c r="H150" s="439">
        <f t="shared" si="47"/>
        <v>0</v>
      </c>
      <c r="I150" s="439">
        <f t="shared" si="47"/>
        <v>0</v>
      </c>
      <c r="J150" s="439">
        <f t="shared" si="47"/>
        <v>0</v>
      </c>
      <c r="K150" s="439">
        <f t="shared" si="47"/>
        <v>0</v>
      </c>
      <c r="L150" s="439">
        <f t="shared" si="47"/>
        <v>0</v>
      </c>
      <c r="M150" s="439">
        <f t="shared" si="47"/>
        <v>0</v>
      </c>
      <c r="N150" s="439">
        <f t="shared" ref="N150:T150" si="48">SUM(N146:N149)</f>
        <v>0</v>
      </c>
      <c r="O150" s="439">
        <f t="shared" si="48"/>
        <v>0</v>
      </c>
      <c r="P150" s="439">
        <f t="shared" si="48"/>
        <v>0</v>
      </c>
      <c r="Q150" s="439">
        <f t="shared" si="48"/>
        <v>0</v>
      </c>
      <c r="R150" s="439">
        <f t="shared" si="48"/>
        <v>0</v>
      </c>
      <c r="S150" s="439">
        <f t="shared" si="48"/>
        <v>0</v>
      </c>
      <c r="T150" s="439">
        <f t="shared" si="48"/>
        <v>0</v>
      </c>
      <c r="U150" s="482"/>
      <c r="V150" s="439">
        <f>SUM(V146:V149)</f>
        <v>0</v>
      </c>
      <c r="W150" s="439">
        <f t="shared" ref="W150:AC150" si="49">SUM(W146:W149)</f>
        <v>0</v>
      </c>
      <c r="X150" s="439">
        <f t="shared" si="49"/>
        <v>0</v>
      </c>
      <c r="Y150" s="439">
        <f t="shared" si="49"/>
        <v>0</v>
      </c>
      <c r="Z150" s="439">
        <f t="shared" si="49"/>
        <v>0</v>
      </c>
      <c r="AA150" s="439">
        <f t="shared" si="49"/>
        <v>0</v>
      </c>
      <c r="AB150" s="439">
        <f t="shared" si="49"/>
        <v>0</v>
      </c>
      <c r="AC150" s="439">
        <f t="shared" si="49"/>
        <v>0</v>
      </c>
      <c r="AD150" s="482"/>
      <c r="AE150" s="494">
        <f>SUM(AE146:AE149)</f>
        <v>0</v>
      </c>
      <c r="AF150" s="494">
        <f>SUM(AF146:AF149)</f>
        <v>0</v>
      </c>
      <c r="AG150" s="509"/>
      <c r="AH150" s="514">
        <f>SUM(AH146:AH149)</f>
        <v>0</v>
      </c>
      <c r="AI150" s="494">
        <f>SUM(AI146:AI149)</f>
        <v>0</v>
      </c>
      <c r="AJ150" s="515">
        <f>SUM(AJ146:AJ149)</f>
        <v>0</v>
      </c>
    </row>
    <row r="151" spans="1:39" s="284" customFormat="1" ht="8.25" customHeight="1" thickBot="1">
      <c r="A151" s="425"/>
      <c r="B151" s="426"/>
      <c r="C151" s="426"/>
      <c r="D151" s="427"/>
      <c r="E151" s="428"/>
      <c r="F151" s="428"/>
      <c r="G151" s="428"/>
      <c r="H151" s="428"/>
      <c r="I151" s="428"/>
      <c r="J151" s="428"/>
      <c r="K151" s="428"/>
      <c r="L151" s="478"/>
      <c r="M151" s="479"/>
      <c r="N151" s="479"/>
      <c r="O151" s="479"/>
      <c r="P151" s="479"/>
      <c r="Q151" s="479"/>
      <c r="R151" s="479"/>
      <c r="S151" s="479"/>
      <c r="T151" s="479"/>
      <c r="U151" s="478"/>
      <c r="V151" s="479"/>
      <c r="W151" s="479"/>
      <c r="X151" s="479"/>
      <c r="Y151" s="479"/>
      <c r="Z151" s="479"/>
      <c r="AA151" s="479"/>
      <c r="AB151" s="479"/>
      <c r="AC151" s="479"/>
      <c r="AD151" s="478"/>
      <c r="AE151" s="479"/>
      <c r="AF151" s="479"/>
      <c r="AG151" s="479"/>
      <c r="AH151" s="479"/>
      <c r="AI151" s="479"/>
      <c r="AJ151" s="506"/>
      <c r="AK151" s="403"/>
      <c r="AL151" s="403"/>
      <c r="AM151" s="403"/>
    </row>
    <row r="152" spans="1:39" s="282" customFormat="1" ht="18.75" thickBot="1">
      <c r="A152" s="560"/>
      <c r="B152" s="552"/>
      <c r="C152" s="553"/>
      <c r="D152" s="544"/>
      <c r="E152" s="80" t="s">
        <v>96</v>
      </c>
      <c r="F152" s="49" t="s">
        <v>482</v>
      </c>
      <c r="G152" s="49" t="s">
        <v>206</v>
      </c>
      <c r="H152" s="49" t="s">
        <v>53</v>
      </c>
      <c r="I152" s="49" t="s">
        <v>94</v>
      </c>
      <c r="J152" s="42" t="s">
        <v>555</v>
      </c>
      <c r="K152" s="49" t="s">
        <v>92</v>
      </c>
      <c r="L152" s="79"/>
      <c r="M152" s="743" t="s">
        <v>71</v>
      </c>
      <c r="N152" s="50" t="s">
        <v>72</v>
      </c>
      <c r="O152" s="48" t="s">
        <v>118</v>
      </c>
      <c r="P152" s="755" t="s">
        <v>95</v>
      </c>
      <c r="Q152" s="744" t="s">
        <v>75</v>
      </c>
      <c r="R152" s="744" t="s">
        <v>53</v>
      </c>
      <c r="S152" s="50" t="s">
        <v>77</v>
      </c>
      <c r="T152" s="171" t="s">
        <v>94</v>
      </c>
      <c r="U152" s="79"/>
      <c r="V152" s="171" t="s">
        <v>94</v>
      </c>
      <c r="W152" s="716" t="s">
        <v>136</v>
      </c>
      <c r="X152" s="49" t="s">
        <v>53</v>
      </c>
      <c r="Y152" s="103" t="s">
        <v>171</v>
      </c>
      <c r="Z152" s="104" t="s">
        <v>190</v>
      </c>
      <c r="AA152" s="716" t="s">
        <v>240</v>
      </c>
      <c r="AB152" s="121" t="s">
        <v>206</v>
      </c>
      <c r="AC152" s="717" t="s">
        <v>170</v>
      </c>
      <c r="AD152" s="79"/>
      <c r="AE152" s="371" t="s">
        <v>172</v>
      </c>
      <c r="AF152" s="498" t="s">
        <v>80</v>
      </c>
      <c r="AG152" s="385"/>
      <c r="AH152" s="386" t="s">
        <v>106</v>
      </c>
      <c r="AI152" s="385" t="s">
        <v>173</v>
      </c>
      <c r="AJ152" s="371" t="s">
        <v>108</v>
      </c>
    </row>
    <row r="153" spans="1:39" s="283" customFormat="1" ht="20.25">
      <c r="A153" s="449" t="s">
        <v>180</v>
      </c>
      <c r="B153" s="450"/>
      <c r="C153" s="450"/>
      <c r="D153" s="451"/>
      <c r="E153" s="452"/>
      <c r="F153" s="453"/>
      <c r="G153" s="453"/>
      <c r="H153" s="453"/>
      <c r="I153" s="454"/>
      <c r="J153" s="454"/>
      <c r="K153" s="453"/>
      <c r="L153" s="355"/>
      <c r="M153" s="343"/>
      <c r="N153" s="298"/>
      <c r="O153" s="435"/>
      <c r="P153" s="298"/>
      <c r="Q153" s="298"/>
      <c r="R153" s="435"/>
      <c r="S153" s="298"/>
      <c r="T153" s="367"/>
      <c r="U153" s="355"/>
      <c r="V153" s="325"/>
      <c r="W153" s="297"/>
      <c r="X153" s="297"/>
      <c r="Y153" s="298"/>
      <c r="Z153" s="298"/>
      <c r="AA153" s="298"/>
      <c r="AB153" s="297"/>
      <c r="AC153" s="375"/>
      <c r="AD153" s="355"/>
      <c r="AE153" s="376">
        <f t="shared" ref="AE153:AE158" si="50">SUM(E153:AC153)</f>
        <v>0</v>
      </c>
      <c r="AF153" s="499"/>
      <c r="AG153" s="516"/>
      <c r="AH153" s="391">
        <f t="shared" ref="AH153:AH158" si="51">AE153+AF153</f>
        <v>0</v>
      </c>
      <c r="AI153" s="412"/>
      <c r="AJ153" s="413">
        <f>AH153+AI153</f>
        <v>0</v>
      </c>
    </row>
    <row r="154" spans="1:39" s="283" customFormat="1" ht="20.25">
      <c r="A154" s="445"/>
      <c r="B154" s="455"/>
      <c r="C154" s="455"/>
      <c r="D154" s="456"/>
      <c r="E154" s="457"/>
      <c r="F154" s="458"/>
      <c r="G154" s="458"/>
      <c r="H154" s="458"/>
      <c r="I154" s="459"/>
      <c r="J154" s="459"/>
      <c r="K154" s="458"/>
      <c r="L154" s="355"/>
      <c r="M154" s="756"/>
      <c r="N154" s="459"/>
      <c r="O154" s="459"/>
      <c r="P154" s="459"/>
      <c r="Q154" s="459"/>
      <c r="R154" s="459"/>
      <c r="S154" s="459"/>
      <c r="T154" s="761"/>
      <c r="U154" s="355"/>
      <c r="V154" s="458"/>
      <c r="W154" s="458"/>
      <c r="X154" s="458"/>
      <c r="Y154" s="459"/>
      <c r="Z154" s="459"/>
      <c r="AA154" s="459"/>
      <c r="AB154" s="458"/>
      <c r="AC154" s="458"/>
      <c r="AD154" s="355"/>
      <c r="AE154" s="376">
        <f t="shared" si="50"/>
        <v>0</v>
      </c>
      <c r="AF154" s="500"/>
      <c r="AG154" s="516"/>
      <c r="AH154" s="391">
        <f t="shared" si="51"/>
        <v>0</v>
      </c>
      <c r="AI154" s="412"/>
      <c r="AJ154" s="413">
        <f t="shared" ref="AJ154:AJ155" si="52">AH154+AI154</f>
        <v>0</v>
      </c>
    </row>
    <row r="155" spans="1:39" s="283" customFormat="1" ht="20.25">
      <c r="A155" s="442"/>
      <c r="B155" s="455"/>
      <c r="C155" s="455"/>
      <c r="D155" s="456"/>
      <c r="E155" s="457"/>
      <c r="F155" s="458"/>
      <c r="G155" s="458"/>
      <c r="H155" s="458"/>
      <c r="I155" s="459"/>
      <c r="J155" s="459"/>
      <c r="K155" s="458"/>
      <c r="L155" s="483"/>
      <c r="M155" s="484"/>
      <c r="N155" s="435"/>
      <c r="O155" s="435"/>
      <c r="P155" s="435"/>
      <c r="Q155" s="435"/>
      <c r="R155" s="435"/>
      <c r="S155" s="435"/>
      <c r="T155" s="492"/>
      <c r="U155" s="483"/>
      <c r="V155" s="458"/>
      <c r="W155" s="458"/>
      <c r="X155" s="458"/>
      <c r="Y155" s="459"/>
      <c r="Z155" s="459"/>
      <c r="AA155" s="459"/>
      <c r="AB155" s="458"/>
      <c r="AC155" s="458"/>
      <c r="AD155" s="483"/>
      <c r="AE155" s="496">
        <f t="shared" si="50"/>
        <v>0</v>
      </c>
      <c r="AF155" s="500"/>
      <c r="AG155" s="517"/>
      <c r="AH155" s="511">
        <f t="shared" si="51"/>
        <v>0</v>
      </c>
      <c r="AI155" s="512"/>
      <c r="AJ155" s="513">
        <f t="shared" si="52"/>
        <v>0</v>
      </c>
    </row>
    <row r="156" spans="1:39" s="283" customFormat="1" ht="20.25">
      <c r="A156" s="445"/>
      <c r="B156" s="455"/>
      <c r="C156" s="455"/>
      <c r="D156" s="456"/>
      <c r="E156" s="457"/>
      <c r="F156" s="458"/>
      <c r="G156" s="458"/>
      <c r="H156" s="458"/>
      <c r="I156" s="459"/>
      <c r="J156" s="459"/>
      <c r="K156" s="458"/>
      <c r="L156" s="355"/>
      <c r="M156" s="343"/>
      <c r="N156" s="298"/>
      <c r="O156" s="298"/>
      <c r="P156" s="298"/>
      <c r="Q156" s="298"/>
      <c r="R156" s="298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6">
        <f t="shared" si="50"/>
        <v>0</v>
      </c>
      <c r="AF156" s="500"/>
      <c r="AG156" s="516"/>
      <c r="AH156" s="391">
        <f t="shared" si="51"/>
        <v>0</v>
      </c>
      <c r="AI156" s="412"/>
      <c r="AJ156" s="413">
        <f t="shared" ref="AJ156:AJ158" si="53">AH156+AI156</f>
        <v>0</v>
      </c>
    </row>
    <row r="157" spans="1:39" s="283" customFormat="1" ht="20.25">
      <c r="A157" s="445"/>
      <c r="B157" s="455"/>
      <c r="C157" s="455"/>
      <c r="D157" s="456"/>
      <c r="E157" s="457"/>
      <c r="F157" s="458"/>
      <c r="G157" s="458"/>
      <c r="H157" s="458"/>
      <c r="I157" s="459"/>
      <c r="J157" s="459"/>
      <c r="K157" s="458"/>
      <c r="L157" s="355"/>
      <c r="M157" s="343"/>
      <c r="N157" s="298"/>
      <c r="O157" s="298"/>
      <c r="P157" s="298"/>
      <c r="Q157" s="298"/>
      <c r="R157" s="298"/>
      <c r="S157" s="298"/>
      <c r="T157" s="367"/>
      <c r="U157" s="355"/>
      <c r="V157" s="325"/>
      <c r="W157" s="297"/>
      <c r="X157" s="297"/>
      <c r="Y157" s="298"/>
      <c r="Z157" s="298"/>
      <c r="AA157" s="298"/>
      <c r="AB157" s="297"/>
      <c r="AC157" s="375"/>
      <c r="AD157" s="355"/>
      <c r="AE157" s="376">
        <f t="shared" si="50"/>
        <v>0</v>
      </c>
      <c r="AF157" s="500"/>
      <c r="AG157" s="516"/>
      <c r="AH157" s="391">
        <f t="shared" si="51"/>
        <v>0</v>
      </c>
      <c r="AI157" s="412"/>
      <c r="AJ157" s="413">
        <f t="shared" si="53"/>
        <v>0</v>
      </c>
    </row>
    <row r="158" spans="1:39" s="283" customFormat="1" ht="20.25">
      <c r="A158" s="460"/>
      <c r="B158" s="461"/>
      <c r="C158" s="461"/>
      <c r="D158" s="462"/>
      <c r="E158" s="463"/>
      <c r="F158" s="464"/>
      <c r="G158" s="464"/>
      <c r="H158" s="464"/>
      <c r="I158" s="465"/>
      <c r="J158" s="465"/>
      <c r="K158" s="464"/>
      <c r="L158" s="355"/>
      <c r="M158" s="343"/>
      <c r="N158" s="298"/>
      <c r="O158" s="298"/>
      <c r="P158" s="298"/>
      <c r="Q158" s="298"/>
      <c r="R158" s="298"/>
      <c r="S158" s="298"/>
      <c r="T158" s="367"/>
      <c r="U158" s="355"/>
      <c r="V158" s="325"/>
      <c r="W158" s="297"/>
      <c r="X158" s="297"/>
      <c r="Y158" s="298"/>
      <c r="Z158" s="298"/>
      <c r="AA158" s="298"/>
      <c r="AB158" s="297"/>
      <c r="AC158" s="375"/>
      <c r="AD158" s="355"/>
      <c r="AE158" s="377">
        <f t="shared" si="50"/>
        <v>0</v>
      </c>
      <c r="AF158" s="501"/>
      <c r="AG158" s="516"/>
      <c r="AH158" s="507">
        <f t="shared" si="51"/>
        <v>0</v>
      </c>
      <c r="AI158" s="412"/>
      <c r="AJ158" s="508">
        <f t="shared" si="53"/>
        <v>0</v>
      </c>
    </row>
    <row r="159" spans="1:39" s="283" customFormat="1" ht="20.25">
      <c r="A159" s="466"/>
      <c r="B159" s="467"/>
      <c r="C159" s="467"/>
      <c r="D159" s="468"/>
      <c r="E159" s="469">
        <f>SUM(E153:E158)</f>
        <v>0</v>
      </c>
      <c r="F159" s="469">
        <f t="shared" ref="F159:K159" si="54">SUM(F153:F158)</f>
        <v>0</v>
      </c>
      <c r="G159" s="469">
        <f t="shared" si="54"/>
        <v>0</v>
      </c>
      <c r="H159" s="469">
        <f t="shared" si="54"/>
        <v>0</v>
      </c>
      <c r="I159" s="469">
        <f t="shared" si="54"/>
        <v>0</v>
      </c>
      <c r="J159" s="469">
        <f t="shared" si="54"/>
        <v>0</v>
      </c>
      <c r="K159" s="469">
        <f t="shared" si="54"/>
        <v>0</v>
      </c>
      <c r="L159" s="482"/>
      <c r="M159" s="439">
        <f>SUM(M153:M158)</f>
        <v>0</v>
      </c>
      <c r="N159" s="439">
        <f t="shared" ref="N159:T159" si="55">SUM(N153:N158)</f>
        <v>0</v>
      </c>
      <c r="O159" s="439">
        <f t="shared" si="55"/>
        <v>0</v>
      </c>
      <c r="P159" s="439">
        <f t="shared" si="55"/>
        <v>0</v>
      </c>
      <c r="Q159" s="439">
        <f t="shared" si="55"/>
        <v>0</v>
      </c>
      <c r="R159" s="439">
        <f t="shared" si="55"/>
        <v>0</v>
      </c>
      <c r="S159" s="439">
        <f t="shared" si="55"/>
        <v>0</v>
      </c>
      <c r="T159" s="439">
        <f t="shared" si="55"/>
        <v>0</v>
      </c>
      <c r="U159" s="482"/>
      <c r="V159" s="439">
        <f>SUM(V153:V158)</f>
        <v>0</v>
      </c>
      <c r="W159" s="439">
        <f t="shared" ref="W159:AC159" si="56">SUM(W153:W158)</f>
        <v>0</v>
      </c>
      <c r="X159" s="439">
        <f t="shared" si="56"/>
        <v>0</v>
      </c>
      <c r="Y159" s="439">
        <f t="shared" si="56"/>
        <v>0</v>
      </c>
      <c r="Z159" s="439">
        <f t="shared" si="56"/>
        <v>0</v>
      </c>
      <c r="AA159" s="439">
        <f t="shared" si="56"/>
        <v>0</v>
      </c>
      <c r="AB159" s="439">
        <f t="shared" si="56"/>
        <v>0</v>
      </c>
      <c r="AC159" s="439">
        <f t="shared" si="56"/>
        <v>0</v>
      </c>
      <c r="AD159" s="482"/>
      <c r="AE159" s="494">
        <f>SUM(AE153:AE158)</f>
        <v>0</v>
      </c>
      <c r="AF159" s="502">
        <f>SUM(AF153:AF158)</f>
        <v>0</v>
      </c>
      <c r="AG159" s="509"/>
      <c r="AH159" s="514">
        <f>SUM(AH153:AH158)</f>
        <v>0</v>
      </c>
      <c r="AI159" s="494">
        <f>SUM(AI153:AI158)</f>
        <v>0</v>
      </c>
      <c r="AJ159" s="515">
        <f>SUM(AJ153:AJ158)</f>
        <v>0</v>
      </c>
    </row>
    <row r="160" spans="1:39" s="284" customFormat="1" ht="8.25" customHeight="1">
      <c r="A160" s="425"/>
      <c r="B160" s="426"/>
      <c r="C160" s="426"/>
      <c r="D160" s="427"/>
      <c r="E160" s="428"/>
      <c r="F160" s="428"/>
      <c r="G160" s="428"/>
      <c r="H160" s="428"/>
      <c r="I160" s="428"/>
      <c r="J160" s="428"/>
      <c r="K160" s="428"/>
      <c r="L160" s="478"/>
      <c r="M160" s="479"/>
      <c r="N160" s="479"/>
      <c r="O160" s="479"/>
      <c r="P160" s="479"/>
      <c r="Q160" s="479"/>
      <c r="R160" s="479"/>
      <c r="S160" s="479"/>
      <c r="T160" s="479"/>
      <c r="U160" s="478"/>
      <c r="V160" s="479"/>
      <c r="W160" s="479"/>
      <c r="X160" s="479"/>
      <c r="Y160" s="479"/>
      <c r="Z160" s="479"/>
      <c r="AA160" s="479"/>
      <c r="AB160" s="479"/>
      <c r="AC160" s="479"/>
      <c r="AD160" s="478"/>
      <c r="AE160" s="479"/>
      <c r="AF160" s="479"/>
      <c r="AG160" s="479"/>
      <c r="AH160" s="479"/>
      <c r="AI160" s="479"/>
      <c r="AJ160" s="506"/>
      <c r="AK160" s="403"/>
      <c r="AL160" s="403"/>
      <c r="AM160" s="403"/>
    </row>
    <row r="161" spans="1:39" s="282" customFormat="1" ht="18">
      <c r="A161" s="441" t="s">
        <v>143</v>
      </c>
      <c r="B161" s="287" t="s">
        <v>68</v>
      </c>
      <c r="C161" s="287" t="s">
        <v>69</v>
      </c>
      <c r="D161" s="288" t="s">
        <v>70</v>
      </c>
      <c r="E161" s="80" t="s">
        <v>96</v>
      </c>
      <c r="F161" s="49" t="s">
        <v>482</v>
      </c>
      <c r="G161" s="49" t="s">
        <v>206</v>
      </c>
      <c r="H161" s="49" t="s">
        <v>53</v>
      </c>
      <c r="I161" s="49" t="s">
        <v>94</v>
      </c>
      <c r="J161" s="42" t="s">
        <v>555</v>
      </c>
      <c r="K161" s="49" t="s">
        <v>92</v>
      </c>
      <c r="L161" s="79"/>
      <c r="M161" s="743" t="s">
        <v>71</v>
      </c>
      <c r="N161" s="50" t="s">
        <v>72</v>
      </c>
      <c r="O161" s="48" t="s">
        <v>118</v>
      </c>
      <c r="P161" s="755" t="s">
        <v>95</v>
      </c>
      <c r="Q161" s="744" t="s">
        <v>75</v>
      </c>
      <c r="R161" s="744" t="s">
        <v>223</v>
      </c>
      <c r="S161" s="50" t="s">
        <v>77</v>
      </c>
      <c r="T161" s="171" t="s">
        <v>94</v>
      </c>
      <c r="U161" s="79"/>
      <c r="V161" s="171" t="s">
        <v>94</v>
      </c>
      <c r="W161" s="716" t="s">
        <v>136</v>
      </c>
      <c r="X161" s="49" t="s">
        <v>53</v>
      </c>
      <c r="Y161" s="103" t="s">
        <v>171</v>
      </c>
      <c r="Z161" s="104" t="s">
        <v>190</v>
      </c>
      <c r="AA161" s="716" t="s">
        <v>240</v>
      </c>
      <c r="AB161" s="121" t="s">
        <v>206</v>
      </c>
      <c r="AC161" s="717" t="s">
        <v>170</v>
      </c>
      <c r="AD161" s="79"/>
      <c r="AE161" s="371" t="s">
        <v>172</v>
      </c>
      <c r="AF161" s="372" t="s">
        <v>80</v>
      </c>
      <c r="AG161" s="385"/>
      <c r="AH161" s="386" t="s">
        <v>106</v>
      </c>
      <c r="AI161" s="385" t="s">
        <v>173</v>
      </c>
      <c r="AJ161" s="371" t="s">
        <v>108</v>
      </c>
    </row>
    <row r="162" spans="1:39" s="283" customFormat="1" ht="20.25">
      <c r="A162" s="471" t="s">
        <v>181</v>
      </c>
      <c r="B162" s="472"/>
      <c r="C162" s="472"/>
      <c r="D162" s="473"/>
      <c r="E162" s="474"/>
      <c r="F162" s="475"/>
      <c r="G162" s="475"/>
      <c r="H162" s="475"/>
      <c r="I162" s="476"/>
      <c r="J162" s="476"/>
      <c r="K162" s="475"/>
      <c r="L162" s="490"/>
      <c r="M162" s="491"/>
      <c r="N162" s="476"/>
      <c r="O162" s="476"/>
      <c r="P162" s="476"/>
      <c r="Q162" s="476"/>
      <c r="R162" s="476"/>
      <c r="S162" s="476"/>
      <c r="T162" s="493"/>
      <c r="U162" s="490"/>
      <c r="V162" s="474"/>
      <c r="W162" s="475"/>
      <c r="X162" s="475"/>
      <c r="Y162" s="476"/>
      <c r="Z162" s="476"/>
      <c r="AA162" s="476"/>
      <c r="AB162" s="475"/>
      <c r="AC162" s="503"/>
      <c r="AD162" s="490"/>
      <c r="AE162" s="504">
        <f>SUM(E162:AC162)</f>
        <v>0</v>
      </c>
      <c r="AF162" s="505"/>
      <c r="AG162" s="518"/>
      <c r="AH162" s="519">
        <f>AE162+AF162</f>
        <v>0</v>
      </c>
      <c r="AI162" s="520"/>
      <c r="AJ162" s="521">
        <f>AH162+AI162</f>
        <v>0</v>
      </c>
    </row>
    <row r="163" spans="1:39" s="283" customFormat="1" ht="20.25">
      <c r="A163" s="445" t="s">
        <v>182</v>
      </c>
      <c r="B163" s="323"/>
      <c r="C163" s="323"/>
      <c r="D163" s="324"/>
      <c r="E163" s="325"/>
      <c r="F163" s="297"/>
      <c r="G163" s="297"/>
      <c r="H163" s="297"/>
      <c r="I163" s="298"/>
      <c r="J163" s="298"/>
      <c r="K163" s="297"/>
      <c r="L163" s="355"/>
      <c r="M163" s="343"/>
      <c r="N163" s="298"/>
      <c r="O163" s="298"/>
      <c r="P163" s="298"/>
      <c r="Q163" s="298"/>
      <c r="R163" s="298"/>
      <c r="S163" s="298"/>
      <c r="T163" s="367"/>
      <c r="U163" s="355"/>
      <c r="V163" s="325"/>
      <c r="W163" s="297"/>
      <c r="X163" s="297"/>
      <c r="Y163" s="298"/>
      <c r="Z163" s="298"/>
      <c r="AA163" s="298"/>
      <c r="AB163" s="297"/>
      <c r="AC163" s="375"/>
      <c r="AD163" s="355"/>
      <c r="AE163" s="376">
        <f>SUM(E163:AC163)</f>
        <v>0</v>
      </c>
      <c r="AF163" s="377"/>
      <c r="AG163" s="390"/>
      <c r="AH163" s="391">
        <f>AE163+AF163</f>
        <v>0</v>
      </c>
      <c r="AI163" s="412"/>
      <c r="AJ163" s="413">
        <f t="shared" ref="AJ163:AJ166" si="57">AH163+AI163</f>
        <v>0</v>
      </c>
    </row>
    <row r="164" spans="1:39" s="283" customFormat="1" ht="20.25">
      <c r="A164" s="445"/>
      <c r="B164" s="323"/>
      <c r="C164" s="323"/>
      <c r="D164" s="324"/>
      <c r="E164" s="325"/>
      <c r="F164" s="297"/>
      <c r="G164" s="297"/>
      <c r="H164" s="297"/>
      <c r="I164" s="298"/>
      <c r="J164" s="298"/>
      <c r="K164" s="297"/>
      <c r="L164" s="355"/>
      <c r="M164" s="343"/>
      <c r="N164" s="298"/>
      <c r="O164" s="298"/>
      <c r="P164" s="298"/>
      <c r="Q164" s="298"/>
      <c r="R164" s="298"/>
      <c r="S164" s="298"/>
      <c r="T164" s="367"/>
      <c r="U164" s="355"/>
      <c r="V164" s="325"/>
      <c r="W164" s="297"/>
      <c r="X164" s="297"/>
      <c r="Y164" s="298"/>
      <c r="Z164" s="298"/>
      <c r="AA164" s="298"/>
      <c r="AB164" s="297"/>
      <c r="AC164" s="375"/>
      <c r="AD164" s="355"/>
      <c r="AE164" s="376">
        <f>SUM(E164:AC164)</f>
        <v>0</v>
      </c>
      <c r="AF164" s="377"/>
      <c r="AG164" s="390"/>
      <c r="AH164" s="391">
        <f>AE164+AF164</f>
        <v>0</v>
      </c>
      <c r="AI164" s="412"/>
      <c r="AJ164" s="413">
        <f t="shared" si="57"/>
        <v>0</v>
      </c>
    </row>
    <row r="165" spans="1:39" s="283" customFormat="1" ht="20.25">
      <c r="A165" s="445"/>
      <c r="B165" s="323"/>
      <c r="C165" s="323"/>
      <c r="D165" s="324"/>
      <c r="E165" s="325"/>
      <c r="F165" s="297"/>
      <c r="G165" s="297"/>
      <c r="H165" s="297"/>
      <c r="I165" s="298"/>
      <c r="J165" s="298"/>
      <c r="K165" s="297"/>
      <c r="L165" s="355"/>
      <c r="M165" s="343"/>
      <c r="N165" s="298"/>
      <c r="O165" s="298"/>
      <c r="P165" s="298"/>
      <c r="Q165" s="298"/>
      <c r="R165" s="298"/>
      <c r="S165" s="298"/>
      <c r="T165" s="367"/>
      <c r="U165" s="355"/>
      <c r="V165" s="325"/>
      <c r="W165" s="297"/>
      <c r="X165" s="297"/>
      <c r="Y165" s="298"/>
      <c r="Z165" s="298"/>
      <c r="AA165" s="298"/>
      <c r="AB165" s="297"/>
      <c r="AC165" s="375"/>
      <c r="AD165" s="355"/>
      <c r="AE165" s="376">
        <f>SUM(E165:AC165)</f>
        <v>0</v>
      </c>
      <c r="AF165" s="377"/>
      <c r="AG165" s="390"/>
      <c r="AH165" s="391">
        <f>AE165+AF165</f>
        <v>0</v>
      </c>
      <c r="AI165" s="412"/>
      <c r="AJ165" s="413">
        <f t="shared" si="57"/>
        <v>0</v>
      </c>
    </row>
    <row r="166" spans="1:39" s="283" customFormat="1" ht="20.25">
      <c r="A166" s="322"/>
      <c r="B166" s="323"/>
      <c r="C166" s="323"/>
      <c r="D166" s="324"/>
      <c r="E166" s="325"/>
      <c r="F166" s="297"/>
      <c r="G166" s="297"/>
      <c r="H166" s="297"/>
      <c r="I166" s="298"/>
      <c r="J166" s="298"/>
      <c r="K166" s="297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7">
        <f>SUM(E166:AC166)</f>
        <v>0</v>
      </c>
      <c r="AF166" s="377"/>
      <c r="AG166" s="390"/>
      <c r="AH166" s="507">
        <f>AE166+AF166</f>
        <v>0</v>
      </c>
      <c r="AI166" s="412"/>
      <c r="AJ166" s="508">
        <f t="shared" si="57"/>
        <v>0</v>
      </c>
    </row>
    <row r="167" spans="1:39" s="283" customFormat="1" ht="20.25">
      <c r="A167" s="436"/>
      <c r="B167" s="437"/>
      <c r="C167" s="437"/>
      <c r="D167" s="438"/>
      <c r="E167" s="439">
        <f>SUM(E162:E166)</f>
        <v>0</v>
      </c>
      <c r="F167" s="439">
        <f t="shared" ref="F167:M167" si="58">SUM(F162:F166)</f>
        <v>0</v>
      </c>
      <c r="G167" s="439">
        <f t="shared" si="58"/>
        <v>0</v>
      </c>
      <c r="H167" s="439">
        <f t="shared" si="58"/>
        <v>0</v>
      </c>
      <c r="I167" s="439">
        <f t="shared" si="58"/>
        <v>0</v>
      </c>
      <c r="J167" s="439">
        <f t="shared" si="58"/>
        <v>0</v>
      </c>
      <c r="K167" s="439">
        <f t="shared" si="58"/>
        <v>0</v>
      </c>
      <c r="L167" s="439">
        <f t="shared" si="58"/>
        <v>0</v>
      </c>
      <c r="M167" s="439">
        <f t="shared" si="58"/>
        <v>0</v>
      </c>
      <c r="N167" s="439">
        <f t="shared" ref="N167:T167" si="59">SUM(N162:N166)</f>
        <v>0</v>
      </c>
      <c r="O167" s="439">
        <f t="shared" si="59"/>
        <v>0</v>
      </c>
      <c r="P167" s="439">
        <f t="shared" si="59"/>
        <v>0</v>
      </c>
      <c r="Q167" s="439">
        <f t="shared" si="59"/>
        <v>0</v>
      </c>
      <c r="R167" s="439">
        <f t="shared" si="59"/>
        <v>0</v>
      </c>
      <c r="S167" s="439">
        <f t="shared" si="59"/>
        <v>0</v>
      </c>
      <c r="T167" s="439">
        <f t="shared" si="59"/>
        <v>0</v>
      </c>
      <c r="U167" s="482"/>
      <c r="V167" s="440">
        <f>SUM(V162:V166)</f>
        <v>0</v>
      </c>
      <c r="W167" s="440">
        <f t="shared" ref="W167:AC167" si="60">SUM(W162:W166)</f>
        <v>0</v>
      </c>
      <c r="X167" s="440">
        <f t="shared" si="60"/>
        <v>0</v>
      </c>
      <c r="Y167" s="440">
        <f t="shared" si="60"/>
        <v>0</v>
      </c>
      <c r="Z167" s="440">
        <f t="shared" si="60"/>
        <v>0</v>
      </c>
      <c r="AA167" s="440">
        <f t="shared" si="60"/>
        <v>0</v>
      </c>
      <c r="AB167" s="440">
        <f t="shared" si="60"/>
        <v>0</v>
      </c>
      <c r="AC167" s="440">
        <f t="shared" si="60"/>
        <v>0</v>
      </c>
      <c r="AD167" s="482"/>
      <c r="AE167" s="494">
        <f>SUM(AE162:AE166)</f>
        <v>0</v>
      </c>
      <c r="AF167" s="494">
        <f>SUM(AF162:AF166)</f>
        <v>0</v>
      </c>
      <c r="AG167" s="509"/>
      <c r="AH167" s="514">
        <f>SUM(AH162:AH166)</f>
        <v>0</v>
      </c>
      <c r="AI167" s="494">
        <f>SUM(AI162:AI166)</f>
        <v>0</v>
      </c>
      <c r="AJ167" s="515">
        <f>SUM(AJ162:AJ166)</f>
        <v>0</v>
      </c>
    </row>
    <row r="168" spans="1:39" s="284" customFormat="1" ht="8.25" customHeight="1">
      <c r="A168" s="522"/>
      <c r="B168" s="523"/>
      <c r="C168" s="523"/>
      <c r="D168" s="524"/>
      <c r="E168" s="525"/>
      <c r="F168" s="525"/>
      <c r="G168" s="525"/>
      <c r="H168" s="525"/>
      <c r="I168" s="525"/>
      <c r="J168" s="525"/>
      <c r="K168" s="525"/>
      <c r="L168" s="572"/>
      <c r="M168" s="573"/>
      <c r="N168" s="573"/>
      <c r="O168" s="573"/>
      <c r="P168" s="573"/>
      <c r="Q168" s="573"/>
      <c r="R168" s="573"/>
      <c r="S168" s="573"/>
      <c r="T168" s="573"/>
      <c r="U168" s="572"/>
      <c r="V168" s="573"/>
      <c r="W168" s="573"/>
      <c r="X168" s="573"/>
      <c r="Y168" s="573"/>
      <c r="Z168" s="573"/>
      <c r="AA168" s="573"/>
      <c r="AB168" s="573"/>
      <c r="AC168" s="573"/>
      <c r="AD168" s="572"/>
      <c r="AE168" s="573"/>
      <c r="AF168" s="573"/>
      <c r="AG168" s="599"/>
      <c r="AH168" s="573"/>
      <c r="AI168" s="573"/>
      <c r="AJ168" s="600"/>
      <c r="AK168" s="403"/>
      <c r="AL168" s="403"/>
      <c r="AM168" s="403"/>
    </row>
    <row r="169" spans="1:39" ht="20.25">
      <c r="A169" s="526" t="s">
        <v>145</v>
      </c>
      <c r="B169" s="527"/>
      <c r="C169" s="527"/>
      <c r="D169" s="528"/>
      <c r="E169" s="529">
        <f t="shared" ref="E169:T169" si="61">E4+E39+E64+E85+E105+E135+E143+E150+E159+E167</f>
        <v>0</v>
      </c>
      <c r="F169" s="529">
        <f t="shared" si="61"/>
        <v>204</v>
      </c>
      <c r="G169" s="529">
        <f t="shared" si="61"/>
        <v>24</v>
      </c>
      <c r="H169" s="529">
        <f t="shared" si="61"/>
        <v>384</v>
      </c>
      <c r="I169" s="529">
        <f t="shared" si="61"/>
        <v>120</v>
      </c>
      <c r="J169" s="529">
        <f t="shared" si="61"/>
        <v>192</v>
      </c>
      <c r="K169" s="529">
        <f t="shared" si="61"/>
        <v>0</v>
      </c>
      <c r="L169" s="529">
        <f t="shared" si="61"/>
        <v>0</v>
      </c>
      <c r="M169" s="529">
        <f t="shared" si="61"/>
        <v>0</v>
      </c>
      <c r="N169" s="529">
        <f t="shared" si="61"/>
        <v>0</v>
      </c>
      <c r="O169" s="529">
        <f t="shared" si="61"/>
        <v>0</v>
      </c>
      <c r="P169" s="529">
        <f t="shared" si="61"/>
        <v>0</v>
      </c>
      <c r="Q169" s="529">
        <f t="shared" si="61"/>
        <v>0</v>
      </c>
      <c r="R169" s="529">
        <f t="shared" si="61"/>
        <v>0</v>
      </c>
      <c r="S169" s="529">
        <f t="shared" si="61"/>
        <v>0</v>
      </c>
      <c r="T169" s="529">
        <f t="shared" si="61"/>
        <v>0</v>
      </c>
      <c r="U169" s="529"/>
      <c r="V169" s="529">
        <f t="shared" ref="V169:AJ169" si="62">V4+V39+V64+V85+V105+V135+V143+V150+V159+V167</f>
        <v>984</v>
      </c>
      <c r="W169" s="529">
        <f t="shared" si="62"/>
        <v>1320</v>
      </c>
      <c r="X169" s="529">
        <f t="shared" si="62"/>
        <v>1176</v>
      </c>
      <c r="Y169" s="529">
        <f t="shared" si="62"/>
        <v>1980</v>
      </c>
      <c r="Z169" s="529">
        <f t="shared" si="62"/>
        <v>444</v>
      </c>
      <c r="AA169" s="529">
        <f t="shared" si="62"/>
        <v>1272</v>
      </c>
      <c r="AB169" s="529">
        <f t="shared" si="62"/>
        <v>36</v>
      </c>
      <c r="AC169" s="529">
        <f t="shared" si="62"/>
        <v>0</v>
      </c>
      <c r="AD169" s="529"/>
      <c r="AE169" s="529">
        <f t="shared" si="62"/>
        <v>8136</v>
      </c>
      <c r="AF169" s="529">
        <f t="shared" si="62"/>
        <v>28</v>
      </c>
      <c r="AG169" s="529">
        <f t="shared" si="62"/>
        <v>0</v>
      </c>
      <c r="AH169" s="529">
        <f t="shared" si="62"/>
        <v>8164</v>
      </c>
      <c r="AI169" s="529">
        <f t="shared" si="62"/>
        <v>103</v>
      </c>
      <c r="AJ169" s="529">
        <f t="shared" si="62"/>
        <v>8267</v>
      </c>
    </row>
    <row r="170" spans="1:39" ht="20.25">
      <c r="A170" s="530" t="s">
        <v>152</v>
      </c>
      <c r="B170" s="531"/>
      <c r="C170" s="531"/>
      <c r="D170" s="532"/>
      <c r="E170" s="533">
        <f>E169/12</f>
        <v>0</v>
      </c>
      <c r="F170" s="533">
        <f t="shared" ref="F170:AJ170" si="63">F169/12</f>
        <v>17</v>
      </c>
      <c r="G170" s="533">
        <f t="shared" si="63"/>
        <v>2</v>
      </c>
      <c r="H170" s="533">
        <f t="shared" si="63"/>
        <v>32</v>
      </c>
      <c r="I170" s="533">
        <f t="shared" si="63"/>
        <v>10</v>
      </c>
      <c r="J170" s="533">
        <f t="shared" si="63"/>
        <v>16</v>
      </c>
      <c r="K170" s="533">
        <f t="shared" si="63"/>
        <v>0</v>
      </c>
      <c r="L170" s="533">
        <f t="shared" si="63"/>
        <v>0</v>
      </c>
      <c r="M170" s="533">
        <f t="shared" si="63"/>
        <v>0</v>
      </c>
      <c r="N170" s="533">
        <f t="shared" si="63"/>
        <v>0</v>
      </c>
      <c r="O170" s="533">
        <f t="shared" si="63"/>
        <v>0</v>
      </c>
      <c r="P170" s="533">
        <f t="shared" si="63"/>
        <v>0</v>
      </c>
      <c r="Q170" s="533">
        <f t="shared" si="63"/>
        <v>0</v>
      </c>
      <c r="R170" s="533">
        <f t="shared" si="63"/>
        <v>0</v>
      </c>
      <c r="S170" s="533">
        <f t="shared" si="63"/>
        <v>0</v>
      </c>
      <c r="T170" s="533">
        <f t="shared" si="63"/>
        <v>0</v>
      </c>
      <c r="U170" s="533"/>
      <c r="V170" s="533">
        <f t="shared" si="63"/>
        <v>82</v>
      </c>
      <c r="W170" s="533">
        <f t="shared" si="63"/>
        <v>110</v>
      </c>
      <c r="X170" s="533">
        <f t="shared" si="63"/>
        <v>98</v>
      </c>
      <c r="Y170" s="533">
        <f t="shared" si="63"/>
        <v>165</v>
      </c>
      <c r="Z170" s="533">
        <f t="shared" si="63"/>
        <v>37</v>
      </c>
      <c r="AA170" s="533">
        <f t="shared" si="63"/>
        <v>106</v>
      </c>
      <c r="AB170" s="533">
        <f t="shared" si="63"/>
        <v>3</v>
      </c>
      <c r="AC170" s="533">
        <f t="shared" si="63"/>
        <v>0</v>
      </c>
      <c r="AD170" s="533"/>
      <c r="AE170" s="533">
        <f t="shared" si="63"/>
        <v>678</v>
      </c>
      <c r="AF170" s="533">
        <f t="shared" si="63"/>
        <v>2.3333333333333335</v>
      </c>
      <c r="AG170" s="533">
        <f t="shared" si="63"/>
        <v>0</v>
      </c>
      <c r="AH170" s="533">
        <f t="shared" si="63"/>
        <v>680.33333333333337</v>
      </c>
      <c r="AI170" s="533">
        <f t="shared" si="63"/>
        <v>8.5833333333333339</v>
      </c>
      <c r="AJ170" s="533">
        <f t="shared" si="63"/>
        <v>688.91666666666663</v>
      </c>
    </row>
    <row r="171" spans="1:39" s="1" customFormat="1" ht="21" customHeight="1">
      <c r="A171" s="3755" t="s">
        <v>147</v>
      </c>
      <c r="B171" s="3755"/>
      <c r="C171" s="3755"/>
      <c r="D171" s="3755"/>
      <c r="E171" s="3756"/>
      <c r="F171" s="3756"/>
      <c r="G171" s="3756"/>
      <c r="H171" s="3756"/>
      <c r="I171" s="3756"/>
      <c r="J171" s="3756"/>
      <c r="K171" s="3756"/>
      <c r="L171" s="3755"/>
      <c r="M171" s="3755"/>
      <c r="N171" s="3755"/>
      <c r="O171" s="3755"/>
      <c r="P171" s="3755"/>
      <c r="Q171" s="3755"/>
      <c r="R171" s="3755"/>
      <c r="S171" s="3755"/>
      <c r="T171" s="3755"/>
      <c r="U171" s="3755"/>
      <c r="V171" s="3755"/>
      <c r="W171" s="3755"/>
      <c r="X171" s="3755"/>
      <c r="Y171" s="3755"/>
      <c r="Z171" s="3755"/>
      <c r="AA171" s="3755"/>
      <c r="AB171" s="3755"/>
      <c r="AC171" s="3755"/>
      <c r="AD171" s="3755"/>
      <c r="AE171" s="3755"/>
      <c r="AF171" s="3755"/>
      <c r="AG171" s="3755"/>
      <c r="AH171" s="3755"/>
      <c r="AI171" s="3755"/>
      <c r="AJ171" s="3755"/>
    </row>
    <row r="172" spans="1:39" ht="23.25">
      <c r="A172" s="3888" t="s">
        <v>4</v>
      </c>
      <c r="B172" s="3889"/>
      <c r="C172" s="3889"/>
      <c r="D172" s="3890"/>
      <c r="E172" s="3891" t="s">
        <v>241</v>
      </c>
      <c r="F172" s="3892"/>
      <c r="G172" s="3892"/>
      <c r="H172" s="3892"/>
      <c r="I172" s="3892"/>
      <c r="J172" s="3892"/>
      <c r="K172" s="3892"/>
      <c r="L172" s="336"/>
      <c r="M172" s="3893">
        <v>1002</v>
      </c>
      <c r="N172" s="3894"/>
      <c r="O172" s="3892"/>
      <c r="P172" s="3894"/>
      <c r="Q172" s="3894"/>
      <c r="R172" s="3894"/>
      <c r="S172" s="3894"/>
      <c r="T172" s="3895"/>
      <c r="U172" s="364"/>
      <c r="V172" s="3893">
        <f>V2</f>
        <v>1003</v>
      </c>
      <c r="W172" s="3894"/>
      <c r="X172" s="3894"/>
      <c r="Y172" s="3894"/>
      <c r="Z172" s="3894"/>
      <c r="AA172" s="3894"/>
      <c r="AB172" s="3894"/>
      <c r="AC172" s="3895"/>
      <c r="AD172" s="364"/>
      <c r="AE172" s="3893"/>
      <c r="AF172" s="3894"/>
      <c r="AG172" s="3894"/>
      <c r="AH172" s="3894"/>
      <c r="AI172" s="3894"/>
      <c r="AJ172" s="3895"/>
    </row>
    <row r="173" spans="1:39" s="276" customFormat="1" ht="30.75" thickBot="1">
      <c r="A173" s="535" t="s">
        <v>148</v>
      </c>
      <c r="B173" s="749" t="s">
        <v>68</v>
      </c>
      <c r="C173" s="536" t="s">
        <v>69</v>
      </c>
      <c r="D173" s="536" t="s">
        <v>70</v>
      </c>
      <c r="E173" s="80" t="s">
        <v>96</v>
      </c>
      <c r="F173" s="49" t="s">
        <v>482</v>
      </c>
      <c r="G173" s="49" t="s">
        <v>206</v>
      </c>
      <c r="H173" s="49" t="s">
        <v>53</v>
      </c>
      <c r="I173" s="49" t="s">
        <v>94</v>
      </c>
      <c r="J173" s="42" t="s">
        <v>555</v>
      </c>
      <c r="K173" s="49" t="s">
        <v>92</v>
      </c>
      <c r="L173" s="578"/>
      <c r="M173" s="750" t="s">
        <v>71</v>
      </c>
      <c r="N173" s="752" t="s">
        <v>72</v>
      </c>
      <c r="O173" s="48" t="s">
        <v>118</v>
      </c>
      <c r="P173" s="759" t="s">
        <v>95</v>
      </c>
      <c r="Q173" s="751" t="s">
        <v>75</v>
      </c>
      <c r="R173" s="744" t="s">
        <v>53</v>
      </c>
      <c r="S173" s="752" t="s">
        <v>77</v>
      </c>
      <c r="T173" s="763" t="s">
        <v>239</v>
      </c>
      <c r="U173" s="578"/>
      <c r="V173" s="171" t="s">
        <v>94</v>
      </c>
      <c r="W173" s="716" t="s">
        <v>136</v>
      </c>
      <c r="X173" s="49" t="s">
        <v>53</v>
      </c>
      <c r="Y173" s="103" t="s">
        <v>171</v>
      </c>
      <c r="Z173" s="104" t="s">
        <v>190</v>
      </c>
      <c r="AA173" s="716" t="s">
        <v>240</v>
      </c>
      <c r="AB173" s="121" t="s">
        <v>206</v>
      </c>
      <c r="AC173" s="717" t="s">
        <v>170</v>
      </c>
      <c r="AD173" s="589"/>
      <c r="AE173" s="590" t="s">
        <v>172</v>
      </c>
      <c r="AF173" s="591" t="s">
        <v>80</v>
      </c>
      <c r="AG173" s="602" t="s">
        <v>150</v>
      </c>
      <c r="AH173" s="603" t="s">
        <v>106</v>
      </c>
      <c r="AI173" s="602" t="s">
        <v>173</v>
      </c>
      <c r="AJ173" s="604" t="s">
        <v>108</v>
      </c>
    </row>
    <row r="174" spans="1:39" s="234" customFormat="1" ht="20.25">
      <c r="A174" s="547" t="s">
        <v>618</v>
      </c>
      <c r="B174" s="545"/>
      <c r="C174" s="539"/>
      <c r="D174" s="544">
        <v>46116</v>
      </c>
      <c r="E174" s="313"/>
      <c r="F174" s="314"/>
      <c r="G174" s="314"/>
      <c r="H174" s="314"/>
      <c r="I174" s="315"/>
      <c r="J174" s="315"/>
      <c r="K174" s="378"/>
      <c r="L174" s="352"/>
      <c r="M174" s="353"/>
      <c r="N174" s="321"/>
      <c r="O174" s="321"/>
      <c r="P174" s="321"/>
      <c r="Q174" s="321"/>
      <c r="R174" s="321"/>
      <c r="S174" s="321"/>
      <c r="T174" s="363"/>
      <c r="U174" s="352"/>
      <c r="V174" s="353"/>
      <c r="W174" s="321"/>
      <c r="X174" s="321">
        <f>2*12</f>
        <v>24</v>
      </c>
      <c r="Y174" s="321"/>
      <c r="Z174" s="321"/>
      <c r="AA174" s="321">
        <f>2*12</f>
        <v>24</v>
      </c>
      <c r="AB174" s="321"/>
      <c r="AC174" s="380"/>
      <c r="AD174" s="352"/>
      <c r="AE174" s="404">
        <f t="shared" ref="AE174:AE190" si="64">SUM(E174:AC174)</f>
        <v>48</v>
      </c>
      <c r="AF174" s="409"/>
      <c r="AG174" s="404"/>
      <c r="AH174" s="404">
        <f t="shared" ref="AH174:AH236" si="65">AE174+AF174+AG174</f>
        <v>48</v>
      </c>
      <c r="AI174" s="835"/>
      <c r="AJ174" s="719">
        <f t="shared" ref="AJ174:AJ239" si="66">AH174+AI174</f>
        <v>48</v>
      </c>
    </row>
    <row r="175" spans="1:39" s="276" customFormat="1" ht="20.25">
      <c r="A175" s="537" t="s">
        <v>620</v>
      </c>
      <c r="B175" s="548"/>
      <c r="C175" s="549"/>
      <c r="D175" s="544">
        <v>46117</v>
      </c>
      <c r="E175" s="319"/>
      <c r="F175" s="320"/>
      <c r="G175" s="320"/>
      <c r="H175" s="320"/>
      <c r="I175" s="321"/>
      <c r="J175" s="321"/>
      <c r="K175" s="380"/>
      <c r="L175" s="352"/>
      <c r="M175" s="353"/>
      <c r="N175" s="321"/>
      <c r="O175" s="321"/>
      <c r="P175" s="321"/>
      <c r="Q175" s="321"/>
      <c r="R175" s="321"/>
      <c r="S175" s="321"/>
      <c r="T175" s="363"/>
      <c r="U175" s="580"/>
      <c r="V175" s="581"/>
      <c r="W175" s="543"/>
      <c r="X175" s="543"/>
      <c r="Y175" s="543"/>
      <c r="Z175" s="543"/>
      <c r="AA175" s="543">
        <f>4*12</f>
        <v>48</v>
      </c>
      <c r="AB175" s="543"/>
      <c r="AC175" s="592"/>
      <c r="AD175" s="580"/>
      <c r="AE175" s="593">
        <f t="shared" ref="AE175" si="67">SUM(E175:AC175)</f>
        <v>48</v>
      </c>
      <c r="AF175" s="594"/>
      <c r="AG175" s="593"/>
      <c r="AH175" s="593">
        <f t="shared" si="65"/>
        <v>48</v>
      </c>
      <c r="AI175" s="836"/>
      <c r="AJ175" s="837">
        <f t="shared" si="66"/>
        <v>48</v>
      </c>
    </row>
    <row r="176" spans="1:39" s="276" customFormat="1" ht="20.25">
      <c r="A176" s="537" t="s">
        <v>621</v>
      </c>
      <c r="B176" s="548"/>
      <c r="C176" s="549"/>
      <c r="D176" s="544">
        <v>46119</v>
      </c>
      <c r="E176" s="1532"/>
      <c r="F176" s="320"/>
      <c r="G176" s="320"/>
      <c r="H176" s="320"/>
      <c r="I176" s="321"/>
      <c r="J176" s="321"/>
      <c r="K176" s="380"/>
      <c r="L176" s="352"/>
      <c r="M176" s="353"/>
      <c r="N176" s="321"/>
      <c r="O176" s="321"/>
      <c r="P176" s="321"/>
      <c r="Q176" s="321"/>
      <c r="R176" s="321"/>
      <c r="S176" s="321"/>
      <c r="T176" s="363"/>
      <c r="U176" s="580"/>
      <c r="V176" s="581"/>
      <c r="W176" s="543"/>
      <c r="X176" s="543">
        <f>2*12</f>
        <v>24</v>
      </c>
      <c r="Y176" s="543"/>
      <c r="Z176" s="543"/>
      <c r="AA176" s="543"/>
      <c r="AB176" s="543"/>
      <c r="AC176" s="592"/>
      <c r="AD176" s="580"/>
      <c r="AE176" s="593">
        <f t="shared" si="64"/>
        <v>24</v>
      </c>
      <c r="AF176" s="594"/>
      <c r="AG176" s="593"/>
      <c r="AH176" s="593">
        <f t="shared" si="65"/>
        <v>24</v>
      </c>
      <c r="AI176" s="836"/>
      <c r="AJ176" s="837">
        <f t="shared" si="66"/>
        <v>24</v>
      </c>
    </row>
    <row r="177" spans="1:36" s="276" customFormat="1" ht="20.25">
      <c r="A177" s="537" t="s">
        <v>622</v>
      </c>
      <c r="B177" s="552"/>
      <c r="C177" s="553"/>
      <c r="D177" s="555">
        <v>46119</v>
      </c>
      <c r="E177" s="541"/>
      <c r="F177" s="542"/>
      <c r="G177" s="542"/>
      <c r="H177" s="542"/>
      <c r="I177" s="543"/>
      <c r="J177" s="543"/>
      <c r="K177" s="592"/>
      <c r="L177" s="580"/>
      <c r="M177" s="581"/>
      <c r="N177" s="543"/>
      <c r="O177" s="543"/>
      <c r="P177" s="543"/>
      <c r="Q177" s="543"/>
      <c r="R177" s="543"/>
      <c r="S177" s="543"/>
      <c r="T177" s="767"/>
      <c r="U177" s="580"/>
      <c r="V177" s="581"/>
      <c r="W177" s="543"/>
      <c r="X177" s="543"/>
      <c r="Y177" s="543"/>
      <c r="Z177" s="543">
        <f>5*12</f>
        <v>60</v>
      </c>
      <c r="AA177" s="543">
        <f>30*12</f>
        <v>360</v>
      </c>
      <c r="AB177" s="543"/>
      <c r="AC177" s="592"/>
      <c r="AD177" s="580"/>
      <c r="AE177" s="593">
        <f t="shared" si="64"/>
        <v>420</v>
      </c>
      <c r="AF177" s="594"/>
      <c r="AG177" s="593"/>
      <c r="AH177" s="593">
        <f t="shared" si="65"/>
        <v>420</v>
      </c>
      <c r="AI177" s="836"/>
      <c r="AJ177" s="837">
        <f t="shared" si="66"/>
        <v>420</v>
      </c>
    </row>
    <row r="178" spans="1:36" s="234" customFormat="1" ht="20.25">
      <c r="A178" s="537" t="s">
        <v>623</v>
      </c>
      <c r="B178" s="545"/>
      <c r="C178" s="539"/>
      <c r="D178" s="544">
        <v>46119</v>
      </c>
      <c r="E178" s="541"/>
      <c r="F178" s="542"/>
      <c r="G178" s="542"/>
      <c r="H178" s="542"/>
      <c r="I178" s="543"/>
      <c r="J178" s="543"/>
      <c r="K178" s="592"/>
      <c r="L178" s="580"/>
      <c r="M178" s="581"/>
      <c r="N178" s="543"/>
      <c r="O178" s="543"/>
      <c r="P178" s="543"/>
      <c r="Q178" s="543"/>
      <c r="R178" s="543"/>
      <c r="S178" s="543"/>
      <c r="T178" s="767"/>
      <c r="U178" s="352"/>
      <c r="V178" s="353">
        <f>2*12</f>
        <v>24</v>
      </c>
      <c r="W178" s="321">
        <f>2*12</f>
        <v>24</v>
      </c>
      <c r="X178" s="321">
        <f>2*12</f>
        <v>24</v>
      </c>
      <c r="Y178" s="321"/>
      <c r="Z178" s="321"/>
      <c r="AA178" s="321">
        <f>2*12</f>
        <v>24</v>
      </c>
      <c r="AB178" s="321"/>
      <c r="AC178" s="380"/>
      <c r="AD178" s="352"/>
      <c r="AE178" s="593">
        <f t="shared" si="64"/>
        <v>96</v>
      </c>
      <c r="AF178" s="409"/>
      <c r="AG178" s="408"/>
      <c r="AH178" s="408">
        <f t="shared" si="65"/>
        <v>96</v>
      </c>
      <c r="AI178" s="835"/>
      <c r="AJ178" s="720">
        <f t="shared" si="66"/>
        <v>96</v>
      </c>
    </row>
    <row r="179" spans="1:36" s="276" customFormat="1" ht="20.25">
      <c r="A179" s="537" t="s">
        <v>628</v>
      </c>
      <c r="B179" s="548"/>
      <c r="C179" s="549"/>
      <c r="D179" s="544">
        <v>46122</v>
      </c>
      <c r="E179" s="541"/>
      <c r="F179" s="542"/>
      <c r="G179" s="542"/>
      <c r="H179" s="542"/>
      <c r="I179" s="543"/>
      <c r="J179" s="543"/>
      <c r="K179" s="592"/>
      <c r="L179" s="580"/>
      <c r="M179" s="581"/>
      <c r="N179" s="543"/>
      <c r="O179" s="543"/>
      <c r="P179" s="543"/>
      <c r="Q179" s="543"/>
      <c r="R179" s="543"/>
      <c r="S179" s="543"/>
      <c r="T179" s="767"/>
      <c r="U179" s="580"/>
      <c r="V179" s="581"/>
      <c r="W179" s="543"/>
      <c r="X179" s="543">
        <f>3*12</f>
        <v>36</v>
      </c>
      <c r="Y179" s="543"/>
      <c r="Z179" s="543"/>
      <c r="AA179" s="543"/>
      <c r="AB179" s="543"/>
      <c r="AC179" s="592"/>
      <c r="AD179" s="580"/>
      <c r="AE179" s="593">
        <f t="shared" si="64"/>
        <v>36</v>
      </c>
      <c r="AF179" s="594"/>
      <c r="AG179" s="593"/>
      <c r="AH179" s="593">
        <f t="shared" si="65"/>
        <v>36</v>
      </c>
      <c r="AI179" s="836"/>
      <c r="AJ179" s="837">
        <f t="shared" si="66"/>
        <v>36</v>
      </c>
    </row>
    <row r="180" spans="1:36" s="234" customFormat="1" ht="20.25">
      <c r="A180" s="537" t="s">
        <v>634</v>
      </c>
      <c r="B180" s="548"/>
      <c r="C180" s="549"/>
      <c r="D180" s="544">
        <v>46124</v>
      </c>
      <c r="E180" s="541"/>
      <c r="F180" s="542"/>
      <c r="G180" s="542"/>
      <c r="H180" s="542"/>
      <c r="I180" s="543"/>
      <c r="J180" s="543"/>
      <c r="K180" s="592"/>
      <c r="L180" s="580"/>
      <c r="M180" s="581"/>
      <c r="N180" s="543"/>
      <c r="O180" s="543"/>
      <c r="P180" s="543"/>
      <c r="Q180" s="543"/>
      <c r="R180" s="543"/>
      <c r="S180" s="543"/>
      <c r="T180" s="767"/>
      <c r="U180" s="352"/>
      <c r="V180" s="353"/>
      <c r="W180" s="321"/>
      <c r="X180" s="321"/>
      <c r="Y180" s="321"/>
      <c r="Z180" s="321"/>
      <c r="AA180" s="321">
        <f>6*12</f>
        <v>72</v>
      </c>
      <c r="AB180" s="321"/>
      <c r="AC180" s="380"/>
      <c r="AD180" s="352"/>
      <c r="AE180" s="408">
        <f t="shared" si="64"/>
        <v>72</v>
      </c>
      <c r="AF180" s="409"/>
      <c r="AG180" s="408"/>
      <c r="AH180" s="408">
        <f t="shared" si="65"/>
        <v>72</v>
      </c>
      <c r="AI180" s="835"/>
      <c r="AJ180" s="720">
        <f t="shared" si="66"/>
        <v>72</v>
      </c>
    </row>
    <row r="181" spans="1:36" s="276" customFormat="1" ht="20.25">
      <c r="A181" s="537" t="s">
        <v>635</v>
      </c>
      <c r="B181" s="552"/>
      <c r="C181" s="553"/>
      <c r="D181" s="3369">
        <v>46125</v>
      </c>
      <c r="E181" s="1175"/>
      <c r="F181" s="320"/>
      <c r="G181" s="320"/>
      <c r="H181" s="320">
        <f>2*12</f>
        <v>24</v>
      </c>
      <c r="I181" s="321">
        <f>2*12</f>
        <v>24</v>
      </c>
      <c r="J181" s="321">
        <f>3*12</f>
        <v>36</v>
      </c>
      <c r="K181" s="380"/>
      <c r="L181" s="352"/>
      <c r="M181" s="353"/>
      <c r="N181" s="321"/>
      <c r="O181" s="321"/>
      <c r="P181" s="321"/>
      <c r="Q181" s="321"/>
      <c r="R181" s="321"/>
      <c r="S181" s="321"/>
      <c r="T181" s="363"/>
      <c r="U181" s="580"/>
      <c r="V181" s="581">
        <f>2*12</f>
        <v>24</v>
      </c>
      <c r="W181" s="543"/>
      <c r="X181" s="543">
        <f>2*12</f>
        <v>24</v>
      </c>
      <c r="Y181" s="543"/>
      <c r="Z181" s="543"/>
      <c r="AA181" s="543">
        <f>2*12</f>
        <v>24</v>
      </c>
      <c r="AB181" s="543"/>
      <c r="AC181" s="592"/>
      <c r="AD181" s="580"/>
      <c r="AE181" s="593">
        <f t="shared" si="64"/>
        <v>156</v>
      </c>
      <c r="AF181" s="594"/>
      <c r="AG181" s="593"/>
      <c r="AH181" s="593">
        <f t="shared" si="65"/>
        <v>156</v>
      </c>
      <c r="AI181" s="836"/>
      <c r="AJ181" s="837">
        <f t="shared" si="66"/>
        <v>156</v>
      </c>
    </row>
    <row r="182" spans="1:36" s="276" customFormat="1" ht="21" thickBot="1">
      <c r="A182" s="561" t="s">
        <v>623</v>
      </c>
      <c r="B182" s="552"/>
      <c r="C182" s="553"/>
      <c r="D182" s="2787">
        <v>46126</v>
      </c>
      <c r="E182" s="541"/>
      <c r="F182" s="542"/>
      <c r="G182" s="542"/>
      <c r="H182" s="542"/>
      <c r="I182" s="543"/>
      <c r="J182" s="543"/>
      <c r="K182" s="592"/>
      <c r="L182" s="580"/>
      <c r="M182" s="581"/>
      <c r="N182" s="543"/>
      <c r="O182" s="543"/>
      <c r="P182" s="543"/>
      <c r="Q182" s="543"/>
      <c r="R182" s="543"/>
      <c r="S182" s="543"/>
      <c r="T182" s="767"/>
      <c r="U182" s="580"/>
      <c r="V182" s="581"/>
      <c r="W182" s="543"/>
      <c r="X182" s="543"/>
      <c r="Y182" s="543"/>
      <c r="Z182" s="543"/>
      <c r="AA182" s="543">
        <f>1*12</f>
        <v>12</v>
      </c>
      <c r="AB182" s="543"/>
      <c r="AC182" s="592"/>
      <c r="AD182" s="580"/>
      <c r="AE182" s="593">
        <f t="shared" si="64"/>
        <v>12</v>
      </c>
      <c r="AF182" s="594"/>
      <c r="AG182" s="593"/>
      <c r="AH182" s="593">
        <f t="shared" si="65"/>
        <v>12</v>
      </c>
      <c r="AI182" s="836"/>
      <c r="AJ182" s="837">
        <f t="shared" si="66"/>
        <v>12</v>
      </c>
    </row>
    <row r="183" spans="1:36" s="234" customFormat="1" ht="21" thickBot="1">
      <c r="A183" s="547" t="s">
        <v>629</v>
      </c>
      <c r="B183" s="552"/>
      <c r="C183" s="553"/>
      <c r="D183" s="2569">
        <v>46129</v>
      </c>
      <c r="E183" s="353"/>
      <c r="F183" s="542"/>
      <c r="G183" s="542"/>
      <c r="H183" s="542"/>
      <c r="I183" s="543"/>
      <c r="J183" s="543"/>
      <c r="K183" s="592"/>
      <c r="L183" s="580"/>
      <c r="M183" s="581"/>
      <c r="N183" s="543"/>
      <c r="O183" s="543"/>
      <c r="P183" s="543"/>
      <c r="Q183" s="543"/>
      <c r="R183" s="543"/>
      <c r="S183" s="543"/>
      <c r="T183" s="767"/>
      <c r="U183" s="352"/>
      <c r="V183" s="353"/>
      <c r="W183" s="321"/>
      <c r="X183" s="321">
        <f>5*12</f>
        <v>60</v>
      </c>
      <c r="Y183" s="321"/>
      <c r="Z183" s="321"/>
      <c r="AA183" s="321"/>
      <c r="AB183" s="321"/>
      <c r="AC183" s="380"/>
      <c r="AD183" s="352"/>
      <c r="AE183" s="408">
        <f t="shared" si="64"/>
        <v>60</v>
      </c>
      <c r="AF183" s="409"/>
      <c r="AG183" s="408"/>
      <c r="AH183" s="408">
        <f t="shared" si="65"/>
        <v>60</v>
      </c>
      <c r="AI183" s="835"/>
      <c r="AJ183" s="720">
        <f t="shared" si="66"/>
        <v>60</v>
      </c>
    </row>
    <row r="184" spans="1:36" s="276" customFormat="1" ht="21" thickBot="1">
      <c r="A184" s="561" t="s">
        <v>619</v>
      </c>
      <c r="B184" s="552"/>
      <c r="C184" s="553"/>
      <c r="D184" s="544">
        <v>46130</v>
      </c>
      <c r="E184" s="658"/>
      <c r="F184" s="618"/>
      <c r="G184" s="618"/>
      <c r="H184" s="618"/>
      <c r="I184" s="619"/>
      <c r="J184" s="619"/>
      <c r="K184" s="681"/>
      <c r="L184" s="657"/>
      <c r="M184" s="658"/>
      <c r="N184" s="619"/>
      <c r="O184" s="619"/>
      <c r="P184" s="619"/>
      <c r="Q184" s="619"/>
      <c r="R184" s="619"/>
      <c r="S184" s="619"/>
      <c r="T184" s="769"/>
      <c r="U184" s="657"/>
      <c r="V184" s="658">
        <f>2*12</f>
        <v>24</v>
      </c>
      <c r="W184" s="619">
        <f>2*12</f>
        <v>24</v>
      </c>
      <c r="X184" s="619">
        <f>2*12</f>
        <v>24</v>
      </c>
      <c r="Y184" s="619"/>
      <c r="Z184" s="619"/>
      <c r="AA184" s="619"/>
      <c r="AB184" s="619"/>
      <c r="AC184" s="681"/>
      <c r="AD184" s="774"/>
      <c r="AE184" s="408">
        <f t="shared" ref="AE184" si="68">SUM(E184:AC184)</f>
        <v>72</v>
      </c>
      <c r="AF184" s="409"/>
      <c r="AG184" s="408"/>
      <c r="AH184" s="408">
        <f t="shared" ref="AH184" si="69">AE184+AF184+AG184</f>
        <v>72</v>
      </c>
      <c r="AI184" s="835"/>
      <c r="AJ184" s="720">
        <f t="shared" ref="AJ184" si="70">AH184+AI184</f>
        <v>72</v>
      </c>
    </row>
    <row r="185" spans="1:36" s="234" customFormat="1" ht="20.25">
      <c r="A185" s="547" t="s">
        <v>647</v>
      </c>
      <c r="B185" s="552"/>
      <c r="C185" s="553"/>
      <c r="D185" s="544">
        <v>46130</v>
      </c>
      <c r="E185" s="581"/>
      <c r="F185" s="320">
        <f>3*12</f>
        <v>36</v>
      </c>
      <c r="G185" s="320"/>
      <c r="H185" s="320"/>
      <c r="I185" s="321"/>
      <c r="J185" s="321"/>
      <c r="K185" s="380"/>
      <c r="L185" s="352"/>
      <c r="M185" s="353"/>
      <c r="N185" s="321"/>
      <c r="O185" s="321"/>
      <c r="P185" s="321"/>
      <c r="Q185" s="321"/>
      <c r="R185" s="321"/>
      <c r="S185" s="321"/>
      <c r="T185" s="363"/>
      <c r="U185" s="580"/>
      <c r="V185" s="581">
        <f>6*12</f>
        <v>72</v>
      </c>
      <c r="W185" s="543">
        <f>8*12</f>
        <v>96</v>
      </c>
      <c r="X185" s="543"/>
      <c r="Y185" s="543">
        <f>8*12</f>
        <v>96</v>
      </c>
      <c r="Z185" s="543"/>
      <c r="AA185" s="543"/>
      <c r="AB185" s="543"/>
      <c r="AC185" s="592"/>
      <c r="AD185" s="580"/>
      <c r="AE185" s="593">
        <f t="shared" si="64"/>
        <v>300</v>
      </c>
      <c r="AF185" s="594"/>
      <c r="AG185" s="593"/>
      <c r="AH185" s="593">
        <f t="shared" si="65"/>
        <v>300</v>
      </c>
      <c r="AI185" s="836"/>
      <c r="AJ185" s="837">
        <f t="shared" si="66"/>
        <v>300</v>
      </c>
    </row>
    <row r="186" spans="1:36" s="234" customFormat="1" ht="20.25">
      <c r="A186" s="547" t="s">
        <v>653</v>
      </c>
      <c r="B186" s="552"/>
      <c r="C186" s="553"/>
      <c r="D186" s="559">
        <v>46130</v>
      </c>
      <c r="E186" s="353"/>
      <c r="F186" s="542">
        <f>2*12</f>
        <v>24</v>
      </c>
      <c r="G186" s="542"/>
      <c r="H186" s="542"/>
      <c r="I186" s="543"/>
      <c r="J186" s="543"/>
      <c r="K186" s="592"/>
      <c r="L186" s="580"/>
      <c r="M186" s="581"/>
      <c r="N186" s="543"/>
      <c r="O186" s="543"/>
      <c r="P186" s="543"/>
      <c r="Q186" s="543"/>
      <c r="R186" s="543"/>
      <c r="S186" s="543"/>
      <c r="T186" s="767"/>
      <c r="U186" s="352"/>
      <c r="V186" s="353"/>
      <c r="W186" s="321">
        <f>2*12</f>
        <v>24</v>
      </c>
      <c r="X186" s="321">
        <f>2*12</f>
        <v>24</v>
      </c>
      <c r="Y186" s="321">
        <f>3*12</f>
        <v>36</v>
      </c>
      <c r="Z186" s="321"/>
      <c r="AA186" s="321"/>
      <c r="AB186" s="321"/>
      <c r="AC186" s="380"/>
      <c r="AD186" s="352"/>
      <c r="AE186" s="408">
        <f t="shared" si="64"/>
        <v>108</v>
      </c>
      <c r="AF186" s="409"/>
      <c r="AG186" s="408"/>
      <c r="AH186" s="408">
        <f t="shared" si="65"/>
        <v>108</v>
      </c>
      <c r="AI186" s="835"/>
      <c r="AJ186" s="720">
        <f t="shared" si="66"/>
        <v>108</v>
      </c>
    </row>
    <row r="187" spans="1:36" s="276" customFormat="1" ht="21" thickBot="1">
      <c r="A187" s="547" t="s">
        <v>634</v>
      </c>
      <c r="B187" s="552"/>
      <c r="C187" s="553"/>
      <c r="D187" s="544">
        <v>46131</v>
      </c>
      <c r="E187" s="658"/>
      <c r="F187" s="618"/>
      <c r="G187" s="618"/>
      <c r="H187" s="618"/>
      <c r="I187" s="619"/>
      <c r="J187" s="619"/>
      <c r="K187" s="681"/>
      <c r="L187" s="657"/>
      <c r="M187" s="658"/>
      <c r="N187" s="619"/>
      <c r="O187" s="619"/>
      <c r="P187" s="619"/>
      <c r="Q187" s="619"/>
      <c r="R187" s="619"/>
      <c r="S187" s="619"/>
      <c r="T187" s="769"/>
      <c r="U187" s="657"/>
      <c r="V187" s="658">
        <f>4*12</f>
        <v>48</v>
      </c>
      <c r="W187" s="619"/>
      <c r="X187" s="619"/>
      <c r="Y187" s="619">
        <f>5*12</f>
        <v>60</v>
      </c>
      <c r="Z187" s="619"/>
      <c r="AA187" s="619"/>
      <c r="AB187" s="619"/>
      <c r="AC187" s="681"/>
      <c r="AD187" s="774"/>
      <c r="AE187" s="408">
        <f t="shared" ref="AE187" si="71">SUM(E187:AC187)</f>
        <v>108</v>
      </c>
      <c r="AF187" s="409"/>
      <c r="AG187" s="408"/>
      <c r="AH187" s="408">
        <f t="shared" si="65"/>
        <v>108</v>
      </c>
      <c r="AI187" s="835"/>
      <c r="AJ187" s="720">
        <f t="shared" si="66"/>
        <v>108</v>
      </c>
    </row>
    <row r="188" spans="1:36" s="234" customFormat="1" ht="20.25">
      <c r="A188" s="561" t="s">
        <v>656</v>
      </c>
      <c r="B188" s="552"/>
      <c r="C188" s="553"/>
      <c r="D188" s="544">
        <v>46131</v>
      </c>
      <c r="E188" s="319"/>
      <c r="F188" s="320"/>
      <c r="G188" s="320"/>
      <c r="H188" s="320"/>
      <c r="I188" s="321"/>
      <c r="J188" s="321"/>
      <c r="K188" s="380"/>
      <c r="L188" s="352"/>
      <c r="M188" s="353"/>
      <c r="N188" s="321"/>
      <c r="O188" s="321"/>
      <c r="P188" s="321"/>
      <c r="Q188" s="321"/>
      <c r="R188" s="321"/>
      <c r="S188" s="321"/>
      <c r="T188" s="363"/>
      <c r="U188" s="580"/>
      <c r="V188" s="581"/>
      <c r="W188" s="543">
        <f>2*12</f>
        <v>24</v>
      </c>
      <c r="X188" s="543"/>
      <c r="Y188" s="543">
        <f>3*12</f>
        <v>36</v>
      </c>
      <c r="Z188" s="543"/>
      <c r="AA188" s="543"/>
      <c r="AB188" s="543"/>
      <c r="AC188" s="592"/>
      <c r="AD188" s="580"/>
      <c r="AE188" s="593">
        <f t="shared" si="64"/>
        <v>60</v>
      </c>
      <c r="AF188" s="594"/>
      <c r="AG188" s="593"/>
      <c r="AH188" s="593">
        <f t="shared" si="65"/>
        <v>60</v>
      </c>
      <c r="AI188" s="836"/>
      <c r="AJ188" s="837">
        <f t="shared" si="66"/>
        <v>60</v>
      </c>
    </row>
    <row r="189" spans="1:36" s="234" customFormat="1" ht="20.25">
      <c r="A189" s="547" t="s">
        <v>658</v>
      </c>
      <c r="B189" s="552"/>
      <c r="C189" s="553"/>
      <c r="D189" s="544">
        <v>46132</v>
      </c>
      <c r="E189" s="541"/>
      <c r="F189" s="542">
        <f>4*12</f>
        <v>48</v>
      </c>
      <c r="G189" s="542"/>
      <c r="H189" s="542">
        <f>3*12</f>
        <v>36</v>
      </c>
      <c r="I189" s="543">
        <f>3*12</f>
        <v>36</v>
      </c>
      <c r="J189" s="543"/>
      <c r="K189" s="592"/>
      <c r="L189" s="580"/>
      <c r="M189" s="581"/>
      <c r="N189" s="543"/>
      <c r="O189" s="543"/>
      <c r="P189" s="543"/>
      <c r="Q189" s="543"/>
      <c r="R189" s="543"/>
      <c r="S189" s="543"/>
      <c r="T189" s="767"/>
      <c r="U189" s="352"/>
      <c r="V189" s="353">
        <f>2*12</f>
        <v>24</v>
      </c>
      <c r="W189" s="321">
        <f>2*12</f>
        <v>24</v>
      </c>
      <c r="X189" s="321"/>
      <c r="Y189" s="321">
        <f>2*12</f>
        <v>24</v>
      </c>
      <c r="Z189" s="321"/>
      <c r="AA189" s="321"/>
      <c r="AB189" s="321"/>
      <c r="AC189" s="380"/>
      <c r="AD189" s="352"/>
      <c r="AE189" s="408">
        <f t="shared" si="64"/>
        <v>192</v>
      </c>
      <c r="AF189" s="409"/>
      <c r="AG189" s="408"/>
      <c r="AH189" s="408">
        <f t="shared" si="65"/>
        <v>192</v>
      </c>
      <c r="AI189" s="835"/>
      <c r="AJ189" s="720">
        <f t="shared" si="66"/>
        <v>192</v>
      </c>
    </row>
    <row r="190" spans="1:36" s="234" customFormat="1" ht="20.25">
      <c r="A190" s="547" t="s">
        <v>659</v>
      </c>
      <c r="B190" s="550"/>
      <c r="C190" s="549"/>
      <c r="D190" s="544">
        <v>46132</v>
      </c>
      <c r="E190" s="319"/>
      <c r="F190" s="320">
        <f>3*12</f>
        <v>36</v>
      </c>
      <c r="G190" s="320"/>
      <c r="H190" s="320"/>
      <c r="I190" s="321"/>
      <c r="J190" s="321">
        <f>1*12</f>
        <v>12</v>
      </c>
      <c r="K190" s="380"/>
      <c r="L190" s="352"/>
      <c r="M190" s="353"/>
      <c r="N190" s="321"/>
      <c r="O190" s="321"/>
      <c r="P190" s="321"/>
      <c r="Q190" s="321"/>
      <c r="R190" s="582"/>
      <c r="S190" s="321"/>
      <c r="T190" s="834"/>
      <c r="U190" s="352"/>
      <c r="V190" s="353"/>
      <c r="W190" s="321">
        <f>2*12</f>
        <v>24</v>
      </c>
      <c r="X190" s="321">
        <f>2*12</f>
        <v>24</v>
      </c>
      <c r="Y190" s="321">
        <f>2*12</f>
        <v>24</v>
      </c>
      <c r="Z190" s="321"/>
      <c r="AA190" s="321"/>
      <c r="AB190" s="321"/>
      <c r="AC190" s="380"/>
      <c r="AD190" s="352"/>
      <c r="AE190" s="408">
        <f t="shared" si="64"/>
        <v>120</v>
      </c>
      <c r="AF190" s="409"/>
      <c r="AG190" s="408"/>
      <c r="AH190" s="408">
        <f t="shared" si="65"/>
        <v>120</v>
      </c>
      <c r="AI190" s="835"/>
      <c r="AJ190" s="720">
        <f t="shared" si="66"/>
        <v>120</v>
      </c>
    </row>
    <row r="191" spans="1:36" s="234" customFormat="1" ht="20.25">
      <c r="A191" s="547" t="s">
        <v>661</v>
      </c>
      <c r="B191" s="538"/>
      <c r="C191" s="539"/>
      <c r="D191" s="544">
        <v>46133</v>
      </c>
      <c r="E191" s="319"/>
      <c r="F191" s="320"/>
      <c r="G191" s="320"/>
      <c r="H191" s="320">
        <f>4*12</f>
        <v>48</v>
      </c>
      <c r="I191" s="321"/>
      <c r="J191" s="321"/>
      <c r="K191" s="380"/>
      <c r="L191" s="352"/>
      <c r="M191" s="353"/>
      <c r="N191" s="321"/>
      <c r="O191" s="321"/>
      <c r="P191" s="321"/>
      <c r="Q191" s="321"/>
      <c r="R191" s="321"/>
      <c r="S191" s="321"/>
      <c r="T191" s="363"/>
      <c r="U191" s="654"/>
      <c r="V191" s="321"/>
      <c r="W191" s="321"/>
      <c r="X191" s="321"/>
      <c r="Y191" s="321"/>
      <c r="Z191" s="321"/>
      <c r="AA191" s="321"/>
      <c r="AB191" s="321"/>
      <c r="AC191" s="320"/>
      <c r="AD191" s="842"/>
      <c r="AE191" s="321">
        <f t="shared" ref="AE191" si="72">SUM(E191:AC191)</f>
        <v>48</v>
      </c>
      <c r="AF191" s="321"/>
      <c r="AG191" s="321"/>
      <c r="AH191" s="321">
        <f t="shared" ref="AH191" si="73">AE191+AF191+AG191</f>
        <v>48</v>
      </c>
      <c r="AI191" s="845"/>
      <c r="AJ191" s="846">
        <f t="shared" ref="AJ191" si="74">AH191+AI191</f>
        <v>48</v>
      </c>
    </row>
    <row r="192" spans="1:36" s="234" customFormat="1" ht="20.25">
      <c r="A192" s="547" t="s">
        <v>623</v>
      </c>
      <c r="B192" s="538"/>
      <c r="C192" s="539"/>
      <c r="D192" s="544">
        <v>46133</v>
      </c>
      <c r="E192" s="319"/>
      <c r="F192" s="320"/>
      <c r="G192" s="320"/>
      <c r="H192" s="320">
        <f>5*12</f>
        <v>60</v>
      </c>
      <c r="I192" s="321"/>
      <c r="J192" s="321"/>
      <c r="K192" s="380"/>
      <c r="L192" s="352"/>
      <c r="M192" s="353"/>
      <c r="N192" s="321"/>
      <c r="O192" s="321"/>
      <c r="P192" s="321"/>
      <c r="Q192" s="321"/>
      <c r="R192" s="321"/>
      <c r="S192" s="321"/>
      <c r="T192" s="363"/>
      <c r="U192" s="352"/>
      <c r="V192" s="353"/>
      <c r="W192" s="321"/>
      <c r="X192" s="321">
        <f>2*12</f>
        <v>24</v>
      </c>
      <c r="Y192" s="321">
        <f>2*12</f>
        <v>24</v>
      </c>
      <c r="Z192" s="321"/>
      <c r="AA192" s="321"/>
      <c r="AB192" s="321"/>
      <c r="AC192" s="380"/>
      <c r="AD192" s="352"/>
      <c r="AE192" s="408">
        <f t="shared" ref="AE192:AE195" si="75">SUM(E192:AC192)</f>
        <v>108</v>
      </c>
      <c r="AF192" s="409"/>
      <c r="AG192" s="408"/>
      <c r="AH192" s="408">
        <f t="shared" si="65"/>
        <v>108</v>
      </c>
      <c r="AI192" s="835"/>
      <c r="AJ192" s="720">
        <f t="shared" si="66"/>
        <v>108</v>
      </c>
    </row>
    <row r="193" spans="1:36" s="234" customFormat="1" ht="20.25">
      <c r="A193" s="551" t="s">
        <v>634</v>
      </c>
      <c r="B193" s="552"/>
      <c r="C193" s="553"/>
      <c r="D193" s="544">
        <v>46133</v>
      </c>
      <c r="E193" s="319"/>
      <c r="F193" s="320"/>
      <c r="G193" s="320"/>
      <c r="H193" s="320"/>
      <c r="I193" s="321"/>
      <c r="J193" s="321"/>
      <c r="K193" s="380"/>
      <c r="L193" s="352"/>
      <c r="M193" s="353"/>
      <c r="N193" s="321"/>
      <c r="O193" s="321"/>
      <c r="P193" s="321"/>
      <c r="Q193" s="582"/>
      <c r="R193" s="582"/>
      <c r="S193" s="321"/>
      <c r="T193" s="363"/>
      <c r="U193" s="352"/>
      <c r="V193" s="353"/>
      <c r="W193" s="321"/>
      <c r="X193" s="321"/>
      <c r="Y193" s="321">
        <f>4*12</f>
        <v>48</v>
      </c>
      <c r="Z193" s="321"/>
      <c r="AA193" s="321"/>
      <c r="AB193" s="321"/>
      <c r="AC193" s="380"/>
      <c r="AD193" s="352"/>
      <c r="AE193" s="408">
        <f t="shared" si="75"/>
        <v>48</v>
      </c>
      <c r="AF193" s="409"/>
      <c r="AG193" s="408"/>
      <c r="AH193" s="408">
        <f t="shared" si="65"/>
        <v>48</v>
      </c>
      <c r="AI193" s="835"/>
      <c r="AJ193" s="720">
        <f t="shared" si="66"/>
        <v>48</v>
      </c>
    </row>
    <row r="194" spans="1:36" s="234" customFormat="1" ht="20.25">
      <c r="A194" s="537" t="s">
        <v>664</v>
      </c>
      <c r="B194" s="550"/>
      <c r="C194" s="549"/>
      <c r="D194" s="544">
        <v>46134</v>
      </c>
      <c r="E194" s="319"/>
      <c r="F194" s="320"/>
      <c r="G194" s="320"/>
      <c r="H194" s="320"/>
      <c r="I194" s="321"/>
      <c r="J194" s="321"/>
      <c r="K194" s="380"/>
      <c r="L194" s="352"/>
      <c r="M194" s="353"/>
      <c r="N194" s="321"/>
      <c r="O194" s="321"/>
      <c r="P194" s="321"/>
      <c r="Q194" s="321"/>
      <c r="R194" s="321"/>
      <c r="S194" s="321"/>
      <c r="T194" s="363"/>
      <c r="U194" s="352"/>
      <c r="V194" s="353"/>
      <c r="W194" s="321">
        <f>2*12</f>
        <v>24</v>
      </c>
      <c r="X194" s="321">
        <f>2*12</f>
        <v>24</v>
      </c>
      <c r="Y194" s="321">
        <f>2*12</f>
        <v>24</v>
      </c>
      <c r="Z194" s="321"/>
      <c r="AA194" s="321"/>
      <c r="AB194" s="321"/>
      <c r="AC194" s="380"/>
      <c r="AD194" s="352"/>
      <c r="AE194" s="408">
        <f t="shared" si="75"/>
        <v>72</v>
      </c>
      <c r="AF194" s="409"/>
      <c r="AG194" s="408"/>
      <c r="AH194" s="408">
        <f t="shared" si="65"/>
        <v>72</v>
      </c>
      <c r="AI194" s="835"/>
      <c r="AJ194" s="720">
        <f t="shared" si="66"/>
        <v>72</v>
      </c>
    </row>
    <row r="195" spans="1:36" s="234" customFormat="1" ht="20.25">
      <c r="A195" s="537" t="s">
        <v>637</v>
      </c>
      <c r="B195" s="550"/>
      <c r="C195" s="549"/>
      <c r="D195" s="544">
        <v>46134</v>
      </c>
      <c r="E195" s="319"/>
      <c r="F195" s="320"/>
      <c r="G195" s="320"/>
      <c r="H195" s="320"/>
      <c r="I195" s="321"/>
      <c r="J195" s="321"/>
      <c r="K195" s="380"/>
      <c r="L195" s="352"/>
      <c r="M195" s="353"/>
      <c r="N195" s="321"/>
      <c r="O195" s="321"/>
      <c r="P195" s="321"/>
      <c r="Q195" s="321"/>
      <c r="R195" s="321"/>
      <c r="S195" s="321"/>
      <c r="T195" s="363"/>
      <c r="U195" s="654"/>
      <c r="V195" s="321"/>
      <c r="W195" s="321"/>
      <c r="X195" s="321">
        <f>5*12</f>
        <v>60</v>
      </c>
      <c r="Y195" s="321"/>
      <c r="Z195" s="321"/>
      <c r="AA195" s="321"/>
      <c r="AB195" s="321"/>
      <c r="AC195" s="320"/>
      <c r="AD195" s="842"/>
      <c r="AE195" s="321">
        <f t="shared" si="75"/>
        <v>60</v>
      </c>
      <c r="AF195" s="321"/>
      <c r="AG195" s="321"/>
      <c r="AH195" s="321">
        <f t="shared" si="65"/>
        <v>60</v>
      </c>
      <c r="AI195" s="845"/>
      <c r="AJ195" s="846">
        <f t="shared" si="66"/>
        <v>60</v>
      </c>
    </row>
    <row r="196" spans="1:36" s="234" customFormat="1" ht="20.25">
      <c r="A196" s="547" t="s">
        <v>621</v>
      </c>
      <c r="B196" s="550"/>
      <c r="C196" s="549"/>
      <c r="D196" s="544">
        <v>46134</v>
      </c>
      <c r="E196" s="611"/>
      <c r="F196" s="612"/>
      <c r="G196" s="612"/>
      <c r="H196" s="612"/>
      <c r="I196" s="613"/>
      <c r="J196" s="613"/>
      <c r="K196" s="678"/>
      <c r="L196" s="654"/>
      <c r="M196" s="655"/>
      <c r="N196" s="613"/>
      <c r="O196" s="613"/>
      <c r="P196" s="613"/>
      <c r="Q196" s="613"/>
      <c r="R196" s="613"/>
      <c r="S196" s="613"/>
      <c r="T196" s="768"/>
      <c r="U196" s="657"/>
      <c r="V196" s="658"/>
      <c r="W196" s="619">
        <f>2*12</f>
        <v>24</v>
      </c>
      <c r="X196" s="619">
        <f>2*12</f>
        <v>24</v>
      </c>
      <c r="Y196" s="619"/>
      <c r="Z196" s="619"/>
      <c r="AA196" s="619"/>
      <c r="AB196" s="619"/>
      <c r="AC196" s="681"/>
      <c r="AD196" s="657"/>
      <c r="AE196" s="682">
        <f t="shared" ref="AE196:AE244" si="76">SUM(E196:AC196)</f>
        <v>48</v>
      </c>
      <c r="AF196" s="683"/>
      <c r="AG196" s="682"/>
      <c r="AH196" s="682">
        <f t="shared" si="65"/>
        <v>48</v>
      </c>
      <c r="AI196" s="847"/>
      <c r="AJ196" s="848">
        <f t="shared" si="66"/>
        <v>48</v>
      </c>
    </row>
    <row r="197" spans="1:36" s="234" customFormat="1" ht="20.25">
      <c r="A197" s="547" t="s">
        <v>619</v>
      </c>
      <c r="B197" s="550"/>
      <c r="C197" s="549"/>
      <c r="D197" s="544">
        <v>46135</v>
      </c>
      <c r="E197" s="617"/>
      <c r="F197" s="618"/>
      <c r="G197" s="618"/>
      <c r="H197" s="618"/>
      <c r="I197" s="619"/>
      <c r="J197" s="619"/>
      <c r="K197" s="681"/>
      <c r="L197" s="657"/>
      <c r="M197" s="658"/>
      <c r="N197" s="619"/>
      <c r="O197" s="619"/>
      <c r="P197" s="619"/>
      <c r="Q197" s="619"/>
      <c r="R197" s="619"/>
      <c r="S197" s="619"/>
      <c r="T197" s="769"/>
      <c r="U197" s="657"/>
      <c r="V197" s="658"/>
      <c r="W197" s="619"/>
      <c r="X197" s="619">
        <f>3*12</f>
        <v>36</v>
      </c>
      <c r="Y197" s="619"/>
      <c r="Z197" s="619"/>
      <c r="AA197" s="619"/>
      <c r="AB197" s="619"/>
      <c r="AC197" s="681"/>
      <c r="AD197" s="843"/>
      <c r="AE197" s="408">
        <f t="shared" si="76"/>
        <v>36</v>
      </c>
      <c r="AF197" s="409"/>
      <c r="AG197" s="408"/>
      <c r="AH197" s="408">
        <f t="shared" si="65"/>
        <v>36</v>
      </c>
      <c r="AI197" s="835"/>
      <c r="AJ197" s="720">
        <f t="shared" si="66"/>
        <v>36</v>
      </c>
    </row>
    <row r="198" spans="1:36" s="234" customFormat="1" ht="20.25">
      <c r="A198" s="547" t="s">
        <v>636</v>
      </c>
      <c r="B198" s="550"/>
      <c r="C198" s="549"/>
      <c r="D198" s="544">
        <v>46136</v>
      </c>
      <c r="E198" s="617"/>
      <c r="F198" s="618"/>
      <c r="G198" s="618"/>
      <c r="H198" s="618"/>
      <c r="I198" s="619"/>
      <c r="J198" s="619"/>
      <c r="K198" s="681"/>
      <c r="L198" s="657"/>
      <c r="M198" s="658"/>
      <c r="N198" s="619"/>
      <c r="O198" s="619"/>
      <c r="P198" s="619"/>
      <c r="Q198" s="619"/>
      <c r="R198" s="619"/>
      <c r="S198" s="619"/>
      <c r="T198" s="769"/>
      <c r="U198" s="657"/>
      <c r="V198" s="658"/>
      <c r="W198" s="619"/>
      <c r="X198" s="619"/>
      <c r="Y198" s="619">
        <f>18*12</f>
        <v>216</v>
      </c>
      <c r="Z198" s="619"/>
      <c r="AA198" s="619"/>
      <c r="AB198" s="619"/>
      <c r="AC198" s="681"/>
      <c r="AD198" s="843"/>
      <c r="AE198" s="408">
        <f t="shared" si="76"/>
        <v>216</v>
      </c>
      <c r="AF198" s="409"/>
      <c r="AG198" s="408"/>
      <c r="AH198" s="408">
        <f t="shared" si="65"/>
        <v>216</v>
      </c>
      <c r="AI198" s="835"/>
      <c r="AJ198" s="720">
        <f t="shared" si="66"/>
        <v>216</v>
      </c>
    </row>
    <row r="199" spans="1:36" s="234" customFormat="1" ht="20.25">
      <c r="A199" s="551" t="s">
        <v>672</v>
      </c>
      <c r="B199" s="550"/>
      <c r="C199" s="549"/>
      <c r="D199" s="544">
        <v>38831</v>
      </c>
      <c r="E199" s="617"/>
      <c r="F199" s="618"/>
      <c r="G199" s="320"/>
      <c r="H199" s="320"/>
      <c r="I199" s="619"/>
      <c r="J199" s="619"/>
      <c r="K199" s="681"/>
      <c r="L199" s="657"/>
      <c r="M199" s="658"/>
      <c r="N199" s="619"/>
      <c r="O199" s="619"/>
      <c r="P199" s="619"/>
      <c r="Q199" s="619"/>
      <c r="R199" s="619"/>
      <c r="S199" s="619"/>
      <c r="T199" s="769"/>
      <c r="U199" s="657"/>
      <c r="V199" s="658"/>
      <c r="W199" s="619"/>
      <c r="X199" s="619"/>
      <c r="Y199" s="619">
        <f>4*12</f>
        <v>48</v>
      </c>
      <c r="Z199" s="619"/>
      <c r="AA199" s="619"/>
      <c r="AB199" s="619">
        <f>2*12</f>
        <v>24</v>
      </c>
      <c r="AC199" s="681"/>
      <c r="AD199" s="843"/>
      <c r="AE199" s="408">
        <f t="shared" si="76"/>
        <v>72</v>
      </c>
      <c r="AF199" s="409"/>
      <c r="AG199" s="408"/>
      <c r="AH199" s="408">
        <f t="shared" si="65"/>
        <v>72</v>
      </c>
      <c r="AI199" s="835"/>
      <c r="AJ199" s="720">
        <f t="shared" si="66"/>
        <v>72</v>
      </c>
    </row>
    <row r="200" spans="1:36" s="234" customFormat="1" ht="21.75" thickBot="1">
      <c r="A200" s="537" t="s">
        <v>670</v>
      </c>
      <c r="B200" s="550"/>
      <c r="C200" s="549"/>
      <c r="D200" s="544">
        <v>46137</v>
      </c>
      <c r="E200" s="617"/>
      <c r="F200" s="618"/>
      <c r="G200" s="946"/>
      <c r="H200" s="742"/>
      <c r="I200" s="619"/>
      <c r="J200" s="619"/>
      <c r="K200" s="681"/>
      <c r="L200" s="657"/>
      <c r="M200" s="658"/>
      <c r="N200" s="619"/>
      <c r="O200" s="619"/>
      <c r="P200" s="619"/>
      <c r="Q200" s="619"/>
      <c r="R200" s="619"/>
      <c r="S200" s="619"/>
      <c r="T200" s="769"/>
      <c r="U200" s="657"/>
      <c r="V200" s="658"/>
      <c r="W200" s="619">
        <f>20*12</f>
        <v>240</v>
      </c>
      <c r="X200" s="619">
        <f>19*12</f>
        <v>228</v>
      </c>
      <c r="Y200" s="619">
        <f>21*12</f>
        <v>252</v>
      </c>
      <c r="Z200" s="619">
        <f>20*12</f>
        <v>240</v>
      </c>
      <c r="AA200" s="619"/>
      <c r="AB200" s="619"/>
      <c r="AC200" s="681"/>
      <c r="AD200" s="774"/>
      <c r="AE200" s="408">
        <f t="shared" si="76"/>
        <v>960</v>
      </c>
      <c r="AF200" s="409"/>
      <c r="AG200" s="408"/>
      <c r="AH200" s="408">
        <f t="shared" si="65"/>
        <v>960</v>
      </c>
      <c r="AI200" s="835"/>
      <c r="AJ200" s="720">
        <f t="shared" si="66"/>
        <v>960</v>
      </c>
    </row>
    <row r="201" spans="1:36" s="234" customFormat="1" ht="20.25">
      <c r="A201" s="551" t="s">
        <v>634</v>
      </c>
      <c r="B201" s="550"/>
      <c r="C201" s="549"/>
      <c r="D201" s="544">
        <v>46138</v>
      </c>
      <c r="E201" s="617"/>
      <c r="F201" s="618"/>
      <c r="G201" s="618"/>
      <c r="H201" s="618"/>
      <c r="I201" s="619"/>
      <c r="J201" s="619"/>
      <c r="K201" s="681"/>
      <c r="L201" s="657"/>
      <c r="M201" s="658"/>
      <c r="N201" s="619"/>
      <c r="O201" s="619"/>
      <c r="P201" s="619"/>
      <c r="Q201" s="619"/>
      <c r="R201" s="619"/>
      <c r="S201" s="619"/>
      <c r="T201" s="769"/>
      <c r="U201" s="657"/>
      <c r="V201" s="658">
        <f>2*12</f>
        <v>24</v>
      </c>
      <c r="W201" s="619"/>
      <c r="X201" s="619"/>
      <c r="Y201" s="619">
        <f>3*12</f>
        <v>36</v>
      </c>
      <c r="Z201" s="619"/>
      <c r="AA201" s="619"/>
      <c r="AB201" s="619"/>
      <c r="AC201" s="681"/>
      <c r="AD201" s="775"/>
      <c r="AE201" s="419">
        <f t="shared" si="76"/>
        <v>60</v>
      </c>
      <c r="AF201" s="420"/>
      <c r="AG201" s="419"/>
      <c r="AH201" s="419">
        <f t="shared" si="65"/>
        <v>60</v>
      </c>
      <c r="AI201" s="849"/>
      <c r="AJ201" s="850">
        <f t="shared" si="66"/>
        <v>60</v>
      </c>
    </row>
    <row r="202" spans="1:36" s="234" customFormat="1" ht="21" thickBot="1">
      <c r="A202" s="537" t="s">
        <v>680</v>
      </c>
      <c r="B202" s="550"/>
      <c r="C202" s="549"/>
      <c r="D202" s="544">
        <v>46139</v>
      </c>
      <c r="E202" s="617"/>
      <c r="F202" s="618"/>
      <c r="G202" s="618"/>
      <c r="H202" s="618"/>
      <c r="I202" s="619"/>
      <c r="J202" s="619"/>
      <c r="K202" s="681"/>
      <c r="L202" s="657"/>
      <c r="M202" s="658"/>
      <c r="N202" s="619"/>
      <c r="O202" s="619"/>
      <c r="P202" s="619"/>
      <c r="Q202" s="619"/>
      <c r="R202" s="619"/>
      <c r="S202" s="619"/>
      <c r="T202" s="769"/>
      <c r="U202" s="657"/>
      <c r="V202" s="658"/>
      <c r="W202" s="619">
        <f>1*12</f>
        <v>12</v>
      </c>
      <c r="X202" s="619"/>
      <c r="Y202" s="619">
        <f>1*12</f>
        <v>12</v>
      </c>
      <c r="Z202" s="619"/>
      <c r="AA202" s="619"/>
      <c r="AB202" s="619"/>
      <c r="AC202" s="681"/>
      <c r="AD202" s="774"/>
      <c r="AE202" s="408">
        <f t="shared" si="76"/>
        <v>24</v>
      </c>
      <c r="AF202" s="409"/>
      <c r="AG202" s="408"/>
      <c r="AH202" s="408">
        <f t="shared" si="65"/>
        <v>24</v>
      </c>
      <c r="AI202" s="835"/>
      <c r="AJ202" s="720">
        <f t="shared" si="66"/>
        <v>24</v>
      </c>
    </row>
    <row r="203" spans="1:36" s="234" customFormat="1" ht="21" thickBot="1">
      <c r="A203" s="547" t="s">
        <v>683</v>
      </c>
      <c r="B203" s="550"/>
      <c r="C203" s="549"/>
      <c r="D203" s="544">
        <v>46140</v>
      </c>
      <c r="E203" s="617"/>
      <c r="F203" s="618"/>
      <c r="G203" s="618"/>
      <c r="H203" s="618">
        <f>2*12</f>
        <v>24</v>
      </c>
      <c r="I203" s="619"/>
      <c r="J203" s="619"/>
      <c r="K203" s="681"/>
      <c r="L203" s="657"/>
      <c r="M203" s="658"/>
      <c r="N203" s="619"/>
      <c r="O203" s="619"/>
      <c r="P203" s="619"/>
      <c r="Q203" s="619"/>
      <c r="R203" s="619"/>
      <c r="S203" s="619"/>
      <c r="T203" s="769"/>
      <c r="U203" s="657"/>
      <c r="V203" s="658"/>
      <c r="W203" s="619"/>
      <c r="X203" s="619"/>
      <c r="Y203" s="619">
        <f>3*12</f>
        <v>36</v>
      </c>
      <c r="Z203" s="619"/>
      <c r="AA203" s="619"/>
      <c r="AB203" s="619"/>
      <c r="AC203" s="681"/>
      <c r="AD203" s="774"/>
      <c r="AE203" s="408">
        <f t="shared" si="76"/>
        <v>60</v>
      </c>
      <c r="AF203" s="409"/>
      <c r="AG203" s="408"/>
      <c r="AH203" s="408">
        <f t="shared" si="65"/>
        <v>60</v>
      </c>
      <c r="AI203" s="835"/>
      <c r="AJ203" s="720">
        <f t="shared" si="66"/>
        <v>60</v>
      </c>
    </row>
    <row r="204" spans="1:36" s="234" customFormat="1" ht="21" thickBot="1">
      <c r="A204" s="537" t="s">
        <v>684</v>
      </c>
      <c r="B204" s="550"/>
      <c r="C204" s="549"/>
      <c r="D204" s="544">
        <v>46140</v>
      </c>
      <c r="E204" s="617"/>
      <c r="F204" s="618"/>
      <c r="G204" s="618"/>
      <c r="H204" s="618"/>
      <c r="I204" s="619"/>
      <c r="J204" s="619"/>
      <c r="K204" s="681"/>
      <c r="L204" s="657"/>
      <c r="M204" s="658"/>
      <c r="N204" s="619"/>
      <c r="O204" s="619"/>
      <c r="P204" s="619"/>
      <c r="Q204" s="619"/>
      <c r="R204" s="619"/>
      <c r="S204" s="619"/>
      <c r="T204" s="769"/>
      <c r="U204" s="657"/>
      <c r="V204" s="658"/>
      <c r="W204" s="619">
        <f>4*12</f>
        <v>48</v>
      </c>
      <c r="X204" s="619"/>
      <c r="Y204" s="619">
        <f>3*12</f>
        <v>36</v>
      </c>
      <c r="Z204" s="619"/>
      <c r="AA204" s="619"/>
      <c r="AB204" s="619">
        <f>1*12</f>
        <v>12</v>
      </c>
      <c r="AC204" s="681"/>
      <c r="AD204" s="774"/>
      <c r="AE204" s="419">
        <f t="shared" si="76"/>
        <v>96</v>
      </c>
      <c r="AF204" s="420"/>
      <c r="AG204" s="419"/>
      <c r="AH204" s="419">
        <f t="shared" si="65"/>
        <v>96</v>
      </c>
      <c r="AI204" s="849"/>
      <c r="AJ204" s="850">
        <f t="shared" si="66"/>
        <v>96</v>
      </c>
    </row>
    <row r="205" spans="1:36" s="234" customFormat="1" ht="21" thickBot="1">
      <c r="A205" s="547" t="s">
        <v>685</v>
      </c>
      <c r="B205" s="550"/>
      <c r="C205" s="549"/>
      <c r="D205" s="544">
        <v>46141</v>
      </c>
      <c r="E205" s="617"/>
      <c r="F205" s="618"/>
      <c r="G205" s="618"/>
      <c r="H205" s="618"/>
      <c r="I205" s="619"/>
      <c r="J205" s="619"/>
      <c r="K205" s="681"/>
      <c r="L205" s="657"/>
      <c r="M205" s="658"/>
      <c r="N205" s="619"/>
      <c r="O205" s="619"/>
      <c r="P205" s="619"/>
      <c r="Q205" s="619"/>
      <c r="R205" s="619"/>
      <c r="S205" s="619"/>
      <c r="T205" s="769"/>
      <c r="U205" s="657"/>
      <c r="V205" s="658"/>
      <c r="W205" s="619">
        <f>8*12</f>
        <v>96</v>
      </c>
      <c r="X205" s="619">
        <f>6*12</f>
        <v>72</v>
      </c>
      <c r="Y205" s="619"/>
      <c r="Z205" s="619"/>
      <c r="AA205" s="619"/>
      <c r="AB205" s="619"/>
      <c r="AC205" s="681"/>
      <c r="AD205" s="774"/>
      <c r="AE205" s="408">
        <f t="shared" si="76"/>
        <v>168</v>
      </c>
      <c r="AF205" s="409"/>
      <c r="AG205" s="408"/>
      <c r="AH205" s="408">
        <f t="shared" si="65"/>
        <v>168</v>
      </c>
      <c r="AI205" s="835"/>
      <c r="AJ205" s="720">
        <f t="shared" si="66"/>
        <v>168</v>
      </c>
    </row>
    <row r="206" spans="1:36" s="234" customFormat="1" ht="21" thickBot="1">
      <c r="A206" s="537" t="s">
        <v>635</v>
      </c>
      <c r="B206" s="550"/>
      <c r="C206" s="549"/>
      <c r="D206" s="544">
        <v>46141</v>
      </c>
      <c r="E206" s="617"/>
      <c r="F206" s="618"/>
      <c r="G206" s="618"/>
      <c r="H206" s="618">
        <f>3*12</f>
        <v>36</v>
      </c>
      <c r="I206" s="619">
        <f>3*12</f>
        <v>36</v>
      </c>
      <c r="J206" s="619"/>
      <c r="K206" s="681"/>
      <c r="L206" s="657"/>
      <c r="M206" s="658"/>
      <c r="N206" s="619"/>
      <c r="O206" s="619"/>
      <c r="P206" s="619"/>
      <c r="Q206" s="619"/>
      <c r="R206" s="619"/>
      <c r="S206" s="619"/>
      <c r="T206" s="769"/>
      <c r="U206" s="657"/>
      <c r="V206" s="658">
        <f>1*12</f>
        <v>12</v>
      </c>
      <c r="W206" s="619"/>
      <c r="X206" s="619">
        <f>2*12</f>
        <v>24</v>
      </c>
      <c r="Y206" s="619">
        <f>3*12</f>
        <v>36</v>
      </c>
      <c r="Z206" s="619"/>
      <c r="AA206" s="619"/>
      <c r="AB206" s="619"/>
      <c r="AC206" s="681"/>
      <c r="AD206" s="774"/>
      <c r="AE206" s="408">
        <f t="shared" si="76"/>
        <v>144</v>
      </c>
      <c r="AF206" s="409"/>
      <c r="AG206" s="408"/>
      <c r="AH206" s="408">
        <f t="shared" si="65"/>
        <v>144</v>
      </c>
      <c r="AI206" s="835"/>
      <c r="AJ206" s="720">
        <f t="shared" si="66"/>
        <v>144</v>
      </c>
    </row>
    <row r="207" spans="1:36" s="234" customFormat="1" ht="21" thickBot="1">
      <c r="A207" s="547" t="s">
        <v>686</v>
      </c>
      <c r="B207" s="550"/>
      <c r="C207" s="549"/>
      <c r="D207" s="544">
        <v>46141</v>
      </c>
      <c r="E207" s="617"/>
      <c r="F207" s="618"/>
      <c r="G207" s="618"/>
      <c r="H207" s="618"/>
      <c r="I207" s="619"/>
      <c r="J207" s="619"/>
      <c r="K207" s="681"/>
      <c r="L207" s="657"/>
      <c r="M207" s="658"/>
      <c r="N207" s="619"/>
      <c r="O207" s="619"/>
      <c r="P207" s="619"/>
      <c r="Q207" s="619"/>
      <c r="R207" s="619"/>
      <c r="S207" s="619"/>
      <c r="T207" s="769"/>
      <c r="U207" s="657"/>
      <c r="V207" s="658">
        <f>2*12</f>
        <v>24</v>
      </c>
      <c r="W207" s="619">
        <f>2*12</f>
        <v>24</v>
      </c>
      <c r="X207" s="619"/>
      <c r="Y207" s="619"/>
      <c r="Z207" s="619"/>
      <c r="AA207" s="619"/>
      <c r="AB207" s="619"/>
      <c r="AC207" s="681"/>
      <c r="AD207" s="774"/>
      <c r="AE207" s="408">
        <f t="shared" si="76"/>
        <v>48</v>
      </c>
      <c r="AF207" s="409"/>
      <c r="AG207" s="408"/>
      <c r="AH207" s="408">
        <f t="shared" si="65"/>
        <v>48</v>
      </c>
      <c r="AI207" s="835"/>
      <c r="AJ207" s="720">
        <f t="shared" si="66"/>
        <v>48</v>
      </c>
    </row>
    <row r="208" spans="1:36" s="234" customFormat="1" ht="21" thickBot="1">
      <c r="A208" s="537" t="s">
        <v>687</v>
      </c>
      <c r="B208" s="552"/>
      <c r="C208" s="553"/>
      <c r="D208" s="544">
        <v>46141</v>
      </c>
      <c r="E208" s="617"/>
      <c r="F208" s="618"/>
      <c r="G208" s="618"/>
      <c r="H208" s="618">
        <f>1*12</f>
        <v>12</v>
      </c>
      <c r="I208" s="619"/>
      <c r="J208" s="619"/>
      <c r="K208" s="681"/>
      <c r="L208" s="657"/>
      <c r="M208" s="658"/>
      <c r="N208" s="619"/>
      <c r="O208" s="619"/>
      <c r="P208" s="619"/>
      <c r="Q208" s="619"/>
      <c r="R208" s="619"/>
      <c r="S208" s="619"/>
      <c r="T208" s="769"/>
      <c r="U208" s="657"/>
      <c r="V208" s="658"/>
      <c r="W208" s="619">
        <f>3*12</f>
        <v>36</v>
      </c>
      <c r="X208" s="619"/>
      <c r="Y208" s="619">
        <f>2*12</f>
        <v>24</v>
      </c>
      <c r="Z208" s="619"/>
      <c r="AA208" s="619"/>
      <c r="AB208" s="619"/>
      <c r="AC208" s="681"/>
      <c r="AD208" s="774"/>
      <c r="AE208" s="408">
        <f t="shared" si="76"/>
        <v>72</v>
      </c>
      <c r="AF208" s="409"/>
      <c r="AG208" s="408"/>
      <c r="AH208" s="408">
        <f t="shared" si="65"/>
        <v>72</v>
      </c>
      <c r="AI208" s="835"/>
      <c r="AJ208" s="720">
        <f t="shared" si="66"/>
        <v>72</v>
      </c>
    </row>
    <row r="209" spans="1:36" s="234" customFormat="1" ht="21" thickBot="1">
      <c r="A209" s="537"/>
      <c r="B209" s="552"/>
      <c r="C209" s="553"/>
      <c r="D209" s="544"/>
      <c r="E209" s="617"/>
      <c r="F209" s="618"/>
      <c r="G209" s="618"/>
      <c r="H209" s="618"/>
      <c r="I209" s="619"/>
      <c r="J209" s="619"/>
      <c r="K209" s="681"/>
      <c r="L209" s="657"/>
      <c r="M209" s="658"/>
      <c r="N209" s="619"/>
      <c r="O209" s="619"/>
      <c r="P209" s="619"/>
      <c r="Q209" s="619"/>
      <c r="R209" s="619"/>
      <c r="S209" s="619"/>
      <c r="T209" s="769"/>
      <c r="U209" s="657"/>
      <c r="V209" s="658"/>
      <c r="W209" s="619"/>
      <c r="X209" s="619"/>
      <c r="Y209" s="619"/>
      <c r="Z209" s="619"/>
      <c r="AA209" s="619"/>
      <c r="AB209" s="619"/>
      <c r="AC209" s="681"/>
      <c r="AD209" s="774"/>
      <c r="AE209" s="408">
        <f t="shared" si="76"/>
        <v>0</v>
      </c>
      <c r="AF209" s="409"/>
      <c r="AG209" s="408"/>
      <c r="AH209" s="408">
        <f t="shared" si="65"/>
        <v>0</v>
      </c>
      <c r="AI209" s="835"/>
      <c r="AJ209" s="720">
        <f t="shared" si="66"/>
        <v>0</v>
      </c>
    </row>
    <row r="210" spans="1:36" s="234" customFormat="1" ht="21" thickBot="1">
      <c r="A210" s="537"/>
      <c r="B210" s="550"/>
      <c r="C210" s="549"/>
      <c r="D210" s="544"/>
      <c r="E210" s="617"/>
      <c r="F210" s="618"/>
      <c r="G210" s="618"/>
      <c r="H210" s="618"/>
      <c r="I210" s="619"/>
      <c r="J210" s="619"/>
      <c r="K210" s="681"/>
      <c r="L210" s="657"/>
      <c r="M210" s="658"/>
      <c r="N210" s="619"/>
      <c r="O210" s="619"/>
      <c r="P210" s="619"/>
      <c r="Q210" s="619"/>
      <c r="R210" s="619"/>
      <c r="S210" s="619"/>
      <c r="T210" s="769"/>
      <c r="U210" s="657"/>
      <c r="V210" s="658"/>
      <c r="W210" s="619"/>
      <c r="X210" s="619"/>
      <c r="Y210" s="619"/>
      <c r="Z210" s="619"/>
      <c r="AA210" s="619"/>
      <c r="AB210" s="619"/>
      <c r="AC210" s="681"/>
      <c r="AD210" s="774"/>
      <c r="AE210" s="408">
        <f t="shared" ref="AE210" si="77">SUM(E210:AC210)</f>
        <v>0</v>
      </c>
      <c r="AF210" s="409"/>
      <c r="AG210" s="408"/>
      <c r="AH210" s="408">
        <f t="shared" ref="AH210" si="78">AE210+AF210+AG210</f>
        <v>0</v>
      </c>
      <c r="AI210" s="835"/>
      <c r="AJ210" s="720">
        <f t="shared" ref="AJ210" si="79">AH210+AI210</f>
        <v>0</v>
      </c>
    </row>
    <row r="211" spans="1:36" s="234" customFormat="1" ht="21" thickBot="1">
      <c r="A211" s="537"/>
      <c r="B211" s="552"/>
      <c r="C211" s="553"/>
      <c r="D211" s="544"/>
      <c r="E211" s="617"/>
      <c r="F211" s="618"/>
      <c r="G211" s="618"/>
      <c r="H211" s="618"/>
      <c r="I211" s="619"/>
      <c r="J211" s="619"/>
      <c r="K211" s="681"/>
      <c r="L211" s="657"/>
      <c r="M211" s="658"/>
      <c r="N211" s="619"/>
      <c r="O211" s="619"/>
      <c r="P211" s="619"/>
      <c r="Q211" s="619"/>
      <c r="R211" s="619"/>
      <c r="S211" s="619"/>
      <c r="T211" s="769"/>
      <c r="U211" s="657"/>
      <c r="V211" s="658"/>
      <c r="W211" s="619"/>
      <c r="X211" s="619"/>
      <c r="Y211" s="619"/>
      <c r="Z211" s="619"/>
      <c r="AA211" s="619"/>
      <c r="AB211" s="619"/>
      <c r="AC211" s="681"/>
      <c r="AD211" s="774"/>
      <c r="AE211" s="408">
        <f t="shared" si="76"/>
        <v>0</v>
      </c>
      <c r="AF211" s="409"/>
      <c r="AG211" s="408"/>
      <c r="AH211" s="408">
        <f t="shared" si="65"/>
        <v>0</v>
      </c>
      <c r="AI211" s="835"/>
      <c r="AJ211" s="720">
        <f t="shared" si="66"/>
        <v>0</v>
      </c>
    </row>
    <row r="212" spans="1:36" s="234" customFormat="1" ht="21" thickBot="1">
      <c r="A212" s="537"/>
      <c r="B212" s="552"/>
      <c r="C212" s="553"/>
      <c r="D212" s="544"/>
      <c r="E212" s="617"/>
      <c r="F212" s="618"/>
      <c r="G212" s="618"/>
      <c r="H212" s="618"/>
      <c r="I212" s="619"/>
      <c r="J212" s="619"/>
      <c r="K212" s="681"/>
      <c r="L212" s="657"/>
      <c r="M212" s="658"/>
      <c r="N212" s="619"/>
      <c r="O212" s="619"/>
      <c r="P212" s="619"/>
      <c r="Q212" s="619"/>
      <c r="R212" s="619"/>
      <c r="S212" s="619"/>
      <c r="T212" s="769"/>
      <c r="U212" s="657"/>
      <c r="V212" s="658"/>
      <c r="W212" s="619"/>
      <c r="X212" s="619"/>
      <c r="Y212" s="619"/>
      <c r="Z212" s="619"/>
      <c r="AA212" s="619"/>
      <c r="AB212" s="619"/>
      <c r="AC212" s="681"/>
      <c r="AD212" s="774"/>
      <c r="AE212" s="408">
        <f t="shared" si="76"/>
        <v>0</v>
      </c>
      <c r="AF212" s="409"/>
      <c r="AG212" s="408"/>
      <c r="AH212" s="408">
        <f t="shared" si="65"/>
        <v>0</v>
      </c>
      <c r="AI212" s="835"/>
      <c r="AJ212" s="720">
        <f t="shared" si="66"/>
        <v>0</v>
      </c>
    </row>
    <row r="213" spans="1:36" s="234" customFormat="1" ht="21" thickBot="1">
      <c r="A213" s="537"/>
      <c r="B213" s="552"/>
      <c r="C213" s="553"/>
      <c r="D213" s="544"/>
      <c r="E213" s="617"/>
      <c r="F213" s="618"/>
      <c r="G213" s="618"/>
      <c r="H213" s="618"/>
      <c r="I213" s="619"/>
      <c r="J213" s="619"/>
      <c r="K213" s="681"/>
      <c r="L213" s="657"/>
      <c r="M213" s="658"/>
      <c r="N213" s="619"/>
      <c r="O213" s="619"/>
      <c r="P213" s="619"/>
      <c r="Q213" s="619"/>
      <c r="R213" s="619"/>
      <c r="S213" s="619"/>
      <c r="T213" s="769"/>
      <c r="U213" s="657"/>
      <c r="V213" s="658"/>
      <c r="W213" s="619"/>
      <c r="X213" s="619"/>
      <c r="Y213" s="619"/>
      <c r="Z213" s="619"/>
      <c r="AA213" s="619"/>
      <c r="AB213" s="619"/>
      <c r="AC213" s="681"/>
      <c r="AD213" s="774"/>
      <c r="AE213" s="408">
        <f t="shared" si="76"/>
        <v>0</v>
      </c>
      <c r="AF213" s="409"/>
      <c r="AG213" s="408"/>
      <c r="AH213" s="408">
        <f t="shared" si="65"/>
        <v>0</v>
      </c>
      <c r="AI213" s="835"/>
      <c r="AJ213" s="720">
        <f t="shared" si="66"/>
        <v>0</v>
      </c>
    </row>
    <row r="214" spans="1:36" s="234" customFormat="1" ht="21" thickBot="1">
      <c r="A214" s="551"/>
      <c r="B214" s="552"/>
      <c r="C214" s="553"/>
      <c r="D214" s="544"/>
      <c r="E214" s="617"/>
      <c r="F214" s="618"/>
      <c r="G214" s="618"/>
      <c r="H214" s="618"/>
      <c r="I214" s="619"/>
      <c r="J214" s="619"/>
      <c r="K214" s="681"/>
      <c r="L214" s="657"/>
      <c r="M214" s="658"/>
      <c r="N214" s="619"/>
      <c r="O214" s="619"/>
      <c r="P214" s="619"/>
      <c r="Q214" s="619"/>
      <c r="R214" s="619"/>
      <c r="S214" s="619"/>
      <c r="T214" s="769"/>
      <c r="U214" s="657"/>
      <c r="V214" s="658"/>
      <c r="W214" s="619"/>
      <c r="X214" s="619"/>
      <c r="Y214" s="619"/>
      <c r="Z214" s="619"/>
      <c r="AA214" s="619"/>
      <c r="AB214" s="619"/>
      <c r="AC214" s="681"/>
      <c r="AD214" s="774"/>
      <c r="AE214" s="408">
        <f t="shared" si="76"/>
        <v>0</v>
      </c>
      <c r="AF214" s="409"/>
      <c r="AG214" s="408"/>
      <c r="AH214" s="408">
        <f t="shared" si="65"/>
        <v>0</v>
      </c>
      <c r="AI214" s="835"/>
      <c r="AJ214" s="720">
        <f t="shared" si="66"/>
        <v>0</v>
      </c>
    </row>
    <row r="215" spans="1:36" s="234" customFormat="1" ht="21" thickBot="1">
      <c r="A215" s="561"/>
      <c r="B215" s="550"/>
      <c r="C215" s="549"/>
      <c r="D215" s="544"/>
      <c r="E215" s="617"/>
      <c r="F215" s="618"/>
      <c r="G215" s="618"/>
      <c r="H215" s="618"/>
      <c r="I215" s="619"/>
      <c r="J215" s="619"/>
      <c r="K215" s="681"/>
      <c r="L215" s="657"/>
      <c r="M215" s="658"/>
      <c r="N215" s="619"/>
      <c r="O215" s="619"/>
      <c r="P215" s="619"/>
      <c r="Q215" s="619"/>
      <c r="R215" s="619"/>
      <c r="S215" s="619"/>
      <c r="T215" s="769"/>
      <c r="U215" s="657"/>
      <c r="V215" s="658"/>
      <c r="W215" s="619"/>
      <c r="X215" s="619"/>
      <c r="Y215" s="619"/>
      <c r="Z215" s="619"/>
      <c r="AA215" s="619"/>
      <c r="AB215" s="619"/>
      <c r="AC215" s="681"/>
      <c r="AD215" s="774"/>
      <c r="AE215" s="408">
        <f t="shared" si="76"/>
        <v>0</v>
      </c>
      <c r="AF215" s="409"/>
      <c r="AG215" s="408"/>
      <c r="AH215" s="408">
        <f t="shared" si="65"/>
        <v>0</v>
      </c>
      <c r="AI215" s="835"/>
      <c r="AJ215" s="720">
        <f t="shared" si="66"/>
        <v>0</v>
      </c>
    </row>
    <row r="216" spans="1:36" s="234" customFormat="1" ht="21" thickBot="1">
      <c r="A216" s="537"/>
      <c r="B216" s="550"/>
      <c r="C216" s="549"/>
      <c r="D216" s="544"/>
      <c r="E216" s="617"/>
      <c r="F216" s="618"/>
      <c r="G216" s="618"/>
      <c r="H216" s="618"/>
      <c r="I216" s="619"/>
      <c r="J216" s="619"/>
      <c r="K216" s="681"/>
      <c r="L216" s="657"/>
      <c r="M216" s="658"/>
      <c r="N216" s="619"/>
      <c r="O216" s="619"/>
      <c r="P216" s="619"/>
      <c r="Q216" s="619"/>
      <c r="R216" s="619"/>
      <c r="S216" s="619"/>
      <c r="T216" s="769"/>
      <c r="U216" s="657"/>
      <c r="V216" s="658"/>
      <c r="W216" s="619"/>
      <c r="X216" s="619"/>
      <c r="Y216" s="619"/>
      <c r="Z216" s="619"/>
      <c r="AA216" s="619"/>
      <c r="AB216" s="619"/>
      <c r="AC216" s="681"/>
      <c r="AD216" s="774"/>
      <c r="AE216" s="408">
        <f t="shared" si="76"/>
        <v>0</v>
      </c>
      <c r="AF216" s="409"/>
      <c r="AG216" s="408"/>
      <c r="AH216" s="408">
        <f t="shared" si="65"/>
        <v>0</v>
      </c>
      <c r="AI216" s="835"/>
      <c r="AJ216" s="720">
        <f t="shared" si="66"/>
        <v>0</v>
      </c>
    </row>
    <row r="217" spans="1:36" s="234" customFormat="1" ht="21" thickBot="1">
      <c r="A217" s="537"/>
      <c r="B217" s="550"/>
      <c r="C217" s="549"/>
      <c r="D217" s="544"/>
      <c r="E217" s="617"/>
      <c r="F217" s="618"/>
      <c r="G217" s="618"/>
      <c r="H217" s="618"/>
      <c r="I217" s="619"/>
      <c r="J217" s="619"/>
      <c r="K217" s="681"/>
      <c r="L217" s="657"/>
      <c r="M217" s="658"/>
      <c r="N217" s="619"/>
      <c r="O217" s="619"/>
      <c r="P217" s="619"/>
      <c r="Q217" s="619"/>
      <c r="R217" s="619"/>
      <c r="S217" s="619"/>
      <c r="T217" s="769"/>
      <c r="U217" s="657"/>
      <c r="V217" s="658"/>
      <c r="W217" s="619"/>
      <c r="X217" s="619"/>
      <c r="Y217" s="619"/>
      <c r="Z217" s="619"/>
      <c r="AA217" s="619"/>
      <c r="AB217" s="619"/>
      <c r="AC217" s="681"/>
      <c r="AD217" s="774"/>
      <c r="AE217" s="408">
        <f t="shared" si="76"/>
        <v>0</v>
      </c>
      <c r="AF217" s="409"/>
      <c r="AG217" s="408"/>
      <c r="AH217" s="408">
        <f t="shared" si="65"/>
        <v>0</v>
      </c>
      <c r="AI217" s="835"/>
      <c r="AJ217" s="720">
        <f t="shared" si="66"/>
        <v>0</v>
      </c>
    </row>
    <row r="218" spans="1:36" s="234" customFormat="1" ht="21" thickBot="1">
      <c r="A218" s="537"/>
      <c r="B218" s="550"/>
      <c r="C218" s="549"/>
      <c r="D218" s="544"/>
      <c r="E218" s="617"/>
      <c r="F218" s="618"/>
      <c r="G218" s="618"/>
      <c r="H218" s="618"/>
      <c r="I218" s="619"/>
      <c r="J218" s="619"/>
      <c r="K218" s="681"/>
      <c r="L218" s="657"/>
      <c r="M218" s="658"/>
      <c r="N218" s="619"/>
      <c r="O218" s="619"/>
      <c r="P218" s="619"/>
      <c r="Q218" s="619"/>
      <c r="R218" s="619"/>
      <c r="S218" s="619"/>
      <c r="T218" s="769"/>
      <c r="U218" s="657"/>
      <c r="V218" s="658"/>
      <c r="W218" s="619"/>
      <c r="X218" s="619"/>
      <c r="Y218" s="619"/>
      <c r="Z218" s="619"/>
      <c r="AA218" s="619"/>
      <c r="AB218" s="619"/>
      <c r="AC218" s="681"/>
      <c r="AD218" s="774"/>
      <c r="AE218" s="408">
        <f t="shared" si="76"/>
        <v>0</v>
      </c>
      <c r="AF218" s="409"/>
      <c r="AG218" s="408"/>
      <c r="AH218" s="408">
        <f t="shared" si="65"/>
        <v>0</v>
      </c>
      <c r="AI218" s="835"/>
      <c r="AJ218" s="720">
        <f t="shared" si="66"/>
        <v>0</v>
      </c>
    </row>
    <row r="219" spans="1:36" s="234" customFormat="1" ht="21" thickBot="1">
      <c r="A219" s="537"/>
      <c r="B219" s="550"/>
      <c r="C219" s="549"/>
      <c r="D219" s="544"/>
      <c r="E219" s="617"/>
      <c r="F219" s="618"/>
      <c r="G219" s="618"/>
      <c r="H219" s="618"/>
      <c r="I219" s="619"/>
      <c r="J219" s="619"/>
      <c r="K219" s="681"/>
      <c r="L219" s="657"/>
      <c r="M219" s="658"/>
      <c r="N219" s="619"/>
      <c r="O219" s="619"/>
      <c r="P219" s="619"/>
      <c r="Q219" s="619"/>
      <c r="R219" s="619"/>
      <c r="S219" s="619"/>
      <c r="T219" s="769"/>
      <c r="U219" s="657"/>
      <c r="V219" s="658"/>
      <c r="W219" s="619"/>
      <c r="X219" s="619"/>
      <c r="Y219" s="619"/>
      <c r="Z219" s="619"/>
      <c r="AA219" s="619"/>
      <c r="AB219" s="619"/>
      <c r="AC219" s="681"/>
      <c r="AD219" s="774"/>
      <c r="AE219" s="408">
        <f t="shared" si="76"/>
        <v>0</v>
      </c>
      <c r="AF219" s="409"/>
      <c r="AG219" s="408"/>
      <c r="AH219" s="408">
        <f t="shared" si="65"/>
        <v>0</v>
      </c>
      <c r="AI219" s="835"/>
      <c r="AJ219" s="720">
        <f t="shared" si="66"/>
        <v>0</v>
      </c>
    </row>
    <row r="220" spans="1:36" s="234" customFormat="1" ht="21" thickBot="1">
      <c r="A220" s="537"/>
      <c r="B220" s="550"/>
      <c r="C220" s="549"/>
      <c r="D220" s="544"/>
      <c r="E220" s="617"/>
      <c r="F220" s="618"/>
      <c r="G220" s="618"/>
      <c r="H220" s="618"/>
      <c r="I220" s="619"/>
      <c r="J220" s="619"/>
      <c r="K220" s="681"/>
      <c r="L220" s="657"/>
      <c r="M220" s="658"/>
      <c r="N220" s="619"/>
      <c r="O220" s="619"/>
      <c r="P220" s="619"/>
      <c r="Q220" s="619"/>
      <c r="R220" s="619"/>
      <c r="S220" s="619"/>
      <c r="T220" s="769"/>
      <c r="U220" s="657"/>
      <c r="V220" s="658"/>
      <c r="W220" s="619"/>
      <c r="X220" s="619"/>
      <c r="Y220" s="619"/>
      <c r="Z220" s="619"/>
      <c r="AA220" s="619"/>
      <c r="AB220" s="619"/>
      <c r="AC220" s="681"/>
      <c r="AD220" s="774"/>
      <c r="AE220" s="408">
        <f t="shared" si="76"/>
        <v>0</v>
      </c>
      <c r="AF220" s="409"/>
      <c r="AG220" s="408"/>
      <c r="AH220" s="408">
        <f t="shared" si="65"/>
        <v>0</v>
      </c>
      <c r="AI220" s="835"/>
      <c r="AJ220" s="720">
        <f t="shared" si="66"/>
        <v>0</v>
      </c>
    </row>
    <row r="221" spans="1:36" s="234" customFormat="1" ht="20.25">
      <c r="A221" s="537"/>
      <c r="B221" s="550"/>
      <c r="C221" s="549"/>
      <c r="D221" s="544"/>
      <c r="E221" s="617"/>
      <c r="F221" s="618"/>
      <c r="G221" s="618"/>
      <c r="H221" s="618"/>
      <c r="I221" s="619"/>
      <c r="J221" s="619"/>
      <c r="K221" s="681"/>
      <c r="L221" s="657"/>
      <c r="M221" s="658"/>
      <c r="N221" s="619"/>
      <c r="O221" s="619"/>
      <c r="P221" s="619"/>
      <c r="Q221" s="619"/>
      <c r="R221" s="619"/>
      <c r="S221" s="619"/>
      <c r="T221" s="769"/>
      <c r="U221" s="657"/>
      <c r="V221" s="658"/>
      <c r="W221" s="619"/>
      <c r="X221" s="619"/>
      <c r="Y221" s="619"/>
      <c r="Z221" s="619"/>
      <c r="AA221" s="619"/>
      <c r="AB221" s="619"/>
      <c r="AC221" s="681"/>
      <c r="AD221" s="775"/>
      <c r="AE221" s="419">
        <f t="shared" si="76"/>
        <v>0</v>
      </c>
      <c r="AF221" s="409"/>
      <c r="AG221" s="419"/>
      <c r="AH221" s="419">
        <f t="shared" si="65"/>
        <v>0</v>
      </c>
      <c r="AI221" s="849"/>
      <c r="AJ221" s="850">
        <f t="shared" si="66"/>
        <v>0</v>
      </c>
    </row>
    <row r="222" spans="1:36" s="234" customFormat="1" ht="21" thickBot="1">
      <c r="A222" s="551"/>
      <c r="B222" s="550"/>
      <c r="C222" s="549"/>
      <c r="D222" s="544"/>
      <c r="E222" s="617"/>
      <c r="F222" s="618"/>
      <c r="G222" s="618"/>
      <c r="H222" s="618"/>
      <c r="I222" s="619"/>
      <c r="J222" s="619"/>
      <c r="K222" s="681"/>
      <c r="L222" s="657"/>
      <c r="M222" s="658"/>
      <c r="N222" s="619"/>
      <c r="O222" s="619"/>
      <c r="P222" s="619"/>
      <c r="Q222" s="619"/>
      <c r="R222" s="619"/>
      <c r="S222" s="619"/>
      <c r="T222" s="769"/>
      <c r="U222" s="657"/>
      <c r="V222" s="658"/>
      <c r="W222" s="619"/>
      <c r="X222" s="619"/>
      <c r="Y222" s="619"/>
      <c r="Z222" s="619"/>
      <c r="AA222" s="619"/>
      <c r="AB222" s="619"/>
      <c r="AC222" s="681"/>
      <c r="AD222" s="774"/>
      <c r="AE222" s="408">
        <f t="shared" ref="AE222:AE238" si="80">SUM(E222:AC222)</f>
        <v>0</v>
      </c>
      <c r="AF222" s="409"/>
      <c r="AG222" s="408"/>
      <c r="AH222" s="408">
        <f t="shared" si="65"/>
        <v>0</v>
      </c>
      <c r="AI222" s="835"/>
      <c r="AJ222" s="720">
        <f t="shared" si="66"/>
        <v>0</v>
      </c>
    </row>
    <row r="223" spans="1:36" s="234" customFormat="1" ht="21" thickBot="1">
      <c r="A223" s="537"/>
      <c r="B223" s="550"/>
      <c r="C223" s="549"/>
      <c r="D223" s="544"/>
      <c r="E223" s="617"/>
      <c r="F223" s="618"/>
      <c r="G223" s="618"/>
      <c r="H223" s="618"/>
      <c r="I223" s="619"/>
      <c r="J223" s="619"/>
      <c r="K223" s="681"/>
      <c r="L223" s="657"/>
      <c r="M223" s="658"/>
      <c r="N223" s="619"/>
      <c r="O223" s="619"/>
      <c r="P223" s="619"/>
      <c r="Q223" s="619"/>
      <c r="R223" s="619"/>
      <c r="S223" s="619"/>
      <c r="T223" s="769"/>
      <c r="U223" s="657"/>
      <c r="V223" s="658"/>
      <c r="W223" s="619"/>
      <c r="X223" s="619"/>
      <c r="Y223" s="619"/>
      <c r="Z223" s="619"/>
      <c r="AA223" s="619"/>
      <c r="AB223" s="619"/>
      <c r="AC223" s="681"/>
      <c r="AD223" s="774"/>
      <c r="AE223" s="408">
        <f t="shared" si="80"/>
        <v>0</v>
      </c>
      <c r="AF223" s="409"/>
      <c r="AG223" s="408"/>
      <c r="AH223" s="408">
        <f t="shared" si="65"/>
        <v>0</v>
      </c>
      <c r="AI223" s="835"/>
      <c r="AJ223" s="720">
        <f t="shared" si="66"/>
        <v>0</v>
      </c>
    </row>
    <row r="224" spans="1:36" s="234" customFormat="1" ht="21" thickBot="1">
      <c r="A224" s="537"/>
      <c r="B224" s="545"/>
      <c r="C224" s="539"/>
      <c r="D224" s="544"/>
      <c r="E224" s="617"/>
      <c r="F224" s="618"/>
      <c r="G224" s="618"/>
      <c r="H224" s="618"/>
      <c r="I224" s="619"/>
      <c r="J224" s="619"/>
      <c r="K224" s="681"/>
      <c r="L224" s="657"/>
      <c r="M224" s="658"/>
      <c r="N224" s="619"/>
      <c r="O224" s="619"/>
      <c r="P224" s="619"/>
      <c r="Q224" s="619"/>
      <c r="R224" s="619"/>
      <c r="S224" s="619"/>
      <c r="T224" s="769"/>
      <c r="U224" s="657"/>
      <c r="V224" s="658"/>
      <c r="W224" s="619"/>
      <c r="X224" s="619"/>
      <c r="Y224" s="619"/>
      <c r="Z224" s="619"/>
      <c r="AA224" s="619"/>
      <c r="AB224" s="619"/>
      <c r="AC224" s="681"/>
      <c r="AD224" s="774"/>
      <c r="AE224" s="408">
        <f t="shared" si="80"/>
        <v>0</v>
      </c>
      <c r="AF224" s="409"/>
      <c r="AG224" s="408"/>
      <c r="AH224" s="408">
        <f t="shared" si="65"/>
        <v>0</v>
      </c>
      <c r="AI224" s="835"/>
      <c r="AJ224" s="720">
        <f t="shared" si="66"/>
        <v>0</v>
      </c>
    </row>
    <row r="225" spans="1:36" s="234" customFormat="1" ht="21" thickBot="1">
      <c r="A225" s="537"/>
      <c r="B225" s="538"/>
      <c r="C225" s="539"/>
      <c r="D225" s="544"/>
      <c r="E225" s="617"/>
      <c r="F225" s="618"/>
      <c r="G225" s="618"/>
      <c r="H225" s="618"/>
      <c r="I225" s="619"/>
      <c r="J225" s="619"/>
      <c r="K225" s="681"/>
      <c r="L225" s="657"/>
      <c r="M225" s="658"/>
      <c r="N225" s="619"/>
      <c r="O225" s="619"/>
      <c r="P225" s="619"/>
      <c r="Q225" s="619"/>
      <c r="R225" s="619"/>
      <c r="S225" s="619"/>
      <c r="T225" s="769"/>
      <c r="U225" s="657"/>
      <c r="V225" s="658"/>
      <c r="W225" s="619"/>
      <c r="X225" s="619"/>
      <c r="Y225" s="619"/>
      <c r="Z225" s="619"/>
      <c r="AA225" s="619"/>
      <c r="AB225" s="619"/>
      <c r="AC225" s="681"/>
      <c r="AD225" s="774"/>
      <c r="AE225" s="408">
        <f t="shared" si="80"/>
        <v>0</v>
      </c>
      <c r="AF225" s="409"/>
      <c r="AG225" s="408"/>
      <c r="AH225" s="408">
        <f t="shared" si="65"/>
        <v>0</v>
      </c>
      <c r="AI225" s="835"/>
      <c r="AJ225" s="720">
        <f t="shared" si="66"/>
        <v>0</v>
      </c>
    </row>
    <row r="226" spans="1:36" s="234" customFormat="1" ht="21" thickBot="1">
      <c r="A226" s="551"/>
      <c r="B226" s="552"/>
      <c r="C226" s="553"/>
      <c r="D226" s="568"/>
      <c r="E226" s="617"/>
      <c r="F226" s="618"/>
      <c r="G226" s="618"/>
      <c r="H226" s="618"/>
      <c r="I226" s="619"/>
      <c r="J226" s="619"/>
      <c r="K226" s="681"/>
      <c r="L226" s="657"/>
      <c r="M226" s="658"/>
      <c r="N226" s="619"/>
      <c r="O226" s="619"/>
      <c r="P226" s="619"/>
      <c r="Q226" s="619"/>
      <c r="R226" s="619"/>
      <c r="S226" s="619"/>
      <c r="T226" s="769"/>
      <c r="U226" s="657"/>
      <c r="V226" s="658"/>
      <c r="W226" s="619"/>
      <c r="X226" s="619"/>
      <c r="Y226" s="619"/>
      <c r="Z226" s="619"/>
      <c r="AA226" s="619"/>
      <c r="AB226" s="619"/>
      <c r="AC226" s="681"/>
      <c r="AD226" s="774"/>
      <c r="AE226" s="408">
        <f t="shared" si="80"/>
        <v>0</v>
      </c>
      <c r="AF226" s="409"/>
      <c r="AG226" s="408"/>
      <c r="AH226" s="408">
        <f t="shared" si="65"/>
        <v>0</v>
      </c>
      <c r="AI226" s="835"/>
      <c r="AJ226" s="720">
        <f t="shared" si="66"/>
        <v>0</v>
      </c>
    </row>
    <row r="227" spans="1:36" s="234" customFormat="1" ht="21" thickBot="1">
      <c r="A227" s="551"/>
      <c r="B227" s="552"/>
      <c r="C227" s="553"/>
      <c r="D227" s="568"/>
      <c r="E227" s="617"/>
      <c r="F227" s="618"/>
      <c r="G227" s="618"/>
      <c r="H227" s="618"/>
      <c r="I227" s="619"/>
      <c r="J227" s="619"/>
      <c r="K227" s="681"/>
      <c r="L227" s="657"/>
      <c r="M227" s="658"/>
      <c r="N227" s="619"/>
      <c r="O227" s="619"/>
      <c r="P227" s="619"/>
      <c r="Q227" s="619"/>
      <c r="R227" s="619"/>
      <c r="S227" s="619"/>
      <c r="T227" s="769"/>
      <c r="U227" s="657"/>
      <c r="V227" s="658"/>
      <c r="W227" s="619"/>
      <c r="X227" s="619"/>
      <c r="Y227" s="619"/>
      <c r="Z227" s="619"/>
      <c r="AA227" s="619"/>
      <c r="AB227" s="619"/>
      <c r="AC227" s="681"/>
      <c r="AD227" s="774"/>
      <c r="AE227" s="408">
        <f t="shared" si="80"/>
        <v>0</v>
      </c>
      <c r="AF227" s="409"/>
      <c r="AG227" s="408"/>
      <c r="AH227" s="408">
        <f t="shared" si="65"/>
        <v>0</v>
      </c>
      <c r="AI227" s="835"/>
      <c r="AJ227" s="720">
        <f t="shared" si="66"/>
        <v>0</v>
      </c>
    </row>
    <row r="228" spans="1:36" s="234" customFormat="1" ht="21" thickBot="1">
      <c r="A228" s="551"/>
      <c r="B228" s="552"/>
      <c r="C228" s="553"/>
      <c r="D228" s="568"/>
      <c r="E228" s="617"/>
      <c r="F228" s="618"/>
      <c r="G228" s="618"/>
      <c r="H228" s="618"/>
      <c r="I228" s="619"/>
      <c r="J228" s="619"/>
      <c r="K228" s="681"/>
      <c r="L228" s="657"/>
      <c r="M228" s="658"/>
      <c r="N228" s="619"/>
      <c r="O228" s="619"/>
      <c r="P228" s="619"/>
      <c r="Q228" s="619"/>
      <c r="R228" s="619"/>
      <c r="S228" s="619"/>
      <c r="T228" s="769"/>
      <c r="U228" s="657"/>
      <c r="V228" s="658"/>
      <c r="W228" s="619"/>
      <c r="X228" s="619"/>
      <c r="Y228" s="619"/>
      <c r="Z228" s="619"/>
      <c r="AA228" s="619"/>
      <c r="AB228" s="619"/>
      <c r="AC228" s="681"/>
      <c r="AD228" s="774"/>
      <c r="AE228" s="408">
        <f t="shared" si="80"/>
        <v>0</v>
      </c>
      <c r="AF228" s="409"/>
      <c r="AG228" s="408"/>
      <c r="AH228" s="408">
        <f t="shared" si="65"/>
        <v>0</v>
      </c>
      <c r="AI228" s="835"/>
      <c r="AJ228" s="720">
        <f t="shared" si="66"/>
        <v>0</v>
      </c>
    </row>
    <row r="229" spans="1:36" s="234" customFormat="1" ht="21" thickBot="1">
      <c r="A229" s="551"/>
      <c r="B229" s="569"/>
      <c r="C229" s="553"/>
      <c r="D229" s="793"/>
      <c r="E229" s="617"/>
      <c r="F229" s="618"/>
      <c r="G229" s="618"/>
      <c r="H229" s="618"/>
      <c r="I229" s="619"/>
      <c r="J229" s="619"/>
      <c r="K229" s="681"/>
      <c r="L229" s="657"/>
      <c r="M229" s="658"/>
      <c r="N229" s="619"/>
      <c r="O229" s="619"/>
      <c r="P229" s="619"/>
      <c r="Q229" s="619"/>
      <c r="R229" s="619"/>
      <c r="S229" s="619"/>
      <c r="T229" s="769"/>
      <c r="U229" s="657"/>
      <c r="V229" s="658"/>
      <c r="W229" s="619"/>
      <c r="X229" s="619"/>
      <c r="Y229" s="619"/>
      <c r="Z229" s="619"/>
      <c r="AA229" s="619"/>
      <c r="AB229" s="619"/>
      <c r="AC229" s="681"/>
      <c r="AD229" s="774"/>
      <c r="AE229" s="408">
        <f t="shared" si="80"/>
        <v>0</v>
      </c>
      <c r="AF229" s="409"/>
      <c r="AG229" s="408"/>
      <c r="AH229" s="408">
        <f t="shared" si="65"/>
        <v>0</v>
      </c>
      <c r="AI229" s="835"/>
      <c r="AJ229" s="720">
        <f t="shared" si="66"/>
        <v>0</v>
      </c>
    </row>
    <row r="230" spans="1:36" s="234" customFormat="1" ht="21" thickBot="1">
      <c r="A230" s="551"/>
      <c r="B230" s="552"/>
      <c r="C230" s="553"/>
      <c r="D230" s="568"/>
      <c r="E230" s="617"/>
      <c r="F230" s="618"/>
      <c r="G230" s="618"/>
      <c r="H230" s="618"/>
      <c r="I230" s="619"/>
      <c r="J230" s="619"/>
      <c r="K230" s="681"/>
      <c r="L230" s="657"/>
      <c r="M230" s="658"/>
      <c r="N230" s="619"/>
      <c r="O230" s="619"/>
      <c r="P230" s="619"/>
      <c r="Q230" s="619"/>
      <c r="R230" s="619"/>
      <c r="S230" s="619"/>
      <c r="T230" s="769"/>
      <c r="U230" s="657"/>
      <c r="V230" s="658"/>
      <c r="W230" s="619"/>
      <c r="X230" s="619"/>
      <c r="Y230" s="619"/>
      <c r="Z230" s="619"/>
      <c r="AA230" s="619"/>
      <c r="AB230" s="619"/>
      <c r="AC230" s="681"/>
      <c r="AD230" s="774"/>
      <c r="AE230" s="682">
        <f t="shared" si="80"/>
        <v>0</v>
      </c>
      <c r="AF230" s="683"/>
      <c r="AG230" s="685"/>
      <c r="AH230" s="682">
        <f t="shared" si="65"/>
        <v>0</v>
      </c>
      <c r="AI230" s="847"/>
      <c r="AJ230" s="848">
        <f t="shared" si="66"/>
        <v>0</v>
      </c>
    </row>
    <row r="231" spans="1:36" s="234" customFormat="1" ht="21" thickBot="1">
      <c r="A231" s="551"/>
      <c r="B231" s="567"/>
      <c r="C231" s="553"/>
      <c r="D231" s="838"/>
      <c r="E231" s="617"/>
      <c r="F231" s="618"/>
      <c r="G231" s="618"/>
      <c r="H231" s="618"/>
      <c r="I231" s="619"/>
      <c r="J231" s="619"/>
      <c r="K231" s="681"/>
      <c r="L231" s="657"/>
      <c r="M231" s="658"/>
      <c r="N231" s="619"/>
      <c r="O231" s="619"/>
      <c r="P231" s="619"/>
      <c r="Q231" s="619"/>
      <c r="R231" s="619"/>
      <c r="S231" s="619"/>
      <c r="T231" s="769"/>
      <c r="U231" s="657"/>
      <c r="V231" s="658"/>
      <c r="W231" s="619"/>
      <c r="X231" s="619"/>
      <c r="Y231" s="619"/>
      <c r="Z231" s="619"/>
      <c r="AA231" s="619"/>
      <c r="AB231" s="619"/>
      <c r="AC231" s="681"/>
      <c r="AD231" s="774"/>
      <c r="AE231" s="682">
        <f t="shared" si="80"/>
        <v>0</v>
      </c>
      <c r="AF231" s="683"/>
      <c r="AG231" s="685"/>
      <c r="AH231" s="682">
        <f t="shared" si="65"/>
        <v>0</v>
      </c>
      <c r="AI231" s="847"/>
      <c r="AJ231" s="848">
        <f t="shared" si="66"/>
        <v>0</v>
      </c>
    </row>
    <row r="232" spans="1:36" s="234" customFormat="1" ht="21" thickBot="1">
      <c r="A232" s="551"/>
      <c r="B232" s="552"/>
      <c r="C232" s="553"/>
      <c r="D232" s="568"/>
      <c r="E232" s="617"/>
      <c r="F232" s="618"/>
      <c r="G232" s="618"/>
      <c r="H232" s="618"/>
      <c r="I232" s="619"/>
      <c r="J232" s="619"/>
      <c r="K232" s="681"/>
      <c r="L232" s="657"/>
      <c r="M232" s="658"/>
      <c r="N232" s="619"/>
      <c r="O232" s="619"/>
      <c r="P232" s="619"/>
      <c r="Q232" s="619"/>
      <c r="R232" s="619"/>
      <c r="S232" s="619"/>
      <c r="T232" s="769"/>
      <c r="U232" s="657"/>
      <c r="V232" s="658"/>
      <c r="W232" s="619"/>
      <c r="X232" s="619"/>
      <c r="Y232" s="619"/>
      <c r="Z232" s="619"/>
      <c r="AA232" s="619"/>
      <c r="AB232" s="619"/>
      <c r="AC232" s="681"/>
      <c r="AD232" s="774"/>
      <c r="AE232" s="682">
        <f t="shared" si="80"/>
        <v>0</v>
      </c>
      <c r="AF232" s="683"/>
      <c r="AG232" s="685"/>
      <c r="AH232" s="682">
        <f t="shared" si="65"/>
        <v>0</v>
      </c>
      <c r="AI232" s="847"/>
      <c r="AJ232" s="848">
        <f t="shared" si="66"/>
        <v>0</v>
      </c>
    </row>
    <row r="233" spans="1:36" s="234" customFormat="1" ht="21" thickBot="1">
      <c r="A233" s="551"/>
      <c r="B233" s="567"/>
      <c r="C233" s="553"/>
      <c r="D233" s="838"/>
      <c r="E233" s="617"/>
      <c r="F233" s="618"/>
      <c r="G233" s="618"/>
      <c r="H233" s="618"/>
      <c r="I233" s="619"/>
      <c r="J233" s="619"/>
      <c r="K233" s="681"/>
      <c r="L233" s="657"/>
      <c r="M233" s="658"/>
      <c r="N233" s="619"/>
      <c r="O233" s="619"/>
      <c r="P233" s="619"/>
      <c r="Q233" s="619"/>
      <c r="R233" s="619"/>
      <c r="S233" s="619"/>
      <c r="T233" s="769"/>
      <c r="U233" s="657"/>
      <c r="V233" s="658"/>
      <c r="W233" s="619"/>
      <c r="X233" s="619"/>
      <c r="Y233" s="619"/>
      <c r="Z233" s="619"/>
      <c r="AA233" s="619"/>
      <c r="AB233" s="619"/>
      <c r="AC233" s="681"/>
      <c r="AD233" s="774"/>
      <c r="AE233" s="682">
        <f t="shared" si="80"/>
        <v>0</v>
      </c>
      <c r="AF233" s="683"/>
      <c r="AG233" s="685"/>
      <c r="AH233" s="682">
        <f t="shared" si="65"/>
        <v>0</v>
      </c>
      <c r="AI233" s="847"/>
      <c r="AJ233" s="848">
        <f t="shared" si="66"/>
        <v>0</v>
      </c>
    </row>
    <row r="234" spans="1:36" s="234" customFormat="1" ht="21" thickBot="1">
      <c r="A234" s="551"/>
      <c r="B234" s="567"/>
      <c r="C234" s="553"/>
      <c r="D234" s="838"/>
      <c r="E234" s="617"/>
      <c r="F234" s="618"/>
      <c r="G234" s="618"/>
      <c r="H234" s="618"/>
      <c r="I234" s="619"/>
      <c r="J234" s="619"/>
      <c r="K234" s="681"/>
      <c r="L234" s="657"/>
      <c r="M234" s="658"/>
      <c r="N234" s="619"/>
      <c r="O234" s="619"/>
      <c r="P234" s="619"/>
      <c r="Q234" s="619"/>
      <c r="R234" s="619"/>
      <c r="S234" s="619"/>
      <c r="T234" s="769"/>
      <c r="U234" s="657"/>
      <c r="V234" s="658"/>
      <c r="W234" s="619"/>
      <c r="X234" s="619"/>
      <c r="Y234" s="619"/>
      <c r="Z234" s="619"/>
      <c r="AA234" s="619"/>
      <c r="AB234" s="619"/>
      <c r="AC234" s="681"/>
      <c r="AD234" s="774"/>
      <c r="AE234" s="682">
        <f t="shared" si="80"/>
        <v>0</v>
      </c>
      <c r="AF234" s="683"/>
      <c r="AG234" s="685"/>
      <c r="AH234" s="682">
        <f t="shared" si="65"/>
        <v>0</v>
      </c>
      <c r="AI234" s="847"/>
      <c r="AJ234" s="848">
        <f t="shared" si="66"/>
        <v>0</v>
      </c>
    </row>
    <row r="235" spans="1:36" s="234" customFormat="1" ht="21" thickBot="1">
      <c r="A235" s="551"/>
      <c r="B235" s="567"/>
      <c r="C235" s="553"/>
      <c r="D235" s="838"/>
      <c r="E235" s="617"/>
      <c r="F235" s="618"/>
      <c r="G235" s="618"/>
      <c r="H235" s="618"/>
      <c r="I235" s="619"/>
      <c r="J235" s="619"/>
      <c r="K235" s="681"/>
      <c r="L235" s="657"/>
      <c r="M235" s="658"/>
      <c r="N235" s="619"/>
      <c r="O235" s="619"/>
      <c r="P235" s="619"/>
      <c r="Q235" s="619"/>
      <c r="R235" s="619"/>
      <c r="S235" s="619"/>
      <c r="T235" s="769"/>
      <c r="U235" s="657"/>
      <c r="V235" s="658"/>
      <c r="W235" s="619"/>
      <c r="X235" s="619"/>
      <c r="Y235" s="619"/>
      <c r="Z235" s="619"/>
      <c r="AA235" s="619"/>
      <c r="AB235" s="619"/>
      <c r="AC235" s="681"/>
      <c r="AD235" s="774"/>
      <c r="AE235" s="682">
        <f t="shared" si="80"/>
        <v>0</v>
      </c>
      <c r="AF235" s="683"/>
      <c r="AG235" s="685"/>
      <c r="AH235" s="682">
        <f t="shared" si="65"/>
        <v>0</v>
      </c>
      <c r="AI235" s="847"/>
      <c r="AJ235" s="848">
        <f t="shared" si="66"/>
        <v>0</v>
      </c>
    </row>
    <row r="236" spans="1:36" s="234" customFormat="1" ht="21" thickBot="1">
      <c r="A236" s="551"/>
      <c r="B236" s="567"/>
      <c r="C236" s="553"/>
      <c r="D236" s="838"/>
      <c r="E236" s="617"/>
      <c r="F236" s="618"/>
      <c r="G236" s="618"/>
      <c r="H236" s="618"/>
      <c r="I236" s="619"/>
      <c r="J236" s="619"/>
      <c r="K236" s="681"/>
      <c r="L236" s="657"/>
      <c r="M236" s="658"/>
      <c r="N236" s="619"/>
      <c r="O236" s="619"/>
      <c r="P236" s="619"/>
      <c r="Q236" s="619"/>
      <c r="R236" s="619"/>
      <c r="S236" s="619"/>
      <c r="T236" s="769"/>
      <c r="U236" s="657"/>
      <c r="V236" s="658"/>
      <c r="W236" s="619"/>
      <c r="X236" s="619"/>
      <c r="Y236" s="619"/>
      <c r="Z236" s="619"/>
      <c r="AA236" s="619"/>
      <c r="AB236" s="619"/>
      <c r="AC236" s="681"/>
      <c r="AD236" s="774"/>
      <c r="AE236" s="682">
        <f t="shared" si="80"/>
        <v>0</v>
      </c>
      <c r="AF236" s="683"/>
      <c r="AG236" s="685"/>
      <c r="AH236" s="682">
        <f t="shared" si="65"/>
        <v>0</v>
      </c>
      <c r="AI236" s="847"/>
      <c r="AJ236" s="848">
        <f t="shared" si="66"/>
        <v>0</v>
      </c>
    </row>
    <row r="237" spans="1:36" s="234" customFormat="1" ht="21" thickBot="1">
      <c r="A237" s="551"/>
      <c r="B237" s="567"/>
      <c r="C237" s="553"/>
      <c r="D237" s="838"/>
      <c r="E237" s="617"/>
      <c r="F237" s="618"/>
      <c r="G237" s="618"/>
      <c r="H237" s="618"/>
      <c r="I237" s="619"/>
      <c r="J237" s="619"/>
      <c r="K237" s="681"/>
      <c r="L237" s="657"/>
      <c r="M237" s="658"/>
      <c r="N237" s="619"/>
      <c r="O237" s="619"/>
      <c r="P237" s="619"/>
      <c r="Q237" s="619"/>
      <c r="R237" s="619"/>
      <c r="S237" s="619"/>
      <c r="T237" s="769"/>
      <c r="U237" s="657"/>
      <c r="V237" s="658"/>
      <c r="W237" s="619"/>
      <c r="X237" s="619"/>
      <c r="Y237" s="619"/>
      <c r="Z237" s="619"/>
      <c r="AA237" s="619"/>
      <c r="AB237" s="619"/>
      <c r="AC237" s="681"/>
      <c r="AD237" s="774"/>
      <c r="AE237" s="682">
        <f t="shared" si="80"/>
        <v>0</v>
      </c>
      <c r="AF237" s="683"/>
      <c r="AG237" s="685"/>
      <c r="AH237" s="682">
        <f t="shared" ref="AH237:AH244" si="81">AE237+AF237+AG237</f>
        <v>0</v>
      </c>
      <c r="AI237" s="847"/>
      <c r="AJ237" s="848">
        <f t="shared" si="66"/>
        <v>0</v>
      </c>
    </row>
    <row r="238" spans="1:36" s="234" customFormat="1" ht="21" thickBot="1">
      <c r="A238" s="551"/>
      <c r="B238" s="567"/>
      <c r="C238" s="553"/>
      <c r="D238" s="838"/>
      <c r="E238" s="617"/>
      <c r="F238" s="618"/>
      <c r="G238" s="618"/>
      <c r="H238" s="618"/>
      <c r="I238" s="619"/>
      <c r="J238" s="619"/>
      <c r="K238" s="681"/>
      <c r="L238" s="657"/>
      <c r="M238" s="658"/>
      <c r="N238" s="619"/>
      <c r="O238" s="619"/>
      <c r="P238" s="619"/>
      <c r="Q238" s="619"/>
      <c r="R238" s="619"/>
      <c r="S238" s="619"/>
      <c r="T238" s="769"/>
      <c r="U238" s="657"/>
      <c r="V238" s="658"/>
      <c r="W238" s="619"/>
      <c r="X238" s="619"/>
      <c r="Y238" s="619"/>
      <c r="Z238" s="619"/>
      <c r="AA238" s="619"/>
      <c r="AB238" s="619"/>
      <c r="AC238" s="681"/>
      <c r="AD238" s="774"/>
      <c r="AE238" s="682">
        <f t="shared" si="80"/>
        <v>0</v>
      </c>
      <c r="AF238" s="683"/>
      <c r="AG238" s="685"/>
      <c r="AH238" s="682">
        <f t="shared" si="81"/>
        <v>0</v>
      </c>
      <c r="AI238" s="847"/>
      <c r="AJ238" s="848">
        <f t="shared" si="66"/>
        <v>0</v>
      </c>
    </row>
    <row r="239" spans="1:36" s="234" customFormat="1" ht="21" thickBot="1">
      <c r="A239" s="551"/>
      <c r="B239" s="567"/>
      <c r="C239" s="553"/>
      <c r="D239" s="838"/>
      <c r="E239" s="617"/>
      <c r="F239" s="618"/>
      <c r="G239" s="618"/>
      <c r="H239" s="618"/>
      <c r="I239" s="619"/>
      <c r="J239" s="619"/>
      <c r="K239" s="681"/>
      <c r="L239" s="657"/>
      <c r="M239" s="658"/>
      <c r="N239" s="619"/>
      <c r="O239" s="619"/>
      <c r="P239" s="619"/>
      <c r="Q239" s="619"/>
      <c r="R239" s="619"/>
      <c r="S239" s="619"/>
      <c r="T239" s="769"/>
      <c r="U239" s="657"/>
      <c r="V239" s="658"/>
      <c r="W239" s="619"/>
      <c r="X239" s="619"/>
      <c r="Y239" s="619"/>
      <c r="Z239" s="619"/>
      <c r="AA239" s="619"/>
      <c r="AB239" s="619"/>
      <c r="AC239" s="681"/>
      <c r="AD239" s="774"/>
      <c r="AE239" s="682">
        <f t="shared" si="76"/>
        <v>0</v>
      </c>
      <c r="AF239" s="683"/>
      <c r="AG239" s="685"/>
      <c r="AH239" s="682">
        <f t="shared" si="81"/>
        <v>0</v>
      </c>
      <c r="AI239" s="847"/>
      <c r="AJ239" s="848">
        <f t="shared" si="66"/>
        <v>0</v>
      </c>
    </row>
    <row r="240" spans="1:36" s="234" customFormat="1" ht="21" thickBot="1">
      <c r="A240" s="551"/>
      <c r="B240" s="567"/>
      <c r="C240" s="553"/>
      <c r="D240" s="838"/>
      <c r="E240" s="320"/>
      <c r="F240" s="320"/>
      <c r="G240" s="320"/>
      <c r="H240" s="320"/>
      <c r="I240" s="321"/>
      <c r="J240" s="321"/>
      <c r="K240" s="320"/>
      <c r="L240" s="657"/>
      <c r="M240" s="658"/>
      <c r="N240" s="619"/>
      <c r="O240" s="619"/>
      <c r="P240" s="619"/>
      <c r="Q240" s="619"/>
      <c r="R240" s="619"/>
      <c r="S240" s="619"/>
      <c r="T240" s="769"/>
      <c r="U240" s="657"/>
      <c r="V240" s="658"/>
      <c r="W240" s="619"/>
      <c r="X240" s="619"/>
      <c r="Y240" s="619"/>
      <c r="Z240" s="619"/>
      <c r="AA240" s="619"/>
      <c r="AB240" s="619"/>
      <c r="AC240" s="681"/>
      <c r="AD240" s="774"/>
      <c r="AE240" s="682">
        <f t="shared" si="76"/>
        <v>0</v>
      </c>
      <c r="AF240" s="683"/>
      <c r="AG240" s="685"/>
      <c r="AH240" s="682">
        <f t="shared" si="81"/>
        <v>0</v>
      </c>
      <c r="AI240" s="847"/>
      <c r="AJ240" s="848">
        <f t="shared" ref="AJ240:AJ244" si="82">AH240+AI240</f>
        <v>0</v>
      </c>
    </row>
    <row r="241" spans="1:39" s="234" customFormat="1" ht="21" thickBot="1">
      <c r="A241" s="551"/>
      <c r="B241" s="567"/>
      <c r="C241" s="553"/>
      <c r="D241" s="838"/>
      <c r="E241" s="320"/>
      <c r="F241" s="320"/>
      <c r="G241" s="320"/>
      <c r="H241" s="320"/>
      <c r="I241" s="321"/>
      <c r="J241" s="321"/>
      <c r="K241" s="320"/>
      <c r="L241" s="657"/>
      <c r="M241" s="658"/>
      <c r="N241" s="619"/>
      <c r="O241" s="619"/>
      <c r="P241" s="619"/>
      <c r="Q241" s="619"/>
      <c r="R241" s="619"/>
      <c r="S241" s="619"/>
      <c r="T241" s="769"/>
      <c r="U241" s="657"/>
      <c r="V241" s="658"/>
      <c r="W241" s="619"/>
      <c r="X241" s="619"/>
      <c r="Y241" s="619"/>
      <c r="Z241" s="619"/>
      <c r="AA241" s="619"/>
      <c r="AB241" s="619"/>
      <c r="AC241" s="681"/>
      <c r="AD241" s="774"/>
      <c r="AE241" s="682">
        <f t="shared" si="76"/>
        <v>0</v>
      </c>
      <c r="AF241" s="683"/>
      <c r="AG241" s="685"/>
      <c r="AH241" s="682">
        <f t="shared" si="81"/>
        <v>0</v>
      </c>
      <c r="AI241" s="847"/>
      <c r="AJ241" s="848">
        <f t="shared" si="82"/>
        <v>0</v>
      </c>
    </row>
    <row r="242" spans="1:39" ht="21" thickBot="1">
      <c r="A242" s="551"/>
      <c r="B242" s="567"/>
      <c r="C242" s="553"/>
      <c r="D242" s="839"/>
      <c r="E242" s="320"/>
      <c r="F242" s="320"/>
      <c r="G242" s="320"/>
      <c r="H242" s="320"/>
      <c r="I242" s="321"/>
      <c r="J242" s="321"/>
      <c r="K242" s="320"/>
      <c r="L242" s="657"/>
      <c r="M242" s="658"/>
      <c r="N242" s="619"/>
      <c r="O242" s="619"/>
      <c r="P242" s="619"/>
      <c r="Q242" s="619"/>
      <c r="R242" s="619"/>
      <c r="S242" s="619"/>
      <c r="T242" s="769"/>
      <c r="U242" s="657"/>
      <c r="V242" s="658"/>
      <c r="W242" s="619"/>
      <c r="X242" s="619"/>
      <c r="Y242" s="619"/>
      <c r="Z242" s="619"/>
      <c r="AA242" s="619"/>
      <c r="AB242" s="619"/>
      <c r="AC242" s="681"/>
      <c r="AD242" s="774"/>
      <c r="AE242" s="682">
        <f t="shared" si="76"/>
        <v>0</v>
      </c>
      <c r="AF242" s="683"/>
      <c r="AG242" s="685"/>
      <c r="AH242" s="682">
        <f t="shared" si="81"/>
        <v>0</v>
      </c>
      <c r="AI242" s="847"/>
      <c r="AJ242" s="848">
        <f t="shared" si="82"/>
        <v>0</v>
      </c>
    </row>
    <row r="243" spans="1:39" ht="21" thickBot="1">
      <c r="A243" s="551"/>
      <c r="B243" s="567"/>
      <c r="C243" s="553"/>
      <c r="D243" s="838"/>
      <c r="E243" s="320"/>
      <c r="F243" s="320"/>
      <c r="G243" s="320"/>
      <c r="H243" s="320"/>
      <c r="I243" s="321"/>
      <c r="J243" s="321"/>
      <c r="K243" s="320"/>
      <c r="L243" s="657"/>
      <c r="M243" s="658"/>
      <c r="N243" s="619"/>
      <c r="O243" s="619"/>
      <c r="P243" s="619"/>
      <c r="Q243" s="619"/>
      <c r="R243" s="619"/>
      <c r="S243" s="619"/>
      <c r="T243" s="769"/>
      <c r="U243" s="657"/>
      <c r="V243" s="658"/>
      <c r="W243" s="619"/>
      <c r="X243" s="619"/>
      <c r="Y243" s="619"/>
      <c r="Z243" s="619"/>
      <c r="AA243" s="619"/>
      <c r="AB243" s="619"/>
      <c r="AC243" s="681"/>
      <c r="AD243" s="774"/>
      <c r="AE243" s="682">
        <f t="shared" si="76"/>
        <v>0</v>
      </c>
      <c r="AF243" s="683"/>
      <c r="AG243" s="685"/>
      <c r="AH243" s="682">
        <f t="shared" si="81"/>
        <v>0</v>
      </c>
      <c r="AI243" s="847"/>
      <c r="AJ243" s="848">
        <f t="shared" si="82"/>
        <v>0</v>
      </c>
    </row>
    <row r="244" spans="1:39" s="284" customFormat="1" ht="21" thickBot="1">
      <c r="A244" s="551"/>
      <c r="B244" s="567"/>
      <c r="C244" s="553"/>
      <c r="D244" s="838"/>
      <c r="E244" s="618"/>
      <c r="F244" s="618"/>
      <c r="G244" s="618"/>
      <c r="H244" s="618"/>
      <c r="I244" s="619"/>
      <c r="J244" s="619"/>
      <c r="K244" s="618"/>
      <c r="L244" s="657"/>
      <c r="M244" s="658"/>
      <c r="N244" s="619"/>
      <c r="O244" s="619"/>
      <c r="P244" s="619"/>
      <c r="Q244" s="619"/>
      <c r="R244" s="619"/>
      <c r="S244" s="619"/>
      <c r="T244" s="769"/>
      <c r="U244" s="657"/>
      <c r="V244" s="658"/>
      <c r="W244" s="619"/>
      <c r="X244" s="619"/>
      <c r="Y244" s="619"/>
      <c r="Z244" s="619"/>
      <c r="AA244" s="619"/>
      <c r="AB244" s="619"/>
      <c r="AC244" s="681"/>
      <c r="AD244" s="774"/>
      <c r="AE244" s="682">
        <f t="shared" si="76"/>
        <v>0</v>
      </c>
      <c r="AF244" s="683"/>
      <c r="AG244" s="685"/>
      <c r="AH244" s="682">
        <f t="shared" si="81"/>
        <v>0</v>
      </c>
      <c r="AI244" s="847"/>
      <c r="AJ244" s="848">
        <f t="shared" si="82"/>
        <v>0</v>
      </c>
      <c r="AK244" s="403"/>
      <c r="AL244" s="403"/>
      <c r="AM244" s="403"/>
    </row>
    <row r="245" spans="1:39" s="282" customFormat="1" ht="21" thickBot="1">
      <c r="A245" s="526" t="s">
        <v>151</v>
      </c>
      <c r="B245" s="840"/>
      <c r="C245" s="840"/>
      <c r="D245" s="528"/>
      <c r="E245" s="529">
        <f t="shared" ref="E245:AC245" si="83">SUM(E174:E244)</f>
        <v>0</v>
      </c>
      <c r="F245" s="529">
        <f t="shared" si="83"/>
        <v>144</v>
      </c>
      <c r="G245" s="529">
        <f t="shared" si="83"/>
        <v>0</v>
      </c>
      <c r="H245" s="529">
        <f t="shared" si="83"/>
        <v>240</v>
      </c>
      <c r="I245" s="529">
        <f t="shared" si="83"/>
        <v>96</v>
      </c>
      <c r="J245" s="529">
        <f t="shared" si="83"/>
        <v>48</v>
      </c>
      <c r="K245" s="529">
        <f t="shared" si="83"/>
        <v>0</v>
      </c>
      <c r="L245" s="529">
        <f t="shared" si="83"/>
        <v>0</v>
      </c>
      <c r="M245" s="529">
        <f t="shared" si="83"/>
        <v>0</v>
      </c>
      <c r="N245" s="529">
        <f t="shared" si="83"/>
        <v>0</v>
      </c>
      <c r="O245" s="529">
        <f t="shared" si="83"/>
        <v>0</v>
      </c>
      <c r="P245" s="529">
        <f t="shared" si="83"/>
        <v>0</v>
      </c>
      <c r="Q245" s="529">
        <f t="shared" si="83"/>
        <v>0</v>
      </c>
      <c r="R245" s="529">
        <f t="shared" si="83"/>
        <v>0</v>
      </c>
      <c r="S245" s="529">
        <f t="shared" si="83"/>
        <v>0</v>
      </c>
      <c r="T245" s="529">
        <f t="shared" si="83"/>
        <v>0</v>
      </c>
      <c r="U245" s="529">
        <f t="shared" si="83"/>
        <v>0</v>
      </c>
      <c r="V245" s="529">
        <f t="shared" si="83"/>
        <v>276</v>
      </c>
      <c r="W245" s="529">
        <f t="shared" si="83"/>
        <v>744</v>
      </c>
      <c r="X245" s="529">
        <f t="shared" si="83"/>
        <v>756</v>
      </c>
      <c r="Y245" s="529">
        <f t="shared" si="83"/>
        <v>1068</v>
      </c>
      <c r="Z245" s="529">
        <f t="shared" si="83"/>
        <v>300</v>
      </c>
      <c r="AA245" s="529">
        <f t="shared" si="83"/>
        <v>564</v>
      </c>
      <c r="AB245" s="529">
        <f t="shared" si="83"/>
        <v>36</v>
      </c>
      <c r="AC245" s="529">
        <f t="shared" si="83"/>
        <v>0</v>
      </c>
      <c r="AD245" s="529"/>
      <c r="AE245" s="529">
        <f t="shared" ref="AE245:AJ245" si="84">SUM(AE174:AE244)</f>
        <v>4272</v>
      </c>
      <c r="AF245" s="529">
        <f t="shared" si="84"/>
        <v>0</v>
      </c>
      <c r="AG245" s="529">
        <f t="shared" si="84"/>
        <v>0</v>
      </c>
      <c r="AH245" s="529">
        <f t="shared" si="84"/>
        <v>4272</v>
      </c>
      <c r="AI245" s="529">
        <f t="shared" si="84"/>
        <v>0</v>
      </c>
      <c r="AJ245" s="529">
        <f t="shared" si="84"/>
        <v>4272</v>
      </c>
    </row>
    <row r="246" spans="1:39" s="283" customFormat="1" ht="21" thickBot="1">
      <c r="A246" s="530" t="s">
        <v>152</v>
      </c>
      <c r="B246" s="531"/>
      <c r="C246" s="531"/>
      <c r="D246" s="630"/>
      <c r="E246" s="533">
        <f>E245/12</f>
        <v>0</v>
      </c>
      <c r="F246" s="533">
        <f t="shared" ref="F246:AJ246" si="85">F245/12</f>
        <v>12</v>
      </c>
      <c r="G246" s="533">
        <f t="shared" si="85"/>
        <v>0</v>
      </c>
      <c r="H246" s="533">
        <f t="shared" si="85"/>
        <v>20</v>
      </c>
      <c r="I246" s="533">
        <f t="shared" si="85"/>
        <v>8</v>
      </c>
      <c r="J246" s="533">
        <f t="shared" si="85"/>
        <v>4</v>
      </c>
      <c r="K246" s="533">
        <f t="shared" si="85"/>
        <v>0</v>
      </c>
      <c r="L246" s="533">
        <f t="shared" si="85"/>
        <v>0</v>
      </c>
      <c r="M246" s="533">
        <f t="shared" si="85"/>
        <v>0</v>
      </c>
      <c r="N246" s="533">
        <f t="shared" si="85"/>
        <v>0</v>
      </c>
      <c r="O246" s="533">
        <f t="shared" si="85"/>
        <v>0</v>
      </c>
      <c r="P246" s="533">
        <f t="shared" si="85"/>
        <v>0</v>
      </c>
      <c r="Q246" s="533">
        <f t="shared" si="85"/>
        <v>0</v>
      </c>
      <c r="R246" s="533">
        <f t="shared" si="85"/>
        <v>0</v>
      </c>
      <c r="S246" s="533">
        <f t="shared" si="85"/>
        <v>0</v>
      </c>
      <c r="T246" s="533">
        <f t="shared" si="85"/>
        <v>0</v>
      </c>
      <c r="U246" s="533">
        <f t="shared" si="85"/>
        <v>0</v>
      </c>
      <c r="V246" s="533">
        <f t="shared" si="85"/>
        <v>23</v>
      </c>
      <c r="W246" s="533">
        <f t="shared" si="85"/>
        <v>62</v>
      </c>
      <c r="X246" s="533">
        <f t="shared" si="85"/>
        <v>63</v>
      </c>
      <c r="Y246" s="533">
        <f t="shared" si="85"/>
        <v>89</v>
      </c>
      <c r="Z246" s="533">
        <f t="shared" si="85"/>
        <v>25</v>
      </c>
      <c r="AA246" s="533">
        <f t="shared" si="85"/>
        <v>47</v>
      </c>
      <c r="AB246" s="533">
        <f t="shared" si="85"/>
        <v>3</v>
      </c>
      <c r="AC246" s="533">
        <f t="shared" si="85"/>
        <v>0</v>
      </c>
      <c r="AD246" s="533"/>
      <c r="AE246" s="533">
        <f t="shared" si="85"/>
        <v>356</v>
      </c>
      <c r="AF246" s="533">
        <f t="shared" si="85"/>
        <v>0</v>
      </c>
      <c r="AG246" s="533">
        <f t="shared" si="85"/>
        <v>0</v>
      </c>
      <c r="AH246" s="533">
        <f t="shared" si="85"/>
        <v>356</v>
      </c>
      <c r="AI246" s="533">
        <f t="shared" si="85"/>
        <v>0</v>
      </c>
      <c r="AJ246" s="533">
        <f t="shared" si="85"/>
        <v>356</v>
      </c>
    </row>
    <row r="247" spans="1:39" s="283" customFormat="1" ht="19.5" thickBot="1">
      <c r="A247" s="306"/>
      <c r="B247" s="307"/>
      <c r="C247" s="307"/>
      <c r="D247" s="308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346"/>
      <c r="V247" s="347"/>
      <c r="W247" s="347"/>
      <c r="X247" s="347"/>
      <c r="Y247" s="347"/>
      <c r="Z247" s="347"/>
      <c r="AA247" s="347"/>
      <c r="AB247" s="347"/>
      <c r="AC247" s="347"/>
      <c r="AD247" s="346"/>
      <c r="AE247" s="347"/>
      <c r="AF247" s="347"/>
      <c r="AG247" s="347"/>
      <c r="AH247" s="347"/>
      <c r="AI247" s="347"/>
      <c r="AJ247" s="402"/>
    </row>
    <row r="248" spans="1:39" s="283" customFormat="1" ht="19.5" customHeight="1" thickBot="1">
      <c r="A248" s="3881" t="s">
        <v>183</v>
      </c>
      <c r="B248" s="3882"/>
      <c r="C248" s="3883"/>
      <c r="D248" s="288" t="s">
        <v>70</v>
      </c>
      <c r="E248" s="80" t="s">
        <v>96</v>
      </c>
      <c r="F248" s="49" t="s">
        <v>190</v>
      </c>
      <c r="G248" s="49" t="s">
        <v>206</v>
      </c>
      <c r="H248" s="49" t="s">
        <v>53</v>
      </c>
      <c r="I248" s="49" t="s">
        <v>94</v>
      </c>
      <c r="J248" s="42" t="s">
        <v>461</v>
      </c>
      <c r="K248" s="49" t="s">
        <v>92</v>
      </c>
      <c r="L248" s="79"/>
      <c r="M248" s="743" t="s">
        <v>71</v>
      </c>
      <c r="N248" s="50" t="s">
        <v>72</v>
      </c>
      <c r="O248" s="48" t="s">
        <v>118</v>
      </c>
      <c r="P248" s="759" t="s">
        <v>95</v>
      </c>
      <c r="Q248" s="751" t="s">
        <v>75</v>
      </c>
      <c r="R248" s="744" t="s">
        <v>53</v>
      </c>
      <c r="S248" s="752" t="s">
        <v>77</v>
      </c>
      <c r="T248" s="763" t="s">
        <v>239</v>
      </c>
      <c r="U248" s="79"/>
      <c r="V248" s="841" t="s">
        <v>94</v>
      </c>
      <c r="W248" s="716" t="s">
        <v>136</v>
      </c>
      <c r="X248" s="744" t="s">
        <v>53</v>
      </c>
      <c r="Y248" s="747" t="s">
        <v>171</v>
      </c>
      <c r="Z248" s="102" t="s">
        <v>190</v>
      </c>
      <c r="AA248" s="101" t="s">
        <v>240</v>
      </c>
      <c r="AB248" s="799" t="s">
        <v>206</v>
      </c>
      <c r="AC248" s="717" t="s">
        <v>170</v>
      </c>
      <c r="AD248" s="79"/>
      <c r="AE248" s="371" t="s">
        <v>172</v>
      </c>
      <c r="AF248" s="372" t="s">
        <v>80</v>
      </c>
      <c r="AG248" s="385"/>
      <c r="AH248" s="386" t="s">
        <v>106</v>
      </c>
      <c r="AI248" s="385" t="s">
        <v>173</v>
      </c>
      <c r="AJ248" s="371" t="s">
        <v>108</v>
      </c>
    </row>
    <row r="249" spans="1:39" s="284" customFormat="1" ht="24.75" customHeight="1">
      <c r="A249" s="631"/>
      <c r="B249" s="443"/>
      <c r="C249" s="443"/>
      <c r="D249" s="444"/>
      <c r="E249" s="433"/>
      <c r="F249" s="434"/>
      <c r="G249" s="434"/>
      <c r="H249" s="434"/>
      <c r="I249" s="435"/>
      <c r="J249" s="435"/>
      <c r="K249" s="434"/>
      <c r="L249" s="483"/>
      <c r="M249" s="484"/>
      <c r="N249" s="435"/>
      <c r="O249" s="435"/>
      <c r="P249" s="435"/>
      <c r="Q249" s="435"/>
      <c r="R249" s="435"/>
      <c r="S249" s="435"/>
      <c r="T249" s="492"/>
      <c r="U249" s="483"/>
      <c r="V249" s="433"/>
      <c r="W249" s="434"/>
      <c r="X249" s="434"/>
      <c r="Y249" s="435"/>
      <c r="Z249" s="435"/>
      <c r="AA249" s="435"/>
      <c r="AB249" s="434"/>
      <c r="AC249" s="495"/>
      <c r="AD249" s="483"/>
      <c r="AE249" s="496">
        <f>SUM(E249:AC249)</f>
        <v>0</v>
      </c>
      <c r="AF249" s="497"/>
      <c r="AG249" s="510"/>
      <c r="AH249" s="511">
        <f>AE249+AF249</f>
        <v>0</v>
      </c>
      <c r="AI249" s="512"/>
      <c r="AJ249" s="703">
        <f>AH249+AI249</f>
        <v>0</v>
      </c>
      <c r="AK249" s="403"/>
      <c r="AL249" s="403"/>
      <c r="AM249" s="403"/>
    </row>
    <row r="250" spans="1:39" ht="21" thickBot="1">
      <c r="A250" s="322"/>
      <c r="B250" s="323"/>
      <c r="C250" s="323"/>
      <c r="D250" s="324"/>
      <c r="E250" s="325"/>
      <c r="F250" s="297"/>
      <c r="G250" s="297"/>
      <c r="H250" s="297"/>
      <c r="I250" s="298"/>
      <c r="J250" s="298"/>
      <c r="K250" s="297"/>
      <c r="L250" s="355"/>
      <c r="M250" s="343"/>
      <c r="N250" s="298"/>
      <c r="O250" s="298"/>
      <c r="P250" s="298"/>
      <c r="Q250" s="298"/>
      <c r="R250" s="298"/>
      <c r="S250" s="298"/>
      <c r="T250" s="367"/>
      <c r="U250" s="355"/>
      <c r="V250" s="325"/>
      <c r="W250" s="297"/>
      <c r="X250" s="297"/>
      <c r="Y250" s="298"/>
      <c r="Z250" s="298"/>
      <c r="AA250" s="298"/>
      <c r="AB250" s="297"/>
      <c r="AC250" s="375"/>
      <c r="AD250" s="355"/>
      <c r="AE250" s="377">
        <f>SUM(E250:AC250)</f>
        <v>0</v>
      </c>
      <c r="AF250" s="377"/>
      <c r="AG250" s="390"/>
      <c r="AH250" s="507">
        <f>AE250+AF250</f>
        <v>0</v>
      </c>
      <c r="AI250" s="412"/>
      <c r="AJ250" s="508">
        <f t="shared" ref="AJ250" si="86">AH250+AI250</f>
        <v>0</v>
      </c>
    </row>
    <row r="251" spans="1:39" ht="21" thickBot="1">
      <c r="A251" s="436"/>
      <c r="B251" s="437"/>
      <c r="C251" s="437"/>
      <c r="D251" s="438"/>
      <c r="E251" s="439">
        <f>SUM(E249:E250)</f>
        <v>0</v>
      </c>
      <c r="F251" s="439">
        <f t="shared" ref="F251:M251" si="87">SUM(F249:F250)</f>
        <v>0</v>
      </c>
      <c r="G251" s="439">
        <f t="shared" si="87"/>
        <v>0</v>
      </c>
      <c r="H251" s="439">
        <f t="shared" si="87"/>
        <v>0</v>
      </c>
      <c r="I251" s="439">
        <f t="shared" si="87"/>
        <v>0</v>
      </c>
      <c r="J251" s="439">
        <f t="shared" si="87"/>
        <v>0</v>
      </c>
      <c r="K251" s="439">
        <f t="shared" si="87"/>
        <v>0</v>
      </c>
      <c r="L251" s="439">
        <f t="shared" si="87"/>
        <v>0</v>
      </c>
      <c r="M251" s="439">
        <f t="shared" si="87"/>
        <v>0</v>
      </c>
      <c r="N251" s="439">
        <f t="shared" ref="N251:T251" si="88">SUM(N249:N250)</f>
        <v>0</v>
      </c>
      <c r="O251" s="439">
        <f t="shared" si="88"/>
        <v>0</v>
      </c>
      <c r="P251" s="439">
        <f t="shared" si="88"/>
        <v>0</v>
      </c>
      <c r="Q251" s="439">
        <f t="shared" si="88"/>
        <v>0</v>
      </c>
      <c r="R251" s="439">
        <f t="shared" si="88"/>
        <v>0</v>
      </c>
      <c r="S251" s="439">
        <f t="shared" si="88"/>
        <v>0</v>
      </c>
      <c r="T251" s="439">
        <f t="shared" si="88"/>
        <v>0</v>
      </c>
      <c r="U251" s="482"/>
      <c r="V251" s="439">
        <f t="shared" ref="V251:AC251" si="89">SUM(V249:V250)</f>
        <v>0</v>
      </c>
      <c r="W251" s="439">
        <f t="shared" si="89"/>
        <v>0</v>
      </c>
      <c r="X251" s="439">
        <f t="shared" si="89"/>
        <v>0</v>
      </c>
      <c r="Y251" s="439">
        <f t="shared" si="89"/>
        <v>0</v>
      </c>
      <c r="Z251" s="439">
        <f t="shared" si="89"/>
        <v>0</v>
      </c>
      <c r="AA251" s="439">
        <f t="shared" si="89"/>
        <v>0</v>
      </c>
      <c r="AB251" s="439">
        <f t="shared" si="89"/>
        <v>0</v>
      </c>
      <c r="AC251" s="439">
        <f t="shared" si="89"/>
        <v>0</v>
      </c>
      <c r="AD251" s="482"/>
      <c r="AE251" s="494">
        <f>SUM(AE249:AE250)</f>
        <v>0</v>
      </c>
      <c r="AF251" s="494">
        <f>SUM(AF249:AF250)</f>
        <v>0</v>
      </c>
      <c r="AG251" s="509"/>
      <c r="AH251" s="514">
        <f>SUM(AH249:AH250)</f>
        <v>0</v>
      </c>
      <c r="AI251" s="494">
        <f>SUM(AI249:AI250)</f>
        <v>0</v>
      </c>
      <c r="AJ251" s="515">
        <f>SUM(AJ249:AJ250)</f>
        <v>0</v>
      </c>
    </row>
    <row r="252" spans="1:39" ht="19.5" thickBot="1">
      <c r="A252" s="522"/>
      <c r="B252" s="523"/>
      <c r="C252" s="523"/>
      <c r="D252" s="524"/>
      <c r="E252" s="80" t="s">
        <v>96</v>
      </c>
      <c r="F252" s="49" t="s">
        <v>190</v>
      </c>
      <c r="G252" s="49" t="s">
        <v>206</v>
      </c>
      <c r="H252" s="49" t="s">
        <v>53</v>
      </c>
      <c r="I252" s="49" t="s">
        <v>94</v>
      </c>
      <c r="J252" s="42" t="s">
        <v>461</v>
      </c>
      <c r="K252" s="49" t="s">
        <v>92</v>
      </c>
      <c r="L252" s="572"/>
      <c r="M252" s="743" t="s">
        <v>71</v>
      </c>
      <c r="N252" s="50" t="s">
        <v>72</v>
      </c>
      <c r="O252" s="48" t="s">
        <v>118</v>
      </c>
      <c r="P252" s="759" t="s">
        <v>95</v>
      </c>
      <c r="Q252" s="751" t="s">
        <v>75</v>
      </c>
      <c r="R252" s="744" t="s">
        <v>53</v>
      </c>
      <c r="S252" s="752" t="s">
        <v>77</v>
      </c>
      <c r="T252" s="763" t="s">
        <v>239</v>
      </c>
      <c r="U252" s="572"/>
      <c r="V252" s="573"/>
      <c r="W252" s="573"/>
      <c r="X252" s="573"/>
      <c r="Y252" s="573"/>
      <c r="Z252" s="573"/>
      <c r="AA252" s="573"/>
      <c r="AB252" s="573"/>
      <c r="AC252" s="573"/>
      <c r="AD252" s="572"/>
      <c r="AE252" s="573"/>
      <c r="AF252" s="573"/>
      <c r="AG252" s="599"/>
      <c r="AH252" s="573"/>
      <c r="AI252" s="573"/>
      <c r="AJ252" s="600"/>
      <c r="AK252" s="1"/>
    </row>
    <row r="253" spans="1:39" ht="21" thickBot="1">
      <c r="A253" s="636" t="s">
        <v>185</v>
      </c>
      <c r="B253" s="637"/>
      <c r="C253" s="637"/>
      <c r="D253" s="638"/>
      <c r="E253" s="529">
        <f t="shared" ref="E253:AC253" si="90">E169-E245+E251</f>
        <v>0</v>
      </c>
      <c r="F253" s="529">
        <f t="shared" si="90"/>
        <v>60</v>
      </c>
      <c r="G253" s="529">
        <f t="shared" si="90"/>
        <v>24</v>
      </c>
      <c r="H253" s="529">
        <f t="shared" si="90"/>
        <v>144</v>
      </c>
      <c r="I253" s="529">
        <f t="shared" si="90"/>
        <v>24</v>
      </c>
      <c r="J253" s="529">
        <f t="shared" si="90"/>
        <v>144</v>
      </c>
      <c r="K253" s="529">
        <f t="shared" si="90"/>
        <v>0</v>
      </c>
      <c r="L253" s="529">
        <f t="shared" si="90"/>
        <v>0</v>
      </c>
      <c r="M253" s="529">
        <f t="shared" si="90"/>
        <v>0</v>
      </c>
      <c r="N253" s="529">
        <f t="shared" si="90"/>
        <v>0</v>
      </c>
      <c r="O253" s="529">
        <f t="shared" si="90"/>
        <v>0</v>
      </c>
      <c r="P253" s="529">
        <f t="shared" si="90"/>
        <v>0</v>
      </c>
      <c r="Q253" s="529">
        <f t="shared" si="90"/>
        <v>0</v>
      </c>
      <c r="R253" s="529">
        <f t="shared" si="90"/>
        <v>0</v>
      </c>
      <c r="S253" s="529">
        <f t="shared" si="90"/>
        <v>0</v>
      </c>
      <c r="T253" s="529">
        <f t="shared" si="90"/>
        <v>0</v>
      </c>
      <c r="U253" s="529">
        <f t="shared" si="90"/>
        <v>0</v>
      </c>
      <c r="V253" s="529">
        <f t="shared" si="90"/>
        <v>708</v>
      </c>
      <c r="W253" s="529">
        <f t="shared" si="90"/>
        <v>576</v>
      </c>
      <c r="X253" s="529">
        <f t="shared" si="90"/>
        <v>420</v>
      </c>
      <c r="Y253" s="529">
        <f t="shared" si="90"/>
        <v>912</v>
      </c>
      <c r="Z253" s="529">
        <f t="shared" si="90"/>
        <v>144</v>
      </c>
      <c r="AA253" s="529">
        <f t="shared" si="90"/>
        <v>708</v>
      </c>
      <c r="AB253" s="529">
        <f t="shared" si="90"/>
        <v>0</v>
      </c>
      <c r="AC253" s="529">
        <f t="shared" si="90"/>
        <v>0</v>
      </c>
      <c r="AD253" s="691"/>
      <c r="AE253" s="529">
        <f>AE169-AE245+AE251</f>
        <v>3864</v>
      </c>
      <c r="AF253" s="529">
        <f>AF169-AF245+AF251</f>
        <v>28</v>
      </c>
      <c r="AG253" s="529"/>
      <c r="AH253" s="529">
        <f>AH169-AH245+AH251</f>
        <v>3892</v>
      </c>
      <c r="AI253" s="529">
        <f>AI169-AI245+AI251</f>
        <v>103</v>
      </c>
      <c r="AJ253" s="529">
        <f>AJ169-AJ245+AJ251</f>
        <v>3995</v>
      </c>
    </row>
    <row r="254" spans="1:39" ht="21" thickBot="1">
      <c r="A254" s="640" t="s">
        <v>186</v>
      </c>
      <c r="B254" s="641"/>
      <c r="C254" s="641"/>
      <c r="D254" s="642"/>
      <c r="E254" s="529">
        <f>E253/12</f>
        <v>0</v>
      </c>
      <c r="F254" s="529">
        <f t="shared" ref="F254:AC254" si="91">F253/12</f>
        <v>5</v>
      </c>
      <c r="G254" s="529">
        <f t="shared" si="91"/>
        <v>2</v>
      </c>
      <c r="H254" s="529">
        <f t="shared" si="91"/>
        <v>12</v>
      </c>
      <c r="I254" s="529">
        <f t="shared" si="91"/>
        <v>2</v>
      </c>
      <c r="J254" s="529">
        <f t="shared" si="91"/>
        <v>12</v>
      </c>
      <c r="K254" s="529">
        <f t="shared" si="91"/>
        <v>0</v>
      </c>
      <c r="L254" s="529">
        <f t="shared" si="91"/>
        <v>0</v>
      </c>
      <c r="M254" s="529">
        <f t="shared" si="91"/>
        <v>0</v>
      </c>
      <c r="N254" s="529">
        <f t="shared" si="91"/>
        <v>0</v>
      </c>
      <c r="O254" s="529">
        <f t="shared" si="91"/>
        <v>0</v>
      </c>
      <c r="P254" s="529">
        <f t="shared" si="91"/>
        <v>0</v>
      </c>
      <c r="Q254" s="529">
        <f t="shared" si="91"/>
        <v>0</v>
      </c>
      <c r="R254" s="529">
        <f t="shared" si="91"/>
        <v>0</v>
      </c>
      <c r="S254" s="529">
        <f t="shared" si="91"/>
        <v>0</v>
      </c>
      <c r="T254" s="529">
        <f t="shared" si="91"/>
        <v>0</v>
      </c>
      <c r="U254" s="529">
        <f t="shared" si="91"/>
        <v>0</v>
      </c>
      <c r="V254" s="529">
        <f t="shared" si="91"/>
        <v>59</v>
      </c>
      <c r="W254" s="529">
        <f t="shared" si="91"/>
        <v>48</v>
      </c>
      <c r="X254" s="529">
        <f t="shared" si="91"/>
        <v>35</v>
      </c>
      <c r="Y254" s="529">
        <f t="shared" si="91"/>
        <v>76</v>
      </c>
      <c r="Z254" s="529">
        <f t="shared" si="91"/>
        <v>12</v>
      </c>
      <c r="AA254" s="529">
        <f t="shared" si="91"/>
        <v>59</v>
      </c>
      <c r="AB254" s="529">
        <f t="shared" si="91"/>
        <v>0</v>
      </c>
      <c r="AC254" s="529">
        <f t="shared" si="91"/>
        <v>0</v>
      </c>
      <c r="AD254" s="692"/>
      <c r="AE254" s="693">
        <f>AE253/12</f>
        <v>322</v>
      </c>
      <c r="AF254" s="693">
        <f>AF253/12</f>
        <v>2.3333333333333335</v>
      </c>
      <c r="AG254" s="851"/>
      <c r="AH254" s="693">
        <f>AH253/12</f>
        <v>324.33333333333331</v>
      </c>
      <c r="AI254" s="693">
        <f>AI253/12</f>
        <v>8.5833333333333339</v>
      </c>
      <c r="AJ254" s="693">
        <f>AJ253/12</f>
        <v>332.91666666666669</v>
      </c>
    </row>
    <row r="255" spans="1:39" ht="21" thickBot="1">
      <c r="A255" s="643" t="s">
        <v>156</v>
      </c>
      <c r="B255" s="644"/>
      <c r="C255" s="644"/>
      <c r="D255" s="645"/>
      <c r="E255" s="3885">
        <f>SUM(E254:K254)</f>
        <v>33</v>
      </c>
      <c r="F255" s="3886"/>
      <c r="G255" s="3886"/>
      <c r="H255" s="3886"/>
      <c r="I255" s="3886"/>
      <c r="J255" s="3886"/>
      <c r="K255" s="3886"/>
      <c r="L255" s="667"/>
      <c r="M255" s="3775">
        <f>SUM(M254:T254)</f>
        <v>0</v>
      </c>
      <c r="N255" s="3887"/>
      <c r="O255" s="3887"/>
      <c r="P255" s="3887"/>
      <c r="Q255" s="3887"/>
      <c r="R255" s="3887"/>
      <c r="S255" s="3887"/>
      <c r="T255" s="3884"/>
      <c r="U255" s="675"/>
      <c r="V255" s="3778">
        <f>SUM(V254:AC254)</f>
        <v>289</v>
      </c>
      <c r="W255" s="3779"/>
      <c r="X255" s="3779"/>
      <c r="Y255" s="3779"/>
      <c r="Z255" s="3779"/>
      <c r="AA255" s="3779"/>
      <c r="AB255" s="3779"/>
      <c r="AC255" s="3780"/>
      <c r="AD255" s="694"/>
      <c r="AE255" s="694"/>
      <c r="AF255" s="694"/>
      <c r="AG255" s="694"/>
      <c r="AH255" s="694"/>
      <c r="AI255" s="694"/>
      <c r="AJ255" s="707"/>
    </row>
    <row r="256" spans="1:39" ht="21" thickBot="1">
      <c r="A256" s="646" t="s">
        <v>157</v>
      </c>
      <c r="B256" s="647"/>
      <c r="C256" s="647"/>
      <c r="D256" s="648"/>
      <c r="E256" s="3875">
        <f>SUM(E253:K253)</f>
        <v>396</v>
      </c>
      <c r="F256" s="3876"/>
      <c r="G256" s="3876"/>
      <c r="H256" s="3876"/>
      <c r="I256" s="3876"/>
      <c r="J256" s="3876"/>
      <c r="K256" s="3876"/>
      <c r="L256" s="669"/>
      <c r="M256" s="3877">
        <f>SUM(M253:T253)</f>
        <v>0</v>
      </c>
      <c r="N256" s="3878"/>
      <c r="O256" s="3878"/>
      <c r="P256" s="3878"/>
      <c r="Q256" s="3878"/>
      <c r="R256" s="3878"/>
      <c r="S256" s="3878"/>
      <c r="T256" s="3879"/>
      <c r="U256" s="676"/>
      <c r="V256" s="3781">
        <f>SUM(V253:AC253)</f>
        <v>3468</v>
      </c>
      <c r="W256" s="3788"/>
      <c r="X256" s="3788"/>
      <c r="Y256" s="3788"/>
      <c r="Z256" s="3788"/>
      <c r="AA256" s="3788"/>
      <c r="AB256" s="3788"/>
      <c r="AC256" s="3880"/>
      <c r="AD256" s="688"/>
      <c r="AE256" s="689"/>
      <c r="AF256" s="673"/>
      <c r="AG256" s="673"/>
      <c r="AH256" s="689"/>
      <c r="AI256" s="689"/>
      <c r="AJ256" s="704"/>
    </row>
    <row r="257" spans="1:36">
      <c r="A257" s="634"/>
      <c r="B257" s="635"/>
      <c r="C257" s="635"/>
      <c r="D257" s="649"/>
      <c r="U257" s="634"/>
      <c r="V257" s="634"/>
      <c r="W257" s="634"/>
      <c r="X257" s="634"/>
      <c r="Y257" s="634"/>
      <c r="Z257" s="634"/>
      <c r="AA257" s="634"/>
      <c r="AB257" s="690"/>
      <c r="AC257" s="690"/>
      <c r="AD257" s="690"/>
      <c r="AE257" s="690"/>
      <c r="AF257" s="634"/>
      <c r="AG257" s="634"/>
      <c r="AH257" s="634"/>
      <c r="AI257" s="634"/>
      <c r="AJ257" s="634"/>
    </row>
    <row r="258" spans="1:36" ht="21" thickBot="1">
      <c r="A258" s="650"/>
      <c r="B258" s="651"/>
      <c r="C258" s="651"/>
      <c r="D258" s="650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4"/>
      <c r="P258" s="634"/>
      <c r="Q258" s="634"/>
      <c r="R258" s="634"/>
      <c r="S258" s="634"/>
      <c r="T258" s="634"/>
      <c r="U258" s="650"/>
      <c r="V258" s="650"/>
      <c r="W258" s="650"/>
      <c r="X258" s="650"/>
      <c r="Y258" s="650"/>
      <c r="Z258" s="650"/>
      <c r="AA258" s="650"/>
      <c r="AB258" s="650"/>
      <c r="AC258" s="650"/>
      <c r="AD258" s="650"/>
      <c r="AE258" s="650"/>
      <c r="AF258" s="650"/>
      <c r="AG258" s="650"/>
      <c r="AH258" s="650"/>
      <c r="AI258" s="650"/>
      <c r="AJ258" s="650"/>
    </row>
    <row r="259" spans="1:36" ht="27.75" thickBot="1">
      <c r="A259" s="634"/>
      <c r="B259" s="635"/>
      <c r="C259" s="635"/>
      <c r="D259" s="634"/>
      <c r="E259" s="650"/>
      <c r="F259" s="650"/>
      <c r="G259" s="650"/>
      <c r="H259" s="650"/>
      <c r="I259" s="650"/>
      <c r="J259" s="650"/>
      <c r="K259" s="650"/>
      <c r="L259" s="650"/>
      <c r="M259" s="650"/>
      <c r="N259" s="650"/>
      <c r="O259" s="650"/>
      <c r="P259" s="650"/>
      <c r="Q259" s="650"/>
      <c r="R259" s="650"/>
      <c r="S259" s="650"/>
      <c r="T259" s="650"/>
      <c r="U259" s="634"/>
      <c r="V259" s="634"/>
      <c r="W259" s="677"/>
      <c r="X259" s="3857" t="s">
        <v>158</v>
      </c>
      <c r="Y259" s="3858"/>
      <c r="Z259" s="3858"/>
      <c r="AA259" s="3858"/>
      <c r="AB259" s="3859"/>
      <c r="AC259" s="3802">
        <f>'BIG CHAIR'!CI325</f>
        <v>0</v>
      </c>
      <c r="AD259" s="3803"/>
      <c r="AE259" s="3804"/>
      <c r="AF259" s="634"/>
      <c r="AG259" s="634"/>
      <c r="AH259" s="634"/>
      <c r="AI259" s="634"/>
      <c r="AJ259" s="634"/>
    </row>
    <row r="260" spans="1:36" ht="27.75" thickBot="1">
      <c r="A260" s="634"/>
      <c r="B260" s="635"/>
      <c r="C260" s="635"/>
      <c r="D260" s="634"/>
      <c r="E260" s="634"/>
      <c r="F260" s="634"/>
      <c r="G260" s="634"/>
      <c r="H260" s="634"/>
      <c r="I260" s="634"/>
      <c r="J260" s="634"/>
      <c r="K260" s="634"/>
      <c r="L260" s="634"/>
      <c r="M260" s="634"/>
      <c r="N260" s="634"/>
      <c r="O260" s="634"/>
      <c r="P260" s="634"/>
      <c r="Q260" s="634"/>
      <c r="R260" s="634"/>
      <c r="S260" s="634"/>
      <c r="T260" s="634"/>
      <c r="U260" s="634"/>
      <c r="V260" s="634"/>
      <c r="W260" s="677"/>
      <c r="X260" s="3857" t="s">
        <v>159</v>
      </c>
      <c r="Y260" s="3858"/>
      <c r="Z260" s="3858"/>
      <c r="AA260" s="3858"/>
      <c r="AB260" s="3859"/>
      <c r="AC260" s="3872">
        <f>AE253</f>
        <v>3864</v>
      </c>
      <c r="AD260" s="3873"/>
      <c r="AE260" s="3874"/>
      <c r="AF260" s="634"/>
      <c r="AG260" s="634"/>
      <c r="AH260" s="634"/>
      <c r="AI260" s="634"/>
      <c r="AJ260" s="708"/>
    </row>
    <row r="261" spans="1:36" ht="27.75" thickBot="1">
      <c r="A261" s="634"/>
      <c r="B261" s="635"/>
      <c r="C261" s="635"/>
      <c r="D261" s="634"/>
      <c r="E261" s="634"/>
      <c r="F261" s="634"/>
      <c r="G261" s="634"/>
      <c r="H261" s="634"/>
      <c r="I261" s="634"/>
      <c r="J261" s="634"/>
      <c r="K261" s="634"/>
      <c r="L261" s="634"/>
      <c r="M261" s="634"/>
      <c r="N261" s="634"/>
      <c r="O261" s="634"/>
      <c r="P261" s="634"/>
      <c r="Q261" s="634"/>
      <c r="R261" s="634"/>
      <c r="S261" s="634"/>
      <c r="T261" s="634"/>
      <c r="U261" s="634"/>
      <c r="V261" s="634"/>
      <c r="W261" s="677"/>
      <c r="X261" s="3857" t="s">
        <v>160</v>
      </c>
      <c r="Y261" s="3858"/>
      <c r="Z261" s="3858"/>
      <c r="AA261" s="3858"/>
      <c r="AB261" s="3859"/>
      <c r="AC261" s="3802">
        <f>'BIG CHAIR'!CJ325</f>
        <v>0</v>
      </c>
      <c r="AD261" s="3803"/>
      <c r="AE261" s="3804"/>
      <c r="AF261" s="634"/>
      <c r="AG261" s="634"/>
      <c r="AH261" s="634"/>
      <c r="AI261" s="634"/>
      <c r="AJ261" s="634"/>
    </row>
    <row r="262" spans="1:36" ht="27.75" thickBot="1">
      <c r="A262" s="634"/>
      <c r="B262" s="635"/>
      <c r="C262" s="635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77"/>
      <c r="X262" s="3857" t="s">
        <v>161</v>
      </c>
      <c r="Y262" s="3858"/>
      <c r="Z262" s="3858"/>
      <c r="AA262" s="3858"/>
      <c r="AB262" s="3858"/>
      <c r="AC262" s="3872">
        <f>AF253</f>
        <v>28</v>
      </c>
      <c r="AD262" s="3803"/>
      <c r="AE262" s="3804"/>
      <c r="AF262" s="634"/>
      <c r="AG262" s="634"/>
      <c r="AH262" s="634"/>
      <c r="AI262" s="634"/>
      <c r="AJ262" s="634"/>
    </row>
    <row r="263" spans="1:36" ht="27.75" thickBot="1">
      <c r="A263" s="634"/>
      <c r="B263" s="635"/>
      <c r="C263" s="635"/>
      <c r="D263" s="634"/>
      <c r="E263" s="634"/>
      <c r="F263" s="634"/>
      <c r="G263" s="634"/>
      <c r="H263" s="634"/>
      <c r="I263" s="634"/>
      <c r="J263" s="634"/>
      <c r="K263" s="634"/>
      <c r="L263" s="634"/>
      <c r="M263" s="634"/>
      <c r="N263" s="634"/>
      <c r="O263" s="634"/>
      <c r="P263" s="634"/>
      <c r="Q263" s="634"/>
      <c r="R263" s="634"/>
      <c r="S263" s="634"/>
      <c r="T263" s="634"/>
      <c r="U263" s="634"/>
      <c r="V263" s="634"/>
      <c r="W263" s="677"/>
      <c r="X263" s="3857" t="s">
        <v>162</v>
      </c>
      <c r="Y263" s="3858"/>
      <c r="Z263" s="3858"/>
      <c r="AA263" s="3858"/>
      <c r="AB263" s="3859"/>
      <c r="AC263" s="3802">
        <f>'Tea Table'!U285</f>
        <v>2676</v>
      </c>
      <c r="AD263" s="3803"/>
      <c r="AE263" s="3804"/>
      <c r="AF263" s="634"/>
      <c r="AG263" s="634"/>
      <c r="AH263" s="634"/>
      <c r="AI263" s="634"/>
      <c r="AJ263" s="634"/>
    </row>
    <row r="264" spans="1:36" ht="27.75" thickBot="1">
      <c r="A264" s="634"/>
      <c r="B264" s="635"/>
      <c r="C264" s="635"/>
      <c r="D264" s="634"/>
      <c r="E264" s="634"/>
      <c r="F264" s="634"/>
      <c r="G264" s="634"/>
      <c r="H264" s="634"/>
      <c r="I264" s="634"/>
      <c r="J264" s="634"/>
      <c r="K264" s="634"/>
      <c r="L264" s="634"/>
      <c r="M264" s="634"/>
      <c r="N264" s="634"/>
      <c r="O264" s="634"/>
      <c r="P264" s="634"/>
      <c r="Q264" s="634"/>
      <c r="R264" s="634"/>
      <c r="S264" s="634"/>
      <c r="T264" s="634"/>
      <c r="U264" s="634"/>
      <c r="V264" s="634"/>
      <c r="W264" s="677"/>
      <c r="X264" s="3860" t="s">
        <v>163</v>
      </c>
      <c r="Y264" s="3861"/>
      <c r="Z264" s="3861"/>
      <c r="AA264" s="3861"/>
      <c r="AB264" s="3862"/>
      <c r="AC264" s="3863">
        <f>'Tea Table'!V285</f>
        <v>29</v>
      </c>
      <c r="AD264" s="3864"/>
      <c r="AE264" s="3865"/>
      <c r="AF264" s="634"/>
      <c r="AG264" s="634"/>
      <c r="AH264" s="634"/>
      <c r="AI264" s="634"/>
      <c r="AJ264" s="634"/>
    </row>
    <row r="265" spans="1:36" ht="28.5" thickTop="1" thickBot="1">
      <c r="A265" s="634"/>
      <c r="B265" s="635"/>
      <c r="C265" s="635"/>
      <c r="D265" s="634"/>
      <c r="E265" s="634"/>
      <c r="F265" s="634"/>
      <c r="G265" s="634"/>
      <c r="H265" s="63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4"/>
      <c r="S265" s="634"/>
      <c r="T265" s="634"/>
      <c r="U265" s="634"/>
      <c r="V265" s="634"/>
      <c r="W265" s="677"/>
      <c r="X265" s="3866"/>
      <c r="Y265" s="3867"/>
      <c r="Z265" s="3867"/>
      <c r="AA265" s="3867"/>
      <c r="AB265" s="3868"/>
      <c r="AC265" s="3869"/>
      <c r="AD265" s="3870"/>
      <c r="AE265" s="3871"/>
      <c r="AF265" s="634"/>
      <c r="AG265" s="634"/>
      <c r="AH265" s="634"/>
      <c r="AI265" s="634"/>
      <c r="AJ265" s="634"/>
    </row>
    <row r="266" spans="1:36" ht="27.75" thickBot="1">
      <c r="A266" s="634"/>
      <c r="B266" s="635"/>
      <c r="C266" s="635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4"/>
      <c r="P266" s="634"/>
      <c r="Q266" s="634"/>
      <c r="R266" s="634"/>
      <c r="S266" s="634"/>
      <c r="T266" s="634"/>
      <c r="U266" s="634"/>
      <c r="V266" s="634"/>
      <c r="W266" s="677"/>
      <c r="X266" s="3857" t="s">
        <v>164</v>
      </c>
      <c r="Y266" s="3858"/>
      <c r="Z266" s="3858"/>
      <c r="AA266" s="3858"/>
      <c r="AB266" s="3859"/>
      <c r="AC266" s="3796">
        <f>SUM(AC259:AE265)</f>
        <v>6597</v>
      </c>
      <c r="AD266" s="3797"/>
      <c r="AE266" s="3798"/>
      <c r="AF266" s="634"/>
      <c r="AG266" s="634"/>
      <c r="AH266" s="634"/>
      <c r="AI266" s="634"/>
      <c r="AJ266" s="634"/>
    </row>
    <row r="267" spans="1:36" ht="27.75" thickBot="1">
      <c r="A267" s="634"/>
      <c r="B267" s="635"/>
      <c r="C267" s="635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4"/>
      <c r="P267" s="634"/>
      <c r="Q267" s="634"/>
      <c r="R267" s="634"/>
      <c r="S267" s="634"/>
      <c r="T267" s="634"/>
      <c r="U267" s="634"/>
      <c r="V267" s="634"/>
      <c r="W267" s="677"/>
      <c r="X267" s="3857" t="s">
        <v>165</v>
      </c>
      <c r="Y267" s="3858"/>
      <c r="Z267" s="3858"/>
      <c r="AA267" s="3858"/>
      <c r="AB267" s="3859"/>
      <c r="AC267" s="3796">
        <f>AE254+'BIG CHAIR'!CI326+'Tea Table'!U286</f>
        <v>545</v>
      </c>
      <c r="AD267" s="3797"/>
      <c r="AE267" s="3798"/>
      <c r="AF267" s="695"/>
      <c r="AG267" s="695"/>
      <c r="AH267" s="695"/>
      <c r="AI267" s="634"/>
      <c r="AJ267" s="634"/>
    </row>
    <row r="268" spans="1:36">
      <c r="B268" s="652"/>
      <c r="C268" s="652"/>
      <c r="E268" s="634"/>
      <c r="F268" s="634"/>
      <c r="G268" s="634"/>
      <c r="H268" s="634"/>
      <c r="I268" s="634"/>
      <c r="J268" s="634"/>
      <c r="K268" s="634"/>
      <c r="L268" s="634"/>
      <c r="M268" s="634"/>
      <c r="N268" s="634"/>
      <c r="O268" s="634"/>
      <c r="P268" s="634"/>
      <c r="Q268" s="634"/>
      <c r="R268" s="634"/>
      <c r="S268" s="634"/>
      <c r="T268" s="634"/>
      <c r="AB268" s="696"/>
      <c r="AC268" s="696"/>
      <c r="AD268" s="696"/>
      <c r="AE268" s="696"/>
    </row>
    <row r="269" spans="1:36">
      <c r="B269" s="652"/>
      <c r="C269" s="652"/>
      <c r="AB269" s="696"/>
      <c r="AC269" s="696"/>
      <c r="AD269" s="696"/>
      <c r="AE269" s="696"/>
    </row>
    <row r="270" spans="1:36">
      <c r="B270" s="652"/>
      <c r="C270" s="652"/>
      <c r="AB270" s="696"/>
      <c r="AC270" s="696"/>
      <c r="AD270" s="696"/>
      <c r="AE270" s="696"/>
    </row>
    <row r="271" spans="1:36">
      <c r="B271" s="652"/>
      <c r="C271" s="652"/>
      <c r="AB271" s="696"/>
      <c r="AC271" s="696"/>
      <c r="AD271" s="696"/>
      <c r="AE271" s="696"/>
    </row>
    <row r="272" spans="1:36">
      <c r="B272" s="652"/>
      <c r="C272" s="652"/>
      <c r="AB272" s="696"/>
      <c r="AC272" s="696"/>
      <c r="AD272" s="696"/>
      <c r="AE272" s="696"/>
    </row>
    <row r="273" spans="2:31">
      <c r="B273" s="652"/>
      <c r="C273" s="652"/>
      <c r="AB273" s="696"/>
      <c r="AC273" s="696"/>
      <c r="AD273" s="696"/>
      <c r="AE273" s="696"/>
    </row>
    <row r="274" spans="2:31">
      <c r="B274" s="652"/>
      <c r="C274" s="652"/>
      <c r="AB274" s="696"/>
      <c r="AC274" s="696"/>
      <c r="AD274" s="696"/>
      <c r="AE274" s="696"/>
    </row>
    <row r="275" spans="2:31">
      <c r="B275" s="652"/>
      <c r="C275" s="652"/>
      <c r="AB275" s="696"/>
      <c r="AC275" s="696"/>
      <c r="AD275" s="696"/>
      <c r="AE275" s="696"/>
    </row>
    <row r="276" spans="2:31">
      <c r="B276" s="652"/>
      <c r="C276" s="652"/>
      <c r="AB276" s="696"/>
      <c r="AC276" s="696"/>
      <c r="AD276" s="696"/>
      <c r="AE276" s="696"/>
    </row>
    <row r="277" spans="2:31">
      <c r="B277" s="652"/>
      <c r="C277" s="652"/>
      <c r="AB277" s="696"/>
      <c r="AC277" s="696"/>
      <c r="AD277" s="696"/>
      <c r="AE277" s="696"/>
    </row>
    <row r="278" spans="2:31">
      <c r="B278" s="652"/>
      <c r="C278" s="652"/>
      <c r="AB278" s="696"/>
      <c r="AC278" s="696"/>
      <c r="AD278" s="696"/>
      <c r="AE278" s="696"/>
    </row>
    <row r="279" spans="2:31">
      <c r="B279" s="652"/>
      <c r="C279" s="652"/>
      <c r="AB279" s="696"/>
      <c r="AC279" s="696"/>
      <c r="AD279" s="696"/>
      <c r="AE279" s="696"/>
    </row>
    <row r="280" spans="2:31">
      <c r="B280" s="652"/>
      <c r="C280" s="652"/>
      <c r="AB280" s="696"/>
      <c r="AC280" s="696"/>
      <c r="AD280" s="696"/>
      <c r="AE280" s="696"/>
    </row>
    <row r="281" spans="2:31">
      <c r="B281" s="652"/>
      <c r="C281" s="652"/>
      <c r="AB281" s="696"/>
      <c r="AC281" s="696"/>
      <c r="AD281" s="696"/>
      <c r="AE281" s="696"/>
    </row>
    <row r="282" spans="2:31">
      <c r="B282" s="652"/>
      <c r="C282" s="652"/>
      <c r="AB282" s="696"/>
      <c r="AC282" s="696"/>
      <c r="AD282" s="696"/>
      <c r="AE282" s="696"/>
    </row>
    <row r="283" spans="2:31">
      <c r="B283" s="652"/>
      <c r="C283" s="652"/>
      <c r="AB283" s="696"/>
      <c r="AC283" s="696"/>
      <c r="AD283" s="696"/>
      <c r="AE283" s="696"/>
    </row>
    <row r="284" spans="2:31">
      <c r="B284" s="652"/>
      <c r="C284" s="652"/>
      <c r="AB284" s="696"/>
      <c r="AC284" s="696"/>
      <c r="AD284" s="696"/>
      <c r="AE284" s="696"/>
    </row>
    <row r="285" spans="2:31">
      <c r="B285" s="652"/>
      <c r="C285" s="652"/>
      <c r="AB285" s="696"/>
      <c r="AC285" s="696"/>
      <c r="AD285" s="696"/>
      <c r="AE285" s="696"/>
    </row>
  </sheetData>
  <mergeCells count="36">
    <mergeCell ref="A2:D2"/>
    <mergeCell ref="E2:K2"/>
    <mergeCell ref="M2:T2"/>
    <mergeCell ref="V2:AC2"/>
    <mergeCell ref="AE2:AJ2"/>
    <mergeCell ref="A171:AJ171"/>
    <mergeCell ref="A172:D172"/>
    <mergeCell ref="E172:K172"/>
    <mergeCell ref="M172:T172"/>
    <mergeCell ref="V172:AC172"/>
    <mergeCell ref="AE172:AJ172"/>
    <mergeCell ref="A248:C248"/>
    <mergeCell ref="E255:K255"/>
    <mergeCell ref="M255:T255"/>
    <mergeCell ref="V255:AC255"/>
    <mergeCell ref="E256:K256"/>
    <mergeCell ref="M256:T256"/>
    <mergeCell ref="V256:AC256"/>
    <mergeCell ref="X259:AB259"/>
    <mergeCell ref="AC259:AE259"/>
    <mergeCell ref="X260:AB260"/>
    <mergeCell ref="AC260:AE260"/>
    <mergeCell ref="X261:AB261"/>
    <mergeCell ref="AC261:AE261"/>
    <mergeCell ref="X262:AB262"/>
    <mergeCell ref="AC262:AE262"/>
    <mergeCell ref="X263:AB263"/>
    <mergeCell ref="AC263:AE263"/>
    <mergeCell ref="X264:AB264"/>
    <mergeCell ref="AC264:AE264"/>
    <mergeCell ref="X265:AB265"/>
    <mergeCell ref="AC265:AE265"/>
    <mergeCell ref="X266:AB266"/>
    <mergeCell ref="AC266:AE266"/>
    <mergeCell ref="X267:AB267"/>
    <mergeCell ref="AC267:AE267"/>
  </mergeCells>
  <pageMargins left="0.69930555555555596" right="0.69930555555555596" top="0.75" bottom="0.75" header="0.3" footer="0.3"/>
  <pageSetup orientation="portrait" r:id="rId1"/>
  <ignoredErrors>
    <ignoredError sqref="AE175" formula="1"/>
    <ignoredError sqref="AE174 AE180:AE181 AE176:AE179" formulaRange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82"/>
  <sheetViews>
    <sheetView topLeftCell="N1" zoomScale="112" zoomScaleNormal="112" workbookViewId="0">
      <pane ySplit="4" topLeftCell="A171" activePane="bottomLeft" state="frozen"/>
      <selection activeCell="A181" sqref="A181"/>
      <selection pane="bottomLeft" activeCell="W179" sqref="W179"/>
    </sheetView>
  </sheetViews>
  <sheetFormatPr defaultColWidth="9" defaultRowHeight="15"/>
  <cols>
    <col min="1" max="1" width="58.42578125" customWidth="1"/>
    <col min="2" max="2" width="19.28515625" style="276" customWidth="1"/>
    <col min="3" max="3" width="14.140625" style="276" customWidth="1"/>
    <col min="4" max="4" width="20.85546875" customWidth="1"/>
    <col min="5" max="8" width="11.5703125" customWidth="1"/>
    <col min="9" max="9" width="13" bestFit="1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7" width="11.5703125" customWidth="1"/>
    <col min="18" max="18" width="14" customWidth="1"/>
    <col min="19" max="19" width="11.5703125" customWidth="1"/>
    <col min="20" max="20" width="15.140625" customWidth="1"/>
    <col min="21" max="21" width="1.5703125" customWidth="1"/>
    <col min="22" max="22" width="15.7109375" customWidth="1"/>
    <col min="23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234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/>
      <c r="F2" s="3892"/>
      <c r="G2" s="3892"/>
      <c r="H2" s="3892"/>
      <c r="I2" s="3892"/>
      <c r="J2" s="3892"/>
      <c r="K2" s="3904"/>
      <c r="L2" s="336"/>
      <c r="M2" s="3893" t="s">
        <v>236</v>
      </c>
      <c r="N2" s="3894"/>
      <c r="O2" s="3894"/>
      <c r="P2" s="3894"/>
      <c r="Q2" s="3894"/>
      <c r="R2" s="3894"/>
      <c r="S2" s="3894"/>
      <c r="T2" s="3895"/>
      <c r="U2" s="364"/>
      <c r="V2" s="3893" t="s">
        <v>237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2697" t="s">
        <v>190</v>
      </c>
      <c r="F3" s="2698" t="s">
        <v>222</v>
      </c>
      <c r="G3" s="2698" t="s">
        <v>94</v>
      </c>
      <c r="H3" s="2701" t="s">
        <v>482</v>
      </c>
      <c r="I3" s="2701" t="s">
        <v>541</v>
      </c>
      <c r="J3" s="2701" t="s">
        <v>464</v>
      </c>
      <c r="K3" s="2702" t="s">
        <v>53</v>
      </c>
      <c r="L3" s="2699"/>
      <c r="M3" s="2697" t="s">
        <v>85</v>
      </c>
      <c r="N3" s="2698" t="s">
        <v>190</v>
      </c>
      <c r="O3" s="2698" t="s">
        <v>73</v>
      </c>
      <c r="P3" s="2698" t="s">
        <v>53</v>
      </c>
      <c r="Q3" s="2698" t="s">
        <v>86</v>
      </c>
      <c r="R3" s="2698" t="s">
        <v>94</v>
      </c>
      <c r="S3" s="2702" t="s">
        <v>96</v>
      </c>
      <c r="T3" s="2700" t="s">
        <v>533</v>
      </c>
      <c r="U3" s="2699"/>
      <c r="V3" s="2697" t="s">
        <v>551</v>
      </c>
      <c r="W3" s="2698" t="s">
        <v>547</v>
      </c>
      <c r="X3" s="2698" t="s">
        <v>539</v>
      </c>
      <c r="Y3" s="2698"/>
      <c r="Z3" s="2698" t="s">
        <v>549</v>
      </c>
      <c r="AA3" s="2698" t="s">
        <v>53</v>
      </c>
      <c r="AB3" s="2702"/>
      <c r="AC3" s="2700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/>
      <c r="G4" s="293">
        <f>2*12</f>
        <v>24</v>
      </c>
      <c r="H4" s="293"/>
      <c r="I4" s="337">
        <f>26*12</f>
        <v>312</v>
      </c>
      <c r="J4" s="337"/>
      <c r="K4" s="338">
        <f>1*12</f>
        <v>12</v>
      </c>
      <c r="L4" s="339"/>
      <c r="M4" s="340"/>
      <c r="N4" s="293"/>
      <c r="O4" s="337">
        <f>15*12</f>
        <v>180</v>
      </c>
      <c r="P4" s="337">
        <f>53*12</f>
        <v>636</v>
      </c>
      <c r="Q4" s="337"/>
      <c r="R4" s="337"/>
      <c r="S4" s="365"/>
      <c r="T4" s="338">
        <f>1*12</f>
        <v>12</v>
      </c>
      <c r="U4" s="339"/>
      <c r="V4" s="366">
        <f>36*12+33*12</f>
        <v>828</v>
      </c>
      <c r="W4" s="293">
        <f>1*12</f>
        <v>12</v>
      </c>
      <c r="X4" s="293">
        <f>9*12</f>
        <v>108</v>
      </c>
      <c r="Y4" s="337"/>
      <c r="Z4" s="337"/>
      <c r="AA4" s="337">
        <f>56*12</f>
        <v>672</v>
      </c>
      <c r="AB4" s="293"/>
      <c r="AC4" s="338"/>
      <c r="AD4" s="339"/>
      <c r="AE4" s="373">
        <f>SUM(E4:AC4)</f>
        <v>2796</v>
      </c>
      <c r="AF4" s="373"/>
      <c r="AG4" s="373"/>
      <c r="AH4" s="373">
        <f>AE4+AF4</f>
        <v>2796</v>
      </c>
      <c r="AI4" s="373"/>
      <c r="AJ4" s="373">
        <f>SUM(E4:AC4)</f>
        <v>2796</v>
      </c>
    </row>
    <row r="5" spans="1:39" s="283" customFormat="1" ht="20.25">
      <c r="A5" s="294" t="s">
        <v>110</v>
      </c>
      <c r="B5" s="299"/>
      <c r="C5" s="299"/>
      <c r="D5" s="709">
        <v>46116</v>
      </c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>
        <f>13*12</f>
        <v>156</v>
      </c>
      <c r="AA5" s="298"/>
      <c r="AB5" s="297"/>
      <c r="AC5" s="375"/>
      <c r="AD5" s="355"/>
      <c r="AE5" s="376">
        <f t="shared" ref="AE5:AE7" si="0">SUM(E5:AC5)</f>
        <v>156</v>
      </c>
      <c r="AF5" s="377"/>
      <c r="AG5" s="390"/>
      <c r="AH5" s="391">
        <f>AE5+AF5</f>
        <v>156</v>
      </c>
      <c r="AI5" s="392">
        <v>24</v>
      </c>
      <c r="AJ5" s="393">
        <f>AH5+AI5</f>
        <v>180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709">
        <v>46121</v>
      </c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>
        <f>21*12</f>
        <v>252</v>
      </c>
      <c r="AA6" s="298"/>
      <c r="AB6" s="297"/>
      <c r="AC6" s="375"/>
      <c r="AD6" s="355"/>
      <c r="AE6" s="376">
        <f t="shared" si="0"/>
        <v>252</v>
      </c>
      <c r="AF6" s="377">
        <v>3</v>
      </c>
      <c r="AG6" s="390"/>
      <c r="AH6" s="391">
        <f t="shared" ref="AH6:AH19" si="1">AE6+AF6</f>
        <v>255</v>
      </c>
      <c r="AI6" s="392">
        <v>17</v>
      </c>
      <c r="AJ6" s="393">
        <f t="shared" ref="AJ6:AJ7" si="2">AH6+AI6</f>
        <v>272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300">
        <v>46091</v>
      </c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>
        <f>18*12</f>
        <v>216</v>
      </c>
      <c r="AA7" s="298"/>
      <c r="AB7" s="297"/>
      <c r="AC7" s="375"/>
      <c r="AD7" s="355"/>
      <c r="AE7" s="376">
        <f t="shared" si="0"/>
        <v>216</v>
      </c>
      <c r="AF7" s="377"/>
      <c r="AG7" s="390"/>
      <c r="AH7" s="391">
        <f t="shared" si="1"/>
        <v>216</v>
      </c>
      <c r="AI7" s="392">
        <v>11</v>
      </c>
      <c r="AJ7" s="393">
        <f t="shared" si="2"/>
        <v>227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ref="AE8" si="3">SUM(E8:AC8)</f>
        <v>0</v>
      </c>
      <c r="AF8" s="377"/>
      <c r="AG8" s="390"/>
      <c r="AH8" s="391">
        <f t="shared" si="1"/>
        <v>0</v>
      </c>
      <c r="AI8" s="392"/>
      <c r="AJ8" s="393">
        <f t="shared" ref="AJ8:AJ13" si="4">AH8+AI8</f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ref="AE9:AE11" si="5">SUM(E9:AC9)</f>
        <v>0</v>
      </c>
      <c r="AF9" s="377"/>
      <c r="AG9" s="390"/>
      <c r="AH9" s="391">
        <f t="shared" si="1"/>
        <v>0</v>
      </c>
      <c r="AI9" s="392"/>
      <c r="AJ9" s="393">
        <f t="shared" si="4"/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5"/>
        <v>0</v>
      </c>
      <c r="AF10" s="377"/>
      <c r="AG10" s="390"/>
      <c r="AH10" s="391">
        <f t="shared" si="1"/>
        <v>0</v>
      </c>
      <c r="AI10" s="392"/>
      <c r="AJ10" s="393">
        <f t="shared" si="4"/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5"/>
        <v>0</v>
      </c>
      <c r="AF11" s="377"/>
      <c r="AG11" s="390"/>
      <c r="AH11" s="391">
        <f t="shared" si="1"/>
        <v>0</v>
      </c>
      <c r="AI11" s="392"/>
      <c r="AJ11" s="393">
        <f t="shared" si="4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ref="AE12:AE19" si="6">SUM(E12:AC12)</f>
        <v>0</v>
      </c>
      <c r="AF12" s="377"/>
      <c r="AG12" s="390"/>
      <c r="AH12" s="391">
        <f t="shared" si="1"/>
        <v>0</v>
      </c>
      <c r="AI12" s="392"/>
      <c r="AJ12" s="393">
        <f t="shared" si="4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6"/>
        <v>0</v>
      </c>
      <c r="AF13" s="377"/>
      <c r="AG13" s="390"/>
      <c r="AH13" s="391">
        <f t="shared" si="1"/>
        <v>0</v>
      </c>
      <c r="AI13" s="392"/>
      <c r="AJ13" s="393">
        <f t="shared" si="4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ref="AE14" si="7">SUM(E14:AC14)</f>
        <v>0</v>
      </c>
      <c r="AF14" s="377"/>
      <c r="AG14" s="390"/>
      <c r="AH14" s="391">
        <f t="shared" si="1"/>
        <v>0</v>
      </c>
      <c r="AI14" s="392"/>
      <c r="AJ14" s="393">
        <f t="shared" ref="AJ14:AJ19" si="8">AH14+AI14</f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6"/>
        <v>0</v>
      </c>
      <c r="AF15" s="377"/>
      <c r="AG15" s="390"/>
      <c r="AH15" s="391">
        <f t="shared" si="1"/>
        <v>0</v>
      </c>
      <c r="AI15" s="392"/>
      <c r="AJ15" s="393">
        <f t="shared" si="8"/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6"/>
        <v>0</v>
      </c>
      <c r="AF16" s="377"/>
      <c r="AG16" s="390"/>
      <c r="AH16" s="391">
        <f t="shared" si="1"/>
        <v>0</v>
      </c>
      <c r="AI16" s="392"/>
      <c r="AJ16" s="393">
        <f t="shared" si="8"/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6"/>
        <v>0</v>
      </c>
      <c r="AF17" s="377"/>
      <c r="AG17" s="390"/>
      <c r="AH17" s="391">
        <f t="shared" si="1"/>
        <v>0</v>
      </c>
      <c r="AI17" s="392"/>
      <c r="AJ17" s="393">
        <f t="shared" si="8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6"/>
        <v>0</v>
      </c>
      <c r="AF18" s="377"/>
      <c r="AG18" s="390"/>
      <c r="AH18" s="391">
        <f t="shared" si="1"/>
        <v>0</v>
      </c>
      <c r="AI18" s="392"/>
      <c r="AJ18" s="393">
        <f t="shared" si="8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6"/>
        <v>0</v>
      </c>
      <c r="AF19" s="377"/>
      <c r="AG19" s="390"/>
      <c r="AH19" s="391">
        <f t="shared" si="1"/>
        <v>0</v>
      </c>
      <c r="AI19" s="392"/>
      <c r="AJ19" s="393">
        <f t="shared" si="8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ref="AE20:AE21" si="9">SUM(E20:AC20)</f>
        <v>0</v>
      </c>
      <c r="AF20" s="377"/>
      <c r="AG20" s="390"/>
      <c r="AH20" s="391">
        <f t="shared" ref="AH20:AH21" si="10">AE20+AF20</f>
        <v>0</v>
      </c>
      <c r="AI20" s="392"/>
      <c r="AJ20" s="393">
        <f t="shared" ref="AJ20:AJ21" si="11">AH20+AI20</f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9"/>
        <v>0</v>
      </c>
      <c r="AF21" s="377"/>
      <c r="AG21" s="390"/>
      <c r="AH21" s="391">
        <f t="shared" si="10"/>
        <v>0</v>
      </c>
      <c r="AI21" s="392"/>
      <c r="AJ21" s="393">
        <f t="shared" si="11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ref="AE22" si="12">SUM(E22:AC22)</f>
        <v>0</v>
      </c>
      <c r="AF22" s="377"/>
      <c r="AG22" s="390"/>
      <c r="AH22" s="391">
        <f t="shared" ref="AH22" si="13">AE22+AF22</f>
        <v>0</v>
      </c>
      <c r="AI22" s="392"/>
      <c r="AJ22" s="393">
        <f t="shared" ref="AJ22:AJ27" si="14">AH22+AI22</f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ref="AE23:AE24" si="15">SUM(E23:AC23)</f>
        <v>0</v>
      </c>
      <c r="AF23" s="377"/>
      <c r="AG23" s="390"/>
      <c r="AH23" s="391">
        <f t="shared" ref="AH23:AH24" si="16">AE23+AF23</f>
        <v>0</v>
      </c>
      <c r="AI23" s="392"/>
      <c r="AJ23" s="393">
        <f t="shared" si="14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15"/>
        <v>0</v>
      </c>
      <c r="AF24" s="377"/>
      <c r="AG24" s="390"/>
      <c r="AH24" s="391">
        <f t="shared" si="16"/>
        <v>0</v>
      </c>
      <c r="AI24" s="392"/>
      <c r="AJ24" s="393">
        <f t="shared" si="14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ref="AE25:AE26" si="17">SUM(E25:AC25)</f>
        <v>0</v>
      </c>
      <c r="AF25" s="377"/>
      <c r="AG25" s="390"/>
      <c r="AH25" s="391">
        <f t="shared" ref="AH25" si="18">AE25+AF25</f>
        <v>0</v>
      </c>
      <c r="AI25" s="392"/>
      <c r="AJ25" s="393">
        <f t="shared" si="14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17"/>
        <v>0</v>
      </c>
      <c r="AF26" s="377"/>
      <c r="AG26" s="390"/>
      <c r="AH26" s="391">
        <f t="shared" ref="AH26:AH30" si="19">AE26+AF26</f>
        <v>0</v>
      </c>
      <c r="AI26" s="392"/>
      <c r="AJ26" s="393">
        <f t="shared" si="14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ref="AE27:AE29" si="20">SUM(E27:AC27)</f>
        <v>0</v>
      </c>
      <c r="AF27" s="377"/>
      <c r="AG27" s="390"/>
      <c r="AH27" s="391">
        <f t="shared" si="19"/>
        <v>0</v>
      </c>
      <c r="AI27" s="392"/>
      <c r="AJ27" s="393">
        <f t="shared" si="14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20"/>
        <v>0</v>
      </c>
      <c r="AF28" s="377"/>
      <c r="AG28" s="390"/>
      <c r="AH28" s="391">
        <f t="shared" si="19"/>
        <v>0</v>
      </c>
      <c r="AI28" s="392"/>
      <c r="AJ28" s="393">
        <f t="shared" ref="AJ28:AJ30" si="21">AH28+AI28</f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20"/>
        <v>0</v>
      </c>
      <c r="AF29" s="377"/>
      <c r="AG29" s="390"/>
      <c r="AH29" s="391">
        <f t="shared" si="19"/>
        <v>0</v>
      </c>
      <c r="AI29" s="392"/>
      <c r="AJ29" s="393">
        <f t="shared" si="21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ref="AE30:AE31" si="22">SUM(E30:AC30)</f>
        <v>0</v>
      </c>
      <c r="AF30" s="377"/>
      <c r="AG30" s="390"/>
      <c r="AH30" s="391">
        <f t="shared" si="19"/>
        <v>0</v>
      </c>
      <c r="AI30" s="392"/>
      <c r="AJ30" s="393">
        <f t="shared" si="21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22"/>
        <v>0</v>
      </c>
      <c r="AF31" s="377"/>
      <c r="AG31" s="390"/>
      <c r="AH31" s="391">
        <f t="shared" ref="AH31" si="23">AE31+AF31</f>
        <v>0</v>
      </c>
      <c r="AI31" s="392"/>
      <c r="AJ31" s="393">
        <f t="shared" ref="AJ31:AJ33" si="24">AH31+AI31</f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ref="AE32:AE34" si="25">SUM(E32:AC32)</f>
        <v>0</v>
      </c>
      <c r="AF32" s="377"/>
      <c r="AG32" s="390"/>
      <c r="AH32" s="391">
        <f t="shared" ref="AH32:AH34" si="26">AE32+AF32</f>
        <v>0</v>
      </c>
      <c r="AI32" s="392"/>
      <c r="AJ32" s="393">
        <f t="shared" si="24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25"/>
        <v>0</v>
      </c>
      <c r="AF33" s="377"/>
      <c r="AG33" s="390"/>
      <c r="AH33" s="391">
        <f t="shared" si="26"/>
        <v>0</v>
      </c>
      <c r="AI33" s="392"/>
      <c r="AJ33" s="393">
        <f t="shared" si="24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25"/>
        <v>0</v>
      </c>
      <c r="AF34" s="377"/>
      <c r="AG34" s="390"/>
      <c r="AH34" s="391">
        <f t="shared" si="26"/>
        <v>0</v>
      </c>
      <c r="AI34" s="392"/>
      <c r="AJ34" s="393">
        <f t="shared" ref="AJ34:AJ35" si="27">AH34+AI34</f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ref="AE35" si="28">SUM(E35:AC35)</f>
        <v>0</v>
      </c>
      <c r="AF35" s="377"/>
      <c r="AG35" s="390"/>
      <c r="AH35" s="391">
        <f t="shared" ref="AH35" si="29">AE35+AF35</f>
        <v>0</v>
      </c>
      <c r="AI35" s="392"/>
      <c r="AJ35" s="393">
        <f t="shared" si="27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ref="AE36" si="30">SUM(E36:AC36)</f>
        <v>0</v>
      </c>
      <c r="AF36" s="377"/>
      <c r="AG36" s="390"/>
      <c r="AH36" s="391">
        <f t="shared" ref="AH36" si="31">AE36+AF36</f>
        <v>0</v>
      </c>
      <c r="AI36" s="392"/>
      <c r="AJ36" s="393">
        <f t="shared" ref="AJ36" si="32">AH36+AI36</f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ref="AE37" si="33">SUM(E37:AC37)</f>
        <v>0</v>
      </c>
      <c r="AF37" s="377"/>
      <c r="AG37" s="390"/>
      <c r="AH37" s="391">
        <f t="shared" ref="AH37" si="34">AE37+AF37</f>
        <v>0</v>
      </c>
      <c r="AI37" s="392"/>
      <c r="AJ37" s="395">
        <f t="shared" ref="AJ37" si="35">AH37+AI37</f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8.75">
      <c r="A38" s="302" t="s">
        <v>175</v>
      </c>
      <c r="B38" s="303"/>
      <c r="C38" s="303"/>
      <c r="D38" s="304"/>
      <c r="E38" s="305">
        <f t="shared" ref="E38:AJ38" si="36">SUM(E5:E37)</f>
        <v>0</v>
      </c>
      <c r="F38" s="305">
        <f t="shared" si="36"/>
        <v>0</v>
      </c>
      <c r="G38" s="305">
        <f t="shared" si="36"/>
        <v>0</v>
      </c>
      <c r="H38" s="305">
        <f t="shared" si="36"/>
        <v>0</v>
      </c>
      <c r="I38" s="305">
        <f t="shared" si="36"/>
        <v>0</v>
      </c>
      <c r="J38" s="305">
        <f t="shared" si="36"/>
        <v>0</v>
      </c>
      <c r="K38" s="305">
        <f t="shared" si="36"/>
        <v>0</v>
      </c>
      <c r="L38" s="305">
        <f t="shared" si="36"/>
        <v>0</v>
      </c>
      <c r="M38" s="305">
        <f t="shared" si="36"/>
        <v>0</v>
      </c>
      <c r="N38" s="305">
        <f t="shared" si="36"/>
        <v>0</v>
      </c>
      <c r="O38" s="305">
        <f t="shared" si="36"/>
        <v>0</v>
      </c>
      <c r="P38" s="305">
        <f t="shared" si="36"/>
        <v>0</v>
      </c>
      <c r="Q38" s="305">
        <f t="shared" si="36"/>
        <v>0</v>
      </c>
      <c r="R38" s="305">
        <f t="shared" si="36"/>
        <v>0</v>
      </c>
      <c r="S38" s="305">
        <f t="shared" si="36"/>
        <v>0</v>
      </c>
      <c r="T38" s="812">
        <f t="shared" si="36"/>
        <v>0</v>
      </c>
      <c r="U38" s="305">
        <f t="shared" si="36"/>
        <v>0</v>
      </c>
      <c r="V38" s="305">
        <f t="shared" si="36"/>
        <v>0</v>
      </c>
      <c r="W38" s="305">
        <f t="shared" si="36"/>
        <v>0</v>
      </c>
      <c r="X38" s="305">
        <f t="shared" si="36"/>
        <v>0</v>
      </c>
      <c r="Y38" s="305">
        <f t="shared" si="36"/>
        <v>0</v>
      </c>
      <c r="Z38" s="305">
        <f t="shared" si="36"/>
        <v>624</v>
      </c>
      <c r="AA38" s="305">
        <f t="shared" si="36"/>
        <v>0</v>
      </c>
      <c r="AB38" s="305">
        <f t="shared" si="36"/>
        <v>0</v>
      </c>
      <c r="AC38" s="305">
        <f t="shared" si="36"/>
        <v>0</v>
      </c>
      <c r="AD38" s="305">
        <f t="shared" si="36"/>
        <v>0</v>
      </c>
      <c r="AE38" s="305">
        <f t="shared" si="36"/>
        <v>624</v>
      </c>
      <c r="AF38" s="305">
        <f t="shared" si="36"/>
        <v>3</v>
      </c>
      <c r="AG38" s="305">
        <f t="shared" si="36"/>
        <v>0</v>
      </c>
      <c r="AH38" s="305">
        <f t="shared" si="36"/>
        <v>627</v>
      </c>
      <c r="AI38" s="305">
        <f t="shared" si="36"/>
        <v>52</v>
      </c>
      <c r="AJ38" s="305">
        <f t="shared" si="36"/>
        <v>679</v>
      </c>
      <c r="AK38" s="399">
        <f>'BIG CHAIR'!CL36</f>
        <v>0</v>
      </c>
      <c r="AL38" s="400">
        <f>'Tea Table'!X29</f>
        <v>0</v>
      </c>
      <c r="AM38" s="401">
        <f>AH38+AK38+AL38</f>
        <v>627</v>
      </c>
    </row>
    <row r="39" spans="1:39" s="284" customFormat="1" ht="18.75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3.25">
      <c r="A40" s="286" t="s">
        <v>117</v>
      </c>
      <c r="B40" s="287" t="s">
        <v>68</v>
      </c>
      <c r="C40" s="287" t="s">
        <v>69</v>
      </c>
      <c r="D40" s="288" t="s">
        <v>70</v>
      </c>
      <c r="E40" s="2697" t="s">
        <v>190</v>
      </c>
      <c r="F40" s="2698" t="s">
        <v>222</v>
      </c>
      <c r="G40" s="2698" t="s">
        <v>94</v>
      </c>
      <c r="H40" s="2698"/>
      <c r="I40" s="2698" t="s">
        <v>95</v>
      </c>
      <c r="J40" s="2698"/>
      <c r="K40" s="2702" t="s">
        <v>53</v>
      </c>
      <c r="L40" s="2699"/>
      <c r="M40" s="2697" t="s">
        <v>85</v>
      </c>
      <c r="N40" s="2698" t="s">
        <v>190</v>
      </c>
      <c r="O40" s="2698" t="s">
        <v>76</v>
      </c>
      <c r="P40" s="2698" t="s">
        <v>53</v>
      </c>
      <c r="Q40" s="2698" t="s">
        <v>86</v>
      </c>
      <c r="R40" s="2698" t="s">
        <v>94</v>
      </c>
      <c r="S40" s="2702" t="s">
        <v>96</v>
      </c>
      <c r="T40" s="2700" t="s">
        <v>238</v>
      </c>
      <c r="U40" s="2699"/>
      <c r="V40" s="2697"/>
      <c r="W40" s="2698"/>
      <c r="X40" s="2698"/>
      <c r="Y40" s="2698"/>
      <c r="Z40" s="2698"/>
      <c r="AA40" s="2698" t="s">
        <v>53</v>
      </c>
      <c r="AB40" s="2702"/>
      <c r="AC40" s="2700"/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0.25">
      <c r="A41" s="310" t="s">
        <v>176</v>
      </c>
      <c r="B41" s="311"/>
      <c r="C41" s="311"/>
      <c r="D41" s="312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37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316" t="s">
        <v>120</v>
      </c>
      <c r="B42" s="317"/>
      <c r="C42" s="317"/>
      <c r="D42" s="318"/>
      <c r="E42" s="319"/>
      <c r="F42" s="320"/>
      <c r="G42" s="320"/>
      <c r="H42" s="321"/>
      <c r="I42" s="321"/>
      <c r="J42" s="320"/>
      <c r="K42" s="351"/>
      <c r="L42" s="352"/>
      <c r="M42" s="353"/>
      <c r="N42" s="320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37"/>
        <v>0</v>
      </c>
      <c r="AF42" s="381"/>
      <c r="AG42" s="408"/>
      <c r="AH42" s="409">
        <f t="shared" ref="AH42:AH51" si="38">AE42+AF42</f>
        <v>0</v>
      </c>
      <c r="AI42" s="410"/>
      <c r="AJ42" s="411">
        <f>AH42+AI42</f>
        <v>0</v>
      </c>
    </row>
    <row r="43" spans="1:39" s="234" customFormat="1" ht="20.25">
      <c r="A43" s="316" t="s">
        <v>120</v>
      </c>
      <c r="B43" s="295"/>
      <c r="C43" s="295"/>
      <c r="D43" s="318"/>
      <c r="E43" s="319"/>
      <c r="F43" s="320"/>
      <c r="G43" s="320"/>
      <c r="H43" s="321"/>
      <c r="I43" s="321"/>
      <c r="J43" s="320"/>
      <c r="K43" s="354"/>
      <c r="L43" s="352"/>
      <c r="M43" s="353"/>
      <c r="N43" s="321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37"/>
        <v>0</v>
      </c>
      <c r="AF43" s="381"/>
      <c r="AG43" s="408"/>
      <c r="AH43" s="409">
        <f t="shared" si="38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295"/>
      <c r="C44" s="295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37"/>
        <v>0</v>
      </c>
      <c r="AF44" s="381"/>
      <c r="AG44" s="408"/>
      <c r="AH44" s="409">
        <f t="shared" si="38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295"/>
      <c r="C45" s="295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37"/>
        <v>0</v>
      </c>
      <c r="AF45" s="381"/>
      <c r="AG45" s="408"/>
      <c r="AH45" s="409">
        <f t="shared" ref="AH45:AH46" si="39">AE45+AF45</f>
        <v>0</v>
      </c>
      <c r="AI45" s="410"/>
      <c r="AJ45" s="411">
        <f t="shared" ref="AJ45:AJ47" si="40">AH45+AI45</f>
        <v>0</v>
      </c>
    </row>
    <row r="46" spans="1:39" s="234" customFormat="1" ht="20.25">
      <c r="A46" s="316" t="s">
        <v>120</v>
      </c>
      <c r="B46" s="295"/>
      <c r="C46" s="295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41">SUM(E46:AC46)</f>
        <v>0</v>
      </c>
      <c r="AF46" s="381"/>
      <c r="AG46" s="408"/>
      <c r="AH46" s="409">
        <f t="shared" si="39"/>
        <v>0</v>
      </c>
      <c r="AI46" s="410"/>
      <c r="AJ46" s="411">
        <f t="shared" si="40"/>
        <v>0</v>
      </c>
    </row>
    <row r="47" spans="1:39" s="234" customFormat="1" ht="20.25">
      <c r="A47" s="316" t="s">
        <v>120</v>
      </c>
      <c r="B47" s="295"/>
      <c r="C47" s="295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37"/>
        <v>0</v>
      </c>
      <c r="AF47" s="381"/>
      <c r="AG47" s="408"/>
      <c r="AH47" s="409">
        <f t="shared" si="38"/>
        <v>0</v>
      </c>
      <c r="AI47" s="410"/>
      <c r="AJ47" s="411">
        <f t="shared" si="40"/>
        <v>0</v>
      </c>
    </row>
    <row r="48" spans="1:39" s="234" customFormat="1" ht="20.25">
      <c r="A48" s="316" t="s">
        <v>120</v>
      </c>
      <c r="B48" s="295"/>
      <c r="C48" s="295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37"/>
        <v>0</v>
      </c>
      <c r="AF48" s="381"/>
      <c r="AG48" s="408"/>
      <c r="AH48" s="409">
        <f t="shared" si="38"/>
        <v>0</v>
      </c>
      <c r="AI48" s="410"/>
      <c r="AJ48" s="411">
        <f t="shared" ref="AJ48:AJ51" si="42">AH48+AI48</f>
        <v>0</v>
      </c>
    </row>
    <row r="49" spans="1:39" s="234" customFormat="1" ht="20.25">
      <c r="A49" s="316" t="s">
        <v>120</v>
      </c>
      <c r="B49" s="295"/>
      <c r="C49" s="295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" si="43">SUM(E49:AC49)</f>
        <v>0</v>
      </c>
      <c r="AF49" s="381"/>
      <c r="AG49" s="408"/>
      <c r="AH49" s="409">
        <f t="shared" ref="AH49" si="44">AE49+AF49</f>
        <v>0</v>
      </c>
      <c r="AI49" s="410"/>
      <c r="AJ49" s="411">
        <f t="shared" ref="AJ49" si="45">AH49+AI49</f>
        <v>0</v>
      </c>
    </row>
    <row r="50" spans="1:39" s="234" customFormat="1" ht="20.25">
      <c r="A50" s="316" t="s">
        <v>120</v>
      </c>
      <c r="B50" s="295"/>
      <c r="C50" s="295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ref="AE50" si="46">SUM(E50:AC50)</f>
        <v>0</v>
      </c>
      <c r="AF50" s="381"/>
      <c r="AG50" s="408"/>
      <c r="AH50" s="409">
        <f t="shared" ref="AH50" si="47">AE50+AF50</f>
        <v>0</v>
      </c>
      <c r="AI50" s="410"/>
      <c r="AJ50" s="411">
        <f t="shared" ref="AJ50" si="48">AH50+AI50</f>
        <v>0</v>
      </c>
    </row>
    <row r="51" spans="1:39" s="234" customFormat="1" ht="20.25">
      <c r="A51" s="316" t="s">
        <v>120</v>
      </c>
      <c r="B51" s="295"/>
      <c r="C51" s="295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37"/>
        <v>0</v>
      </c>
      <c r="AF51" s="381"/>
      <c r="AG51" s="408"/>
      <c r="AH51" s="409">
        <f t="shared" si="38"/>
        <v>0</v>
      </c>
      <c r="AI51" s="410"/>
      <c r="AJ51" s="411">
        <f t="shared" si="42"/>
        <v>0</v>
      </c>
    </row>
    <row r="52" spans="1:39" s="283" customFormat="1" ht="20.25">
      <c r="A52" s="322"/>
      <c r="B52" s="323"/>
      <c r="C52" s="323"/>
      <c r="D52" s="324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49">SUM(E52:AC52)</f>
        <v>0</v>
      </c>
      <c r="AF52" s="377"/>
      <c r="AG52" s="390"/>
      <c r="AH52" s="391">
        <f t="shared" ref="AH52" si="50">AE52+AF52</f>
        <v>0</v>
      </c>
      <c r="AI52" s="412"/>
      <c r="AJ52" s="413">
        <f t="shared" ref="AJ52" si="51">AH52+AI52</f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8.75">
      <c r="A53" s="326" t="s">
        <v>177</v>
      </c>
      <c r="B53" s="327"/>
      <c r="C53" s="327"/>
      <c r="D53" s="328"/>
      <c r="E53" s="329">
        <f t="shared" ref="E53:K53" si="52">SUM(E41:E52)</f>
        <v>0</v>
      </c>
      <c r="F53" s="330">
        <f t="shared" si="52"/>
        <v>0</v>
      </c>
      <c r="G53" s="330">
        <f t="shared" si="52"/>
        <v>0</v>
      </c>
      <c r="H53" s="330">
        <f t="shared" si="52"/>
        <v>0</v>
      </c>
      <c r="I53" s="330">
        <f t="shared" si="52"/>
        <v>0</v>
      </c>
      <c r="J53" s="330">
        <f t="shared" si="52"/>
        <v>0</v>
      </c>
      <c r="K53" s="356">
        <f t="shared" si="52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53">SUM(Q41:Q52)</f>
        <v>0</v>
      </c>
      <c r="R53" s="359">
        <f t="shared" si="53"/>
        <v>0</v>
      </c>
      <c r="S53" s="359">
        <f t="shared" si="53"/>
        <v>0</v>
      </c>
      <c r="T53" s="369">
        <f t="shared" si="53"/>
        <v>0</v>
      </c>
      <c r="U53" s="357"/>
      <c r="V53" s="358">
        <f t="shared" ref="V53:AC53" si="54">SUM(V41:V52)</f>
        <v>0</v>
      </c>
      <c r="W53" s="359">
        <f t="shared" si="54"/>
        <v>0</v>
      </c>
      <c r="X53" s="359">
        <f t="shared" si="54"/>
        <v>0</v>
      </c>
      <c r="Y53" s="359">
        <f t="shared" si="54"/>
        <v>0</v>
      </c>
      <c r="Z53" s="359">
        <f t="shared" si="54"/>
        <v>0</v>
      </c>
      <c r="AA53" s="359">
        <f t="shared" si="54"/>
        <v>0</v>
      </c>
      <c r="AB53" s="359">
        <f t="shared" si="54"/>
        <v>0</v>
      </c>
      <c r="AC53" s="369">
        <f t="shared" si="54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55">SUM(AG41:AG52)</f>
        <v>0</v>
      </c>
      <c r="AH53" s="417">
        <f t="shared" si="55"/>
        <v>0</v>
      </c>
      <c r="AI53" s="382">
        <f t="shared" si="55"/>
        <v>0</v>
      </c>
      <c r="AJ53" s="418">
        <f t="shared" si="55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18.75">
      <c r="A54" s="306"/>
      <c r="B54" s="307"/>
      <c r="C54" s="307"/>
      <c r="D54" s="308"/>
      <c r="E54" s="309"/>
      <c r="F54" s="309"/>
      <c r="G54" s="309"/>
      <c r="H54" s="309"/>
      <c r="I54" s="309"/>
      <c r="J54" s="309"/>
      <c r="K54" s="309"/>
      <c r="L54" s="346"/>
      <c r="M54" s="347"/>
      <c r="N54" s="347"/>
      <c r="O54" s="347"/>
      <c r="P54" s="347"/>
      <c r="Q54" s="347"/>
      <c r="R54" s="347"/>
      <c r="S54" s="347"/>
      <c r="T54" s="347"/>
      <c r="U54" s="346"/>
      <c r="V54" s="347"/>
      <c r="W54" s="347"/>
      <c r="X54" s="347"/>
      <c r="Y54" s="347"/>
      <c r="Z54" s="347"/>
      <c r="AA54" s="347"/>
      <c r="AB54" s="347"/>
      <c r="AC54" s="347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3.25">
      <c r="A55" s="286" t="s">
        <v>122</v>
      </c>
      <c r="B55" s="287" t="s">
        <v>68</v>
      </c>
      <c r="C55" s="287" t="s">
        <v>69</v>
      </c>
      <c r="D55" s="288" t="s">
        <v>70</v>
      </c>
      <c r="E55" s="2697" t="s">
        <v>190</v>
      </c>
      <c r="F55" s="2698" t="s">
        <v>222</v>
      </c>
      <c r="G55" s="2698" t="s">
        <v>94</v>
      </c>
      <c r="H55" s="2698"/>
      <c r="I55" s="2698" t="s">
        <v>95</v>
      </c>
      <c r="J55" s="2698"/>
      <c r="K55" s="2702" t="s">
        <v>53</v>
      </c>
      <c r="L55" s="2699"/>
      <c r="M55" s="2697" t="s">
        <v>85</v>
      </c>
      <c r="N55" s="2698" t="s">
        <v>190</v>
      </c>
      <c r="O55" s="2698" t="s">
        <v>76</v>
      </c>
      <c r="P55" s="2698" t="s">
        <v>53</v>
      </c>
      <c r="Q55" s="2698" t="s">
        <v>86</v>
      </c>
      <c r="R55" s="2698" t="s">
        <v>94</v>
      </c>
      <c r="S55" s="2702" t="s">
        <v>96</v>
      </c>
      <c r="T55" s="2700" t="s">
        <v>238</v>
      </c>
      <c r="U55" s="2699"/>
      <c r="V55" s="2697"/>
      <c r="W55" s="2698"/>
      <c r="X55" s="2698"/>
      <c r="Y55" s="2698"/>
      <c r="Z55" s="2698"/>
      <c r="AA55" s="2698" t="s">
        <v>53</v>
      </c>
      <c r="AB55" s="2702"/>
      <c r="AC55" s="2700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310" t="s">
        <v>125</v>
      </c>
      <c r="B56" s="311"/>
      <c r="C56" s="311"/>
      <c r="D56" s="312"/>
      <c r="E56" s="313"/>
      <c r="F56" s="314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56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316" t="s">
        <v>125</v>
      </c>
      <c r="B57" s="317"/>
      <c r="C57" s="317"/>
      <c r="D57" s="318"/>
      <c r="E57" s="319"/>
      <c r="F57" s="320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56"/>
        <v>0</v>
      </c>
      <c r="AF57" s="381"/>
      <c r="AG57" s="408"/>
      <c r="AH57" s="409">
        <f t="shared" ref="AH57:AH59" si="57">AE57+AF57</f>
        <v>0</v>
      </c>
      <c r="AI57" s="410"/>
      <c r="AJ57" s="411">
        <f>AH57+AI57</f>
        <v>0</v>
      </c>
    </row>
    <row r="58" spans="1:39" s="234" customFormat="1" ht="20.25">
      <c r="A58" s="316" t="s">
        <v>125</v>
      </c>
      <c r="B58" s="710"/>
      <c r="C58" s="295"/>
      <c r="D58" s="318"/>
      <c r="E58" s="319"/>
      <c r="F58" s="320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56"/>
        <v>0</v>
      </c>
      <c r="AF58" s="381"/>
      <c r="AG58" s="408"/>
      <c r="AH58" s="409">
        <f t="shared" si="57"/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318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56"/>
        <v>0</v>
      </c>
      <c r="AF59" s="381"/>
      <c r="AG59" s="408"/>
      <c r="AH59" s="409">
        <f t="shared" si="57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61" si="58">SUM(E60:AC60)</f>
        <v>0</v>
      </c>
      <c r="AF60" s="381"/>
      <c r="AG60" s="408"/>
      <c r="AH60" s="409">
        <f t="shared" ref="AH60:AH71" si="59">AE60+AF60</f>
        <v>0</v>
      </c>
      <c r="AI60" s="410"/>
      <c r="AJ60" s="411">
        <f t="shared" ref="AJ60:AJ62" si="60">AH60+AI60</f>
        <v>0</v>
      </c>
    </row>
    <row r="61" spans="1:39" s="234" customFormat="1" ht="20.25">
      <c r="A61" s="316" t="s">
        <v>125</v>
      </c>
      <c r="B61" s="295"/>
      <c r="C61" s="295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58"/>
        <v>0</v>
      </c>
      <c r="AF61" s="381"/>
      <c r="AG61" s="408"/>
      <c r="AH61" s="409">
        <f t="shared" si="59"/>
        <v>0</v>
      </c>
      <c r="AI61" s="410"/>
      <c r="AJ61" s="411">
        <f t="shared" si="60"/>
        <v>0</v>
      </c>
    </row>
    <row r="62" spans="1:39" s="234" customFormat="1" ht="20.25">
      <c r="A62" s="316" t="s">
        <v>125</v>
      </c>
      <c r="B62" s="295"/>
      <c r="C62" s="295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ref="AE62:AE63" si="61">SUM(E62:AC62)</f>
        <v>0</v>
      </c>
      <c r="AF62" s="381"/>
      <c r="AG62" s="408"/>
      <c r="AH62" s="409">
        <f t="shared" si="59"/>
        <v>0</v>
      </c>
      <c r="AI62" s="410"/>
      <c r="AJ62" s="411">
        <f t="shared" si="60"/>
        <v>0</v>
      </c>
    </row>
    <row r="63" spans="1:39" s="234" customFormat="1" ht="20.25">
      <c r="A63" s="316" t="s">
        <v>125</v>
      </c>
      <c r="B63" s="295"/>
      <c r="C63" s="295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61"/>
        <v>0</v>
      </c>
      <c r="AF63" s="381"/>
      <c r="AG63" s="408"/>
      <c r="AH63" s="409">
        <f t="shared" si="59"/>
        <v>0</v>
      </c>
      <c r="AI63" s="410"/>
      <c r="AJ63" s="411">
        <f t="shared" ref="AJ63:AJ71" si="62">AH63+AI63</f>
        <v>0</v>
      </c>
    </row>
    <row r="64" spans="1:39" s="234" customFormat="1" ht="20.25">
      <c r="A64" s="316" t="s">
        <v>125</v>
      </c>
      <c r="B64" s="295"/>
      <c r="C64" s="295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ref="AE64:AE65" si="63">SUM(E64:AC64)</f>
        <v>0</v>
      </c>
      <c r="AF64" s="381"/>
      <c r="AG64" s="408"/>
      <c r="AH64" s="409">
        <f t="shared" si="59"/>
        <v>0</v>
      </c>
      <c r="AI64" s="410"/>
      <c r="AJ64" s="411">
        <f t="shared" si="62"/>
        <v>0</v>
      </c>
    </row>
    <row r="65" spans="1:39" s="234" customFormat="1" ht="20.25">
      <c r="A65" s="316" t="s">
        <v>125</v>
      </c>
      <c r="B65" s="295"/>
      <c r="C65" s="295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63"/>
        <v>0</v>
      </c>
      <c r="AF65" s="381"/>
      <c r="AG65" s="408"/>
      <c r="AH65" s="409">
        <f t="shared" si="59"/>
        <v>0</v>
      </c>
      <c r="AI65" s="410"/>
      <c r="AJ65" s="411">
        <f t="shared" si="62"/>
        <v>0</v>
      </c>
    </row>
    <row r="66" spans="1:39" s="234" customFormat="1" ht="20.25">
      <c r="A66" s="316" t="s">
        <v>125</v>
      </c>
      <c r="B66" s="295"/>
      <c r="C66" s="295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ref="AE66" si="64">SUM(E66:AC66)</f>
        <v>0</v>
      </c>
      <c r="AF66" s="381"/>
      <c r="AG66" s="408"/>
      <c r="AH66" s="409">
        <f t="shared" si="59"/>
        <v>0</v>
      </c>
      <c r="AI66" s="410"/>
      <c r="AJ66" s="411">
        <f t="shared" si="62"/>
        <v>0</v>
      </c>
    </row>
    <row r="67" spans="1:39" s="234" customFormat="1" ht="20.25">
      <c r="A67" s="316" t="s">
        <v>125</v>
      </c>
      <c r="B67" s="295"/>
      <c r="C67" s="295"/>
      <c r="D67" s="318"/>
      <c r="E67" s="319"/>
      <c r="F67" s="320"/>
      <c r="G67" s="320"/>
      <c r="H67" s="321"/>
      <c r="I67" s="321"/>
      <c r="J67" s="320"/>
      <c r="K67" s="354"/>
      <c r="L67" s="352"/>
      <c r="M67" s="353"/>
      <c r="N67" s="321"/>
      <c r="O67" s="321"/>
      <c r="P67" s="321"/>
      <c r="Q67" s="321"/>
      <c r="R67" s="321"/>
      <c r="S67" s="321"/>
      <c r="T67" s="351"/>
      <c r="U67" s="352"/>
      <c r="V67" s="319"/>
      <c r="W67" s="320"/>
      <c r="X67" s="320"/>
      <c r="Y67" s="321"/>
      <c r="Z67" s="321"/>
      <c r="AA67" s="321"/>
      <c r="AB67" s="320"/>
      <c r="AC67" s="380"/>
      <c r="AD67" s="352"/>
      <c r="AE67" s="381">
        <f t="shared" ref="AE67" si="65">SUM(E67:AC67)</f>
        <v>0</v>
      </c>
      <c r="AF67" s="381"/>
      <c r="AG67" s="408"/>
      <c r="AH67" s="409">
        <f t="shared" ref="AH67" si="66">AE67+AF67</f>
        <v>0</v>
      </c>
      <c r="AI67" s="410"/>
      <c r="AJ67" s="411">
        <f t="shared" ref="AJ67" si="67">AH67+AI67</f>
        <v>0</v>
      </c>
    </row>
    <row r="68" spans="1:39" s="234" customFormat="1" ht="20.25">
      <c r="A68" s="316" t="s">
        <v>125</v>
      </c>
      <c r="B68" s="295"/>
      <c r="C68" s="295"/>
      <c r="D68" s="318"/>
      <c r="E68" s="319"/>
      <c r="F68" s="320"/>
      <c r="G68" s="320"/>
      <c r="H68" s="321"/>
      <c r="I68" s="321"/>
      <c r="J68" s="320"/>
      <c r="K68" s="354"/>
      <c r="L68" s="352"/>
      <c r="M68" s="353"/>
      <c r="N68" s="321"/>
      <c r="O68" s="321"/>
      <c r="P68" s="321"/>
      <c r="Q68" s="321"/>
      <c r="R68" s="321"/>
      <c r="S68" s="321"/>
      <c r="T68" s="351"/>
      <c r="U68" s="352"/>
      <c r="V68" s="319"/>
      <c r="W68" s="320"/>
      <c r="X68" s="320"/>
      <c r="Y68" s="321"/>
      <c r="Z68" s="321"/>
      <c r="AA68" s="321"/>
      <c r="AB68" s="320"/>
      <c r="AC68" s="380"/>
      <c r="AD68" s="352"/>
      <c r="AE68" s="381">
        <f t="shared" ref="AE68" si="68">SUM(E68:AC68)</f>
        <v>0</v>
      </c>
      <c r="AF68" s="381"/>
      <c r="AG68" s="408"/>
      <c r="AH68" s="409">
        <f t="shared" ref="AH68" si="69">AE68+AF68</f>
        <v>0</v>
      </c>
      <c r="AI68" s="410"/>
      <c r="AJ68" s="411">
        <f t="shared" ref="AJ68" si="70">AH68+AI68</f>
        <v>0</v>
      </c>
    </row>
    <row r="69" spans="1:39" s="234" customFormat="1" ht="20.25">
      <c r="A69" s="316" t="s">
        <v>125</v>
      </c>
      <c r="B69" s="295"/>
      <c r="C69" s="295"/>
      <c r="D69" s="318"/>
      <c r="E69" s="319"/>
      <c r="F69" s="320"/>
      <c r="G69" s="320"/>
      <c r="H69" s="321"/>
      <c r="I69" s="321"/>
      <c r="J69" s="320"/>
      <c r="K69" s="354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/>
      <c r="Z69" s="321"/>
      <c r="AA69" s="321"/>
      <c r="AB69" s="320"/>
      <c r="AC69" s="380"/>
      <c r="AD69" s="352"/>
      <c r="AE69" s="381">
        <f t="shared" ref="AE69" si="71">SUM(E69:AC69)</f>
        <v>0</v>
      </c>
      <c r="AF69" s="381"/>
      <c r="AG69" s="408"/>
      <c r="AH69" s="409">
        <f t="shared" ref="AH69" si="72">AE69+AF69</f>
        <v>0</v>
      </c>
      <c r="AI69" s="410"/>
      <c r="AJ69" s="411">
        <f t="shared" ref="AJ69" si="73">AH69+AI69</f>
        <v>0</v>
      </c>
    </row>
    <row r="70" spans="1:39" s="234" customFormat="1" ht="20.25">
      <c r="A70" s="316" t="s">
        <v>125</v>
      </c>
      <c r="B70" s="295"/>
      <c r="C70" s="295"/>
      <c r="D70" s="318"/>
      <c r="E70" s="319"/>
      <c r="F70" s="320"/>
      <c r="G70" s="320"/>
      <c r="H70" s="321"/>
      <c r="I70" s="321"/>
      <c r="J70" s="320"/>
      <c r="K70" s="354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ref="AE70:AE71" si="74">SUM(E70:AC70)</f>
        <v>0</v>
      </c>
      <c r="AF70" s="381"/>
      <c r="AG70" s="408"/>
      <c r="AH70" s="409">
        <f t="shared" ref="AH70" si="75">AE70+AF70</f>
        <v>0</v>
      </c>
      <c r="AI70" s="410"/>
      <c r="AJ70" s="411">
        <f t="shared" ref="AJ70" si="76">AH70+AI70</f>
        <v>0</v>
      </c>
    </row>
    <row r="71" spans="1:39" s="283" customFormat="1" ht="20.25">
      <c r="A71" s="316" t="s">
        <v>125</v>
      </c>
      <c r="B71" s="323"/>
      <c r="C71" s="323"/>
      <c r="D71" s="324"/>
      <c r="E71" s="325"/>
      <c r="F71" s="297"/>
      <c r="G71" s="297"/>
      <c r="H71" s="298"/>
      <c r="I71" s="298"/>
      <c r="J71" s="297"/>
      <c r="K71" s="344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325"/>
      <c r="W71" s="297"/>
      <c r="X71" s="297"/>
      <c r="Y71" s="298"/>
      <c r="Z71" s="298"/>
      <c r="AA71" s="298"/>
      <c r="AB71" s="297"/>
      <c r="AC71" s="375"/>
      <c r="AD71" s="355"/>
      <c r="AE71" s="376">
        <f t="shared" si="74"/>
        <v>0</v>
      </c>
      <c r="AF71" s="377"/>
      <c r="AG71" s="390"/>
      <c r="AH71" s="391">
        <f t="shared" si="59"/>
        <v>0</v>
      </c>
      <c r="AI71" s="412"/>
      <c r="AJ71" s="413">
        <f t="shared" si="62"/>
        <v>0</v>
      </c>
      <c r="AK71" s="414" t="s">
        <v>8</v>
      </c>
      <c r="AL71" s="397" t="s">
        <v>23</v>
      </c>
      <c r="AM71" s="415" t="s">
        <v>174</v>
      </c>
    </row>
    <row r="72" spans="1:39" s="284" customFormat="1" ht="18.75">
      <c r="A72" s="326" t="s">
        <v>126</v>
      </c>
      <c r="B72" s="327"/>
      <c r="C72" s="327"/>
      <c r="D72" s="328"/>
      <c r="E72" s="852">
        <f t="shared" ref="E72:K72" si="77">SUM(E56:E71)</f>
        <v>0</v>
      </c>
      <c r="F72" s="330">
        <f t="shared" si="77"/>
        <v>0</v>
      </c>
      <c r="G72" s="330">
        <f t="shared" si="77"/>
        <v>0</v>
      </c>
      <c r="H72" s="330">
        <f t="shared" si="77"/>
        <v>0</v>
      </c>
      <c r="I72" s="330">
        <f t="shared" si="77"/>
        <v>0</v>
      </c>
      <c r="J72" s="330">
        <f t="shared" si="77"/>
        <v>0</v>
      </c>
      <c r="K72" s="356">
        <f t="shared" si="77"/>
        <v>0</v>
      </c>
      <c r="L72" s="357"/>
      <c r="M72" s="358">
        <f>SUM(M56:M71)</f>
        <v>0</v>
      </c>
      <c r="N72" s="359">
        <f>SUM(N56:N71)</f>
        <v>0</v>
      </c>
      <c r="O72" s="359">
        <f>SUM(O56:O71)</f>
        <v>0</v>
      </c>
      <c r="P72" s="359">
        <f>SUM(P56:P71)</f>
        <v>0</v>
      </c>
      <c r="Q72" s="359">
        <f t="shared" ref="Q72:S72" si="78">SUM(Q56:Q71)</f>
        <v>0</v>
      </c>
      <c r="R72" s="359">
        <f t="shared" si="78"/>
        <v>0</v>
      </c>
      <c r="S72" s="359">
        <f t="shared" si="78"/>
        <v>0</v>
      </c>
      <c r="T72" s="369">
        <f t="shared" ref="T72" si="79">SUM(T56:T71)</f>
        <v>0</v>
      </c>
      <c r="U72" s="357"/>
      <c r="V72" s="358">
        <f t="shared" ref="V72:AC72" si="80">SUM(V56:V71)</f>
        <v>0</v>
      </c>
      <c r="W72" s="359">
        <f t="shared" si="80"/>
        <v>0</v>
      </c>
      <c r="X72" s="359">
        <f t="shared" si="80"/>
        <v>0</v>
      </c>
      <c r="Y72" s="359">
        <f t="shared" si="80"/>
        <v>0</v>
      </c>
      <c r="Z72" s="359">
        <f t="shared" si="80"/>
        <v>0</v>
      </c>
      <c r="AA72" s="359">
        <f t="shared" si="80"/>
        <v>0</v>
      </c>
      <c r="AB72" s="359">
        <f t="shared" si="80"/>
        <v>0</v>
      </c>
      <c r="AC72" s="369">
        <f t="shared" si="80"/>
        <v>0</v>
      </c>
      <c r="AD72" s="357"/>
      <c r="AE72" s="382">
        <f>SUM(AE56:AE71)</f>
        <v>0</v>
      </c>
      <c r="AF72" s="382">
        <f>SUM(AF56:AF71)</f>
        <v>0</v>
      </c>
      <c r="AG72" s="416">
        <f t="shared" ref="AG72:AJ72" si="81">SUM(AG56:AG71)</f>
        <v>0</v>
      </c>
      <c r="AH72" s="417">
        <f t="shared" si="81"/>
        <v>0</v>
      </c>
      <c r="AI72" s="382">
        <f t="shared" si="81"/>
        <v>0</v>
      </c>
      <c r="AJ72" s="418">
        <f t="shared" si="81"/>
        <v>0</v>
      </c>
      <c r="AK72" s="399">
        <f>'BIG CHAIR'!CL91</f>
        <v>0</v>
      </c>
      <c r="AL72" s="400">
        <f>'Tea Table'!X181</f>
        <v>0</v>
      </c>
      <c r="AM72" s="401">
        <f>AH72+AK72+AL72</f>
        <v>0</v>
      </c>
    </row>
    <row r="73" spans="1:39" ht="23.25">
      <c r="A73" s="721" t="s">
        <v>127</v>
      </c>
      <c r="B73" s="722" t="s">
        <v>68</v>
      </c>
      <c r="C73" s="287" t="s">
        <v>69</v>
      </c>
      <c r="D73" s="288" t="s">
        <v>70</v>
      </c>
      <c r="E73" s="2697" t="s">
        <v>190</v>
      </c>
      <c r="F73" s="2698" t="s">
        <v>222</v>
      </c>
      <c r="G73" s="2698" t="s">
        <v>94</v>
      </c>
      <c r="H73" s="2698"/>
      <c r="I73" s="2698" t="s">
        <v>95</v>
      </c>
      <c r="J73" s="2698"/>
      <c r="K73" s="2702" t="s">
        <v>53</v>
      </c>
      <c r="L73" s="2699"/>
      <c r="M73" s="2697" t="s">
        <v>85</v>
      </c>
      <c r="N73" s="2698" t="s">
        <v>190</v>
      </c>
      <c r="O73" s="2698" t="s">
        <v>76</v>
      </c>
      <c r="P73" s="2698" t="s">
        <v>53</v>
      </c>
      <c r="Q73" s="2698" t="s">
        <v>86</v>
      </c>
      <c r="R73" s="2698" t="s">
        <v>94</v>
      </c>
      <c r="S73" s="2702" t="s">
        <v>96</v>
      </c>
      <c r="T73" s="2700" t="s">
        <v>238</v>
      </c>
      <c r="U73" s="2699"/>
      <c r="V73" s="2697"/>
      <c r="W73" s="2698"/>
      <c r="X73" s="2698"/>
      <c r="Y73" s="2698"/>
      <c r="Z73" s="2698"/>
      <c r="AA73" s="2698" t="s">
        <v>53</v>
      </c>
      <c r="AB73" s="2702"/>
      <c r="AC73" s="2700"/>
      <c r="AD73" s="370"/>
      <c r="AE73" s="371" t="s">
        <v>172</v>
      </c>
      <c r="AF73" s="372" t="s">
        <v>80</v>
      </c>
      <c r="AG73" s="385"/>
      <c r="AH73" s="386" t="s">
        <v>106</v>
      </c>
      <c r="AI73" s="385" t="s">
        <v>173</v>
      </c>
      <c r="AJ73" s="371" t="s">
        <v>108</v>
      </c>
      <c r="AK73" s="282"/>
      <c r="AL73" s="282"/>
      <c r="AM73" s="282"/>
    </row>
    <row r="74" spans="1:39" ht="20.25">
      <c r="A74" s="792" t="s">
        <v>128</v>
      </c>
      <c r="B74" s="311"/>
      <c r="C74" s="311"/>
      <c r="D74" s="312"/>
      <c r="E74" s="313"/>
      <c r="F74" s="314"/>
      <c r="G74" s="314"/>
      <c r="H74" s="315"/>
      <c r="I74" s="315"/>
      <c r="J74" s="314"/>
      <c r="K74" s="348"/>
      <c r="L74" s="349"/>
      <c r="M74" s="350"/>
      <c r="N74" s="315"/>
      <c r="O74" s="315"/>
      <c r="P74" s="315"/>
      <c r="Q74" s="315"/>
      <c r="R74" s="315"/>
      <c r="S74" s="315"/>
      <c r="T74" s="348"/>
      <c r="U74" s="349"/>
      <c r="V74" s="350"/>
      <c r="W74" s="315"/>
      <c r="X74" s="315"/>
      <c r="Y74" s="315"/>
      <c r="Z74" s="315"/>
      <c r="AA74" s="315"/>
      <c r="AB74" s="315"/>
      <c r="AC74" s="378"/>
      <c r="AD74" s="349"/>
      <c r="AE74" s="379">
        <f t="shared" ref="AE74:AE77" si="82">SUM(E74:AC74)</f>
        <v>0</v>
      </c>
      <c r="AF74" s="379"/>
      <c r="AG74" s="404"/>
      <c r="AH74" s="405">
        <f>AE74+AF74</f>
        <v>0</v>
      </c>
      <c r="AI74" s="406"/>
      <c r="AJ74" s="407">
        <f>AH74+AI74</f>
        <v>0</v>
      </c>
      <c r="AK74" s="234"/>
      <c r="AL74" s="234"/>
      <c r="AM74" s="234"/>
    </row>
    <row r="75" spans="1:39" ht="20.25">
      <c r="A75" s="424" t="s">
        <v>128</v>
      </c>
      <c r="B75" s="317"/>
      <c r="C75" s="317"/>
      <c r="D75" s="318"/>
      <c r="E75" s="319"/>
      <c r="F75" s="320"/>
      <c r="G75" s="320"/>
      <c r="H75" s="321"/>
      <c r="I75" s="321"/>
      <c r="J75" s="320"/>
      <c r="K75" s="351"/>
      <c r="L75" s="352"/>
      <c r="M75" s="353"/>
      <c r="N75" s="320"/>
      <c r="O75" s="320"/>
      <c r="P75" s="321"/>
      <c r="Q75" s="321"/>
      <c r="R75" s="321"/>
      <c r="S75" s="320"/>
      <c r="T75" s="351"/>
      <c r="U75" s="352"/>
      <c r="V75" s="353"/>
      <c r="W75" s="321"/>
      <c r="X75" s="321"/>
      <c r="Y75" s="321"/>
      <c r="Z75" s="321"/>
      <c r="AA75" s="321"/>
      <c r="AB75" s="321"/>
      <c r="AC75" s="380"/>
      <c r="AD75" s="352"/>
      <c r="AE75" s="381">
        <f t="shared" si="82"/>
        <v>0</v>
      </c>
      <c r="AF75" s="381"/>
      <c r="AG75" s="408"/>
      <c r="AH75" s="409">
        <f t="shared" ref="AH75:AH77" si="83">AE75+AF75</f>
        <v>0</v>
      </c>
      <c r="AI75" s="410"/>
      <c r="AJ75" s="411">
        <f>AH75+AI75</f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82"/>
        <v>0</v>
      </c>
      <c r="AF76" s="381"/>
      <c r="AG76" s="408"/>
      <c r="AH76" s="409">
        <f t="shared" si="83"/>
        <v>0</v>
      </c>
      <c r="AI76" s="410"/>
      <c r="AJ76" s="411">
        <f>AH76+AI76</f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82"/>
        <v>0</v>
      </c>
      <c r="AF77" s="381"/>
      <c r="AG77" s="408"/>
      <c r="AH77" s="409">
        <f t="shared" si="83"/>
        <v>0</v>
      </c>
      <c r="AI77" s="410"/>
      <c r="AJ77" s="411">
        <f>AH77+AI77</f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:AE92" si="84">SUM(E78:AC78)</f>
        <v>0</v>
      </c>
      <c r="AF78" s="381"/>
      <c r="AG78" s="408"/>
      <c r="AH78" s="409">
        <f t="shared" ref="AH78:AH92" si="85">AE78+AF78</f>
        <v>0</v>
      </c>
      <c r="AI78" s="410"/>
      <c r="AJ78" s="411">
        <f t="shared" ref="AJ78:AJ80" si="86">AH78+AI78</f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84"/>
        <v>0</v>
      </c>
      <c r="AF79" s="381"/>
      <c r="AG79" s="408"/>
      <c r="AH79" s="409">
        <f t="shared" si="85"/>
        <v>0</v>
      </c>
      <c r="AI79" s="410"/>
      <c r="AJ79" s="411">
        <f t="shared" si="86"/>
        <v>0</v>
      </c>
      <c r="AK79" s="234"/>
      <c r="AL79" s="234"/>
      <c r="AM79" s="234"/>
    </row>
    <row r="80" spans="1:39" ht="20.25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84"/>
        <v>0</v>
      </c>
      <c r="AF80" s="381"/>
      <c r="AG80" s="408"/>
      <c r="AH80" s="409">
        <f t="shared" si="85"/>
        <v>0</v>
      </c>
      <c r="AI80" s="410"/>
      <c r="AJ80" s="411">
        <f t="shared" si="86"/>
        <v>0</v>
      </c>
      <c r="AK80" s="234"/>
      <c r="AL80" s="234"/>
      <c r="AM80" s="234"/>
    </row>
    <row r="81" spans="1:39" ht="20.25">
      <c r="A81" s="424" t="s">
        <v>128</v>
      </c>
      <c r="B81" s="295"/>
      <c r="C81" s="295"/>
      <c r="D81" s="318"/>
      <c r="E81" s="319"/>
      <c r="F81" s="320"/>
      <c r="G81" s="320"/>
      <c r="H81" s="321"/>
      <c r="I81" s="321"/>
      <c r="J81" s="320"/>
      <c r="K81" s="354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84"/>
        <v>0</v>
      </c>
      <c r="AF81" s="381"/>
      <c r="AG81" s="408"/>
      <c r="AH81" s="409">
        <f t="shared" si="85"/>
        <v>0</v>
      </c>
      <c r="AI81" s="410"/>
      <c r="AJ81" s="411">
        <f t="shared" ref="AJ81:AJ92" si="87">AH81+AI81</f>
        <v>0</v>
      </c>
      <c r="AK81" s="234"/>
      <c r="AL81" s="234"/>
      <c r="AM81" s="234"/>
    </row>
    <row r="82" spans="1:39" ht="20.25">
      <c r="A82" s="424" t="s">
        <v>128</v>
      </c>
      <c r="B82" s="295"/>
      <c r="C82" s="295"/>
      <c r="D82" s="318"/>
      <c r="E82" s="319"/>
      <c r="F82" s="320"/>
      <c r="G82" s="320"/>
      <c r="H82" s="321"/>
      <c r="I82" s="321"/>
      <c r="J82" s="320"/>
      <c r="K82" s="354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84"/>
        <v>0</v>
      </c>
      <c r="AF82" s="381"/>
      <c r="AG82" s="408"/>
      <c r="AH82" s="409">
        <f t="shared" si="85"/>
        <v>0</v>
      </c>
      <c r="AI82" s="410"/>
      <c r="AJ82" s="411">
        <f t="shared" si="87"/>
        <v>0</v>
      </c>
      <c r="AK82" s="234"/>
      <c r="AL82" s="234"/>
      <c r="AM82" s="234"/>
    </row>
    <row r="83" spans="1:39" ht="20.25">
      <c r="A83" s="424" t="s">
        <v>128</v>
      </c>
      <c r="B83" s="295"/>
      <c r="C83" s="295"/>
      <c r="D83" s="318"/>
      <c r="E83" s="319"/>
      <c r="F83" s="320"/>
      <c r="G83" s="320"/>
      <c r="H83" s="321"/>
      <c r="I83" s="321"/>
      <c r="J83" s="320"/>
      <c r="K83" s="354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84"/>
        <v>0</v>
      </c>
      <c r="AF83" s="381"/>
      <c r="AG83" s="408"/>
      <c r="AH83" s="409">
        <f t="shared" si="85"/>
        <v>0</v>
      </c>
      <c r="AI83" s="410"/>
      <c r="AJ83" s="411">
        <f t="shared" si="87"/>
        <v>0</v>
      </c>
      <c r="AK83" s="234"/>
      <c r="AL83" s="234"/>
      <c r="AM83" s="234"/>
    </row>
    <row r="84" spans="1:39" ht="20.25">
      <c r="A84" s="424" t="s">
        <v>128</v>
      </c>
      <c r="B84" s="295"/>
      <c r="C84" s="295"/>
      <c r="D84" s="318"/>
      <c r="E84" s="319"/>
      <c r="F84" s="320"/>
      <c r="G84" s="320"/>
      <c r="H84" s="321"/>
      <c r="I84" s="321"/>
      <c r="J84" s="320"/>
      <c r="K84" s="354"/>
      <c r="L84" s="352"/>
      <c r="M84" s="353"/>
      <c r="N84" s="321"/>
      <c r="O84" s="321"/>
      <c r="P84" s="321"/>
      <c r="Q84" s="321"/>
      <c r="R84" s="321"/>
      <c r="S84" s="321"/>
      <c r="T84" s="351"/>
      <c r="U84" s="352"/>
      <c r="V84" s="319"/>
      <c r="W84" s="320"/>
      <c r="X84" s="320"/>
      <c r="Y84" s="321"/>
      <c r="Z84" s="321"/>
      <c r="AA84" s="321"/>
      <c r="AB84" s="320"/>
      <c r="AC84" s="380"/>
      <c r="AD84" s="352"/>
      <c r="AE84" s="381">
        <f t="shared" si="84"/>
        <v>0</v>
      </c>
      <c r="AF84" s="381"/>
      <c r="AG84" s="408"/>
      <c r="AH84" s="409">
        <f t="shared" si="85"/>
        <v>0</v>
      </c>
      <c r="AI84" s="410"/>
      <c r="AJ84" s="411">
        <f t="shared" si="87"/>
        <v>0</v>
      </c>
      <c r="AK84" s="234"/>
      <c r="AL84" s="234"/>
      <c r="AM84" s="234"/>
    </row>
    <row r="85" spans="1:39" ht="20.25">
      <c r="A85" s="424" t="s">
        <v>128</v>
      </c>
      <c r="B85" s="295"/>
      <c r="C85" s="295"/>
      <c r="D85" s="318"/>
      <c r="E85" s="319"/>
      <c r="F85" s="320"/>
      <c r="G85" s="320"/>
      <c r="H85" s="321"/>
      <c r="I85" s="321"/>
      <c r="J85" s="320"/>
      <c r="K85" s="354"/>
      <c r="L85" s="352"/>
      <c r="M85" s="353"/>
      <c r="N85" s="321"/>
      <c r="O85" s="321"/>
      <c r="P85" s="321"/>
      <c r="Q85" s="321"/>
      <c r="R85" s="321"/>
      <c r="S85" s="321"/>
      <c r="T85" s="351"/>
      <c r="U85" s="352"/>
      <c r="V85" s="319"/>
      <c r="W85" s="320"/>
      <c r="X85" s="320"/>
      <c r="Y85" s="321"/>
      <c r="Z85" s="321"/>
      <c r="AA85" s="321"/>
      <c r="AB85" s="320"/>
      <c r="AC85" s="380"/>
      <c r="AD85" s="352"/>
      <c r="AE85" s="381">
        <f t="shared" ref="AE85" si="88">SUM(E85:AC85)</f>
        <v>0</v>
      </c>
      <c r="AF85" s="381"/>
      <c r="AG85" s="408"/>
      <c r="AH85" s="409">
        <f t="shared" ref="AH85" si="89">AE85+AF85</f>
        <v>0</v>
      </c>
      <c r="AI85" s="410"/>
      <c r="AJ85" s="411">
        <f t="shared" ref="AJ85" si="90">AH85+AI85</f>
        <v>0</v>
      </c>
      <c r="AK85" s="234"/>
      <c r="AL85" s="234"/>
      <c r="AM85" s="234"/>
    </row>
    <row r="86" spans="1:39" ht="20.25">
      <c r="A86" s="424" t="s">
        <v>128</v>
      </c>
      <c r="B86" s="295"/>
      <c r="C86" s="295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ref="AE86" si="91">SUM(E86:AC86)</f>
        <v>0</v>
      </c>
      <c r="AF86" s="381"/>
      <c r="AG86" s="408"/>
      <c r="AH86" s="409">
        <f t="shared" ref="AH86" si="92">AE86+AF86</f>
        <v>0</v>
      </c>
      <c r="AI86" s="410"/>
      <c r="AJ86" s="411">
        <f t="shared" ref="AJ86" si="93">AH86+AI86</f>
        <v>0</v>
      </c>
      <c r="AK86" s="234"/>
      <c r="AL86" s="234"/>
      <c r="AM86" s="234"/>
    </row>
    <row r="87" spans="1:39" ht="20.25">
      <c r="A87" s="424" t="s">
        <v>128</v>
      </c>
      <c r="B87" s="295"/>
      <c r="C87" s="295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ref="AE87" si="94">SUM(E87:AC87)</f>
        <v>0</v>
      </c>
      <c r="AF87" s="381"/>
      <c r="AG87" s="408"/>
      <c r="AH87" s="409">
        <f t="shared" ref="AH87" si="95">AE87+AF87</f>
        <v>0</v>
      </c>
      <c r="AI87" s="410"/>
      <c r="AJ87" s="411">
        <f t="shared" ref="AJ87" si="96">AH87+AI87</f>
        <v>0</v>
      </c>
      <c r="AK87" s="234"/>
      <c r="AL87" s="234"/>
      <c r="AM87" s="234"/>
    </row>
    <row r="88" spans="1:39" ht="20.25">
      <c r="A88" s="424" t="s">
        <v>128</v>
      </c>
      <c r="B88" s="295"/>
      <c r="C88" s="295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ref="AE88" si="97">SUM(E88:AC88)</f>
        <v>0</v>
      </c>
      <c r="AF88" s="381"/>
      <c r="AG88" s="408"/>
      <c r="AH88" s="409">
        <f t="shared" ref="AH88" si="98">AE88+AF88</f>
        <v>0</v>
      </c>
      <c r="AI88" s="410"/>
      <c r="AJ88" s="411">
        <f t="shared" ref="AJ88" si="99">AH88+AI88</f>
        <v>0</v>
      </c>
      <c r="AK88" s="234"/>
      <c r="AL88" s="234"/>
      <c r="AM88" s="234"/>
    </row>
    <row r="89" spans="1:39" ht="20.25">
      <c r="A89" s="424" t="s">
        <v>128</v>
      </c>
      <c r="B89" s="295"/>
      <c r="C89" s="295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ref="AE89" si="100">SUM(E89:AC89)</f>
        <v>0</v>
      </c>
      <c r="AF89" s="381"/>
      <c r="AG89" s="408"/>
      <c r="AH89" s="409">
        <f t="shared" ref="AH89" si="101">AE89+AF89</f>
        <v>0</v>
      </c>
      <c r="AI89" s="410"/>
      <c r="AJ89" s="411">
        <f t="shared" ref="AJ89" si="102">AH89+AI89</f>
        <v>0</v>
      </c>
      <c r="AK89" s="234"/>
      <c r="AL89" s="234"/>
      <c r="AM89" s="234"/>
    </row>
    <row r="90" spans="1:39" ht="20.25">
      <c r="A90" s="424" t="s">
        <v>128</v>
      </c>
      <c r="B90" s="295"/>
      <c r="C90" s="295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ref="AE90" si="103">SUM(E90:AC90)</f>
        <v>0</v>
      </c>
      <c r="AF90" s="381"/>
      <c r="AG90" s="408"/>
      <c r="AH90" s="409">
        <f t="shared" ref="AH90" si="104">AE90+AF90</f>
        <v>0</v>
      </c>
      <c r="AI90" s="410"/>
      <c r="AJ90" s="411">
        <f t="shared" ref="AJ90" si="105">AH90+AI90</f>
        <v>0</v>
      </c>
      <c r="AK90" s="234"/>
      <c r="AL90" s="234"/>
      <c r="AM90" s="234"/>
    </row>
    <row r="91" spans="1:39" ht="20.25">
      <c r="A91" s="424" t="s">
        <v>128</v>
      </c>
      <c r="B91" s="295"/>
      <c r="C91" s="295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ref="AE91" si="106">SUM(E91:AC91)</f>
        <v>0</v>
      </c>
      <c r="AF91" s="381"/>
      <c r="AG91" s="408"/>
      <c r="AH91" s="409">
        <f t="shared" ref="AH91" si="107">AE91+AF91</f>
        <v>0</v>
      </c>
      <c r="AI91" s="410"/>
      <c r="AJ91" s="411">
        <f t="shared" ref="AJ91" si="108">AH91+AI91</f>
        <v>0</v>
      </c>
      <c r="AK91" s="234"/>
      <c r="AL91" s="234"/>
      <c r="AM91" s="234"/>
    </row>
    <row r="92" spans="1:39" ht="20.25">
      <c r="A92" s="322"/>
      <c r="B92" s="323"/>
      <c r="C92" s="323"/>
      <c r="D92" s="324"/>
      <c r="E92" s="325"/>
      <c r="F92" s="297"/>
      <c r="G92" s="297"/>
      <c r="H92" s="298"/>
      <c r="I92" s="298"/>
      <c r="J92" s="297"/>
      <c r="K92" s="344"/>
      <c r="L92" s="355"/>
      <c r="M92" s="343"/>
      <c r="N92" s="298"/>
      <c r="O92" s="298"/>
      <c r="P92" s="298"/>
      <c r="Q92" s="298"/>
      <c r="R92" s="298"/>
      <c r="S92" s="298"/>
      <c r="T92" s="367"/>
      <c r="U92" s="355"/>
      <c r="V92" s="325"/>
      <c r="W92" s="297"/>
      <c r="X92" s="297"/>
      <c r="Y92" s="298"/>
      <c r="Z92" s="298"/>
      <c r="AA92" s="298"/>
      <c r="AB92" s="297"/>
      <c r="AC92" s="375"/>
      <c r="AD92" s="355"/>
      <c r="AE92" s="376">
        <f t="shared" si="84"/>
        <v>0</v>
      </c>
      <c r="AF92" s="377"/>
      <c r="AG92" s="390"/>
      <c r="AH92" s="391">
        <f t="shared" si="85"/>
        <v>0</v>
      </c>
      <c r="AI92" s="412"/>
      <c r="AJ92" s="413">
        <f t="shared" si="87"/>
        <v>0</v>
      </c>
      <c r="AK92" s="414" t="s">
        <v>8</v>
      </c>
      <c r="AL92" s="397" t="s">
        <v>23</v>
      </c>
      <c r="AM92" s="415" t="s">
        <v>174</v>
      </c>
    </row>
    <row r="93" spans="1:39" ht="18.75">
      <c r="A93" s="326" t="s">
        <v>129</v>
      </c>
      <c r="B93" s="327"/>
      <c r="C93" s="327"/>
      <c r="D93" s="328"/>
      <c r="E93" s="329">
        <f>SUM(E74:E92)</f>
        <v>0</v>
      </c>
      <c r="F93" s="329">
        <f t="shared" ref="F93:AC93" si="109">SUM(F74:F92)</f>
        <v>0</v>
      </c>
      <c r="G93" s="329">
        <f t="shared" si="109"/>
        <v>0</v>
      </c>
      <c r="H93" s="329">
        <f t="shared" si="109"/>
        <v>0</v>
      </c>
      <c r="I93" s="329">
        <f t="shared" si="109"/>
        <v>0</v>
      </c>
      <c r="J93" s="329">
        <f t="shared" si="109"/>
        <v>0</v>
      </c>
      <c r="K93" s="329">
        <f t="shared" si="109"/>
        <v>0</v>
      </c>
      <c r="L93" s="329"/>
      <c r="M93" s="329">
        <f t="shared" si="109"/>
        <v>0</v>
      </c>
      <c r="N93" s="329">
        <f t="shared" si="109"/>
        <v>0</v>
      </c>
      <c r="O93" s="329">
        <f t="shared" si="109"/>
        <v>0</v>
      </c>
      <c r="P93" s="329">
        <f t="shared" si="109"/>
        <v>0</v>
      </c>
      <c r="Q93" s="329">
        <f t="shared" si="109"/>
        <v>0</v>
      </c>
      <c r="R93" s="329">
        <f t="shared" si="109"/>
        <v>0</v>
      </c>
      <c r="S93" s="329">
        <f t="shared" si="109"/>
        <v>0</v>
      </c>
      <c r="T93" s="329">
        <f t="shared" si="109"/>
        <v>0</v>
      </c>
      <c r="U93" s="329">
        <f t="shared" si="109"/>
        <v>0</v>
      </c>
      <c r="V93" s="329">
        <f t="shared" si="109"/>
        <v>0</v>
      </c>
      <c r="W93" s="329">
        <f t="shared" si="109"/>
        <v>0</v>
      </c>
      <c r="X93" s="329">
        <f t="shared" si="109"/>
        <v>0</v>
      </c>
      <c r="Y93" s="329">
        <f t="shared" si="109"/>
        <v>0</v>
      </c>
      <c r="Z93" s="329">
        <f t="shared" si="109"/>
        <v>0</v>
      </c>
      <c r="AA93" s="329">
        <f t="shared" si="109"/>
        <v>0</v>
      </c>
      <c r="AB93" s="329">
        <f t="shared" si="109"/>
        <v>0</v>
      </c>
      <c r="AC93" s="329">
        <f t="shared" si="109"/>
        <v>0</v>
      </c>
      <c r="AD93" s="329">
        <f t="shared" ref="AD93:AJ93" si="110">SUM(AD74:AD92)</f>
        <v>0</v>
      </c>
      <c r="AE93" s="329">
        <f t="shared" si="110"/>
        <v>0</v>
      </c>
      <c r="AF93" s="329">
        <f t="shared" si="110"/>
        <v>0</v>
      </c>
      <c r="AG93" s="329">
        <f t="shared" si="110"/>
        <v>0</v>
      </c>
      <c r="AH93" s="329">
        <f t="shared" si="110"/>
        <v>0</v>
      </c>
      <c r="AI93" s="329">
        <f t="shared" si="110"/>
        <v>0</v>
      </c>
      <c r="AJ93" s="329">
        <f t="shared" si="110"/>
        <v>0</v>
      </c>
      <c r="AK93" s="399">
        <f>'BIG CHAIR'!CL105</f>
        <v>0</v>
      </c>
      <c r="AL93" s="400">
        <f>'Tea Table'!X195</f>
        <v>0</v>
      </c>
      <c r="AM93" s="401">
        <f>AH93+AK93+AL93</f>
        <v>0</v>
      </c>
    </row>
    <row r="94" spans="1:39" ht="19.5" thickBot="1">
      <c r="A94" s="853"/>
      <c r="B94" s="327"/>
      <c r="C94" s="327"/>
      <c r="D94" s="328"/>
      <c r="E94" s="854"/>
      <c r="F94" s="855"/>
      <c r="G94" s="855"/>
      <c r="H94" s="855"/>
      <c r="I94" s="855"/>
      <c r="J94" s="855"/>
      <c r="K94" s="856"/>
      <c r="L94" s="857"/>
      <c r="M94" s="854"/>
      <c r="N94" s="855"/>
      <c r="O94" s="855"/>
      <c r="P94" s="855"/>
      <c r="Q94" s="855"/>
      <c r="R94" s="855"/>
      <c r="S94" s="856"/>
      <c r="T94" s="858"/>
      <c r="U94" s="857"/>
      <c r="V94" s="854"/>
      <c r="W94" s="855"/>
      <c r="X94" s="855"/>
      <c r="Y94" s="855"/>
      <c r="Z94" s="855"/>
      <c r="AA94" s="855"/>
      <c r="AB94" s="856"/>
      <c r="AC94" s="858"/>
      <c r="AD94" s="859"/>
      <c r="AE94" s="857"/>
      <c r="AF94" s="858"/>
      <c r="AG94" s="857"/>
      <c r="AH94" s="858"/>
      <c r="AI94" s="857"/>
      <c r="AJ94" s="857"/>
      <c r="AK94" s="403"/>
      <c r="AL94" s="403"/>
      <c r="AM94" s="403"/>
    </row>
    <row r="95" spans="1:39" ht="24" thickBot="1">
      <c r="A95" s="721" t="s">
        <v>130</v>
      </c>
      <c r="B95" s="722" t="s">
        <v>68</v>
      </c>
      <c r="C95" s="287" t="s">
        <v>69</v>
      </c>
      <c r="D95" s="288" t="s">
        <v>70</v>
      </c>
      <c r="E95" s="2703" t="s">
        <v>190</v>
      </c>
      <c r="F95" s="2701" t="s">
        <v>222</v>
      </c>
      <c r="G95" s="2701" t="s">
        <v>94</v>
      </c>
      <c r="H95" s="2701"/>
      <c r="I95" s="2701" t="s">
        <v>95</v>
      </c>
      <c r="J95" s="2701"/>
      <c r="K95" s="2704" t="s">
        <v>53</v>
      </c>
      <c r="L95" s="2699"/>
      <c r="M95" s="2703" t="s">
        <v>85</v>
      </c>
      <c r="N95" s="2701" t="s">
        <v>190</v>
      </c>
      <c r="O95" s="2701" t="s">
        <v>76</v>
      </c>
      <c r="P95" s="2701" t="s">
        <v>53</v>
      </c>
      <c r="Q95" s="2701" t="s">
        <v>86</v>
      </c>
      <c r="R95" s="2701" t="s">
        <v>94</v>
      </c>
      <c r="S95" s="2704" t="s">
        <v>96</v>
      </c>
      <c r="T95" s="2700" t="s">
        <v>238</v>
      </c>
      <c r="U95" s="2699"/>
      <c r="V95" s="2703"/>
      <c r="W95" s="2701"/>
      <c r="X95" s="2701"/>
      <c r="Y95" s="2701"/>
      <c r="Z95" s="2701"/>
      <c r="AA95" s="2701" t="s">
        <v>53</v>
      </c>
      <c r="AB95" s="2704"/>
      <c r="AC95" s="2705"/>
      <c r="AD95" s="370"/>
      <c r="AE95" s="371" t="s">
        <v>172</v>
      </c>
      <c r="AF95" s="372" t="s">
        <v>80</v>
      </c>
      <c r="AG95" s="385"/>
      <c r="AH95" s="386" t="s">
        <v>106</v>
      </c>
      <c r="AI95" s="385" t="s">
        <v>173</v>
      </c>
      <c r="AJ95" s="371" t="s">
        <v>108</v>
      </c>
      <c r="AK95" s="282"/>
      <c r="AL95" s="282"/>
      <c r="AM95" s="282"/>
    </row>
    <row r="96" spans="1:39" ht="20.25">
      <c r="A96" s="792" t="s">
        <v>131</v>
      </c>
      <c r="B96" s="295"/>
      <c r="C96" s="295"/>
      <c r="D96" s="318"/>
      <c r="E96" s="332"/>
      <c r="F96" s="333"/>
      <c r="G96" s="333"/>
      <c r="H96" s="334"/>
      <c r="I96" s="334"/>
      <c r="J96" s="333"/>
      <c r="K96" s="360"/>
      <c r="L96" s="361"/>
      <c r="M96" s="362"/>
      <c r="N96" s="334"/>
      <c r="O96" s="334"/>
      <c r="P96" s="334"/>
      <c r="Q96" s="334"/>
      <c r="R96" s="334"/>
      <c r="S96" s="334"/>
      <c r="T96" s="798"/>
      <c r="U96" s="361"/>
      <c r="V96" s="332"/>
      <c r="W96" s="333"/>
      <c r="X96" s="333"/>
      <c r="Y96" s="334"/>
      <c r="Z96" s="334"/>
      <c r="AA96" s="334"/>
      <c r="AB96" s="333"/>
      <c r="AC96" s="383"/>
      <c r="AD96" s="352"/>
      <c r="AE96" s="381">
        <f>SUM(E96:AC96)</f>
        <v>0</v>
      </c>
      <c r="AF96" s="381"/>
      <c r="AG96" s="408"/>
      <c r="AH96" s="409">
        <f>AE96+AF96</f>
        <v>0</v>
      </c>
      <c r="AI96" s="410"/>
      <c r="AJ96" s="411">
        <f>AH96+AI96</f>
        <v>0</v>
      </c>
      <c r="AK96" s="234"/>
      <c r="AL96" s="234"/>
      <c r="AM96" s="234"/>
    </row>
    <row r="97" spans="1:39" ht="20.25">
      <c r="A97" s="424" t="s">
        <v>131</v>
      </c>
      <c r="B97" s="295"/>
      <c r="C97" s="295"/>
      <c r="D97" s="318"/>
      <c r="E97" s="319"/>
      <c r="F97" s="320"/>
      <c r="G97" s="320"/>
      <c r="H97" s="321"/>
      <c r="I97" s="321"/>
      <c r="J97" s="320"/>
      <c r="K97" s="354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ref="AE97:AE104" si="111">SUM(E97:AC97)</f>
        <v>0</v>
      </c>
      <c r="AF97" s="381"/>
      <c r="AG97" s="408"/>
      <c r="AH97" s="409">
        <f t="shared" ref="AH97:AH104" si="112">AE97+AF97</f>
        <v>0</v>
      </c>
      <c r="AI97" s="410"/>
      <c r="AJ97" s="411">
        <f t="shared" ref="AJ97:AJ99" si="113">AH97+AI97</f>
        <v>0</v>
      </c>
      <c r="AK97" s="234"/>
      <c r="AL97" s="234"/>
      <c r="AM97" s="234"/>
    </row>
    <row r="98" spans="1:39" ht="20.25">
      <c r="A98" s="424" t="s">
        <v>131</v>
      </c>
      <c r="B98" s="295"/>
      <c r="C98" s="295"/>
      <c r="D98" s="318"/>
      <c r="E98" s="319"/>
      <c r="F98" s="320"/>
      <c r="G98" s="320"/>
      <c r="H98" s="321"/>
      <c r="I98" s="321"/>
      <c r="J98" s="320"/>
      <c r="K98" s="354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111"/>
        <v>0</v>
      </c>
      <c r="AF98" s="381"/>
      <c r="AG98" s="408"/>
      <c r="AH98" s="409">
        <f t="shared" si="112"/>
        <v>0</v>
      </c>
      <c r="AI98" s="410"/>
      <c r="AJ98" s="411">
        <f t="shared" si="113"/>
        <v>0</v>
      </c>
      <c r="AK98" s="234"/>
      <c r="AL98" s="234"/>
      <c r="AM98" s="234"/>
    </row>
    <row r="99" spans="1:39" ht="20.25">
      <c r="A99" s="424" t="s">
        <v>131</v>
      </c>
      <c r="B99" s="295"/>
      <c r="C99" s="295"/>
      <c r="D99" s="318"/>
      <c r="E99" s="319"/>
      <c r="F99" s="320"/>
      <c r="G99" s="320"/>
      <c r="H99" s="321"/>
      <c r="I99" s="321"/>
      <c r="J99" s="320"/>
      <c r="K99" s="354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111"/>
        <v>0</v>
      </c>
      <c r="AF99" s="381"/>
      <c r="AG99" s="408"/>
      <c r="AH99" s="409">
        <f t="shared" si="112"/>
        <v>0</v>
      </c>
      <c r="AI99" s="410"/>
      <c r="AJ99" s="411">
        <f t="shared" si="113"/>
        <v>0</v>
      </c>
      <c r="AK99" s="234"/>
      <c r="AL99" s="234"/>
      <c r="AM99" s="234"/>
    </row>
    <row r="100" spans="1:39" ht="20.25">
      <c r="A100" s="424" t="s">
        <v>131</v>
      </c>
      <c r="B100" s="295"/>
      <c r="C100" s="295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111"/>
        <v>0</v>
      </c>
      <c r="AF100" s="381"/>
      <c r="AG100" s="408"/>
      <c r="AH100" s="409">
        <f t="shared" si="112"/>
        <v>0</v>
      </c>
      <c r="AI100" s="410"/>
      <c r="AJ100" s="411">
        <f t="shared" ref="AJ100:AJ104" si="114">AH100+AI100</f>
        <v>0</v>
      </c>
      <c r="AK100" s="234"/>
      <c r="AL100" s="234"/>
      <c r="AM100" s="234"/>
    </row>
    <row r="101" spans="1:39" ht="20.25">
      <c r="A101" s="424" t="s">
        <v>131</v>
      </c>
      <c r="B101" s="295"/>
      <c r="C101" s="295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111"/>
        <v>0</v>
      </c>
      <c r="AF101" s="381"/>
      <c r="AG101" s="408"/>
      <c r="AH101" s="409">
        <f t="shared" si="112"/>
        <v>0</v>
      </c>
      <c r="AI101" s="410"/>
      <c r="AJ101" s="411">
        <f t="shared" si="114"/>
        <v>0</v>
      </c>
      <c r="AK101" s="234"/>
      <c r="AL101" s="234"/>
      <c r="AM101" s="234"/>
    </row>
    <row r="102" spans="1:39" ht="20.25">
      <c r="A102" s="424" t="s">
        <v>131</v>
      </c>
      <c r="B102" s="295"/>
      <c r="C102" s="295"/>
      <c r="D102" s="318"/>
      <c r="E102" s="319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111"/>
        <v>0</v>
      </c>
      <c r="AF102" s="381"/>
      <c r="AG102" s="408"/>
      <c r="AH102" s="409">
        <f t="shared" si="112"/>
        <v>0</v>
      </c>
      <c r="AI102" s="410"/>
      <c r="AJ102" s="411">
        <f t="shared" si="114"/>
        <v>0</v>
      </c>
      <c r="AK102" s="234"/>
      <c r="AL102" s="234"/>
      <c r="AM102" s="234"/>
    </row>
    <row r="103" spans="1:39" ht="20.25">
      <c r="A103" s="424" t="s">
        <v>131</v>
      </c>
      <c r="B103" s="295"/>
      <c r="C103" s="295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111"/>
        <v>0</v>
      </c>
      <c r="AF103" s="381"/>
      <c r="AG103" s="408"/>
      <c r="AH103" s="409">
        <f t="shared" si="112"/>
        <v>0</v>
      </c>
      <c r="AI103" s="410"/>
      <c r="AJ103" s="411">
        <f t="shared" si="114"/>
        <v>0</v>
      </c>
      <c r="AK103" s="234"/>
      <c r="AL103" s="234"/>
      <c r="AM103" s="234"/>
    </row>
    <row r="104" spans="1:39" ht="20.25">
      <c r="A104" s="424" t="s">
        <v>131</v>
      </c>
      <c r="B104" s="323"/>
      <c r="C104" s="323"/>
      <c r="D104" s="324"/>
      <c r="E104" s="325"/>
      <c r="F104" s="297"/>
      <c r="G104" s="297"/>
      <c r="H104" s="298"/>
      <c r="I104" s="298"/>
      <c r="J104" s="297"/>
      <c r="K104" s="344"/>
      <c r="L104" s="355"/>
      <c r="M104" s="343"/>
      <c r="N104" s="298"/>
      <c r="O104" s="298"/>
      <c r="P104" s="298"/>
      <c r="Q104" s="298"/>
      <c r="R104" s="298"/>
      <c r="S104" s="298"/>
      <c r="T104" s="367"/>
      <c r="U104" s="355"/>
      <c r="V104" s="325"/>
      <c r="W104" s="297"/>
      <c r="X104" s="297"/>
      <c r="Y104" s="298"/>
      <c r="Z104" s="298"/>
      <c r="AA104" s="298"/>
      <c r="AB104" s="297"/>
      <c r="AC104" s="375"/>
      <c r="AD104" s="355"/>
      <c r="AE104" s="376">
        <f t="shared" si="111"/>
        <v>0</v>
      </c>
      <c r="AF104" s="377"/>
      <c r="AG104" s="390"/>
      <c r="AH104" s="391">
        <f t="shared" si="112"/>
        <v>0</v>
      </c>
      <c r="AI104" s="412"/>
      <c r="AJ104" s="413">
        <f t="shared" si="114"/>
        <v>0</v>
      </c>
      <c r="AK104" s="414" t="s">
        <v>8</v>
      </c>
      <c r="AL104" s="397" t="s">
        <v>23</v>
      </c>
      <c r="AM104" s="415" t="s">
        <v>174</v>
      </c>
    </row>
    <row r="105" spans="1:39" ht="20.25">
      <c r="A105" s="424" t="s">
        <v>131</v>
      </c>
      <c r="B105" s="323"/>
      <c r="C105" s="323"/>
      <c r="D105" s="324"/>
      <c r="E105" s="325"/>
      <c r="F105" s="297"/>
      <c r="G105" s="297"/>
      <c r="H105" s="298"/>
      <c r="I105" s="298"/>
      <c r="J105" s="297"/>
      <c r="K105" s="344"/>
      <c r="L105" s="355"/>
      <c r="M105" s="343"/>
      <c r="N105" s="298"/>
      <c r="O105" s="298"/>
      <c r="P105" s="298"/>
      <c r="Q105" s="298"/>
      <c r="R105" s="298"/>
      <c r="S105" s="298"/>
      <c r="T105" s="367"/>
      <c r="U105" s="355"/>
      <c r="V105" s="325"/>
      <c r="W105" s="297"/>
      <c r="X105" s="297"/>
      <c r="Y105" s="298"/>
      <c r="Z105" s="298"/>
      <c r="AA105" s="298"/>
      <c r="AB105" s="297"/>
      <c r="AC105" s="375"/>
      <c r="AD105" s="355"/>
      <c r="AE105" s="376">
        <f t="shared" ref="AE105" si="115">SUM(E105:AC105)</f>
        <v>0</v>
      </c>
      <c r="AF105" s="377"/>
      <c r="AG105" s="390"/>
      <c r="AH105" s="391">
        <f t="shared" ref="AH105" si="116">AE105+AF105</f>
        <v>0</v>
      </c>
      <c r="AI105" s="412"/>
      <c r="AJ105" s="413">
        <f t="shared" ref="AJ105" si="117">AH105+AI105</f>
        <v>0</v>
      </c>
      <c r="AK105" s="414" t="s">
        <v>8</v>
      </c>
      <c r="AL105" s="397" t="s">
        <v>23</v>
      </c>
      <c r="AM105" s="415" t="s">
        <v>174</v>
      </c>
    </row>
    <row r="106" spans="1:39" ht="20.25">
      <c r="A106" s="424" t="s">
        <v>131</v>
      </c>
      <c r="B106" s="323"/>
      <c r="C106" s="323"/>
      <c r="D106" s="324"/>
      <c r="E106" s="325"/>
      <c r="F106" s="297"/>
      <c r="G106" s="297"/>
      <c r="H106" s="298"/>
      <c r="I106" s="298"/>
      <c r="J106" s="297"/>
      <c r="K106" s="344"/>
      <c r="L106" s="355"/>
      <c r="M106" s="343"/>
      <c r="N106" s="298"/>
      <c r="O106" s="298"/>
      <c r="P106" s="298"/>
      <c r="Q106" s="298"/>
      <c r="R106" s="298"/>
      <c r="S106" s="298"/>
      <c r="T106" s="367"/>
      <c r="U106" s="355"/>
      <c r="V106" s="325"/>
      <c r="W106" s="297"/>
      <c r="X106" s="297"/>
      <c r="Y106" s="298"/>
      <c r="Z106" s="298"/>
      <c r="AA106" s="298"/>
      <c r="AB106" s="297"/>
      <c r="AC106" s="375"/>
      <c r="AD106" s="355"/>
      <c r="AE106" s="376">
        <f t="shared" ref="AE106:AE107" si="118">SUM(E106:AC106)</f>
        <v>0</v>
      </c>
      <c r="AF106" s="377"/>
      <c r="AG106" s="390"/>
      <c r="AH106" s="391">
        <f t="shared" ref="AH106:AH107" si="119">AE106+AF106</f>
        <v>0</v>
      </c>
      <c r="AI106" s="412"/>
      <c r="AJ106" s="413">
        <f t="shared" ref="AJ106:AJ107" si="120">AH106+AI106</f>
        <v>0</v>
      </c>
      <c r="AK106" s="414" t="s">
        <v>8</v>
      </c>
      <c r="AL106" s="397" t="s">
        <v>23</v>
      </c>
      <c r="AM106" s="415" t="s">
        <v>174</v>
      </c>
    </row>
    <row r="107" spans="1:39" ht="20.25">
      <c r="A107" s="424" t="s">
        <v>131</v>
      </c>
      <c r="B107" s="323"/>
      <c r="C107" s="323"/>
      <c r="D107" s="324"/>
      <c r="E107" s="325"/>
      <c r="F107" s="297"/>
      <c r="G107" s="297"/>
      <c r="H107" s="298"/>
      <c r="I107" s="298"/>
      <c r="J107" s="297"/>
      <c r="K107" s="344"/>
      <c r="L107" s="355"/>
      <c r="M107" s="343"/>
      <c r="N107" s="298"/>
      <c r="O107" s="298"/>
      <c r="P107" s="298"/>
      <c r="Q107" s="298"/>
      <c r="R107" s="298"/>
      <c r="S107" s="298"/>
      <c r="T107" s="367"/>
      <c r="U107" s="355"/>
      <c r="V107" s="325"/>
      <c r="W107" s="297"/>
      <c r="X107" s="297"/>
      <c r="Y107" s="298"/>
      <c r="Z107" s="298"/>
      <c r="AA107" s="298"/>
      <c r="AB107" s="297"/>
      <c r="AC107" s="375"/>
      <c r="AD107" s="355"/>
      <c r="AE107" s="376">
        <f t="shared" si="118"/>
        <v>0</v>
      </c>
      <c r="AF107" s="377"/>
      <c r="AG107" s="390"/>
      <c r="AH107" s="391">
        <f t="shared" si="119"/>
        <v>0</v>
      </c>
      <c r="AI107" s="412"/>
      <c r="AJ107" s="413">
        <f t="shared" si="120"/>
        <v>0</v>
      </c>
      <c r="AK107" s="414" t="s">
        <v>8</v>
      </c>
      <c r="AL107" s="397" t="s">
        <v>23</v>
      </c>
      <c r="AM107" s="415" t="s">
        <v>174</v>
      </c>
    </row>
    <row r="108" spans="1:39" ht="20.25">
      <c r="A108" s="424" t="s">
        <v>131</v>
      </c>
      <c r="B108" s="323"/>
      <c r="C108" s="323"/>
      <c r="D108" s="324"/>
      <c r="E108" s="325"/>
      <c r="F108" s="297"/>
      <c r="G108" s="297"/>
      <c r="H108" s="298"/>
      <c r="I108" s="298"/>
      <c r="J108" s="297"/>
      <c r="K108" s="344"/>
      <c r="L108" s="355"/>
      <c r="M108" s="343"/>
      <c r="N108" s="298"/>
      <c r="O108" s="298"/>
      <c r="P108" s="298"/>
      <c r="Q108" s="298"/>
      <c r="R108" s="298"/>
      <c r="S108" s="298"/>
      <c r="T108" s="367"/>
      <c r="U108" s="355"/>
      <c r="V108" s="325"/>
      <c r="W108" s="297"/>
      <c r="X108" s="297"/>
      <c r="Y108" s="298"/>
      <c r="Z108" s="298"/>
      <c r="AA108" s="298"/>
      <c r="AB108" s="297"/>
      <c r="AC108" s="375"/>
      <c r="AD108" s="355"/>
      <c r="AE108" s="376">
        <f t="shared" ref="AE108" si="121">SUM(E108:AC108)</f>
        <v>0</v>
      </c>
      <c r="AF108" s="377"/>
      <c r="AG108" s="390"/>
      <c r="AH108" s="391">
        <f t="shared" ref="AH108" si="122">AE108+AF108</f>
        <v>0</v>
      </c>
      <c r="AI108" s="412"/>
      <c r="AJ108" s="413">
        <f t="shared" ref="AJ108" si="123">AH108+AI108</f>
        <v>0</v>
      </c>
      <c r="AK108" s="414" t="s">
        <v>8</v>
      </c>
      <c r="AL108" s="397" t="s">
        <v>23</v>
      </c>
      <c r="AM108" s="415" t="s">
        <v>174</v>
      </c>
    </row>
    <row r="109" spans="1:39" ht="20.25">
      <c r="A109" s="424" t="s">
        <v>131</v>
      </c>
      <c r="B109" s="323"/>
      <c r="C109" s="323"/>
      <c r="D109" s="324"/>
      <c r="E109" s="325"/>
      <c r="F109" s="297"/>
      <c r="G109" s="297"/>
      <c r="H109" s="298"/>
      <c r="I109" s="298"/>
      <c r="J109" s="297"/>
      <c r="K109" s="344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6">
        <f t="shared" ref="AE109:AE110" si="124">SUM(E109:AC109)</f>
        <v>0</v>
      </c>
      <c r="AF109" s="377"/>
      <c r="AG109" s="390"/>
      <c r="AH109" s="391">
        <f t="shared" ref="AH109:AH110" si="125">AE109+AF109</f>
        <v>0</v>
      </c>
      <c r="AI109" s="412"/>
      <c r="AJ109" s="413">
        <f t="shared" ref="AJ109:AJ110" si="126">AH109+AI109</f>
        <v>0</v>
      </c>
      <c r="AK109" s="414" t="s">
        <v>8</v>
      </c>
      <c r="AL109" s="397" t="s">
        <v>23</v>
      </c>
      <c r="AM109" s="415" t="s">
        <v>174</v>
      </c>
    </row>
    <row r="110" spans="1:39" ht="20.25">
      <c r="A110" s="424" t="s">
        <v>131</v>
      </c>
      <c r="B110" s="323"/>
      <c r="C110" s="323"/>
      <c r="D110" s="324"/>
      <c r="E110" s="325"/>
      <c r="F110" s="297"/>
      <c r="G110" s="297"/>
      <c r="H110" s="298"/>
      <c r="I110" s="298"/>
      <c r="J110" s="297"/>
      <c r="K110" s="344"/>
      <c r="L110" s="355"/>
      <c r="M110" s="343"/>
      <c r="N110" s="298"/>
      <c r="O110" s="298"/>
      <c r="P110" s="298"/>
      <c r="Q110" s="298"/>
      <c r="R110" s="298"/>
      <c r="S110" s="298"/>
      <c r="T110" s="367"/>
      <c r="U110" s="355"/>
      <c r="V110" s="325"/>
      <c r="W110" s="297"/>
      <c r="X110" s="297"/>
      <c r="Y110" s="298"/>
      <c r="Z110" s="298"/>
      <c r="AA110" s="298"/>
      <c r="AB110" s="297"/>
      <c r="AC110" s="375"/>
      <c r="AD110" s="355"/>
      <c r="AE110" s="376">
        <f t="shared" si="124"/>
        <v>0</v>
      </c>
      <c r="AF110" s="377"/>
      <c r="AG110" s="390"/>
      <c r="AH110" s="391">
        <f t="shared" si="125"/>
        <v>0</v>
      </c>
      <c r="AI110" s="412"/>
      <c r="AJ110" s="413">
        <f t="shared" si="126"/>
        <v>0</v>
      </c>
      <c r="AK110" s="414" t="s">
        <v>8</v>
      </c>
      <c r="AL110" s="397" t="s">
        <v>23</v>
      </c>
      <c r="AM110" s="415" t="s">
        <v>174</v>
      </c>
    </row>
    <row r="111" spans="1:39" ht="20.25">
      <c r="A111" s="424" t="s">
        <v>131</v>
      </c>
      <c r="B111" s="323"/>
      <c r="C111" s="323"/>
      <c r="D111" s="324"/>
      <c r="E111" s="325"/>
      <c r="F111" s="297"/>
      <c r="G111" s="297"/>
      <c r="H111" s="298"/>
      <c r="I111" s="298"/>
      <c r="J111" s="297"/>
      <c r="K111" s="344"/>
      <c r="L111" s="355"/>
      <c r="M111" s="343"/>
      <c r="N111" s="298"/>
      <c r="O111" s="298"/>
      <c r="P111" s="298"/>
      <c r="Q111" s="298"/>
      <c r="R111" s="298"/>
      <c r="S111" s="298"/>
      <c r="T111" s="367"/>
      <c r="U111" s="355"/>
      <c r="V111" s="325"/>
      <c r="W111" s="297"/>
      <c r="X111" s="297"/>
      <c r="Y111" s="298"/>
      <c r="Z111" s="298"/>
      <c r="AA111" s="298"/>
      <c r="AB111" s="297"/>
      <c r="AC111" s="375"/>
      <c r="AD111" s="355"/>
      <c r="AE111" s="376">
        <f t="shared" ref="AE111:AE112" si="127">SUM(E111:AC111)</f>
        <v>0</v>
      </c>
      <c r="AF111" s="377"/>
      <c r="AG111" s="390"/>
      <c r="AH111" s="391">
        <f t="shared" ref="AH111:AH112" si="128">AE111+AF111</f>
        <v>0</v>
      </c>
      <c r="AI111" s="412"/>
      <c r="AJ111" s="413">
        <f t="shared" ref="AJ111:AJ112" si="129">AH111+AI111</f>
        <v>0</v>
      </c>
      <c r="AK111" s="414" t="s">
        <v>8</v>
      </c>
      <c r="AL111" s="397" t="s">
        <v>23</v>
      </c>
      <c r="AM111" s="415" t="s">
        <v>174</v>
      </c>
    </row>
    <row r="112" spans="1:39" ht="20.25">
      <c r="A112" s="424" t="s">
        <v>131</v>
      </c>
      <c r="B112" s="323"/>
      <c r="C112" s="323"/>
      <c r="D112" s="324"/>
      <c r="E112" s="325"/>
      <c r="F112" s="297"/>
      <c r="G112" s="297"/>
      <c r="H112" s="298"/>
      <c r="I112" s="298"/>
      <c r="J112" s="297"/>
      <c r="K112" s="344"/>
      <c r="L112" s="355"/>
      <c r="M112" s="343"/>
      <c r="N112" s="298"/>
      <c r="O112" s="298"/>
      <c r="P112" s="298"/>
      <c r="Q112" s="298"/>
      <c r="R112" s="298"/>
      <c r="S112" s="298"/>
      <c r="T112" s="367"/>
      <c r="U112" s="355"/>
      <c r="V112" s="325"/>
      <c r="W112" s="297"/>
      <c r="X112" s="297"/>
      <c r="Y112" s="298"/>
      <c r="Z112" s="298"/>
      <c r="AA112" s="298"/>
      <c r="AB112" s="297"/>
      <c r="AC112" s="375"/>
      <c r="AD112" s="355"/>
      <c r="AE112" s="376">
        <f t="shared" si="127"/>
        <v>0</v>
      </c>
      <c r="AF112" s="377"/>
      <c r="AG112" s="390"/>
      <c r="AH112" s="391">
        <f t="shared" si="128"/>
        <v>0</v>
      </c>
      <c r="AI112" s="412"/>
      <c r="AJ112" s="413">
        <f t="shared" si="129"/>
        <v>0</v>
      </c>
      <c r="AK112" s="414" t="s">
        <v>8</v>
      </c>
      <c r="AL112" s="397" t="s">
        <v>23</v>
      </c>
      <c r="AM112" s="415" t="s">
        <v>174</v>
      </c>
    </row>
    <row r="113" spans="1:39" ht="18.75">
      <c r="A113" s="326" t="s">
        <v>132</v>
      </c>
      <c r="B113" s="327"/>
      <c r="C113" s="327"/>
      <c r="D113" s="328"/>
      <c r="E113" s="329">
        <f t="shared" ref="E113:AJ113" si="130">SUM(E96:E112)</f>
        <v>0</v>
      </c>
      <c r="F113" s="329">
        <f t="shared" si="130"/>
        <v>0</v>
      </c>
      <c r="G113" s="329">
        <f t="shared" si="130"/>
        <v>0</v>
      </c>
      <c r="H113" s="329">
        <f t="shared" si="130"/>
        <v>0</v>
      </c>
      <c r="I113" s="329">
        <f t="shared" si="130"/>
        <v>0</v>
      </c>
      <c r="J113" s="329">
        <f t="shared" si="130"/>
        <v>0</v>
      </c>
      <c r="K113" s="329">
        <f t="shared" si="130"/>
        <v>0</v>
      </c>
      <c r="L113" s="329">
        <f t="shared" si="130"/>
        <v>0</v>
      </c>
      <c r="M113" s="329">
        <f t="shared" si="130"/>
        <v>0</v>
      </c>
      <c r="N113" s="329">
        <f t="shared" si="130"/>
        <v>0</v>
      </c>
      <c r="O113" s="329">
        <f t="shared" si="130"/>
        <v>0</v>
      </c>
      <c r="P113" s="329">
        <f t="shared" si="130"/>
        <v>0</v>
      </c>
      <c r="Q113" s="329">
        <f t="shared" si="130"/>
        <v>0</v>
      </c>
      <c r="R113" s="329">
        <f t="shared" si="130"/>
        <v>0</v>
      </c>
      <c r="S113" s="329">
        <f t="shared" si="130"/>
        <v>0</v>
      </c>
      <c r="T113" s="329">
        <f t="shared" si="130"/>
        <v>0</v>
      </c>
      <c r="U113" s="329">
        <f t="shared" si="130"/>
        <v>0</v>
      </c>
      <c r="V113" s="329">
        <f t="shared" si="130"/>
        <v>0</v>
      </c>
      <c r="W113" s="329">
        <f t="shared" si="130"/>
        <v>0</v>
      </c>
      <c r="X113" s="329">
        <f t="shared" si="130"/>
        <v>0</v>
      </c>
      <c r="Y113" s="329">
        <f t="shared" si="130"/>
        <v>0</v>
      </c>
      <c r="Z113" s="329">
        <f t="shared" si="130"/>
        <v>0</v>
      </c>
      <c r="AA113" s="329">
        <f t="shared" si="130"/>
        <v>0</v>
      </c>
      <c r="AB113" s="329">
        <f t="shared" si="130"/>
        <v>0</v>
      </c>
      <c r="AC113" s="329">
        <f t="shared" si="130"/>
        <v>0</v>
      </c>
      <c r="AD113" s="329"/>
      <c r="AE113" s="329">
        <f t="shared" si="130"/>
        <v>0</v>
      </c>
      <c r="AF113" s="329">
        <f t="shared" si="130"/>
        <v>0</v>
      </c>
      <c r="AG113" s="329">
        <f t="shared" si="130"/>
        <v>0</v>
      </c>
      <c r="AH113" s="329">
        <f t="shared" si="130"/>
        <v>0</v>
      </c>
      <c r="AI113" s="329">
        <f t="shared" si="130"/>
        <v>0</v>
      </c>
      <c r="AJ113" s="329">
        <f t="shared" si="130"/>
        <v>0</v>
      </c>
      <c r="AK113" s="399">
        <f>'BIG CHAIR'!CL119</f>
        <v>0</v>
      </c>
      <c r="AL113" s="400">
        <f>'Tea Table'!X207</f>
        <v>120</v>
      </c>
      <c r="AM113" s="401">
        <f>AH113+AK113+AL113</f>
        <v>120</v>
      </c>
    </row>
    <row r="115" spans="1:39" s="284" customFormat="1" ht="8.25" customHeight="1" thickBot="1">
      <c r="A115" s="425"/>
      <c r="B115" s="426"/>
      <c r="C115" s="426"/>
      <c r="D115" s="427"/>
      <c r="E115" s="428"/>
      <c r="F115" s="428"/>
      <c r="G115" s="428"/>
      <c r="H115" s="428"/>
      <c r="I115" s="428"/>
      <c r="J115" s="428"/>
      <c r="K115" s="428"/>
      <c r="L115" s="478"/>
      <c r="M115" s="479"/>
      <c r="N115" s="479"/>
      <c r="O115" s="479"/>
      <c r="P115" s="479"/>
      <c r="Q115" s="479"/>
      <c r="R115" s="479"/>
      <c r="S115" s="479"/>
      <c r="T115" s="479"/>
      <c r="U115" s="478"/>
      <c r="V115" s="479"/>
      <c r="W115" s="479"/>
      <c r="X115" s="479"/>
      <c r="Y115" s="479"/>
      <c r="Z115" s="479"/>
      <c r="AA115" s="479"/>
      <c r="AB115" s="479"/>
      <c r="AC115" s="479"/>
      <c r="AD115" s="478"/>
      <c r="AE115" s="479"/>
      <c r="AF115" s="479"/>
      <c r="AG115" s="479"/>
      <c r="AH115" s="479"/>
      <c r="AI115" s="479"/>
      <c r="AJ115" s="506"/>
      <c r="AK115" s="403"/>
      <c r="AL115" s="403"/>
      <c r="AM115" s="403"/>
    </row>
    <row r="116" spans="1:39" s="282" customFormat="1" ht="24" thickBot="1">
      <c r="A116" s="721" t="s">
        <v>393</v>
      </c>
      <c r="B116" s="3526" t="s">
        <v>68</v>
      </c>
      <c r="C116" s="287" t="s">
        <v>69</v>
      </c>
      <c r="D116" s="288" t="s">
        <v>70</v>
      </c>
      <c r="E116" s="2703" t="s">
        <v>190</v>
      </c>
      <c r="F116" s="2701" t="s">
        <v>222</v>
      </c>
      <c r="G116" s="2701" t="s">
        <v>94</v>
      </c>
      <c r="H116" s="2701"/>
      <c r="I116" s="2701" t="s">
        <v>541</v>
      </c>
      <c r="J116" s="2701" t="s">
        <v>464</v>
      </c>
      <c r="K116" s="2704" t="s">
        <v>53</v>
      </c>
      <c r="L116" s="2699"/>
      <c r="M116" s="2703" t="s">
        <v>85</v>
      </c>
      <c r="N116" s="2701" t="s">
        <v>190</v>
      </c>
      <c r="O116" s="2701" t="s">
        <v>76</v>
      </c>
      <c r="P116" s="2701" t="s">
        <v>53</v>
      </c>
      <c r="Q116" s="2701" t="s">
        <v>86</v>
      </c>
      <c r="R116" s="2701" t="s">
        <v>94</v>
      </c>
      <c r="S116" s="2704" t="s">
        <v>96</v>
      </c>
      <c r="T116" s="2700" t="s">
        <v>533</v>
      </c>
      <c r="U116" s="2699"/>
      <c r="V116" s="2703"/>
      <c r="W116" s="2701"/>
      <c r="X116" s="2701"/>
      <c r="Y116" s="2701"/>
      <c r="Z116" s="2701"/>
      <c r="AA116" s="2701" t="s">
        <v>53</v>
      </c>
      <c r="AB116" s="2704"/>
      <c r="AC116" s="2705"/>
      <c r="AD116" s="370"/>
      <c r="AE116" s="371" t="s">
        <v>172</v>
      </c>
      <c r="AF116" s="372" t="s">
        <v>80</v>
      </c>
      <c r="AG116" s="385"/>
      <c r="AH116" s="386" t="s">
        <v>106</v>
      </c>
      <c r="AI116" s="385" t="s">
        <v>173</v>
      </c>
      <c r="AJ116" s="371" t="s">
        <v>108</v>
      </c>
    </row>
    <row r="117" spans="1:39" s="283" customFormat="1" ht="20.25">
      <c r="A117" s="792" t="s">
        <v>392</v>
      </c>
      <c r="B117" s="295"/>
      <c r="C117" s="295"/>
      <c r="D117" s="318"/>
      <c r="E117" s="332"/>
      <c r="F117" s="333"/>
      <c r="G117" s="333"/>
      <c r="H117" s="334"/>
      <c r="I117" s="334"/>
      <c r="J117" s="333"/>
      <c r="K117" s="360"/>
      <c r="L117" s="361"/>
      <c r="M117" s="362"/>
      <c r="N117" s="334"/>
      <c r="O117" s="334"/>
      <c r="P117" s="334"/>
      <c r="Q117" s="334"/>
      <c r="R117" s="334"/>
      <c r="S117" s="334"/>
      <c r="T117" s="798"/>
      <c r="U117" s="361"/>
      <c r="V117" s="332"/>
      <c r="W117" s="333"/>
      <c r="X117" s="333"/>
      <c r="Y117" s="334"/>
      <c r="Z117" s="334"/>
      <c r="AA117" s="334"/>
      <c r="AB117" s="333"/>
      <c r="AC117" s="383"/>
      <c r="AD117" s="352"/>
      <c r="AE117" s="381">
        <f>SUM(E117:AC117)</f>
        <v>0</v>
      </c>
      <c r="AF117" s="381"/>
      <c r="AG117" s="408"/>
      <c r="AH117" s="409">
        <f>AE117+AF117</f>
        <v>0</v>
      </c>
      <c r="AI117" s="410"/>
      <c r="AJ117" s="411">
        <f>AH117+AI117</f>
        <v>0</v>
      </c>
    </row>
    <row r="118" spans="1:39" s="283" customFormat="1" ht="20.25">
      <c r="A118" s="792" t="s">
        <v>392</v>
      </c>
      <c r="B118" s="295"/>
      <c r="C118" s="295"/>
      <c r="D118" s="318"/>
      <c r="E118" s="319"/>
      <c r="F118" s="320"/>
      <c r="G118" s="320"/>
      <c r="H118" s="321"/>
      <c r="I118" s="321"/>
      <c r="J118" s="320"/>
      <c r="K118" s="354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ref="AE118:AE133" si="131">SUM(E118:AC118)</f>
        <v>0</v>
      </c>
      <c r="AF118" s="381"/>
      <c r="AG118" s="408"/>
      <c r="AH118" s="409">
        <f t="shared" ref="AH118:AH133" si="132">AE118+AF118</f>
        <v>0</v>
      </c>
      <c r="AI118" s="410"/>
      <c r="AJ118" s="411">
        <f t="shared" ref="AJ118:AJ133" si="133">AH118+AI118</f>
        <v>0</v>
      </c>
    </row>
    <row r="119" spans="1:39" s="283" customFormat="1" ht="20.25">
      <c r="A119" s="792" t="s">
        <v>392</v>
      </c>
      <c r="B119" s="295"/>
      <c r="C119" s="295"/>
      <c r="D119" s="318"/>
      <c r="E119" s="319"/>
      <c r="F119" s="320"/>
      <c r="G119" s="320"/>
      <c r="H119" s="321"/>
      <c r="I119" s="321"/>
      <c r="J119" s="320"/>
      <c r="K119" s="354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131"/>
        <v>0</v>
      </c>
      <c r="AF119" s="381"/>
      <c r="AG119" s="408"/>
      <c r="AH119" s="409">
        <f t="shared" si="132"/>
        <v>0</v>
      </c>
      <c r="AI119" s="410"/>
      <c r="AJ119" s="411">
        <f t="shared" si="133"/>
        <v>0</v>
      </c>
    </row>
    <row r="120" spans="1:39" s="283" customFormat="1" ht="20.25">
      <c r="A120" s="792" t="s">
        <v>392</v>
      </c>
      <c r="B120" s="295"/>
      <c r="C120" s="295"/>
      <c r="D120" s="318"/>
      <c r="E120" s="319"/>
      <c r="F120" s="320"/>
      <c r="G120" s="320"/>
      <c r="H120" s="321"/>
      <c r="I120" s="321"/>
      <c r="J120" s="320"/>
      <c r="K120" s="354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131"/>
        <v>0</v>
      </c>
      <c r="AF120" s="381"/>
      <c r="AG120" s="408"/>
      <c r="AH120" s="409">
        <f t="shared" si="132"/>
        <v>0</v>
      </c>
      <c r="AI120" s="410"/>
      <c r="AJ120" s="411">
        <f t="shared" si="133"/>
        <v>0</v>
      </c>
    </row>
    <row r="121" spans="1:39" s="283" customFormat="1" ht="20.25">
      <c r="A121" s="792" t="s">
        <v>392</v>
      </c>
      <c r="B121" s="295"/>
      <c r="C121" s="295"/>
      <c r="D121" s="318"/>
      <c r="E121" s="319"/>
      <c r="F121" s="320"/>
      <c r="G121" s="320"/>
      <c r="H121" s="321"/>
      <c r="I121" s="321"/>
      <c r="J121" s="320"/>
      <c r="K121" s="354"/>
      <c r="L121" s="352"/>
      <c r="M121" s="353"/>
      <c r="N121" s="321"/>
      <c r="O121" s="321"/>
      <c r="P121" s="321"/>
      <c r="Q121" s="321"/>
      <c r="R121" s="321"/>
      <c r="S121" s="321"/>
      <c r="T121" s="351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si="131"/>
        <v>0</v>
      </c>
      <c r="AF121" s="381"/>
      <c r="AG121" s="408"/>
      <c r="AH121" s="409">
        <f t="shared" si="132"/>
        <v>0</v>
      </c>
      <c r="AI121" s="410"/>
      <c r="AJ121" s="411">
        <f t="shared" si="133"/>
        <v>0</v>
      </c>
    </row>
    <row r="122" spans="1:39" s="283" customFormat="1" ht="20.25">
      <c r="A122" s="792" t="s">
        <v>392</v>
      </c>
      <c r="B122" s="295"/>
      <c r="C122" s="295"/>
      <c r="D122" s="318"/>
      <c r="E122" s="319"/>
      <c r="F122" s="320"/>
      <c r="G122" s="320"/>
      <c r="H122" s="321"/>
      <c r="I122" s="321"/>
      <c r="J122" s="320"/>
      <c r="K122" s="354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131"/>
        <v>0</v>
      </c>
      <c r="AF122" s="381"/>
      <c r="AG122" s="408"/>
      <c r="AH122" s="409">
        <f t="shared" si="132"/>
        <v>0</v>
      </c>
      <c r="AI122" s="410"/>
      <c r="AJ122" s="411">
        <f t="shared" si="133"/>
        <v>0</v>
      </c>
    </row>
    <row r="123" spans="1:39" s="284" customFormat="1" ht="20.25">
      <c r="A123" s="792" t="s">
        <v>392</v>
      </c>
      <c r="B123" s="295"/>
      <c r="C123" s="295"/>
      <c r="D123" s="318"/>
      <c r="E123" s="319"/>
      <c r="F123" s="320"/>
      <c r="G123" s="320"/>
      <c r="H123" s="321"/>
      <c r="I123" s="321"/>
      <c r="J123" s="320"/>
      <c r="K123" s="354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131"/>
        <v>0</v>
      </c>
      <c r="AF123" s="381"/>
      <c r="AG123" s="408"/>
      <c r="AH123" s="409">
        <f t="shared" si="132"/>
        <v>0</v>
      </c>
      <c r="AI123" s="410"/>
      <c r="AJ123" s="411">
        <f t="shared" si="133"/>
        <v>0</v>
      </c>
      <c r="AK123" s="403"/>
      <c r="AL123" s="403"/>
      <c r="AM123" s="403"/>
    </row>
    <row r="124" spans="1:39" s="282" customFormat="1" ht="20.25">
      <c r="A124" s="792" t="s">
        <v>392</v>
      </c>
      <c r="B124" s="295"/>
      <c r="C124" s="295"/>
      <c r="D124" s="318"/>
      <c r="E124" s="319"/>
      <c r="F124" s="320"/>
      <c r="G124" s="320"/>
      <c r="H124" s="321"/>
      <c r="I124" s="321"/>
      <c r="J124" s="320"/>
      <c r="K124" s="354"/>
      <c r="L124" s="352"/>
      <c r="M124" s="353"/>
      <c r="N124" s="321"/>
      <c r="O124" s="321"/>
      <c r="P124" s="321"/>
      <c r="Q124" s="321"/>
      <c r="R124" s="321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131"/>
        <v>0</v>
      </c>
      <c r="AF124" s="381"/>
      <c r="AG124" s="408"/>
      <c r="AH124" s="409">
        <f t="shared" si="132"/>
        <v>0</v>
      </c>
      <c r="AI124" s="410"/>
      <c r="AJ124" s="411">
        <f t="shared" si="133"/>
        <v>0</v>
      </c>
    </row>
    <row r="125" spans="1:39" s="283" customFormat="1" ht="20.25">
      <c r="A125" s="792" t="s">
        <v>392</v>
      </c>
      <c r="B125" s="323"/>
      <c r="C125" s="323"/>
      <c r="D125" s="324"/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6">
        <f t="shared" si="131"/>
        <v>0</v>
      </c>
      <c r="AF125" s="377"/>
      <c r="AG125" s="390"/>
      <c r="AH125" s="391">
        <f t="shared" si="132"/>
        <v>0</v>
      </c>
      <c r="AI125" s="412"/>
      <c r="AJ125" s="413">
        <f t="shared" si="133"/>
        <v>0</v>
      </c>
    </row>
    <row r="126" spans="1:39" s="283" customFormat="1" ht="20.25">
      <c r="A126" s="792" t="s">
        <v>392</v>
      </c>
      <c r="B126" s="323"/>
      <c r="C126" s="323"/>
      <c r="D126" s="324"/>
      <c r="E126" s="325"/>
      <c r="F126" s="297"/>
      <c r="G126" s="297"/>
      <c r="H126" s="298"/>
      <c r="I126" s="298"/>
      <c r="J126" s="297"/>
      <c r="K126" s="344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/>
      <c r="X126" s="297"/>
      <c r="Y126" s="298"/>
      <c r="Z126" s="298"/>
      <c r="AA126" s="298"/>
      <c r="AB126" s="297"/>
      <c r="AC126" s="375"/>
      <c r="AD126" s="355"/>
      <c r="AE126" s="376">
        <f t="shared" si="131"/>
        <v>0</v>
      </c>
      <c r="AF126" s="377"/>
      <c r="AG126" s="390"/>
      <c r="AH126" s="391">
        <f t="shared" si="132"/>
        <v>0</v>
      </c>
      <c r="AI126" s="412"/>
      <c r="AJ126" s="413">
        <f t="shared" si="133"/>
        <v>0</v>
      </c>
    </row>
    <row r="127" spans="1:39" s="283" customFormat="1" ht="20.25">
      <c r="A127" s="792" t="s">
        <v>392</v>
      </c>
      <c r="B127" s="323"/>
      <c r="C127" s="323"/>
      <c r="D127" s="324"/>
      <c r="E127" s="325"/>
      <c r="F127" s="297"/>
      <c r="G127" s="297"/>
      <c r="H127" s="298"/>
      <c r="I127" s="298"/>
      <c r="J127" s="297"/>
      <c r="K127" s="344"/>
      <c r="L127" s="355"/>
      <c r="M127" s="343"/>
      <c r="N127" s="298"/>
      <c r="O127" s="298"/>
      <c r="P127" s="298"/>
      <c r="Q127" s="298"/>
      <c r="R127" s="298"/>
      <c r="S127" s="298"/>
      <c r="T127" s="367"/>
      <c r="U127" s="355"/>
      <c r="V127" s="325"/>
      <c r="W127" s="297"/>
      <c r="X127" s="297"/>
      <c r="Y127" s="298"/>
      <c r="Z127" s="298"/>
      <c r="AA127" s="298"/>
      <c r="AB127" s="297"/>
      <c r="AC127" s="375"/>
      <c r="AD127" s="355"/>
      <c r="AE127" s="376">
        <f t="shared" si="131"/>
        <v>0</v>
      </c>
      <c r="AF127" s="377"/>
      <c r="AG127" s="390"/>
      <c r="AH127" s="391">
        <f t="shared" si="132"/>
        <v>0</v>
      </c>
      <c r="AI127" s="412"/>
      <c r="AJ127" s="413">
        <f t="shared" si="133"/>
        <v>0</v>
      </c>
    </row>
    <row r="128" spans="1:39" s="283" customFormat="1" ht="20.25">
      <c r="A128" s="792" t="s">
        <v>392</v>
      </c>
      <c r="B128" s="323"/>
      <c r="C128" s="323"/>
      <c r="D128" s="324"/>
      <c r="E128" s="325"/>
      <c r="F128" s="297"/>
      <c r="G128" s="297"/>
      <c r="H128" s="298"/>
      <c r="I128" s="298"/>
      <c r="J128" s="297"/>
      <c r="K128" s="344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6">
        <f t="shared" si="131"/>
        <v>0</v>
      </c>
      <c r="AF128" s="377"/>
      <c r="AG128" s="390"/>
      <c r="AH128" s="391">
        <f t="shared" si="132"/>
        <v>0</v>
      </c>
      <c r="AI128" s="412"/>
      <c r="AJ128" s="413">
        <f t="shared" si="133"/>
        <v>0</v>
      </c>
    </row>
    <row r="129" spans="1:39" s="283" customFormat="1" ht="20.25">
      <c r="A129" s="792" t="s">
        <v>392</v>
      </c>
      <c r="B129" s="323"/>
      <c r="C129" s="323"/>
      <c r="D129" s="324"/>
      <c r="E129" s="325"/>
      <c r="F129" s="297"/>
      <c r="G129" s="297"/>
      <c r="H129" s="298"/>
      <c r="I129" s="298"/>
      <c r="J129" s="297"/>
      <c r="K129" s="344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si="131"/>
        <v>0</v>
      </c>
      <c r="AF129" s="377"/>
      <c r="AG129" s="390"/>
      <c r="AH129" s="391">
        <f t="shared" si="132"/>
        <v>0</v>
      </c>
      <c r="AI129" s="412"/>
      <c r="AJ129" s="413">
        <f t="shared" si="133"/>
        <v>0</v>
      </c>
    </row>
    <row r="130" spans="1:39" s="284" customFormat="1" ht="20.25">
      <c r="A130" s="792" t="s">
        <v>392</v>
      </c>
      <c r="B130" s="323"/>
      <c r="C130" s="323"/>
      <c r="D130" s="324"/>
      <c r="E130" s="325"/>
      <c r="F130" s="297"/>
      <c r="G130" s="297"/>
      <c r="H130" s="298"/>
      <c r="I130" s="298"/>
      <c r="J130" s="297"/>
      <c r="K130" s="344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131"/>
        <v>0</v>
      </c>
      <c r="AF130" s="377"/>
      <c r="AG130" s="390"/>
      <c r="AH130" s="391">
        <f t="shared" si="132"/>
        <v>0</v>
      </c>
      <c r="AI130" s="412"/>
      <c r="AJ130" s="413">
        <f t="shared" si="133"/>
        <v>0</v>
      </c>
      <c r="AK130" s="403"/>
      <c r="AL130" s="403"/>
      <c r="AM130" s="403"/>
    </row>
    <row r="131" spans="1:39" s="282" customFormat="1" ht="20.25">
      <c r="A131" s="792" t="s">
        <v>392</v>
      </c>
      <c r="B131" s="323"/>
      <c r="C131" s="323"/>
      <c r="D131" s="324"/>
      <c r="E131" s="325"/>
      <c r="F131" s="297"/>
      <c r="G131" s="297"/>
      <c r="H131" s="298"/>
      <c r="I131" s="298"/>
      <c r="J131" s="297"/>
      <c r="K131" s="344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si="131"/>
        <v>0</v>
      </c>
      <c r="AF131" s="377"/>
      <c r="AG131" s="390"/>
      <c r="AH131" s="391">
        <f t="shared" si="132"/>
        <v>0</v>
      </c>
      <c r="AI131" s="412"/>
      <c r="AJ131" s="413">
        <f t="shared" si="133"/>
        <v>0</v>
      </c>
    </row>
    <row r="132" spans="1:39" s="283" customFormat="1" ht="20.25">
      <c r="A132" s="792" t="s">
        <v>392</v>
      </c>
      <c r="B132" s="323"/>
      <c r="C132" s="323"/>
      <c r="D132" s="324"/>
      <c r="E132" s="325"/>
      <c r="F132" s="297"/>
      <c r="G132" s="297"/>
      <c r="H132" s="298"/>
      <c r="I132" s="298"/>
      <c r="J132" s="297"/>
      <c r="K132" s="344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131"/>
        <v>0</v>
      </c>
      <c r="AF132" s="377"/>
      <c r="AG132" s="390"/>
      <c r="AH132" s="391">
        <f t="shared" si="132"/>
        <v>0</v>
      </c>
      <c r="AI132" s="412"/>
      <c r="AJ132" s="413">
        <f t="shared" si="133"/>
        <v>0</v>
      </c>
    </row>
    <row r="133" spans="1:39" s="283" customFormat="1" ht="21" thickBot="1">
      <c r="A133" s="792" t="s">
        <v>392</v>
      </c>
      <c r="B133" s="323"/>
      <c r="C133" s="323"/>
      <c r="D133" s="324"/>
      <c r="E133" s="325"/>
      <c r="F133" s="297"/>
      <c r="G133" s="297"/>
      <c r="H133" s="298"/>
      <c r="I133" s="298"/>
      <c r="J133" s="297"/>
      <c r="K133" s="344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131"/>
        <v>0</v>
      </c>
      <c r="AF133" s="377"/>
      <c r="AG133" s="390"/>
      <c r="AH133" s="391">
        <f t="shared" si="132"/>
        <v>0</v>
      </c>
      <c r="AI133" s="412"/>
      <c r="AJ133" s="413">
        <f t="shared" si="133"/>
        <v>0</v>
      </c>
    </row>
    <row r="134" spans="1:39" s="283" customFormat="1" ht="19.5" thickBot="1">
      <c r="A134" s="326" t="s">
        <v>415</v>
      </c>
      <c r="B134" s="327"/>
      <c r="C134" s="327"/>
      <c r="D134" s="328"/>
      <c r="E134" s="329">
        <f t="shared" ref="E134:AC134" si="134">SUM(E117:E133)</f>
        <v>0</v>
      </c>
      <c r="F134" s="329">
        <f t="shared" si="134"/>
        <v>0</v>
      </c>
      <c r="G134" s="329">
        <f t="shared" si="134"/>
        <v>0</v>
      </c>
      <c r="H134" s="329">
        <f t="shared" si="134"/>
        <v>0</v>
      </c>
      <c r="I134" s="329">
        <f t="shared" si="134"/>
        <v>0</v>
      </c>
      <c r="J134" s="329">
        <f t="shared" si="134"/>
        <v>0</v>
      </c>
      <c r="K134" s="329">
        <f t="shared" si="134"/>
        <v>0</v>
      </c>
      <c r="L134" s="329">
        <f t="shared" si="134"/>
        <v>0</v>
      </c>
      <c r="M134" s="329">
        <f t="shared" si="134"/>
        <v>0</v>
      </c>
      <c r="N134" s="329">
        <f t="shared" si="134"/>
        <v>0</v>
      </c>
      <c r="O134" s="329">
        <f t="shared" si="134"/>
        <v>0</v>
      </c>
      <c r="P134" s="329">
        <f t="shared" si="134"/>
        <v>0</v>
      </c>
      <c r="Q134" s="329">
        <f t="shared" si="134"/>
        <v>0</v>
      </c>
      <c r="R134" s="329">
        <f t="shared" si="134"/>
        <v>0</v>
      </c>
      <c r="S134" s="329">
        <f t="shared" si="134"/>
        <v>0</v>
      </c>
      <c r="T134" s="329">
        <f t="shared" si="134"/>
        <v>0</v>
      </c>
      <c r="U134" s="329">
        <f t="shared" si="134"/>
        <v>0</v>
      </c>
      <c r="V134" s="329">
        <f t="shared" si="134"/>
        <v>0</v>
      </c>
      <c r="W134" s="329">
        <f t="shared" si="134"/>
        <v>0</v>
      </c>
      <c r="X134" s="329">
        <f t="shared" si="134"/>
        <v>0</v>
      </c>
      <c r="Y134" s="329">
        <f t="shared" si="134"/>
        <v>0</v>
      </c>
      <c r="Z134" s="329">
        <f t="shared" si="134"/>
        <v>0</v>
      </c>
      <c r="AA134" s="329">
        <f t="shared" si="134"/>
        <v>0</v>
      </c>
      <c r="AB134" s="329">
        <f t="shared" si="134"/>
        <v>0</v>
      </c>
      <c r="AC134" s="329">
        <f t="shared" si="134"/>
        <v>0</v>
      </c>
      <c r="AD134" s="329"/>
      <c r="AE134" s="329">
        <f t="shared" ref="AE134:AJ134" si="135">SUM(AE117:AE133)</f>
        <v>0</v>
      </c>
      <c r="AF134" s="329">
        <f t="shared" si="135"/>
        <v>0</v>
      </c>
      <c r="AG134" s="329">
        <f t="shared" si="135"/>
        <v>0</v>
      </c>
      <c r="AH134" s="329">
        <f t="shared" si="135"/>
        <v>0</v>
      </c>
      <c r="AI134" s="329">
        <f t="shared" si="135"/>
        <v>0</v>
      </c>
      <c r="AJ134" s="329">
        <f t="shared" si="135"/>
        <v>0</v>
      </c>
    </row>
    <row r="135" spans="1:39" s="283" customFormat="1" ht="18.75" thickBot="1">
      <c r="A135" s="429" t="s">
        <v>179</v>
      </c>
      <c r="B135" s="287" t="s">
        <v>68</v>
      </c>
      <c r="C135" s="287" t="s">
        <v>69</v>
      </c>
      <c r="D135" s="288" t="s">
        <v>70</v>
      </c>
      <c r="E135" s="2697" t="s">
        <v>190</v>
      </c>
      <c r="F135" s="2698" t="s">
        <v>222</v>
      </c>
      <c r="G135" s="2698" t="s">
        <v>94</v>
      </c>
      <c r="H135" s="2698"/>
      <c r="I135" s="2698" t="s">
        <v>95</v>
      </c>
      <c r="J135" s="2698"/>
      <c r="K135" s="2702" t="s">
        <v>53</v>
      </c>
      <c r="L135" s="2699"/>
      <c r="M135" s="2697" t="s">
        <v>85</v>
      </c>
      <c r="N135" s="2698" t="s">
        <v>190</v>
      </c>
      <c r="O135" s="2698" t="s">
        <v>76</v>
      </c>
      <c r="P135" s="2698" t="s">
        <v>53</v>
      </c>
      <c r="Q135" s="2698" t="s">
        <v>86</v>
      </c>
      <c r="R135" s="2698" t="s">
        <v>94</v>
      </c>
      <c r="S135" s="2702" t="s">
        <v>96</v>
      </c>
      <c r="T135" s="2700" t="s">
        <v>238</v>
      </c>
      <c r="U135" s="2699"/>
      <c r="V135" s="2697"/>
      <c r="W135" s="2698"/>
      <c r="X135" s="2698"/>
      <c r="Y135" s="2698"/>
      <c r="Z135" s="2698"/>
      <c r="AA135" s="2698" t="s">
        <v>53</v>
      </c>
      <c r="AB135" s="2702"/>
      <c r="AC135" s="2700"/>
      <c r="AD135" s="79"/>
      <c r="AE135" s="371" t="s">
        <v>172</v>
      </c>
      <c r="AF135" s="372" t="s">
        <v>80</v>
      </c>
      <c r="AG135" s="385"/>
      <c r="AH135" s="386" t="s">
        <v>106</v>
      </c>
      <c r="AI135" s="385" t="s">
        <v>173</v>
      </c>
      <c r="AJ135" s="371" t="s">
        <v>108</v>
      </c>
    </row>
    <row r="136" spans="1:39" s="283" customFormat="1" ht="20.25">
      <c r="A136" s="430"/>
      <c r="B136" s="431"/>
      <c r="C136" s="431"/>
      <c r="D136" s="432"/>
      <c r="E136" s="325"/>
      <c r="F136" s="297"/>
      <c r="G136" s="297"/>
      <c r="H136" s="298"/>
      <c r="I136" s="298"/>
      <c r="J136" s="297"/>
      <c r="K136" s="344"/>
      <c r="L136" s="355"/>
      <c r="M136" s="343"/>
      <c r="N136" s="435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7">
        <f t="shared" ref="AE136:AE138" si="136">SUM(E136:AC136)</f>
        <v>0</v>
      </c>
      <c r="AF136" s="377"/>
      <c r="AG136" s="390"/>
      <c r="AH136" s="507">
        <f t="shared" ref="AH136:AH138" si="137">AE136+AF136</f>
        <v>0</v>
      </c>
      <c r="AI136" s="412"/>
      <c r="AJ136" s="508">
        <f>AH136+AI136</f>
        <v>0</v>
      </c>
    </row>
    <row r="137" spans="1:39" s="283" customFormat="1" ht="20.25">
      <c r="A137" s="322"/>
      <c r="B137" s="323"/>
      <c r="C137" s="323"/>
      <c r="D137" s="324"/>
      <c r="E137" s="325"/>
      <c r="F137" s="297"/>
      <c r="G137" s="297"/>
      <c r="H137" s="298"/>
      <c r="I137" s="298"/>
      <c r="J137" s="297"/>
      <c r="K137" s="344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7">
        <f t="shared" ref="AE137" si="138">SUM(E137:AC137)</f>
        <v>0</v>
      </c>
      <c r="AF137" s="377"/>
      <c r="AG137" s="390"/>
      <c r="AH137" s="507">
        <f t="shared" ref="AH137" si="139">AE137+AF137</f>
        <v>0</v>
      </c>
      <c r="AI137" s="412"/>
      <c r="AJ137" s="508">
        <f>AH137+AI137</f>
        <v>0</v>
      </c>
    </row>
    <row r="138" spans="1:39" s="283" customFormat="1" ht="20.25">
      <c r="A138" s="322"/>
      <c r="B138" s="323"/>
      <c r="C138" s="323"/>
      <c r="D138" s="324"/>
      <c r="E138" s="325"/>
      <c r="F138" s="297"/>
      <c r="G138" s="297"/>
      <c r="H138" s="298"/>
      <c r="I138" s="298"/>
      <c r="J138" s="297"/>
      <c r="K138" s="344"/>
      <c r="L138" s="355"/>
      <c r="M138" s="343"/>
      <c r="N138" s="298"/>
      <c r="O138" s="298"/>
      <c r="P138" s="298"/>
      <c r="Q138" s="298"/>
      <c r="R138" s="298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7">
        <f t="shared" si="136"/>
        <v>0</v>
      </c>
      <c r="AF138" s="377"/>
      <c r="AG138" s="390"/>
      <c r="AH138" s="507">
        <f t="shared" si="137"/>
        <v>0</v>
      </c>
      <c r="AI138" s="412"/>
      <c r="AJ138" s="508">
        <f>AH138+AI138</f>
        <v>0</v>
      </c>
    </row>
    <row r="139" spans="1:39" s="284" customFormat="1" ht="20.25">
      <c r="A139" s="322"/>
      <c r="B139" s="323"/>
      <c r="C139" s="323"/>
      <c r="D139" s="324"/>
      <c r="E139" s="325"/>
      <c r="F139" s="297"/>
      <c r="G139" s="297"/>
      <c r="H139" s="298"/>
      <c r="I139" s="298"/>
      <c r="J139" s="297"/>
      <c r="K139" s="344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7">
        <f t="shared" ref="AE139" si="140">SUM(E139:AC139)</f>
        <v>0</v>
      </c>
      <c r="AF139" s="377"/>
      <c r="AG139" s="390"/>
      <c r="AH139" s="507">
        <f t="shared" ref="AH139" si="141">AE139+AF139</f>
        <v>0</v>
      </c>
      <c r="AI139" s="412"/>
      <c r="AJ139" s="508">
        <f>AH139+AI139</f>
        <v>0</v>
      </c>
      <c r="AK139" s="403"/>
      <c r="AL139" s="403"/>
      <c r="AM139" s="403"/>
    </row>
    <row r="140" spans="1:39" s="282" customFormat="1" ht="21" thickBot="1">
      <c r="A140" s="322"/>
      <c r="B140" s="323"/>
      <c r="C140" s="323"/>
      <c r="D140" s="324"/>
      <c r="E140" s="325"/>
      <c r="F140" s="297"/>
      <c r="G140" s="297"/>
      <c r="H140" s="298"/>
      <c r="I140" s="298"/>
      <c r="J140" s="297"/>
      <c r="K140" s="344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7">
        <f t="shared" ref="AE140" si="142">SUM(E140:AC140)</f>
        <v>0</v>
      </c>
      <c r="AF140" s="377"/>
      <c r="AG140" s="390"/>
      <c r="AH140" s="507">
        <f t="shared" ref="AH140" si="143">AE140+AF140</f>
        <v>0</v>
      </c>
      <c r="AI140" s="412"/>
      <c r="AJ140" s="508">
        <f t="shared" ref="AJ140" si="144">AH140+AI140</f>
        <v>0</v>
      </c>
    </row>
    <row r="141" spans="1:39" s="283" customFormat="1" ht="21" thickBot="1">
      <c r="A141" s="436"/>
      <c r="B141" s="437"/>
      <c r="C141" s="437"/>
      <c r="D141" s="438"/>
      <c r="E141" s="439">
        <f t="shared" ref="E141:K141" si="145">SUM(E136:E140)</f>
        <v>0</v>
      </c>
      <c r="F141" s="440">
        <f t="shared" si="145"/>
        <v>0</v>
      </c>
      <c r="G141" s="440">
        <f t="shared" si="145"/>
        <v>0</v>
      </c>
      <c r="H141" s="440">
        <f t="shared" si="145"/>
        <v>0</v>
      </c>
      <c r="I141" s="440">
        <f t="shared" si="145"/>
        <v>0</v>
      </c>
      <c r="J141" s="440">
        <f t="shared" si="145"/>
        <v>0</v>
      </c>
      <c r="K141" s="481">
        <f t="shared" si="145"/>
        <v>0</v>
      </c>
      <c r="L141" s="482"/>
      <c r="M141" s="439">
        <f t="shared" ref="M141:T141" si="146">SUM(M136:M140)</f>
        <v>0</v>
      </c>
      <c r="N141" s="440">
        <f t="shared" si="146"/>
        <v>0</v>
      </c>
      <c r="O141" s="440">
        <f t="shared" si="146"/>
        <v>0</v>
      </c>
      <c r="P141" s="440">
        <f t="shared" si="146"/>
        <v>0</v>
      </c>
      <c r="Q141" s="440">
        <f t="shared" si="146"/>
        <v>0</v>
      </c>
      <c r="R141" s="440">
        <f t="shared" si="146"/>
        <v>0</v>
      </c>
      <c r="S141" s="440">
        <f t="shared" si="146"/>
        <v>0</v>
      </c>
      <c r="T141" s="481">
        <f t="shared" si="146"/>
        <v>0</v>
      </c>
      <c r="U141" s="482"/>
      <c r="V141" s="439">
        <f t="shared" ref="V141:AC141" si="147">SUM(V136:V140)</f>
        <v>0</v>
      </c>
      <c r="W141" s="440">
        <f t="shared" si="147"/>
        <v>0</v>
      </c>
      <c r="X141" s="440">
        <f t="shared" si="147"/>
        <v>0</v>
      </c>
      <c r="Y141" s="440">
        <f t="shared" si="147"/>
        <v>0</v>
      </c>
      <c r="Z141" s="440">
        <f t="shared" si="147"/>
        <v>0</v>
      </c>
      <c r="AA141" s="440">
        <f t="shared" si="147"/>
        <v>0</v>
      </c>
      <c r="AB141" s="440">
        <f t="shared" si="147"/>
        <v>0</v>
      </c>
      <c r="AC141" s="481">
        <f t="shared" si="147"/>
        <v>0</v>
      </c>
      <c r="AD141" s="482"/>
      <c r="AE141" s="494">
        <f>SUM(AE136:AE140)</f>
        <v>0</v>
      </c>
      <c r="AF141" s="494">
        <f t="shared" ref="AF141:AJ141" si="148">SUM(AF136:AF140)</f>
        <v>0</v>
      </c>
      <c r="AG141" s="494">
        <f t="shared" si="148"/>
        <v>0</v>
      </c>
      <c r="AH141" s="509">
        <f t="shared" si="148"/>
        <v>0</v>
      </c>
      <c r="AI141" s="494">
        <f t="shared" si="148"/>
        <v>0</v>
      </c>
      <c r="AJ141" s="509">
        <f t="shared" si="148"/>
        <v>0</v>
      </c>
    </row>
    <row r="142" spans="1:39" s="283" customFormat="1" ht="19.5" thickBot="1">
      <c r="A142" s="425"/>
      <c r="B142" s="426"/>
      <c r="C142" s="426"/>
      <c r="D142" s="427"/>
      <c r="E142" s="428"/>
      <c r="F142" s="428"/>
      <c r="G142" s="428"/>
      <c r="H142" s="428"/>
      <c r="I142" s="428"/>
      <c r="J142" s="428"/>
      <c r="K142" s="428"/>
      <c r="L142" s="478"/>
      <c r="M142" s="479"/>
      <c r="N142" s="479"/>
      <c r="O142" s="479"/>
      <c r="P142" s="479"/>
      <c r="Q142" s="479"/>
      <c r="R142" s="479"/>
      <c r="S142" s="479"/>
      <c r="T142" s="479"/>
      <c r="U142" s="478"/>
      <c r="V142" s="479"/>
      <c r="W142" s="479"/>
      <c r="X142" s="479"/>
      <c r="Y142" s="479"/>
      <c r="Z142" s="479"/>
      <c r="AA142" s="479"/>
      <c r="AB142" s="479"/>
      <c r="AC142" s="479"/>
      <c r="AD142" s="478"/>
      <c r="AE142" s="479"/>
      <c r="AF142" s="479"/>
      <c r="AG142" s="479"/>
      <c r="AH142" s="479"/>
      <c r="AI142" s="479"/>
      <c r="AJ142" s="506"/>
    </row>
    <row r="143" spans="1:39" s="283" customFormat="1" ht="18.75" thickBot="1">
      <c r="A143" s="441" t="s">
        <v>135</v>
      </c>
      <c r="B143" s="287" t="s">
        <v>68</v>
      </c>
      <c r="C143" s="287" t="s">
        <v>69</v>
      </c>
      <c r="D143" s="288" t="s">
        <v>70</v>
      </c>
      <c r="E143" s="2697" t="s">
        <v>190</v>
      </c>
      <c r="F143" s="2698" t="s">
        <v>222</v>
      </c>
      <c r="G143" s="2698" t="s">
        <v>94</v>
      </c>
      <c r="H143" s="2698"/>
      <c r="I143" s="2698" t="s">
        <v>95</v>
      </c>
      <c r="J143" s="2698"/>
      <c r="K143" s="2702" t="s">
        <v>53</v>
      </c>
      <c r="L143" s="2699"/>
      <c r="M143" s="2697" t="s">
        <v>85</v>
      </c>
      <c r="N143" s="2698" t="s">
        <v>190</v>
      </c>
      <c r="O143" s="2698" t="s">
        <v>76</v>
      </c>
      <c r="P143" s="2698" t="s">
        <v>53</v>
      </c>
      <c r="Q143" s="2698" t="s">
        <v>86</v>
      </c>
      <c r="R143" s="2698" t="s">
        <v>94</v>
      </c>
      <c r="S143" s="2702" t="s">
        <v>96</v>
      </c>
      <c r="T143" s="2700" t="s">
        <v>238</v>
      </c>
      <c r="U143" s="2699"/>
      <c r="V143" s="2697"/>
      <c r="W143" s="2698"/>
      <c r="X143" s="2698"/>
      <c r="Y143" s="2698"/>
      <c r="Z143" s="2698"/>
      <c r="AA143" s="2698" t="s">
        <v>53</v>
      </c>
      <c r="AB143" s="2702"/>
      <c r="AC143" s="2700"/>
      <c r="AD143" s="79"/>
      <c r="AE143" s="371" t="s">
        <v>172</v>
      </c>
      <c r="AF143" s="372" t="s">
        <v>80</v>
      </c>
      <c r="AG143" s="385"/>
      <c r="AH143" s="386" t="s">
        <v>106</v>
      </c>
      <c r="AI143" s="385" t="s">
        <v>173</v>
      </c>
      <c r="AJ143" s="371" t="s">
        <v>108</v>
      </c>
    </row>
    <row r="144" spans="1:39" s="283" customFormat="1" ht="20.25">
      <c r="A144" s="442"/>
      <c r="B144" s="443"/>
      <c r="C144" s="443"/>
      <c r="D144" s="444"/>
      <c r="E144" s="433"/>
      <c r="F144" s="434"/>
      <c r="G144" s="434"/>
      <c r="H144" s="435"/>
      <c r="I144" s="435"/>
      <c r="J144" s="434"/>
      <c r="K144" s="480"/>
      <c r="L144" s="483"/>
      <c r="M144" s="484"/>
      <c r="N144" s="435"/>
      <c r="O144" s="435"/>
      <c r="P144" s="435"/>
      <c r="Q144" s="435"/>
      <c r="R144" s="435"/>
      <c r="S144" s="435"/>
      <c r="T144" s="492"/>
      <c r="U144" s="483"/>
      <c r="V144" s="433"/>
      <c r="W144" s="434"/>
      <c r="X144" s="434"/>
      <c r="Y144" s="435"/>
      <c r="Z144" s="435"/>
      <c r="AA144" s="435"/>
      <c r="AB144" s="434"/>
      <c r="AC144" s="495"/>
      <c r="AD144" s="483"/>
      <c r="AE144" s="496">
        <f t="shared" ref="AE144" si="149">SUM(E144:AC144)</f>
        <v>0</v>
      </c>
      <c r="AF144" s="497"/>
      <c r="AG144" s="510"/>
      <c r="AH144" s="511">
        <f t="shared" ref="AH144" si="150">AE144+AF144</f>
        <v>0</v>
      </c>
      <c r="AI144" s="512"/>
      <c r="AJ144" s="513">
        <f>AH144+AI144</f>
        <v>0</v>
      </c>
    </row>
    <row r="145" spans="1:39" s="283" customFormat="1" ht="20.25">
      <c r="A145" s="445"/>
      <c r="B145" s="323"/>
      <c r="C145" s="323"/>
      <c r="D145" s="324"/>
      <c r="E145" s="325"/>
      <c r="F145" s="297"/>
      <c r="G145" s="297"/>
      <c r="H145" s="298"/>
      <c r="I145" s="298"/>
      <c r="J145" s="297"/>
      <c r="K145" s="344"/>
      <c r="L145" s="355"/>
      <c r="M145" s="343"/>
      <c r="N145" s="298"/>
      <c r="O145" s="298"/>
      <c r="P145" s="298"/>
      <c r="Q145" s="298"/>
      <c r="R145" s="298"/>
      <c r="S145" s="298"/>
      <c r="T145" s="367"/>
      <c r="U145" s="355"/>
      <c r="V145" s="325"/>
      <c r="W145" s="297"/>
      <c r="X145" s="297"/>
      <c r="Y145" s="298"/>
      <c r="Z145" s="298"/>
      <c r="AA145" s="298"/>
      <c r="AB145" s="297"/>
      <c r="AC145" s="375"/>
      <c r="AD145" s="355"/>
      <c r="AE145" s="376">
        <f t="shared" ref="AE145:AE147" si="151">SUM(E145:AC145)</f>
        <v>0</v>
      </c>
      <c r="AF145" s="377"/>
      <c r="AG145" s="390"/>
      <c r="AH145" s="391">
        <f t="shared" ref="AH145:AH147" si="152">AE145+AF145</f>
        <v>0</v>
      </c>
      <c r="AI145" s="412"/>
      <c r="AJ145" s="413">
        <f t="shared" ref="AJ145:AJ146" si="153">AH145+AI145</f>
        <v>0</v>
      </c>
    </row>
    <row r="146" spans="1:39" s="283" customFormat="1" ht="20.25">
      <c r="A146" s="445"/>
      <c r="B146" s="323"/>
      <c r="C146" s="323"/>
      <c r="D146" s="324"/>
      <c r="E146" s="325"/>
      <c r="F146" s="297"/>
      <c r="G146" s="297"/>
      <c r="H146" s="298"/>
      <c r="I146" s="298"/>
      <c r="J146" s="297"/>
      <c r="K146" s="344"/>
      <c r="L146" s="355"/>
      <c r="M146" s="343"/>
      <c r="N146" s="298"/>
      <c r="O146" s="298"/>
      <c r="P146" s="298"/>
      <c r="Q146" s="298"/>
      <c r="R146" s="298"/>
      <c r="S146" s="298"/>
      <c r="T146" s="367"/>
      <c r="U146" s="355"/>
      <c r="V146" s="325"/>
      <c r="W146" s="297"/>
      <c r="X146" s="297"/>
      <c r="Y146" s="298"/>
      <c r="Z146" s="298"/>
      <c r="AA146" s="298"/>
      <c r="AB146" s="297"/>
      <c r="AC146" s="375"/>
      <c r="AD146" s="355"/>
      <c r="AE146" s="376">
        <f t="shared" si="151"/>
        <v>0</v>
      </c>
      <c r="AF146" s="377"/>
      <c r="AG146" s="390"/>
      <c r="AH146" s="391">
        <f t="shared" si="152"/>
        <v>0</v>
      </c>
      <c r="AI146" s="412"/>
      <c r="AJ146" s="413">
        <f t="shared" si="153"/>
        <v>0</v>
      </c>
    </row>
    <row r="147" spans="1:39" s="284" customFormat="1" ht="8.25" customHeight="1" thickBot="1">
      <c r="A147" s="322"/>
      <c r="B147" s="323"/>
      <c r="C147" s="323"/>
      <c r="D147" s="324"/>
      <c r="E147" s="325"/>
      <c r="F147" s="297"/>
      <c r="G147" s="297"/>
      <c r="H147" s="298"/>
      <c r="I147" s="298"/>
      <c r="J147" s="297"/>
      <c r="K147" s="344"/>
      <c r="L147" s="355"/>
      <c r="M147" s="343"/>
      <c r="N147" s="298"/>
      <c r="O147" s="298"/>
      <c r="P147" s="298"/>
      <c r="Q147" s="298"/>
      <c r="R147" s="298"/>
      <c r="S147" s="298"/>
      <c r="T147" s="367"/>
      <c r="U147" s="355"/>
      <c r="V147" s="325"/>
      <c r="W147" s="297"/>
      <c r="X147" s="297"/>
      <c r="Y147" s="298"/>
      <c r="Z147" s="298"/>
      <c r="AA147" s="298"/>
      <c r="AB147" s="297"/>
      <c r="AC147" s="375"/>
      <c r="AD147" s="355"/>
      <c r="AE147" s="377">
        <f t="shared" si="151"/>
        <v>0</v>
      </c>
      <c r="AF147" s="377"/>
      <c r="AG147" s="390"/>
      <c r="AH147" s="507">
        <f t="shared" si="152"/>
        <v>0</v>
      </c>
      <c r="AI147" s="412"/>
      <c r="AJ147" s="508">
        <f t="shared" ref="AJ147" si="154">AH147+AI147</f>
        <v>0</v>
      </c>
      <c r="AK147" s="403"/>
      <c r="AL147" s="403"/>
      <c r="AM147" s="403"/>
    </row>
    <row r="148" spans="1:39" ht="21" thickBot="1">
      <c r="A148" s="436"/>
      <c r="B148" s="437"/>
      <c r="C148" s="437"/>
      <c r="D148" s="438"/>
      <c r="E148" s="439">
        <f t="shared" ref="E148:K148" si="155">SUM(E145:E147)</f>
        <v>0</v>
      </c>
      <c r="F148" s="440">
        <f t="shared" si="155"/>
        <v>0</v>
      </c>
      <c r="G148" s="440">
        <f t="shared" si="155"/>
        <v>0</v>
      </c>
      <c r="H148" s="440">
        <f t="shared" si="155"/>
        <v>0</v>
      </c>
      <c r="I148" s="440">
        <f t="shared" si="155"/>
        <v>0</v>
      </c>
      <c r="J148" s="440">
        <f t="shared" si="155"/>
        <v>0</v>
      </c>
      <c r="K148" s="481">
        <f t="shared" si="155"/>
        <v>0</v>
      </c>
      <c r="L148" s="482"/>
      <c r="M148" s="439">
        <f t="shared" ref="M148:T148" si="156">SUM(M145:M147)</f>
        <v>0</v>
      </c>
      <c r="N148" s="440">
        <f t="shared" si="156"/>
        <v>0</v>
      </c>
      <c r="O148" s="440">
        <f t="shared" si="156"/>
        <v>0</v>
      </c>
      <c r="P148" s="440">
        <f t="shared" si="156"/>
        <v>0</v>
      </c>
      <c r="Q148" s="440">
        <f t="shared" si="156"/>
        <v>0</v>
      </c>
      <c r="R148" s="440">
        <f t="shared" si="156"/>
        <v>0</v>
      </c>
      <c r="S148" s="440">
        <f t="shared" si="156"/>
        <v>0</v>
      </c>
      <c r="T148" s="481">
        <f t="shared" si="156"/>
        <v>0</v>
      </c>
      <c r="U148" s="482"/>
      <c r="V148" s="439">
        <f t="shared" ref="V148:AC148" si="157">SUM(V145:V147)</f>
        <v>0</v>
      </c>
      <c r="W148" s="440">
        <f t="shared" si="157"/>
        <v>0</v>
      </c>
      <c r="X148" s="440">
        <f t="shared" si="157"/>
        <v>0</v>
      </c>
      <c r="Y148" s="440">
        <f t="shared" si="157"/>
        <v>0</v>
      </c>
      <c r="Z148" s="440">
        <f t="shared" si="157"/>
        <v>0</v>
      </c>
      <c r="AA148" s="440">
        <f t="shared" si="157"/>
        <v>0</v>
      </c>
      <c r="AB148" s="440">
        <f t="shared" si="157"/>
        <v>0</v>
      </c>
      <c r="AC148" s="481">
        <f t="shared" si="157"/>
        <v>0</v>
      </c>
      <c r="AD148" s="482"/>
      <c r="AE148" s="494">
        <f>SUM(AE144:AE147)</f>
        <v>0</v>
      </c>
      <c r="AF148" s="494">
        <f>SUM(AF144:AF147)</f>
        <v>0</v>
      </c>
      <c r="AG148" s="509"/>
      <c r="AH148" s="514">
        <f>SUM(AH144:AH147)</f>
        <v>0</v>
      </c>
      <c r="AI148" s="494">
        <f>SUM(AI144:AI147)</f>
        <v>0</v>
      </c>
      <c r="AJ148" s="515">
        <f>SUM(AJ144:AJ147)</f>
        <v>0</v>
      </c>
    </row>
    <row r="149" spans="1:39" ht="19.5" thickBot="1">
      <c r="A149" s="425"/>
      <c r="B149" s="426"/>
      <c r="C149" s="426"/>
      <c r="D149" s="427"/>
      <c r="E149" s="428"/>
      <c r="F149" s="428"/>
      <c r="G149" s="428"/>
      <c r="H149" s="428"/>
      <c r="I149" s="428"/>
      <c r="J149" s="428"/>
      <c r="K149" s="428"/>
      <c r="L149" s="478"/>
      <c r="M149" s="479"/>
      <c r="N149" s="479"/>
      <c r="O149" s="479"/>
      <c r="P149" s="479"/>
      <c r="Q149" s="479"/>
      <c r="R149" s="479"/>
      <c r="S149" s="479"/>
      <c r="T149" s="479"/>
      <c r="U149" s="478"/>
      <c r="V149" s="479"/>
      <c r="W149" s="479"/>
      <c r="X149" s="479"/>
      <c r="Y149" s="479"/>
      <c r="Z149" s="479"/>
      <c r="AA149" s="479"/>
      <c r="AB149" s="479"/>
      <c r="AC149" s="479"/>
      <c r="AD149" s="478"/>
      <c r="AE149" s="479"/>
      <c r="AF149" s="479"/>
      <c r="AG149" s="479"/>
      <c r="AH149" s="479"/>
      <c r="AI149" s="479"/>
      <c r="AJ149" s="506"/>
    </row>
    <row r="150" spans="1:39" s="1" customFormat="1" ht="21" customHeight="1" thickBot="1">
      <c r="A150" s="446" t="s">
        <v>140</v>
      </c>
      <c r="B150" s="287" t="s">
        <v>68</v>
      </c>
      <c r="C150" s="447" t="s">
        <v>69</v>
      </c>
      <c r="D150" s="448" t="s">
        <v>70</v>
      </c>
      <c r="E150" s="2697" t="s">
        <v>190</v>
      </c>
      <c r="F150" s="2698" t="s">
        <v>222</v>
      </c>
      <c r="G150" s="2698" t="s">
        <v>94</v>
      </c>
      <c r="H150" s="2698"/>
      <c r="I150" s="2698" t="s">
        <v>95</v>
      </c>
      <c r="J150" s="2698"/>
      <c r="K150" s="2702" t="s">
        <v>53</v>
      </c>
      <c r="L150" s="2699"/>
      <c r="M150" s="2697" t="s">
        <v>85</v>
      </c>
      <c r="N150" s="2698" t="s">
        <v>190</v>
      </c>
      <c r="O150" s="2698" t="s">
        <v>76</v>
      </c>
      <c r="P150" s="2698" t="s">
        <v>53</v>
      </c>
      <c r="Q150" s="2698" t="s">
        <v>86</v>
      </c>
      <c r="R150" s="2698" t="s">
        <v>94</v>
      </c>
      <c r="S150" s="2702" t="s">
        <v>96</v>
      </c>
      <c r="T150" s="2700" t="s">
        <v>238</v>
      </c>
      <c r="U150" s="2699"/>
      <c r="V150" s="2697"/>
      <c r="W150" s="2698"/>
      <c r="X150" s="2698"/>
      <c r="Y150" s="2698"/>
      <c r="Z150" s="2698"/>
      <c r="AA150" s="2698" t="s">
        <v>53</v>
      </c>
      <c r="AB150" s="2702"/>
      <c r="AC150" s="2700"/>
      <c r="AD150" s="79"/>
      <c r="AE150" s="371" t="s">
        <v>172</v>
      </c>
      <c r="AF150" s="498" t="s">
        <v>80</v>
      </c>
      <c r="AG150" s="385"/>
      <c r="AH150" s="386" t="s">
        <v>106</v>
      </c>
      <c r="AI150" s="385" t="s">
        <v>173</v>
      </c>
      <c r="AJ150" s="371" t="s">
        <v>108</v>
      </c>
    </row>
    <row r="151" spans="1:39" ht="20.25">
      <c r="A151" s="449" t="s">
        <v>180</v>
      </c>
      <c r="B151" s="450"/>
      <c r="C151" s="450"/>
      <c r="D151" s="451"/>
      <c r="E151" s="452"/>
      <c r="F151" s="453"/>
      <c r="G151" s="453"/>
      <c r="H151" s="454"/>
      <c r="I151" s="454"/>
      <c r="J151" s="453"/>
      <c r="K151" s="485"/>
      <c r="L151" s="355"/>
      <c r="M151" s="343"/>
      <c r="N151" s="435"/>
      <c r="O151" s="298"/>
      <c r="P151" s="298"/>
      <c r="Q151" s="298"/>
      <c r="R151" s="435"/>
      <c r="S151" s="298"/>
      <c r="T151" s="367"/>
      <c r="U151" s="355"/>
      <c r="V151" s="325"/>
      <c r="W151" s="297"/>
      <c r="X151" s="297"/>
      <c r="Y151" s="298"/>
      <c r="Z151" s="298"/>
      <c r="AA151" s="298"/>
      <c r="AB151" s="297"/>
      <c r="AC151" s="375"/>
      <c r="AD151" s="355"/>
      <c r="AE151" s="376">
        <f t="shared" ref="AE151:AE152" si="158">SUM(E151:AC151)</f>
        <v>0</v>
      </c>
      <c r="AF151" s="499"/>
      <c r="AG151" s="516"/>
      <c r="AH151" s="391">
        <f t="shared" ref="AH151:AH152" si="159">AE151+AF151</f>
        <v>0</v>
      </c>
      <c r="AI151" s="412"/>
      <c r="AJ151" s="413">
        <f>AH151+AI151</f>
        <v>0</v>
      </c>
    </row>
    <row r="152" spans="1:39" s="276" customFormat="1" ht="20.25">
      <c r="A152" s="445"/>
      <c r="B152" s="455"/>
      <c r="C152" s="455"/>
      <c r="D152" s="456"/>
      <c r="E152" s="457"/>
      <c r="F152" s="458"/>
      <c r="G152" s="458"/>
      <c r="H152" s="459"/>
      <c r="I152" s="459"/>
      <c r="J152" s="458"/>
      <c r="K152" s="486"/>
      <c r="L152" s="355"/>
      <c r="M152" s="343"/>
      <c r="N152" s="298"/>
      <c r="O152" s="298"/>
      <c r="P152" s="298"/>
      <c r="Q152" s="298"/>
      <c r="R152" s="298"/>
      <c r="S152" s="298"/>
      <c r="T152" s="367"/>
      <c r="U152" s="355"/>
      <c r="V152" s="325"/>
      <c r="W152" s="297"/>
      <c r="X152" s="297"/>
      <c r="Y152" s="298"/>
      <c r="Z152" s="298"/>
      <c r="AA152" s="298"/>
      <c r="AB152" s="297"/>
      <c r="AC152" s="375"/>
      <c r="AD152" s="355"/>
      <c r="AE152" s="376">
        <f t="shared" si="158"/>
        <v>0</v>
      </c>
      <c r="AF152" s="500"/>
      <c r="AG152" s="516"/>
      <c r="AH152" s="391">
        <f t="shared" si="159"/>
        <v>0</v>
      </c>
      <c r="AI152" s="412"/>
      <c r="AJ152" s="413">
        <f t="shared" ref="AJ152:AJ153" si="160">AH152+AI152</f>
        <v>0</v>
      </c>
    </row>
    <row r="153" spans="1:39" s="234" customFormat="1" ht="20.25">
      <c r="A153" s="442"/>
      <c r="B153" s="455"/>
      <c r="C153" s="455"/>
      <c r="D153" s="456"/>
      <c r="E153" s="457"/>
      <c r="F153" s="458"/>
      <c r="G153" s="458"/>
      <c r="H153" s="459"/>
      <c r="I153" s="459"/>
      <c r="J153" s="458"/>
      <c r="K153" s="486"/>
      <c r="L153" s="483"/>
      <c r="M153" s="484"/>
      <c r="N153" s="435"/>
      <c r="O153" s="435"/>
      <c r="P153" s="435"/>
      <c r="Q153" s="435"/>
      <c r="R153" s="435"/>
      <c r="S153" s="435"/>
      <c r="T153" s="492"/>
      <c r="U153" s="483"/>
      <c r="V153" s="433"/>
      <c r="W153" s="434"/>
      <c r="X153" s="434"/>
      <c r="Y153" s="435"/>
      <c r="Z153" s="435"/>
      <c r="AA153" s="435"/>
      <c r="AB153" s="434"/>
      <c r="AC153" s="495"/>
      <c r="AD153" s="483"/>
      <c r="AE153" s="496">
        <f t="shared" ref="AE153" si="161">SUM(E153:AC153)</f>
        <v>0</v>
      </c>
      <c r="AF153" s="500"/>
      <c r="AG153" s="517"/>
      <c r="AH153" s="511">
        <f t="shared" ref="AH153:AH156" si="162">AE153+AF153</f>
        <v>0</v>
      </c>
      <c r="AI153" s="512"/>
      <c r="AJ153" s="513">
        <f t="shared" si="160"/>
        <v>0</v>
      </c>
    </row>
    <row r="154" spans="1:39" s="234" customFormat="1" ht="20.25">
      <c r="A154" s="445"/>
      <c r="B154" s="455"/>
      <c r="C154" s="455"/>
      <c r="D154" s="456"/>
      <c r="E154" s="457"/>
      <c r="F154" s="458"/>
      <c r="G154" s="458"/>
      <c r="H154" s="459"/>
      <c r="I154" s="459"/>
      <c r="J154" s="458"/>
      <c r="K154" s="486"/>
      <c r="L154" s="355"/>
      <c r="M154" s="343"/>
      <c r="N154" s="298"/>
      <c r="O154" s="298"/>
      <c r="P154" s="298"/>
      <c r="Q154" s="298"/>
      <c r="R154" s="298"/>
      <c r="S154" s="298"/>
      <c r="T154" s="367"/>
      <c r="U154" s="355"/>
      <c r="V154" s="325"/>
      <c r="W154" s="297"/>
      <c r="X154" s="297"/>
      <c r="Y154" s="298"/>
      <c r="Z154" s="298"/>
      <c r="AA154" s="298"/>
      <c r="AB154" s="297"/>
      <c r="AC154" s="375"/>
      <c r="AD154" s="355"/>
      <c r="AE154" s="376">
        <f t="shared" ref="AE154:AE156" si="163">SUM(E154:AC154)</f>
        <v>0</v>
      </c>
      <c r="AF154" s="500"/>
      <c r="AG154" s="516"/>
      <c r="AH154" s="391">
        <f t="shared" si="162"/>
        <v>0</v>
      </c>
      <c r="AI154" s="412"/>
      <c r="AJ154" s="413">
        <f t="shared" ref="AJ154:AJ156" si="164">AH154+AI154</f>
        <v>0</v>
      </c>
    </row>
    <row r="155" spans="1:39" s="276" customFormat="1" ht="20.25">
      <c r="A155" s="445"/>
      <c r="B155" s="455"/>
      <c r="C155" s="455"/>
      <c r="D155" s="456"/>
      <c r="E155" s="457"/>
      <c r="F155" s="458"/>
      <c r="G155" s="458"/>
      <c r="H155" s="459"/>
      <c r="I155" s="459"/>
      <c r="J155" s="458"/>
      <c r="K155" s="486"/>
      <c r="L155" s="355"/>
      <c r="M155" s="343"/>
      <c r="N155" s="298"/>
      <c r="O155" s="298"/>
      <c r="P155" s="298"/>
      <c r="Q155" s="298"/>
      <c r="R155" s="298"/>
      <c r="S155" s="298"/>
      <c r="T155" s="367"/>
      <c r="U155" s="355"/>
      <c r="V155" s="325"/>
      <c r="W155" s="297"/>
      <c r="X155" s="297"/>
      <c r="Y155" s="298"/>
      <c r="Z155" s="298"/>
      <c r="AA155" s="298"/>
      <c r="AB155" s="297"/>
      <c r="AC155" s="375"/>
      <c r="AD155" s="355"/>
      <c r="AE155" s="376">
        <f t="shared" si="163"/>
        <v>0</v>
      </c>
      <c r="AF155" s="500"/>
      <c r="AG155" s="516"/>
      <c r="AH155" s="391">
        <f t="shared" si="162"/>
        <v>0</v>
      </c>
      <c r="AI155" s="412"/>
      <c r="AJ155" s="413">
        <f t="shared" si="164"/>
        <v>0</v>
      </c>
    </row>
    <row r="156" spans="1:39" s="234" customFormat="1" ht="21" thickBot="1">
      <c r="A156" s="460"/>
      <c r="B156" s="461"/>
      <c r="C156" s="461"/>
      <c r="D156" s="462"/>
      <c r="E156" s="463"/>
      <c r="F156" s="464"/>
      <c r="G156" s="464"/>
      <c r="H156" s="465"/>
      <c r="I156" s="465"/>
      <c r="J156" s="464"/>
      <c r="K156" s="487"/>
      <c r="L156" s="355"/>
      <c r="M156" s="343"/>
      <c r="N156" s="298"/>
      <c r="O156" s="298"/>
      <c r="P156" s="298"/>
      <c r="Q156" s="298"/>
      <c r="R156" s="298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7">
        <f t="shared" si="163"/>
        <v>0</v>
      </c>
      <c r="AF156" s="501"/>
      <c r="AG156" s="516"/>
      <c r="AH156" s="507">
        <f t="shared" si="162"/>
        <v>0</v>
      </c>
      <c r="AI156" s="412"/>
      <c r="AJ156" s="508">
        <f t="shared" si="164"/>
        <v>0</v>
      </c>
    </row>
    <row r="157" spans="1:39" s="276" customFormat="1" ht="21" thickBot="1">
      <c r="A157" s="466"/>
      <c r="B157" s="467"/>
      <c r="C157" s="467"/>
      <c r="D157" s="468"/>
      <c r="E157" s="469">
        <f t="shared" ref="E157:K157" si="165">SUM(E153:E156)</f>
        <v>0</v>
      </c>
      <c r="F157" s="470">
        <f t="shared" si="165"/>
        <v>0</v>
      </c>
      <c r="G157" s="470">
        <f t="shared" si="165"/>
        <v>0</v>
      </c>
      <c r="H157" s="470">
        <f t="shared" si="165"/>
        <v>0</v>
      </c>
      <c r="I157" s="470">
        <f t="shared" si="165"/>
        <v>0</v>
      </c>
      <c r="J157" s="470">
        <f t="shared" si="165"/>
        <v>0</v>
      </c>
      <c r="K157" s="488">
        <f t="shared" si="165"/>
        <v>0</v>
      </c>
      <c r="L157" s="482"/>
      <c r="M157" s="439">
        <f t="shared" ref="M157:T157" si="166">SUM(M153:M156)</f>
        <v>0</v>
      </c>
      <c r="N157" s="440">
        <f t="shared" si="166"/>
        <v>0</v>
      </c>
      <c r="O157" s="440">
        <f t="shared" si="166"/>
        <v>0</v>
      </c>
      <c r="P157" s="440">
        <f t="shared" si="166"/>
        <v>0</v>
      </c>
      <c r="Q157" s="440">
        <f t="shared" si="166"/>
        <v>0</v>
      </c>
      <c r="R157" s="440">
        <f t="shared" si="166"/>
        <v>0</v>
      </c>
      <c r="S157" s="440">
        <f t="shared" si="166"/>
        <v>0</v>
      </c>
      <c r="T157" s="481">
        <f t="shared" si="166"/>
        <v>0</v>
      </c>
      <c r="U157" s="482"/>
      <c r="V157" s="439">
        <f t="shared" ref="V157:AC157" si="167">SUM(V153:V156)</f>
        <v>0</v>
      </c>
      <c r="W157" s="440">
        <f t="shared" si="167"/>
        <v>0</v>
      </c>
      <c r="X157" s="440">
        <f t="shared" si="167"/>
        <v>0</v>
      </c>
      <c r="Y157" s="440">
        <f t="shared" si="167"/>
        <v>0</v>
      </c>
      <c r="Z157" s="440">
        <f t="shared" si="167"/>
        <v>0</v>
      </c>
      <c r="AA157" s="440">
        <f t="shared" si="167"/>
        <v>0</v>
      </c>
      <c r="AB157" s="440">
        <f t="shared" si="167"/>
        <v>0</v>
      </c>
      <c r="AC157" s="481">
        <f t="shared" si="167"/>
        <v>0</v>
      </c>
      <c r="AD157" s="482"/>
      <c r="AE157" s="494">
        <f>SUM(AE151:AE156)</f>
        <v>0</v>
      </c>
      <c r="AF157" s="502">
        <f>SUM(AF151:AF156)</f>
        <v>0</v>
      </c>
      <c r="AG157" s="509"/>
      <c r="AH157" s="514">
        <f>SUM(AH151:AH156)</f>
        <v>0</v>
      </c>
      <c r="AI157" s="494">
        <f>SUM(AI151:AI156)</f>
        <v>0</v>
      </c>
      <c r="AJ157" s="515">
        <f>SUM(AJ151:AJ156)</f>
        <v>0</v>
      </c>
    </row>
    <row r="158" spans="1:39" s="234" customFormat="1" ht="19.5" thickBot="1">
      <c r="A158" s="425"/>
      <c r="B158" s="426"/>
      <c r="C158" s="426"/>
      <c r="D158" s="427"/>
      <c r="E158" s="428"/>
      <c r="F158" s="428"/>
      <c r="G158" s="428"/>
      <c r="H158" s="428"/>
      <c r="I158" s="428"/>
      <c r="J158" s="428"/>
      <c r="K158" s="428"/>
      <c r="L158" s="478"/>
      <c r="M158" s="479"/>
      <c r="N158" s="479"/>
      <c r="O158" s="479"/>
      <c r="P158" s="479"/>
      <c r="Q158" s="479"/>
      <c r="R158" s="479"/>
      <c r="S158" s="479"/>
      <c r="T158" s="479"/>
      <c r="U158" s="478"/>
      <c r="V158" s="479"/>
      <c r="W158" s="479"/>
      <c r="X158" s="479"/>
      <c r="Y158" s="479"/>
      <c r="Z158" s="479"/>
      <c r="AA158" s="479"/>
      <c r="AB158" s="479"/>
      <c r="AC158" s="479"/>
      <c r="AD158" s="478"/>
      <c r="AE158" s="479"/>
      <c r="AF158" s="479"/>
      <c r="AG158" s="479"/>
      <c r="AH158" s="479"/>
      <c r="AI158" s="479"/>
      <c r="AJ158" s="506"/>
    </row>
    <row r="159" spans="1:39" s="276" customFormat="1" ht="18.75" thickBot="1">
      <c r="A159" s="441" t="s">
        <v>143</v>
      </c>
      <c r="B159" s="287" t="s">
        <v>68</v>
      </c>
      <c r="C159" s="287" t="s">
        <v>69</v>
      </c>
      <c r="D159" s="288" t="s">
        <v>70</v>
      </c>
      <c r="E159" s="2697" t="s">
        <v>190</v>
      </c>
      <c r="F159" s="2698" t="s">
        <v>222</v>
      </c>
      <c r="G159" s="2698" t="s">
        <v>94</v>
      </c>
      <c r="H159" s="2698"/>
      <c r="I159" s="2698" t="s">
        <v>95</v>
      </c>
      <c r="J159" s="2698"/>
      <c r="K159" s="2702" t="s">
        <v>53</v>
      </c>
      <c r="L159" s="2699"/>
      <c r="M159" s="2697" t="s">
        <v>85</v>
      </c>
      <c r="N159" s="2698" t="s">
        <v>190</v>
      </c>
      <c r="O159" s="2698" t="s">
        <v>76</v>
      </c>
      <c r="P159" s="2698" t="s">
        <v>53</v>
      </c>
      <c r="Q159" s="2698" t="s">
        <v>86</v>
      </c>
      <c r="R159" s="2698" t="s">
        <v>94</v>
      </c>
      <c r="S159" s="2702" t="s">
        <v>96</v>
      </c>
      <c r="T159" s="2700" t="s">
        <v>238</v>
      </c>
      <c r="U159" s="2699"/>
      <c r="V159" s="2697"/>
      <c r="W159" s="2698"/>
      <c r="X159" s="2698"/>
      <c r="Y159" s="2698"/>
      <c r="Z159" s="2698"/>
      <c r="AA159" s="2698" t="s">
        <v>53</v>
      </c>
      <c r="AB159" s="2702"/>
      <c r="AC159" s="2700"/>
      <c r="AD159" s="79"/>
      <c r="AE159" s="371" t="s">
        <v>172</v>
      </c>
      <c r="AF159" s="372" t="s">
        <v>80</v>
      </c>
      <c r="AG159" s="385"/>
      <c r="AH159" s="386" t="s">
        <v>106</v>
      </c>
      <c r="AI159" s="385" t="s">
        <v>173</v>
      </c>
      <c r="AJ159" s="371" t="s">
        <v>108</v>
      </c>
    </row>
    <row r="160" spans="1:39" s="234" customFormat="1" ht="20.25">
      <c r="A160" s="471" t="s">
        <v>181</v>
      </c>
      <c r="B160" s="472"/>
      <c r="C160" s="472"/>
      <c r="D160" s="473"/>
      <c r="E160" s="474"/>
      <c r="F160" s="475"/>
      <c r="G160" s="475"/>
      <c r="H160" s="476"/>
      <c r="I160" s="476"/>
      <c r="J160" s="475"/>
      <c r="K160" s="489"/>
      <c r="L160" s="490"/>
      <c r="M160" s="491"/>
      <c r="N160" s="476"/>
      <c r="O160" s="476"/>
      <c r="P160" s="476"/>
      <c r="Q160" s="476"/>
      <c r="R160" s="476"/>
      <c r="S160" s="476"/>
      <c r="T160" s="493"/>
      <c r="U160" s="490"/>
      <c r="V160" s="474"/>
      <c r="W160" s="475"/>
      <c r="X160" s="475"/>
      <c r="Y160" s="476"/>
      <c r="Z160" s="476"/>
      <c r="AA160" s="476"/>
      <c r="AB160" s="475"/>
      <c r="AC160" s="503"/>
      <c r="AD160" s="490"/>
      <c r="AE160" s="504">
        <f t="shared" ref="AE160" si="168">SUM(E160:AC160)</f>
        <v>0</v>
      </c>
      <c r="AF160" s="505"/>
      <c r="AG160" s="518"/>
      <c r="AH160" s="519">
        <f t="shared" ref="AH160:AH164" si="169">AE160+AF160</f>
        <v>0</v>
      </c>
      <c r="AI160" s="520"/>
      <c r="AJ160" s="521">
        <f>AH160+AI160</f>
        <v>0</v>
      </c>
    </row>
    <row r="161" spans="1:36" s="276" customFormat="1" ht="20.25">
      <c r="A161" s="445" t="s">
        <v>182</v>
      </c>
      <c r="B161" s="323"/>
      <c r="C161" s="323"/>
      <c r="D161" s="324"/>
      <c r="E161" s="325"/>
      <c r="F161" s="297"/>
      <c r="G161" s="297"/>
      <c r="H161" s="298"/>
      <c r="I161" s="298"/>
      <c r="J161" s="297"/>
      <c r="K161" s="344"/>
      <c r="L161" s="355"/>
      <c r="M161" s="343"/>
      <c r="N161" s="298"/>
      <c r="O161" s="298"/>
      <c r="P161" s="298"/>
      <c r="Q161" s="298"/>
      <c r="R161" s="298"/>
      <c r="S161" s="298"/>
      <c r="T161" s="367"/>
      <c r="U161" s="355"/>
      <c r="V161" s="325"/>
      <c r="W161" s="297"/>
      <c r="X161" s="297"/>
      <c r="Y161" s="298"/>
      <c r="Z161" s="298"/>
      <c r="AA161" s="298"/>
      <c r="AB161" s="297"/>
      <c r="AC161" s="375"/>
      <c r="AD161" s="355"/>
      <c r="AE161" s="376">
        <f t="shared" ref="AE161:AE164" si="170">SUM(E161:AC161)</f>
        <v>0</v>
      </c>
      <c r="AF161" s="377"/>
      <c r="AG161" s="390"/>
      <c r="AH161" s="391">
        <f t="shared" si="169"/>
        <v>0</v>
      </c>
      <c r="AI161" s="412"/>
      <c r="AJ161" s="413">
        <f t="shared" ref="AJ161:AJ164" si="171">AH161+AI161</f>
        <v>0</v>
      </c>
    </row>
    <row r="162" spans="1:36" s="234" customFormat="1" ht="20.25">
      <c r="A162" s="445"/>
      <c r="B162" s="323"/>
      <c r="C162" s="323"/>
      <c r="D162" s="324"/>
      <c r="E162" s="325"/>
      <c r="F162" s="297"/>
      <c r="G162" s="297"/>
      <c r="H162" s="298"/>
      <c r="I162" s="298"/>
      <c r="J162" s="297"/>
      <c r="K162" s="344"/>
      <c r="L162" s="355"/>
      <c r="M162" s="343"/>
      <c r="N162" s="298"/>
      <c r="O162" s="298"/>
      <c r="P162" s="298"/>
      <c r="Q162" s="298"/>
      <c r="R162" s="298"/>
      <c r="S162" s="298"/>
      <c r="T162" s="367"/>
      <c r="U162" s="355"/>
      <c r="V162" s="325"/>
      <c r="W162" s="297"/>
      <c r="X162" s="297"/>
      <c r="Y162" s="298"/>
      <c r="Z162" s="298"/>
      <c r="AA162" s="298"/>
      <c r="AB162" s="297"/>
      <c r="AC162" s="375"/>
      <c r="AD162" s="355"/>
      <c r="AE162" s="376">
        <f t="shared" ref="AE162" si="172">SUM(E162:AC162)</f>
        <v>0</v>
      </c>
      <c r="AF162" s="377"/>
      <c r="AG162" s="390"/>
      <c r="AH162" s="391">
        <f t="shared" ref="AH162" si="173">AE162+AF162</f>
        <v>0</v>
      </c>
      <c r="AI162" s="412"/>
      <c r="AJ162" s="413">
        <f t="shared" ref="AJ162" si="174">AH162+AI162</f>
        <v>0</v>
      </c>
    </row>
    <row r="163" spans="1:36" s="276" customFormat="1" ht="20.25">
      <c r="A163" s="445"/>
      <c r="B163" s="323"/>
      <c r="C163" s="323"/>
      <c r="D163" s="324"/>
      <c r="E163" s="325"/>
      <c r="F163" s="297"/>
      <c r="G163" s="297"/>
      <c r="H163" s="298"/>
      <c r="I163" s="298"/>
      <c r="J163" s="297"/>
      <c r="K163" s="344"/>
      <c r="L163" s="355"/>
      <c r="M163" s="343"/>
      <c r="N163" s="298"/>
      <c r="O163" s="298"/>
      <c r="P163" s="298"/>
      <c r="Q163" s="298"/>
      <c r="R163" s="298"/>
      <c r="S163" s="298"/>
      <c r="T163" s="367"/>
      <c r="U163" s="355"/>
      <c r="V163" s="325"/>
      <c r="W163" s="297"/>
      <c r="X163" s="297"/>
      <c r="Y163" s="298"/>
      <c r="Z163" s="298"/>
      <c r="AA163" s="298"/>
      <c r="AB163" s="297"/>
      <c r="AC163" s="375"/>
      <c r="AD163" s="355"/>
      <c r="AE163" s="376">
        <f t="shared" si="170"/>
        <v>0</v>
      </c>
      <c r="AF163" s="377"/>
      <c r="AG163" s="390"/>
      <c r="AH163" s="391">
        <f t="shared" si="169"/>
        <v>0</v>
      </c>
      <c r="AI163" s="412"/>
      <c r="AJ163" s="413">
        <f t="shared" si="171"/>
        <v>0</v>
      </c>
    </row>
    <row r="164" spans="1:36" s="234" customFormat="1" ht="21" thickBot="1">
      <c r="A164" s="322"/>
      <c r="B164" s="323"/>
      <c r="C164" s="323"/>
      <c r="D164" s="324"/>
      <c r="E164" s="325"/>
      <c r="F164" s="297"/>
      <c r="G164" s="297"/>
      <c r="H164" s="298"/>
      <c r="I164" s="298"/>
      <c r="J164" s="297"/>
      <c r="K164" s="344"/>
      <c r="L164" s="355"/>
      <c r="M164" s="343"/>
      <c r="N164" s="298"/>
      <c r="O164" s="298"/>
      <c r="P164" s="298"/>
      <c r="Q164" s="298"/>
      <c r="R164" s="298"/>
      <c r="S164" s="298"/>
      <c r="T164" s="367"/>
      <c r="U164" s="355"/>
      <c r="V164" s="325"/>
      <c r="W164" s="297"/>
      <c r="X164" s="297"/>
      <c r="Y164" s="298"/>
      <c r="Z164" s="298"/>
      <c r="AA164" s="298"/>
      <c r="AB164" s="297"/>
      <c r="AC164" s="375"/>
      <c r="AD164" s="355"/>
      <c r="AE164" s="377">
        <f t="shared" si="170"/>
        <v>0</v>
      </c>
      <c r="AF164" s="377"/>
      <c r="AG164" s="390"/>
      <c r="AH164" s="507">
        <f t="shared" si="169"/>
        <v>0</v>
      </c>
      <c r="AI164" s="412"/>
      <c r="AJ164" s="508">
        <f t="shared" si="171"/>
        <v>0</v>
      </c>
    </row>
    <row r="165" spans="1:36" s="234" customFormat="1" ht="21" thickBot="1">
      <c r="A165" s="436"/>
      <c r="B165" s="437"/>
      <c r="C165" s="437"/>
      <c r="D165" s="438"/>
      <c r="E165" s="439">
        <f t="shared" ref="E165:K165" si="175">SUM(E160:E164)</f>
        <v>0</v>
      </c>
      <c r="F165" s="440">
        <f t="shared" si="175"/>
        <v>0</v>
      </c>
      <c r="G165" s="440">
        <f t="shared" si="175"/>
        <v>0</v>
      </c>
      <c r="H165" s="440">
        <f t="shared" si="175"/>
        <v>0</v>
      </c>
      <c r="I165" s="440">
        <f t="shared" si="175"/>
        <v>0</v>
      </c>
      <c r="J165" s="440">
        <f t="shared" si="175"/>
        <v>0</v>
      </c>
      <c r="K165" s="481">
        <f t="shared" si="175"/>
        <v>0</v>
      </c>
      <c r="L165" s="482"/>
      <c r="M165" s="439">
        <f t="shared" ref="M165:T165" si="176">SUM(M160:M164)</f>
        <v>0</v>
      </c>
      <c r="N165" s="440">
        <f t="shared" si="176"/>
        <v>0</v>
      </c>
      <c r="O165" s="440">
        <f t="shared" si="176"/>
        <v>0</v>
      </c>
      <c r="P165" s="440">
        <f t="shared" si="176"/>
        <v>0</v>
      </c>
      <c r="Q165" s="440">
        <f t="shared" si="176"/>
        <v>0</v>
      </c>
      <c r="R165" s="440">
        <f t="shared" si="176"/>
        <v>0</v>
      </c>
      <c r="S165" s="440">
        <f t="shared" si="176"/>
        <v>0</v>
      </c>
      <c r="T165" s="481">
        <f t="shared" si="176"/>
        <v>0</v>
      </c>
      <c r="U165" s="482"/>
      <c r="V165" s="439">
        <f t="shared" ref="V165:AC165" si="177">SUM(V160:V164)</f>
        <v>0</v>
      </c>
      <c r="W165" s="440">
        <f t="shared" si="177"/>
        <v>0</v>
      </c>
      <c r="X165" s="440">
        <f t="shared" si="177"/>
        <v>0</v>
      </c>
      <c r="Y165" s="440">
        <f t="shared" si="177"/>
        <v>0</v>
      </c>
      <c r="Z165" s="440">
        <f t="shared" si="177"/>
        <v>0</v>
      </c>
      <c r="AA165" s="440">
        <f t="shared" si="177"/>
        <v>0</v>
      </c>
      <c r="AB165" s="440">
        <f t="shared" si="177"/>
        <v>0</v>
      </c>
      <c r="AC165" s="481">
        <f t="shared" si="177"/>
        <v>0</v>
      </c>
      <c r="AD165" s="482"/>
      <c r="AE165" s="494">
        <f>SUM(AE160:AE164)</f>
        <v>0</v>
      </c>
      <c r="AF165" s="494">
        <f>SUM(AF160:AF164)</f>
        <v>0</v>
      </c>
      <c r="AG165" s="509"/>
      <c r="AH165" s="514">
        <f>SUM(AH160:AH164)</f>
        <v>0</v>
      </c>
      <c r="AI165" s="494">
        <f>SUM(AI160:AI164)</f>
        <v>0</v>
      </c>
      <c r="AJ165" s="509">
        <f>SUM(AJ160:AJ164)</f>
        <v>0</v>
      </c>
    </row>
    <row r="166" spans="1:36" s="276" customFormat="1" ht="19.5" thickBot="1">
      <c r="A166" s="522"/>
      <c r="B166" s="523"/>
      <c r="C166" s="523"/>
      <c r="D166" s="524"/>
      <c r="E166" s="525"/>
      <c r="F166" s="525"/>
      <c r="G166" s="525"/>
      <c r="H166" s="525"/>
      <c r="I166" s="525"/>
      <c r="J166" s="525"/>
      <c r="K166" s="525"/>
      <c r="L166" s="572"/>
      <c r="M166" s="573"/>
      <c r="N166" s="573"/>
      <c r="O166" s="573"/>
      <c r="P166" s="573"/>
      <c r="Q166" s="573"/>
      <c r="R166" s="573"/>
      <c r="S166" s="573"/>
      <c r="T166" s="573"/>
      <c r="U166" s="572"/>
      <c r="V166" s="573"/>
      <c r="W166" s="573"/>
      <c r="X166" s="573"/>
      <c r="Y166" s="573"/>
      <c r="Z166" s="573"/>
      <c r="AA166" s="573"/>
      <c r="AB166" s="573"/>
      <c r="AC166" s="573"/>
      <c r="AD166" s="572"/>
      <c r="AE166" s="573"/>
      <c r="AF166" s="573"/>
      <c r="AG166" s="599"/>
      <c r="AH166" s="573"/>
      <c r="AI166" s="573"/>
      <c r="AJ166" s="600"/>
    </row>
    <row r="167" spans="1:36" s="234" customFormat="1" ht="21" thickBot="1">
      <c r="A167" s="526" t="s">
        <v>145</v>
      </c>
      <c r="B167" s="527"/>
      <c r="C167" s="527"/>
      <c r="D167" s="528"/>
      <c r="E167" s="529">
        <f t="shared" ref="E167:K167" si="178">E4+E38+E53+E72+E93+E141+E148+E157+E165+E113+E134</f>
        <v>0</v>
      </c>
      <c r="F167" s="529">
        <f t="shared" si="178"/>
        <v>0</v>
      </c>
      <c r="G167" s="529">
        <f t="shared" si="178"/>
        <v>24</v>
      </c>
      <c r="H167" s="529">
        <f t="shared" si="178"/>
        <v>0</v>
      </c>
      <c r="I167" s="529">
        <f t="shared" si="178"/>
        <v>312</v>
      </c>
      <c r="J167" s="529">
        <f t="shared" si="178"/>
        <v>0</v>
      </c>
      <c r="K167" s="529">
        <f t="shared" si="178"/>
        <v>12</v>
      </c>
      <c r="L167" s="529"/>
      <c r="M167" s="529">
        <f t="shared" ref="M167:T167" si="179">M4+M38+M53+M72+M93+M141+M148+M157+M165+M113+M134</f>
        <v>0</v>
      </c>
      <c r="N167" s="529">
        <f t="shared" si="179"/>
        <v>0</v>
      </c>
      <c r="O167" s="529">
        <f t="shared" si="179"/>
        <v>180</v>
      </c>
      <c r="P167" s="529">
        <f t="shared" si="179"/>
        <v>636</v>
      </c>
      <c r="Q167" s="529">
        <f t="shared" si="179"/>
        <v>0</v>
      </c>
      <c r="R167" s="529">
        <f t="shared" si="179"/>
        <v>0</v>
      </c>
      <c r="S167" s="529">
        <f t="shared" si="179"/>
        <v>0</v>
      </c>
      <c r="T167" s="529">
        <f t="shared" si="179"/>
        <v>12</v>
      </c>
      <c r="U167" s="529"/>
      <c r="V167" s="529">
        <f t="shared" ref="V167:AC167" si="180">V4+V38+V53+V72+V93+V141+V148+V157+V165+V113+V134</f>
        <v>828</v>
      </c>
      <c r="W167" s="529">
        <f t="shared" si="180"/>
        <v>12</v>
      </c>
      <c r="X167" s="529">
        <f t="shared" si="180"/>
        <v>108</v>
      </c>
      <c r="Y167" s="529">
        <f t="shared" si="180"/>
        <v>0</v>
      </c>
      <c r="Z167" s="529">
        <f t="shared" si="180"/>
        <v>624</v>
      </c>
      <c r="AA167" s="529">
        <f t="shared" si="180"/>
        <v>672</v>
      </c>
      <c r="AB167" s="529">
        <f t="shared" si="180"/>
        <v>0</v>
      </c>
      <c r="AC167" s="529">
        <f t="shared" si="180"/>
        <v>0</v>
      </c>
      <c r="AD167" s="529"/>
      <c r="AE167" s="529">
        <f t="shared" ref="AE167:AJ167" si="181">AE4+AE38+AE53+AE72+AE93+AE141+AE148+AE157+AE165+AE113+AE134</f>
        <v>3420</v>
      </c>
      <c r="AF167" s="529">
        <f t="shared" si="181"/>
        <v>3</v>
      </c>
      <c r="AG167" s="529">
        <f t="shared" si="181"/>
        <v>0</v>
      </c>
      <c r="AH167" s="529">
        <f t="shared" si="181"/>
        <v>3423</v>
      </c>
      <c r="AI167" s="529">
        <f t="shared" si="181"/>
        <v>52</v>
      </c>
      <c r="AJ167" s="529">
        <f t="shared" si="181"/>
        <v>3475</v>
      </c>
    </row>
    <row r="168" spans="1:36" s="276" customFormat="1" ht="21" thickBot="1">
      <c r="A168" s="530" t="s">
        <v>152</v>
      </c>
      <c r="B168" s="531"/>
      <c r="C168" s="531"/>
      <c r="D168" s="532"/>
      <c r="E168" s="533">
        <f>E167/12</f>
        <v>0</v>
      </c>
      <c r="F168" s="533">
        <f t="shared" ref="F168:AJ168" si="182">F167/12</f>
        <v>0</v>
      </c>
      <c r="G168" s="533">
        <f t="shared" si="182"/>
        <v>2</v>
      </c>
      <c r="H168" s="533">
        <f t="shared" si="182"/>
        <v>0</v>
      </c>
      <c r="I168" s="533">
        <f t="shared" si="182"/>
        <v>26</v>
      </c>
      <c r="J168" s="533">
        <f t="shared" si="182"/>
        <v>0</v>
      </c>
      <c r="K168" s="533">
        <f t="shared" si="182"/>
        <v>1</v>
      </c>
      <c r="L168" s="533"/>
      <c r="M168" s="533">
        <f t="shared" si="182"/>
        <v>0</v>
      </c>
      <c r="N168" s="533">
        <f t="shared" si="182"/>
        <v>0</v>
      </c>
      <c r="O168" s="533">
        <f t="shared" si="182"/>
        <v>15</v>
      </c>
      <c r="P168" s="533">
        <f t="shared" si="182"/>
        <v>53</v>
      </c>
      <c r="Q168" s="533">
        <f t="shared" si="182"/>
        <v>0</v>
      </c>
      <c r="R168" s="533">
        <f t="shared" si="182"/>
        <v>0</v>
      </c>
      <c r="S168" s="533">
        <f t="shared" si="182"/>
        <v>0</v>
      </c>
      <c r="T168" s="533">
        <f t="shared" si="182"/>
        <v>1</v>
      </c>
      <c r="U168" s="533"/>
      <c r="V168" s="533">
        <f t="shared" si="182"/>
        <v>69</v>
      </c>
      <c r="W168" s="533">
        <f t="shared" si="182"/>
        <v>1</v>
      </c>
      <c r="X168" s="533">
        <f t="shared" si="182"/>
        <v>9</v>
      </c>
      <c r="Y168" s="533">
        <f t="shared" si="182"/>
        <v>0</v>
      </c>
      <c r="Z168" s="533">
        <f t="shared" si="182"/>
        <v>52</v>
      </c>
      <c r="AA168" s="533">
        <f t="shared" si="182"/>
        <v>56</v>
      </c>
      <c r="AB168" s="533">
        <f t="shared" si="182"/>
        <v>0</v>
      </c>
      <c r="AC168" s="533">
        <f t="shared" si="182"/>
        <v>0</v>
      </c>
      <c r="AD168" s="533"/>
      <c r="AE168" s="533">
        <f t="shared" si="182"/>
        <v>285</v>
      </c>
      <c r="AF168" s="533">
        <f t="shared" si="182"/>
        <v>0.25</v>
      </c>
      <c r="AG168" s="533">
        <f t="shared" si="182"/>
        <v>0</v>
      </c>
      <c r="AH168" s="533">
        <f t="shared" si="182"/>
        <v>285.25</v>
      </c>
      <c r="AI168" s="533">
        <f t="shared" si="182"/>
        <v>4.333333333333333</v>
      </c>
      <c r="AJ168" s="533">
        <f t="shared" si="182"/>
        <v>289.58333333333331</v>
      </c>
    </row>
    <row r="169" spans="1:36" s="234" customFormat="1" ht="24" thickBot="1">
      <c r="A169" s="3755" t="s">
        <v>147</v>
      </c>
      <c r="B169" s="3755"/>
      <c r="C169" s="3755"/>
      <c r="D169" s="3755"/>
      <c r="E169" s="3756"/>
      <c r="F169" s="3756"/>
      <c r="G169" s="3756"/>
      <c r="H169" s="3756"/>
      <c r="I169" s="3756"/>
      <c r="J169" s="3756"/>
      <c r="K169" s="3756"/>
      <c r="L169" s="3755"/>
      <c r="M169" s="3755"/>
      <c r="N169" s="3755"/>
      <c r="O169" s="3755"/>
      <c r="P169" s="3755"/>
      <c r="Q169" s="3755"/>
      <c r="R169" s="3755"/>
      <c r="S169" s="3755"/>
      <c r="T169" s="3755"/>
      <c r="U169" s="3755"/>
      <c r="V169" s="3755"/>
      <c r="W169" s="3755"/>
      <c r="X169" s="3755"/>
      <c r="Y169" s="3755"/>
      <c r="Z169" s="3755"/>
      <c r="AA169" s="3755"/>
      <c r="AB169" s="3755"/>
      <c r="AC169" s="3755"/>
      <c r="AD169" s="3755"/>
      <c r="AE169" s="3755"/>
      <c r="AF169" s="3755"/>
      <c r="AG169" s="3755"/>
      <c r="AH169" s="3755"/>
      <c r="AI169" s="3755"/>
      <c r="AJ169" s="3755"/>
    </row>
    <row r="170" spans="1:36" s="276" customFormat="1" ht="24" thickBot="1">
      <c r="A170" s="3888" t="s">
        <v>4</v>
      </c>
      <c r="B170" s="3889"/>
      <c r="C170" s="3889"/>
      <c r="D170" s="3890"/>
      <c r="E170" s="3891" t="s">
        <v>235</v>
      </c>
      <c r="F170" s="3892"/>
      <c r="G170" s="3892"/>
      <c r="H170" s="3892"/>
      <c r="I170" s="3892"/>
      <c r="J170" s="3892"/>
      <c r="K170" s="3904"/>
      <c r="L170" s="336"/>
      <c r="M170" s="3893" t="s">
        <v>236</v>
      </c>
      <c r="N170" s="3894"/>
      <c r="O170" s="3894"/>
      <c r="P170" s="3894"/>
      <c r="Q170" s="3894"/>
      <c r="R170" s="3894"/>
      <c r="S170" s="3894"/>
      <c r="T170" s="3895"/>
      <c r="U170" s="364"/>
      <c r="V170" s="3893" t="s">
        <v>237</v>
      </c>
      <c r="W170" s="3894"/>
      <c r="X170" s="3894"/>
      <c r="Y170" s="3894"/>
      <c r="Z170" s="3894"/>
      <c r="AA170" s="3894"/>
      <c r="AB170" s="3894"/>
      <c r="AC170" s="3895"/>
      <c r="AD170" s="364"/>
      <c r="AE170" s="3893"/>
      <c r="AF170" s="3894"/>
      <c r="AG170" s="3894"/>
      <c r="AH170" s="3894"/>
      <c r="AI170" s="3894"/>
      <c r="AJ170" s="3895"/>
    </row>
    <row r="171" spans="1:36" s="276" customFormat="1" ht="30.75" thickBot="1">
      <c r="A171" s="535" t="s">
        <v>148</v>
      </c>
      <c r="B171" s="287" t="s">
        <v>68</v>
      </c>
      <c r="C171" s="536" t="s">
        <v>69</v>
      </c>
      <c r="D171" s="536" t="s">
        <v>70</v>
      </c>
      <c r="E171" s="2703" t="s">
        <v>190</v>
      </c>
      <c r="F171" s="2701" t="s">
        <v>222</v>
      </c>
      <c r="G171" s="2701" t="s">
        <v>94</v>
      </c>
      <c r="H171" s="2701" t="s">
        <v>482</v>
      </c>
      <c r="I171" s="2701" t="s">
        <v>95</v>
      </c>
      <c r="J171" s="2701" t="s">
        <v>464</v>
      </c>
      <c r="K171" s="2704" t="s">
        <v>53</v>
      </c>
      <c r="L171" s="2699"/>
      <c r="M171" s="2703" t="s">
        <v>85</v>
      </c>
      <c r="N171" s="2701" t="s">
        <v>190</v>
      </c>
      <c r="O171" s="2701" t="s">
        <v>73</v>
      </c>
      <c r="P171" s="2701" t="s">
        <v>53</v>
      </c>
      <c r="Q171" s="2701" t="s">
        <v>86</v>
      </c>
      <c r="R171" s="2701" t="s">
        <v>94</v>
      </c>
      <c r="S171" s="2704" t="s">
        <v>96</v>
      </c>
      <c r="T171" s="2700" t="s">
        <v>533</v>
      </c>
      <c r="U171" s="2699"/>
      <c r="V171" s="2697" t="s">
        <v>551</v>
      </c>
      <c r="W171" s="2698" t="s">
        <v>547</v>
      </c>
      <c r="X171" s="2698" t="s">
        <v>539</v>
      </c>
      <c r="Y171" s="2698"/>
      <c r="Z171" s="2698" t="s">
        <v>549</v>
      </c>
      <c r="AA171" s="2698" t="s">
        <v>53</v>
      </c>
      <c r="AB171" s="2702"/>
      <c r="AC171" s="2700"/>
      <c r="AD171" s="589"/>
      <c r="AE171" s="590" t="s">
        <v>172</v>
      </c>
      <c r="AF171" s="591" t="s">
        <v>80</v>
      </c>
      <c r="AG171" s="602" t="s">
        <v>150</v>
      </c>
      <c r="AH171" s="603" t="s">
        <v>106</v>
      </c>
      <c r="AI171" s="602" t="s">
        <v>173</v>
      </c>
      <c r="AJ171" s="604" t="s">
        <v>108</v>
      </c>
    </row>
    <row r="172" spans="1:36" s="234" customFormat="1" ht="20.25">
      <c r="A172" s="537" t="s">
        <v>620</v>
      </c>
      <c r="B172" s="552"/>
      <c r="C172" s="553"/>
      <c r="D172" s="544">
        <v>46117</v>
      </c>
      <c r="E172" s="332"/>
      <c r="F172" s="333"/>
      <c r="G172" s="333"/>
      <c r="H172" s="334"/>
      <c r="I172" s="334"/>
      <c r="J172" s="333"/>
      <c r="K172" s="798"/>
      <c r="L172" s="361"/>
      <c r="M172" s="362"/>
      <c r="N172" s="334"/>
      <c r="O172" s="334"/>
      <c r="P172" s="334"/>
      <c r="Q172" s="334"/>
      <c r="R172" s="334"/>
      <c r="S172" s="334"/>
      <c r="T172" s="818"/>
      <c r="U172" s="361"/>
      <c r="V172" s="362">
        <f>6*12</f>
        <v>72</v>
      </c>
      <c r="W172" s="334"/>
      <c r="X172" s="334"/>
      <c r="Y172" s="334"/>
      <c r="Z172" s="334">
        <f>13*12</f>
        <v>156</v>
      </c>
      <c r="AA172" s="334">
        <f>6*12</f>
        <v>72</v>
      </c>
      <c r="AB172" s="334"/>
      <c r="AC172" s="383"/>
      <c r="AD172" s="361"/>
      <c r="AE172" s="419">
        <f t="shared" ref="AE172" si="183">SUM(E172:AC172)</f>
        <v>300</v>
      </c>
      <c r="AF172" s="420"/>
      <c r="AG172" s="419"/>
      <c r="AH172" s="420">
        <f>AE172+AF172+AG172</f>
        <v>300</v>
      </c>
      <c r="AI172" s="421"/>
      <c r="AJ172" s="422">
        <f>AH172+AI172</f>
        <v>300</v>
      </c>
    </row>
    <row r="173" spans="1:36" s="276" customFormat="1" ht="20.25">
      <c r="A173" s="537" t="s">
        <v>621</v>
      </c>
      <c r="B173" s="550"/>
      <c r="C173" s="549"/>
      <c r="D173" s="544">
        <v>46119</v>
      </c>
      <c r="E173" s="319"/>
      <c r="F173" s="320"/>
      <c r="G173" s="320"/>
      <c r="H173" s="321"/>
      <c r="I173" s="321"/>
      <c r="J173" s="320"/>
      <c r="K173" s="351"/>
      <c r="L173" s="352"/>
      <c r="M173" s="353"/>
      <c r="N173" s="321"/>
      <c r="O173" s="321"/>
      <c r="P173" s="582"/>
      <c r="Q173" s="321"/>
      <c r="R173" s="321"/>
      <c r="S173" s="321"/>
      <c r="T173" s="354"/>
      <c r="U173" s="352"/>
      <c r="V173" s="353">
        <f>5*12</f>
        <v>60</v>
      </c>
      <c r="W173" s="321"/>
      <c r="X173" s="321"/>
      <c r="Y173" s="321"/>
      <c r="Z173" s="321">
        <f>4*12</f>
        <v>48</v>
      </c>
      <c r="AA173" s="321">
        <f>5*12</f>
        <v>60</v>
      </c>
      <c r="AB173" s="321"/>
      <c r="AC173" s="380"/>
      <c r="AD173" s="352"/>
      <c r="AE173" s="408">
        <f t="shared" ref="AE173:AE175" si="184">SUM(E173:AC173)</f>
        <v>168</v>
      </c>
      <c r="AF173" s="409"/>
      <c r="AG173" s="408"/>
      <c r="AH173" s="409">
        <f t="shared" ref="AH173:AH175" si="185">AE173+AF173+AG173</f>
        <v>168</v>
      </c>
      <c r="AI173" s="410"/>
      <c r="AJ173" s="411">
        <f t="shared" ref="AJ173:AJ175" si="186">AH173+AI173</f>
        <v>168</v>
      </c>
    </row>
    <row r="174" spans="1:36" s="234" customFormat="1" ht="20.25">
      <c r="A174" s="537" t="s">
        <v>631</v>
      </c>
      <c r="B174" s="550"/>
      <c r="C174" s="549"/>
      <c r="D174" s="544">
        <v>46122</v>
      </c>
      <c r="E174" s="541"/>
      <c r="F174" s="542"/>
      <c r="G174" s="542"/>
      <c r="H174" s="543"/>
      <c r="I174" s="543"/>
      <c r="J174" s="542"/>
      <c r="K174" s="579"/>
      <c r="L174" s="580"/>
      <c r="M174" s="581"/>
      <c r="N174" s="543"/>
      <c r="O174" s="543"/>
      <c r="P174" s="558"/>
      <c r="Q174" s="543"/>
      <c r="R174" s="543"/>
      <c r="S174" s="543"/>
      <c r="T174" s="587"/>
      <c r="U174" s="580"/>
      <c r="V174" s="581"/>
      <c r="W174" s="543"/>
      <c r="X174" s="543"/>
      <c r="Y174" s="543"/>
      <c r="Z174" s="543">
        <f>12*12</f>
        <v>144</v>
      </c>
      <c r="AA174" s="543"/>
      <c r="AB174" s="543"/>
      <c r="AC174" s="592"/>
      <c r="AD174" s="580"/>
      <c r="AE174" s="593">
        <f t="shared" ref="AE174" si="187">SUM(E174:AC174)</f>
        <v>144</v>
      </c>
      <c r="AF174" s="594"/>
      <c r="AG174" s="593"/>
      <c r="AH174" s="594">
        <f t="shared" ref="AH174" si="188">AE174+AF174+AG174</f>
        <v>144</v>
      </c>
      <c r="AI174" s="605"/>
      <c r="AJ174" s="606">
        <f t="shared" ref="AJ174" si="189">AH174+AI174</f>
        <v>144</v>
      </c>
    </row>
    <row r="175" spans="1:36" s="276" customFormat="1" ht="20.25">
      <c r="A175" s="547" t="s">
        <v>659</v>
      </c>
      <c r="B175" s="552"/>
      <c r="C175" s="553"/>
      <c r="D175" s="559">
        <v>46132</v>
      </c>
      <c r="E175" s="319"/>
      <c r="F175" s="320"/>
      <c r="G175" s="320"/>
      <c r="H175" s="321"/>
      <c r="I175" s="321"/>
      <c r="J175" s="320"/>
      <c r="K175" s="351"/>
      <c r="L175" s="352"/>
      <c r="M175" s="353"/>
      <c r="N175" s="321"/>
      <c r="O175" s="321"/>
      <c r="P175" s="582"/>
      <c r="Q175" s="321"/>
      <c r="R175" s="321"/>
      <c r="S175" s="321"/>
      <c r="T175" s="363"/>
      <c r="U175" s="352"/>
      <c r="V175" s="353">
        <f>4*12</f>
        <v>48</v>
      </c>
      <c r="W175" s="321"/>
      <c r="X175" s="321"/>
      <c r="Y175" s="321"/>
      <c r="Z175" s="321">
        <f>4*12</f>
        <v>48</v>
      </c>
      <c r="AA175" s="321"/>
      <c r="AB175" s="321"/>
      <c r="AC175" s="380"/>
      <c r="AD175" s="352"/>
      <c r="AE175" s="408">
        <f t="shared" si="184"/>
        <v>96</v>
      </c>
      <c r="AF175" s="409"/>
      <c r="AG175" s="408"/>
      <c r="AH175" s="409">
        <f t="shared" si="185"/>
        <v>96</v>
      </c>
      <c r="AI175" s="410"/>
      <c r="AJ175" s="411">
        <f t="shared" si="186"/>
        <v>96</v>
      </c>
    </row>
    <row r="176" spans="1:36" s="276" customFormat="1" ht="20.25">
      <c r="A176" s="547" t="s">
        <v>675</v>
      </c>
      <c r="B176" s="552"/>
      <c r="C176" s="553"/>
      <c r="D176" s="559">
        <v>46137</v>
      </c>
      <c r="E176" s="556"/>
      <c r="F176" s="557"/>
      <c r="G176" s="557"/>
      <c r="H176" s="558"/>
      <c r="I176" s="558"/>
      <c r="J176" s="557"/>
      <c r="K176" s="583"/>
      <c r="L176" s="584"/>
      <c r="M176" s="585"/>
      <c r="N176" s="558"/>
      <c r="O176" s="558"/>
      <c r="P176" s="558"/>
      <c r="Q176" s="558"/>
      <c r="R176" s="558"/>
      <c r="S176" s="558"/>
      <c r="T176" s="819"/>
      <c r="U176" s="584"/>
      <c r="V176" s="585">
        <f>6*12</f>
        <v>72</v>
      </c>
      <c r="W176" s="558"/>
      <c r="X176" s="558"/>
      <c r="Y176" s="558"/>
      <c r="Z176" s="558"/>
      <c r="AA176" s="558">
        <f>4*12</f>
        <v>48</v>
      </c>
      <c r="AB176" s="558"/>
      <c r="AC176" s="595"/>
      <c r="AD176" s="584"/>
      <c r="AE176" s="596">
        <f t="shared" ref="AE176:AE180" si="190">SUM(E176:AC176)</f>
        <v>120</v>
      </c>
      <c r="AF176" s="597"/>
      <c r="AG176" s="596"/>
      <c r="AH176" s="597">
        <f t="shared" ref="AH176:AH180" si="191">AE176+AF176+AG176</f>
        <v>120</v>
      </c>
      <c r="AI176" s="607"/>
      <c r="AJ176" s="606">
        <f t="shared" ref="AJ176:AJ180" si="192">AH176+AI176</f>
        <v>120</v>
      </c>
    </row>
    <row r="177" spans="1:36" s="234" customFormat="1" ht="20.25">
      <c r="A177" s="547" t="s">
        <v>683</v>
      </c>
      <c r="B177" s="550"/>
      <c r="C177" s="549"/>
      <c r="D177" s="544">
        <v>46140</v>
      </c>
      <c r="E177" s="319"/>
      <c r="F177" s="320"/>
      <c r="G177" s="320"/>
      <c r="H177" s="321"/>
      <c r="I177" s="321"/>
      <c r="J177" s="320"/>
      <c r="K177" s="351"/>
      <c r="L177" s="352"/>
      <c r="M177" s="353"/>
      <c r="N177" s="321"/>
      <c r="O177" s="321"/>
      <c r="P177" s="582"/>
      <c r="Q177" s="321"/>
      <c r="R177" s="321"/>
      <c r="S177" s="321"/>
      <c r="T177" s="354"/>
      <c r="U177" s="352"/>
      <c r="V177" s="353">
        <f>2*12</f>
        <v>24</v>
      </c>
      <c r="W177" s="321"/>
      <c r="X177" s="321"/>
      <c r="Y177" s="321"/>
      <c r="Z177" s="321"/>
      <c r="AA177" s="321"/>
      <c r="AB177" s="321"/>
      <c r="AC177" s="380"/>
      <c r="AD177" s="352"/>
      <c r="AE177" s="408">
        <f t="shared" si="190"/>
        <v>24</v>
      </c>
      <c r="AF177" s="409"/>
      <c r="AG177" s="408"/>
      <c r="AH177" s="409">
        <f t="shared" si="191"/>
        <v>24</v>
      </c>
      <c r="AI177" s="410"/>
      <c r="AJ177" s="411">
        <f t="shared" si="192"/>
        <v>24</v>
      </c>
    </row>
    <row r="178" spans="1:36" s="276" customFormat="1" ht="21.75" customHeight="1">
      <c r="A178" s="547" t="s">
        <v>686</v>
      </c>
      <c r="B178" s="550"/>
      <c r="C178" s="549"/>
      <c r="D178" s="544">
        <v>46141</v>
      </c>
      <c r="E178" s="541"/>
      <c r="F178" s="542"/>
      <c r="G178" s="542">
        <f>1*12</f>
        <v>12</v>
      </c>
      <c r="H178" s="543"/>
      <c r="I178" s="543"/>
      <c r="J178" s="542">
        <f>2*12</f>
        <v>24</v>
      </c>
      <c r="K178" s="579"/>
      <c r="L178" s="580"/>
      <c r="M178" s="581"/>
      <c r="N178" s="543"/>
      <c r="O178" s="543"/>
      <c r="P178" s="558"/>
      <c r="Q178" s="543"/>
      <c r="R178" s="543"/>
      <c r="S178" s="543"/>
      <c r="T178" s="587"/>
      <c r="U178" s="580"/>
      <c r="V178" s="581">
        <f>4*12</f>
        <v>48</v>
      </c>
      <c r="W178" s="543"/>
      <c r="X178" s="543"/>
      <c r="Y178" s="543"/>
      <c r="Z178" s="543"/>
      <c r="AA178" s="543">
        <f>4*12</f>
        <v>48</v>
      </c>
      <c r="AB178" s="543"/>
      <c r="AC178" s="592"/>
      <c r="AD178" s="580"/>
      <c r="AE178" s="593">
        <f t="shared" si="190"/>
        <v>132</v>
      </c>
      <c r="AF178" s="594"/>
      <c r="AG178" s="593"/>
      <c r="AH178" s="594">
        <f t="shared" si="191"/>
        <v>132</v>
      </c>
      <c r="AI178" s="605"/>
      <c r="AJ178" s="606">
        <f t="shared" si="192"/>
        <v>132</v>
      </c>
    </row>
    <row r="179" spans="1:36" s="276" customFormat="1" ht="21.75" customHeight="1">
      <c r="A179" s="537" t="s">
        <v>687</v>
      </c>
      <c r="B179" s="552"/>
      <c r="C179" s="553"/>
      <c r="D179" s="544">
        <v>46141</v>
      </c>
      <c r="E179" s="861"/>
      <c r="F179" s="542"/>
      <c r="G179" s="542"/>
      <c r="H179" s="543"/>
      <c r="I179" s="543"/>
      <c r="J179" s="542"/>
      <c r="K179" s="579"/>
      <c r="L179" s="580"/>
      <c r="M179" s="581"/>
      <c r="N179" s="543"/>
      <c r="O179" s="543"/>
      <c r="P179" s="558"/>
      <c r="Q179" s="543"/>
      <c r="R179" s="543"/>
      <c r="S179" s="543"/>
      <c r="T179" s="587"/>
      <c r="U179" s="580"/>
      <c r="V179" s="581">
        <f>2*12</f>
        <v>24</v>
      </c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si="190"/>
        <v>24</v>
      </c>
      <c r="AF179" s="594"/>
      <c r="AG179" s="593"/>
      <c r="AH179" s="594">
        <f t="shared" si="191"/>
        <v>24</v>
      </c>
      <c r="AI179" s="605"/>
      <c r="AJ179" s="606">
        <f t="shared" si="192"/>
        <v>24</v>
      </c>
    </row>
    <row r="180" spans="1:36" s="234" customFormat="1" ht="20.25">
      <c r="A180" s="537"/>
      <c r="B180" s="550"/>
      <c r="C180" s="549"/>
      <c r="D180" s="544"/>
      <c r="E180" s="319"/>
      <c r="F180" s="320"/>
      <c r="G180" s="320"/>
      <c r="H180" s="321"/>
      <c r="I180" s="321"/>
      <c r="J180" s="320"/>
      <c r="K180" s="351"/>
      <c r="L180" s="352"/>
      <c r="M180" s="353"/>
      <c r="N180" s="321"/>
      <c r="O180" s="321"/>
      <c r="P180" s="582"/>
      <c r="Q180" s="321"/>
      <c r="R180" s="321"/>
      <c r="S180" s="321"/>
      <c r="T180" s="354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190"/>
        <v>0</v>
      </c>
      <c r="AF180" s="409"/>
      <c r="AG180" s="408"/>
      <c r="AH180" s="409">
        <f t="shared" si="191"/>
        <v>0</v>
      </c>
      <c r="AI180" s="410"/>
      <c r="AJ180" s="411">
        <f t="shared" si="192"/>
        <v>0</v>
      </c>
    </row>
    <row r="181" spans="1:36" s="276" customFormat="1" ht="20.25">
      <c r="A181" s="547"/>
      <c r="B181" s="563"/>
      <c r="C181" s="553"/>
      <c r="D181" s="544"/>
      <c r="E181" s="541"/>
      <c r="F181" s="542"/>
      <c r="G181" s="542"/>
      <c r="H181" s="543"/>
      <c r="I181" s="543"/>
      <c r="J181" s="542"/>
      <c r="K181" s="579"/>
      <c r="L181" s="580"/>
      <c r="M181" s="581"/>
      <c r="N181" s="543"/>
      <c r="O181" s="543"/>
      <c r="P181" s="558"/>
      <c r="Q181" s="543"/>
      <c r="R181" s="543"/>
      <c r="S181" s="543"/>
      <c r="T181" s="863"/>
      <c r="U181" s="580"/>
      <c r="V181" s="581"/>
      <c r="W181" s="543"/>
      <c r="X181" s="543"/>
      <c r="Y181" s="543"/>
      <c r="Z181" s="543"/>
      <c r="AA181" s="543"/>
      <c r="AB181" s="543"/>
      <c r="AC181" s="592"/>
      <c r="AD181" s="580"/>
      <c r="AE181" s="593">
        <f t="shared" ref="AE181:AE190" si="193">SUM(E181:AC181)</f>
        <v>0</v>
      </c>
      <c r="AF181" s="594"/>
      <c r="AG181" s="593"/>
      <c r="AH181" s="594">
        <f t="shared" ref="AH181:AH190" si="194">AE181+AF181+AG181</f>
        <v>0</v>
      </c>
      <c r="AI181" s="605"/>
      <c r="AJ181" s="606">
        <f t="shared" ref="AJ181:AJ190" si="195">AH181+AI181</f>
        <v>0</v>
      </c>
    </row>
    <row r="182" spans="1:36" s="234" customFormat="1" ht="20.25">
      <c r="A182" s="561"/>
      <c r="B182" s="552"/>
      <c r="C182" s="553"/>
      <c r="D182" s="555"/>
      <c r="E182" s="319"/>
      <c r="F182" s="320"/>
      <c r="G182" s="320"/>
      <c r="H182" s="321"/>
      <c r="I182" s="321"/>
      <c r="J182" s="320"/>
      <c r="K182" s="351"/>
      <c r="L182" s="352"/>
      <c r="M182" s="353"/>
      <c r="N182" s="321"/>
      <c r="O182" s="321"/>
      <c r="P182" s="582"/>
      <c r="Q182" s="321"/>
      <c r="R182" s="321"/>
      <c r="S182" s="321"/>
      <c r="T182" s="354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193"/>
        <v>0</v>
      </c>
      <c r="AF182" s="409"/>
      <c r="AG182" s="408"/>
      <c r="AH182" s="409">
        <f t="shared" si="194"/>
        <v>0</v>
      </c>
      <c r="AI182" s="410"/>
      <c r="AJ182" s="411">
        <f t="shared" si="195"/>
        <v>0</v>
      </c>
    </row>
    <row r="183" spans="1:36" s="276" customFormat="1" ht="20.25">
      <c r="A183" s="537"/>
      <c r="B183" s="552"/>
      <c r="C183" s="553"/>
      <c r="D183" s="544"/>
      <c r="E183" s="86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58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ref="AE183:AE185" si="196">SUM(E183:AC183)</f>
        <v>0</v>
      </c>
      <c r="AF183" s="594"/>
      <c r="AG183" s="593"/>
      <c r="AH183" s="594">
        <f t="shared" ref="AH183:AH185" si="197">AE183+AF183+AG183</f>
        <v>0</v>
      </c>
      <c r="AI183" s="605"/>
      <c r="AJ183" s="606">
        <f t="shared" ref="AJ183:AJ185" si="198">AH183+AI183</f>
        <v>0</v>
      </c>
    </row>
    <row r="184" spans="1:36" s="234" customFormat="1" ht="20.25">
      <c r="A184" s="551"/>
      <c r="B184" s="552"/>
      <c r="C184" s="553"/>
      <c r="D184" s="544"/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63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196"/>
        <v>0</v>
      </c>
      <c r="AF184" s="409"/>
      <c r="AG184" s="408"/>
      <c r="AH184" s="409">
        <f t="shared" si="197"/>
        <v>0</v>
      </c>
      <c r="AI184" s="410"/>
      <c r="AJ184" s="411">
        <f t="shared" si="198"/>
        <v>0</v>
      </c>
    </row>
    <row r="185" spans="1:36" s="276" customFormat="1" ht="20.25">
      <c r="A185" s="537"/>
      <c r="B185" s="552"/>
      <c r="C185" s="553"/>
      <c r="D185" s="544"/>
      <c r="E185" s="319"/>
      <c r="F185" s="320"/>
      <c r="G185" s="320"/>
      <c r="H185" s="321"/>
      <c r="I185" s="321"/>
      <c r="J185" s="320"/>
      <c r="K185" s="351"/>
      <c r="L185" s="352"/>
      <c r="M185" s="353"/>
      <c r="N185" s="321"/>
      <c r="O185" s="321"/>
      <c r="P185" s="321"/>
      <c r="Q185" s="321"/>
      <c r="R185" s="321"/>
      <c r="S185" s="321"/>
      <c r="T185" s="354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si="196"/>
        <v>0</v>
      </c>
      <c r="AF185" s="409"/>
      <c r="AG185" s="408"/>
      <c r="AH185" s="409">
        <f t="shared" si="197"/>
        <v>0</v>
      </c>
      <c r="AI185" s="410"/>
      <c r="AJ185" s="411">
        <f t="shared" si="198"/>
        <v>0</v>
      </c>
    </row>
    <row r="186" spans="1:36" s="234" customFormat="1" ht="20.25">
      <c r="A186" s="551"/>
      <c r="B186" s="1112"/>
      <c r="C186" s="1113"/>
      <c r="D186" s="1114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ref="AE186" si="199">SUM(E186:AC186)</f>
        <v>0</v>
      </c>
      <c r="AF186" s="594"/>
      <c r="AG186" s="593"/>
      <c r="AH186" s="594">
        <f t="shared" ref="AH186" si="200">AE186+AF186+AG186</f>
        <v>0</v>
      </c>
      <c r="AI186" s="605"/>
      <c r="AJ186" s="606">
        <f t="shared" ref="AJ186" si="201">AH186+AI186</f>
        <v>0</v>
      </c>
    </row>
    <row r="187" spans="1:36" s="276" customFormat="1" ht="20.25">
      <c r="A187" s="551"/>
      <c r="B187" s="550"/>
      <c r="C187" s="549"/>
      <c r="D187" s="544"/>
      <c r="E187" s="319"/>
      <c r="F187" s="741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193"/>
        <v>0</v>
      </c>
      <c r="AF187" s="409"/>
      <c r="AG187" s="408"/>
      <c r="AH187" s="409">
        <f t="shared" si="194"/>
        <v>0</v>
      </c>
      <c r="AI187" s="410"/>
      <c r="AJ187" s="411">
        <f t="shared" si="195"/>
        <v>0</v>
      </c>
    </row>
    <row r="188" spans="1:36" s="234" customFormat="1" ht="20.25">
      <c r="A188" s="537"/>
      <c r="B188" s="550"/>
      <c r="C188" s="549"/>
      <c r="D188" s="544"/>
      <c r="E188" s="541"/>
      <c r="F188" s="542"/>
      <c r="G188" s="542"/>
      <c r="H188" s="543"/>
      <c r="I188" s="543"/>
      <c r="J188" s="542"/>
      <c r="K188" s="579"/>
      <c r="L188" s="580"/>
      <c r="M188" s="581"/>
      <c r="N188" s="543"/>
      <c r="O188" s="543"/>
      <c r="P188" s="543"/>
      <c r="Q188" s="543"/>
      <c r="R188" s="543"/>
      <c r="S188" s="543"/>
      <c r="T188" s="587"/>
      <c r="U188" s="580"/>
      <c r="V188" s="581"/>
      <c r="W188" s="543"/>
      <c r="X188" s="543"/>
      <c r="Y188" s="543"/>
      <c r="Z188" s="543"/>
      <c r="AA188" s="543"/>
      <c r="AB188" s="543"/>
      <c r="AC188" s="592"/>
      <c r="AD188" s="580"/>
      <c r="AE188" s="593">
        <f t="shared" si="193"/>
        <v>0</v>
      </c>
      <c r="AF188" s="594"/>
      <c r="AG188" s="593"/>
      <c r="AH188" s="594">
        <f t="shared" si="194"/>
        <v>0</v>
      </c>
      <c r="AI188" s="605"/>
      <c r="AJ188" s="606">
        <f t="shared" si="195"/>
        <v>0</v>
      </c>
    </row>
    <row r="189" spans="1:36" s="234" customFormat="1" ht="20.25">
      <c r="A189" s="547"/>
      <c r="B189" s="550"/>
      <c r="C189" s="549"/>
      <c r="D189" s="544"/>
      <c r="E189" s="319"/>
      <c r="F189" s="320"/>
      <c r="G189" s="320"/>
      <c r="H189" s="321"/>
      <c r="I189" s="321"/>
      <c r="J189" s="320"/>
      <c r="K189" s="351"/>
      <c r="L189" s="352"/>
      <c r="M189" s="353"/>
      <c r="N189" s="321"/>
      <c r="O189" s="321"/>
      <c r="P189" s="321"/>
      <c r="Q189" s="321"/>
      <c r="R189" s="321"/>
      <c r="S189" s="321"/>
      <c r="T189" s="354"/>
      <c r="U189" s="352"/>
      <c r="V189" s="353"/>
      <c r="W189" s="321"/>
      <c r="X189" s="321"/>
      <c r="Y189" s="321"/>
      <c r="Z189" s="321"/>
      <c r="AA189" s="321"/>
      <c r="AB189" s="321"/>
      <c r="AC189" s="380"/>
      <c r="AD189" s="352"/>
      <c r="AE189" s="408">
        <f t="shared" si="193"/>
        <v>0</v>
      </c>
      <c r="AF189" s="409"/>
      <c r="AG189" s="408"/>
      <c r="AH189" s="409">
        <f t="shared" si="194"/>
        <v>0</v>
      </c>
      <c r="AI189" s="410"/>
      <c r="AJ189" s="411">
        <f t="shared" si="195"/>
        <v>0</v>
      </c>
    </row>
    <row r="190" spans="1:36" s="276" customFormat="1" ht="20.25">
      <c r="A190" s="537"/>
      <c r="B190" s="550"/>
      <c r="C190" s="549"/>
      <c r="D190" s="544"/>
      <c r="E190" s="541"/>
      <c r="F190" s="542"/>
      <c r="G190" s="542"/>
      <c r="H190" s="543"/>
      <c r="I190" s="543"/>
      <c r="J190" s="542"/>
      <c r="K190" s="579"/>
      <c r="L190" s="580"/>
      <c r="M190" s="581"/>
      <c r="N190" s="543"/>
      <c r="O190" s="543"/>
      <c r="P190" s="543"/>
      <c r="Q190" s="543"/>
      <c r="R190" s="543"/>
      <c r="S190" s="543"/>
      <c r="T190" s="587"/>
      <c r="U190" s="580"/>
      <c r="V190" s="581"/>
      <c r="W190" s="543"/>
      <c r="X190" s="543"/>
      <c r="Y190" s="543"/>
      <c r="Z190" s="543"/>
      <c r="AA190" s="543"/>
      <c r="AB190" s="543"/>
      <c r="AC190" s="592"/>
      <c r="AD190" s="580"/>
      <c r="AE190" s="593">
        <f t="shared" si="193"/>
        <v>0</v>
      </c>
      <c r="AF190" s="594"/>
      <c r="AG190" s="593"/>
      <c r="AH190" s="594">
        <f t="shared" si="194"/>
        <v>0</v>
      </c>
      <c r="AI190" s="605"/>
      <c r="AJ190" s="606">
        <f t="shared" si="195"/>
        <v>0</v>
      </c>
    </row>
    <row r="191" spans="1:36" s="276" customFormat="1" ht="20.25">
      <c r="A191" s="551"/>
      <c r="B191" s="550"/>
      <c r="C191" s="549"/>
      <c r="D191" s="544"/>
      <c r="E191" s="541"/>
      <c r="F191" s="542"/>
      <c r="G191" s="542"/>
      <c r="H191" s="543"/>
      <c r="I191" s="543"/>
      <c r="J191" s="542"/>
      <c r="K191" s="579"/>
      <c r="L191" s="580"/>
      <c r="M191" s="581"/>
      <c r="N191" s="543"/>
      <c r="O191" s="543"/>
      <c r="P191" s="543"/>
      <c r="Q191" s="543"/>
      <c r="R191" s="543"/>
      <c r="S191" s="543"/>
      <c r="T191" s="76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ref="AE191:AE192" si="202">SUM(E191:AC191)</f>
        <v>0</v>
      </c>
      <c r="AF191" s="594"/>
      <c r="AG191" s="593"/>
      <c r="AH191" s="594">
        <f t="shared" ref="AH191" si="203">AE191+AF191+AG191</f>
        <v>0</v>
      </c>
      <c r="AI191" s="605"/>
      <c r="AJ191" s="606">
        <f t="shared" ref="AJ191" si="204">AH191+AI191</f>
        <v>0</v>
      </c>
    </row>
    <row r="192" spans="1:36" s="234" customFormat="1" ht="20.25">
      <c r="A192" s="561"/>
      <c r="B192" s="545"/>
      <c r="C192" s="539"/>
      <c r="D192" s="544"/>
      <c r="E192" s="319"/>
      <c r="F192" s="320"/>
      <c r="G192" s="320"/>
      <c r="H192" s="321"/>
      <c r="I192" s="321"/>
      <c r="J192" s="320"/>
      <c r="K192" s="351"/>
      <c r="L192" s="352"/>
      <c r="M192" s="353"/>
      <c r="N192" s="321"/>
      <c r="O192" s="321"/>
      <c r="P192" s="321"/>
      <c r="Q192" s="321"/>
      <c r="R192" s="321"/>
      <c r="S192" s="321"/>
      <c r="T192" s="354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202"/>
        <v>0</v>
      </c>
      <c r="AF192" s="409"/>
      <c r="AG192" s="408"/>
      <c r="AH192" s="409">
        <f t="shared" ref="AH192:AH201" si="205">AE192+AF192+AG192</f>
        <v>0</v>
      </c>
      <c r="AI192" s="410"/>
      <c r="AJ192" s="411">
        <f t="shared" ref="AJ192:AJ201" si="206">AH192+AI192</f>
        <v>0</v>
      </c>
    </row>
    <row r="193" spans="1:36" s="276" customFormat="1" ht="20.25">
      <c r="A193" s="551"/>
      <c r="B193" s="796"/>
      <c r="C193" s="797"/>
      <c r="D193" s="559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76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ref="AE193:AE201" si="207">SUM(E193:AC193)</f>
        <v>0</v>
      </c>
      <c r="AF193" s="594"/>
      <c r="AG193" s="593"/>
      <c r="AH193" s="594">
        <f t="shared" si="205"/>
        <v>0</v>
      </c>
      <c r="AI193" s="605"/>
      <c r="AJ193" s="606">
        <f t="shared" si="206"/>
        <v>0</v>
      </c>
    </row>
    <row r="194" spans="1:36" s="276" customFormat="1" ht="20.25">
      <c r="A194" s="551"/>
      <c r="B194" s="552"/>
      <c r="C194" s="553"/>
      <c r="D194" s="568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207"/>
        <v>0</v>
      </c>
      <c r="AF194" s="409"/>
      <c r="AG194" s="408"/>
      <c r="AH194" s="409">
        <f t="shared" si="205"/>
        <v>0</v>
      </c>
      <c r="AI194" s="410"/>
      <c r="AJ194" s="411">
        <f t="shared" si="206"/>
        <v>0</v>
      </c>
    </row>
    <row r="195" spans="1:36" s="276" customFormat="1" ht="20.25">
      <c r="A195" s="561"/>
      <c r="B195" s="552"/>
      <c r="C195" s="553"/>
      <c r="D195" s="568"/>
      <c r="E195" s="541"/>
      <c r="F195" s="542"/>
      <c r="G195" s="542"/>
      <c r="H195" s="543"/>
      <c r="I195" s="543"/>
      <c r="J195" s="542"/>
      <c r="K195" s="579"/>
      <c r="L195" s="580"/>
      <c r="M195" s="581"/>
      <c r="N195" s="543"/>
      <c r="O195" s="543"/>
      <c r="P195" s="543"/>
      <c r="Q195" s="543"/>
      <c r="R195" s="543"/>
      <c r="S195" s="543"/>
      <c r="T195" s="587"/>
      <c r="U195" s="580"/>
      <c r="V195" s="581"/>
      <c r="W195" s="543"/>
      <c r="X195" s="543"/>
      <c r="Y195" s="543"/>
      <c r="Z195" s="543"/>
      <c r="AA195" s="543"/>
      <c r="AB195" s="543"/>
      <c r="AC195" s="592"/>
      <c r="AD195" s="580"/>
      <c r="AE195" s="593">
        <f t="shared" ref="AE195" si="208">SUM(E195:AC195)</f>
        <v>0</v>
      </c>
      <c r="AF195" s="594"/>
      <c r="AG195" s="593"/>
      <c r="AH195" s="594">
        <f t="shared" ref="AH195" si="209">AE195+AF195+AG195</f>
        <v>0</v>
      </c>
      <c r="AI195" s="605"/>
      <c r="AJ195" s="606">
        <f t="shared" ref="AJ195" si="210">AH195+AI195</f>
        <v>0</v>
      </c>
    </row>
    <row r="196" spans="1:36" s="234" customFormat="1" ht="20.25">
      <c r="A196" s="547"/>
      <c r="B196" s="552"/>
      <c r="C196" s="553"/>
      <c r="D196" s="568"/>
      <c r="E196" s="541"/>
      <c r="F196" s="542"/>
      <c r="G196" s="542"/>
      <c r="H196" s="543"/>
      <c r="I196" s="543"/>
      <c r="J196" s="542"/>
      <c r="K196" s="579"/>
      <c r="L196" s="580"/>
      <c r="M196" s="581"/>
      <c r="N196" s="543"/>
      <c r="O196" s="543"/>
      <c r="P196" s="543"/>
      <c r="Q196" s="543"/>
      <c r="R196" s="543"/>
      <c r="S196" s="543"/>
      <c r="T196" s="587"/>
      <c r="U196" s="580"/>
      <c r="V196" s="581"/>
      <c r="W196" s="543"/>
      <c r="X196" s="543"/>
      <c r="Y196" s="543"/>
      <c r="Z196" s="543"/>
      <c r="AA196" s="543"/>
      <c r="AB196" s="543"/>
      <c r="AC196" s="592"/>
      <c r="AD196" s="580"/>
      <c r="AE196" s="593">
        <f t="shared" si="207"/>
        <v>0</v>
      </c>
      <c r="AF196" s="594"/>
      <c r="AG196" s="593"/>
      <c r="AH196" s="594">
        <f t="shared" si="205"/>
        <v>0</v>
      </c>
      <c r="AI196" s="605"/>
      <c r="AJ196" s="606">
        <f t="shared" si="206"/>
        <v>0</v>
      </c>
    </row>
    <row r="197" spans="1:36" s="276" customFormat="1" ht="20.25">
      <c r="A197" s="1111"/>
      <c r="B197" s="552"/>
      <c r="C197" s="553"/>
      <c r="D197" s="568"/>
      <c r="E197" s="319"/>
      <c r="F197" s="320"/>
      <c r="G197" s="320"/>
      <c r="H197" s="321"/>
      <c r="I197" s="321"/>
      <c r="J197" s="320"/>
      <c r="K197" s="351"/>
      <c r="L197" s="352"/>
      <c r="M197" s="353"/>
      <c r="N197" s="321"/>
      <c r="O197" s="321"/>
      <c r="P197" s="321"/>
      <c r="Q197" s="321"/>
      <c r="R197" s="321"/>
      <c r="S197" s="321"/>
      <c r="T197" s="354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ref="AE197:AE199" si="211">SUM(E197:AC197)</f>
        <v>0</v>
      </c>
      <c r="AF197" s="409"/>
      <c r="AG197" s="408"/>
      <c r="AH197" s="409">
        <f t="shared" ref="AH197:AH199" si="212">AE197+AF197+AG197</f>
        <v>0</v>
      </c>
      <c r="AI197" s="410"/>
      <c r="AJ197" s="411">
        <f t="shared" ref="AJ197:AJ199" si="213">AH197+AI197</f>
        <v>0</v>
      </c>
    </row>
    <row r="198" spans="1:36" s="276" customFormat="1" ht="26.25">
      <c r="A198" s="547"/>
      <c r="B198" s="548"/>
      <c r="C198" s="549"/>
      <c r="D198" s="862"/>
      <c r="E198" s="541"/>
      <c r="F198" s="542"/>
      <c r="G198" s="542"/>
      <c r="H198" s="543"/>
      <c r="I198" s="543"/>
      <c r="J198" s="542"/>
      <c r="K198" s="579"/>
      <c r="L198" s="580"/>
      <c r="M198" s="581"/>
      <c r="N198" s="543"/>
      <c r="O198" s="543"/>
      <c r="P198" s="543"/>
      <c r="Q198" s="543"/>
      <c r="R198" s="543"/>
      <c r="S198" s="543"/>
      <c r="T198" s="863"/>
      <c r="U198" s="580"/>
      <c r="V198" s="581"/>
      <c r="W198" s="543"/>
      <c r="X198" s="543"/>
      <c r="Y198" s="543"/>
      <c r="Z198" s="864"/>
      <c r="AA198" s="543"/>
      <c r="AB198" s="543"/>
      <c r="AC198" s="592"/>
      <c r="AD198" s="580"/>
      <c r="AE198" s="593">
        <f t="shared" ref="AE198" si="214">SUM(E198:AC198)</f>
        <v>0</v>
      </c>
      <c r="AF198" s="594"/>
      <c r="AG198" s="593"/>
      <c r="AH198" s="594">
        <f t="shared" ref="AH198" si="215">AE198+AF198+AG198</f>
        <v>0</v>
      </c>
      <c r="AI198" s="605"/>
      <c r="AJ198" s="606">
        <f t="shared" ref="AJ198" si="216">AH198+AI198</f>
        <v>0</v>
      </c>
    </row>
    <row r="199" spans="1:36" s="234" customFormat="1" ht="26.25">
      <c r="A199" s="551"/>
      <c r="B199" s="552"/>
      <c r="C199" s="553"/>
      <c r="D199" s="568"/>
      <c r="E199" s="541"/>
      <c r="F199" s="542"/>
      <c r="G199" s="542"/>
      <c r="H199" s="543"/>
      <c r="I199" s="543"/>
      <c r="J199" s="542"/>
      <c r="K199" s="579"/>
      <c r="L199" s="580"/>
      <c r="M199" s="581"/>
      <c r="N199" s="543"/>
      <c r="O199" s="543"/>
      <c r="P199" s="543"/>
      <c r="Q199" s="543"/>
      <c r="R199" s="543"/>
      <c r="S199" s="543"/>
      <c r="T199" s="863"/>
      <c r="U199" s="580"/>
      <c r="V199" s="581"/>
      <c r="W199" s="543"/>
      <c r="X199" s="543"/>
      <c r="Y199" s="543"/>
      <c r="Z199" s="598"/>
      <c r="AA199" s="543"/>
      <c r="AB199" s="543"/>
      <c r="AC199" s="592"/>
      <c r="AD199" s="580"/>
      <c r="AE199" s="593">
        <f t="shared" si="211"/>
        <v>0</v>
      </c>
      <c r="AF199" s="594"/>
      <c r="AG199" s="593"/>
      <c r="AH199" s="594">
        <f t="shared" si="212"/>
        <v>0</v>
      </c>
      <c r="AI199" s="605"/>
      <c r="AJ199" s="606">
        <f t="shared" si="213"/>
        <v>0</v>
      </c>
    </row>
    <row r="200" spans="1:36" s="276" customFormat="1" ht="20.25">
      <c r="A200" s="547"/>
      <c r="B200" s="538"/>
      <c r="C200" s="539"/>
      <c r="D200" s="544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63"/>
      <c r="U200" s="352"/>
      <c r="V200" s="353"/>
      <c r="W200" s="321"/>
      <c r="X200" s="321"/>
      <c r="Y200" s="321"/>
      <c r="Z200" s="543"/>
      <c r="AA200" s="321"/>
      <c r="AB200" s="321"/>
      <c r="AC200" s="380"/>
      <c r="AD200" s="352"/>
      <c r="AE200" s="408">
        <f t="shared" si="207"/>
        <v>0</v>
      </c>
      <c r="AF200" s="409"/>
      <c r="AG200" s="408"/>
      <c r="AH200" s="409">
        <f t="shared" si="205"/>
        <v>0</v>
      </c>
      <c r="AI200" s="410"/>
      <c r="AJ200" s="411">
        <f t="shared" si="206"/>
        <v>0</v>
      </c>
    </row>
    <row r="201" spans="1:36" s="234" customFormat="1" ht="20.25">
      <c r="A201" s="537"/>
      <c r="B201" s="538"/>
      <c r="C201" s="539"/>
      <c r="D201" s="544"/>
      <c r="E201" s="541"/>
      <c r="F201" s="542"/>
      <c r="G201" s="542"/>
      <c r="H201" s="543"/>
      <c r="I201" s="543"/>
      <c r="J201" s="542"/>
      <c r="K201" s="579"/>
      <c r="L201" s="580"/>
      <c r="M201" s="581"/>
      <c r="N201" s="543"/>
      <c r="O201" s="543"/>
      <c r="P201" s="543"/>
      <c r="Q201" s="543"/>
      <c r="R201" s="543"/>
      <c r="S201" s="543"/>
      <c r="T201" s="767"/>
      <c r="U201" s="580"/>
      <c r="V201" s="581"/>
      <c r="W201" s="543"/>
      <c r="X201" s="543"/>
      <c r="Y201" s="543"/>
      <c r="Z201" s="543"/>
      <c r="AA201" s="543"/>
      <c r="AB201" s="543"/>
      <c r="AC201" s="592"/>
      <c r="AD201" s="580"/>
      <c r="AE201" s="593">
        <f t="shared" si="207"/>
        <v>0</v>
      </c>
      <c r="AF201" s="594"/>
      <c r="AG201" s="593"/>
      <c r="AH201" s="594">
        <f t="shared" si="205"/>
        <v>0</v>
      </c>
      <c r="AI201" s="605"/>
      <c r="AJ201" s="606">
        <f t="shared" si="206"/>
        <v>0</v>
      </c>
    </row>
    <row r="202" spans="1:36" s="276" customFormat="1" ht="20.25">
      <c r="A202" s="551"/>
      <c r="B202" s="552"/>
      <c r="C202" s="553"/>
      <c r="D202" s="568"/>
      <c r="E202" s="319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63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ref="AE202:AE205" si="217">SUM(E202:AC202)</f>
        <v>0</v>
      </c>
      <c r="AF202" s="409"/>
      <c r="AG202" s="408"/>
      <c r="AH202" s="409">
        <f t="shared" ref="AH202:AH205" si="218">AE202+AF202+AG202</f>
        <v>0</v>
      </c>
      <c r="AI202" s="410"/>
      <c r="AJ202" s="411">
        <f t="shared" ref="AJ202:AJ205" si="219">AH202+AI202</f>
        <v>0</v>
      </c>
    </row>
    <row r="203" spans="1:36" s="234" customFormat="1" ht="20.25">
      <c r="A203" s="551"/>
      <c r="B203" s="552"/>
      <c r="C203" s="553"/>
      <c r="D203" s="568"/>
      <c r="E203" s="541"/>
      <c r="F203" s="542"/>
      <c r="G203" s="542"/>
      <c r="H203" s="543"/>
      <c r="I203" s="543"/>
      <c r="J203" s="542"/>
      <c r="K203" s="579"/>
      <c r="L203" s="580"/>
      <c r="M203" s="581"/>
      <c r="N203" s="543"/>
      <c r="O203" s="543"/>
      <c r="P203" s="543"/>
      <c r="Q203" s="543"/>
      <c r="R203" s="543"/>
      <c r="S203" s="543"/>
      <c r="T203" s="767"/>
      <c r="U203" s="580"/>
      <c r="V203" s="581"/>
      <c r="W203" s="543"/>
      <c r="X203" s="543"/>
      <c r="Y203" s="543"/>
      <c r="Z203" s="543"/>
      <c r="AA203" s="543"/>
      <c r="AB203" s="543"/>
      <c r="AC203" s="592"/>
      <c r="AD203" s="580"/>
      <c r="AE203" s="593">
        <f t="shared" si="217"/>
        <v>0</v>
      </c>
      <c r="AF203" s="594"/>
      <c r="AG203" s="593"/>
      <c r="AH203" s="594">
        <f t="shared" si="218"/>
        <v>0</v>
      </c>
      <c r="AI203" s="605"/>
      <c r="AJ203" s="606">
        <f t="shared" si="219"/>
        <v>0</v>
      </c>
    </row>
    <row r="204" spans="1:36" s="234" customFormat="1" ht="20.25">
      <c r="A204" s="551"/>
      <c r="B204" s="552"/>
      <c r="C204" s="553"/>
      <c r="D204" s="568"/>
      <c r="E204" s="319"/>
      <c r="F204" s="320"/>
      <c r="G204" s="320"/>
      <c r="H204" s="321"/>
      <c r="I204" s="321"/>
      <c r="J204" s="320"/>
      <c r="K204" s="351"/>
      <c r="L204" s="352"/>
      <c r="M204" s="353"/>
      <c r="N204" s="321"/>
      <c r="O204" s="321"/>
      <c r="P204" s="321"/>
      <c r="Q204" s="321"/>
      <c r="R204" s="321"/>
      <c r="S204" s="321"/>
      <c r="T204" s="363"/>
      <c r="U204" s="352"/>
      <c r="V204" s="353"/>
      <c r="W204" s="321"/>
      <c r="X204" s="321"/>
      <c r="Y204" s="321"/>
      <c r="Z204" s="321"/>
      <c r="AA204" s="321"/>
      <c r="AB204" s="321"/>
      <c r="AC204" s="380"/>
      <c r="AD204" s="352"/>
      <c r="AE204" s="408">
        <f t="shared" si="217"/>
        <v>0</v>
      </c>
      <c r="AF204" s="409"/>
      <c r="AG204" s="408"/>
      <c r="AH204" s="409">
        <f t="shared" si="218"/>
        <v>0</v>
      </c>
      <c r="AI204" s="410"/>
      <c r="AJ204" s="411">
        <f t="shared" si="219"/>
        <v>0</v>
      </c>
    </row>
    <row r="205" spans="1:36" s="234" customFormat="1" ht="20.25">
      <c r="A205" s="551"/>
      <c r="B205" s="552"/>
      <c r="C205" s="553"/>
      <c r="D205" s="568"/>
      <c r="E205" s="541"/>
      <c r="F205" s="542"/>
      <c r="G205" s="542"/>
      <c r="H205" s="543"/>
      <c r="I205" s="543"/>
      <c r="J205" s="542"/>
      <c r="K205" s="579"/>
      <c r="L205" s="580"/>
      <c r="M205" s="581"/>
      <c r="N205" s="543"/>
      <c r="O205" s="543"/>
      <c r="P205" s="543"/>
      <c r="Q205" s="543"/>
      <c r="R205" s="543"/>
      <c r="S205" s="543"/>
      <c r="T205" s="767"/>
      <c r="U205" s="580"/>
      <c r="V205" s="581"/>
      <c r="W205" s="543"/>
      <c r="X205" s="543"/>
      <c r="Y205" s="543"/>
      <c r="Z205" s="543"/>
      <c r="AA205" s="543"/>
      <c r="AB205" s="543"/>
      <c r="AC205" s="592"/>
      <c r="AD205" s="580"/>
      <c r="AE205" s="593">
        <f t="shared" si="217"/>
        <v>0</v>
      </c>
      <c r="AF205" s="594"/>
      <c r="AG205" s="593"/>
      <c r="AH205" s="594">
        <f t="shared" si="218"/>
        <v>0</v>
      </c>
      <c r="AI205" s="605"/>
      <c r="AJ205" s="606">
        <f t="shared" si="219"/>
        <v>0</v>
      </c>
    </row>
    <row r="206" spans="1:36" s="234" customFormat="1" ht="20.25">
      <c r="A206" s="551"/>
      <c r="B206" s="567"/>
      <c r="C206" s="553"/>
      <c r="D206" s="838"/>
      <c r="E206" s="319"/>
      <c r="F206" s="320"/>
      <c r="G206" s="320"/>
      <c r="H206" s="321"/>
      <c r="I206" s="321"/>
      <c r="J206" s="320"/>
      <c r="K206" s="351"/>
      <c r="L206" s="352"/>
      <c r="M206" s="353"/>
      <c r="N206" s="321"/>
      <c r="O206" s="321"/>
      <c r="P206" s="321"/>
      <c r="Q206" s="321"/>
      <c r="R206" s="321"/>
      <c r="S206" s="321"/>
      <c r="T206" s="363"/>
      <c r="U206" s="352"/>
      <c r="V206" s="353"/>
      <c r="W206" s="321"/>
      <c r="X206" s="321"/>
      <c r="Y206" s="321"/>
      <c r="Z206" s="321"/>
      <c r="AA206" s="321"/>
      <c r="AB206" s="321"/>
      <c r="AC206" s="380"/>
      <c r="AD206" s="352"/>
      <c r="AE206" s="408">
        <f t="shared" ref="AE206:AE207" si="220">SUM(E206:AC206)</f>
        <v>0</v>
      </c>
      <c r="AF206" s="409"/>
      <c r="AG206" s="408"/>
      <c r="AH206" s="409">
        <f t="shared" ref="AH206:AH207" si="221">AE206+AF206+AG206</f>
        <v>0</v>
      </c>
      <c r="AI206" s="410"/>
      <c r="AJ206" s="411">
        <f t="shared" ref="AJ206:AJ207" si="222">AH206+AI206</f>
        <v>0</v>
      </c>
    </row>
    <row r="207" spans="1:36" s="234" customFormat="1" ht="20.25">
      <c r="A207" s="551"/>
      <c r="B207" s="552"/>
      <c r="C207" s="553"/>
      <c r="D207" s="568"/>
      <c r="E207" s="541"/>
      <c r="F207" s="542"/>
      <c r="G207" s="542"/>
      <c r="H207" s="543"/>
      <c r="I207" s="543"/>
      <c r="J207" s="542"/>
      <c r="K207" s="579"/>
      <c r="L207" s="580"/>
      <c r="M207" s="581"/>
      <c r="N207" s="543"/>
      <c r="O207" s="543"/>
      <c r="P207" s="543"/>
      <c r="Q207" s="543"/>
      <c r="R207" s="543"/>
      <c r="S207" s="543"/>
      <c r="T207" s="767"/>
      <c r="U207" s="580"/>
      <c r="V207" s="581"/>
      <c r="W207" s="543"/>
      <c r="X207" s="543"/>
      <c r="Y207" s="543"/>
      <c r="Z207" s="543"/>
      <c r="AA207" s="543"/>
      <c r="AB207" s="543"/>
      <c r="AC207" s="592"/>
      <c r="AD207" s="580"/>
      <c r="AE207" s="593">
        <f t="shared" si="220"/>
        <v>0</v>
      </c>
      <c r="AF207" s="594"/>
      <c r="AG207" s="593"/>
      <c r="AH207" s="594">
        <f t="shared" si="221"/>
        <v>0</v>
      </c>
      <c r="AI207" s="605"/>
      <c r="AJ207" s="606">
        <f t="shared" si="222"/>
        <v>0</v>
      </c>
    </row>
    <row r="208" spans="1:36" s="234" customFormat="1" ht="20.25">
      <c r="A208" s="551"/>
      <c r="B208" s="567"/>
      <c r="C208" s="553"/>
      <c r="D208" s="838"/>
      <c r="E208" s="319"/>
      <c r="F208" s="741"/>
      <c r="G208" s="320"/>
      <c r="H208" s="321"/>
      <c r="I208" s="321"/>
      <c r="J208" s="320"/>
      <c r="K208" s="351"/>
      <c r="L208" s="352"/>
      <c r="M208" s="353"/>
      <c r="N208" s="321"/>
      <c r="O208" s="321"/>
      <c r="P208" s="321"/>
      <c r="Q208" s="321"/>
      <c r="R208" s="321"/>
      <c r="S208" s="321"/>
      <c r="T208" s="363"/>
      <c r="U208" s="352"/>
      <c r="V208" s="353"/>
      <c r="W208" s="321"/>
      <c r="X208" s="321"/>
      <c r="Y208" s="321"/>
      <c r="Z208" s="321"/>
      <c r="AA208" s="321"/>
      <c r="AB208" s="321"/>
      <c r="AC208" s="380"/>
      <c r="AD208" s="352"/>
      <c r="AE208" s="408">
        <f t="shared" ref="AE208" si="223">SUM(E208:AC208)</f>
        <v>0</v>
      </c>
      <c r="AF208" s="409"/>
      <c r="AG208" s="408"/>
      <c r="AH208" s="409">
        <f t="shared" ref="AH208" si="224">AE208+AF208+AG208</f>
        <v>0</v>
      </c>
      <c r="AI208" s="410"/>
      <c r="AJ208" s="411">
        <f t="shared" ref="AJ208" si="225">AH208+AI208</f>
        <v>0</v>
      </c>
    </row>
    <row r="209" spans="1:39" s="234" customFormat="1" ht="20.25">
      <c r="A209" s="551"/>
      <c r="B209" s="567"/>
      <c r="C209" s="553"/>
      <c r="D209" s="838"/>
      <c r="E209" s="319"/>
      <c r="F209" s="320"/>
      <c r="G209" s="320"/>
      <c r="H209" s="321"/>
      <c r="I209" s="321"/>
      <c r="J209" s="320"/>
      <c r="K209" s="351"/>
      <c r="L209" s="352"/>
      <c r="M209" s="353"/>
      <c r="N209" s="321"/>
      <c r="O209" s="321"/>
      <c r="P209" s="321"/>
      <c r="Q209" s="321"/>
      <c r="R209" s="321"/>
      <c r="S209" s="321"/>
      <c r="T209" s="354"/>
      <c r="U209" s="352"/>
      <c r="V209" s="353"/>
      <c r="W209" s="321"/>
      <c r="X209" s="321"/>
      <c r="Y209" s="321"/>
      <c r="Z209" s="321"/>
      <c r="AA209" s="321"/>
      <c r="AB209" s="321"/>
      <c r="AC209" s="380"/>
      <c r="AD209" s="352"/>
      <c r="AE209" s="408">
        <f t="shared" ref="AE209:AE212" si="226">SUM(E209:AC209)</f>
        <v>0</v>
      </c>
      <c r="AF209" s="409"/>
      <c r="AG209" s="408"/>
      <c r="AH209" s="409">
        <f t="shared" ref="AH209:AH215" si="227">AE209+AF209+AG209</f>
        <v>0</v>
      </c>
      <c r="AI209" s="410"/>
      <c r="AJ209" s="411">
        <f t="shared" ref="AJ209:AJ215" si="228">AH209+AI209</f>
        <v>0</v>
      </c>
    </row>
    <row r="210" spans="1:39" s="234" customFormat="1" ht="20.25">
      <c r="A210" s="551"/>
      <c r="B210" s="567"/>
      <c r="C210" s="553"/>
      <c r="D210" s="838"/>
      <c r="E210" s="541"/>
      <c r="F210" s="557"/>
      <c r="G210" s="542"/>
      <c r="H210" s="543"/>
      <c r="I210" s="543"/>
      <c r="J210" s="542"/>
      <c r="K210" s="579"/>
      <c r="L210" s="580"/>
      <c r="M210" s="581"/>
      <c r="N210" s="543"/>
      <c r="O210" s="543"/>
      <c r="P210" s="543"/>
      <c r="Q210" s="543"/>
      <c r="R210" s="543"/>
      <c r="S210" s="543"/>
      <c r="T210" s="587"/>
      <c r="U210" s="580"/>
      <c r="V210" s="581"/>
      <c r="W210" s="543"/>
      <c r="X210" s="543"/>
      <c r="Y210" s="543"/>
      <c r="Z210" s="543"/>
      <c r="AA210" s="543"/>
      <c r="AB210" s="543"/>
      <c r="AC210" s="592"/>
      <c r="AD210" s="580"/>
      <c r="AE210" s="593">
        <f t="shared" si="226"/>
        <v>0</v>
      </c>
      <c r="AF210" s="594"/>
      <c r="AG210" s="593"/>
      <c r="AH210" s="594">
        <f t="shared" si="227"/>
        <v>0</v>
      </c>
      <c r="AI210" s="605"/>
      <c r="AJ210" s="606">
        <f t="shared" si="228"/>
        <v>0</v>
      </c>
    </row>
    <row r="211" spans="1:39" s="234" customFormat="1" ht="20.25">
      <c r="A211" s="551"/>
      <c r="B211" s="567"/>
      <c r="C211" s="553"/>
      <c r="D211" s="838"/>
      <c r="E211" s="541"/>
      <c r="F211" s="542"/>
      <c r="G211" s="542"/>
      <c r="H211" s="543"/>
      <c r="I211" s="543"/>
      <c r="J211" s="542"/>
      <c r="K211" s="579"/>
      <c r="L211" s="580"/>
      <c r="M211" s="581"/>
      <c r="N211" s="543"/>
      <c r="O211" s="543"/>
      <c r="P211" s="543"/>
      <c r="Q211" s="543"/>
      <c r="R211" s="543"/>
      <c r="S211" s="543"/>
      <c r="T211" s="587"/>
      <c r="U211" s="580"/>
      <c r="V211" s="581"/>
      <c r="W211" s="543"/>
      <c r="X211" s="543"/>
      <c r="Y211" s="543"/>
      <c r="Z211" s="543"/>
      <c r="AA211" s="543"/>
      <c r="AB211" s="543"/>
      <c r="AC211" s="592"/>
      <c r="AD211" s="580"/>
      <c r="AE211" s="593">
        <f t="shared" si="226"/>
        <v>0</v>
      </c>
      <c r="AF211" s="594"/>
      <c r="AG211" s="593"/>
      <c r="AH211" s="594">
        <f t="shared" si="227"/>
        <v>0</v>
      </c>
      <c r="AI211" s="605"/>
      <c r="AJ211" s="606">
        <f t="shared" si="228"/>
        <v>0</v>
      </c>
    </row>
    <row r="212" spans="1:39" s="234" customFormat="1" ht="20.25">
      <c r="A212" s="551"/>
      <c r="B212" s="567"/>
      <c r="C212" s="553"/>
      <c r="D212" s="838"/>
      <c r="E212" s="319"/>
      <c r="F212" s="320"/>
      <c r="G212" s="320"/>
      <c r="H212" s="321"/>
      <c r="I212" s="321"/>
      <c r="J212" s="320"/>
      <c r="K212" s="351"/>
      <c r="L212" s="352"/>
      <c r="M212" s="353"/>
      <c r="N212" s="321"/>
      <c r="O212" s="321"/>
      <c r="P212" s="321"/>
      <c r="Q212" s="321"/>
      <c r="R212" s="321"/>
      <c r="S212" s="321"/>
      <c r="T212" s="354"/>
      <c r="U212" s="352"/>
      <c r="V212" s="353"/>
      <c r="W212" s="321"/>
      <c r="X212" s="321"/>
      <c r="Y212" s="321"/>
      <c r="Z212" s="321"/>
      <c r="AA212" s="321"/>
      <c r="AB212" s="321"/>
      <c r="AC212" s="380"/>
      <c r="AD212" s="352"/>
      <c r="AE212" s="593">
        <f t="shared" si="226"/>
        <v>0</v>
      </c>
      <c r="AF212" s="409"/>
      <c r="AG212" s="408"/>
      <c r="AH212" s="409">
        <f t="shared" si="227"/>
        <v>0</v>
      </c>
      <c r="AI212" s="410"/>
      <c r="AJ212" s="411">
        <f t="shared" si="228"/>
        <v>0</v>
      </c>
    </row>
    <row r="213" spans="1:39" s="234" customFormat="1" ht="20.25">
      <c r="A213" s="551"/>
      <c r="B213" s="567"/>
      <c r="C213" s="553"/>
      <c r="D213" s="838"/>
      <c r="E213" s="541"/>
      <c r="F213" s="542"/>
      <c r="G213" s="542"/>
      <c r="H213" s="543"/>
      <c r="I213" s="543"/>
      <c r="J213" s="542"/>
      <c r="K213" s="579"/>
      <c r="L213" s="580"/>
      <c r="M213" s="581"/>
      <c r="N213" s="543"/>
      <c r="O213" s="543"/>
      <c r="P213" s="543"/>
      <c r="Q213" s="543"/>
      <c r="R213" s="543"/>
      <c r="S213" s="543"/>
      <c r="T213" s="587"/>
      <c r="U213" s="580"/>
      <c r="V213" s="581"/>
      <c r="W213" s="543"/>
      <c r="X213" s="543"/>
      <c r="Y213" s="543"/>
      <c r="Z213" s="543"/>
      <c r="AA213" s="543"/>
      <c r="AB213" s="543"/>
      <c r="AC213" s="592"/>
      <c r="AD213" s="580"/>
      <c r="AE213" s="593">
        <f t="shared" ref="AE213:AE215" si="229">SUM(E213:AC213)</f>
        <v>0</v>
      </c>
      <c r="AF213" s="594"/>
      <c r="AG213" s="593"/>
      <c r="AH213" s="594">
        <f t="shared" ref="AH213:AH214" si="230">AE213+AF213+AG213</f>
        <v>0</v>
      </c>
      <c r="AI213" s="605"/>
      <c r="AJ213" s="606">
        <f t="shared" ref="AJ213:AJ214" si="231">AH213+AI213</f>
        <v>0</v>
      </c>
    </row>
    <row r="214" spans="1:39" s="234" customFormat="1" ht="20.25">
      <c r="A214" s="551"/>
      <c r="B214" s="567"/>
      <c r="C214" s="553"/>
      <c r="D214" s="838"/>
      <c r="E214" s="541"/>
      <c r="F214" s="542"/>
      <c r="G214" s="542"/>
      <c r="H214" s="543"/>
      <c r="I214" s="543"/>
      <c r="J214" s="542"/>
      <c r="K214" s="579"/>
      <c r="L214" s="580"/>
      <c r="M214" s="581"/>
      <c r="N214" s="543"/>
      <c r="O214" s="543"/>
      <c r="P214" s="543"/>
      <c r="Q214" s="543"/>
      <c r="R214" s="543"/>
      <c r="S214" s="543"/>
      <c r="T214" s="587"/>
      <c r="U214" s="580"/>
      <c r="V214" s="581"/>
      <c r="W214" s="543"/>
      <c r="X214" s="543"/>
      <c r="Y214" s="543"/>
      <c r="Z214" s="543"/>
      <c r="AA214" s="543"/>
      <c r="AB214" s="543"/>
      <c r="AC214" s="592"/>
      <c r="AD214" s="580"/>
      <c r="AE214" s="593">
        <f t="shared" si="229"/>
        <v>0</v>
      </c>
      <c r="AF214" s="594"/>
      <c r="AG214" s="593"/>
      <c r="AH214" s="594">
        <f t="shared" si="230"/>
        <v>0</v>
      </c>
      <c r="AI214" s="605"/>
      <c r="AJ214" s="606">
        <f t="shared" si="231"/>
        <v>0</v>
      </c>
    </row>
    <row r="215" spans="1:39" s="234" customFormat="1" ht="20.25">
      <c r="A215" s="551"/>
      <c r="B215" s="567"/>
      <c r="C215" s="553"/>
      <c r="D215" s="838"/>
      <c r="E215" s="541"/>
      <c r="F215" s="542"/>
      <c r="G215" s="542"/>
      <c r="H215" s="543"/>
      <c r="I215" s="543"/>
      <c r="J215" s="542"/>
      <c r="K215" s="579"/>
      <c r="L215" s="580"/>
      <c r="M215" s="581"/>
      <c r="N215" s="543"/>
      <c r="O215" s="543"/>
      <c r="P215" s="543"/>
      <c r="Q215" s="543"/>
      <c r="R215" s="543"/>
      <c r="S215" s="543"/>
      <c r="T215" s="587"/>
      <c r="U215" s="580"/>
      <c r="V215" s="581"/>
      <c r="W215" s="543"/>
      <c r="X215" s="543"/>
      <c r="Y215" s="543"/>
      <c r="Z215" s="543"/>
      <c r="AA215" s="543"/>
      <c r="AB215" s="543"/>
      <c r="AC215" s="592"/>
      <c r="AD215" s="580"/>
      <c r="AE215" s="593">
        <f t="shared" si="229"/>
        <v>0</v>
      </c>
      <c r="AF215" s="594"/>
      <c r="AG215" s="593"/>
      <c r="AH215" s="594">
        <f t="shared" si="227"/>
        <v>0</v>
      </c>
      <c r="AI215" s="605"/>
      <c r="AJ215" s="606">
        <f t="shared" si="228"/>
        <v>0</v>
      </c>
    </row>
    <row r="216" spans="1:39" s="234" customFormat="1" ht="20.25">
      <c r="A216" s="551"/>
      <c r="B216" s="569"/>
      <c r="C216" s="553"/>
      <c r="D216" s="793"/>
      <c r="E216" s="319"/>
      <c r="F216" s="320"/>
      <c r="G216" s="320"/>
      <c r="H216" s="321"/>
      <c r="I216" s="321"/>
      <c r="J216" s="320"/>
      <c r="K216" s="351"/>
      <c r="L216" s="352"/>
      <c r="M216" s="353"/>
      <c r="N216" s="321"/>
      <c r="O216" s="321"/>
      <c r="P216" s="321"/>
      <c r="Q216" s="321"/>
      <c r="R216" s="321"/>
      <c r="S216" s="321"/>
      <c r="T216" s="354"/>
      <c r="U216" s="352"/>
      <c r="V216" s="353"/>
      <c r="W216" s="321"/>
      <c r="X216" s="321"/>
      <c r="Y216" s="321"/>
      <c r="Z216" s="321"/>
      <c r="AA216" s="321"/>
      <c r="AB216" s="321"/>
      <c r="AC216" s="380"/>
      <c r="AD216" s="352"/>
      <c r="AE216" s="408">
        <f t="shared" ref="AE216:AE218" si="232">SUM(E216:AC216)</f>
        <v>0</v>
      </c>
      <c r="AF216" s="409"/>
      <c r="AG216" s="408"/>
      <c r="AH216" s="409">
        <f t="shared" ref="AH216:AH218" si="233">AE216+AF216+AG216</f>
        <v>0</v>
      </c>
      <c r="AI216" s="410"/>
      <c r="AJ216" s="411">
        <f t="shared" ref="AJ216:AJ218" si="234">AH216+AI216</f>
        <v>0</v>
      </c>
    </row>
    <row r="217" spans="1:39" s="234" customFormat="1" ht="20.25">
      <c r="A217" s="551"/>
      <c r="B217" s="552"/>
      <c r="C217" s="553"/>
      <c r="D217" s="568"/>
      <c r="E217" s="541"/>
      <c r="F217" s="542"/>
      <c r="G217" s="542"/>
      <c r="H217" s="543"/>
      <c r="I217" s="543"/>
      <c r="J217" s="542"/>
      <c r="K217" s="579"/>
      <c r="L217" s="580"/>
      <c r="M217" s="581"/>
      <c r="N217" s="543"/>
      <c r="O217" s="543"/>
      <c r="P217" s="543"/>
      <c r="Q217" s="543"/>
      <c r="R217" s="543"/>
      <c r="S217" s="543"/>
      <c r="T217" s="587"/>
      <c r="U217" s="580"/>
      <c r="V217" s="581"/>
      <c r="W217" s="543"/>
      <c r="X217" s="543"/>
      <c r="Y217" s="543"/>
      <c r="Z217" s="543"/>
      <c r="AA217" s="543"/>
      <c r="AB217" s="543"/>
      <c r="AC217" s="592"/>
      <c r="AD217" s="580"/>
      <c r="AE217" s="593">
        <f t="shared" si="232"/>
        <v>0</v>
      </c>
      <c r="AF217" s="594"/>
      <c r="AG217" s="593"/>
      <c r="AH217" s="594">
        <f t="shared" si="233"/>
        <v>0</v>
      </c>
      <c r="AI217" s="605"/>
      <c r="AJ217" s="606">
        <f t="shared" si="234"/>
        <v>0</v>
      </c>
    </row>
    <row r="218" spans="1:39" s="234" customFormat="1" ht="20.25">
      <c r="A218" s="551"/>
      <c r="B218" s="552"/>
      <c r="C218" s="553"/>
      <c r="D218" s="568"/>
      <c r="E218" s="541"/>
      <c r="F218" s="542"/>
      <c r="G218" s="542"/>
      <c r="H218" s="543"/>
      <c r="I218" s="543"/>
      <c r="J218" s="542"/>
      <c r="K218" s="579"/>
      <c r="L218" s="580"/>
      <c r="M218" s="581"/>
      <c r="N218" s="543"/>
      <c r="O218" s="543"/>
      <c r="P218" s="543"/>
      <c r="Q218" s="543"/>
      <c r="R218" s="543"/>
      <c r="S218" s="543"/>
      <c r="T218" s="587"/>
      <c r="U218" s="580"/>
      <c r="V218" s="581"/>
      <c r="W218" s="543"/>
      <c r="X218" s="543"/>
      <c r="Y218" s="543"/>
      <c r="Z218" s="543"/>
      <c r="AA218" s="543"/>
      <c r="AB218" s="543"/>
      <c r="AC218" s="592"/>
      <c r="AD218" s="580"/>
      <c r="AE218" s="593">
        <f t="shared" si="232"/>
        <v>0</v>
      </c>
      <c r="AF218" s="594"/>
      <c r="AG218" s="593"/>
      <c r="AH218" s="594">
        <f t="shared" si="233"/>
        <v>0</v>
      </c>
      <c r="AI218" s="605"/>
      <c r="AJ218" s="606">
        <f t="shared" si="234"/>
        <v>0</v>
      </c>
    </row>
    <row r="219" spans="1:39" s="234" customFormat="1" ht="20.25">
      <c r="A219" s="551"/>
      <c r="B219" s="552"/>
      <c r="C219" s="553"/>
      <c r="D219" s="568"/>
      <c r="E219" s="319"/>
      <c r="F219" s="320"/>
      <c r="G219" s="320"/>
      <c r="H219" s="321"/>
      <c r="I219" s="321"/>
      <c r="J219" s="320"/>
      <c r="K219" s="351"/>
      <c r="L219" s="352"/>
      <c r="M219" s="353"/>
      <c r="N219" s="321"/>
      <c r="O219" s="321"/>
      <c r="P219" s="321"/>
      <c r="Q219" s="321"/>
      <c r="R219" s="321"/>
      <c r="S219" s="321"/>
      <c r="T219" s="354"/>
      <c r="U219" s="352"/>
      <c r="V219" s="353"/>
      <c r="W219" s="321"/>
      <c r="X219" s="321"/>
      <c r="Y219" s="321"/>
      <c r="Z219" s="321"/>
      <c r="AA219" s="321"/>
      <c r="AB219" s="321"/>
      <c r="AC219" s="380"/>
      <c r="AD219" s="352"/>
      <c r="AE219" s="408">
        <f t="shared" ref="AE219:AE220" si="235">SUM(E219:AC219)</f>
        <v>0</v>
      </c>
      <c r="AF219" s="409"/>
      <c r="AG219" s="408"/>
      <c r="AH219" s="409">
        <f t="shared" ref="AH219:AH220" si="236">AE219+AF219+AG219</f>
        <v>0</v>
      </c>
      <c r="AI219" s="410"/>
      <c r="AJ219" s="411">
        <f t="shared" ref="AJ219:AJ220" si="237">AH219+AI219</f>
        <v>0</v>
      </c>
    </row>
    <row r="220" spans="1:39" ht="20.25">
      <c r="A220" s="551"/>
      <c r="B220" s="552"/>
      <c r="C220" s="553"/>
      <c r="D220" s="568"/>
      <c r="E220" s="541"/>
      <c r="F220" s="542"/>
      <c r="G220" s="542"/>
      <c r="H220" s="543"/>
      <c r="I220" s="543"/>
      <c r="J220" s="542"/>
      <c r="K220" s="579"/>
      <c r="L220" s="580"/>
      <c r="M220" s="581"/>
      <c r="N220" s="543"/>
      <c r="O220" s="543"/>
      <c r="P220" s="543"/>
      <c r="Q220" s="543"/>
      <c r="R220" s="543"/>
      <c r="S220" s="543"/>
      <c r="T220" s="587"/>
      <c r="U220" s="580"/>
      <c r="V220" s="581"/>
      <c r="W220" s="543"/>
      <c r="X220" s="543"/>
      <c r="Y220" s="543"/>
      <c r="Z220" s="543"/>
      <c r="AA220" s="543"/>
      <c r="AB220" s="543"/>
      <c r="AC220" s="592"/>
      <c r="AD220" s="580"/>
      <c r="AE220" s="593">
        <f t="shared" si="235"/>
        <v>0</v>
      </c>
      <c r="AF220" s="594"/>
      <c r="AG220" s="593"/>
      <c r="AH220" s="594">
        <f t="shared" si="236"/>
        <v>0</v>
      </c>
      <c r="AI220" s="605"/>
      <c r="AJ220" s="606">
        <f t="shared" si="237"/>
        <v>0</v>
      </c>
      <c r="AL220" s="869"/>
    </row>
    <row r="221" spans="1:39" ht="20.25">
      <c r="A221" s="551"/>
      <c r="B221" s="552"/>
      <c r="C221" s="553"/>
      <c r="D221" s="568"/>
      <c r="E221" s="319"/>
      <c r="F221" s="320"/>
      <c r="G221" s="320"/>
      <c r="H221" s="321"/>
      <c r="I221" s="321"/>
      <c r="J221" s="320"/>
      <c r="K221" s="351"/>
      <c r="L221" s="352"/>
      <c r="M221" s="353"/>
      <c r="N221" s="321"/>
      <c r="O221" s="321"/>
      <c r="P221" s="321"/>
      <c r="Q221" s="321"/>
      <c r="R221" s="321"/>
      <c r="S221" s="321"/>
      <c r="T221" s="354"/>
      <c r="U221" s="352"/>
      <c r="V221" s="353"/>
      <c r="W221" s="321"/>
      <c r="X221" s="321"/>
      <c r="Y221" s="321"/>
      <c r="Z221" s="321"/>
      <c r="AA221" s="321"/>
      <c r="AB221" s="321"/>
      <c r="AC221" s="380"/>
      <c r="AD221" s="352"/>
      <c r="AE221" s="408">
        <f t="shared" ref="AE221" si="238">SUM(E221:AC221)</f>
        <v>0</v>
      </c>
      <c r="AF221" s="409"/>
      <c r="AG221" s="408"/>
      <c r="AH221" s="409">
        <f t="shared" ref="AH221" si="239">AE221+AF221+AG221</f>
        <v>0</v>
      </c>
      <c r="AI221" s="410"/>
      <c r="AJ221" s="411">
        <f t="shared" ref="AJ221" si="240">AH221+AI221</f>
        <v>0</v>
      </c>
    </row>
    <row r="222" spans="1:39" s="284" customFormat="1" ht="20.25">
      <c r="A222" s="551"/>
      <c r="B222" s="552"/>
      <c r="C222" s="553"/>
      <c r="D222" s="568"/>
      <c r="E222" s="541"/>
      <c r="F222" s="542"/>
      <c r="G222" s="542"/>
      <c r="H222" s="543"/>
      <c r="I222" s="543"/>
      <c r="J222" s="542"/>
      <c r="K222" s="579"/>
      <c r="L222" s="580"/>
      <c r="M222" s="581"/>
      <c r="N222" s="543"/>
      <c r="O222" s="543"/>
      <c r="P222" s="543"/>
      <c r="Q222" s="543"/>
      <c r="R222" s="543"/>
      <c r="S222" s="543"/>
      <c r="T222" s="587"/>
      <c r="U222" s="580"/>
      <c r="V222" s="581"/>
      <c r="W222" s="543"/>
      <c r="X222" s="543"/>
      <c r="Y222" s="543"/>
      <c r="Z222" s="543"/>
      <c r="AA222" s="543"/>
      <c r="AB222" s="543"/>
      <c r="AC222" s="592"/>
      <c r="AD222" s="580"/>
      <c r="AE222" s="593">
        <f t="shared" ref="AE222:AE232" si="241">SUM(E222:AC222)</f>
        <v>0</v>
      </c>
      <c r="AF222" s="594"/>
      <c r="AG222" s="593"/>
      <c r="AH222" s="594">
        <f t="shared" ref="AH222:AH232" si="242">AE222+AF222+AG222</f>
        <v>0</v>
      </c>
      <c r="AI222" s="605"/>
      <c r="AJ222" s="606">
        <f t="shared" ref="AJ222:AJ232" si="243">AH222+AI222</f>
        <v>0</v>
      </c>
      <c r="AK222" s="403"/>
      <c r="AL222" s="403"/>
      <c r="AM222" s="403"/>
    </row>
    <row r="223" spans="1:39" s="282" customFormat="1" ht="20.25">
      <c r="A223" s="551"/>
      <c r="B223" s="552"/>
      <c r="C223" s="553"/>
      <c r="D223" s="568"/>
      <c r="E223" s="319"/>
      <c r="F223" s="320"/>
      <c r="G223" s="320"/>
      <c r="H223" s="321"/>
      <c r="I223" s="321"/>
      <c r="J223" s="320"/>
      <c r="K223" s="351"/>
      <c r="L223" s="352"/>
      <c r="M223" s="353"/>
      <c r="N223" s="321"/>
      <c r="O223" s="321"/>
      <c r="P223" s="321"/>
      <c r="Q223" s="321"/>
      <c r="R223" s="321"/>
      <c r="S223" s="321"/>
      <c r="T223" s="354"/>
      <c r="U223" s="352"/>
      <c r="V223" s="353"/>
      <c r="W223" s="321"/>
      <c r="X223" s="321"/>
      <c r="Y223" s="321"/>
      <c r="Z223" s="321"/>
      <c r="AA223" s="321"/>
      <c r="AB223" s="321"/>
      <c r="AC223" s="380"/>
      <c r="AD223" s="352"/>
      <c r="AE223" s="408">
        <f t="shared" ref="AE223:AE226" si="244">SUM(E223:AC223)</f>
        <v>0</v>
      </c>
      <c r="AF223" s="409"/>
      <c r="AG223" s="408"/>
      <c r="AH223" s="409">
        <f t="shared" ref="AH223:AH226" si="245">AE223+AF223+AG223</f>
        <v>0</v>
      </c>
      <c r="AI223" s="410"/>
      <c r="AJ223" s="411">
        <f t="shared" ref="AJ223:AJ226" si="246">AH223+AI223</f>
        <v>0</v>
      </c>
    </row>
    <row r="224" spans="1:39" s="283" customFormat="1" ht="20.25">
      <c r="A224" s="551"/>
      <c r="B224" s="552"/>
      <c r="C224" s="615"/>
      <c r="D224" s="616"/>
      <c r="E224" s="319"/>
      <c r="F224" s="320"/>
      <c r="G224" s="320"/>
      <c r="H224" s="321"/>
      <c r="I224" s="321"/>
      <c r="J224" s="320"/>
      <c r="K224" s="351"/>
      <c r="L224" s="352"/>
      <c r="M224" s="353"/>
      <c r="N224" s="321"/>
      <c r="O224" s="321"/>
      <c r="P224" s="321"/>
      <c r="Q224" s="321"/>
      <c r="R224" s="321"/>
      <c r="S224" s="321"/>
      <c r="T224" s="354"/>
      <c r="U224" s="352"/>
      <c r="V224" s="353"/>
      <c r="W224" s="321"/>
      <c r="X224" s="321"/>
      <c r="Y224" s="321"/>
      <c r="Z224" s="321"/>
      <c r="AA224" s="321"/>
      <c r="AB224" s="321"/>
      <c r="AC224" s="380"/>
      <c r="AD224" s="352"/>
      <c r="AE224" s="408">
        <f t="shared" si="244"/>
        <v>0</v>
      </c>
      <c r="AF224" s="409"/>
      <c r="AG224" s="408"/>
      <c r="AH224" s="409">
        <f t="shared" si="245"/>
        <v>0</v>
      </c>
      <c r="AI224" s="410"/>
      <c r="AJ224" s="411">
        <f t="shared" si="246"/>
        <v>0</v>
      </c>
    </row>
    <row r="225" spans="1:39" s="283" customFormat="1" ht="20.25">
      <c r="A225" s="551"/>
      <c r="B225" s="552"/>
      <c r="C225" s="553"/>
      <c r="D225" s="568"/>
      <c r="E225" s="319"/>
      <c r="F225" s="320"/>
      <c r="G225" s="320"/>
      <c r="H225" s="321"/>
      <c r="I225" s="321"/>
      <c r="J225" s="320"/>
      <c r="K225" s="351"/>
      <c r="L225" s="352"/>
      <c r="M225" s="353"/>
      <c r="N225" s="321"/>
      <c r="O225" s="321"/>
      <c r="P225" s="321"/>
      <c r="Q225" s="321"/>
      <c r="R225" s="321"/>
      <c r="S225" s="321"/>
      <c r="T225" s="354"/>
      <c r="U225" s="352"/>
      <c r="V225" s="353"/>
      <c r="W225" s="321"/>
      <c r="X225" s="321"/>
      <c r="Y225" s="321"/>
      <c r="Z225" s="321"/>
      <c r="AA225" s="321"/>
      <c r="AB225" s="321"/>
      <c r="AC225" s="380"/>
      <c r="AD225" s="352"/>
      <c r="AE225" s="408">
        <f t="shared" si="244"/>
        <v>0</v>
      </c>
      <c r="AF225" s="409"/>
      <c r="AG225" s="408"/>
      <c r="AH225" s="409">
        <f t="shared" si="245"/>
        <v>0</v>
      </c>
      <c r="AI225" s="410"/>
      <c r="AJ225" s="411">
        <f t="shared" si="246"/>
        <v>0</v>
      </c>
    </row>
    <row r="226" spans="1:39" s="283" customFormat="1" ht="20.25">
      <c r="A226" s="551"/>
      <c r="B226" s="552"/>
      <c r="C226" s="553"/>
      <c r="D226" s="568"/>
      <c r="E226" s="319"/>
      <c r="F226" s="320"/>
      <c r="G226" s="320"/>
      <c r="H226" s="321"/>
      <c r="I226" s="321"/>
      <c r="J226" s="320"/>
      <c r="K226" s="351"/>
      <c r="L226" s="352"/>
      <c r="M226" s="353"/>
      <c r="N226" s="321"/>
      <c r="O226" s="321"/>
      <c r="P226" s="321"/>
      <c r="Q226" s="321"/>
      <c r="R226" s="321"/>
      <c r="S226" s="321"/>
      <c r="T226" s="354"/>
      <c r="U226" s="352"/>
      <c r="V226" s="353"/>
      <c r="W226" s="321"/>
      <c r="X226" s="321"/>
      <c r="Y226" s="321"/>
      <c r="Z226" s="321"/>
      <c r="AA226" s="321"/>
      <c r="AB226" s="321"/>
      <c r="AC226" s="380"/>
      <c r="AD226" s="352"/>
      <c r="AE226" s="408">
        <f t="shared" si="244"/>
        <v>0</v>
      </c>
      <c r="AF226" s="409"/>
      <c r="AG226" s="408"/>
      <c r="AH226" s="409">
        <f t="shared" si="245"/>
        <v>0</v>
      </c>
      <c r="AI226" s="410"/>
      <c r="AJ226" s="411">
        <f t="shared" si="246"/>
        <v>0</v>
      </c>
    </row>
    <row r="227" spans="1:39" s="284" customFormat="1" ht="8.25" customHeight="1">
      <c r="A227" s="551"/>
      <c r="B227" s="569"/>
      <c r="C227" s="553"/>
      <c r="D227" s="793"/>
      <c r="E227" s="319"/>
      <c r="F227" s="320"/>
      <c r="G227" s="320"/>
      <c r="H227" s="321"/>
      <c r="I227" s="321"/>
      <c r="J227" s="320"/>
      <c r="K227" s="351"/>
      <c r="L227" s="352"/>
      <c r="M227" s="353"/>
      <c r="N227" s="321"/>
      <c r="O227" s="321"/>
      <c r="P227" s="321"/>
      <c r="Q227" s="321"/>
      <c r="R227" s="321"/>
      <c r="S227" s="321"/>
      <c r="T227" s="354"/>
      <c r="U227" s="352"/>
      <c r="V227" s="353"/>
      <c r="W227" s="321"/>
      <c r="X227" s="321"/>
      <c r="Y227" s="321"/>
      <c r="Z227" s="321"/>
      <c r="AA227" s="321"/>
      <c r="AB227" s="321"/>
      <c r="AC227" s="380"/>
      <c r="AD227" s="352"/>
      <c r="AE227" s="408">
        <f t="shared" si="241"/>
        <v>0</v>
      </c>
      <c r="AF227" s="409"/>
      <c r="AG227" s="408"/>
      <c r="AH227" s="409">
        <f t="shared" si="242"/>
        <v>0</v>
      </c>
      <c r="AI227" s="410"/>
      <c r="AJ227" s="411">
        <f t="shared" si="243"/>
        <v>0</v>
      </c>
      <c r="AK227" s="403"/>
      <c r="AL227" s="403"/>
      <c r="AM227" s="403"/>
    </row>
    <row r="228" spans="1:39" s="1" customFormat="1" ht="20.25">
      <c r="A228" s="551"/>
      <c r="B228" s="569"/>
      <c r="C228" s="553"/>
      <c r="D228" s="793"/>
      <c r="E228" s="319"/>
      <c r="F228" s="320"/>
      <c r="G228" s="320"/>
      <c r="H228" s="321"/>
      <c r="I228" s="321"/>
      <c r="J228" s="320"/>
      <c r="K228" s="351"/>
      <c r="L228" s="352"/>
      <c r="M228" s="353"/>
      <c r="N228" s="321"/>
      <c r="O228" s="321"/>
      <c r="P228" s="321"/>
      <c r="Q228" s="321"/>
      <c r="R228" s="321"/>
      <c r="S228" s="321"/>
      <c r="T228" s="354"/>
      <c r="U228" s="352"/>
      <c r="V228" s="353"/>
      <c r="W228" s="321"/>
      <c r="X228" s="321"/>
      <c r="Y228" s="321"/>
      <c r="Z228" s="321"/>
      <c r="AA228" s="321"/>
      <c r="AB228" s="321"/>
      <c r="AC228" s="380"/>
      <c r="AD228" s="352"/>
      <c r="AE228" s="408">
        <f t="shared" si="241"/>
        <v>0</v>
      </c>
      <c r="AF228" s="409"/>
      <c r="AG228" s="408"/>
      <c r="AH228" s="409">
        <f t="shared" si="242"/>
        <v>0</v>
      </c>
      <c r="AI228" s="410"/>
      <c r="AJ228" s="411">
        <f t="shared" si="243"/>
        <v>0</v>
      </c>
    </row>
    <row r="229" spans="1:39" ht="20.25">
      <c r="A229" s="551"/>
      <c r="B229" s="569"/>
      <c r="C229" s="553"/>
      <c r="D229" s="793"/>
      <c r="E229" s="319"/>
      <c r="F229" s="320"/>
      <c r="G229" s="320"/>
      <c r="H229" s="321"/>
      <c r="I229" s="321"/>
      <c r="J229" s="320"/>
      <c r="K229" s="351"/>
      <c r="L229" s="352"/>
      <c r="M229" s="353"/>
      <c r="N229" s="321"/>
      <c r="O229" s="321"/>
      <c r="P229" s="321"/>
      <c r="Q229" s="321"/>
      <c r="R229" s="321"/>
      <c r="S229" s="321"/>
      <c r="T229" s="354"/>
      <c r="U229" s="352"/>
      <c r="V229" s="353"/>
      <c r="W229" s="321"/>
      <c r="X229" s="321"/>
      <c r="Y229" s="321"/>
      <c r="Z229" s="321"/>
      <c r="AA229" s="321"/>
      <c r="AB229" s="321"/>
      <c r="AC229" s="380"/>
      <c r="AD229" s="352"/>
      <c r="AE229" s="408">
        <f t="shared" ref="AE229" si="247">SUM(E229:AC229)</f>
        <v>0</v>
      </c>
      <c r="AF229" s="409"/>
      <c r="AG229" s="408"/>
      <c r="AH229" s="409">
        <f t="shared" ref="AH229" si="248">AE229+AF229+AG229</f>
        <v>0</v>
      </c>
      <c r="AI229" s="410"/>
      <c r="AJ229" s="411">
        <f t="shared" ref="AJ229" si="249">AH229+AI229</f>
        <v>0</v>
      </c>
    </row>
    <row r="230" spans="1:39" ht="20.25">
      <c r="A230" s="551"/>
      <c r="B230" s="569"/>
      <c r="C230" s="553"/>
      <c r="D230" s="793"/>
      <c r="E230" s="319"/>
      <c r="F230" s="320"/>
      <c r="G230" s="320"/>
      <c r="H230" s="321"/>
      <c r="I230" s="321"/>
      <c r="J230" s="320"/>
      <c r="K230" s="351"/>
      <c r="L230" s="352"/>
      <c r="M230" s="353"/>
      <c r="N230" s="321"/>
      <c r="O230" s="321"/>
      <c r="P230" s="321"/>
      <c r="Q230" s="321"/>
      <c r="R230" s="321"/>
      <c r="S230" s="321"/>
      <c r="T230" s="354"/>
      <c r="U230" s="352"/>
      <c r="V230" s="353"/>
      <c r="W230" s="321"/>
      <c r="X230" s="321"/>
      <c r="Y230" s="321"/>
      <c r="Z230" s="321"/>
      <c r="AA230" s="321"/>
      <c r="AB230" s="321"/>
      <c r="AC230" s="380"/>
      <c r="AD230" s="352"/>
      <c r="AE230" s="408">
        <f t="shared" si="241"/>
        <v>0</v>
      </c>
      <c r="AF230" s="409"/>
      <c r="AG230" s="408"/>
      <c r="AH230" s="409">
        <f t="shared" si="242"/>
        <v>0</v>
      </c>
      <c r="AI230" s="410"/>
      <c r="AJ230" s="411">
        <f t="shared" si="243"/>
        <v>0</v>
      </c>
    </row>
    <row r="231" spans="1:39" ht="20.25">
      <c r="A231" s="551"/>
      <c r="B231" s="569"/>
      <c r="C231" s="553"/>
      <c r="D231" s="793"/>
      <c r="E231" s="611"/>
      <c r="F231" s="612"/>
      <c r="G231" s="612"/>
      <c r="H231" s="613"/>
      <c r="I231" s="613"/>
      <c r="J231" s="612"/>
      <c r="K231" s="653"/>
      <c r="L231" s="654"/>
      <c r="M231" s="655"/>
      <c r="N231" s="613"/>
      <c r="O231" s="613"/>
      <c r="P231" s="613"/>
      <c r="Q231" s="613"/>
      <c r="R231" s="613"/>
      <c r="S231" s="613"/>
      <c r="T231" s="670"/>
      <c r="U231" s="654"/>
      <c r="V231" s="655"/>
      <c r="W231" s="613"/>
      <c r="X231" s="613"/>
      <c r="Y231" s="613"/>
      <c r="Z231" s="613"/>
      <c r="AA231" s="613"/>
      <c r="AB231" s="613"/>
      <c r="AC231" s="678"/>
      <c r="AD231" s="654"/>
      <c r="AE231" s="679">
        <f t="shared" si="241"/>
        <v>0</v>
      </c>
      <c r="AF231" s="680"/>
      <c r="AG231" s="679"/>
      <c r="AH231" s="680">
        <f t="shared" si="242"/>
        <v>0</v>
      </c>
      <c r="AI231" s="697"/>
      <c r="AJ231" s="698">
        <f t="shared" si="243"/>
        <v>0</v>
      </c>
    </row>
    <row r="232" spans="1:39" ht="20.25">
      <c r="A232" s="551"/>
      <c r="B232" s="567"/>
      <c r="C232" s="553"/>
      <c r="D232" s="838"/>
      <c r="E232" s="617"/>
      <c r="F232" s="618"/>
      <c r="G232" s="618"/>
      <c r="H232" s="619"/>
      <c r="I232" s="619"/>
      <c r="J232" s="618"/>
      <c r="K232" s="656"/>
      <c r="L232" s="657"/>
      <c r="M232" s="658"/>
      <c r="N232" s="619"/>
      <c r="O232" s="619"/>
      <c r="P232" s="619"/>
      <c r="Q232" s="619"/>
      <c r="R232" s="619"/>
      <c r="S232" s="619"/>
      <c r="T232" s="671"/>
      <c r="U232" s="657"/>
      <c r="V232" s="658"/>
      <c r="W232" s="619"/>
      <c r="X232" s="619"/>
      <c r="Y232" s="619"/>
      <c r="Z232" s="619"/>
      <c r="AA232" s="619"/>
      <c r="AB232" s="619"/>
      <c r="AC232" s="681"/>
      <c r="AD232" s="657"/>
      <c r="AE232" s="682">
        <f t="shared" si="241"/>
        <v>0</v>
      </c>
      <c r="AF232" s="683"/>
      <c r="AG232" s="682"/>
      <c r="AH232" s="683">
        <f t="shared" si="242"/>
        <v>0</v>
      </c>
      <c r="AI232" s="699"/>
      <c r="AJ232" s="700">
        <f t="shared" si="243"/>
        <v>0</v>
      </c>
      <c r="AK232" s="1"/>
    </row>
    <row r="233" spans="1:39" ht="20.25">
      <c r="A233" s="551"/>
      <c r="B233" s="569"/>
      <c r="C233" s="553"/>
      <c r="D233" s="865"/>
      <c r="E233" s="320"/>
      <c r="F233" s="320"/>
      <c r="G233" s="320"/>
      <c r="H233" s="321"/>
      <c r="I233" s="321"/>
      <c r="J233" s="320"/>
      <c r="K233" s="321"/>
      <c r="L233" s="842"/>
      <c r="M233" s="321"/>
      <c r="N233" s="321"/>
      <c r="O233" s="321"/>
      <c r="P233" s="321"/>
      <c r="Q233" s="321"/>
      <c r="R233" s="321"/>
      <c r="S233" s="321"/>
      <c r="T233" s="842"/>
      <c r="U233" s="842"/>
      <c r="V233" s="321"/>
      <c r="W233" s="321"/>
      <c r="X233" s="321"/>
      <c r="Y233" s="321"/>
      <c r="Z233" s="321"/>
      <c r="AA233" s="321"/>
      <c r="AB233" s="321"/>
      <c r="AC233" s="320"/>
      <c r="AD233" s="842"/>
      <c r="AE233" s="321">
        <f t="shared" ref="AE233:AE234" si="250">SUM(E233:AC233)</f>
        <v>0</v>
      </c>
      <c r="AF233" s="321"/>
      <c r="AG233" s="321"/>
      <c r="AH233" s="321">
        <f t="shared" ref="AH233:AH234" si="251">AE233+AF233+AG233</f>
        <v>0</v>
      </c>
      <c r="AI233" s="845"/>
      <c r="AJ233" s="846">
        <f t="shared" ref="AJ233:AJ234" si="252">AH233+AI233</f>
        <v>0</v>
      </c>
    </row>
    <row r="234" spans="1:39" ht="20.25">
      <c r="A234" s="551"/>
      <c r="B234" s="567"/>
      <c r="C234" s="553"/>
      <c r="D234" s="838"/>
      <c r="E234" s="320"/>
      <c r="F234" s="320"/>
      <c r="G234" s="320"/>
      <c r="H234" s="321"/>
      <c r="I234" s="321"/>
      <c r="J234" s="320"/>
      <c r="K234" s="321"/>
      <c r="L234" s="842"/>
      <c r="M234" s="321"/>
      <c r="N234" s="321"/>
      <c r="O234" s="321"/>
      <c r="P234" s="321"/>
      <c r="Q234" s="321"/>
      <c r="R234" s="321"/>
      <c r="S234" s="321"/>
      <c r="T234" s="842"/>
      <c r="U234" s="842"/>
      <c r="V234" s="321"/>
      <c r="W234" s="321"/>
      <c r="X234" s="321"/>
      <c r="Y234" s="321"/>
      <c r="Z234" s="321"/>
      <c r="AA234" s="321"/>
      <c r="AB234" s="321"/>
      <c r="AC234" s="320"/>
      <c r="AD234" s="842"/>
      <c r="AE234" s="321">
        <f t="shared" si="250"/>
        <v>0</v>
      </c>
      <c r="AF234" s="321"/>
      <c r="AG234" s="321"/>
      <c r="AH234" s="321">
        <f t="shared" si="251"/>
        <v>0</v>
      </c>
      <c r="AI234" s="845"/>
      <c r="AJ234" s="846">
        <f t="shared" si="252"/>
        <v>0</v>
      </c>
    </row>
    <row r="235" spans="1:39" ht="20.25">
      <c r="A235" s="551"/>
      <c r="B235" s="567"/>
      <c r="C235" s="553"/>
      <c r="D235" s="838"/>
      <c r="E235" s="320"/>
      <c r="F235" s="320"/>
      <c r="G235" s="320"/>
      <c r="H235" s="321"/>
      <c r="I235" s="321"/>
      <c r="J235" s="320"/>
      <c r="K235" s="321"/>
      <c r="L235" s="842"/>
      <c r="M235" s="321"/>
      <c r="N235" s="321"/>
      <c r="O235" s="321"/>
      <c r="P235" s="321"/>
      <c r="Q235" s="321"/>
      <c r="R235" s="321"/>
      <c r="S235" s="321"/>
      <c r="T235" s="842"/>
      <c r="U235" s="842"/>
      <c r="V235" s="321"/>
      <c r="W235" s="321"/>
      <c r="X235" s="321"/>
      <c r="Y235" s="321"/>
      <c r="Z235" s="321"/>
      <c r="AA235" s="321"/>
      <c r="AB235" s="321"/>
      <c r="AC235" s="320"/>
      <c r="AD235" s="842"/>
      <c r="AE235" s="321">
        <f t="shared" ref="AE235:AE236" si="253">SUM(E235:AC235)</f>
        <v>0</v>
      </c>
      <c r="AF235" s="321"/>
      <c r="AG235" s="321"/>
      <c r="AH235" s="321">
        <f t="shared" ref="AH235:AH236" si="254">AE235+AF235+AG235</f>
        <v>0</v>
      </c>
      <c r="AI235" s="845"/>
      <c r="AJ235" s="846">
        <f t="shared" ref="AJ235:AJ236" si="255">AH235+AI235</f>
        <v>0</v>
      </c>
    </row>
    <row r="236" spans="1:39" ht="20.25">
      <c r="A236" s="551"/>
      <c r="B236" s="567"/>
      <c r="C236" s="553"/>
      <c r="D236" s="838"/>
      <c r="E236" s="320"/>
      <c r="F236" s="320"/>
      <c r="G236" s="320"/>
      <c r="H236" s="321"/>
      <c r="I236" s="321"/>
      <c r="J236" s="320"/>
      <c r="K236" s="321"/>
      <c r="L236" s="842"/>
      <c r="M236" s="321"/>
      <c r="N236" s="321"/>
      <c r="O236" s="321"/>
      <c r="P236" s="321"/>
      <c r="Q236" s="321"/>
      <c r="R236" s="321"/>
      <c r="S236" s="321"/>
      <c r="T236" s="842"/>
      <c r="U236" s="842"/>
      <c r="V236" s="321"/>
      <c r="W236" s="321"/>
      <c r="X236" s="321"/>
      <c r="Y236" s="321"/>
      <c r="Z236" s="321"/>
      <c r="AA236" s="321"/>
      <c r="AB236" s="321"/>
      <c r="AC236" s="320"/>
      <c r="AD236" s="842"/>
      <c r="AE236" s="321">
        <f t="shared" si="253"/>
        <v>0</v>
      </c>
      <c r="AF236" s="321"/>
      <c r="AG236" s="321"/>
      <c r="AH236" s="321">
        <f t="shared" si="254"/>
        <v>0</v>
      </c>
      <c r="AI236" s="845"/>
      <c r="AJ236" s="846">
        <f t="shared" si="255"/>
        <v>0</v>
      </c>
    </row>
    <row r="237" spans="1:39" ht="20.25">
      <c r="A237" s="551"/>
      <c r="B237" s="567"/>
      <c r="C237" s="553"/>
      <c r="D237" s="838"/>
      <c r="E237" s="320"/>
      <c r="F237" s="320"/>
      <c r="G237" s="320"/>
      <c r="H237" s="321"/>
      <c r="I237" s="321"/>
      <c r="J237" s="320"/>
      <c r="K237" s="321"/>
      <c r="L237" s="842"/>
      <c r="M237" s="321"/>
      <c r="N237" s="321"/>
      <c r="O237" s="321"/>
      <c r="P237" s="321"/>
      <c r="Q237" s="321"/>
      <c r="R237" s="321"/>
      <c r="S237" s="321"/>
      <c r="T237" s="842"/>
      <c r="U237" s="842"/>
      <c r="V237" s="321"/>
      <c r="W237" s="321"/>
      <c r="X237" s="321"/>
      <c r="Y237" s="321"/>
      <c r="Z237" s="321"/>
      <c r="AA237" s="321"/>
      <c r="AB237" s="321"/>
      <c r="AC237" s="320"/>
      <c r="AD237" s="842"/>
      <c r="AE237" s="321">
        <f t="shared" ref="AE237:AE239" si="256">SUM(E237:AC237)</f>
        <v>0</v>
      </c>
      <c r="AF237" s="321"/>
      <c r="AG237" s="321"/>
      <c r="AH237" s="321">
        <f t="shared" ref="AH237:AH239" si="257">AE237+AF237+AG237</f>
        <v>0</v>
      </c>
      <c r="AI237" s="845"/>
      <c r="AJ237" s="846">
        <f t="shared" ref="AJ237:AJ238" si="258">AH237+AI237</f>
        <v>0</v>
      </c>
    </row>
    <row r="238" spans="1:39" ht="20.25">
      <c r="A238" s="551"/>
      <c r="B238" s="567"/>
      <c r="C238" s="553"/>
      <c r="D238" s="838"/>
      <c r="E238" s="320"/>
      <c r="F238" s="320"/>
      <c r="G238" s="320"/>
      <c r="H238" s="321"/>
      <c r="I238" s="321"/>
      <c r="J238" s="320"/>
      <c r="K238" s="321"/>
      <c r="L238" s="842"/>
      <c r="M238" s="321"/>
      <c r="N238" s="321"/>
      <c r="O238" s="321"/>
      <c r="P238" s="321"/>
      <c r="Q238" s="321"/>
      <c r="R238" s="321"/>
      <c r="S238" s="321"/>
      <c r="T238" s="842"/>
      <c r="U238" s="842"/>
      <c r="V238" s="321"/>
      <c r="W238" s="321"/>
      <c r="X238" s="321"/>
      <c r="Y238" s="321"/>
      <c r="Z238" s="321"/>
      <c r="AA238" s="321"/>
      <c r="AB238" s="321"/>
      <c r="AC238" s="320"/>
      <c r="AD238" s="842"/>
      <c r="AE238" s="321">
        <f t="shared" si="256"/>
        <v>0</v>
      </c>
      <c r="AF238" s="321"/>
      <c r="AG238" s="321"/>
      <c r="AH238" s="321">
        <f t="shared" si="257"/>
        <v>0</v>
      </c>
      <c r="AI238" s="845"/>
      <c r="AJ238" s="846">
        <f t="shared" si="258"/>
        <v>0</v>
      </c>
    </row>
    <row r="239" spans="1:39" ht="21" thickBot="1">
      <c r="A239" s="551"/>
      <c r="B239" s="567"/>
      <c r="C239" s="553"/>
      <c r="D239" s="838"/>
      <c r="E239" s="618"/>
      <c r="F239" s="618"/>
      <c r="G239" s="618"/>
      <c r="H239" s="619"/>
      <c r="I239" s="619"/>
      <c r="J239" s="618"/>
      <c r="K239" s="619"/>
      <c r="L239" s="866"/>
      <c r="M239" s="619"/>
      <c r="N239" s="619"/>
      <c r="O239" s="619"/>
      <c r="P239" s="619"/>
      <c r="Q239" s="619"/>
      <c r="R239" s="619"/>
      <c r="S239" s="619"/>
      <c r="T239" s="866"/>
      <c r="U239" s="866"/>
      <c r="V239" s="619"/>
      <c r="W239" s="619"/>
      <c r="X239" s="619"/>
      <c r="Y239" s="619"/>
      <c r="Z239" s="619"/>
      <c r="AA239" s="619"/>
      <c r="AB239" s="619"/>
      <c r="AC239" s="618"/>
      <c r="AD239" s="842"/>
      <c r="AE239" s="619">
        <f t="shared" si="256"/>
        <v>0</v>
      </c>
      <c r="AF239" s="619"/>
      <c r="AG239" s="619"/>
      <c r="AH239" s="619">
        <f t="shared" si="257"/>
        <v>0</v>
      </c>
      <c r="AI239" s="867"/>
      <c r="AJ239" s="868">
        <f t="shared" ref="AJ239" si="259">AH239+AI239</f>
        <v>0</v>
      </c>
    </row>
    <row r="240" spans="1:39" ht="21" thickBot="1">
      <c r="A240" s="526" t="s">
        <v>151</v>
      </c>
      <c r="B240" s="840"/>
      <c r="C240" s="840"/>
      <c r="D240" s="528"/>
      <c r="E240" s="529">
        <f t="shared" ref="E240:K240" si="260">SUM(E172:E239)</f>
        <v>0</v>
      </c>
      <c r="F240" s="529">
        <f t="shared" si="260"/>
        <v>0</v>
      </c>
      <c r="G240" s="529">
        <f t="shared" si="260"/>
        <v>12</v>
      </c>
      <c r="H240" s="529">
        <f t="shared" si="260"/>
        <v>0</v>
      </c>
      <c r="I240" s="529">
        <f t="shared" si="260"/>
        <v>0</v>
      </c>
      <c r="J240" s="529">
        <f t="shared" si="260"/>
        <v>24</v>
      </c>
      <c r="K240" s="529">
        <f t="shared" si="260"/>
        <v>0</v>
      </c>
      <c r="L240" s="529"/>
      <c r="M240" s="529">
        <f t="shared" ref="M240:T240" si="261">SUM(M172:M239)</f>
        <v>0</v>
      </c>
      <c r="N240" s="529">
        <f t="shared" si="261"/>
        <v>0</v>
      </c>
      <c r="O240" s="529">
        <f t="shared" si="261"/>
        <v>0</v>
      </c>
      <c r="P240" s="529">
        <f t="shared" si="261"/>
        <v>0</v>
      </c>
      <c r="Q240" s="529">
        <f t="shared" si="261"/>
        <v>0</v>
      </c>
      <c r="R240" s="529">
        <f t="shared" si="261"/>
        <v>0</v>
      </c>
      <c r="S240" s="529">
        <f t="shared" si="261"/>
        <v>0</v>
      </c>
      <c r="T240" s="529">
        <f t="shared" si="261"/>
        <v>0</v>
      </c>
      <c r="U240" s="529"/>
      <c r="V240" s="529">
        <f t="shared" ref="V240:AC240" si="262">SUM(V172:V239)</f>
        <v>348</v>
      </c>
      <c r="W240" s="529">
        <f t="shared" si="262"/>
        <v>0</v>
      </c>
      <c r="X240" s="529">
        <f t="shared" si="262"/>
        <v>0</v>
      </c>
      <c r="Y240" s="529">
        <f t="shared" si="262"/>
        <v>0</v>
      </c>
      <c r="Z240" s="529">
        <f t="shared" si="262"/>
        <v>396</v>
      </c>
      <c r="AA240" s="529">
        <f t="shared" si="262"/>
        <v>228</v>
      </c>
      <c r="AB240" s="529">
        <f t="shared" si="262"/>
        <v>0</v>
      </c>
      <c r="AC240" s="529">
        <f t="shared" si="262"/>
        <v>0</v>
      </c>
      <c r="AD240" s="529"/>
      <c r="AE240" s="529">
        <f t="shared" ref="AE240:AJ240" si="263">SUM(AE172:AE239)</f>
        <v>1008</v>
      </c>
      <c r="AF240" s="529">
        <f t="shared" si="263"/>
        <v>0</v>
      </c>
      <c r="AG240" s="529">
        <f t="shared" si="263"/>
        <v>0</v>
      </c>
      <c r="AH240" s="529">
        <f t="shared" si="263"/>
        <v>1008</v>
      </c>
      <c r="AI240" s="529">
        <f t="shared" si="263"/>
        <v>0</v>
      </c>
      <c r="AJ240" s="529">
        <f t="shared" si="263"/>
        <v>1008</v>
      </c>
    </row>
    <row r="241" spans="1:36" ht="32.25" customHeight="1" thickBot="1">
      <c r="A241" s="530" t="s">
        <v>152</v>
      </c>
      <c r="B241" s="531"/>
      <c r="C241" s="531"/>
      <c r="D241" s="630"/>
      <c r="E241" s="533">
        <f>E240/20</f>
        <v>0</v>
      </c>
      <c r="F241" s="534">
        <f>F240/12</f>
        <v>0</v>
      </c>
      <c r="G241" s="534">
        <f t="shared" ref="G241:K241" si="264">G240/12</f>
        <v>1</v>
      </c>
      <c r="H241" s="534">
        <f t="shared" si="264"/>
        <v>0</v>
      </c>
      <c r="I241" s="534">
        <f t="shared" si="264"/>
        <v>0</v>
      </c>
      <c r="J241" s="534">
        <f t="shared" si="264"/>
        <v>2</v>
      </c>
      <c r="K241" s="534">
        <f t="shared" si="264"/>
        <v>0</v>
      </c>
      <c r="L241" s="575"/>
      <c r="M241" s="576">
        <f>M240/12</f>
        <v>0</v>
      </c>
      <c r="N241" s="576">
        <f t="shared" ref="N241:T241" si="265">N240/12</f>
        <v>0</v>
      </c>
      <c r="O241" s="576">
        <f t="shared" si="265"/>
        <v>0</v>
      </c>
      <c r="P241" s="576">
        <f t="shared" si="265"/>
        <v>0</v>
      </c>
      <c r="Q241" s="576">
        <f t="shared" si="265"/>
        <v>0</v>
      </c>
      <c r="R241" s="576">
        <f t="shared" si="265"/>
        <v>0</v>
      </c>
      <c r="S241" s="576">
        <f t="shared" si="265"/>
        <v>0</v>
      </c>
      <c r="T241" s="576">
        <f t="shared" si="265"/>
        <v>0</v>
      </c>
      <c r="U241" s="575"/>
      <c r="V241" s="576">
        <f>V240/12</f>
        <v>29</v>
      </c>
      <c r="W241" s="576">
        <f t="shared" ref="W241:AC241" si="266">W240/12</f>
        <v>0</v>
      </c>
      <c r="X241" s="576">
        <f t="shared" si="266"/>
        <v>0</v>
      </c>
      <c r="Y241" s="576">
        <f t="shared" si="266"/>
        <v>0</v>
      </c>
      <c r="Z241" s="576">
        <f t="shared" si="266"/>
        <v>33</v>
      </c>
      <c r="AA241" s="576">
        <f t="shared" si="266"/>
        <v>19</v>
      </c>
      <c r="AB241" s="576">
        <f t="shared" si="266"/>
        <v>0</v>
      </c>
      <c r="AC241" s="576">
        <f t="shared" si="266"/>
        <v>0</v>
      </c>
      <c r="AD241" s="575"/>
      <c r="AE241" s="668">
        <f>SUM(E241:AC241)</f>
        <v>84</v>
      </c>
      <c r="AF241" s="687">
        <f>AF240/12</f>
        <v>0</v>
      </c>
      <c r="AG241" s="687">
        <f>AG240/20</f>
        <v>0</v>
      </c>
      <c r="AH241" s="575">
        <f>AH240/12</f>
        <v>84</v>
      </c>
      <c r="AI241" s="687">
        <f>AI240/12</f>
        <v>0</v>
      </c>
      <c r="AJ241" s="662">
        <f>AJ240/12</f>
        <v>84</v>
      </c>
    </row>
    <row r="242" spans="1:36" ht="6.75" customHeight="1" thickBot="1">
      <c r="A242" s="306"/>
      <c r="B242" s="307"/>
      <c r="C242" s="307"/>
      <c r="D242" s="308"/>
      <c r="E242" s="309"/>
      <c r="F242" s="309"/>
      <c r="G242" s="309"/>
      <c r="H242" s="309"/>
      <c r="I242" s="309"/>
      <c r="J242" s="309"/>
      <c r="K242" s="309"/>
      <c r="L242" s="346"/>
      <c r="M242" s="347"/>
      <c r="N242" s="347"/>
      <c r="O242" s="347"/>
      <c r="P242" s="347"/>
      <c r="Q242" s="347"/>
      <c r="R242" s="347"/>
      <c r="S242" s="347"/>
      <c r="T242" s="347"/>
      <c r="U242" s="346"/>
      <c r="V242" s="347"/>
      <c r="W242" s="347"/>
      <c r="X242" s="347"/>
      <c r="Y242" s="347"/>
      <c r="Z242" s="347"/>
      <c r="AA242" s="347"/>
      <c r="AB242" s="347"/>
      <c r="AC242" s="347"/>
      <c r="AD242" s="346"/>
      <c r="AE242" s="347"/>
      <c r="AF242" s="347"/>
      <c r="AG242" s="347"/>
      <c r="AH242" s="347"/>
      <c r="AI242" s="347"/>
      <c r="AJ242" s="402"/>
    </row>
    <row r="243" spans="1:36" ht="18.75" thickBot="1">
      <c r="A243" s="3881" t="s">
        <v>183</v>
      </c>
      <c r="B243" s="3882"/>
      <c r="C243" s="3883"/>
      <c r="D243" s="288" t="s">
        <v>70</v>
      </c>
      <c r="E243" s="2703" t="s">
        <v>190</v>
      </c>
      <c r="F243" s="95" t="s">
        <v>222</v>
      </c>
      <c r="G243" s="2701" t="s">
        <v>94</v>
      </c>
      <c r="H243" s="2701"/>
      <c r="I243" s="2701" t="s">
        <v>95</v>
      </c>
      <c r="J243" s="2701"/>
      <c r="K243" s="2706" t="s">
        <v>53</v>
      </c>
      <c r="L243" s="2699"/>
      <c r="M243" s="2703" t="s">
        <v>85</v>
      </c>
      <c r="N243" s="2701" t="s">
        <v>190</v>
      </c>
      <c r="O243" s="2701" t="s">
        <v>76</v>
      </c>
      <c r="P243" s="2701" t="s">
        <v>53</v>
      </c>
      <c r="Q243" s="2701" t="s">
        <v>86</v>
      </c>
      <c r="R243" s="2701" t="s">
        <v>94</v>
      </c>
      <c r="S243" s="2704" t="s">
        <v>96</v>
      </c>
      <c r="T243" s="2705" t="s">
        <v>238</v>
      </c>
      <c r="U243" s="2699"/>
      <c r="V243" s="2703"/>
      <c r="W243" s="2701"/>
      <c r="X243" s="2701"/>
      <c r="Y243" s="2701"/>
      <c r="Z243" s="2701"/>
      <c r="AA243" s="2701" t="s">
        <v>53</v>
      </c>
      <c r="AB243" s="2704"/>
      <c r="AC243" s="2705"/>
      <c r="AD243" s="79"/>
      <c r="AE243" s="371" t="s">
        <v>172</v>
      </c>
      <c r="AF243" s="372" t="s">
        <v>80</v>
      </c>
      <c r="AG243" s="385"/>
      <c r="AH243" s="386" t="s">
        <v>106</v>
      </c>
      <c r="AI243" s="385" t="s">
        <v>173</v>
      </c>
      <c r="AJ243" s="371" t="s">
        <v>108</v>
      </c>
    </row>
    <row r="244" spans="1:36" ht="20.25">
      <c r="A244" s="631" t="s">
        <v>184</v>
      </c>
      <c r="B244" s="443"/>
      <c r="C244" s="443"/>
      <c r="D244" s="444"/>
      <c r="E244" s="433"/>
      <c r="F244" s="434"/>
      <c r="G244" s="434"/>
      <c r="H244" s="435"/>
      <c r="I244" s="435"/>
      <c r="J244" s="434"/>
      <c r="K244" s="480"/>
      <c r="L244" s="483"/>
      <c r="M244" s="484"/>
      <c r="N244" s="435"/>
      <c r="O244" s="435"/>
      <c r="P244" s="435"/>
      <c r="Q244" s="435"/>
      <c r="R244" s="435"/>
      <c r="S244" s="435"/>
      <c r="T244" s="492"/>
      <c r="U244" s="483"/>
      <c r="V244" s="433"/>
      <c r="W244" s="434"/>
      <c r="X244" s="434"/>
      <c r="Y244" s="435"/>
      <c r="Z244" s="435"/>
      <c r="AA244" s="435"/>
      <c r="AB244" s="434"/>
      <c r="AC244" s="495"/>
      <c r="AD244" s="483"/>
      <c r="AE244" s="496">
        <f t="shared" ref="AE244" si="267">SUM(E244:AC244)</f>
        <v>0</v>
      </c>
      <c r="AF244" s="497"/>
      <c r="AG244" s="510"/>
      <c r="AH244" s="511">
        <f t="shared" ref="AH244:AH245" si="268">AE244+AF244</f>
        <v>0</v>
      </c>
      <c r="AI244" s="512"/>
      <c r="AJ244" s="703">
        <f>AH244+AI244</f>
        <v>0</v>
      </c>
    </row>
    <row r="245" spans="1:36" ht="21" thickBot="1">
      <c r="A245" s="322"/>
      <c r="B245" s="323"/>
      <c r="C245" s="323"/>
      <c r="D245" s="324"/>
      <c r="E245" s="325"/>
      <c r="F245" s="297"/>
      <c r="G245" s="297"/>
      <c r="H245" s="298"/>
      <c r="I245" s="298"/>
      <c r="J245" s="297"/>
      <c r="K245" s="344"/>
      <c r="L245" s="355"/>
      <c r="M245" s="343"/>
      <c r="N245" s="298"/>
      <c r="O245" s="298"/>
      <c r="P245" s="298"/>
      <c r="Q245" s="298"/>
      <c r="R245" s="298"/>
      <c r="S245" s="298"/>
      <c r="T245" s="367"/>
      <c r="U245" s="355"/>
      <c r="V245" s="325"/>
      <c r="W245" s="297"/>
      <c r="X245" s="297"/>
      <c r="Y245" s="298"/>
      <c r="Z245" s="298"/>
      <c r="AA245" s="298"/>
      <c r="AB245" s="297"/>
      <c r="AC245" s="375"/>
      <c r="AD245" s="355"/>
      <c r="AE245" s="377">
        <f t="shared" ref="AE245" si="269">SUM(E245:AC245)</f>
        <v>0</v>
      </c>
      <c r="AF245" s="377"/>
      <c r="AG245" s="390"/>
      <c r="AH245" s="507">
        <f t="shared" si="268"/>
        <v>0</v>
      </c>
      <c r="AI245" s="412"/>
      <c r="AJ245" s="508">
        <f t="shared" ref="AJ245" si="270">AH245+AI245</f>
        <v>0</v>
      </c>
    </row>
    <row r="246" spans="1:36" ht="21" thickBot="1">
      <c r="A246" s="436"/>
      <c r="B246" s="437"/>
      <c r="C246" s="437"/>
      <c r="D246" s="438"/>
      <c r="E246" s="439">
        <f t="shared" ref="E246:K246" si="271">SUM(E244:E245)</f>
        <v>0</v>
      </c>
      <c r="F246" s="440">
        <f t="shared" si="271"/>
        <v>0</v>
      </c>
      <c r="G246" s="440">
        <f t="shared" si="271"/>
        <v>0</v>
      </c>
      <c r="H246" s="440">
        <f t="shared" si="271"/>
        <v>0</v>
      </c>
      <c r="I246" s="440">
        <f t="shared" si="271"/>
        <v>0</v>
      </c>
      <c r="J246" s="440">
        <f t="shared" si="271"/>
        <v>0</v>
      </c>
      <c r="K246" s="481">
        <f t="shared" si="271"/>
        <v>0</v>
      </c>
      <c r="L246" s="482"/>
      <c r="M246" s="439">
        <f t="shared" ref="M246:T246" si="272">SUM(M244:M245)</f>
        <v>0</v>
      </c>
      <c r="N246" s="440">
        <f t="shared" si="272"/>
        <v>0</v>
      </c>
      <c r="O246" s="440">
        <f t="shared" si="272"/>
        <v>0</v>
      </c>
      <c r="P246" s="440">
        <f t="shared" si="272"/>
        <v>0</v>
      </c>
      <c r="Q246" s="440">
        <f t="shared" si="272"/>
        <v>0</v>
      </c>
      <c r="R246" s="440">
        <f t="shared" si="272"/>
        <v>0</v>
      </c>
      <c r="S246" s="440">
        <f t="shared" si="272"/>
        <v>0</v>
      </c>
      <c r="T246" s="481">
        <f t="shared" si="272"/>
        <v>0</v>
      </c>
      <c r="U246" s="482"/>
      <c r="V246" s="439">
        <f t="shared" ref="V246:AC246" si="273">SUM(V244:V245)</f>
        <v>0</v>
      </c>
      <c r="W246" s="440">
        <f t="shared" si="273"/>
        <v>0</v>
      </c>
      <c r="X246" s="440">
        <f t="shared" si="273"/>
        <v>0</v>
      </c>
      <c r="Y246" s="440">
        <f t="shared" si="273"/>
        <v>0</v>
      </c>
      <c r="Z246" s="440">
        <f t="shared" si="273"/>
        <v>0</v>
      </c>
      <c r="AA246" s="440">
        <f t="shared" si="273"/>
        <v>0</v>
      </c>
      <c r="AB246" s="440">
        <f t="shared" si="273"/>
        <v>0</v>
      </c>
      <c r="AC246" s="481">
        <f t="shared" si="273"/>
        <v>0</v>
      </c>
      <c r="AD246" s="482"/>
      <c r="AE246" s="494">
        <f>SUM(AE244:AE245)</f>
        <v>0</v>
      </c>
      <c r="AF246" s="494">
        <f>SUM(AF244:AF245)</f>
        <v>0</v>
      </c>
      <c r="AG246" s="509"/>
      <c r="AH246" s="514">
        <f>SUM(AH244:AH245)</f>
        <v>0</v>
      </c>
      <c r="AI246" s="494">
        <f>SUM(AI244:AI245)</f>
        <v>0</v>
      </c>
      <c r="AJ246" s="509">
        <f>SUM(AJ244:AJ245)</f>
        <v>0</v>
      </c>
    </row>
    <row r="247" spans="1:36" ht="18.75">
      <c r="A247" s="522"/>
      <c r="B247" s="523"/>
      <c r="C247" s="523"/>
      <c r="D247" s="524"/>
      <c r="E247" s="525"/>
      <c r="F247" s="525"/>
      <c r="G247" s="525"/>
      <c r="H247" s="525"/>
      <c r="I247" s="525"/>
      <c r="J247" s="525"/>
      <c r="K247" s="525"/>
      <c r="L247" s="572"/>
      <c r="M247" s="573"/>
      <c r="N247" s="573"/>
      <c r="O247" s="573"/>
      <c r="P247" s="573"/>
      <c r="Q247" s="573"/>
      <c r="R247" s="573"/>
      <c r="S247" s="573"/>
      <c r="T247" s="573"/>
      <c r="U247" s="572"/>
      <c r="V247" s="573"/>
      <c r="W247" s="573"/>
      <c r="X247" s="573"/>
      <c r="Y247" s="573"/>
      <c r="Z247" s="573"/>
      <c r="AA247" s="573"/>
      <c r="AB247" s="573"/>
      <c r="AC247" s="573"/>
      <c r="AD247" s="572"/>
      <c r="AE247" s="573"/>
      <c r="AF247" s="573"/>
      <c r="AG247" s="599"/>
      <c r="AH247" s="573"/>
      <c r="AI247" s="573"/>
      <c r="AJ247" s="600"/>
    </row>
    <row r="248" spans="1:36" ht="20.25">
      <c r="A248" s="122"/>
      <c r="B248" s="632"/>
      <c r="C248" s="632"/>
      <c r="D248" s="122"/>
      <c r="E248" s="3901"/>
      <c r="F248" s="3901"/>
      <c r="G248" s="3901"/>
      <c r="H248" s="3901"/>
      <c r="I248" s="3901"/>
      <c r="J248" s="3901"/>
      <c r="K248" s="3901"/>
      <c r="L248" s="633"/>
      <c r="M248" s="3902"/>
      <c r="N248" s="3902"/>
      <c r="O248" s="3902"/>
      <c r="P248" s="3902"/>
      <c r="Q248" s="3902"/>
      <c r="R248" s="3902"/>
      <c r="S248" s="3902"/>
      <c r="T248" s="3902"/>
      <c r="U248" s="663"/>
      <c r="V248" s="3903"/>
      <c r="W248" s="3903"/>
      <c r="X248" s="3903"/>
      <c r="Y248" s="3903"/>
      <c r="Z248" s="3903"/>
      <c r="AA248" s="3903"/>
      <c r="AB248" s="3903"/>
      <c r="AC248" s="3903"/>
      <c r="AD248" s="688"/>
      <c r="AE248" s="689"/>
      <c r="AF248" s="673"/>
      <c r="AG248" s="673"/>
      <c r="AH248" s="689"/>
      <c r="AI248" s="689"/>
      <c r="AJ248" s="704"/>
    </row>
    <row r="249" spans="1:36" ht="15.75" thickBot="1">
      <c r="A249" s="634"/>
      <c r="B249" s="635"/>
      <c r="C249" s="635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34"/>
      <c r="X249" s="634"/>
      <c r="Y249" s="634"/>
      <c r="Z249" s="634"/>
      <c r="AA249" s="634"/>
      <c r="AB249" s="690"/>
      <c r="AC249" s="690"/>
      <c r="AD249" s="690"/>
      <c r="AE249" s="690"/>
      <c r="AF249" s="634"/>
      <c r="AG249" s="634"/>
      <c r="AH249" s="634"/>
      <c r="AI249" s="634"/>
      <c r="AJ249" s="634"/>
    </row>
    <row r="250" spans="1:36" ht="21" thickBot="1">
      <c r="A250" s="636" t="s">
        <v>185</v>
      </c>
      <c r="B250" s="637"/>
      <c r="C250" s="637"/>
      <c r="D250" s="638"/>
      <c r="E250" s="529">
        <f t="shared" ref="E250:K250" si="274">E167-E240+E246</f>
        <v>0</v>
      </c>
      <c r="F250" s="639">
        <f t="shared" si="274"/>
        <v>0</v>
      </c>
      <c r="G250" s="639">
        <f t="shared" si="274"/>
        <v>12</v>
      </c>
      <c r="H250" s="639">
        <f t="shared" si="274"/>
        <v>0</v>
      </c>
      <c r="I250" s="639">
        <f t="shared" si="274"/>
        <v>312</v>
      </c>
      <c r="J250" s="639">
        <f t="shared" si="274"/>
        <v>-24</v>
      </c>
      <c r="K250" s="664">
        <f t="shared" si="274"/>
        <v>12</v>
      </c>
      <c r="L250" s="574"/>
      <c r="M250" s="665">
        <f t="shared" ref="M250:T250" si="275">M167-M240+M246</f>
        <v>0</v>
      </c>
      <c r="N250" s="666">
        <f t="shared" si="275"/>
        <v>0</v>
      </c>
      <c r="O250" s="666">
        <f t="shared" si="275"/>
        <v>180</v>
      </c>
      <c r="P250" s="666">
        <f t="shared" si="275"/>
        <v>636</v>
      </c>
      <c r="Q250" s="666">
        <f t="shared" si="275"/>
        <v>0</v>
      </c>
      <c r="R250" s="666">
        <f t="shared" si="275"/>
        <v>0</v>
      </c>
      <c r="S250" s="666">
        <f t="shared" si="275"/>
        <v>0</v>
      </c>
      <c r="T250" s="674">
        <f t="shared" si="275"/>
        <v>12</v>
      </c>
      <c r="U250" s="574"/>
      <c r="V250" s="665">
        <f t="shared" ref="V250:AC250" si="276">V167-V240+V246</f>
        <v>480</v>
      </c>
      <c r="W250" s="666">
        <f t="shared" si="276"/>
        <v>12</v>
      </c>
      <c r="X250" s="666">
        <f t="shared" si="276"/>
        <v>108</v>
      </c>
      <c r="Y250" s="666">
        <f t="shared" si="276"/>
        <v>0</v>
      </c>
      <c r="Z250" s="666">
        <f t="shared" si="276"/>
        <v>228</v>
      </c>
      <c r="AA250" s="666">
        <f t="shared" si="276"/>
        <v>444</v>
      </c>
      <c r="AB250" s="666">
        <f t="shared" si="276"/>
        <v>0</v>
      </c>
      <c r="AC250" s="674">
        <f t="shared" si="276"/>
        <v>0</v>
      </c>
      <c r="AD250" s="691"/>
      <c r="AE250" s="529">
        <f>AE167-AE240+AE246</f>
        <v>2412</v>
      </c>
      <c r="AF250" s="3775">
        <f>AF167-AF240-AG240+AF246</f>
        <v>3</v>
      </c>
      <c r="AG250" s="3884"/>
      <c r="AH250" s="529">
        <f>AH167-AH240+AH246</f>
        <v>2415</v>
      </c>
      <c r="AI250" s="529">
        <f>AI167-AI240+AI246</f>
        <v>52</v>
      </c>
      <c r="AJ250" s="693">
        <f>AJ167-AJ240+AJ246</f>
        <v>2467</v>
      </c>
    </row>
    <row r="251" spans="1:36" ht="21" thickBot="1">
      <c r="A251" s="640" t="s">
        <v>152</v>
      </c>
      <c r="B251" s="641"/>
      <c r="C251" s="641"/>
      <c r="D251" s="642"/>
      <c r="E251" s="529">
        <f>E250/12</f>
        <v>0</v>
      </c>
      <c r="F251" s="529">
        <f>F250/12</f>
        <v>0</v>
      </c>
      <c r="G251" s="529">
        <f t="shared" ref="G251:AC251" si="277">G250/12</f>
        <v>1</v>
      </c>
      <c r="H251" s="529">
        <f t="shared" si="277"/>
        <v>0</v>
      </c>
      <c r="I251" s="529">
        <f t="shared" si="277"/>
        <v>26</v>
      </c>
      <c r="J251" s="529">
        <f t="shared" si="277"/>
        <v>-2</v>
      </c>
      <c r="K251" s="529">
        <f t="shared" si="277"/>
        <v>1</v>
      </c>
      <c r="L251" s="529"/>
      <c r="M251" s="529">
        <f t="shared" si="277"/>
        <v>0</v>
      </c>
      <c r="N251" s="529">
        <f t="shared" si="277"/>
        <v>0</v>
      </c>
      <c r="O251" s="529">
        <f t="shared" si="277"/>
        <v>15</v>
      </c>
      <c r="P251" s="529">
        <f t="shared" si="277"/>
        <v>53</v>
      </c>
      <c r="Q251" s="529">
        <f t="shared" si="277"/>
        <v>0</v>
      </c>
      <c r="R251" s="529">
        <f t="shared" si="277"/>
        <v>0</v>
      </c>
      <c r="S251" s="529">
        <f t="shared" si="277"/>
        <v>0</v>
      </c>
      <c r="T251" s="529">
        <f t="shared" si="277"/>
        <v>1</v>
      </c>
      <c r="U251" s="529"/>
      <c r="V251" s="529">
        <f t="shared" si="277"/>
        <v>40</v>
      </c>
      <c r="W251" s="529">
        <f t="shared" si="277"/>
        <v>1</v>
      </c>
      <c r="X251" s="529">
        <f t="shared" si="277"/>
        <v>9</v>
      </c>
      <c r="Y251" s="529">
        <f t="shared" si="277"/>
        <v>0</v>
      </c>
      <c r="Z251" s="529">
        <f t="shared" si="277"/>
        <v>19</v>
      </c>
      <c r="AA251" s="529">
        <f t="shared" si="277"/>
        <v>37</v>
      </c>
      <c r="AB251" s="529">
        <f t="shared" si="277"/>
        <v>0</v>
      </c>
      <c r="AC251" s="529">
        <f t="shared" si="277"/>
        <v>0</v>
      </c>
      <c r="AD251" s="692"/>
      <c r="AE251" s="693">
        <f>AE250/12</f>
        <v>201</v>
      </c>
      <c r="AF251" s="3775">
        <f>AF250/12</f>
        <v>0.25</v>
      </c>
      <c r="AG251" s="3884"/>
      <c r="AH251" s="693">
        <f>AH250/12</f>
        <v>201.25</v>
      </c>
      <c r="AI251" s="574">
        <f>AI250/12</f>
        <v>4.333333333333333</v>
      </c>
      <c r="AJ251" s="706">
        <f>AJ250/12</f>
        <v>205.58333333333334</v>
      </c>
    </row>
    <row r="252" spans="1:36" ht="21" thickBot="1">
      <c r="A252" s="643" t="s">
        <v>156</v>
      </c>
      <c r="B252" s="644"/>
      <c r="C252" s="644"/>
      <c r="D252" s="645"/>
      <c r="E252" s="3897">
        <f>SUM(E251:K251)</f>
        <v>26</v>
      </c>
      <c r="F252" s="3898"/>
      <c r="G252" s="3898"/>
      <c r="H252" s="3898"/>
      <c r="I252" s="3898"/>
      <c r="J252" s="3898"/>
      <c r="K252" s="3899"/>
      <c r="L252" s="667"/>
      <c r="M252" s="3778">
        <f>SUM(M251:T251)</f>
        <v>69</v>
      </c>
      <c r="N252" s="3779"/>
      <c r="O252" s="3779"/>
      <c r="P252" s="3779"/>
      <c r="Q252" s="3779"/>
      <c r="R252" s="3779"/>
      <c r="S252" s="3779"/>
      <c r="T252" s="3780"/>
      <c r="U252" s="675"/>
      <c r="V252" s="3778">
        <f>SUM(V251:AC251)</f>
        <v>106</v>
      </c>
      <c r="W252" s="3779"/>
      <c r="X252" s="3779"/>
      <c r="Y252" s="3779"/>
      <c r="Z252" s="3779"/>
      <c r="AA252" s="3779"/>
      <c r="AB252" s="3779"/>
      <c r="AC252" s="3780"/>
      <c r="AD252" s="694"/>
      <c r="AE252" s="694"/>
      <c r="AF252" s="694"/>
      <c r="AG252" s="694"/>
      <c r="AH252" s="694"/>
      <c r="AI252" s="694"/>
      <c r="AJ252" s="707"/>
    </row>
    <row r="253" spans="1:36" ht="21" thickBot="1">
      <c r="A253" s="646" t="s">
        <v>157</v>
      </c>
      <c r="B253" s="647"/>
      <c r="C253" s="647"/>
      <c r="D253" s="648"/>
      <c r="E253" s="3875">
        <f>SUM(E250:K250)</f>
        <v>312</v>
      </c>
      <c r="F253" s="3876"/>
      <c r="G253" s="3876"/>
      <c r="H253" s="3876"/>
      <c r="I253" s="3876"/>
      <c r="J253" s="3876"/>
      <c r="K253" s="3900"/>
      <c r="L253" s="669"/>
      <c r="M253" s="3877">
        <f>SUM(M250:T250)</f>
        <v>828</v>
      </c>
      <c r="N253" s="3878"/>
      <c r="O253" s="3878"/>
      <c r="P253" s="3878"/>
      <c r="Q253" s="3878"/>
      <c r="R253" s="3878"/>
      <c r="S253" s="3878"/>
      <c r="T253" s="3879"/>
      <c r="U253" s="676"/>
      <c r="V253" s="3781">
        <f>SUM(V250:AC250)</f>
        <v>1272</v>
      </c>
      <c r="W253" s="3788"/>
      <c r="X253" s="3788"/>
      <c r="Y253" s="3788"/>
      <c r="Z253" s="3788"/>
      <c r="AA253" s="3788"/>
      <c r="AB253" s="3788"/>
      <c r="AC253" s="3880"/>
      <c r="AD253" s="688"/>
      <c r="AE253" s="689"/>
      <c r="AF253" s="673"/>
      <c r="AG253" s="673"/>
      <c r="AH253" s="689"/>
      <c r="AI253" s="689"/>
      <c r="AJ253" s="704"/>
    </row>
    <row r="254" spans="1:36">
      <c r="A254" s="634"/>
      <c r="B254" s="635"/>
      <c r="C254" s="635"/>
      <c r="D254" s="649"/>
      <c r="E254" s="634"/>
      <c r="F254" s="634"/>
      <c r="G254" s="634"/>
      <c r="H254" s="634"/>
      <c r="I254" s="634"/>
      <c r="J254" s="634"/>
      <c r="K254" s="634"/>
      <c r="L254" s="634"/>
      <c r="M254" s="634"/>
      <c r="N254" s="634"/>
      <c r="O254" s="634"/>
      <c r="P254" s="634"/>
      <c r="Q254" s="634"/>
      <c r="R254" s="634"/>
      <c r="S254" s="634"/>
      <c r="T254" s="634"/>
      <c r="U254" s="634"/>
      <c r="V254" s="634"/>
      <c r="W254" s="634"/>
      <c r="X254" s="634"/>
      <c r="Y254" s="634"/>
      <c r="Z254" s="634"/>
      <c r="AA254" s="634"/>
      <c r="AB254" s="690"/>
      <c r="AC254" s="690"/>
      <c r="AD254" s="690"/>
      <c r="AE254" s="690"/>
      <c r="AF254" s="634"/>
      <c r="AG254" s="634"/>
      <c r="AH254" s="634"/>
      <c r="AI254" s="634"/>
      <c r="AJ254" s="634"/>
    </row>
    <row r="255" spans="1:36" ht="21" thickBot="1">
      <c r="A255" s="650"/>
      <c r="B255" s="651"/>
      <c r="C255" s="651"/>
      <c r="D255" s="650"/>
      <c r="E255" s="650"/>
      <c r="F255" s="650"/>
      <c r="G255" s="650"/>
      <c r="H255" s="650"/>
      <c r="I255" s="650"/>
      <c r="J255" s="650"/>
      <c r="K255" s="650"/>
      <c r="L255" s="650"/>
      <c r="M255" s="650"/>
      <c r="N255" s="650"/>
      <c r="O255" s="650"/>
      <c r="P255" s="650"/>
      <c r="Q255" s="650"/>
      <c r="R255" s="650"/>
      <c r="S255" s="650"/>
      <c r="T255" s="650"/>
      <c r="U255" s="650"/>
      <c r="V255" s="650"/>
      <c r="W255" s="650"/>
      <c r="X255" s="650"/>
      <c r="Y255" s="650"/>
      <c r="Z255" s="650"/>
      <c r="AA255" s="650"/>
      <c r="AB255" s="650"/>
      <c r="AC255" s="650"/>
      <c r="AD255" s="650"/>
      <c r="AE255" s="650"/>
      <c r="AF255" s="650"/>
      <c r="AG255" s="650"/>
      <c r="AH255" s="650"/>
      <c r="AI255" s="650"/>
      <c r="AJ255" s="650"/>
    </row>
    <row r="256" spans="1:36" ht="27.75" thickBot="1">
      <c r="A256" s="634"/>
      <c r="B256" s="635"/>
      <c r="C256" s="635"/>
      <c r="D256" s="634"/>
      <c r="E256" s="634"/>
      <c r="F256" s="634"/>
      <c r="G256" s="634"/>
      <c r="H256" s="634"/>
      <c r="I256" s="634"/>
      <c r="J256" s="634"/>
      <c r="K256" s="634"/>
      <c r="L256" s="634"/>
      <c r="M256" s="634"/>
      <c r="N256" s="634"/>
      <c r="O256" s="634"/>
      <c r="P256" s="634"/>
      <c r="Q256" s="634"/>
      <c r="R256" s="634"/>
      <c r="S256" s="634"/>
      <c r="T256" s="634"/>
      <c r="U256" s="634"/>
      <c r="V256" s="634"/>
      <c r="W256" s="677"/>
      <c r="X256" s="3857" t="s">
        <v>158</v>
      </c>
      <c r="Y256" s="3858"/>
      <c r="Z256" s="3858"/>
      <c r="AA256" s="3858"/>
      <c r="AB256" s="3859"/>
      <c r="AC256" s="3802">
        <f>'BIG CHAIR'!CI325</f>
        <v>0</v>
      </c>
      <c r="AD256" s="3803"/>
      <c r="AE256" s="3804"/>
      <c r="AF256" s="634"/>
      <c r="AG256" s="634"/>
      <c r="AH256" s="634"/>
      <c r="AI256" s="634"/>
      <c r="AJ256" s="634"/>
    </row>
    <row r="257" spans="1:36" ht="27.75" thickBot="1">
      <c r="A257" s="634"/>
      <c r="B257" s="635"/>
      <c r="C257" s="635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4"/>
      <c r="P257" s="634"/>
      <c r="Q257" s="634"/>
      <c r="R257" s="634"/>
      <c r="S257" s="634"/>
      <c r="T257" s="634"/>
      <c r="U257" s="634"/>
      <c r="V257" s="634"/>
      <c r="W257" s="677"/>
      <c r="X257" s="3857" t="s">
        <v>159</v>
      </c>
      <c r="Y257" s="3858"/>
      <c r="Z257" s="3858"/>
      <c r="AA257" s="3858"/>
      <c r="AB257" s="3859"/>
      <c r="AC257" s="3872">
        <f>AE250</f>
        <v>2412</v>
      </c>
      <c r="AD257" s="3873"/>
      <c r="AE257" s="3874"/>
      <c r="AF257" s="634"/>
      <c r="AG257" s="634"/>
      <c r="AH257" s="634"/>
      <c r="AI257" s="634"/>
      <c r="AJ257" s="708"/>
    </row>
    <row r="258" spans="1:36" ht="27.75" thickBot="1">
      <c r="A258" s="634"/>
      <c r="B258" s="635"/>
      <c r="C258" s="635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4"/>
      <c r="P258" s="634"/>
      <c r="Q258" s="634"/>
      <c r="R258" s="634"/>
      <c r="S258" s="634"/>
      <c r="T258" s="634"/>
      <c r="U258" s="634"/>
      <c r="V258" s="634"/>
      <c r="W258" s="677"/>
      <c r="X258" s="3857" t="s">
        <v>160</v>
      </c>
      <c r="Y258" s="3858"/>
      <c r="Z258" s="3858"/>
      <c r="AA258" s="3858"/>
      <c r="AB258" s="3859"/>
      <c r="AC258" s="3802">
        <f>'BIG CHAIR'!CJ325</f>
        <v>0</v>
      </c>
      <c r="AD258" s="3803"/>
      <c r="AE258" s="3804"/>
      <c r="AF258" s="634"/>
      <c r="AG258" s="634"/>
      <c r="AH258" s="634"/>
      <c r="AI258" s="634"/>
      <c r="AJ258" s="634"/>
    </row>
    <row r="259" spans="1:36" ht="27.75" thickBot="1">
      <c r="A259" s="634"/>
      <c r="B259" s="635"/>
      <c r="C259" s="635"/>
      <c r="D259" s="634"/>
      <c r="E259" s="634"/>
      <c r="F259" s="634"/>
      <c r="G259" s="634"/>
      <c r="H259" s="634"/>
      <c r="I259" s="634"/>
      <c r="J259" s="634"/>
      <c r="K259" s="634"/>
      <c r="L259" s="634"/>
      <c r="M259" s="634"/>
      <c r="N259" s="634"/>
      <c r="O259" s="634"/>
      <c r="P259" s="634"/>
      <c r="Q259" s="634"/>
      <c r="R259" s="634"/>
      <c r="S259" s="634"/>
      <c r="T259" s="634"/>
      <c r="U259" s="634"/>
      <c r="V259" s="634"/>
      <c r="W259" s="677"/>
      <c r="X259" s="3857" t="s">
        <v>161</v>
      </c>
      <c r="Y259" s="3858"/>
      <c r="Z259" s="3858"/>
      <c r="AA259" s="3858"/>
      <c r="AB259" s="3858"/>
      <c r="AC259" s="3872">
        <f>AF250</f>
        <v>3</v>
      </c>
      <c r="AD259" s="3803"/>
      <c r="AE259" s="3804"/>
      <c r="AF259" s="634"/>
      <c r="AG259" s="634"/>
      <c r="AH259" s="634"/>
      <c r="AI259" s="634"/>
      <c r="AJ259" s="634"/>
    </row>
    <row r="260" spans="1:36" ht="27.75" thickBot="1">
      <c r="A260" s="634"/>
      <c r="B260" s="635"/>
      <c r="C260" s="635"/>
      <c r="D260" s="634"/>
      <c r="E260" s="634"/>
      <c r="F260" s="634"/>
      <c r="G260" s="634"/>
      <c r="H260" s="634"/>
      <c r="I260" s="634"/>
      <c r="J260" s="634"/>
      <c r="K260" s="634"/>
      <c r="L260" s="634"/>
      <c r="M260" s="634"/>
      <c r="N260" s="634"/>
      <c r="O260" s="634"/>
      <c r="P260" s="634"/>
      <c r="Q260" s="634"/>
      <c r="R260" s="634"/>
      <c r="S260" s="634"/>
      <c r="T260" s="634"/>
      <c r="U260" s="634"/>
      <c r="V260" s="634"/>
      <c r="W260" s="677"/>
      <c r="X260" s="3857" t="s">
        <v>162</v>
      </c>
      <c r="Y260" s="3858"/>
      <c r="Z260" s="3858"/>
      <c r="AA260" s="3858"/>
      <c r="AB260" s="3859"/>
      <c r="AC260" s="3802">
        <f>'Tea Table'!U285</f>
        <v>2676</v>
      </c>
      <c r="AD260" s="3803"/>
      <c r="AE260" s="3804"/>
      <c r="AF260" s="634"/>
      <c r="AG260" s="634"/>
      <c r="AH260" s="634"/>
      <c r="AI260" s="634"/>
      <c r="AJ260" s="634"/>
    </row>
    <row r="261" spans="1:36" ht="27.75" thickBot="1">
      <c r="A261" s="634"/>
      <c r="B261" s="635"/>
      <c r="C261" s="635"/>
      <c r="D261" s="634"/>
      <c r="E261" s="634"/>
      <c r="F261" s="634"/>
      <c r="G261" s="634"/>
      <c r="H261" s="634"/>
      <c r="I261" s="634"/>
      <c r="J261" s="634"/>
      <c r="K261" s="634"/>
      <c r="L261" s="634"/>
      <c r="M261" s="634"/>
      <c r="N261" s="634"/>
      <c r="O261" s="634"/>
      <c r="P261" s="634"/>
      <c r="Q261" s="634"/>
      <c r="R261" s="634"/>
      <c r="S261" s="634"/>
      <c r="T261" s="634"/>
      <c r="U261" s="634"/>
      <c r="V261" s="634"/>
      <c r="W261" s="677"/>
      <c r="X261" s="3860" t="s">
        <v>163</v>
      </c>
      <c r="Y261" s="3861"/>
      <c r="Z261" s="3861"/>
      <c r="AA261" s="3861"/>
      <c r="AB261" s="3862"/>
      <c r="AC261" s="3863">
        <f>'Tea Table'!V285</f>
        <v>29</v>
      </c>
      <c r="AD261" s="3864"/>
      <c r="AE261" s="3865"/>
      <c r="AF261" s="634"/>
      <c r="AG261" s="634"/>
      <c r="AH261" s="634"/>
      <c r="AI261" s="634"/>
      <c r="AJ261" s="634"/>
    </row>
    <row r="262" spans="1:36" ht="28.5" thickTop="1" thickBot="1">
      <c r="A262" s="634"/>
      <c r="B262" s="635"/>
      <c r="C262" s="635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77"/>
      <c r="X262" s="3866"/>
      <c r="Y262" s="3867"/>
      <c r="Z262" s="3867"/>
      <c r="AA262" s="3867"/>
      <c r="AB262" s="3868"/>
      <c r="AC262" s="3869"/>
      <c r="AD262" s="3870"/>
      <c r="AE262" s="3871"/>
      <c r="AF262" s="634"/>
      <c r="AG262" s="634"/>
      <c r="AH262" s="634"/>
      <c r="AI262" s="634"/>
      <c r="AJ262" s="634"/>
    </row>
    <row r="263" spans="1:36" ht="27.75" thickBot="1">
      <c r="A263" s="634"/>
      <c r="B263" s="635"/>
      <c r="C263" s="635"/>
      <c r="D263" s="634"/>
      <c r="E263" s="634"/>
      <c r="F263" s="634"/>
      <c r="G263" s="634"/>
      <c r="H263" s="634"/>
      <c r="I263" s="634"/>
      <c r="J263" s="634"/>
      <c r="K263" s="634"/>
      <c r="L263" s="634"/>
      <c r="M263" s="634"/>
      <c r="N263" s="634"/>
      <c r="O263" s="634"/>
      <c r="P263" s="634"/>
      <c r="Q263" s="634"/>
      <c r="R263" s="634"/>
      <c r="S263" s="634"/>
      <c r="T263" s="634"/>
      <c r="U263" s="634"/>
      <c r="V263" s="634"/>
      <c r="W263" s="677"/>
      <c r="X263" s="3857" t="s">
        <v>164</v>
      </c>
      <c r="Y263" s="3858"/>
      <c r="Z263" s="3858"/>
      <c r="AA263" s="3858"/>
      <c r="AB263" s="3859"/>
      <c r="AC263" s="3796">
        <f>SUM(AC256:AE262)</f>
        <v>5120</v>
      </c>
      <c r="AD263" s="3797"/>
      <c r="AE263" s="3798"/>
      <c r="AF263" s="634"/>
      <c r="AG263" s="634"/>
      <c r="AH263" s="634"/>
      <c r="AI263" s="634"/>
      <c r="AJ263" s="634"/>
    </row>
    <row r="264" spans="1:36" ht="27.75" thickBot="1">
      <c r="A264" s="634"/>
      <c r="B264" s="635"/>
      <c r="C264" s="635"/>
      <c r="D264" s="634"/>
      <c r="E264" s="634"/>
      <c r="F264" s="634"/>
      <c r="G264" s="634"/>
      <c r="H264" s="634"/>
      <c r="I264" s="634"/>
      <c r="J264" s="634"/>
      <c r="K264" s="634"/>
      <c r="L264" s="634"/>
      <c r="M264" s="634"/>
      <c r="N264" s="634"/>
      <c r="O264" s="634"/>
      <c r="P264" s="634"/>
      <c r="Q264" s="634"/>
      <c r="R264" s="634"/>
      <c r="S264" s="634"/>
      <c r="T264" s="634"/>
      <c r="U264" s="634"/>
      <c r="V264" s="634"/>
      <c r="W264" s="677"/>
      <c r="X264" s="3857" t="s">
        <v>165</v>
      </c>
      <c r="Y264" s="3858"/>
      <c r="Z264" s="3858"/>
      <c r="AA264" s="3858"/>
      <c r="AB264" s="3859"/>
      <c r="AC264" s="3796">
        <f>AE251+'BIG CHAIR'!CI326+'Tea Table'!U286</f>
        <v>424</v>
      </c>
      <c r="AD264" s="3797"/>
      <c r="AE264" s="3798"/>
      <c r="AF264" s="695"/>
      <c r="AG264" s="695"/>
      <c r="AH264" s="695"/>
      <c r="AI264" s="634"/>
      <c r="AJ264" s="634"/>
    </row>
    <row r="265" spans="1:36">
      <c r="B265" s="652"/>
      <c r="C265" s="652"/>
      <c r="AB265" s="696"/>
      <c r="AC265" s="696"/>
      <c r="AD265" s="696"/>
      <c r="AE265" s="696"/>
    </row>
    <row r="266" spans="1:36">
      <c r="B266" s="652"/>
      <c r="C266" s="652"/>
      <c r="AB266" s="696"/>
      <c r="AC266" s="696"/>
      <c r="AD266" s="696"/>
      <c r="AE266" s="696"/>
    </row>
    <row r="267" spans="1:36">
      <c r="B267" s="652"/>
      <c r="C267" s="652"/>
      <c r="AB267" s="696"/>
      <c r="AC267" s="696"/>
      <c r="AD267" s="696"/>
      <c r="AE267" s="696"/>
    </row>
    <row r="268" spans="1:36">
      <c r="B268" s="652"/>
      <c r="C268" s="652"/>
      <c r="AB268" s="696"/>
      <c r="AC268" s="696"/>
      <c r="AD268" s="696"/>
      <c r="AE268" s="696"/>
    </row>
    <row r="269" spans="1:36">
      <c r="B269" s="652"/>
      <c r="C269" s="652"/>
      <c r="AB269" s="696"/>
      <c r="AC269" s="696"/>
      <c r="AD269" s="696"/>
      <c r="AE269" s="696"/>
    </row>
    <row r="270" spans="1:36">
      <c r="B270" s="652"/>
      <c r="C270" s="652"/>
      <c r="AB270" s="696"/>
      <c r="AC270" s="696"/>
      <c r="AD270" s="696"/>
      <c r="AE270" s="696"/>
    </row>
    <row r="271" spans="1:36">
      <c r="B271" s="652"/>
      <c r="C271" s="652"/>
      <c r="AB271" s="696"/>
      <c r="AC271" s="696"/>
      <c r="AD271" s="696"/>
      <c r="AE271" s="696"/>
    </row>
    <row r="272" spans="1:36">
      <c r="B272" s="652"/>
      <c r="C272" s="652"/>
      <c r="AB272" s="696"/>
      <c r="AC272" s="696"/>
      <c r="AD272" s="696"/>
      <c r="AE272" s="696"/>
    </row>
    <row r="273" spans="2:31">
      <c r="B273" s="652"/>
      <c r="C273" s="652"/>
      <c r="AB273" s="696"/>
      <c r="AC273" s="696"/>
      <c r="AD273" s="696"/>
      <c r="AE273" s="696"/>
    </row>
    <row r="274" spans="2:31">
      <c r="B274" s="652"/>
      <c r="C274" s="652"/>
      <c r="AB274" s="696"/>
      <c r="AC274" s="696"/>
      <c r="AD274" s="696"/>
      <c r="AE274" s="696"/>
    </row>
    <row r="275" spans="2:31">
      <c r="B275" s="652"/>
      <c r="C275" s="652"/>
      <c r="AB275" s="696"/>
      <c r="AC275" s="696"/>
      <c r="AD275" s="696"/>
      <c r="AE275" s="696"/>
    </row>
    <row r="276" spans="2:31">
      <c r="B276" s="652"/>
      <c r="C276" s="652"/>
      <c r="AB276" s="696"/>
      <c r="AC276" s="696"/>
      <c r="AD276" s="696"/>
      <c r="AE276" s="696"/>
    </row>
    <row r="277" spans="2:31">
      <c r="B277" s="652"/>
      <c r="C277" s="652"/>
      <c r="AB277" s="696"/>
      <c r="AC277" s="696"/>
      <c r="AD277" s="696"/>
      <c r="AE277" s="696"/>
    </row>
    <row r="278" spans="2:31">
      <c r="B278" s="652"/>
      <c r="C278" s="652"/>
      <c r="AB278" s="696"/>
      <c r="AC278" s="696"/>
      <c r="AD278" s="696"/>
      <c r="AE278" s="696"/>
    </row>
    <row r="279" spans="2:31">
      <c r="B279" s="652"/>
      <c r="C279" s="652"/>
      <c r="AB279" s="696"/>
      <c r="AC279" s="696"/>
      <c r="AD279" s="696"/>
      <c r="AE279" s="696"/>
    </row>
    <row r="280" spans="2:31">
      <c r="B280" s="652"/>
      <c r="C280" s="652"/>
      <c r="AB280" s="696"/>
      <c r="AC280" s="696"/>
      <c r="AD280" s="696"/>
      <c r="AE280" s="696"/>
    </row>
    <row r="281" spans="2:31">
      <c r="B281" s="652"/>
      <c r="C281" s="652"/>
      <c r="AB281" s="696"/>
      <c r="AC281" s="696"/>
      <c r="AD281" s="696"/>
      <c r="AE281" s="696"/>
    </row>
    <row r="282" spans="2:31">
      <c r="B282" s="652"/>
      <c r="C282" s="652"/>
      <c r="AB282" s="696"/>
      <c r="AC282" s="696"/>
      <c r="AD282" s="696"/>
      <c r="AE282" s="696"/>
    </row>
  </sheetData>
  <mergeCells count="41">
    <mergeCell ref="A2:D2"/>
    <mergeCell ref="E2:K2"/>
    <mergeCell ref="M2:T2"/>
    <mergeCell ref="V2:AC2"/>
    <mergeCell ref="AE2:AJ2"/>
    <mergeCell ref="A169:AJ169"/>
    <mergeCell ref="A170:D170"/>
    <mergeCell ref="E170:K170"/>
    <mergeCell ref="M170:T170"/>
    <mergeCell ref="V170:AC170"/>
    <mergeCell ref="AE170:AJ170"/>
    <mergeCell ref="A243:C243"/>
    <mergeCell ref="E248:K248"/>
    <mergeCell ref="M248:T248"/>
    <mergeCell ref="V248:AC248"/>
    <mergeCell ref="AF250:AG250"/>
    <mergeCell ref="AF251:AG251"/>
    <mergeCell ref="E252:K252"/>
    <mergeCell ref="M252:T252"/>
    <mergeCell ref="V252:AC252"/>
    <mergeCell ref="E253:K253"/>
    <mergeCell ref="M253:T253"/>
    <mergeCell ref="V253:AC253"/>
    <mergeCell ref="X256:AB256"/>
    <mergeCell ref="AC256:AE256"/>
    <mergeCell ref="X257:AB257"/>
    <mergeCell ref="AC257:AE257"/>
    <mergeCell ref="X258:AB258"/>
    <mergeCell ref="AC258:AE258"/>
    <mergeCell ref="X259:AB259"/>
    <mergeCell ref="AC259:AE259"/>
    <mergeCell ref="X260:AB260"/>
    <mergeCell ref="AC260:AE260"/>
    <mergeCell ref="X261:AB261"/>
    <mergeCell ref="AC261:AE261"/>
    <mergeCell ref="X262:AB262"/>
    <mergeCell ref="AC262:AE262"/>
    <mergeCell ref="X263:AB263"/>
    <mergeCell ref="AC263:AE263"/>
    <mergeCell ref="X264:AB264"/>
    <mergeCell ref="AC264:AE264"/>
  </mergeCells>
  <pageMargins left="0.15625" right="0" top="0.55000000000000004" bottom="0.55000000000000004" header="0.31388888888888899" footer="0.31388888888888899"/>
  <pageSetup paperSize="9" scale="85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378"/>
  <sheetViews>
    <sheetView topLeftCell="P275" workbookViewId="0">
      <selection activeCell="AA290" sqref="AA290"/>
    </sheetView>
  </sheetViews>
  <sheetFormatPr defaultColWidth="9" defaultRowHeight="15"/>
  <cols>
    <col min="1" max="1" width="53.7109375" customWidth="1"/>
    <col min="2" max="2" width="16" style="276" customWidth="1"/>
    <col min="3" max="3" width="14.140625" style="276" customWidth="1"/>
    <col min="4" max="4" width="21" customWidth="1"/>
    <col min="5" max="5" width="18.5703125" bestFit="1" customWidth="1"/>
    <col min="6" max="7" width="11.5703125" customWidth="1"/>
    <col min="8" max="8" width="11.5703125" bestFit="1" customWidth="1"/>
    <col min="9" max="9" width="13" bestFit="1" customWidth="1"/>
    <col min="10" max="10" width="15" customWidth="1"/>
    <col min="11" max="11" width="22" customWidth="1"/>
    <col min="12" max="12" width="19.85546875" customWidth="1"/>
    <col min="13" max="13" width="1.42578125" customWidth="1"/>
    <col min="14" max="15" width="13.7109375" customWidth="1"/>
    <col min="16" max="20" width="11.5703125" customWidth="1"/>
    <col min="21" max="21" width="15" customWidth="1"/>
    <col min="22" max="22" width="1.5703125" customWidth="1"/>
    <col min="23" max="23" width="14" customWidth="1"/>
    <col min="24" max="24" width="11.5703125" customWidth="1"/>
    <col min="25" max="25" width="12.42578125" customWidth="1"/>
    <col min="26" max="26" width="14.5703125" customWidth="1"/>
    <col min="27" max="27" width="11.5703125" customWidth="1"/>
    <col min="28" max="28" width="13.7109375" customWidth="1"/>
    <col min="29" max="29" width="13.7109375" bestFit="1" customWidth="1"/>
    <col min="30" max="30" width="11.5703125" customWidth="1"/>
    <col min="31" max="31" width="2" customWidth="1"/>
    <col min="32" max="32" width="13.7109375" customWidth="1"/>
    <col min="33" max="33" width="11.5703125" customWidth="1"/>
    <col min="34" max="34" width="8.5703125" customWidth="1"/>
    <col min="35" max="35" width="13.7109375" customWidth="1"/>
    <col min="36" max="36" width="11.5703125" customWidth="1"/>
    <col min="37" max="37" width="13.7109375" customWidth="1"/>
    <col min="38" max="39" width="10" customWidth="1"/>
    <col min="40" max="40" width="11.7109375" bestFit="1" customWidth="1"/>
    <col min="41" max="256" width="10" customWidth="1"/>
  </cols>
  <sheetData>
    <row r="1" spans="1:40" ht="27" thickBot="1">
      <c r="A1" s="285" t="s">
        <v>224</v>
      </c>
      <c r="B1" s="285"/>
      <c r="C1" s="285"/>
      <c r="D1" s="285"/>
      <c r="E1" s="285"/>
      <c r="F1" s="285"/>
      <c r="G1" s="285"/>
      <c r="H1" s="285"/>
      <c r="I1" s="335">
        <f>'BIG CHAIR'!H1</f>
        <v>1</v>
      </c>
      <c r="J1" s="335">
        <v>4</v>
      </c>
      <c r="K1" s="335">
        <v>26</v>
      </c>
      <c r="L1" s="1079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</row>
    <row r="2" spans="1:40" ht="24" thickBot="1">
      <c r="A2" s="3888" t="s">
        <v>4</v>
      </c>
      <c r="B2" s="3889"/>
      <c r="C2" s="3889"/>
      <c r="D2" s="3896"/>
      <c r="E2" s="3891" t="s">
        <v>494</v>
      </c>
      <c r="F2" s="3892"/>
      <c r="G2" s="3892"/>
      <c r="H2" s="3892"/>
      <c r="I2" s="3892"/>
      <c r="J2" s="3892"/>
      <c r="K2" s="3892"/>
      <c r="L2" s="3904"/>
      <c r="M2" s="336"/>
      <c r="N2" s="3893"/>
      <c r="O2" s="3894"/>
      <c r="P2" s="3894"/>
      <c r="Q2" s="3894"/>
      <c r="R2" s="3894"/>
      <c r="S2" s="3894"/>
      <c r="T2" s="3894"/>
      <c r="U2" s="3895"/>
      <c r="V2" s="364"/>
      <c r="W2" s="3893"/>
      <c r="X2" s="3894"/>
      <c r="Y2" s="3894"/>
      <c r="Z2" s="3894"/>
      <c r="AA2" s="3894"/>
      <c r="AB2" s="3894"/>
      <c r="AC2" s="3894"/>
      <c r="AD2" s="3895"/>
      <c r="AE2" s="364"/>
      <c r="AF2" s="3893"/>
      <c r="AG2" s="3894"/>
      <c r="AH2" s="3894"/>
      <c r="AI2" s="3894"/>
      <c r="AJ2" s="3894"/>
      <c r="AK2" s="3895"/>
    </row>
    <row r="3" spans="1:40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743" t="s">
        <v>96</v>
      </c>
      <c r="F3" s="744" t="s">
        <v>124</v>
      </c>
      <c r="G3" s="744" t="s">
        <v>228</v>
      </c>
      <c r="H3" s="744" t="s">
        <v>149</v>
      </c>
      <c r="I3" s="744" t="s">
        <v>470</v>
      </c>
      <c r="J3" s="744" t="s">
        <v>92</v>
      </c>
      <c r="K3" s="50" t="s">
        <v>479</v>
      </c>
      <c r="L3" s="783" t="s">
        <v>497</v>
      </c>
      <c r="M3" s="578"/>
      <c r="N3" s="80" t="s">
        <v>71</v>
      </c>
      <c r="O3" s="49" t="s">
        <v>53</v>
      </c>
      <c r="P3" s="49" t="s">
        <v>583</v>
      </c>
      <c r="Q3" s="49" t="s">
        <v>213</v>
      </c>
      <c r="R3" s="49" t="s">
        <v>457</v>
      </c>
      <c r="S3" s="49" t="s">
        <v>94</v>
      </c>
      <c r="T3" s="126" t="s">
        <v>77</v>
      </c>
      <c r="U3" s="717" t="s">
        <v>482</v>
      </c>
      <c r="V3" s="578"/>
      <c r="W3" s="764" t="s">
        <v>584</v>
      </c>
      <c r="X3" s="765" t="s">
        <v>96</v>
      </c>
      <c r="Y3" s="765" t="e">
        <f>#REF!</f>
        <v>#REF!</v>
      </c>
      <c r="Z3" s="49" t="s">
        <v>598</v>
      </c>
      <c r="AA3" s="765" t="e">
        <f>#REF!</f>
        <v>#REF!</v>
      </c>
      <c r="AB3" s="765" t="e">
        <f>#REF!</f>
        <v>#REF!</v>
      </c>
      <c r="AC3" s="765" t="e">
        <f>#REF!</f>
        <v>#REF!</v>
      </c>
      <c r="AD3" s="772" t="e">
        <f>#REF!</f>
        <v>#REF!</v>
      </c>
      <c r="AE3" s="370"/>
      <c r="AF3" s="371" t="s">
        <v>172</v>
      </c>
      <c r="AG3" s="372" t="s">
        <v>80</v>
      </c>
      <c r="AH3" s="385"/>
      <c r="AI3" s="386" t="s">
        <v>106</v>
      </c>
      <c r="AJ3" s="385" t="s">
        <v>173</v>
      </c>
      <c r="AK3" s="371" t="s">
        <v>108</v>
      </c>
    </row>
    <row r="4" spans="1:40" s="276" customFormat="1" ht="21" thickBot="1">
      <c r="A4" s="289" t="str">
        <f>'Tea Table'!A4</f>
        <v xml:space="preserve">Opening Stock as on </v>
      </c>
      <c r="B4" s="1064" t="s">
        <v>471</v>
      </c>
      <c r="C4" s="290"/>
      <c r="D4" s="1065"/>
      <c r="E4" s="340">
        <f>37*20</f>
        <v>740</v>
      </c>
      <c r="F4" s="293"/>
      <c r="G4" s="293"/>
      <c r="H4" s="293">
        <f>1*20</f>
        <v>20</v>
      </c>
      <c r="I4" s="337">
        <f>33*20</f>
        <v>660</v>
      </c>
      <c r="J4" s="337">
        <f>20*20</f>
        <v>400</v>
      </c>
      <c r="K4" s="338">
        <f>23*20</f>
        <v>460</v>
      </c>
      <c r="L4" s="338">
        <f>19*20</f>
        <v>380</v>
      </c>
      <c r="M4" s="339"/>
      <c r="N4" s="340"/>
      <c r="O4" s="293"/>
      <c r="P4" s="337"/>
      <c r="Q4" s="337">
        <f>6*20</f>
        <v>120</v>
      </c>
      <c r="R4" s="337"/>
      <c r="S4" s="337"/>
      <c r="T4" s="365"/>
      <c r="U4" s="338">
        <f>43*20</f>
        <v>860</v>
      </c>
      <c r="V4" s="339"/>
      <c r="W4" s="366">
        <f>1*20</f>
        <v>20</v>
      </c>
      <c r="X4" s="293"/>
      <c r="Y4" s="293"/>
      <c r="Z4" s="337">
        <f>71*20</f>
        <v>1420</v>
      </c>
      <c r="AA4" s="337"/>
      <c r="AB4" s="337"/>
      <c r="AC4" s="293"/>
      <c r="AD4" s="338"/>
      <c r="AE4" s="339"/>
      <c r="AF4" s="373">
        <f>SUM(E4:AD4)</f>
        <v>5080</v>
      </c>
      <c r="AG4" s="374"/>
      <c r="AH4" s="373"/>
      <c r="AI4" s="387">
        <f>AF4+AG4</f>
        <v>5080</v>
      </c>
      <c r="AJ4" s="388"/>
      <c r="AK4" s="389">
        <f>AI4+AJ4</f>
        <v>5080</v>
      </c>
    </row>
    <row r="5" spans="1:40" s="283" customFormat="1" ht="21" thickBot="1">
      <c r="A5" s="294" t="s">
        <v>110</v>
      </c>
      <c r="B5" s="299"/>
      <c r="C5" s="299"/>
      <c r="D5" s="1066"/>
      <c r="E5" s="1067"/>
      <c r="F5" s="1068"/>
      <c r="G5" s="1068"/>
      <c r="H5" s="1069"/>
      <c r="I5" s="1069"/>
      <c r="J5" s="1068"/>
      <c r="K5" s="1080"/>
      <c r="L5" s="1081"/>
      <c r="M5" s="1082"/>
      <c r="N5" s="343"/>
      <c r="O5" s="298"/>
      <c r="P5" s="298"/>
      <c r="Q5" s="298"/>
      <c r="R5" s="298"/>
      <c r="S5" s="298"/>
      <c r="T5" s="298"/>
      <c r="U5" s="367"/>
      <c r="V5" s="355"/>
      <c r="W5" s="325"/>
      <c r="X5" s="297"/>
      <c r="Y5" s="297"/>
      <c r="Z5" s="298"/>
      <c r="AA5" s="298"/>
      <c r="AB5" s="298"/>
      <c r="AC5" s="297"/>
      <c r="AD5" s="375"/>
      <c r="AE5" s="355"/>
      <c r="AF5" s="376">
        <f>SUM(E5:AD5)</f>
        <v>0</v>
      </c>
      <c r="AG5" s="377"/>
      <c r="AH5" s="390"/>
      <c r="AI5" s="391">
        <f>AF5+AG5</f>
        <v>0</v>
      </c>
      <c r="AJ5" s="392"/>
      <c r="AK5" s="393">
        <f>AI5+AJ5</f>
        <v>0</v>
      </c>
      <c r="AL5" s="394"/>
      <c r="AM5" s="54"/>
      <c r="AN5" s="394"/>
    </row>
    <row r="6" spans="1:40" s="283" customFormat="1" ht="21" thickBot="1">
      <c r="A6" s="294" t="s">
        <v>110</v>
      </c>
      <c r="B6" s="299"/>
      <c r="C6" s="299"/>
      <c r="D6" s="1066"/>
      <c r="E6" s="457"/>
      <c r="F6" s="458"/>
      <c r="G6" s="458"/>
      <c r="H6" s="459"/>
      <c r="I6" s="459"/>
      <c r="J6" s="458"/>
      <c r="K6" s="1083"/>
      <c r="L6" s="761"/>
      <c r="M6" s="1082"/>
      <c r="N6" s="343"/>
      <c r="O6" s="298"/>
      <c r="P6" s="298"/>
      <c r="Q6" s="298"/>
      <c r="R6" s="298"/>
      <c r="S6" s="298"/>
      <c r="T6" s="298"/>
      <c r="U6" s="367"/>
      <c r="V6" s="355"/>
      <c r="W6" s="325"/>
      <c r="X6" s="297"/>
      <c r="Y6" s="297"/>
      <c r="Z6" s="298"/>
      <c r="AA6" s="298"/>
      <c r="AB6" s="298"/>
      <c r="AC6" s="297"/>
      <c r="AD6" s="375"/>
      <c r="AE6" s="355"/>
      <c r="AF6" s="376">
        <f t="shared" ref="AF6:AF31" si="0">SUM(E6:AD6)</f>
        <v>0</v>
      </c>
      <c r="AG6" s="377"/>
      <c r="AH6" s="390"/>
      <c r="AI6" s="391">
        <f t="shared" ref="AI6:AI31" si="1">AF6+AG6</f>
        <v>0</v>
      </c>
      <c r="AJ6" s="392"/>
      <c r="AK6" s="393">
        <f t="shared" ref="AK6:AK31" si="2">AI6+AJ6</f>
        <v>0</v>
      </c>
      <c r="AL6" s="394"/>
      <c r="AM6" s="54"/>
      <c r="AN6" s="394"/>
    </row>
    <row r="7" spans="1:40" s="283" customFormat="1" ht="21" thickBot="1">
      <c r="A7" s="294" t="s">
        <v>110</v>
      </c>
      <c r="B7" s="299"/>
      <c r="C7" s="299"/>
      <c r="D7" s="1066"/>
      <c r="E7" s="457"/>
      <c r="F7" s="458"/>
      <c r="G7" s="458"/>
      <c r="H7" s="459"/>
      <c r="I7" s="459"/>
      <c r="J7" s="458"/>
      <c r="K7" s="1083"/>
      <c r="L7" s="761"/>
      <c r="M7" s="1082"/>
      <c r="N7" s="343"/>
      <c r="O7" s="298"/>
      <c r="P7" s="298"/>
      <c r="Q7" s="298"/>
      <c r="R7" s="298"/>
      <c r="S7" s="298"/>
      <c r="T7" s="298"/>
      <c r="U7" s="367"/>
      <c r="V7" s="355"/>
      <c r="W7" s="325"/>
      <c r="X7" s="297"/>
      <c r="Y7" s="297"/>
      <c r="Z7" s="298"/>
      <c r="AA7" s="298"/>
      <c r="AB7" s="298"/>
      <c r="AC7" s="297"/>
      <c r="AD7" s="375"/>
      <c r="AE7" s="355"/>
      <c r="AF7" s="376">
        <f t="shared" si="0"/>
        <v>0</v>
      </c>
      <c r="AG7" s="377"/>
      <c r="AH7" s="390"/>
      <c r="AI7" s="391">
        <f t="shared" si="1"/>
        <v>0</v>
      </c>
      <c r="AJ7" s="392"/>
      <c r="AK7" s="393">
        <f t="shared" si="2"/>
        <v>0</v>
      </c>
      <c r="AL7" s="394"/>
      <c r="AM7" s="54"/>
      <c r="AN7" s="394"/>
    </row>
    <row r="8" spans="1:40" s="283" customFormat="1" ht="21" thickBot="1">
      <c r="A8" s="294" t="s">
        <v>110</v>
      </c>
      <c r="B8" s="299"/>
      <c r="C8" s="299"/>
      <c r="D8" s="1066"/>
      <c r="E8" s="457"/>
      <c r="F8" s="458"/>
      <c r="G8" s="458"/>
      <c r="H8" s="459"/>
      <c r="I8" s="459"/>
      <c r="J8" s="458"/>
      <c r="K8" s="1083"/>
      <c r="L8" s="761"/>
      <c r="M8" s="1082"/>
      <c r="N8" s="343"/>
      <c r="O8" s="298"/>
      <c r="P8" s="298"/>
      <c r="Q8" s="298"/>
      <c r="R8" s="298"/>
      <c r="S8" s="298"/>
      <c r="T8" s="298"/>
      <c r="U8" s="367"/>
      <c r="V8" s="355"/>
      <c r="W8" s="325"/>
      <c r="X8" s="297"/>
      <c r="Y8" s="297"/>
      <c r="Z8" s="298"/>
      <c r="AA8" s="298"/>
      <c r="AB8" s="298"/>
      <c r="AC8" s="297"/>
      <c r="AD8" s="375"/>
      <c r="AE8" s="355"/>
      <c r="AF8" s="376">
        <f t="shared" si="0"/>
        <v>0</v>
      </c>
      <c r="AG8" s="377"/>
      <c r="AH8" s="390"/>
      <c r="AI8" s="391">
        <f t="shared" si="1"/>
        <v>0</v>
      </c>
      <c r="AJ8" s="392"/>
      <c r="AK8" s="393">
        <f t="shared" si="2"/>
        <v>0</v>
      </c>
      <c r="AL8" s="394"/>
      <c r="AM8" s="54"/>
      <c r="AN8" s="394"/>
    </row>
    <row r="9" spans="1:40" s="283" customFormat="1" ht="21" thickBot="1">
      <c r="A9" s="294" t="s">
        <v>110</v>
      </c>
      <c r="B9" s="299"/>
      <c r="C9" s="299"/>
      <c r="D9" s="1066"/>
      <c r="E9" s="457"/>
      <c r="F9" s="458"/>
      <c r="G9" s="458"/>
      <c r="H9" s="459"/>
      <c r="I9" s="459"/>
      <c r="J9" s="458"/>
      <c r="K9" s="1083"/>
      <c r="L9" s="761"/>
      <c r="M9" s="1082"/>
      <c r="N9" s="343"/>
      <c r="O9" s="298"/>
      <c r="P9" s="298"/>
      <c r="Q9" s="298"/>
      <c r="R9" s="298"/>
      <c r="S9" s="298"/>
      <c r="T9" s="298"/>
      <c r="U9" s="367"/>
      <c r="V9" s="355"/>
      <c r="W9" s="325"/>
      <c r="X9" s="297"/>
      <c r="Y9" s="297"/>
      <c r="Z9" s="298"/>
      <c r="AA9" s="298"/>
      <c r="AB9" s="298"/>
      <c r="AC9" s="297"/>
      <c r="AD9" s="375"/>
      <c r="AE9" s="355"/>
      <c r="AF9" s="376">
        <f t="shared" si="0"/>
        <v>0</v>
      </c>
      <c r="AG9" s="377"/>
      <c r="AH9" s="390"/>
      <c r="AI9" s="391">
        <f t="shared" si="1"/>
        <v>0</v>
      </c>
      <c r="AJ9" s="392"/>
      <c r="AK9" s="393">
        <f t="shared" si="2"/>
        <v>0</v>
      </c>
      <c r="AL9" s="394"/>
      <c r="AM9" s="54"/>
      <c r="AN9" s="394"/>
    </row>
    <row r="10" spans="1:40" s="283" customFormat="1" ht="21" thickBot="1">
      <c r="A10" s="294" t="s">
        <v>110</v>
      </c>
      <c r="B10" s="299"/>
      <c r="C10" s="299"/>
      <c r="D10" s="1066"/>
      <c r="E10" s="457"/>
      <c r="F10" s="458"/>
      <c r="G10" s="458"/>
      <c r="H10" s="459"/>
      <c r="I10" s="459"/>
      <c r="J10" s="458"/>
      <c r="K10" s="1083"/>
      <c r="L10" s="761"/>
      <c r="M10" s="1082"/>
      <c r="N10" s="343"/>
      <c r="O10" s="298"/>
      <c r="P10" s="298"/>
      <c r="Q10" s="298"/>
      <c r="R10" s="298"/>
      <c r="S10" s="298"/>
      <c r="T10" s="298"/>
      <c r="U10" s="367"/>
      <c r="V10" s="355"/>
      <c r="W10" s="325"/>
      <c r="X10" s="297"/>
      <c r="Y10" s="297"/>
      <c r="Z10" s="298"/>
      <c r="AA10" s="298"/>
      <c r="AB10" s="298"/>
      <c r="AC10" s="297"/>
      <c r="AD10" s="375"/>
      <c r="AE10" s="355"/>
      <c r="AF10" s="376">
        <f t="shared" si="0"/>
        <v>0</v>
      </c>
      <c r="AG10" s="377"/>
      <c r="AH10" s="390"/>
      <c r="AI10" s="391">
        <f t="shared" si="1"/>
        <v>0</v>
      </c>
      <c r="AJ10" s="392"/>
      <c r="AK10" s="393">
        <f t="shared" si="2"/>
        <v>0</v>
      </c>
      <c r="AL10" s="394"/>
      <c r="AM10" s="54"/>
      <c r="AN10" s="394"/>
    </row>
    <row r="11" spans="1:40" s="283" customFormat="1" ht="21" thickBot="1">
      <c r="A11" s="294" t="s">
        <v>110</v>
      </c>
      <c r="B11" s="299"/>
      <c r="C11" s="299"/>
      <c r="D11" s="1066"/>
      <c r="E11" s="457"/>
      <c r="F11" s="458"/>
      <c r="G11" s="458"/>
      <c r="H11" s="459"/>
      <c r="I11" s="459"/>
      <c r="J11" s="458"/>
      <c r="K11" s="1083"/>
      <c r="L11" s="761"/>
      <c r="M11" s="1082"/>
      <c r="N11" s="343"/>
      <c r="O11" s="298"/>
      <c r="P11" s="298"/>
      <c r="Q11" s="298"/>
      <c r="R11" s="298"/>
      <c r="S11" s="298"/>
      <c r="T11" s="298"/>
      <c r="U11" s="367"/>
      <c r="V11" s="355"/>
      <c r="W11" s="325"/>
      <c r="X11" s="297"/>
      <c r="Y11" s="297"/>
      <c r="Z11" s="298"/>
      <c r="AA11" s="298"/>
      <c r="AB11" s="298"/>
      <c r="AC11" s="297"/>
      <c r="AD11" s="375"/>
      <c r="AE11" s="355"/>
      <c r="AF11" s="376">
        <f t="shared" si="0"/>
        <v>0</v>
      </c>
      <c r="AG11" s="377"/>
      <c r="AH11" s="390"/>
      <c r="AI11" s="391">
        <f t="shared" si="1"/>
        <v>0</v>
      </c>
      <c r="AJ11" s="392"/>
      <c r="AK11" s="393">
        <f t="shared" si="2"/>
        <v>0</v>
      </c>
      <c r="AL11" s="394"/>
      <c r="AM11" s="54"/>
      <c r="AN11" s="394"/>
    </row>
    <row r="12" spans="1:40" s="283" customFormat="1" ht="21" thickBot="1">
      <c r="A12" s="294" t="s">
        <v>110</v>
      </c>
      <c r="B12" s="299"/>
      <c r="C12" s="299"/>
      <c r="D12" s="1066"/>
      <c r="E12" s="457"/>
      <c r="F12" s="458"/>
      <c r="G12" s="458"/>
      <c r="H12" s="459"/>
      <c r="I12" s="459"/>
      <c r="J12" s="458"/>
      <c r="K12" s="1083"/>
      <c r="L12" s="761"/>
      <c r="M12" s="1082"/>
      <c r="N12" s="343"/>
      <c r="O12" s="298"/>
      <c r="P12" s="298"/>
      <c r="Q12" s="298"/>
      <c r="R12" s="298"/>
      <c r="S12" s="298"/>
      <c r="T12" s="298"/>
      <c r="U12" s="367"/>
      <c r="V12" s="355"/>
      <c r="W12" s="325"/>
      <c r="X12" s="297"/>
      <c r="Y12" s="297"/>
      <c r="Z12" s="298"/>
      <c r="AA12" s="298"/>
      <c r="AB12" s="298"/>
      <c r="AC12" s="297"/>
      <c r="AD12" s="375"/>
      <c r="AE12" s="355"/>
      <c r="AF12" s="376">
        <f t="shared" si="0"/>
        <v>0</v>
      </c>
      <c r="AG12" s="377"/>
      <c r="AH12" s="390"/>
      <c r="AI12" s="391">
        <f t="shared" si="1"/>
        <v>0</v>
      </c>
      <c r="AJ12" s="392"/>
      <c r="AK12" s="393">
        <f t="shared" si="2"/>
        <v>0</v>
      </c>
      <c r="AL12" s="394"/>
      <c r="AM12" s="54"/>
      <c r="AN12" s="394"/>
    </row>
    <row r="13" spans="1:40" s="283" customFormat="1" ht="21" thickBot="1">
      <c r="A13" s="294" t="s">
        <v>110</v>
      </c>
      <c r="B13" s="299"/>
      <c r="C13" s="299"/>
      <c r="D13" s="1066"/>
      <c r="E13" s="457"/>
      <c r="F13" s="458"/>
      <c r="G13" s="458"/>
      <c r="H13" s="459"/>
      <c r="I13" s="459"/>
      <c r="J13" s="458"/>
      <c r="K13" s="1083"/>
      <c r="L13" s="761"/>
      <c r="M13" s="1082"/>
      <c r="N13" s="343"/>
      <c r="O13" s="298"/>
      <c r="P13" s="298"/>
      <c r="Q13" s="298"/>
      <c r="R13" s="298"/>
      <c r="S13" s="298"/>
      <c r="T13" s="298"/>
      <c r="U13" s="367"/>
      <c r="V13" s="355"/>
      <c r="W13" s="325"/>
      <c r="X13" s="297"/>
      <c r="Y13" s="297"/>
      <c r="Z13" s="298"/>
      <c r="AA13" s="298"/>
      <c r="AB13" s="298"/>
      <c r="AC13" s="297"/>
      <c r="AD13" s="375"/>
      <c r="AE13" s="355"/>
      <c r="AF13" s="376">
        <f t="shared" si="0"/>
        <v>0</v>
      </c>
      <c r="AG13" s="377"/>
      <c r="AH13" s="390"/>
      <c r="AI13" s="391">
        <f t="shared" si="1"/>
        <v>0</v>
      </c>
      <c r="AJ13" s="392"/>
      <c r="AK13" s="393">
        <f t="shared" si="2"/>
        <v>0</v>
      </c>
      <c r="AL13" s="394"/>
      <c r="AM13" s="54"/>
      <c r="AN13" s="394"/>
    </row>
    <row r="14" spans="1:40" s="283" customFormat="1" ht="21" thickBot="1">
      <c r="A14" s="294" t="s">
        <v>110</v>
      </c>
      <c r="B14" s="299"/>
      <c r="C14" s="299"/>
      <c r="D14" s="1066"/>
      <c r="E14" s="457"/>
      <c r="F14" s="458"/>
      <c r="G14" s="458"/>
      <c r="H14" s="459"/>
      <c r="I14" s="459"/>
      <c r="J14" s="458"/>
      <c r="K14" s="1083"/>
      <c r="L14" s="761"/>
      <c r="M14" s="1082"/>
      <c r="N14" s="343"/>
      <c r="O14" s="298"/>
      <c r="P14" s="298"/>
      <c r="Q14" s="298"/>
      <c r="R14" s="298"/>
      <c r="S14" s="298"/>
      <c r="T14" s="298"/>
      <c r="U14" s="367"/>
      <c r="V14" s="355"/>
      <c r="W14" s="325"/>
      <c r="X14" s="297"/>
      <c r="Y14" s="297"/>
      <c r="Z14" s="298"/>
      <c r="AA14" s="298"/>
      <c r="AB14" s="298"/>
      <c r="AC14" s="297"/>
      <c r="AD14" s="375"/>
      <c r="AE14" s="355"/>
      <c r="AF14" s="376">
        <f t="shared" si="0"/>
        <v>0</v>
      </c>
      <c r="AG14" s="377"/>
      <c r="AH14" s="390"/>
      <c r="AI14" s="391">
        <f t="shared" si="1"/>
        <v>0</v>
      </c>
      <c r="AJ14" s="392"/>
      <c r="AK14" s="393">
        <f t="shared" si="2"/>
        <v>0</v>
      </c>
      <c r="AL14" s="394"/>
      <c r="AM14" s="54"/>
      <c r="AN14" s="394"/>
    </row>
    <row r="15" spans="1:40" s="283" customFormat="1" ht="21" thickBot="1">
      <c r="A15" s="294" t="s">
        <v>110</v>
      </c>
      <c r="B15" s="299"/>
      <c r="C15" s="299"/>
      <c r="D15" s="1066"/>
      <c r="E15" s="457"/>
      <c r="F15" s="458"/>
      <c r="G15" s="458"/>
      <c r="H15" s="459"/>
      <c r="I15" s="459"/>
      <c r="J15" s="458"/>
      <c r="K15" s="1083"/>
      <c r="L15" s="761"/>
      <c r="M15" s="1082"/>
      <c r="N15" s="343"/>
      <c r="O15" s="298"/>
      <c r="P15" s="298"/>
      <c r="Q15" s="298"/>
      <c r="R15" s="298"/>
      <c r="S15" s="298"/>
      <c r="T15" s="298"/>
      <c r="U15" s="367"/>
      <c r="V15" s="355"/>
      <c r="W15" s="325"/>
      <c r="X15" s="297"/>
      <c r="Y15" s="297"/>
      <c r="Z15" s="298"/>
      <c r="AA15" s="298"/>
      <c r="AB15" s="298"/>
      <c r="AC15" s="297"/>
      <c r="AD15" s="375"/>
      <c r="AE15" s="355"/>
      <c r="AF15" s="376">
        <f t="shared" si="0"/>
        <v>0</v>
      </c>
      <c r="AG15" s="377"/>
      <c r="AH15" s="390"/>
      <c r="AI15" s="391">
        <f t="shared" si="1"/>
        <v>0</v>
      </c>
      <c r="AJ15" s="392"/>
      <c r="AK15" s="393">
        <f t="shared" si="2"/>
        <v>0</v>
      </c>
      <c r="AL15" s="394"/>
      <c r="AM15" s="54"/>
      <c r="AN15" s="394"/>
    </row>
    <row r="16" spans="1:40" s="283" customFormat="1" ht="21" thickBot="1">
      <c r="A16" s="294" t="s">
        <v>110</v>
      </c>
      <c r="B16" s="299"/>
      <c r="C16" s="299"/>
      <c r="D16" s="1070"/>
      <c r="E16" s="457"/>
      <c r="F16" s="458"/>
      <c r="G16" s="458"/>
      <c r="H16" s="459"/>
      <c r="I16" s="459"/>
      <c r="J16" s="458"/>
      <c r="K16" s="1084"/>
      <c r="L16" s="761"/>
      <c r="M16" s="1082"/>
      <c r="N16" s="343"/>
      <c r="O16" s="298"/>
      <c r="P16" s="298"/>
      <c r="Q16" s="298"/>
      <c r="R16" s="298"/>
      <c r="S16" s="298"/>
      <c r="T16" s="298"/>
      <c r="U16" s="367"/>
      <c r="V16" s="355"/>
      <c r="W16" s="325"/>
      <c r="X16" s="297"/>
      <c r="Y16" s="297"/>
      <c r="Z16" s="298"/>
      <c r="AA16" s="298"/>
      <c r="AB16" s="298"/>
      <c r="AC16" s="297"/>
      <c r="AD16" s="375"/>
      <c r="AE16" s="355"/>
      <c r="AF16" s="376">
        <f t="shared" si="0"/>
        <v>0</v>
      </c>
      <c r="AG16" s="377"/>
      <c r="AH16" s="390"/>
      <c r="AI16" s="391">
        <f t="shared" si="1"/>
        <v>0</v>
      </c>
      <c r="AJ16" s="392"/>
      <c r="AK16" s="393">
        <f t="shared" si="2"/>
        <v>0</v>
      </c>
      <c r="AL16" s="394"/>
      <c r="AM16" s="54"/>
      <c r="AN16" s="394"/>
    </row>
    <row r="17" spans="1:40" s="283" customFormat="1" ht="21" thickBot="1">
      <c r="A17" s="294" t="s">
        <v>110</v>
      </c>
      <c r="B17" s="299"/>
      <c r="C17" s="299"/>
      <c r="D17" s="1070"/>
      <c r="E17" s="457"/>
      <c r="F17" s="458"/>
      <c r="G17" s="458"/>
      <c r="H17" s="459"/>
      <c r="I17" s="459"/>
      <c r="J17" s="458"/>
      <c r="K17" s="1084"/>
      <c r="L17" s="761"/>
      <c r="M17" s="1082"/>
      <c r="N17" s="343"/>
      <c r="O17" s="298"/>
      <c r="P17" s="298"/>
      <c r="Q17" s="298"/>
      <c r="R17" s="298"/>
      <c r="S17" s="298"/>
      <c r="T17" s="298"/>
      <c r="U17" s="367"/>
      <c r="V17" s="355"/>
      <c r="W17" s="325"/>
      <c r="X17" s="297"/>
      <c r="Y17" s="297"/>
      <c r="Z17" s="298"/>
      <c r="AA17" s="298"/>
      <c r="AB17" s="298"/>
      <c r="AC17" s="297"/>
      <c r="AD17" s="375"/>
      <c r="AE17" s="355"/>
      <c r="AF17" s="376">
        <f t="shared" si="0"/>
        <v>0</v>
      </c>
      <c r="AG17" s="377"/>
      <c r="AH17" s="390"/>
      <c r="AI17" s="391">
        <f t="shared" si="1"/>
        <v>0</v>
      </c>
      <c r="AJ17" s="392"/>
      <c r="AK17" s="393">
        <f t="shared" si="2"/>
        <v>0</v>
      </c>
      <c r="AL17" s="394"/>
      <c r="AM17" s="54"/>
      <c r="AN17" s="394"/>
    </row>
    <row r="18" spans="1:40" s="283" customFormat="1" ht="21" thickBot="1">
      <c r="A18" s="294" t="s">
        <v>110</v>
      </c>
      <c r="B18" s="299"/>
      <c r="C18" s="299"/>
      <c r="D18" s="1070"/>
      <c r="E18" s="457"/>
      <c r="F18" s="458"/>
      <c r="G18" s="458"/>
      <c r="H18" s="459"/>
      <c r="I18" s="459"/>
      <c r="J18" s="458"/>
      <c r="K18" s="1085"/>
      <c r="L18" s="761"/>
      <c r="M18" s="1082"/>
      <c r="N18" s="343"/>
      <c r="O18" s="298"/>
      <c r="P18" s="298"/>
      <c r="Q18" s="298"/>
      <c r="R18" s="298"/>
      <c r="S18" s="298"/>
      <c r="T18" s="298"/>
      <c r="U18" s="367"/>
      <c r="V18" s="355"/>
      <c r="W18" s="325"/>
      <c r="X18" s="297"/>
      <c r="Y18" s="297"/>
      <c r="Z18" s="298"/>
      <c r="AA18" s="298"/>
      <c r="AB18" s="298"/>
      <c r="AC18" s="297"/>
      <c r="AD18" s="375"/>
      <c r="AE18" s="355"/>
      <c r="AF18" s="376">
        <f t="shared" si="0"/>
        <v>0</v>
      </c>
      <c r="AG18" s="377"/>
      <c r="AH18" s="390"/>
      <c r="AI18" s="391">
        <f t="shared" si="1"/>
        <v>0</v>
      </c>
      <c r="AJ18" s="392"/>
      <c r="AK18" s="393">
        <f t="shared" si="2"/>
        <v>0</v>
      </c>
      <c r="AL18" s="394"/>
      <c r="AM18" s="54"/>
      <c r="AN18" s="394"/>
    </row>
    <row r="19" spans="1:40" s="283" customFormat="1" ht="21" thickBot="1">
      <c r="A19" s="294" t="s">
        <v>110</v>
      </c>
      <c r="B19" s="299"/>
      <c r="C19" s="299"/>
      <c r="D19" s="1070"/>
      <c r="E19" s="457"/>
      <c r="F19" s="458"/>
      <c r="G19" s="458"/>
      <c r="H19" s="459"/>
      <c r="I19" s="459"/>
      <c r="J19" s="458"/>
      <c r="K19" s="1085"/>
      <c r="L19" s="761"/>
      <c r="M19" s="1082"/>
      <c r="N19" s="343"/>
      <c r="O19" s="298"/>
      <c r="P19" s="298"/>
      <c r="Q19" s="298"/>
      <c r="R19" s="298"/>
      <c r="S19" s="298"/>
      <c r="T19" s="298"/>
      <c r="U19" s="367"/>
      <c r="V19" s="355"/>
      <c r="W19" s="325"/>
      <c r="X19" s="297"/>
      <c r="Y19" s="297"/>
      <c r="Z19" s="298"/>
      <c r="AA19" s="298"/>
      <c r="AB19" s="298"/>
      <c r="AC19" s="297"/>
      <c r="AD19" s="375"/>
      <c r="AE19" s="355"/>
      <c r="AF19" s="376">
        <f t="shared" si="0"/>
        <v>0</v>
      </c>
      <c r="AG19" s="377"/>
      <c r="AH19" s="390"/>
      <c r="AI19" s="391">
        <f t="shared" si="1"/>
        <v>0</v>
      </c>
      <c r="AJ19" s="392"/>
      <c r="AK19" s="393">
        <f t="shared" si="2"/>
        <v>0</v>
      </c>
      <c r="AL19" s="394"/>
      <c r="AM19" s="54"/>
      <c r="AN19" s="394"/>
    </row>
    <row r="20" spans="1:40" s="283" customFormat="1" ht="21" thickBot="1">
      <c r="A20" s="294" t="s">
        <v>110</v>
      </c>
      <c r="B20" s="299"/>
      <c r="C20" s="299"/>
      <c r="D20" s="1070"/>
      <c r="E20" s="457"/>
      <c r="F20" s="458"/>
      <c r="G20" s="458"/>
      <c r="H20" s="459"/>
      <c r="I20" s="459"/>
      <c r="J20" s="458"/>
      <c r="K20" s="1085"/>
      <c r="L20" s="761"/>
      <c r="M20" s="1082"/>
      <c r="N20" s="343"/>
      <c r="O20" s="298"/>
      <c r="P20" s="298"/>
      <c r="Q20" s="298"/>
      <c r="R20" s="298"/>
      <c r="S20" s="298"/>
      <c r="T20" s="298"/>
      <c r="U20" s="367"/>
      <c r="V20" s="355"/>
      <c r="W20" s="325"/>
      <c r="X20" s="297"/>
      <c r="Y20" s="297"/>
      <c r="Z20" s="298"/>
      <c r="AA20" s="298"/>
      <c r="AB20" s="298"/>
      <c r="AC20" s="297"/>
      <c r="AD20" s="375"/>
      <c r="AE20" s="355"/>
      <c r="AF20" s="376">
        <f t="shared" si="0"/>
        <v>0</v>
      </c>
      <c r="AG20" s="377"/>
      <c r="AH20" s="390"/>
      <c r="AI20" s="391">
        <f t="shared" si="1"/>
        <v>0</v>
      </c>
      <c r="AJ20" s="392"/>
      <c r="AK20" s="393">
        <f t="shared" si="2"/>
        <v>0</v>
      </c>
      <c r="AL20" s="394"/>
      <c r="AM20" s="54"/>
      <c r="AN20" s="394"/>
    </row>
    <row r="21" spans="1:40" s="283" customFormat="1" ht="21" thickBot="1">
      <c r="A21" s="294" t="s">
        <v>110</v>
      </c>
      <c r="B21" s="299"/>
      <c r="C21" s="299"/>
      <c r="D21" s="1070"/>
      <c r="E21" s="457"/>
      <c r="F21" s="458"/>
      <c r="G21" s="458"/>
      <c r="H21" s="459"/>
      <c r="I21" s="459"/>
      <c r="J21" s="458"/>
      <c r="K21" s="1085"/>
      <c r="L21" s="761"/>
      <c r="M21" s="1082"/>
      <c r="N21" s="343"/>
      <c r="O21" s="298"/>
      <c r="P21" s="298"/>
      <c r="Q21" s="298"/>
      <c r="R21" s="298"/>
      <c r="S21" s="298"/>
      <c r="T21" s="298"/>
      <c r="U21" s="367"/>
      <c r="V21" s="355"/>
      <c r="W21" s="325"/>
      <c r="X21" s="297"/>
      <c r="Y21" s="297"/>
      <c r="Z21" s="298"/>
      <c r="AA21" s="298"/>
      <c r="AB21" s="298"/>
      <c r="AC21" s="297"/>
      <c r="AD21" s="375"/>
      <c r="AE21" s="355"/>
      <c r="AF21" s="376">
        <f t="shared" si="0"/>
        <v>0</v>
      </c>
      <c r="AG21" s="377"/>
      <c r="AH21" s="390"/>
      <c r="AI21" s="391">
        <f t="shared" si="1"/>
        <v>0</v>
      </c>
      <c r="AJ21" s="392"/>
      <c r="AK21" s="393">
        <f t="shared" si="2"/>
        <v>0</v>
      </c>
      <c r="AL21" s="394"/>
      <c r="AM21" s="54"/>
      <c r="AN21" s="394"/>
    </row>
    <row r="22" spans="1:40" s="283" customFormat="1" ht="21" thickBot="1">
      <c r="A22" s="294" t="s">
        <v>110</v>
      </c>
      <c r="B22" s="299"/>
      <c r="C22" s="299"/>
      <c r="D22" s="1070"/>
      <c r="E22" s="457"/>
      <c r="F22" s="458"/>
      <c r="G22" s="458"/>
      <c r="H22" s="459"/>
      <c r="I22" s="459"/>
      <c r="J22" s="458"/>
      <c r="K22" s="1085"/>
      <c r="L22" s="761"/>
      <c r="M22" s="1082"/>
      <c r="N22" s="343"/>
      <c r="O22" s="298"/>
      <c r="P22" s="298"/>
      <c r="Q22" s="298"/>
      <c r="R22" s="298"/>
      <c r="S22" s="298"/>
      <c r="T22" s="298"/>
      <c r="U22" s="367"/>
      <c r="V22" s="355"/>
      <c r="W22" s="325"/>
      <c r="X22" s="297"/>
      <c r="Y22" s="297"/>
      <c r="Z22" s="298"/>
      <c r="AA22" s="298"/>
      <c r="AB22" s="298"/>
      <c r="AC22" s="297"/>
      <c r="AD22" s="375"/>
      <c r="AE22" s="355"/>
      <c r="AF22" s="376">
        <f t="shared" si="0"/>
        <v>0</v>
      </c>
      <c r="AG22" s="377"/>
      <c r="AH22" s="390"/>
      <c r="AI22" s="391">
        <f t="shared" si="1"/>
        <v>0</v>
      </c>
      <c r="AJ22" s="392"/>
      <c r="AK22" s="393">
        <f t="shared" si="2"/>
        <v>0</v>
      </c>
      <c r="AL22" s="394"/>
      <c r="AM22" s="54"/>
      <c r="AN22" s="394"/>
    </row>
    <row r="23" spans="1:40" s="283" customFormat="1" ht="21" thickBot="1">
      <c r="A23" s="294" t="s">
        <v>110</v>
      </c>
      <c r="B23" s="299"/>
      <c r="C23" s="299"/>
      <c r="D23" s="1070"/>
      <c r="E23" s="457"/>
      <c r="F23" s="458"/>
      <c r="G23" s="458"/>
      <c r="H23" s="459"/>
      <c r="I23" s="459"/>
      <c r="J23" s="458"/>
      <c r="K23" s="1085"/>
      <c r="L23" s="761"/>
      <c r="M23" s="1082"/>
      <c r="N23" s="343"/>
      <c r="O23" s="298"/>
      <c r="P23" s="298"/>
      <c r="Q23" s="298"/>
      <c r="R23" s="298"/>
      <c r="S23" s="298"/>
      <c r="T23" s="298"/>
      <c r="U23" s="367"/>
      <c r="V23" s="355"/>
      <c r="W23" s="325"/>
      <c r="X23" s="297"/>
      <c r="Y23" s="297"/>
      <c r="Z23" s="298"/>
      <c r="AA23" s="298"/>
      <c r="AB23" s="298"/>
      <c r="AC23" s="297"/>
      <c r="AD23" s="375"/>
      <c r="AE23" s="355"/>
      <c r="AF23" s="376">
        <f t="shared" si="0"/>
        <v>0</v>
      </c>
      <c r="AG23" s="377"/>
      <c r="AH23" s="390"/>
      <c r="AI23" s="391">
        <f t="shared" si="1"/>
        <v>0</v>
      </c>
      <c r="AJ23" s="392"/>
      <c r="AK23" s="393">
        <f t="shared" si="2"/>
        <v>0</v>
      </c>
      <c r="AL23" s="394"/>
      <c r="AM23" s="54"/>
      <c r="AN23" s="394"/>
    </row>
    <row r="24" spans="1:40" s="283" customFormat="1" ht="21" thickBot="1">
      <c r="A24" s="294" t="s">
        <v>110</v>
      </c>
      <c r="B24" s="299"/>
      <c r="C24" s="299"/>
      <c r="D24" s="1070"/>
      <c r="E24" s="457"/>
      <c r="F24" s="458"/>
      <c r="G24" s="458"/>
      <c r="H24" s="459"/>
      <c r="I24" s="459"/>
      <c r="J24" s="458"/>
      <c r="K24" s="1085"/>
      <c r="L24" s="761"/>
      <c r="M24" s="1082"/>
      <c r="N24" s="343"/>
      <c r="O24" s="298"/>
      <c r="P24" s="298"/>
      <c r="Q24" s="298"/>
      <c r="R24" s="298"/>
      <c r="S24" s="298"/>
      <c r="T24" s="298"/>
      <c r="U24" s="367"/>
      <c r="V24" s="355"/>
      <c r="W24" s="325"/>
      <c r="X24" s="297"/>
      <c r="Y24" s="297"/>
      <c r="Z24" s="298"/>
      <c r="AA24" s="298"/>
      <c r="AB24" s="298"/>
      <c r="AC24" s="297"/>
      <c r="AD24" s="375"/>
      <c r="AE24" s="355"/>
      <c r="AF24" s="376">
        <f t="shared" si="0"/>
        <v>0</v>
      </c>
      <c r="AG24" s="377"/>
      <c r="AH24" s="390"/>
      <c r="AI24" s="391">
        <f t="shared" si="1"/>
        <v>0</v>
      </c>
      <c r="AJ24" s="392"/>
      <c r="AK24" s="393">
        <f t="shared" si="2"/>
        <v>0</v>
      </c>
      <c r="AL24" s="394"/>
      <c r="AM24" s="54"/>
      <c r="AN24" s="394"/>
    </row>
    <row r="25" spans="1:40" s="283" customFormat="1" ht="21" thickBot="1">
      <c r="A25" s="294" t="s">
        <v>110</v>
      </c>
      <c r="B25" s="299"/>
      <c r="C25" s="299"/>
      <c r="D25" s="1070"/>
      <c r="E25" s="457"/>
      <c r="F25" s="458"/>
      <c r="G25" s="458"/>
      <c r="H25" s="459"/>
      <c r="I25" s="459"/>
      <c r="J25" s="458"/>
      <c r="K25" s="1085"/>
      <c r="L25" s="761"/>
      <c r="M25" s="1082"/>
      <c r="N25" s="343"/>
      <c r="O25" s="298"/>
      <c r="P25" s="298"/>
      <c r="Q25" s="298"/>
      <c r="R25" s="298"/>
      <c r="S25" s="298"/>
      <c r="T25" s="298"/>
      <c r="U25" s="367"/>
      <c r="V25" s="355"/>
      <c r="W25" s="325"/>
      <c r="X25" s="297"/>
      <c r="Y25" s="297"/>
      <c r="Z25" s="298"/>
      <c r="AA25" s="298"/>
      <c r="AB25" s="298"/>
      <c r="AC25" s="297"/>
      <c r="AD25" s="375"/>
      <c r="AE25" s="355"/>
      <c r="AF25" s="376">
        <f t="shared" si="0"/>
        <v>0</v>
      </c>
      <c r="AG25" s="377"/>
      <c r="AH25" s="390"/>
      <c r="AI25" s="391">
        <f t="shared" si="1"/>
        <v>0</v>
      </c>
      <c r="AJ25" s="392"/>
      <c r="AK25" s="393">
        <f t="shared" si="2"/>
        <v>0</v>
      </c>
      <c r="AL25" s="394"/>
      <c r="AM25" s="54"/>
      <c r="AN25" s="394"/>
    </row>
    <row r="26" spans="1:40" s="283" customFormat="1" ht="21" thickBot="1">
      <c r="A26" s="294" t="s">
        <v>110</v>
      </c>
      <c r="B26" s="299"/>
      <c r="C26" s="299"/>
      <c r="D26" s="1070"/>
      <c r="E26" s="457"/>
      <c r="F26" s="458"/>
      <c r="G26" s="458"/>
      <c r="H26" s="459"/>
      <c r="I26" s="459"/>
      <c r="J26" s="458"/>
      <c r="K26" s="1085"/>
      <c r="L26" s="761"/>
      <c r="M26" s="1082"/>
      <c r="N26" s="343"/>
      <c r="O26" s="298"/>
      <c r="P26" s="298"/>
      <c r="Q26" s="298"/>
      <c r="R26" s="298"/>
      <c r="S26" s="298"/>
      <c r="T26" s="298"/>
      <c r="U26" s="367"/>
      <c r="V26" s="355"/>
      <c r="W26" s="325"/>
      <c r="X26" s="297"/>
      <c r="Y26" s="297"/>
      <c r="Z26" s="298"/>
      <c r="AA26" s="298"/>
      <c r="AB26" s="298"/>
      <c r="AC26" s="297"/>
      <c r="AD26" s="375"/>
      <c r="AE26" s="355"/>
      <c r="AF26" s="376">
        <f t="shared" si="0"/>
        <v>0</v>
      </c>
      <c r="AG26" s="377"/>
      <c r="AH26" s="390"/>
      <c r="AI26" s="391">
        <f t="shared" si="1"/>
        <v>0</v>
      </c>
      <c r="AJ26" s="392"/>
      <c r="AK26" s="393">
        <f t="shared" si="2"/>
        <v>0</v>
      </c>
      <c r="AL26" s="394"/>
      <c r="AM26" s="54"/>
      <c r="AN26" s="394"/>
    </row>
    <row r="27" spans="1:40" s="283" customFormat="1" ht="21" thickBot="1">
      <c r="A27" s="294" t="s">
        <v>110</v>
      </c>
      <c r="B27" s="299"/>
      <c r="C27" s="299"/>
      <c r="D27" s="1070"/>
      <c r="E27" s="457"/>
      <c r="F27" s="458"/>
      <c r="G27" s="458"/>
      <c r="H27" s="459"/>
      <c r="I27" s="459"/>
      <c r="J27" s="458"/>
      <c r="K27" s="1085"/>
      <c r="L27" s="761"/>
      <c r="M27" s="1082"/>
      <c r="N27" s="343"/>
      <c r="O27" s="298"/>
      <c r="P27" s="298"/>
      <c r="Q27" s="298"/>
      <c r="R27" s="298"/>
      <c r="S27" s="298"/>
      <c r="T27" s="298"/>
      <c r="U27" s="367"/>
      <c r="V27" s="355"/>
      <c r="W27" s="325"/>
      <c r="X27" s="297"/>
      <c r="Y27" s="297"/>
      <c r="Z27" s="298"/>
      <c r="AA27" s="298"/>
      <c r="AB27" s="298"/>
      <c r="AC27" s="297"/>
      <c r="AD27" s="375"/>
      <c r="AE27" s="355"/>
      <c r="AF27" s="376">
        <f t="shared" si="0"/>
        <v>0</v>
      </c>
      <c r="AG27" s="377"/>
      <c r="AH27" s="390"/>
      <c r="AI27" s="391">
        <f t="shared" si="1"/>
        <v>0</v>
      </c>
      <c r="AJ27" s="392"/>
      <c r="AK27" s="393">
        <f t="shared" si="2"/>
        <v>0</v>
      </c>
      <c r="AL27" s="394"/>
      <c r="AM27" s="54"/>
      <c r="AN27" s="394"/>
    </row>
    <row r="28" spans="1:40" s="283" customFormat="1" ht="21" thickBot="1">
      <c r="A28" s="294" t="s">
        <v>110</v>
      </c>
      <c r="B28" s="299"/>
      <c r="C28" s="299"/>
      <c r="D28" s="1070"/>
      <c r="E28" s="457"/>
      <c r="F28" s="458"/>
      <c r="G28" s="458"/>
      <c r="H28" s="459"/>
      <c r="I28" s="459"/>
      <c r="J28" s="458"/>
      <c r="K28" s="1085"/>
      <c r="L28" s="761"/>
      <c r="M28" s="1082"/>
      <c r="N28" s="343"/>
      <c r="O28" s="298"/>
      <c r="P28" s="298"/>
      <c r="Q28" s="298"/>
      <c r="R28" s="298"/>
      <c r="S28" s="298"/>
      <c r="T28" s="298"/>
      <c r="U28" s="367"/>
      <c r="V28" s="355"/>
      <c r="W28" s="325"/>
      <c r="X28" s="297"/>
      <c r="Y28" s="297"/>
      <c r="Z28" s="298"/>
      <c r="AA28" s="298"/>
      <c r="AB28" s="298"/>
      <c r="AC28" s="297"/>
      <c r="AD28" s="375"/>
      <c r="AE28" s="355"/>
      <c r="AF28" s="376">
        <f t="shared" si="0"/>
        <v>0</v>
      </c>
      <c r="AG28" s="377"/>
      <c r="AH28" s="390"/>
      <c r="AI28" s="391">
        <f t="shared" si="1"/>
        <v>0</v>
      </c>
      <c r="AJ28" s="392"/>
      <c r="AK28" s="393">
        <f t="shared" si="2"/>
        <v>0</v>
      </c>
      <c r="AL28" s="394"/>
      <c r="AM28" s="54"/>
      <c r="AN28" s="394"/>
    </row>
    <row r="29" spans="1:40" s="283" customFormat="1" ht="21" thickBot="1">
      <c r="A29" s="294" t="s">
        <v>110</v>
      </c>
      <c r="B29" s="299"/>
      <c r="C29" s="299"/>
      <c r="D29" s="1070"/>
      <c r="E29" s="457"/>
      <c r="F29" s="458"/>
      <c r="G29" s="458"/>
      <c r="H29" s="459"/>
      <c r="I29" s="459"/>
      <c r="J29" s="458"/>
      <c r="K29" s="1085"/>
      <c r="L29" s="761"/>
      <c r="M29" s="1082"/>
      <c r="N29" s="343"/>
      <c r="O29" s="298"/>
      <c r="P29" s="298"/>
      <c r="Q29" s="298"/>
      <c r="R29" s="298"/>
      <c r="S29" s="298"/>
      <c r="T29" s="298"/>
      <c r="U29" s="367"/>
      <c r="V29" s="355"/>
      <c r="W29" s="325"/>
      <c r="X29" s="297"/>
      <c r="Y29" s="297"/>
      <c r="Z29" s="298"/>
      <c r="AA29" s="298"/>
      <c r="AB29" s="298"/>
      <c r="AC29" s="297"/>
      <c r="AD29" s="375"/>
      <c r="AE29" s="355"/>
      <c r="AF29" s="376">
        <f t="shared" si="0"/>
        <v>0</v>
      </c>
      <c r="AG29" s="377"/>
      <c r="AH29" s="390"/>
      <c r="AI29" s="391">
        <f t="shared" si="1"/>
        <v>0</v>
      </c>
      <c r="AJ29" s="392"/>
      <c r="AK29" s="393">
        <f t="shared" si="2"/>
        <v>0</v>
      </c>
      <c r="AL29" s="394"/>
      <c r="AM29" s="54"/>
      <c r="AN29" s="394"/>
    </row>
    <row r="30" spans="1:40" s="283" customFormat="1" ht="21" thickBot="1">
      <c r="A30" s="294" t="s">
        <v>110</v>
      </c>
      <c r="B30" s="299"/>
      <c r="C30" s="299"/>
      <c r="D30" s="1070"/>
      <c r="E30" s="457"/>
      <c r="F30" s="458"/>
      <c r="G30" s="458"/>
      <c r="H30" s="459"/>
      <c r="I30" s="459"/>
      <c r="J30" s="458"/>
      <c r="K30" s="1085"/>
      <c r="L30" s="761"/>
      <c r="M30" s="1082"/>
      <c r="N30" s="343"/>
      <c r="O30" s="298"/>
      <c r="P30" s="298"/>
      <c r="Q30" s="298"/>
      <c r="R30" s="298"/>
      <c r="S30" s="298"/>
      <c r="T30" s="298"/>
      <c r="U30" s="367"/>
      <c r="V30" s="355"/>
      <c r="W30" s="325"/>
      <c r="X30" s="297"/>
      <c r="Y30" s="297"/>
      <c r="Z30" s="298"/>
      <c r="AA30" s="298"/>
      <c r="AB30" s="298"/>
      <c r="AC30" s="297"/>
      <c r="AD30" s="375"/>
      <c r="AE30" s="355"/>
      <c r="AF30" s="376">
        <f t="shared" si="0"/>
        <v>0</v>
      </c>
      <c r="AG30" s="377"/>
      <c r="AH30" s="390"/>
      <c r="AI30" s="391">
        <f t="shared" si="1"/>
        <v>0</v>
      </c>
      <c r="AJ30" s="392"/>
      <c r="AK30" s="393">
        <f t="shared" si="2"/>
        <v>0</v>
      </c>
      <c r="AL30" s="394"/>
      <c r="AM30" s="54"/>
      <c r="AN30" s="394"/>
    </row>
    <row r="31" spans="1:40" s="283" customFormat="1" ht="21" thickBot="1">
      <c r="A31" s="294" t="s">
        <v>110</v>
      </c>
      <c r="B31" s="299"/>
      <c r="C31" s="299"/>
      <c r="D31" s="462"/>
      <c r="E31" s="325"/>
      <c r="F31" s="297"/>
      <c r="G31" s="297"/>
      <c r="H31" s="298"/>
      <c r="I31" s="298"/>
      <c r="J31" s="297"/>
      <c r="K31" s="1086"/>
      <c r="L31" s="367"/>
      <c r="M31" s="1082"/>
      <c r="N31" s="343"/>
      <c r="O31" s="298"/>
      <c r="P31" s="298"/>
      <c r="Q31" s="298"/>
      <c r="R31" s="298"/>
      <c r="S31" s="298"/>
      <c r="T31" s="298"/>
      <c r="U31" s="367"/>
      <c r="V31" s="355"/>
      <c r="W31" s="325"/>
      <c r="X31" s="297"/>
      <c r="Y31" s="297"/>
      <c r="Z31" s="298"/>
      <c r="AA31" s="298"/>
      <c r="AB31" s="298"/>
      <c r="AC31" s="297"/>
      <c r="AD31" s="375"/>
      <c r="AE31" s="355"/>
      <c r="AF31" s="376">
        <f t="shared" si="0"/>
        <v>0</v>
      </c>
      <c r="AG31" s="377"/>
      <c r="AH31" s="390"/>
      <c r="AI31" s="391">
        <f t="shared" si="1"/>
        <v>0</v>
      </c>
      <c r="AJ31" s="392"/>
      <c r="AK31" s="395">
        <f t="shared" si="2"/>
        <v>0</v>
      </c>
      <c r="AL31" s="396" t="s">
        <v>8</v>
      </c>
      <c r="AM31" s="397" t="s">
        <v>23</v>
      </c>
      <c r="AN31" s="398" t="s">
        <v>174</v>
      </c>
    </row>
    <row r="32" spans="1:40" s="284" customFormat="1" ht="19.5" thickBot="1">
      <c r="A32" s="302" t="s">
        <v>175</v>
      </c>
      <c r="B32" s="303"/>
      <c r="C32" s="303"/>
      <c r="D32" s="1071"/>
      <c r="E32" s="305">
        <f>SUM(E5:E31)</f>
        <v>0</v>
      </c>
      <c r="F32" s="1072">
        <f t="shared" ref="F32:AK32" si="3">SUM(F5:F31)</f>
        <v>0</v>
      </c>
      <c r="G32" s="1072">
        <f t="shared" si="3"/>
        <v>0</v>
      </c>
      <c r="H32" s="1072">
        <f t="shared" si="3"/>
        <v>0</v>
      </c>
      <c r="I32" s="1072">
        <f t="shared" si="3"/>
        <v>0</v>
      </c>
      <c r="J32" s="1072">
        <f t="shared" si="3"/>
        <v>0</v>
      </c>
      <c r="K32" s="1072">
        <f t="shared" si="3"/>
        <v>0</v>
      </c>
      <c r="L32" s="1087">
        <f t="shared" si="3"/>
        <v>0</v>
      </c>
      <c r="M32" s="1088">
        <f t="shared" si="3"/>
        <v>0</v>
      </c>
      <c r="N32" s="305">
        <f t="shared" si="3"/>
        <v>0</v>
      </c>
      <c r="O32" s="305">
        <f t="shared" si="3"/>
        <v>0</v>
      </c>
      <c r="P32" s="305">
        <f t="shared" si="3"/>
        <v>0</v>
      </c>
      <c r="Q32" s="305">
        <f t="shared" si="3"/>
        <v>0</v>
      </c>
      <c r="R32" s="305">
        <f t="shared" si="3"/>
        <v>0</v>
      </c>
      <c r="S32" s="305">
        <f t="shared" si="3"/>
        <v>0</v>
      </c>
      <c r="T32" s="305">
        <f t="shared" si="3"/>
        <v>0</v>
      </c>
      <c r="U32" s="812">
        <f t="shared" si="3"/>
        <v>0</v>
      </c>
      <c r="V32" s="305">
        <f t="shared" si="3"/>
        <v>0</v>
      </c>
      <c r="W32" s="305">
        <f t="shared" si="3"/>
        <v>0</v>
      </c>
      <c r="X32" s="305">
        <f t="shared" si="3"/>
        <v>0</v>
      </c>
      <c r="Y32" s="305">
        <f t="shared" si="3"/>
        <v>0</v>
      </c>
      <c r="Z32" s="305">
        <f t="shared" si="3"/>
        <v>0</v>
      </c>
      <c r="AA32" s="305">
        <f t="shared" si="3"/>
        <v>0</v>
      </c>
      <c r="AB32" s="305">
        <f t="shared" si="3"/>
        <v>0</v>
      </c>
      <c r="AC32" s="305">
        <f t="shared" si="3"/>
        <v>0</v>
      </c>
      <c r="AD32" s="305">
        <f t="shared" si="3"/>
        <v>0</v>
      </c>
      <c r="AE32" s="305">
        <f t="shared" si="3"/>
        <v>0</v>
      </c>
      <c r="AF32" s="305">
        <f t="shared" si="3"/>
        <v>0</v>
      </c>
      <c r="AG32" s="305">
        <f t="shared" si="3"/>
        <v>0</v>
      </c>
      <c r="AH32" s="305">
        <f t="shared" si="3"/>
        <v>0</v>
      </c>
      <c r="AI32" s="305">
        <f t="shared" si="3"/>
        <v>0</v>
      </c>
      <c r="AJ32" s="305">
        <f t="shared" si="3"/>
        <v>0</v>
      </c>
      <c r="AK32" s="305">
        <f t="shared" si="3"/>
        <v>0</v>
      </c>
      <c r="AL32" s="399">
        <f>'BIG CHAIR'!CL36</f>
        <v>0</v>
      </c>
      <c r="AM32" s="400">
        <f>'Tea Table'!X29</f>
        <v>0</v>
      </c>
      <c r="AN32" s="401">
        <f>AI32+AL32+AM32</f>
        <v>0</v>
      </c>
    </row>
    <row r="33" spans="1:40" s="284" customFormat="1" ht="19.5" thickBot="1">
      <c r="A33" s="306"/>
      <c r="B33" s="307"/>
      <c r="C33" s="307"/>
      <c r="D33" s="308"/>
      <c r="E33" s="309"/>
      <c r="F33" s="309"/>
      <c r="G33" s="309"/>
      <c r="H33" s="309"/>
      <c r="I33" s="309"/>
      <c r="J33" s="309"/>
      <c r="K33" s="309"/>
      <c r="L33" s="309"/>
      <c r="M33" s="346"/>
      <c r="N33" s="347"/>
      <c r="O33" s="347"/>
      <c r="P33" s="347"/>
      <c r="Q33" s="347"/>
      <c r="R33" s="347"/>
      <c r="S33" s="347"/>
      <c r="T33" s="347"/>
      <c r="U33" s="347"/>
      <c r="V33" s="346"/>
      <c r="W33" s="347"/>
      <c r="X33" s="347"/>
      <c r="Y33" s="347"/>
      <c r="Z33" s="347"/>
      <c r="AA33" s="347"/>
      <c r="AB33" s="347"/>
      <c r="AC33" s="347"/>
      <c r="AD33" s="347"/>
      <c r="AE33" s="346"/>
      <c r="AF33" s="347"/>
      <c r="AG33" s="347"/>
      <c r="AH33" s="347"/>
      <c r="AI33" s="347"/>
      <c r="AJ33" s="347"/>
      <c r="AK33" s="402"/>
      <c r="AL33" s="403"/>
      <c r="AM33" s="403"/>
      <c r="AN33" s="403"/>
    </row>
    <row r="34" spans="1:40" s="282" customFormat="1" ht="24" thickBot="1">
      <c r="A34" s="286" t="s">
        <v>117</v>
      </c>
      <c r="B34" s="287" t="s">
        <v>68</v>
      </c>
      <c r="C34" s="287" t="s">
        <v>69</v>
      </c>
      <c r="D34" s="3376" t="s">
        <v>70</v>
      </c>
      <c r="E34" s="743" t="s">
        <v>96</v>
      </c>
      <c r="F34" s="744" t="s">
        <v>124</v>
      </c>
      <c r="G34" s="744" t="s">
        <v>228</v>
      </c>
      <c r="H34" s="744" t="s">
        <v>149</v>
      </c>
      <c r="I34" s="744" t="s">
        <v>470</v>
      </c>
      <c r="J34" s="744" t="s">
        <v>92</v>
      </c>
      <c r="K34" s="50" t="s">
        <v>479</v>
      </c>
      <c r="L34" s="783" t="s">
        <v>497</v>
      </c>
      <c r="M34" s="578"/>
      <c r="N34" s="80" t="s">
        <v>71</v>
      </c>
      <c r="O34" s="49" t="s">
        <v>53</v>
      </c>
      <c r="P34" s="49" t="s">
        <v>118</v>
      </c>
      <c r="Q34" s="49" t="s">
        <v>407</v>
      </c>
      <c r="R34" s="49" t="s">
        <v>457</v>
      </c>
      <c r="S34" s="49" t="s">
        <v>94</v>
      </c>
      <c r="T34" s="126" t="s">
        <v>77</v>
      </c>
      <c r="U34" s="717" t="s">
        <v>482</v>
      </c>
      <c r="V34" s="578"/>
      <c r="W34" s="764" t="e">
        <f>#REF!</f>
        <v>#REF!</v>
      </c>
      <c r="X34" s="765" t="s">
        <v>96</v>
      </c>
      <c r="Y34" s="765" t="e">
        <f>#REF!</f>
        <v>#REF!</v>
      </c>
      <c r="Z34" s="49" t="s">
        <v>496</v>
      </c>
      <c r="AA34" s="765" t="e">
        <f>#REF!</f>
        <v>#REF!</v>
      </c>
      <c r="AB34" s="765" t="e">
        <f>#REF!</f>
        <v>#REF!</v>
      </c>
      <c r="AC34" s="765" t="e">
        <f>#REF!</f>
        <v>#REF!</v>
      </c>
      <c r="AD34" s="772" t="e">
        <f>#REF!</f>
        <v>#REF!</v>
      </c>
      <c r="AE34" s="370"/>
      <c r="AF34" s="371" t="s">
        <v>172</v>
      </c>
      <c r="AG34" s="372" t="s">
        <v>80</v>
      </c>
      <c r="AH34" s="385"/>
      <c r="AI34" s="386" t="s">
        <v>106</v>
      </c>
      <c r="AJ34" s="385" t="s">
        <v>173</v>
      </c>
      <c r="AK34" s="371" t="s">
        <v>108</v>
      </c>
    </row>
    <row r="35" spans="1:40" s="234" customFormat="1" ht="20.25">
      <c r="A35" s="316" t="s">
        <v>120</v>
      </c>
      <c r="B35" s="299"/>
      <c r="C35" s="299"/>
      <c r="D35" s="1066"/>
      <c r="E35" s="1067"/>
      <c r="F35" s="1068"/>
      <c r="G35" s="1068"/>
      <c r="H35" s="1069"/>
      <c r="I35" s="1069"/>
      <c r="J35" s="1068"/>
      <c r="K35" s="1080"/>
      <c r="L35" s="351"/>
      <c r="M35" s="352"/>
      <c r="N35" s="353"/>
      <c r="O35" s="321"/>
      <c r="P35" s="321"/>
      <c r="Q35" s="321"/>
      <c r="R35" s="321"/>
      <c r="S35" s="321"/>
      <c r="T35" s="321"/>
      <c r="U35" s="351"/>
      <c r="V35" s="352"/>
      <c r="W35" s="319"/>
      <c r="X35" s="320"/>
      <c r="Y35" s="320"/>
      <c r="Z35" s="321"/>
      <c r="AA35" s="321"/>
      <c r="AB35" s="321"/>
      <c r="AC35" s="320"/>
      <c r="AD35" s="380"/>
      <c r="AE35" s="352"/>
      <c r="AF35" s="376">
        <f>SUM(E35:AD35)</f>
        <v>0</v>
      </c>
      <c r="AG35" s="381"/>
      <c r="AH35" s="408"/>
      <c r="AI35" s="409">
        <f>AF35+AG35</f>
        <v>0</v>
      </c>
      <c r="AJ35" s="410"/>
      <c r="AK35" s="411">
        <f>AI35+AJ35</f>
        <v>0</v>
      </c>
    </row>
    <row r="36" spans="1:40" s="234" customFormat="1" ht="20.25">
      <c r="A36" s="316" t="s">
        <v>120</v>
      </c>
      <c r="B36" s="317"/>
      <c r="C36" s="317"/>
      <c r="D36" s="1074"/>
      <c r="E36" s="319"/>
      <c r="F36" s="320"/>
      <c r="G36" s="320"/>
      <c r="H36" s="321"/>
      <c r="I36" s="321"/>
      <c r="J36" s="320"/>
      <c r="K36" s="321"/>
      <c r="L36" s="351"/>
      <c r="M36" s="352"/>
      <c r="N36" s="353"/>
      <c r="O36" s="320"/>
      <c r="P36" s="320"/>
      <c r="Q36" s="321"/>
      <c r="R36" s="321"/>
      <c r="S36" s="321"/>
      <c r="T36" s="320"/>
      <c r="U36" s="351"/>
      <c r="V36" s="352"/>
      <c r="W36" s="353"/>
      <c r="X36" s="321"/>
      <c r="Y36" s="321"/>
      <c r="Z36" s="321"/>
      <c r="AA36" s="321"/>
      <c r="AB36" s="321"/>
      <c r="AC36" s="321"/>
      <c r="AD36" s="380"/>
      <c r="AE36" s="352"/>
      <c r="AF36" s="376">
        <f t="shared" ref="AF36:AF67" si="4">SUM(E36:AD36)</f>
        <v>0</v>
      </c>
      <c r="AG36" s="381"/>
      <c r="AH36" s="408"/>
      <c r="AI36" s="409">
        <f>AF36+AG36</f>
        <v>0</v>
      </c>
      <c r="AJ36" s="410"/>
      <c r="AK36" s="411">
        <f>AI36+AJ36</f>
        <v>0</v>
      </c>
    </row>
    <row r="37" spans="1:40" s="234" customFormat="1" ht="20.25">
      <c r="A37" s="316" t="s">
        <v>120</v>
      </c>
      <c r="B37" s="295"/>
      <c r="C37" s="295"/>
      <c r="D37" s="1074"/>
      <c r="E37" s="319"/>
      <c r="F37" s="320"/>
      <c r="G37" s="320"/>
      <c r="H37" s="321"/>
      <c r="I37" s="321"/>
      <c r="J37" s="320"/>
      <c r="K37" s="1090"/>
      <c r="L37" s="351"/>
      <c r="M37" s="352"/>
      <c r="N37" s="353"/>
      <c r="O37" s="321"/>
      <c r="P37" s="321"/>
      <c r="Q37" s="321"/>
      <c r="R37" s="321"/>
      <c r="S37" s="321"/>
      <c r="T37" s="321"/>
      <c r="U37" s="351"/>
      <c r="V37" s="352"/>
      <c r="W37" s="319"/>
      <c r="X37" s="320"/>
      <c r="Y37" s="320"/>
      <c r="Z37" s="321"/>
      <c r="AA37" s="321"/>
      <c r="AB37" s="321"/>
      <c r="AC37" s="320"/>
      <c r="AD37" s="380"/>
      <c r="AE37" s="352"/>
      <c r="AF37" s="376">
        <f t="shared" si="4"/>
        <v>0</v>
      </c>
      <c r="AG37" s="381"/>
      <c r="AH37" s="408"/>
      <c r="AI37" s="409">
        <f>AF37+AG37</f>
        <v>0</v>
      </c>
      <c r="AJ37" s="410"/>
      <c r="AK37" s="411">
        <f>AI37+AJ37</f>
        <v>0</v>
      </c>
    </row>
    <row r="38" spans="1:40" s="234" customFormat="1" ht="20.25">
      <c r="A38" s="316" t="s">
        <v>120</v>
      </c>
      <c r="B38" s="317"/>
      <c r="C38" s="295"/>
      <c r="D38" s="1074"/>
      <c r="E38" s="319"/>
      <c r="F38" s="320"/>
      <c r="G38" s="320"/>
      <c r="H38" s="321"/>
      <c r="I38" s="321"/>
      <c r="J38" s="320"/>
      <c r="K38" s="1091"/>
      <c r="L38" s="351"/>
      <c r="M38" s="352"/>
      <c r="N38" s="353"/>
      <c r="O38" s="321"/>
      <c r="P38" s="321"/>
      <c r="Q38" s="321"/>
      <c r="R38" s="321"/>
      <c r="S38" s="321"/>
      <c r="T38" s="321"/>
      <c r="U38" s="351"/>
      <c r="V38" s="352"/>
      <c r="W38" s="319"/>
      <c r="X38" s="320"/>
      <c r="Y38" s="320"/>
      <c r="Z38" s="321"/>
      <c r="AA38" s="321"/>
      <c r="AB38" s="321"/>
      <c r="AC38" s="320"/>
      <c r="AD38" s="380"/>
      <c r="AE38" s="352"/>
      <c r="AF38" s="376">
        <f t="shared" si="4"/>
        <v>0</v>
      </c>
      <c r="AG38" s="381"/>
      <c r="AH38" s="408"/>
      <c r="AI38" s="409">
        <f>AF38+AG38</f>
        <v>0</v>
      </c>
      <c r="AJ38" s="410"/>
      <c r="AK38" s="411">
        <f>AI38+AJ38</f>
        <v>0</v>
      </c>
    </row>
    <row r="39" spans="1:40" s="234" customFormat="1" ht="20.25">
      <c r="A39" s="316" t="s">
        <v>120</v>
      </c>
      <c r="B39" s="295"/>
      <c r="C39" s="295"/>
      <c r="D39" s="1074"/>
      <c r="E39" s="319"/>
      <c r="F39" s="320"/>
      <c r="G39" s="320"/>
      <c r="H39" s="321"/>
      <c r="I39" s="321"/>
      <c r="J39" s="320"/>
      <c r="K39" s="1090"/>
      <c r="L39" s="351"/>
      <c r="M39" s="352"/>
      <c r="N39" s="353"/>
      <c r="O39" s="321"/>
      <c r="P39" s="321"/>
      <c r="Q39" s="321"/>
      <c r="R39" s="321"/>
      <c r="S39" s="321"/>
      <c r="T39" s="321"/>
      <c r="U39" s="351"/>
      <c r="V39" s="352"/>
      <c r="W39" s="319"/>
      <c r="X39" s="320"/>
      <c r="Y39" s="320"/>
      <c r="Z39" s="321"/>
      <c r="AA39" s="321"/>
      <c r="AB39" s="321"/>
      <c r="AC39" s="320"/>
      <c r="AD39" s="380"/>
      <c r="AE39" s="352"/>
      <c r="AF39" s="376">
        <f t="shared" si="4"/>
        <v>0</v>
      </c>
      <c r="AG39" s="381"/>
      <c r="AH39" s="408"/>
      <c r="AI39" s="409">
        <f>AF39+AG39</f>
        <v>0</v>
      </c>
      <c r="AJ39" s="410"/>
      <c r="AK39" s="411">
        <f>AI39+AJ39</f>
        <v>0</v>
      </c>
    </row>
    <row r="40" spans="1:40" s="234" customFormat="1" ht="20.25">
      <c r="A40" s="316" t="s">
        <v>120</v>
      </c>
      <c r="B40" s="295"/>
      <c r="C40" s="295"/>
      <c r="D40" s="1074"/>
      <c r="E40" s="319"/>
      <c r="F40" s="320"/>
      <c r="G40" s="320"/>
      <c r="H40" s="321"/>
      <c r="I40" s="321"/>
      <c r="J40" s="320"/>
      <c r="K40" s="1090"/>
      <c r="L40" s="351"/>
      <c r="M40" s="352"/>
      <c r="N40" s="353"/>
      <c r="O40" s="321"/>
      <c r="P40" s="321"/>
      <c r="Q40" s="321"/>
      <c r="R40" s="321"/>
      <c r="S40" s="321"/>
      <c r="T40" s="321"/>
      <c r="U40" s="351"/>
      <c r="V40" s="352"/>
      <c r="W40" s="319"/>
      <c r="X40" s="320"/>
      <c r="Y40" s="320"/>
      <c r="Z40" s="321"/>
      <c r="AA40" s="321"/>
      <c r="AB40" s="321"/>
      <c r="AC40" s="320"/>
      <c r="AD40" s="380"/>
      <c r="AE40" s="352"/>
      <c r="AF40" s="376">
        <f t="shared" si="4"/>
        <v>0</v>
      </c>
      <c r="AG40" s="381"/>
      <c r="AH40" s="408"/>
      <c r="AI40" s="409">
        <f t="shared" ref="AI40:AI67" si="5">AF40+AG40</f>
        <v>0</v>
      </c>
      <c r="AJ40" s="410"/>
      <c r="AK40" s="411">
        <f t="shared" ref="AK40:AK67" si="6">AI40+AJ40</f>
        <v>0</v>
      </c>
    </row>
    <row r="41" spans="1:40" s="234" customFormat="1" ht="20.25">
      <c r="A41" s="316" t="s">
        <v>120</v>
      </c>
      <c r="B41" s="295"/>
      <c r="C41" s="295"/>
      <c r="D41" s="1074"/>
      <c r="E41" s="319"/>
      <c r="F41" s="320"/>
      <c r="G41" s="320"/>
      <c r="H41" s="321"/>
      <c r="I41" s="321"/>
      <c r="J41" s="320"/>
      <c r="K41" s="1090"/>
      <c r="L41" s="351"/>
      <c r="M41" s="352"/>
      <c r="N41" s="353"/>
      <c r="O41" s="321"/>
      <c r="P41" s="321"/>
      <c r="Q41" s="321"/>
      <c r="R41" s="321"/>
      <c r="S41" s="321"/>
      <c r="T41" s="321"/>
      <c r="U41" s="351"/>
      <c r="V41" s="352"/>
      <c r="W41" s="319"/>
      <c r="X41" s="320"/>
      <c r="Y41" s="320"/>
      <c r="Z41" s="321"/>
      <c r="AA41" s="321"/>
      <c r="AB41" s="321"/>
      <c r="AC41" s="320"/>
      <c r="AD41" s="380"/>
      <c r="AE41" s="352"/>
      <c r="AF41" s="376">
        <f t="shared" si="4"/>
        <v>0</v>
      </c>
      <c r="AG41" s="381"/>
      <c r="AH41" s="408"/>
      <c r="AI41" s="409">
        <f t="shared" si="5"/>
        <v>0</v>
      </c>
      <c r="AJ41" s="410"/>
      <c r="AK41" s="411">
        <f t="shared" si="6"/>
        <v>0</v>
      </c>
    </row>
    <row r="42" spans="1:40" s="234" customFormat="1" ht="20.25">
      <c r="A42" s="316" t="s">
        <v>120</v>
      </c>
      <c r="B42" s="295"/>
      <c r="C42" s="295"/>
      <c r="D42" s="1074"/>
      <c r="E42" s="319"/>
      <c r="F42" s="320"/>
      <c r="G42" s="320"/>
      <c r="H42" s="321"/>
      <c r="I42" s="321"/>
      <c r="J42" s="320"/>
      <c r="K42" s="1090"/>
      <c r="L42" s="351"/>
      <c r="M42" s="352"/>
      <c r="N42" s="353"/>
      <c r="O42" s="321"/>
      <c r="P42" s="321"/>
      <c r="Q42" s="321"/>
      <c r="R42" s="321"/>
      <c r="S42" s="321"/>
      <c r="T42" s="321"/>
      <c r="U42" s="351"/>
      <c r="V42" s="352"/>
      <c r="W42" s="319"/>
      <c r="X42" s="320"/>
      <c r="Y42" s="320"/>
      <c r="Z42" s="321"/>
      <c r="AA42" s="321"/>
      <c r="AB42" s="321"/>
      <c r="AC42" s="320"/>
      <c r="AD42" s="380"/>
      <c r="AE42" s="352"/>
      <c r="AF42" s="376">
        <f t="shared" si="4"/>
        <v>0</v>
      </c>
      <c r="AG42" s="381"/>
      <c r="AH42" s="408"/>
      <c r="AI42" s="409">
        <f t="shared" si="5"/>
        <v>0</v>
      </c>
      <c r="AJ42" s="410"/>
      <c r="AK42" s="411">
        <f t="shared" si="6"/>
        <v>0</v>
      </c>
    </row>
    <row r="43" spans="1:40" s="234" customFormat="1" ht="20.25">
      <c r="A43" s="316" t="s">
        <v>120</v>
      </c>
      <c r="B43" s="295"/>
      <c r="C43" s="295"/>
      <c r="D43" s="1075"/>
      <c r="E43" s="319"/>
      <c r="F43" s="320"/>
      <c r="G43" s="320"/>
      <c r="H43" s="321"/>
      <c r="I43" s="321"/>
      <c r="J43" s="320"/>
      <c r="K43" s="1090"/>
      <c r="L43" s="351"/>
      <c r="M43" s="352"/>
      <c r="N43" s="353"/>
      <c r="O43" s="321"/>
      <c r="P43" s="321"/>
      <c r="Q43" s="321"/>
      <c r="R43" s="321"/>
      <c r="S43" s="321"/>
      <c r="T43" s="321"/>
      <c r="U43" s="351"/>
      <c r="V43" s="352"/>
      <c r="W43" s="319"/>
      <c r="X43" s="320"/>
      <c r="Y43" s="320"/>
      <c r="Z43" s="321"/>
      <c r="AA43" s="321"/>
      <c r="AB43" s="321"/>
      <c r="AC43" s="320"/>
      <c r="AD43" s="380"/>
      <c r="AE43" s="352"/>
      <c r="AF43" s="376">
        <f t="shared" si="4"/>
        <v>0</v>
      </c>
      <c r="AG43" s="381"/>
      <c r="AH43" s="408"/>
      <c r="AI43" s="409">
        <f t="shared" si="5"/>
        <v>0</v>
      </c>
      <c r="AJ43" s="410"/>
      <c r="AK43" s="411">
        <f t="shared" si="6"/>
        <v>0</v>
      </c>
    </row>
    <row r="44" spans="1:40" s="234" customFormat="1" ht="20.25">
      <c r="A44" s="316" t="s">
        <v>120</v>
      </c>
      <c r="B44" s="295"/>
      <c r="C44" s="295"/>
      <c r="D44" s="1075"/>
      <c r="E44" s="319"/>
      <c r="F44" s="320"/>
      <c r="G44" s="320"/>
      <c r="H44" s="321"/>
      <c r="I44" s="321"/>
      <c r="J44" s="320"/>
      <c r="K44" s="1090"/>
      <c r="L44" s="351"/>
      <c r="M44" s="352"/>
      <c r="N44" s="353"/>
      <c r="O44" s="321"/>
      <c r="P44" s="321"/>
      <c r="Q44" s="321"/>
      <c r="R44" s="321"/>
      <c r="S44" s="321"/>
      <c r="T44" s="321"/>
      <c r="U44" s="351"/>
      <c r="V44" s="352"/>
      <c r="W44" s="319"/>
      <c r="X44" s="320"/>
      <c r="Y44" s="320"/>
      <c r="Z44" s="321"/>
      <c r="AA44" s="321"/>
      <c r="AB44" s="321"/>
      <c r="AC44" s="320"/>
      <c r="AD44" s="380"/>
      <c r="AE44" s="352"/>
      <c r="AF44" s="376">
        <f t="shared" si="4"/>
        <v>0</v>
      </c>
      <c r="AG44" s="381"/>
      <c r="AH44" s="408"/>
      <c r="AI44" s="409">
        <f t="shared" si="5"/>
        <v>0</v>
      </c>
      <c r="AJ44" s="410"/>
      <c r="AK44" s="411">
        <f t="shared" si="6"/>
        <v>0</v>
      </c>
    </row>
    <row r="45" spans="1:40" s="234" customFormat="1" ht="20.25">
      <c r="A45" s="316" t="s">
        <v>120</v>
      </c>
      <c r="B45" s="295"/>
      <c r="C45" s="295"/>
      <c r="D45" s="1075"/>
      <c r="E45" s="319"/>
      <c r="F45" s="320"/>
      <c r="G45" s="320"/>
      <c r="H45" s="321"/>
      <c r="I45" s="321"/>
      <c r="J45" s="320"/>
      <c r="K45" s="1090"/>
      <c r="L45" s="351"/>
      <c r="M45" s="352"/>
      <c r="N45" s="353"/>
      <c r="O45" s="321"/>
      <c r="P45" s="321"/>
      <c r="Q45" s="321"/>
      <c r="R45" s="321"/>
      <c r="S45" s="321"/>
      <c r="T45" s="321"/>
      <c r="U45" s="351"/>
      <c r="V45" s="352"/>
      <c r="W45" s="319"/>
      <c r="X45" s="320"/>
      <c r="Y45" s="320"/>
      <c r="Z45" s="321"/>
      <c r="AA45" s="321"/>
      <c r="AB45" s="321"/>
      <c r="AC45" s="320"/>
      <c r="AD45" s="380"/>
      <c r="AE45" s="352"/>
      <c r="AF45" s="376">
        <f t="shared" si="4"/>
        <v>0</v>
      </c>
      <c r="AG45" s="381"/>
      <c r="AH45" s="408"/>
      <c r="AI45" s="409">
        <f t="shared" si="5"/>
        <v>0</v>
      </c>
      <c r="AJ45" s="410"/>
      <c r="AK45" s="411">
        <f t="shared" si="6"/>
        <v>0</v>
      </c>
    </row>
    <row r="46" spans="1:40" s="234" customFormat="1" ht="20.25">
      <c r="A46" s="316" t="s">
        <v>120</v>
      </c>
      <c r="B46" s="295"/>
      <c r="C46" s="295"/>
      <c r="D46" s="1075"/>
      <c r="E46" s="319"/>
      <c r="F46" s="320"/>
      <c r="G46" s="320"/>
      <c r="H46" s="321"/>
      <c r="I46" s="321"/>
      <c r="J46" s="320"/>
      <c r="K46" s="1090"/>
      <c r="L46" s="351"/>
      <c r="M46" s="352"/>
      <c r="N46" s="353"/>
      <c r="O46" s="321"/>
      <c r="P46" s="321"/>
      <c r="Q46" s="321"/>
      <c r="R46" s="321"/>
      <c r="S46" s="321"/>
      <c r="T46" s="321"/>
      <c r="U46" s="351"/>
      <c r="V46" s="352"/>
      <c r="W46" s="319"/>
      <c r="X46" s="320"/>
      <c r="Y46" s="320"/>
      <c r="Z46" s="321"/>
      <c r="AA46" s="321"/>
      <c r="AB46" s="321"/>
      <c r="AC46" s="320"/>
      <c r="AD46" s="380"/>
      <c r="AE46" s="352"/>
      <c r="AF46" s="376">
        <f t="shared" si="4"/>
        <v>0</v>
      </c>
      <c r="AG46" s="381"/>
      <c r="AH46" s="408"/>
      <c r="AI46" s="409">
        <f t="shared" si="5"/>
        <v>0</v>
      </c>
      <c r="AJ46" s="410"/>
      <c r="AK46" s="411">
        <f t="shared" si="6"/>
        <v>0</v>
      </c>
    </row>
    <row r="47" spans="1:40" s="234" customFormat="1" ht="20.25">
      <c r="A47" s="316" t="s">
        <v>120</v>
      </c>
      <c r="B47" s="295"/>
      <c r="C47" s="295"/>
      <c r="D47" s="1075"/>
      <c r="E47" s="319"/>
      <c r="F47" s="320"/>
      <c r="G47" s="320"/>
      <c r="H47" s="321"/>
      <c r="I47" s="321"/>
      <c r="J47" s="320"/>
      <c r="K47" s="1090"/>
      <c r="L47" s="351"/>
      <c r="M47" s="352"/>
      <c r="N47" s="353"/>
      <c r="O47" s="321"/>
      <c r="P47" s="321"/>
      <c r="Q47" s="321"/>
      <c r="R47" s="321"/>
      <c r="S47" s="321"/>
      <c r="T47" s="321"/>
      <c r="U47" s="351"/>
      <c r="V47" s="352"/>
      <c r="W47" s="319"/>
      <c r="X47" s="320"/>
      <c r="Y47" s="320"/>
      <c r="Z47" s="321"/>
      <c r="AA47" s="321"/>
      <c r="AB47" s="321"/>
      <c r="AC47" s="320"/>
      <c r="AD47" s="380"/>
      <c r="AE47" s="352"/>
      <c r="AF47" s="376">
        <f t="shared" si="4"/>
        <v>0</v>
      </c>
      <c r="AG47" s="381"/>
      <c r="AH47" s="408"/>
      <c r="AI47" s="409">
        <f t="shared" si="5"/>
        <v>0</v>
      </c>
      <c r="AJ47" s="410"/>
      <c r="AK47" s="411">
        <f t="shared" si="6"/>
        <v>0</v>
      </c>
    </row>
    <row r="48" spans="1:40" s="234" customFormat="1" ht="20.25">
      <c r="A48" s="316" t="s">
        <v>120</v>
      </c>
      <c r="B48" s="295"/>
      <c r="C48" s="295"/>
      <c r="D48" s="1075"/>
      <c r="E48" s="319"/>
      <c r="F48" s="320"/>
      <c r="G48" s="320"/>
      <c r="H48" s="321"/>
      <c r="I48" s="321"/>
      <c r="J48" s="320"/>
      <c r="K48" s="1090"/>
      <c r="L48" s="351"/>
      <c r="M48" s="352"/>
      <c r="N48" s="353"/>
      <c r="O48" s="321"/>
      <c r="P48" s="321"/>
      <c r="Q48" s="321"/>
      <c r="R48" s="321"/>
      <c r="S48" s="321"/>
      <c r="T48" s="321"/>
      <c r="U48" s="351"/>
      <c r="V48" s="352"/>
      <c r="W48" s="319"/>
      <c r="X48" s="320"/>
      <c r="Y48" s="320"/>
      <c r="Z48" s="321"/>
      <c r="AA48" s="321"/>
      <c r="AB48" s="321"/>
      <c r="AC48" s="320"/>
      <c r="AD48" s="380"/>
      <c r="AE48" s="352"/>
      <c r="AF48" s="376">
        <f t="shared" si="4"/>
        <v>0</v>
      </c>
      <c r="AG48" s="381"/>
      <c r="AH48" s="408"/>
      <c r="AI48" s="409">
        <f t="shared" si="5"/>
        <v>0</v>
      </c>
      <c r="AJ48" s="410"/>
      <c r="AK48" s="411">
        <f t="shared" si="6"/>
        <v>0</v>
      </c>
    </row>
    <row r="49" spans="1:37" s="234" customFormat="1" ht="20.25">
      <c r="A49" s="316" t="s">
        <v>120</v>
      </c>
      <c r="B49" s="295"/>
      <c r="C49" s="295"/>
      <c r="D49" s="1075"/>
      <c r="E49" s="319"/>
      <c r="F49" s="320"/>
      <c r="G49" s="320"/>
      <c r="H49" s="321"/>
      <c r="I49" s="321"/>
      <c r="J49" s="320"/>
      <c r="K49" s="1090"/>
      <c r="L49" s="351"/>
      <c r="M49" s="352"/>
      <c r="N49" s="353"/>
      <c r="O49" s="321"/>
      <c r="P49" s="321"/>
      <c r="Q49" s="321"/>
      <c r="R49" s="321"/>
      <c r="S49" s="321"/>
      <c r="T49" s="321"/>
      <c r="U49" s="351"/>
      <c r="V49" s="352"/>
      <c r="W49" s="319"/>
      <c r="X49" s="320"/>
      <c r="Y49" s="320"/>
      <c r="Z49" s="321"/>
      <c r="AA49" s="321"/>
      <c r="AB49" s="321"/>
      <c r="AC49" s="320"/>
      <c r="AD49" s="380"/>
      <c r="AE49" s="352"/>
      <c r="AF49" s="376">
        <f t="shared" si="4"/>
        <v>0</v>
      </c>
      <c r="AG49" s="381"/>
      <c r="AH49" s="408"/>
      <c r="AI49" s="409">
        <f t="shared" si="5"/>
        <v>0</v>
      </c>
      <c r="AJ49" s="410"/>
      <c r="AK49" s="411">
        <f t="shared" si="6"/>
        <v>0</v>
      </c>
    </row>
    <row r="50" spans="1:37" s="234" customFormat="1" ht="20.25">
      <c r="A50" s="316" t="s">
        <v>120</v>
      </c>
      <c r="B50" s="295"/>
      <c r="C50" s="295"/>
      <c r="D50" s="1075"/>
      <c r="E50" s="319"/>
      <c r="F50" s="320"/>
      <c r="G50" s="320"/>
      <c r="H50" s="321"/>
      <c r="I50" s="321"/>
      <c r="J50" s="320"/>
      <c r="K50" s="1090"/>
      <c r="L50" s="351"/>
      <c r="M50" s="352"/>
      <c r="N50" s="353"/>
      <c r="O50" s="321"/>
      <c r="P50" s="321"/>
      <c r="Q50" s="321"/>
      <c r="R50" s="321"/>
      <c r="S50" s="321"/>
      <c r="T50" s="321"/>
      <c r="U50" s="351"/>
      <c r="V50" s="352"/>
      <c r="W50" s="319"/>
      <c r="X50" s="320"/>
      <c r="Y50" s="320"/>
      <c r="Z50" s="321"/>
      <c r="AA50" s="321"/>
      <c r="AB50" s="321"/>
      <c r="AC50" s="320"/>
      <c r="AD50" s="380"/>
      <c r="AE50" s="352"/>
      <c r="AF50" s="376">
        <f t="shared" si="4"/>
        <v>0</v>
      </c>
      <c r="AG50" s="381"/>
      <c r="AH50" s="408"/>
      <c r="AI50" s="409">
        <f t="shared" si="5"/>
        <v>0</v>
      </c>
      <c r="AJ50" s="410"/>
      <c r="AK50" s="411">
        <f t="shared" si="6"/>
        <v>0</v>
      </c>
    </row>
    <row r="51" spans="1:37" s="234" customFormat="1" ht="20.25">
      <c r="A51" s="316" t="s">
        <v>120</v>
      </c>
      <c r="B51" s="295"/>
      <c r="C51" s="295"/>
      <c r="D51" s="1075"/>
      <c r="E51" s="319"/>
      <c r="F51" s="320"/>
      <c r="G51" s="320"/>
      <c r="H51" s="321"/>
      <c r="I51" s="321"/>
      <c r="J51" s="320"/>
      <c r="K51" s="1090"/>
      <c r="L51" s="351"/>
      <c r="M51" s="352"/>
      <c r="N51" s="353"/>
      <c r="O51" s="321"/>
      <c r="P51" s="321"/>
      <c r="Q51" s="321"/>
      <c r="R51" s="321"/>
      <c r="S51" s="321"/>
      <c r="T51" s="321"/>
      <c r="U51" s="351"/>
      <c r="V51" s="352"/>
      <c r="W51" s="319"/>
      <c r="X51" s="320"/>
      <c r="Y51" s="320"/>
      <c r="Z51" s="321"/>
      <c r="AA51" s="321"/>
      <c r="AB51" s="321"/>
      <c r="AC51" s="320"/>
      <c r="AD51" s="380"/>
      <c r="AE51" s="352"/>
      <c r="AF51" s="376">
        <f t="shared" si="4"/>
        <v>0</v>
      </c>
      <c r="AG51" s="381"/>
      <c r="AH51" s="408"/>
      <c r="AI51" s="409">
        <f t="shared" si="5"/>
        <v>0</v>
      </c>
      <c r="AJ51" s="410"/>
      <c r="AK51" s="411">
        <f t="shared" si="6"/>
        <v>0</v>
      </c>
    </row>
    <row r="52" spans="1:37" s="234" customFormat="1" ht="20.25">
      <c r="A52" s="316" t="s">
        <v>120</v>
      </c>
      <c r="B52" s="295"/>
      <c r="C52" s="295"/>
      <c r="D52" s="1075"/>
      <c r="E52" s="319"/>
      <c r="F52" s="320"/>
      <c r="G52" s="320"/>
      <c r="H52" s="321"/>
      <c r="I52" s="321"/>
      <c r="J52" s="320"/>
      <c r="K52" s="1090"/>
      <c r="L52" s="351"/>
      <c r="M52" s="352"/>
      <c r="N52" s="353"/>
      <c r="O52" s="321"/>
      <c r="P52" s="321"/>
      <c r="Q52" s="321"/>
      <c r="R52" s="321"/>
      <c r="S52" s="321"/>
      <c r="T52" s="321"/>
      <c r="U52" s="351"/>
      <c r="V52" s="352"/>
      <c r="W52" s="319"/>
      <c r="X52" s="320"/>
      <c r="Y52" s="320"/>
      <c r="Z52" s="321"/>
      <c r="AA52" s="321"/>
      <c r="AB52" s="321"/>
      <c r="AC52" s="320"/>
      <c r="AD52" s="380"/>
      <c r="AE52" s="352"/>
      <c r="AF52" s="376">
        <f t="shared" si="4"/>
        <v>0</v>
      </c>
      <c r="AG52" s="381"/>
      <c r="AH52" s="408"/>
      <c r="AI52" s="409">
        <f t="shared" si="5"/>
        <v>0</v>
      </c>
      <c r="AJ52" s="410"/>
      <c r="AK52" s="411">
        <f t="shared" si="6"/>
        <v>0</v>
      </c>
    </row>
    <row r="53" spans="1:37" s="234" customFormat="1" ht="20.25">
      <c r="A53" s="316" t="s">
        <v>120</v>
      </c>
      <c r="B53" s="295"/>
      <c r="C53" s="295"/>
      <c r="D53" s="1075"/>
      <c r="E53" s="319"/>
      <c r="F53" s="320"/>
      <c r="G53" s="320"/>
      <c r="H53" s="321"/>
      <c r="I53" s="321"/>
      <c r="J53" s="320"/>
      <c r="K53" s="842"/>
      <c r="L53" s="351"/>
      <c r="M53" s="352"/>
      <c r="N53" s="353"/>
      <c r="O53" s="321"/>
      <c r="P53" s="321"/>
      <c r="Q53" s="321"/>
      <c r="R53" s="321"/>
      <c r="S53" s="321"/>
      <c r="T53" s="321"/>
      <c r="U53" s="351"/>
      <c r="V53" s="352"/>
      <c r="W53" s="319"/>
      <c r="X53" s="320"/>
      <c r="Y53" s="320"/>
      <c r="Z53" s="321"/>
      <c r="AA53" s="321"/>
      <c r="AB53" s="321"/>
      <c r="AC53" s="320"/>
      <c r="AD53" s="380"/>
      <c r="AE53" s="352"/>
      <c r="AF53" s="376">
        <f t="shared" si="4"/>
        <v>0</v>
      </c>
      <c r="AG53" s="381"/>
      <c r="AH53" s="408"/>
      <c r="AI53" s="409">
        <f t="shared" si="5"/>
        <v>0</v>
      </c>
      <c r="AJ53" s="410"/>
      <c r="AK53" s="411">
        <f t="shared" si="6"/>
        <v>0</v>
      </c>
    </row>
    <row r="54" spans="1:37" s="234" customFormat="1" ht="20.25">
      <c r="A54" s="316" t="s">
        <v>120</v>
      </c>
      <c r="B54" s="295"/>
      <c r="C54" s="295"/>
      <c r="D54" s="1075"/>
      <c r="E54" s="319"/>
      <c r="F54" s="1076"/>
      <c r="G54" s="320"/>
      <c r="H54" s="321"/>
      <c r="I54" s="321"/>
      <c r="J54" s="320"/>
      <c r="K54" s="842"/>
      <c r="L54" s="351"/>
      <c r="M54" s="352"/>
      <c r="N54" s="353"/>
      <c r="O54" s="321"/>
      <c r="P54" s="321"/>
      <c r="Q54" s="321"/>
      <c r="R54" s="321"/>
      <c r="S54" s="321"/>
      <c r="T54" s="321"/>
      <c r="U54" s="351"/>
      <c r="V54" s="352"/>
      <c r="W54" s="319"/>
      <c r="X54" s="320"/>
      <c r="Y54" s="320"/>
      <c r="Z54" s="321"/>
      <c r="AA54" s="321"/>
      <c r="AB54" s="321"/>
      <c r="AC54" s="320"/>
      <c r="AD54" s="380"/>
      <c r="AE54" s="352"/>
      <c r="AF54" s="376">
        <f t="shared" si="4"/>
        <v>0</v>
      </c>
      <c r="AG54" s="381"/>
      <c r="AH54" s="408"/>
      <c r="AI54" s="409">
        <f t="shared" si="5"/>
        <v>0</v>
      </c>
      <c r="AJ54" s="410"/>
      <c r="AK54" s="411">
        <f t="shared" si="6"/>
        <v>0</v>
      </c>
    </row>
    <row r="55" spans="1:37" s="234" customFormat="1" ht="20.25">
      <c r="A55" s="316" t="s">
        <v>120</v>
      </c>
      <c r="B55" s="295"/>
      <c r="C55" s="295"/>
      <c r="D55" s="1075"/>
      <c r="E55" s="319"/>
      <c r="F55" s="320"/>
      <c r="G55" s="320"/>
      <c r="H55" s="321"/>
      <c r="I55" s="321"/>
      <c r="J55" s="320"/>
      <c r="K55" s="842"/>
      <c r="L55" s="351"/>
      <c r="M55" s="352"/>
      <c r="N55" s="353"/>
      <c r="O55" s="321"/>
      <c r="P55" s="321"/>
      <c r="Q55" s="321"/>
      <c r="R55" s="321"/>
      <c r="S55" s="321"/>
      <c r="T55" s="321"/>
      <c r="U55" s="351"/>
      <c r="V55" s="352"/>
      <c r="W55" s="319"/>
      <c r="X55" s="320"/>
      <c r="Y55" s="320"/>
      <c r="Z55" s="321"/>
      <c r="AA55" s="321"/>
      <c r="AB55" s="321"/>
      <c r="AC55" s="320"/>
      <c r="AD55" s="380"/>
      <c r="AE55" s="352"/>
      <c r="AF55" s="376">
        <f t="shared" si="4"/>
        <v>0</v>
      </c>
      <c r="AG55" s="381"/>
      <c r="AH55" s="408"/>
      <c r="AI55" s="409">
        <f t="shared" si="5"/>
        <v>0</v>
      </c>
      <c r="AJ55" s="410"/>
      <c r="AK55" s="411">
        <f t="shared" si="6"/>
        <v>0</v>
      </c>
    </row>
    <row r="56" spans="1:37" s="234" customFormat="1" ht="20.25">
      <c r="A56" s="316" t="s">
        <v>120</v>
      </c>
      <c r="B56" s="295"/>
      <c r="C56" s="295"/>
      <c r="D56" s="1075"/>
      <c r="E56" s="319"/>
      <c r="F56" s="320"/>
      <c r="G56" s="320"/>
      <c r="H56" s="321"/>
      <c r="I56" s="321"/>
      <c r="J56" s="320"/>
      <c r="K56" s="842"/>
      <c r="L56" s="351"/>
      <c r="M56" s="352"/>
      <c r="N56" s="353"/>
      <c r="O56" s="321"/>
      <c r="P56" s="321"/>
      <c r="Q56" s="321"/>
      <c r="R56" s="321"/>
      <c r="S56" s="321"/>
      <c r="T56" s="321"/>
      <c r="U56" s="351"/>
      <c r="V56" s="352"/>
      <c r="W56" s="319"/>
      <c r="X56" s="320"/>
      <c r="Y56" s="320"/>
      <c r="Z56" s="321"/>
      <c r="AA56" s="321"/>
      <c r="AB56" s="321"/>
      <c r="AC56" s="320"/>
      <c r="AD56" s="380"/>
      <c r="AE56" s="352"/>
      <c r="AF56" s="376">
        <f t="shared" si="4"/>
        <v>0</v>
      </c>
      <c r="AG56" s="381"/>
      <c r="AH56" s="408"/>
      <c r="AI56" s="409">
        <f t="shared" si="5"/>
        <v>0</v>
      </c>
      <c r="AJ56" s="410"/>
      <c r="AK56" s="411">
        <f t="shared" si="6"/>
        <v>0</v>
      </c>
    </row>
    <row r="57" spans="1:37" s="234" customFormat="1" ht="20.25">
      <c r="A57" s="316" t="s">
        <v>120</v>
      </c>
      <c r="B57" s="295"/>
      <c r="C57" s="295"/>
      <c r="D57" s="1075"/>
      <c r="E57" s="319"/>
      <c r="F57" s="320"/>
      <c r="G57" s="320"/>
      <c r="H57" s="321"/>
      <c r="I57" s="321"/>
      <c r="J57" s="320"/>
      <c r="K57" s="842"/>
      <c r="L57" s="351"/>
      <c r="M57" s="352"/>
      <c r="N57" s="353"/>
      <c r="O57" s="321"/>
      <c r="P57" s="321"/>
      <c r="Q57" s="321"/>
      <c r="R57" s="321"/>
      <c r="S57" s="321"/>
      <c r="T57" s="321"/>
      <c r="U57" s="351"/>
      <c r="V57" s="352"/>
      <c r="W57" s="319"/>
      <c r="X57" s="320"/>
      <c r="Y57" s="320"/>
      <c r="Z57" s="321"/>
      <c r="AA57" s="321"/>
      <c r="AB57" s="321"/>
      <c r="AC57" s="320"/>
      <c r="AD57" s="380"/>
      <c r="AE57" s="352"/>
      <c r="AF57" s="376">
        <f t="shared" si="4"/>
        <v>0</v>
      </c>
      <c r="AG57" s="381"/>
      <c r="AH57" s="408"/>
      <c r="AI57" s="409">
        <f t="shared" si="5"/>
        <v>0</v>
      </c>
      <c r="AJ57" s="410"/>
      <c r="AK57" s="411">
        <f t="shared" si="6"/>
        <v>0</v>
      </c>
    </row>
    <row r="58" spans="1:37" s="234" customFormat="1" ht="20.25">
      <c r="A58" s="316" t="s">
        <v>120</v>
      </c>
      <c r="B58" s="295"/>
      <c r="C58" s="295"/>
      <c r="D58" s="1075"/>
      <c r="E58" s="319"/>
      <c r="F58" s="320"/>
      <c r="G58" s="320"/>
      <c r="H58" s="321"/>
      <c r="I58" s="321"/>
      <c r="J58" s="320"/>
      <c r="K58" s="842"/>
      <c r="L58" s="351"/>
      <c r="M58" s="352"/>
      <c r="N58" s="353"/>
      <c r="O58" s="321"/>
      <c r="P58" s="321"/>
      <c r="Q58" s="321"/>
      <c r="R58" s="321"/>
      <c r="S58" s="321"/>
      <c r="T58" s="321"/>
      <c r="U58" s="351"/>
      <c r="V58" s="352"/>
      <c r="W58" s="319"/>
      <c r="X58" s="320"/>
      <c r="Y58" s="320"/>
      <c r="Z58" s="321"/>
      <c r="AA58" s="321"/>
      <c r="AB58" s="321"/>
      <c r="AC58" s="320"/>
      <c r="AD58" s="380"/>
      <c r="AE58" s="352"/>
      <c r="AF58" s="376">
        <f t="shared" si="4"/>
        <v>0</v>
      </c>
      <c r="AG58" s="381"/>
      <c r="AH58" s="408"/>
      <c r="AI58" s="409">
        <f t="shared" si="5"/>
        <v>0</v>
      </c>
      <c r="AJ58" s="410"/>
      <c r="AK58" s="411">
        <f t="shared" si="6"/>
        <v>0</v>
      </c>
    </row>
    <row r="59" spans="1:37" s="234" customFormat="1" ht="20.25">
      <c r="A59" s="316" t="s">
        <v>120</v>
      </c>
      <c r="B59" s="295"/>
      <c r="C59" s="295"/>
      <c r="D59" s="1075"/>
      <c r="E59" s="319"/>
      <c r="F59" s="320"/>
      <c r="G59" s="320"/>
      <c r="H59" s="321"/>
      <c r="I59" s="321"/>
      <c r="J59" s="320"/>
      <c r="K59" s="842"/>
      <c r="L59" s="351"/>
      <c r="M59" s="352"/>
      <c r="N59" s="353"/>
      <c r="O59" s="321"/>
      <c r="P59" s="321"/>
      <c r="Q59" s="321"/>
      <c r="R59" s="321"/>
      <c r="S59" s="321"/>
      <c r="T59" s="321"/>
      <c r="U59" s="351"/>
      <c r="V59" s="352"/>
      <c r="W59" s="319"/>
      <c r="X59" s="320"/>
      <c r="Y59" s="320"/>
      <c r="Z59" s="321"/>
      <c r="AA59" s="321"/>
      <c r="AB59" s="321"/>
      <c r="AC59" s="320"/>
      <c r="AD59" s="380"/>
      <c r="AE59" s="352"/>
      <c r="AF59" s="376">
        <f t="shared" si="4"/>
        <v>0</v>
      </c>
      <c r="AG59" s="381"/>
      <c r="AH59" s="408"/>
      <c r="AI59" s="409">
        <f t="shared" si="5"/>
        <v>0</v>
      </c>
      <c r="AJ59" s="410"/>
      <c r="AK59" s="411">
        <f t="shared" si="6"/>
        <v>0</v>
      </c>
    </row>
    <row r="60" spans="1:37" s="234" customFormat="1" ht="20.25">
      <c r="A60" s="316" t="s">
        <v>120</v>
      </c>
      <c r="B60" s="295"/>
      <c r="C60" s="295"/>
      <c r="D60" s="1075"/>
      <c r="E60" s="319"/>
      <c r="F60" s="320"/>
      <c r="G60" s="320"/>
      <c r="H60" s="321"/>
      <c r="I60" s="321"/>
      <c r="J60" s="320"/>
      <c r="K60" s="842"/>
      <c r="L60" s="351"/>
      <c r="M60" s="352"/>
      <c r="N60" s="353"/>
      <c r="O60" s="321"/>
      <c r="P60" s="321"/>
      <c r="Q60" s="321"/>
      <c r="R60" s="321"/>
      <c r="S60" s="321"/>
      <c r="T60" s="321"/>
      <c r="U60" s="351"/>
      <c r="V60" s="352"/>
      <c r="W60" s="319"/>
      <c r="X60" s="320"/>
      <c r="Y60" s="320"/>
      <c r="Z60" s="321"/>
      <c r="AA60" s="321"/>
      <c r="AB60" s="321"/>
      <c r="AC60" s="320"/>
      <c r="AD60" s="380"/>
      <c r="AE60" s="352"/>
      <c r="AF60" s="376">
        <f t="shared" si="4"/>
        <v>0</v>
      </c>
      <c r="AG60" s="381"/>
      <c r="AH60" s="408"/>
      <c r="AI60" s="409">
        <f t="shared" si="5"/>
        <v>0</v>
      </c>
      <c r="AJ60" s="410"/>
      <c r="AK60" s="411">
        <f t="shared" si="6"/>
        <v>0</v>
      </c>
    </row>
    <row r="61" spans="1:37" s="234" customFormat="1" ht="20.25">
      <c r="A61" s="316" t="s">
        <v>120</v>
      </c>
      <c r="B61" s="295"/>
      <c r="C61" s="295"/>
      <c r="D61" s="1075"/>
      <c r="E61" s="319"/>
      <c r="F61" s="320"/>
      <c r="G61" s="320"/>
      <c r="H61" s="321"/>
      <c r="I61" s="321"/>
      <c r="J61" s="320"/>
      <c r="K61" s="842"/>
      <c r="L61" s="351"/>
      <c r="M61" s="352"/>
      <c r="N61" s="353"/>
      <c r="O61" s="321"/>
      <c r="P61" s="321"/>
      <c r="Q61" s="321"/>
      <c r="R61" s="321"/>
      <c r="S61" s="321"/>
      <c r="T61" s="321"/>
      <c r="U61" s="351"/>
      <c r="V61" s="352"/>
      <c r="W61" s="319"/>
      <c r="X61" s="320"/>
      <c r="Y61" s="320"/>
      <c r="Z61" s="321"/>
      <c r="AA61" s="321"/>
      <c r="AB61" s="321"/>
      <c r="AC61" s="320"/>
      <c r="AD61" s="380"/>
      <c r="AE61" s="352"/>
      <c r="AF61" s="376">
        <f t="shared" si="4"/>
        <v>0</v>
      </c>
      <c r="AG61" s="381"/>
      <c r="AH61" s="408"/>
      <c r="AI61" s="409">
        <f t="shared" si="5"/>
        <v>0</v>
      </c>
      <c r="AJ61" s="410"/>
      <c r="AK61" s="411">
        <f t="shared" si="6"/>
        <v>0</v>
      </c>
    </row>
    <row r="62" spans="1:37" s="234" customFormat="1" ht="20.25">
      <c r="A62" s="316" t="s">
        <v>120</v>
      </c>
      <c r="B62" s="295"/>
      <c r="C62" s="295"/>
      <c r="D62" s="1075"/>
      <c r="E62" s="319"/>
      <c r="F62" s="320"/>
      <c r="G62" s="320"/>
      <c r="H62" s="321"/>
      <c r="I62" s="321"/>
      <c r="J62" s="320"/>
      <c r="K62" s="842"/>
      <c r="L62" s="351"/>
      <c r="M62" s="352"/>
      <c r="N62" s="353"/>
      <c r="O62" s="321"/>
      <c r="P62" s="321"/>
      <c r="Q62" s="321"/>
      <c r="R62" s="321"/>
      <c r="S62" s="321"/>
      <c r="T62" s="321"/>
      <c r="U62" s="351"/>
      <c r="V62" s="352"/>
      <c r="W62" s="319"/>
      <c r="X62" s="320"/>
      <c r="Y62" s="320"/>
      <c r="Z62" s="321"/>
      <c r="AA62" s="321"/>
      <c r="AB62" s="321"/>
      <c r="AC62" s="320"/>
      <c r="AD62" s="380"/>
      <c r="AE62" s="352"/>
      <c r="AF62" s="376">
        <f t="shared" si="4"/>
        <v>0</v>
      </c>
      <c r="AG62" s="381"/>
      <c r="AH62" s="408"/>
      <c r="AI62" s="409">
        <f t="shared" si="5"/>
        <v>0</v>
      </c>
      <c r="AJ62" s="410"/>
      <c r="AK62" s="411">
        <f t="shared" si="6"/>
        <v>0</v>
      </c>
    </row>
    <row r="63" spans="1:37" s="234" customFormat="1" ht="20.25">
      <c r="A63" s="316" t="s">
        <v>120</v>
      </c>
      <c r="B63" s="295"/>
      <c r="C63" s="295"/>
      <c r="D63" s="1075"/>
      <c r="E63" s="319"/>
      <c r="F63" s="320"/>
      <c r="G63" s="320"/>
      <c r="H63" s="321"/>
      <c r="I63" s="321"/>
      <c r="J63" s="320"/>
      <c r="K63" s="842"/>
      <c r="L63" s="351"/>
      <c r="M63" s="352"/>
      <c r="N63" s="353"/>
      <c r="O63" s="321"/>
      <c r="P63" s="321"/>
      <c r="Q63" s="321"/>
      <c r="R63" s="321"/>
      <c r="S63" s="321"/>
      <c r="T63" s="321"/>
      <c r="U63" s="351"/>
      <c r="V63" s="352"/>
      <c r="W63" s="319"/>
      <c r="X63" s="320"/>
      <c r="Y63" s="320"/>
      <c r="Z63" s="321"/>
      <c r="AA63" s="321"/>
      <c r="AB63" s="321"/>
      <c r="AC63" s="320"/>
      <c r="AD63" s="380"/>
      <c r="AE63" s="352"/>
      <c r="AF63" s="376">
        <f t="shared" si="4"/>
        <v>0</v>
      </c>
      <c r="AG63" s="381"/>
      <c r="AH63" s="408"/>
      <c r="AI63" s="409">
        <f t="shared" si="5"/>
        <v>0</v>
      </c>
      <c r="AJ63" s="410"/>
      <c r="AK63" s="411">
        <f t="shared" si="6"/>
        <v>0</v>
      </c>
    </row>
    <row r="64" spans="1:37" s="234" customFormat="1" ht="20.25">
      <c r="A64" s="316" t="s">
        <v>120</v>
      </c>
      <c r="B64" s="295"/>
      <c r="C64" s="295"/>
      <c r="D64" s="1075"/>
      <c r="E64" s="319"/>
      <c r="F64" s="320"/>
      <c r="G64" s="320"/>
      <c r="H64" s="321"/>
      <c r="I64" s="321"/>
      <c r="J64" s="320"/>
      <c r="K64" s="842"/>
      <c r="L64" s="351"/>
      <c r="M64" s="352"/>
      <c r="N64" s="353"/>
      <c r="O64" s="321"/>
      <c r="P64" s="321"/>
      <c r="Q64" s="321"/>
      <c r="R64" s="321"/>
      <c r="S64" s="321"/>
      <c r="T64" s="321"/>
      <c r="U64" s="351"/>
      <c r="V64" s="352"/>
      <c r="W64" s="319"/>
      <c r="X64" s="320"/>
      <c r="Y64" s="320"/>
      <c r="Z64" s="321"/>
      <c r="AA64" s="321"/>
      <c r="AB64" s="321"/>
      <c r="AC64" s="320"/>
      <c r="AD64" s="380"/>
      <c r="AE64" s="352"/>
      <c r="AF64" s="376">
        <f t="shared" si="4"/>
        <v>0</v>
      </c>
      <c r="AG64" s="381"/>
      <c r="AH64" s="408"/>
      <c r="AI64" s="409">
        <f t="shared" si="5"/>
        <v>0</v>
      </c>
      <c r="AJ64" s="410"/>
      <c r="AK64" s="411">
        <f t="shared" si="6"/>
        <v>0</v>
      </c>
    </row>
    <row r="65" spans="1:40" s="234" customFormat="1" ht="20.25">
      <c r="A65" s="316" t="s">
        <v>120</v>
      </c>
      <c r="B65" s="295"/>
      <c r="C65" s="295"/>
      <c r="D65" s="1075"/>
      <c r="E65" s="319"/>
      <c r="F65" s="320"/>
      <c r="G65" s="320"/>
      <c r="H65" s="321"/>
      <c r="I65" s="321"/>
      <c r="J65" s="320"/>
      <c r="K65" s="842"/>
      <c r="L65" s="351"/>
      <c r="M65" s="352"/>
      <c r="N65" s="353"/>
      <c r="O65" s="321"/>
      <c r="P65" s="321"/>
      <c r="Q65" s="321"/>
      <c r="R65" s="321"/>
      <c r="S65" s="321"/>
      <c r="T65" s="321"/>
      <c r="U65" s="351"/>
      <c r="V65" s="352"/>
      <c r="W65" s="319"/>
      <c r="X65" s="320"/>
      <c r="Y65" s="320"/>
      <c r="Z65" s="321"/>
      <c r="AA65" s="321"/>
      <c r="AB65" s="321"/>
      <c r="AC65" s="320"/>
      <c r="AD65" s="380"/>
      <c r="AE65" s="352"/>
      <c r="AF65" s="376">
        <f t="shared" si="4"/>
        <v>0</v>
      </c>
      <c r="AG65" s="381"/>
      <c r="AH65" s="408"/>
      <c r="AI65" s="409">
        <f t="shared" si="5"/>
        <v>0</v>
      </c>
      <c r="AJ65" s="410"/>
      <c r="AK65" s="411">
        <f t="shared" si="6"/>
        <v>0</v>
      </c>
    </row>
    <row r="66" spans="1:40" s="234" customFormat="1" ht="21" thickBot="1">
      <c r="A66" s="316" t="s">
        <v>120</v>
      </c>
      <c r="B66" s="295"/>
      <c r="C66" s="295"/>
      <c r="D66" s="1077"/>
      <c r="E66" s="319"/>
      <c r="F66" s="320"/>
      <c r="G66" s="320"/>
      <c r="H66" s="321"/>
      <c r="I66" s="321"/>
      <c r="J66" s="320"/>
      <c r="K66" s="842"/>
      <c r="L66" s="351"/>
      <c r="M66" s="352"/>
      <c r="N66" s="353"/>
      <c r="O66" s="321"/>
      <c r="P66" s="321"/>
      <c r="Q66" s="321"/>
      <c r="R66" s="321"/>
      <c r="S66" s="321"/>
      <c r="T66" s="321"/>
      <c r="U66" s="351"/>
      <c r="V66" s="352"/>
      <c r="W66" s="319"/>
      <c r="X66" s="320"/>
      <c r="Y66" s="320"/>
      <c r="Z66" s="321"/>
      <c r="AA66" s="321"/>
      <c r="AB66" s="321"/>
      <c r="AC66" s="320"/>
      <c r="AD66" s="380"/>
      <c r="AE66" s="352"/>
      <c r="AF66" s="376">
        <f t="shared" si="4"/>
        <v>0</v>
      </c>
      <c r="AG66" s="381"/>
      <c r="AH66" s="408"/>
      <c r="AI66" s="409">
        <f t="shared" si="5"/>
        <v>0</v>
      </c>
      <c r="AJ66" s="410"/>
      <c r="AK66" s="411">
        <f t="shared" si="6"/>
        <v>0</v>
      </c>
    </row>
    <row r="67" spans="1:40" s="283" customFormat="1" ht="21" thickBot="1">
      <c r="A67" s="322"/>
      <c r="B67" s="323"/>
      <c r="C67" s="323"/>
      <c r="D67" s="1078"/>
      <c r="E67" s="325"/>
      <c r="F67" s="297"/>
      <c r="G67" s="297"/>
      <c r="H67" s="298"/>
      <c r="I67" s="298"/>
      <c r="J67" s="297"/>
      <c r="K67" s="1086"/>
      <c r="L67" s="367"/>
      <c r="M67" s="355"/>
      <c r="N67" s="343"/>
      <c r="O67" s="298"/>
      <c r="P67" s="298"/>
      <c r="Q67" s="298"/>
      <c r="R67" s="298"/>
      <c r="S67" s="298"/>
      <c r="T67" s="298"/>
      <c r="U67" s="367"/>
      <c r="V67" s="355"/>
      <c r="W67" s="325"/>
      <c r="X67" s="297"/>
      <c r="Y67" s="297"/>
      <c r="Z67" s="298"/>
      <c r="AA67" s="298"/>
      <c r="AB67" s="298"/>
      <c r="AC67" s="297"/>
      <c r="AD67" s="375"/>
      <c r="AE67" s="355"/>
      <c r="AF67" s="376">
        <f t="shared" si="4"/>
        <v>0</v>
      </c>
      <c r="AG67" s="377"/>
      <c r="AH67" s="390"/>
      <c r="AI67" s="391">
        <f t="shared" si="5"/>
        <v>0</v>
      </c>
      <c r="AJ67" s="412"/>
      <c r="AK67" s="413">
        <f t="shared" si="6"/>
        <v>0</v>
      </c>
      <c r="AL67" s="414" t="s">
        <v>8</v>
      </c>
      <c r="AM67" s="397" t="s">
        <v>23</v>
      </c>
      <c r="AN67" s="415" t="s">
        <v>174</v>
      </c>
    </row>
    <row r="68" spans="1:40" s="284" customFormat="1" ht="19.5" thickBot="1">
      <c r="A68" s="326" t="s">
        <v>177</v>
      </c>
      <c r="B68" s="327"/>
      <c r="C68" s="327"/>
      <c r="D68" s="328"/>
      <c r="E68" s="329">
        <f>SUM(E35:E67)</f>
        <v>0</v>
      </c>
      <c r="F68" s="329">
        <f t="shared" ref="F68:L68" si="7">SUM(F35:F67)</f>
        <v>0</v>
      </c>
      <c r="G68" s="329">
        <f t="shared" si="7"/>
        <v>0</v>
      </c>
      <c r="H68" s="329">
        <f t="shared" si="7"/>
        <v>0</v>
      </c>
      <c r="I68" s="329">
        <f t="shared" si="7"/>
        <v>0</v>
      </c>
      <c r="J68" s="329">
        <f t="shared" si="7"/>
        <v>0</v>
      </c>
      <c r="K68" s="329">
        <f t="shared" si="7"/>
        <v>0</v>
      </c>
      <c r="L68" s="329">
        <f t="shared" si="7"/>
        <v>0</v>
      </c>
      <c r="M68" s="357"/>
      <c r="N68" s="358">
        <f>SUM(N35:N67)</f>
        <v>0</v>
      </c>
      <c r="O68" s="358">
        <f t="shared" ref="O68:U68" si="8">SUM(O35:O67)</f>
        <v>0</v>
      </c>
      <c r="P68" s="358">
        <f t="shared" si="8"/>
        <v>0</v>
      </c>
      <c r="Q68" s="358">
        <f t="shared" si="8"/>
        <v>0</v>
      </c>
      <c r="R68" s="358">
        <f t="shared" si="8"/>
        <v>0</v>
      </c>
      <c r="S68" s="358">
        <f t="shared" si="8"/>
        <v>0</v>
      </c>
      <c r="T68" s="358">
        <f t="shared" si="8"/>
        <v>0</v>
      </c>
      <c r="U68" s="358">
        <f t="shared" si="8"/>
        <v>0</v>
      </c>
      <c r="V68" s="357"/>
      <c r="W68" s="358">
        <f>SUM(W35:W67)</f>
        <v>0</v>
      </c>
      <c r="X68" s="358">
        <f t="shared" ref="X68:AD68" si="9">SUM(X35:X67)</f>
        <v>0</v>
      </c>
      <c r="Y68" s="358">
        <f t="shared" si="9"/>
        <v>0</v>
      </c>
      <c r="Z68" s="358">
        <f t="shared" si="9"/>
        <v>0</v>
      </c>
      <c r="AA68" s="358">
        <f t="shared" si="9"/>
        <v>0</v>
      </c>
      <c r="AB68" s="358">
        <f t="shared" si="9"/>
        <v>0</v>
      </c>
      <c r="AC68" s="358">
        <f t="shared" si="9"/>
        <v>0</v>
      </c>
      <c r="AD68" s="358">
        <f t="shared" si="9"/>
        <v>0</v>
      </c>
      <c r="AE68" s="357"/>
      <c r="AF68" s="382">
        <f>SUM(AF35:AF67)</f>
        <v>0</v>
      </c>
      <c r="AG68" s="382">
        <f>SUM(AG35:AG67)</f>
        <v>0</v>
      </c>
      <c r="AH68" s="416">
        <f t="shared" ref="AH68" si="10">SUM(AH36:AH67)</f>
        <v>0</v>
      </c>
      <c r="AI68" s="417">
        <f>SUM(AI35:AI67)</f>
        <v>0</v>
      </c>
      <c r="AJ68" s="382">
        <f>SUM(AJ35:AJ67)</f>
        <v>0</v>
      </c>
      <c r="AK68" s="418">
        <f>SUM(AK35:AK67)</f>
        <v>0</v>
      </c>
      <c r="AL68" s="399">
        <f>'BIG CHAIR'!CL77</f>
        <v>14560</v>
      </c>
      <c r="AM68" s="400">
        <f>'Tea Table'!X85</f>
        <v>0</v>
      </c>
      <c r="AN68" s="401">
        <f>AI68+AL68+AM68</f>
        <v>14560</v>
      </c>
    </row>
    <row r="69" spans="1:40" s="284" customFormat="1" ht="19.5" thickBot="1">
      <c r="A69" s="306"/>
      <c r="B69" s="307"/>
      <c r="C69" s="307"/>
      <c r="D69" s="308"/>
      <c r="E69" s="309"/>
      <c r="F69" s="309"/>
      <c r="G69" s="309"/>
      <c r="H69" s="309"/>
      <c r="I69" s="309"/>
      <c r="J69" s="309"/>
      <c r="K69" s="309"/>
      <c r="L69" s="309"/>
      <c r="M69" s="346"/>
      <c r="N69" s="347"/>
      <c r="O69" s="347"/>
      <c r="P69" s="347"/>
      <c r="Q69" s="347"/>
      <c r="R69" s="347"/>
      <c r="S69" s="347"/>
      <c r="T69" s="347"/>
      <c r="U69" s="347"/>
      <c r="V69" s="346"/>
      <c r="W69" s="347"/>
      <c r="X69" s="347"/>
      <c r="Y69" s="347"/>
      <c r="Z69" s="347"/>
      <c r="AA69" s="347"/>
      <c r="AB69" s="347"/>
      <c r="AC69" s="347"/>
      <c r="AD69" s="347"/>
      <c r="AE69" s="346"/>
      <c r="AF69" s="347"/>
      <c r="AG69" s="347"/>
      <c r="AH69" s="347"/>
      <c r="AI69" s="347"/>
      <c r="AJ69" s="347"/>
      <c r="AK69" s="402"/>
      <c r="AL69" s="403"/>
      <c r="AM69" s="403"/>
      <c r="AN69" s="403"/>
    </row>
    <row r="70" spans="1:40" s="282" customFormat="1" ht="24" thickBot="1">
      <c r="A70" s="286" t="s">
        <v>122</v>
      </c>
      <c r="B70" s="287" t="s">
        <v>68</v>
      </c>
      <c r="C70" s="287" t="s">
        <v>69</v>
      </c>
      <c r="D70" s="3376" t="s">
        <v>70</v>
      </c>
      <c r="E70" s="743" t="s">
        <v>96</v>
      </c>
      <c r="F70" s="744" t="s">
        <v>124</v>
      </c>
      <c r="G70" s="744" t="s">
        <v>228</v>
      </c>
      <c r="H70" s="744" t="s">
        <v>149</v>
      </c>
      <c r="I70" s="744" t="s">
        <v>470</v>
      </c>
      <c r="J70" s="744" t="s">
        <v>92</v>
      </c>
      <c r="K70" s="50" t="s">
        <v>479</v>
      </c>
      <c r="L70" s="783" t="s">
        <v>497</v>
      </c>
      <c r="M70" s="578"/>
      <c r="N70" s="80" t="s">
        <v>71</v>
      </c>
      <c r="O70" s="49" t="s">
        <v>53</v>
      </c>
      <c r="P70" s="49" t="s">
        <v>118</v>
      </c>
      <c r="Q70" s="49" t="s">
        <v>407</v>
      </c>
      <c r="R70" s="49" t="s">
        <v>457</v>
      </c>
      <c r="S70" s="49" t="s">
        <v>94</v>
      </c>
      <c r="T70" s="126" t="s">
        <v>77</v>
      </c>
      <c r="U70" s="717" t="s">
        <v>482</v>
      </c>
      <c r="V70" s="578"/>
      <c r="W70" s="764" t="e">
        <f>#REF!</f>
        <v>#REF!</v>
      </c>
      <c r="X70" s="765" t="s">
        <v>96</v>
      </c>
      <c r="Y70" s="765" t="e">
        <f>#REF!</f>
        <v>#REF!</v>
      </c>
      <c r="Z70" s="49" t="s">
        <v>496</v>
      </c>
      <c r="AA70" s="765" t="e">
        <f>#REF!</f>
        <v>#REF!</v>
      </c>
      <c r="AB70" s="765" t="e">
        <f>#REF!</f>
        <v>#REF!</v>
      </c>
      <c r="AC70" s="765" t="e">
        <f>#REF!</f>
        <v>#REF!</v>
      </c>
      <c r="AD70" s="772" t="e">
        <f>#REF!</f>
        <v>#REF!</v>
      </c>
      <c r="AE70" s="370"/>
      <c r="AF70" s="371" t="s">
        <v>172</v>
      </c>
      <c r="AG70" s="372" t="s">
        <v>80</v>
      </c>
      <c r="AH70" s="385"/>
      <c r="AI70" s="386" t="s">
        <v>106</v>
      </c>
      <c r="AJ70" s="385" t="s">
        <v>173</v>
      </c>
      <c r="AK70" s="371" t="s">
        <v>108</v>
      </c>
    </row>
    <row r="71" spans="1:40" s="234" customFormat="1" ht="20.25">
      <c r="A71" s="316" t="s">
        <v>125</v>
      </c>
      <c r="B71" s="317"/>
      <c r="C71" s="317"/>
      <c r="D71" s="1077"/>
      <c r="E71" s="319"/>
      <c r="F71" s="320"/>
      <c r="G71" s="320"/>
      <c r="H71" s="321"/>
      <c r="I71" s="321"/>
      <c r="J71" s="320"/>
      <c r="K71" s="1090"/>
      <c r="L71" s="363"/>
      <c r="M71" s="352"/>
      <c r="N71" s="353"/>
      <c r="O71" s="320"/>
      <c r="P71" s="320"/>
      <c r="Q71" s="321"/>
      <c r="R71" s="321"/>
      <c r="S71" s="321"/>
      <c r="T71" s="320"/>
      <c r="U71" s="351"/>
      <c r="V71" s="352"/>
      <c r="W71" s="362"/>
      <c r="X71" s="334"/>
      <c r="Y71" s="334"/>
      <c r="Z71" s="334"/>
      <c r="AA71" s="334"/>
      <c r="AB71" s="334"/>
      <c r="AC71" s="334"/>
      <c r="AD71" s="380"/>
      <c r="AE71" s="352"/>
      <c r="AF71" s="381">
        <f>SUM(E71:AD71)</f>
        <v>0</v>
      </c>
      <c r="AG71" s="381"/>
      <c r="AH71" s="408"/>
      <c r="AI71" s="409">
        <f>AF71+AG71</f>
        <v>0</v>
      </c>
      <c r="AJ71" s="410"/>
      <c r="AK71" s="411">
        <f>AI71+AJ71</f>
        <v>0</v>
      </c>
    </row>
    <row r="72" spans="1:40" s="234" customFormat="1" ht="20.25">
      <c r="A72" s="316" t="s">
        <v>125</v>
      </c>
      <c r="B72" s="295"/>
      <c r="C72" s="295"/>
      <c r="D72" s="1077"/>
      <c r="E72" s="319"/>
      <c r="F72" s="320"/>
      <c r="G72" s="320"/>
      <c r="H72" s="321"/>
      <c r="I72" s="321"/>
      <c r="J72" s="320"/>
      <c r="K72" s="1090"/>
      <c r="L72" s="363"/>
      <c r="M72" s="352"/>
      <c r="N72" s="353"/>
      <c r="O72" s="321"/>
      <c r="P72" s="321"/>
      <c r="Q72" s="321"/>
      <c r="R72" s="321"/>
      <c r="S72" s="321"/>
      <c r="T72" s="321"/>
      <c r="U72" s="351"/>
      <c r="V72" s="352"/>
      <c r="W72" s="319"/>
      <c r="X72" s="320"/>
      <c r="Y72" s="320"/>
      <c r="Z72" s="321"/>
      <c r="AA72" s="321"/>
      <c r="AB72" s="321"/>
      <c r="AC72" s="320"/>
      <c r="AD72" s="380"/>
      <c r="AE72" s="352"/>
      <c r="AF72" s="381">
        <f>SUM(E72:AD72)</f>
        <v>0</v>
      </c>
      <c r="AG72" s="381"/>
      <c r="AH72" s="408"/>
      <c r="AI72" s="409">
        <f>AF72+AG72</f>
        <v>0</v>
      </c>
      <c r="AJ72" s="410"/>
      <c r="AK72" s="411">
        <f>AI72+AJ72</f>
        <v>0</v>
      </c>
    </row>
    <row r="73" spans="1:40" s="234" customFormat="1" ht="20.25">
      <c r="A73" s="316" t="s">
        <v>125</v>
      </c>
      <c r="B73" s="295"/>
      <c r="C73" s="295"/>
      <c r="D73" s="1077"/>
      <c r="E73" s="319"/>
      <c r="F73" s="320"/>
      <c r="G73" s="320"/>
      <c r="H73" s="321"/>
      <c r="I73" s="321"/>
      <c r="J73" s="320"/>
      <c r="K73" s="1090"/>
      <c r="L73" s="363"/>
      <c r="M73" s="352"/>
      <c r="N73" s="353"/>
      <c r="O73" s="321"/>
      <c r="P73" s="321"/>
      <c r="Q73" s="321"/>
      <c r="R73" s="321"/>
      <c r="S73" s="321"/>
      <c r="T73" s="321"/>
      <c r="U73" s="351"/>
      <c r="V73" s="352"/>
      <c r="W73" s="319"/>
      <c r="X73" s="320"/>
      <c r="Y73" s="320"/>
      <c r="Z73" s="321"/>
      <c r="AA73" s="321"/>
      <c r="AB73" s="321"/>
      <c r="AC73" s="320"/>
      <c r="AD73" s="380"/>
      <c r="AE73" s="352"/>
      <c r="AF73" s="381">
        <f>SUM(E73:AD73)</f>
        <v>0</v>
      </c>
      <c r="AG73" s="381"/>
      <c r="AH73" s="408"/>
      <c r="AI73" s="409">
        <f>AF73+AG73</f>
        <v>0</v>
      </c>
      <c r="AJ73" s="410"/>
      <c r="AK73" s="411">
        <f>AI73+AJ73</f>
        <v>0</v>
      </c>
    </row>
    <row r="74" spans="1:40" s="234" customFormat="1" ht="20.25">
      <c r="A74" s="316" t="s">
        <v>125</v>
      </c>
      <c r="B74" s="295"/>
      <c r="C74" s="295"/>
      <c r="D74" s="1077"/>
      <c r="E74" s="319"/>
      <c r="F74" s="320"/>
      <c r="G74" s="320"/>
      <c r="H74" s="321"/>
      <c r="I74" s="321"/>
      <c r="J74" s="320"/>
      <c r="K74" s="1091"/>
      <c r="L74" s="363"/>
      <c r="M74" s="352"/>
      <c r="N74" s="353"/>
      <c r="O74" s="321"/>
      <c r="P74" s="321"/>
      <c r="Q74" s="321"/>
      <c r="R74" s="321"/>
      <c r="S74" s="321"/>
      <c r="T74" s="321"/>
      <c r="U74" s="351"/>
      <c r="V74" s="352"/>
      <c r="W74" s="319"/>
      <c r="X74" s="320"/>
      <c r="Y74" s="320"/>
      <c r="Z74" s="321"/>
      <c r="AA74" s="321"/>
      <c r="AB74" s="321"/>
      <c r="AC74" s="320"/>
      <c r="AD74" s="380"/>
      <c r="AE74" s="352"/>
      <c r="AF74" s="381">
        <f>SUM(E74:AD74)</f>
        <v>0</v>
      </c>
      <c r="AG74" s="381"/>
      <c r="AH74" s="408"/>
      <c r="AI74" s="409">
        <f>AF74+AG74</f>
        <v>0</v>
      </c>
      <c r="AJ74" s="410"/>
      <c r="AK74" s="411">
        <f>AI74+AJ74</f>
        <v>0</v>
      </c>
    </row>
    <row r="75" spans="1:40" s="234" customFormat="1" ht="20.25">
      <c r="A75" s="316" t="s">
        <v>125</v>
      </c>
      <c r="B75" s="295"/>
      <c r="C75" s="295"/>
      <c r="D75" s="1077"/>
      <c r="E75" s="319"/>
      <c r="F75" s="320"/>
      <c r="G75" s="320"/>
      <c r="H75" s="321"/>
      <c r="I75" s="321"/>
      <c r="J75" s="320"/>
      <c r="K75" s="1090"/>
      <c r="L75" s="363"/>
      <c r="M75" s="352"/>
      <c r="N75" s="353"/>
      <c r="O75" s="321"/>
      <c r="P75" s="321"/>
      <c r="Q75" s="321"/>
      <c r="R75" s="321"/>
      <c r="S75" s="321"/>
      <c r="T75" s="321"/>
      <c r="U75" s="351"/>
      <c r="V75" s="352"/>
      <c r="W75" s="319"/>
      <c r="X75" s="320"/>
      <c r="Y75" s="320"/>
      <c r="Z75" s="321"/>
      <c r="AA75" s="321"/>
      <c r="AB75" s="321"/>
      <c r="AC75" s="320"/>
      <c r="AD75" s="380"/>
      <c r="AE75" s="352"/>
      <c r="AF75" s="381">
        <f>SUM(E75:AD75)</f>
        <v>0</v>
      </c>
      <c r="AG75" s="381"/>
      <c r="AH75" s="408"/>
      <c r="AI75" s="409">
        <f>AF75+AG75</f>
        <v>0</v>
      </c>
      <c r="AJ75" s="410"/>
      <c r="AK75" s="411">
        <f>AI75+AJ75</f>
        <v>0</v>
      </c>
    </row>
    <row r="76" spans="1:40" s="234" customFormat="1" ht="20.25">
      <c r="A76" s="316" t="s">
        <v>125</v>
      </c>
      <c r="B76" s="295"/>
      <c r="C76" s="295"/>
      <c r="D76" s="1077"/>
      <c r="E76" s="319"/>
      <c r="F76" s="320"/>
      <c r="G76" s="320"/>
      <c r="H76" s="321"/>
      <c r="I76" s="321"/>
      <c r="J76" s="320"/>
      <c r="K76" s="1090"/>
      <c r="L76" s="363"/>
      <c r="M76" s="352"/>
      <c r="N76" s="353"/>
      <c r="O76" s="321"/>
      <c r="P76" s="321"/>
      <c r="Q76" s="321"/>
      <c r="R76" s="321"/>
      <c r="S76" s="321"/>
      <c r="T76" s="321"/>
      <c r="U76" s="351"/>
      <c r="V76" s="352"/>
      <c r="W76" s="319"/>
      <c r="X76" s="320"/>
      <c r="Y76" s="320"/>
      <c r="Z76" s="321"/>
      <c r="AA76" s="321"/>
      <c r="AB76" s="321"/>
      <c r="AC76" s="320"/>
      <c r="AD76" s="380"/>
      <c r="AE76" s="352"/>
      <c r="AF76" s="381">
        <f t="shared" ref="AF76:AF103" si="11">SUM(E76:AD76)</f>
        <v>0</v>
      </c>
      <c r="AG76" s="381"/>
      <c r="AH76" s="408"/>
      <c r="AI76" s="409">
        <f t="shared" ref="AI76:AI103" si="12">AF76+AG76</f>
        <v>0</v>
      </c>
      <c r="AJ76" s="410"/>
      <c r="AK76" s="411">
        <f t="shared" ref="AK76:AK103" si="13">AI76+AJ76</f>
        <v>0</v>
      </c>
    </row>
    <row r="77" spans="1:40" s="234" customFormat="1" ht="20.25">
      <c r="A77" s="316" t="s">
        <v>125</v>
      </c>
      <c r="B77" s="295"/>
      <c r="C77" s="295"/>
      <c r="D77" s="1077"/>
      <c r="E77" s="319"/>
      <c r="F77" s="320"/>
      <c r="G77" s="320"/>
      <c r="H77" s="321"/>
      <c r="I77" s="321"/>
      <c r="J77" s="320"/>
      <c r="K77" s="1090"/>
      <c r="L77" s="351"/>
      <c r="M77" s="352"/>
      <c r="N77" s="353"/>
      <c r="O77" s="321"/>
      <c r="P77" s="321"/>
      <c r="Q77" s="321"/>
      <c r="R77" s="321"/>
      <c r="S77" s="321"/>
      <c r="T77" s="321"/>
      <c r="U77" s="351"/>
      <c r="V77" s="352"/>
      <c r="W77" s="319"/>
      <c r="X77" s="320"/>
      <c r="Y77" s="320"/>
      <c r="Z77" s="321"/>
      <c r="AA77" s="321"/>
      <c r="AB77" s="321"/>
      <c r="AC77" s="320"/>
      <c r="AD77" s="380"/>
      <c r="AE77" s="352"/>
      <c r="AF77" s="381">
        <f t="shared" si="11"/>
        <v>0</v>
      </c>
      <c r="AG77" s="381"/>
      <c r="AH77" s="408"/>
      <c r="AI77" s="409">
        <f t="shared" si="12"/>
        <v>0</v>
      </c>
      <c r="AJ77" s="410"/>
      <c r="AK77" s="411">
        <f t="shared" si="13"/>
        <v>0</v>
      </c>
    </row>
    <row r="78" spans="1:40" s="234" customFormat="1" ht="20.25">
      <c r="A78" s="316" t="s">
        <v>125</v>
      </c>
      <c r="B78" s="295"/>
      <c r="C78" s="295"/>
      <c r="D78" s="1077"/>
      <c r="E78" s="319"/>
      <c r="F78" s="320"/>
      <c r="G78" s="320"/>
      <c r="H78" s="321"/>
      <c r="I78" s="321"/>
      <c r="J78" s="320"/>
      <c r="K78" s="1090"/>
      <c r="L78" s="351"/>
      <c r="M78" s="352"/>
      <c r="N78" s="353"/>
      <c r="O78" s="321"/>
      <c r="P78" s="321"/>
      <c r="Q78" s="321"/>
      <c r="R78" s="321"/>
      <c r="S78" s="321"/>
      <c r="T78" s="321"/>
      <c r="U78" s="351"/>
      <c r="V78" s="352"/>
      <c r="W78" s="319"/>
      <c r="X78" s="320"/>
      <c r="Y78" s="320"/>
      <c r="Z78" s="321"/>
      <c r="AA78" s="321"/>
      <c r="AB78" s="321"/>
      <c r="AC78" s="320"/>
      <c r="AD78" s="380"/>
      <c r="AE78" s="352"/>
      <c r="AF78" s="381">
        <f t="shared" si="11"/>
        <v>0</v>
      </c>
      <c r="AG78" s="381"/>
      <c r="AH78" s="408"/>
      <c r="AI78" s="409">
        <f t="shared" si="12"/>
        <v>0</v>
      </c>
      <c r="AJ78" s="410"/>
      <c r="AK78" s="411">
        <f t="shared" si="13"/>
        <v>0</v>
      </c>
    </row>
    <row r="79" spans="1:40" s="234" customFormat="1" ht="20.25">
      <c r="A79" s="316" t="s">
        <v>125</v>
      </c>
      <c r="B79" s="295"/>
      <c r="C79" s="295"/>
      <c r="D79" s="1077"/>
      <c r="E79" s="319"/>
      <c r="F79" s="320"/>
      <c r="G79" s="320"/>
      <c r="H79" s="321"/>
      <c r="I79" s="321"/>
      <c r="J79" s="320"/>
      <c r="K79" s="1090"/>
      <c r="L79" s="351"/>
      <c r="M79" s="352"/>
      <c r="N79" s="353"/>
      <c r="O79" s="321"/>
      <c r="P79" s="321"/>
      <c r="Q79" s="321"/>
      <c r="R79" s="321"/>
      <c r="S79" s="321"/>
      <c r="T79" s="321"/>
      <c r="U79" s="351"/>
      <c r="V79" s="352"/>
      <c r="W79" s="319"/>
      <c r="X79" s="320"/>
      <c r="Y79" s="320"/>
      <c r="Z79" s="321"/>
      <c r="AA79" s="321"/>
      <c r="AB79" s="321"/>
      <c r="AC79" s="320"/>
      <c r="AD79" s="380"/>
      <c r="AE79" s="352"/>
      <c r="AF79" s="381">
        <f t="shared" si="11"/>
        <v>0</v>
      </c>
      <c r="AG79" s="381"/>
      <c r="AH79" s="408"/>
      <c r="AI79" s="409">
        <f t="shared" si="12"/>
        <v>0</v>
      </c>
      <c r="AJ79" s="410"/>
      <c r="AK79" s="411">
        <f t="shared" si="13"/>
        <v>0</v>
      </c>
    </row>
    <row r="80" spans="1:40" s="234" customFormat="1" ht="20.25">
      <c r="A80" s="316" t="s">
        <v>125</v>
      </c>
      <c r="B80" s="295"/>
      <c r="C80" s="295"/>
      <c r="D80" s="1077"/>
      <c r="E80" s="319"/>
      <c r="F80" s="320"/>
      <c r="G80" s="320"/>
      <c r="H80" s="321"/>
      <c r="I80" s="321"/>
      <c r="J80" s="320"/>
      <c r="K80" s="1090"/>
      <c r="L80" s="351"/>
      <c r="M80" s="352"/>
      <c r="N80" s="353"/>
      <c r="O80" s="321"/>
      <c r="P80" s="321"/>
      <c r="Q80" s="321"/>
      <c r="R80" s="321"/>
      <c r="S80" s="321"/>
      <c r="T80" s="321"/>
      <c r="U80" s="351"/>
      <c r="V80" s="352"/>
      <c r="W80" s="319"/>
      <c r="X80" s="320"/>
      <c r="Y80" s="320"/>
      <c r="Z80" s="321"/>
      <c r="AA80" s="321"/>
      <c r="AB80" s="321"/>
      <c r="AC80" s="320"/>
      <c r="AD80" s="380"/>
      <c r="AE80" s="352"/>
      <c r="AF80" s="381">
        <f t="shared" si="11"/>
        <v>0</v>
      </c>
      <c r="AG80" s="381"/>
      <c r="AH80" s="408"/>
      <c r="AI80" s="409">
        <f t="shared" si="12"/>
        <v>0</v>
      </c>
      <c r="AJ80" s="410"/>
      <c r="AK80" s="411">
        <f t="shared" si="13"/>
        <v>0</v>
      </c>
    </row>
    <row r="81" spans="1:37" s="234" customFormat="1" ht="20.25">
      <c r="A81" s="316" t="s">
        <v>125</v>
      </c>
      <c r="B81" s="295"/>
      <c r="C81" s="295"/>
      <c r="D81" s="1077"/>
      <c r="E81" s="319"/>
      <c r="F81" s="320"/>
      <c r="G81" s="320"/>
      <c r="H81" s="321"/>
      <c r="I81" s="321"/>
      <c r="J81" s="320"/>
      <c r="K81" s="1090"/>
      <c r="L81" s="351"/>
      <c r="M81" s="352"/>
      <c r="N81" s="353"/>
      <c r="O81" s="321"/>
      <c r="P81" s="321"/>
      <c r="Q81" s="321"/>
      <c r="R81" s="321"/>
      <c r="S81" s="321"/>
      <c r="T81" s="321"/>
      <c r="U81" s="351"/>
      <c r="V81" s="352"/>
      <c r="W81" s="319"/>
      <c r="X81" s="320"/>
      <c r="Y81" s="320"/>
      <c r="Z81" s="321"/>
      <c r="AA81" s="321"/>
      <c r="AB81" s="321"/>
      <c r="AC81" s="320"/>
      <c r="AD81" s="380"/>
      <c r="AE81" s="352"/>
      <c r="AF81" s="381">
        <f t="shared" si="11"/>
        <v>0</v>
      </c>
      <c r="AG81" s="381"/>
      <c r="AH81" s="408"/>
      <c r="AI81" s="409">
        <f t="shared" si="12"/>
        <v>0</v>
      </c>
      <c r="AJ81" s="410"/>
      <c r="AK81" s="411">
        <f t="shared" si="13"/>
        <v>0</v>
      </c>
    </row>
    <row r="82" spans="1:37" s="234" customFormat="1" ht="20.25">
      <c r="A82" s="316" t="s">
        <v>125</v>
      </c>
      <c r="B82" s="295"/>
      <c r="C82" s="295"/>
      <c r="D82" s="1077"/>
      <c r="E82" s="319"/>
      <c r="F82" s="320"/>
      <c r="G82" s="320"/>
      <c r="H82" s="321"/>
      <c r="I82" s="321"/>
      <c r="J82" s="320"/>
      <c r="K82" s="1090"/>
      <c r="L82" s="351"/>
      <c r="M82" s="352"/>
      <c r="N82" s="353"/>
      <c r="O82" s="321"/>
      <c r="P82" s="321"/>
      <c r="Q82" s="321"/>
      <c r="R82" s="321"/>
      <c r="S82" s="321"/>
      <c r="T82" s="321"/>
      <c r="U82" s="351"/>
      <c r="V82" s="352"/>
      <c r="W82" s="319"/>
      <c r="X82" s="320"/>
      <c r="Y82" s="320"/>
      <c r="Z82" s="321"/>
      <c r="AA82" s="321"/>
      <c r="AB82" s="321"/>
      <c r="AC82" s="320"/>
      <c r="AD82" s="380"/>
      <c r="AE82" s="352"/>
      <c r="AF82" s="381">
        <f t="shared" si="11"/>
        <v>0</v>
      </c>
      <c r="AG82" s="381"/>
      <c r="AH82" s="408"/>
      <c r="AI82" s="409">
        <f t="shared" si="12"/>
        <v>0</v>
      </c>
      <c r="AJ82" s="410"/>
      <c r="AK82" s="411">
        <f t="shared" si="13"/>
        <v>0</v>
      </c>
    </row>
    <row r="83" spans="1:37" s="234" customFormat="1" ht="20.25">
      <c r="A83" s="316" t="s">
        <v>125</v>
      </c>
      <c r="B83" s="295"/>
      <c r="C83" s="295"/>
      <c r="D83" s="1077"/>
      <c r="E83" s="319"/>
      <c r="F83" s="320"/>
      <c r="G83" s="320"/>
      <c r="H83" s="321"/>
      <c r="I83" s="321"/>
      <c r="J83" s="320"/>
      <c r="K83" s="1090"/>
      <c r="L83" s="351"/>
      <c r="M83" s="352"/>
      <c r="N83" s="353"/>
      <c r="O83" s="321"/>
      <c r="P83" s="321"/>
      <c r="Q83" s="321"/>
      <c r="R83" s="321"/>
      <c r="S83" s="321"/>
      <c r="T83" s="321"/>
      <c r="U83" s="351"/>
      <c r="V83" s="352"/>
      <c r="W83" s="319"/>
      <c r="X83" s="320"/>
      <c r="Y83" s="320"/>
      <c r="Z83" s="321"/>
      <c r="AA83" s="321"/>
      <c r="AB83" s="321"/>
      <c r="AC83" s="320"/>
      <c r="AD83" s="380"/>
      <c r="AE83" s="352"/>
      <c r="AF83" s="381">
        <f t="shared" si="11"/>
        <v>0</v>
      </c>
      <c r="AG83" s="381"/>
      <c r="AH83" s="408"/>
      <c r="AI83" s="409">
        <f t="shared" si="12"/>
        <v>0</v>
      </c>
      <c r="AJ83" s="410"/>
      <c r="AK83" s="411">
        <f t="shared" si="13"/>
        <v>0</v>
      </c>
    </row>
    <row r="84" spans="1:37" s="234" customFormat="1" ht="20.25">
      <c r="A84" s="316" t="s">
        <v>125</v>
      </c>
      <c r="B84" s="295"/>
      <c r="C84" s="295"/>
      <c r="D84" s="1077"/>
      <c r="E84" s="319"/>
      <c r="F84" s="320"/>
      <c r="G84" s="320"/>
      <c r="H84" s="321"/>
      <c r="I84" s="321"/>
      <c r="J84" s="320"/>
      <c r="K84" s="1090"/>
      <c r="L84" s="351"/>
      <c r="M84" s="352"/>
      <c r="N84" s="353"/>
      <c r="O84" s="321"/>
      <c r="P84" s="321"/>
      <c r="Q84" s="321"/>
      <c r="R84" s="321"/>
      <c r="S84" s="321"/>
      <c r="T84" s="321"/>
      <c r="U84" s="351"/>
      <c r="V84" s="352"/>
      <c r="W84" s="319"/>
      <c r="X84" s="320"/>
      <c r="Y84" s="320"/>
      <c r="Z84" s="321"/>
      <c r="AA84" s="321"/>
      <c r="AB84" s="321"/>
      <c r="AC84" s="320"/>
      <c r="AD84" s="380"/>
      <c r="AE84" s="352"/>
      <c r="AF84" s="381">
        <f t="shared" si="11"/>
        <v>0</v>
      </c>
      <c r="AG84" s="381"/>
      <c r="AH84" s="408"/>
      <c r="AI84" s="409">
        <f t="shared" si="12"/>
        <v>0</v>
      </c>
      <c r="AJ84" s="410"/>
      <c r="AK84" s="411">
        <f t="shared" si="13"/>
        <v>0</v>
      </c>
    </row>
    <row r="85" spans="1:37" s="234" customFormat="1" ht="20.25">
      <c r="A85" s="316" t="s">
        <v>125</v>
      </c>
      <c r="B85" s="295"/>
      <c r="C85" s="295"/>
      <c r="D85" s="1077"/>
      <c r="E85" s="319"/>
      <c r="F85" s="320"/>
      <c r="G85" s="320"/>
      <c r="H85" s="321"/>
      <c r="I85" s="321"/>
      <c r="J85" s="320"/>
      <c r="K85" s="1090"/>
      <c r="L85" s="351"/>
      <c r="M85" s="352"/>
      <c r="N85" s="353"/>
      <c r="O85" s="321"/>
      <c r="P85" s="321"/>
      <c r="Q85" s="321"/>
      <c r="R85" s="321"/>
      <c r="S85" s="321"/>
      <c r="T85" s="321"/>
      <c r="U85" s="351"/>
      <c r="V85" s="352"/>
      <c r="W85" s="319"/>
      <c r="X85" s="320"/>
      <c r="Y85" s="320"/>
      <c r="Z85" s="321"/>
      <c r="AA85" s="321"/>
      <c r="AB85" s="321"/>
      <c r="AC85" s="320"/>
      <c r="AD85" s="380"/>
      <c r="AE85" s="352"/>
      <c r="AF85" s="381">
        <f t="shared" si="11"/>
        <v>0</v>
      </c>
      <c r="AG85" s="381"/>
      <c r="AH85" s="408"/>
      <c r="AI85" s="409">
        <f t="shared" si="12"/>
        <v>0</v>
      </c>
      <c r="AJ85" s="410"/>
      <c r="AK85" s="411">
        <f t="shared" si="13"/>
        <v>0</v>
      </c>
    </row>
    <row r="86" spans="1:37" s="234" customFormat="1" ht="20.25">
      <c r="A86" s="316" t="s">
        <v>125</v>
      </c>
      <c r="B86" s="295"/>
      <c r="C86" s="295"/>
      <c r="D86" s="1077"/>
      <c r="E86" s="319"/>
      <c r="F86" s="320"/>
      <c r="G86" s="320"/>
      <c r="H86" s="321"/>
      <c r="I86" s="321"/>
      <c r="J86" s="320"/>
      <c r="K86" s="1090"/>
      <c r="L86" s="351"/>
      <c r="M86" s="352"/>
      <c r="N86" s="353"/>
      <c r="O86" s="321"/>
      <c r="P86" s="321"/>
      <c r="Q86" s="321"/>
      <c r="R86" s="321"/>
      <c r="S86" s="321"/>
      <c r="T86" s="321"/>
      <c r="U86" s="351"/>
      <c r="V86" s="352"/>
      <c r="W86" s="319"/>
      <c r="X86" s="320"/>
      <c r="Y86" s="320"/>
      <c r="Z86" s="321"/>
      <c r="AA86" s="321"/>
      <c r="AB86" s="321"/>
      <c r="AC86" s="320"/>
      <c r="AD86" s="380"/>
      <c r="AE86" s="352"/>
      <c r="AF86" s="381">
        <f t="shared" si="11"/>
        <v>0</v>
      </c>
      <c r="AG86" s="381"/>
      <c r="AH86" s="408"/>
      <c r="AI86" s="409">
        <f t="shared" si="12"/>
        <v>0</v>
      </c>
      <c r="AJ86" s="410"/>
      <c r="AK86" s="411">
        <f t="shared" si="13"/>
        <v>0</v>
      </c>
    </row>
    <row r="87" spans="1:37" s="234" customFormat="1" ht="20.25">
      <c r="A87" s="316" t="s">
        <v>125</v>
      </c>
      <c r="B87" s="295"/>
      <c r="C87" s="295"/>
      <c r="D87" s="1077"/>
      <c r="E87" s="319"/>
      <c r="F87" s="320"/>
      <c r="G87" s="320"/>
      <c r="H87" s="321"/>
      <c r="I87" s="321"/>
      <c r="J87" s="320"/>
      <c r="K87" s="1090"/>
      <c r="L87" s="351"/>
      <c r="M87" s="352"/>
      <c r="N87" s="353"/>
      <c r="O87" s="321"/>
      <c r="P87" s="321"/>
      <c r="Q87" s="321"/>
      <c r="R87" s="321"/>
      <c r="S87" s="321"/>
      <c r="T87" s="321"/>
      <c r="U87" s="351"/>
      <c r="V87" s="352"/>
      <c r="W87" s="319"/>
      <c r="X87" s="320"/>
      <c r="Y87" s="320"/>
      <c r="Z87" s="321"/>
      <c r="AA87" s="321"/>
      <c r="AB87" s="321"/>
      <c r="AC87" s="320"/>
      <c r="AD87" s="380"/>
      <c r="AE87" s="352"/>
      <c r="AF87" s="381">
        <f t="shared" si="11"/>
        <v>0</v>
      </c>
      <c r="AG87" s="381"/>
      <c r="AH87" s="408"/>
      <c r="AI87" s="409">
        <f t="shared" si="12"/>
        <v>0</v>
      </c>
      <c r="AJ87" s="410"/>
      <c r="AK87" s="411">
        <f t="shared" si="13"/>
        <v>0</v>
      </c>
    </row>
    <row r="88" spans="1:37" s="234" customFormat="1" ht="20.25">
      <c r="A88" s="316" t="s">
        <v>125</v>
      </c>
      <c r="B88" s="295"/>
      <c r="C88" s="295"/>
      <c r="D88" s="1077"/>
      <c r="E88" s="319"/>
      <c r="F88" s="320"/>
      <c r="G88" s="320"/>
      <c r="H88" s="321"/>
      <c r="I88" s="321"/>
      <c r="J88" s="320"/>
      <c r="K88" s="1090"/>
      <c r="L88" s="351"/>
      <c r="M88" s="352"/>
      <c r="N88" s="353"/>
      <c r="O88" s="321"/>
      <c r="P88" s="321"/>
      <c r="Q88" s="321"/>
      <c r="R88" s="321"/>
      <c r="S88" s="321"/>
      <c r="T88" s="321"/>
      <c r="U88" s="351"/>
      <c r="V88" s="352"/>
      <c r="W88" s="319"/>
      <c r="X88" s="320"/>
      <c r="Y88" s="320"/>
      <c r="Z88" s="321"/>
      <c r="AA88" s="321"/>
      <c r="AB88" s="321"/>
      <c r="AC88" s="320"/>
      <c r="AD88" s="380"/>
      <c r="AE88" s="352"/>
      <c r="AF88" s="381">
        <f t="shared" si="11"/>
        <v>0</v>
      </c>
      <c r="AG88" s="381"/>
      <c r="AH88" s="408"/>
      <c r="AI88" s="409">
        <f t="shared" si="12"/>
        <v>0</v>
      </c>
      <c r="AJ88" s="410"/>
      <c r="AK88" s="411">
        <f t="shared" si="13"/>
        <v>0</v>
      </c>
    </row>
    <row r="89" spans="1:37" s="234" customFormat="1" ht="20.25">
      <c r="A89" s="316" t="s">
        <v>125</v>
      </c>
      <c r="B89" s="295"/>
      <c r="C89" s="295"/>
      <c r="D89" s="1077"/>
      <c r="E89" s="319"/>
      <c r="F89" s="320"/>
      <c r="G89" s="320"/>
      <c r="H89" s="321"/>
      <c r="I89" s="321"/>
      <c r="J89" s="320"/>
      <c r="K89" s="842"/>
      <c r="L89" s="351"/>
      <c r="M89" s="352"/>
      <c r="N89" s="353"/>
      <c r="O89" s="321"/>
      <c r="P89" s="321"/>
      <c r="Q89" s="321"/>
      <c r="R89" s="321"/>
      <c r="S89" s="321"/>
      <c r="T89" s="321"/>
      <c r="U89" s="351"/>
      <c r="V89" s="352"/>
      <c r="W89" s="319"/>
      <c r="X89" s="320"/>
      <c r="Y89" s="320"/>
      <c r="Z89" s="321"/>
      <c r="AA89" s="321"/>
      <c r="AB89" s="321"/>
      <c r="AC89" s="320"/>
      <c r="AD89" s="380"/>
      <c r="AE89" s="352"/>
      <c r="AF89" s="381">
        <f t="shared" si="11"/>
        <v>0</v>
      </c>
      <c r="AG89" s="381"/>
      <c r="AH89" s="408"/>
      <c r="AI89" s="409">
        <f t="shared" si="12"/>
        <v>0</v>
      </c>
      <c r="AJ89" s="410"/>
      <c r="AK89" s="411">
        <f t="shared" si="13"/>
        <v>0</v>
      </c>
    </row>
    <row r="90" spans="1:37" s="234" customFormat="1" ht="20.25">
      <c r="A90" s="316" t="s">
        <v>125</v>
      </c>
      <c r="B90" s="295"/>
      <c r="C90" s="295"/>
      <c r="D90" s="1077"/>
      <c r="E90" s="319"/>
      <c r="F90" s="320"/>
      <c r="G90" s="320"/>
      <c r="H90" s="321"/>
      <c r="I90" s="321"/>
      <c r="J90" s="320"/>
      <c r="K90" s="842"/>
      <c r="L90" s="351"/>
      <c r="M90" s="352"/>
      <c r="N90" s="353"/>
      <c r="O90" s="321"/>
      <c r="P90" s="321"/>
      <c r="Q90" s="321"/>
      <c r="R90" s="321"/>
      <c r="S90" s="321"/>
      <c r="T90" s="321"/>
      <c r="U90" s="351"/>
      <c r="V90" s="352"/>
      <c r="W90" s="319"/>
      <c r="X90" s="320"/>
      <c r="Y90" s="320"/>
      <c r="Z90" s="321"/>
      <c r="AA90" s="321"/>
      <c r="AB90" s="321"/>
      <c r="AC90" s="320"/>
      <c r="AD90" s="380"/>
      <c r="AE90" s="352"/>
      <c r="AF90" s="381">
        <f t="shared" si="11"/>
        <v>0</v>
      </c>
      <c r="AG90" s="381"/>
      <c r="AH90" s="408"/>
      <c r="AI90" s="409">
        <f t="shared" si="12"/>
        <v>0</v>
      </c>
      <c r="AJ90" s="410"/>
      <c r="AK90" s="411">
        <f t="shared" si="13"/>
        <v>0</v>
      </c>
    </row>
    <row r="91" spans="1:37" s="234" customFormat="1" ht="20.25">
      <c r="A91" s="316" t="s">
        <v>125</v>
      </c>
      <c r="B91" s="295"/>
      <c r="C91" s="295"/>
      <c r="D91" s="1077"/>
      <c r="E91" s="319"/>
      <c r="F91" s="320"/>
      <c r="G91" s="320"/>
      <c r="H91" s="321"/>
      <c r="I91" s="321"/>
      <c r="J91" s="320"/>
      <c r="K91" s="842"/>
      <c r="L91" s="351"/>
      <c r="M91" s="352"/>
      <c r="N91" s="353"/>
      <c r="O91" s="321"/>
      <c r="P91" s="321"/>
      <c r="Q91" s="321"/>
      <c r="R91" s="321"/>
      <c r="S91" s="321"/>
      <c r="T91" s="321"/>
      <c r="U91" s="351"/>
      <c r="V91" s="352"/>
      <c r="W91" s="319"/>
      <c r="X91" s="320"/>
      <c r="Y91" s="320"/>
      <c r="Z91" s="321"/>
      <c r="AA91" s="321"/>
      <c r="AB91" s="321"/>
      <c r="AC91" s="320"/>
      <c r="AD91" s="380"/>
      <c r="AE91" s="352"/>
      <c r="AF91" s="381">
        <f t="shared" si="11"/>
        <v>0</v>
      </c>
      <c r="AG91" s="381"/>
      <c r="AH91" s="408"/>
      <c r="AI91" s="409">
        <f t="shared" si="12"/>
        <v>0</v>
      </c>
      <c r="AJ91" s="410"/>
      <c r="AK91" s="411">
        <f t="shared" si="13"/>
        <v>0</v>
      </c>
    </row>
    <row r="92" spans="1:37" s="234" customFormat="1" ht="20.25">
      <c r="A92" s="316" t="s">
        <v>125</v>
      </c>
      <c r="B92" s="295"/>
      <c r="C92" s="295"/>
      <c r="D92" s="1077"/>
      <c r="E92" s="319"/>
      <c r="F92" s="320"/>
      <c r="G92" s="320"/>
      <c r="H92" s="321"/>
      <c r="I92" s="321"/>
      <c r="J92" s="320"/>
      <c r="K92" s="842"/>
      <c r="L92" s="351"/>
      <c r="M92" s="352"/>
      <c r="N92" s="353"/>
      <c r="O92" s="321"/>
      <c r="P92" s="321"/>
      <c r="Q92" s="321"/>
      <c r="R92" s="321"/>
      <c r="S92" s="321"/>
      <c r="T92" s="321"/>
      <c r="U92" s="351"/>
      <c r="V92" s="352"/>
      <c r="W92" s="319"/>
      <c r="X92" s="320"/>
      <c r="Y92" s="320"/>
      <c r="Z92" s="321"/>
      <c r="AA92" s="321"/>
      <c r="AB92" s="321"/>
      <c r="AC92" s="320"/>
      <c r="AD92" s="380"/>
      <c r="AE92" s="352"/>
      <c r="AF92" s="381">
        <f t="shared" si="11"/>
        <v>0</v>
      </c>
      <c r="AG92" s="381"/>
      <c r="AH92" s="408"/>
      <c r="AI92" s="409">
        <f t="shared" si="12"/>
        <v>0</v>
      </c>
      <c r="AJ92" s="410"/>
      <c r="AK92" s="411">
        <f t="shared" si="13"/>
        <v>0</v>
      </c>
    </row>
    <row r="93" spans="1:37" s="234" customFormat="1" ht="20.25">
      <c r="A93" s="316" t="s">
        <v>125</v>
      </c>
      <c r="B93" s="295"/>
      <c r="C93" s="295"/>
      <c r="D93" s="1077"/>
      <c r="E93" s="319"/>
      <c r="F93" s="320"/>
      <c r="G93" s="320"/>
      <c r="H93" s="321"/>
      <c r="I93" s="321"/>
      <c r="J93" s="320"/>
      <c r="K93" s="842"/>
      <c r="L93" s="351"/>
      <c r="M93" s="352"/>
      <c r="N93" s="353"/>
      <c r="O93" s="321"/>
      <c r="P93" s="321"/>
      <c r="Q93" s="321"/>
      <c r="R93" s="321"/>
      <c r="S93" s="321"/>
      <c r="T93" s="321"/>
      <c r="U93" s="351"/>
      <c r="V93" s="352"/>
      <c r="W93" s="319"/>
      <c r="X93" s="320"/>
      <c r="Y93" s="320"/>
      <c r="Z93" s="321"/>
      <c r="AA93" s="321"/>
      <c r="AB93" s="321"/>
      <c r="AC93" s="320"/>
      <c r="AD93" s="380"/>
      <c r="AE93" s="352"/>
      <c r="AF93" s="381">
        <f t="shared" si="11"/>
        <v>0</v>
      </c>
      <c r="AG93" s="381"/>
      <c r="AH93" s="408"/>
      <c r="AI93" s="409">
        <f t="shared" si="12"/>
        <v>0</v>
      </c>
      <c r="AJ93" s="410"/>
      <c r="AK93" s="411">
        <f t="shared" si="13"/>
        <v>0</v>
      </c>
    </row>
    <row r="94" spans="1:37" s="234" customFormat="1" ht="20.25">
      <c r="A94" s="316" t="s">
        <v>125</v>
      </c>
      <c r="B94" s="295"/>
      <c r="C94" s="295"/>
      <c r="D94" s="1077"/>
      <c r="E94" s="319"/>
      <c r="F94" s="320"/>
      <c r="G94" s="320"/>
      <c r="H94" s="321"/>
      <c r="I94" s="321"/>
      <c r="J94" s="320"/>
      <c r="K94" s="842"/>
      <c r="L94" s="351"/>
      <c r="M94" s="352"/>
      <c r="N94" s="353"/>
      <c r="O94" s="321"/>
      <c r="P94" s="321"/>
      <c r="Q94" s="321"/>
      <c r="R94" s="321"/>
      <c r="S94" s="321"/>
      <c r="T94" s="321"/>
      <c r="U94" s="351"/>
      <c r="V94" s="352"/>
      <c r="W94" s="319"/>
      <c r="X94" s="320"/>
      <c r="Y94" s="320"/>
      <c r="Z94" s="321"/>
      <c r="AA94" s="321"/>
      <c r="AB94" s="321"/>
      <c r="AC94" s="320"/>
      <c r="AD94" s="380"/>
      <c r="AE94" s="352"/>
      <c r="AF94" s="381">
        <f t="shared" si="11"/>
        <v>0</v>
      </c>
      <c r="AG94" s="381"/>
      <c r="AH94" s="408"/>
      <c r="AI94" s="409">
        <f t="shared" si="12"/>
        <v>0</v>
      </c>
      <c r="AJ94" s="410"/>
      <c r="AK94" s="411">
        <f t="shared" si="13"/>
        <v>0</v>
      </c>
    </row>
    <row r="95" spans="1:37" s="234" customFormat="1" ht="20.25">
      <c r="A95" s="316" t="s">
        <v>125</v>
      </c>
      <c r="B95" s="295"/>
      <c r="C95" s="295"/>
      <c r="D95" s="1077"/>
      <c r="E95" s="319"/>
      <c r="F95" s="320"/>
      <c r="G95" s="320"/>
      <c r="H95" s="321"/>
      <c r="I95" s="321"/>
      <c r="J95" s="320"/>
      <c r="K95" s="842"/>
      <c r="L95" s="351"/>
      <c r="M95" s="352"/>
      <c r="N95" s="353"/>
      <c r="O95" s="321"/>
      <c r="P95" s="321"/>
      <c r="Q95" s="321"/>
      <c r="R95" s="321"/>
      <c r="S95" s="321"/>
      <c r="T95" s="321"/>
      <c r="U95" s="351"/>
      <c r="V95" s="352"/>
      <c r="W95" s="319"/>
      <c r="X95" s="320"/>
      <c r="Y95" s="320"/>
      <c r="Z95" s="321"/>
      <c r="AA95" s="321"/>
      <c r="AB95" s="321"/>
      <c r="AC95" s="320"/>
      <c r="AD95" s="380"/>
      <c r="AE95" s="352"/>
      <c r="AF95" s="381">
        <f t="shared" si="11"/>
        <v>0</v>
      </c>
      <c r="AG95" s="381"/>
      <c r="AH95" s="408"/>
      <c r="AI95" s="409">
        <f t="shared" si="12"/>
        <v>0</v>
      </c>
      <c r="AJ95" s="410"/>
      <c r="AK95" s="411">
        <f t="shared" si="13"/>
        <v>0</v>
      </c>
    </row>
    <row r="96" spans="1:37" s="234" customFormat="1" ht="20.25">
      <c r="A96" s="316" t="s">
        <v>125</v>
      </c>
      <c r="B96" s="295"/>
      <c r="C96" s="295"/>
      <c r="D96" s="1077"/>
      <c r="E96" s="319"/>
      <c r="F96" s="320"/>
      <c r="G96" s="320"/>
      <c r="H96" s="321"/>
      <c r="I96" s="321"/>
      <c r="J96" s="320"/>
      <c r="K96" s="842"/>
      <c r="L96" s="351"/>
      <c r="M96" s="352"/>
      <c r="N96" s="353"/>
      <c r="O96" s="321"/>
      <c r="P96" s="321"/>
      <c r="Q96" s="321"/>
      <c r="R96" s="321"/>
      <c r="S96" s="321"/>
      <c r="T96" s="321"/>
      <c r="U96" s="351"/>
      <c r="V96" s="352"/>
      <c r="W96" s="319"/>
      <c r="X96" s="320"/>
      <c r="Y96" s="320"/>
      <c r="Z96" s="321"/>
      <c r="AA96" s="321"/>
      <c r="AB96" s="321"/>
      <c r="AC96" s="320"/>
      <c r="AD96" s="380"/>
      <c r="AE96" s="352"/>
      <c r="AF96" s="381">
        <f t="shared" si="11"/>
        <v>0</v>
      </c>
      <c r="AG96" s="381"/>
      <c r="AH96" s="408"/>
      <c r="AI96" s="409">
        <f t="shared" si="12"/>
        <v>0</v>
      </c>
      <c r="AJ96" s="410"/>
      <c r="AK96" s="411">
        <f t="shared" si="13"/>
        <v>0</v>
      </c>
    </row>
    <row r="97" spans="1:40" s="234" customFormat="1" ht="20.25">
      <c r="A97" s="316" t="s">
        <v>125</v>
      </c>
      <c r="B97" s="295"/>
      <c r="C97" s="295"/>
      <c r="D97" s="1077"/>
      <c r="E97" s="319"/>
      <c r="F97" s="320"/>
      <c r="G97" s="320"/>
      <c r="H97" s="321"/>
      <c r="I97" s="321"/>
      <c r="J97" s="320"/>
      <c r="K97" s="842"/>
      <c r="L97" s="351"/>
      <c r="M97" s="352"/>
      <c r="N97" s="353"/>
      <c r="O97" s="321"/>
      <c r="P97" s="321"/>
      <c r="Q97" s="321"/>
      <c r="R97" s="321"/>
      <c r="S97" s="321"/>
      <c r="T97" s="321"/>
      <c r="U97" s="351"/>
      <c r="V97" s="352"/>
      <c r="W97" s="319"/>
      <c r="X97" s="320"/>
      <c r="Y97" s="320"/>
      <c r="Z97" s="321"/>
      <c r="AA97" s="321"/>
      <c r="AB97" s="321"/>
      <c r="AC97" s="320"/>
      <c r="AD97" s="380"/>
      <c r="AE97" s="352"/>
      <c r="AF97" s="381">
        <f t="shared" si="11"/>
        <v>0</v>
      </c>
      <c r="AG97" s="381"/>
      <c r="AH97" s="408"/>
      <c r="AI97" s="409">
        <f t="shared" si="12"/>
        <v>0</v>
      </c>
      <c r="AJ97" s="410"/>
      <c r="AK97" s="411">
        <f t="shared" si="13"/>
        <v>0</v>
      </c>
    </row>
    <row r="98" spans="1:40" s="234" customFormat="1" ht="20.25">
      <c r="A98" s="316" t="s">
        <v>125</v>
      </c>
      <c r="B98" s="295"/>
      <c r="C98" s="295"/>
      <c r="D98" s="1077"/>
      <c r="E98" s="319"/>
      <c r="F98" s="320"/>
      <c r="G98" s="320"/>
      <c r="H98" s="321"/>
      <c r="I98" s="321"/>
      <c r="J98" s="320"/>
      <c r="K98" s="842"/>
      <c r="L98" s="351"/>
      <c r="M98" s="352"/>
      <c r="N98" s="353"/>
      <c r="O98" s="321"/>
      <c r="P98" s="321"/>
      <c r="Q98" s="321"/>
      <c r="R98" s="321"/>
      <c r="S98" s="321"/>
      <c r="T98" s="321"/>
      <c r="U98" s="351"/>
      <c r="V98" s="352"/>
      <c r="W98" s="319"/>
      <c r="X98" s="320"/>
      <c r="Y98" s="320"/>
      <c r="Z98" s="321"/>
      <c r="AA98" s="321"/>
      <c r="AB98" s="321"/>
      <c r="AC98" s="320"/>
      <c r="AD98" s="380"/>
      <c r="AE98" s="352"/>
      <c r="AF98" s="381">
        <f t="shared" si="11"/>
        <v>0</v>
      </c>
      <c r="AG98" s="381"/>
      <c r="AH98" s="408"/>
      <c r="AI98" s="409">
        <f t="shared" si="12"/>
        <v>0</v>
      </c>
      <c r="AJ98" s="410"/>
      <c r="AK98" s="411">
        <f t="shared" si="13"/>
        <v>0</v>
      </c>
    </row>
    <row r="99" spans="1:40" s="234" customFormat="1" ht="20.25">
      <c r="A99" s="316" t="s">
        <v>125</v>
      </c>
      <c r="B99" s="295"/>
      <c r="C99" s="295"/>
      <c r="D99" s="1077"/>
      <c r="E99" s="319"/>
      <c r="F99" s="320"/>
      <c r="G99" s="320"/>
      <c r="H99" s="321"/>
      <c r="I99" s="321"/>
      <c r="J99" s="320"/>
      <c r="K99" s="842"/>
      <c r="L99" s="351"/>
      <c r="M99" s="352"/>
      <c r="N99" s="353"/>
      <c r="O99" s="321"/>
      <c r="P99" s="321"/>
      <c r="Q99" s="321"/>
      <c r="R99" s="321"/>
      <c r="S99" s="321"/>
      <c r="T99" s="321"/>
      <c r="U99" s="351"/>
      <c r="V99" s="352"/>
      <c r="W99" s="319"/>
      <c r="X99" s="320"/>
      <c r="Y99" s="320"/>
      <c r="Z99" s="321"/>
      <c r="AA99" s="321"/>
      <c r="AB99" s="321"/>
      <c r="AC99" s="320"/>
      <c r="AD99" s="380"/>
      <c r="AE99" s="352"/>
      <c r="AF99" s="381">
        <f t="shared" si="11"/>
        <v>0</v>
      </c>
      <c r="AG99" s="381"/>
      <c r="AH99" s="408"/>
      <c r="AI99" s="409">
        <f t="shared" si="12"/>
        <v>0</v>
      </c>
      <c r="AJ99" s="410"/>
      <c r="AK99" s="411">
        <f t="shared" si="13"/>
        <v>0</v>
      </c>
    </row>
    <row r="100" spans="1:40" s="234" customFormat="1" ht="20.25">
      <c r="A100" s="316" t="s">
        <v>125</v>
      </c>
      <c r="B100" s="295"/>
      <c r="C100" s="295"/>
      <c r="D100" s="1077"/>
      <c r="E100" s="319"/>
      <c r="F100" s="320"/>
      <c r="G100" s="320"/>
      <c r="H100" s="321"/>
      <c r="I100" s="321"/>
      <c r="J100" s="320"/>
      <c r="K100" s="842"/>
      <c r="L100" s="351"/>
      <c r="M100" s="352"/>
      <c r="N100" s="353"/>
      <c r="O100" s="321"/>
      <c r="P100" s="321"/>
      <c r="Q100" s="321"/>
      <c r="R100" s="321"/>
      <c r="S100" s="321"/>
      <c r="T100" s="321"/>
      <c r="U100" s="351"/>
      <c r="V100" s="352"/>
      <c r="W100" s="319"/>
      <c r="X100" s="320"/>
      <c r="Y100" s="320"/>
      <c r="Z100" s="321"/>
      <c r="AA100" s="321"/>
      <c r="AB100" s="321"/>
      <c r="AC100" s="320"/>
      <c r="AD100" s="380"/>
      <c r="AE100" s="352"/>
      <c r="AF100" s="381">
        <f t="shared" si="11"/>
        <v>0</v>
      </c>
      <c r="AG100" s="381"/>
      <c r="AH100" s="408"/>
      <c r="AI100" s="409">
        <f t="shared" si="12"/>
        <v>0</v>
      </c>
      <c r="AJ100" s="410"/>
      <c r="AK100" s="411">
        <f t="shared" si="13"/>
        <v>0</v>
      </c>
    </row>
    <row r="101" spans="1:40" s="234" customFormat="1" ht="20.25">
      <c r="A101" s="316" t="s">
        <v>125</v>
      </c>
      <c r="B101" s="295"/>
      <c r="C101" s="295"/>
      <c r="D101" s="1077"/>
      <c r="E101" s="319"/>
      <c r="F101" s="320"/>
      <c r="G101" s="320"/>
      <c r="H101" s="321"/>
      <c r="I101" s="321"/>
      <c r="J101" s="320"/>
      <c r="K101" s="842"/>
      <c r="L101" s="351"/>
      <c r="M101" s="352"/>
      <c r="N101" s="353"/>
      <c r="O101" s="321"/>
      <c r="P101" s="321"/>
      <c r="Q101" s="321"/>
      <c r="R101" s="321"/>
      <c r="S101" s="321"/>
      <c r="T101" s="321"/>
      <c r="U101" s="351"/>
      <c r="V101" s="352"/>
      <c r="W101" s="319"/>
      <c r="X101" s="320"/>
      <c r="Y101" s="320"/>
      <c r="Z101" s="321"/>
      <c r="AA101" s="321"/>
      <c r="AB101" s="321"/>
      <c r="AC101" s="320"/>
      <c r="AD101" s="380"/>
      <c r="AE101" s="352"/>
      <c r="AF101" s="381">
        <f t="shared" si="11"/>
        <v>0</v>
      </c>
      <c r="AG101" s="381"/>
      <c r="AH101" s="408"/>
      <c r="AI101" s="409">
        <f t="shared" si="12"/>
        <v>0</v>
      </c>
      <c r="AJ101" s="410"/>
      <c r="AK101" s="411">
        <f t="shared" si="13"/>
        <v>0</v>
      </c>
    </row>
    <row r="102" spans="1:40" s="234" customFormat="1" ht="21" thickBot="1">
      <c r="A102" s="316" t="s">
        <v>125</v>
      </c>
      <c r="B102" s="295"/>
      <c r="C102" s="295"/>
      <c r="D102" s="1077"/>
      <c r="E102" s="319"/>
      <c r="F102" s="320"/>
      <c r="G102" s="320"/>
      <c r="H102" s="321"/>
      <c r="I102" s="321"/>
      <c r="J102" s="320"/>
      <c r="K102" s="842"/>
      <c r="L102" s="351"/>
      <c r="M102" s="352"/>
      <c r="N102" s="353"/>
      <c r="O102" s="321"/>
      <c r="P102" s="321"/>
      <c r="Q102" s="321"/>
      <c r="R102" s="321"/>
      <c r="S102" s="321"/>
      <c r="T102" s="321"/>
      <c r="U102" s="351"/>
      <c r="V102" s="352"/>
      <c r="W102" s="319"/>
      <c r="X102" s="320"/>
      <c r="Y102" s="320"/>
      <c r="Z102" s="321"/>
      <c r="AA102" s="321"/>
      <c r="AB102" s="321"/>
      <c r="AC102" s="320"/>
      <c r="AD102" s="380"/>
      <c r="AE102" s="352"/>
      <c r="AF102" s="381">
        <f t="shared" si="11"/>
        <v>0</v>
      </c>
      <c r="AG102" s="381"/>
      <c r="AH102" s="408"/>
      <c r="AI102" s="409">
        <f t="shared" si="12"/>
        <v>0</v>
      </c>
      <c r="AJ102" s="410"/>
      <c r="AK102" s="411">
        <f t="shared" si="13"/>
        <v>0</v>
      </c>
    </row>
    <row r="103" spans="1:40" s="283" customFormat="1" ht="21" thickBot="1">
      <c r="A103" s="322"/>
      <c r="B103" s="323"/>
      <c r="C103" s="323"/>
      <c r="D103" s="1078"/>
      <c r="E103" s="325"/>
      <c r="F103" s="297"/>
      <c r="G103" s="297"/>
      <c r="H103" s="298"/>
      <c r="I103" s="298"/>
      <c r="J103" s="297"/>
      <c r="K103" s="1086"/>
      <c r="L103" s="367"/>
      <c r="M103" s="355"/>
      <c r="N103" s="343"/>
      <c r="O103" s="298"/>
      <c r="P103" s="298"/>
      <c r="Q103" s="298"/>
      <c r="R103" s="298"/>
      <c r="S103" s="298"/>
      <c r="T103" s="298"/>
      <c r="U103" s="367"/>
      <c r="V103" s="355"/>
      <c r="W103" s="325"/>
      <c r="X103" s="297"/>
      <c r="Y103" s="297"/>
      <c r="Z103" s="298"/>
      <c r="AA103" s="298"/>
      <c r="AB103" s="298"/>
      <c r="AC103" s="297"/>
      <c r="AD103" s="375"/>
      <c r="AE103" s="355"/>
      <c r="AF103" s="376">
        <f t="shared" si="11"/>
        <v>0</v>
      </c>
      <c r="AG103" s="377"/>
      <c r="AH103" s="390"/>
      <c r="AI103" s="391">
        <f t="shared" si="12"/>
        <v>0</v>
      </c>
      <c r="AJ103" s="412"/>
      <c r="AK103" s="413">
        <f t="shared" si="13"/>
        <v>0</v>
      </c>
      <c r="AL103" s="414" t="s">
        <v>8</v>
      </c>
      <c r="AM103" s="397" t="s">
        <v>23</v>
      </c>
      <c r="AN103" s="415" t="s">
        <v>174</v>
      </c>
    </row>
    <row r="104" spans="1:40" s="284" customFormat="1" ht="19.5" thickBot="1">
      <c r="A104" s="326" t="s">
        <v>126</v>
      </c>
      <c r="B104" s="327"/>
      <c r="C104" s="327"/>
      <c r="D104" s="328"/>
      <c r="E104" s="329">
        <f t="shared" ref="E104:L104" si="14">SUM(E71:E103)</f>
        <v>0</v>
      </c>
      <c r="F104" s="330">
        <f t="shared" si="14"/>
        <v>0</v>
      </c>
      <c r="G104" s="330">
        <f t="shared" si="14"/>
        <v>0</v>
      </c>
      <c r="H104" s="330">
        <f t="shared" si="14"/>
        <v>0</v>
      </c>
      <c r="I104" s="330">
        <f t="shared" si="14"/>
        <v>0</v>
      </c>
      <c r="J104" s="330">
        <f t="shared" si="14"/>
        <v>0</v>
      </c>
      <c r="K104" s="330">
        <f t="shared" si="14"/>
        <v>0</v>
      </c>
      <c r="L104" s="356">
        <f t="shared" si="14"/>
        <v>0</v>
      </c>
      <c r="M104" s="357"/>
      <c r="N104" s="358">
        <f t="shared" ref="N104:U104" si="15">SUM(N71:N103)</f>
        <v>0</v>
      </c>
      <c r="O104" s="359">
        <f t="shared" si="15"/>
        <v>0</v>
      </c>
      <c r="P104" s="359">
        <f t="shared" si="15"/>
        <v>0</v>
      </c>
      <c r="Q104" s="359">
        <f t="shared" si="15"/>
        <v>0</v>
      </c>
      <c r="R104" s="359">
        <f t="shared" si="15"/>
        <v>0</v>
      </c>
      <c r="S104" s="359">
        <f t="shared" si="15"/>
        <v>0</v>
      </c>
      <c r="T104" s="359">
        <f t="shared" si="15"/>
        <v>0</v>
      </c>
      <c r="U104" s="369">
        <f t="shared" si="15"/>
        <v>0</v>
      </c>
      <c r="V104" s="357"/>
      <c r="W104" s="358">
        <f>SUM(W71:W103)</f>
        <v>0</v>
      </c>
      <c r="X104" s="359">
        <f>SUM(X71:X103)</f>
        <v>0</v>
      </c>
      <c r="Y104" s="359">
        <f t="shared" ref="Y104:AD104" si="16">SUM(Y71:Y103)</f>
        <v>0</v>
      </c>
      <c r="Z104" s="359">
        <f t="shared" si="16"/>
        <v>0</v>
      </c>
      <c r="AA104" s="359">
        <f t="shared" si="16"/>
        <v>0</v>
      </c>
      <c r="AB104" s="359">
        <f t="shared" si="16"/>
        <v>0</v>
      </c>
      <c r="AC104" s="359">
        <f t="shared" si="16"/>
        <v>0</v>
      </c>
      <c r="AD104" s="369">
        <f t="shared" si="16"/>
        <v>0</v>
      </c>
      <c r="AE104" s="357"/>
      <c r="AF104" s="382">
        <f t="shared" ref="AF104:AK104" si="17">SUM(AF71:AF103)</f>
        <v>0</v>
      </c>
      <c r="AG104" s="382">
        <f t="shared" si="17"/>
        <v>0</v>
      </c>
      <c r="AH104" s="416">
        <f t="shared" si="17"/>
        <v>0</v>
      </c>
      <c r="AI104" s="417">
        <f t="shared" si="17"/>
        <v>0</v>
      </c>
      <c r="AJ104" s="382">
        <f t="shared" si="17"/>
        <v>0</v>
      </c>
      <c r="AK104" s="418">
        <f t="shared" si="17"/>
        <v>0</v>
      </c>
      <c r="AL104" s="399">
        <f>'BIG CHAIR'!CL146</f>
        <v>0</v>
      </c>
      <c r="AM104" s="400">
        <f>'Tea Table'!X202</f>
        <v>0</v>
      </c>
      <c r="AN104" s="401">
        <f>AI104+AL104+AM104</f>
        <v>0</v>
      </c>
    </row>
    <row r="105" spans="1:40" ht="24" thickBot="1">
      <c r="A105" s="286" t="s">
        <v>127</v>
      </c>
      <c r="B105" s="287" t="s">
        <v>68</v>
      </c>
      <c r="C105" s="287" t="s">
        <v>69</v>
      </c>
      <c r="D105" s="3376" t="s">
        <v>70</v>
      </c>
      <c r="E105" s="743" t="s">
        <v>96</v>
      </c>
      <c r="F105" s="744" t="s">
        <v>124</v>
      </c>
      <c r="G105" s="744" t="s">
        <v>228</v>
      </c>
      <c r="H105" s="744" t="s">
        <v>149</v>
      </c>
      <c r="I105" s="744" t="s">
        <v>470</v>
      </c>
      <c r="J105" s="744" t="s">
        <v>92</v>
      </c>
      <c r="K105" s="50" t="s">
        <v>479</v>
      </c>
      <c r="L105" s="783" t="s">
        <v>497</v>
      </c>
      <c r="M105" s="578"/>
      <c r="N105" s="80" t="s">
        <v>71</v>
      </c>
      <c r="O105" s="49" t="s">
        <v>53</v>
      </c>
      <c r="P105" s="49" t="s">
        <v>118</v>
      </c>
      <c r="Q105" s="49" t="s">
        <v>407</v>
      </c>
      <c r="R105" s="49" t="s">
        <v>457</v>
      </c>
      <c r="S105" s="49" t="s">
        <v>94</v>
      </c>
      <c r="T105" s="126" t="s">
        <v>77</v>
      </c>
      <c r="U105" s="717" t="s">
        <v>482</v>
      </c>
      <c r="V105" s="578"/>
      <c r="W105" s="764" t="e">
        <f>#REF!</f>
        <v>#REF!</v>
      </c>
      <c r="X105" s="765" t="s">
        <v>96</v>
      </c>
      <c r="Y105" s="765" t="e">
        <f>#REF!</f>
        <v>#REF!</v>
      </c>
      <c r="Z105" s="49" t="s">
        <v>496</v>
      </c>
      <c r="AA105" s="765" t="e">
        <f>#REF!</f>
        <v>#REF!</v>
      </c>
      <c r="AB105" s="765" t="e">
        <f>#REF!</f>
        <v>#REF!</v>
      </c>
      <c r="AC105" s="765" t="e">
        <f>#REF!</f>
        <v>#REF!</v>
      </c>
      <c r="AD105" s="772" t="e">
        <f>#REF!</f>
        <v>#REF!</v>
      </c>
      <c r="AE105" s="370"/>
      <c r="AF105" s="371" t="s">
        <v>172</v>
      </c>
      <c r="AG105" s="372" t="s">
        <v>80</v>
      </c>
      <c r="AH105" s="385"/>
      <c r="AI105" s="386" t="s">
        <v>106</v>
      </c>
      <c r="AJ105" s="385" t="s">
        <v>173</v>
      </c>
      <c r="AK105" s="371" t="s">
        <v>108</v>
      </c>
      <c r="AL105" s="282"/>
      <c r="AM105" s="282"/>
      <c r="AN105" s="282"/>
    </row>
    <row r="106" spans="1:40" ht="20.25">
      <c r="A106" s="316" t="s">
        <v>128</v>
      </c>
      <c r="B106" s="822" t="s">
        <v>471</v>
      </c>
      <c r="C106" s="295"/>
      <c r="D106" s="1077"/>
      <c r="E106" s="319"/>
      <c r="F106" s="320"/>
      <c r="G106" s="320"/>
      <c r="H106" s="321"/>
      <c r="I106" s="321"/>
      <c r="J106" s="320"/>
      <c r="K106" s="320"/>
      <c r="L106" s="363"/>
      <c r="M106" s="352"/>
      <c r="N106" s="353"/>
      <c r="O106" s="321"/>
      <c r="P106" s="321"/>
      <c r="Q106" s="321"/>
      <c r="R106" s="321"/>
      <c r="S106" s="321"/>
      <c r="T106" s="321"/>
      <c r="U106" s="351"/>
      <c r="V106" s="352"/>
      <c r="W106" s="319"/>
      <c r="X106" s="320"/>
      <c r="Y106" s="320"/>
      <c r="Z106" s="321"/>
      <c r="AA106" s="321"/>
      <c r="AB106" s="321"/>
      <c r="AC106" s="320"/>
      <c r="AD106" s="380"/>
      <c r="AE106" s="352"/>
      <c r="AF106" s="381">
        <f>SUM(E106:AD106)</f>
        <v>0</v>
      </c>
      <c r="AG106" s="381"/>
      <c r="AH106" s="408"/>
      <c r="AI106" s="409">
        <f>AF106+AG106</f>
        <v>0</v>
      </c>
      <c r="AJ106" s="410"/>
      <c r="AK106" s="411">
        <f>AI106+AJ106</f>
        <v>0</v>
      </c>
      <c r="AL106" s="234"/>
      <c r="AM106" s="234"/>
      <c r="AN106" s="234"/>
    </row>
    <row r="107" spans="1:40" ht="20.25">
      <c r="A107" s="316" t="s">
        <v>128</v>
      </c>
      <c r="B107" s="822"/>
      <c r="C107" s="295"/>
      <c r="D107" s="1077"/>
      <c r="E107" s="319"/>
      <c r="F107" s="320"/>
      <c r="G107" s="320"/>
      <c r="H107" s="321"/>
      <c r="I107" s="321"/>
      <c r="J107" s="320"/>
      <c r="K107" s="320"/>
      <c r="L107" s="363"/>
      <c r="M107" s="352"/>
      <c r="N107" s="353"/>
      <c r="O107" s="321"/>
      <c r="P107" s="321"/>
      <c r="Q107" s="321"/>
      <c r="R107" s="321"/>
      <c r="S107" s="321"/>
      <c r="T107" s="321"/>
      <c r="U107" s="351"/>
      <c r="V107" s="352"/>
      <c r="W107" s="319"/>
      <c r="X107" s="320"/>
      <c r="Y107" s="320"/>
      <c r="Z107" s="321"/>
      <c r="AA107" s="321"/>
      <c r="AB107" s="321"/>
      <c r="AC107" s="320"/>
      <c r="AD107" s="380"/>
      <c r="AE107" s="352"/>
      <c r="AF107" s="381">
        <f>SUM(E107:AD107)</f>
        <v>0</v>
      </c>
      <c r="AG107" s="381"/>
      <c r="AH107" s="408"/>
      <c r="AI107" s="409">
        <f>AF107+AG107</f>
        <v>0</v>
      </c>
      <c r="AJ107" s="410"/>
      <c r="AK107" s="411">
        <f>AI107+AJ107</f>
        <v>0</v>
      </c>
      <c r="AL107" s="234"/>
      <c r="AM107" s="234"/>
      <c r="AN107" s="234"/>
    </row>
    <row r="108" spans="1:40" ht="20.25">
      <c r="A108" s="316" t="s">
        <v>128</v>
      </c>
      <c r="B108" s="822"/>
      <c r="C108" s="295"/>
      <c r="D108" s="1077"/>
      <c r="E108" s="319"/>
      <c r="F108" s="320"/>
      <c r="G108" s="320"/>
      <c r="H108" s="321"/>
      <c r="I108" s="321"/>
      <c r="J108" s="320"/>
      <c r="K108" s="320"/>
      <c r="L108" s="363"/>
      <c r="M108" s="352"/>
      <c r="N108" s="353"/>
      <c r="O108" s="321"/>
      <c r="P108" s="321"/>
      <c r="Q108" s="321"/>
      <c r="R108" s="321"/>
      <c r="S108" s="321"/>
      <c r="T108" s="321"/>
      <c r="U108" s="351"/>
      <c r="V108" s="352"/>
      <c r="W108" s="319"/>
      <c r="X108" s="320"/>
      <c r="Y108" s="320"/>
      <c r="Z108" s="321"/>
      <c r="AA108" s="321"/>
      <c r="AB108" s="321"/>
      <c r="AC108" s="320"/>
      <c r="AD108" s="380"/>
      <c r="AE108" s="352"/>
      <c r="AF108" s="381">
        <f>SUM(E108:AD108)</f>
        <v>0</v>
      </c>
      <c r="AG108" s="381"/>
      <c r="AH108" s="408"/>
      <c r="AI108" s="409">
        <f>AF108+AG108</f>
        <v>0</v>
      </c>
      <c r="AJ108" s="410"/>
      <c r="AK108" s="411">
        <f>AI108+AJ108</f>
        <v>0</v>
      </c>
      <c r="AL108" s="234"/>
      <c r="AM108" s="234"/>
      <c r="AN108" s="234"/>
    </row>
    <row r="109" spans="1:40" ht="20.25">
      <c r="A109" s="316" t="s">
        <v>128</v>
      </c>
      <c r="B109" s="822"/>
      <c r="C109" s="295"/>
      <c r="D109" s="1077"/>
      <c r="E109" s="319"/>
      <c r="F109" s="320"/>
      <c r="G109" s="320"/>
      <c r="H109" s="321"/>
      <c r="I109" s="321"/>
      <c r="J109" s="320"/>
      <c r="K109" s="1090"/>
      <c r="L109" s="363"/>
      <c r="M109" s="352"/>
      <c r="N109" s="353"/>
      <c r="O109" s="321"/>
      <c r="P109" s="321"/>
      <c r="Q109" s="321"/>
      <c r="R109" s="321"/>
      <c r="S109" s="321"/>
      <c r="T109" s="321"/>
      <c r="U109" s="351"/>
      <c r="V109" s="352"/>
      <c r="W109" s="319"/>
      <c r="X109" s="320"/>
      <c r="Y109" s="320"/>
      <c r="Z109" s="321"/>
      <c r="AA109" s="321"/>
      <c r="AB109" s="321"/>
      <c r="AC109" s="320"/>
      <c r="AD109" s="380"/>
      <c r="AE109" s="352"/>
      <c r="AF109" s="381">
        <f t="shared" ref="AF109:AF136" si="18">SUM(E109:AD109)</f>
        <v>0</v>
      </c>
      <c r="AG109" s="381"/>
      <c r="AH109" s="408"/>
      <c r="AI109" s="409">
        <f t="shared" ref="AI109:AI136" si="19">AF109+AG109</f>
        <v>0</v>
      </c>
      <c r="AJ109" s="410"/>
      <c r="AK109" s="411">
        <f t="shared" ref="AK109:AK136" si="20">AI109+AJ109</f>
        <v>0</v>
      </c>
      <c r="AL109" s="234"/>
      <c r="AM109" s="234"/>
      <c r="AN109" s="234"/>
    </row>
    <row r="110" spans="1:40" ht="20.25">
      <c r="A110" s="316" t="s">
        <v>128</v>
      </c>
      <c r="B110" s="710"/>
      <c r="C110" s="295"/>
      <c r="D110" s="1077"/>
      <c r="E110" s="319"/>
      <c r="F110" s="320"/>
      <c r="G110" s="320"/>
      <c r="H110" s="321"/>
      <c r="I110" s="321"/>
      <c r="J110" s="320"/>
      <c r="K110" s="1090"/>
      <c r="L110" s="351"/>
      <c r="M110" s="352"/>
      <c r="N110" s="353"/>
      <c r="O110" s="321"/>
      <c r="P110" s="321"/>
      <c r="Q110" s="321"/>
      <c r="R110" s="321"/>
      <c r="S110" s="321"/>
      <c r="T110" s="321"/>
      <c r="U110" s="351"/>
      <c r="V110" s="352"/>
      <c r="W110" s="319"/>
      <c r="X110" s="320"/>
      <c r="Y110" s="320"/>
      <c r="Z110" s="321"/>
      <c r="AA110" s="321"/>
      <c r="AB110" s="321"/>
      <c r="AC110" s="320"/>
      <c r="AD110" s="380"/>
      <c r="AE110" s="352"/>
      <c r="AF110" s="381">
        <f t="shared" si="18"/>
        <v>0</v>
      </c>
      <c r="AG110" s="381"/>
      <c r="AH110" s="408"/>
      <c r="AI110" s="409">
        <f t="shared" si="19"/>
        <v>0</v>
      </c>
      <c r="AJ110" s="410"/>
      <c r="AK110" s="411">
        <f t="shared" si="20"/>
        <v>0</v>
      </c>
      <c r="AL110" s="234"/>
      <c r="AM110" s="234"/>
      <c r="AN110" s="234"/>
    </row>
    <row r="111" spans="1:40" ht="20.25">
      <c r="A111" s="316" t="s">
        <v>128</v>
      </c>
      <c r="B111" s="710"/>
      <c r="C111" s="295"/>
      <c r="D111" s="1077"/>
      <c r="E111" s="319"/>
      <c r="F111" s="320"/>
      <c r="G111" s="320"/>
      <c r="H111" s="321"/>
      <c r="I111" s="321"/>
      <c r="J111" s="320"/>
      <c r="K111" s="1090"/>
      <c r="L111" s="351"/>
      <c r="M111" s="352"/>
      <c r="N111" s="353"/>
      <c r="O111" s="321"/>
      <c r="P111" s="321"/>
      <c r="Q111" s="321"/>
      <c r="R111" s="321"/>
      <c r="S111" s="321"/>
      <c r="T111" s="321"/>
      <c r="U111" s="351"/>
      <c r="V111" s="352"/>
      <c r="W111" s="319"/>
      <c r="X111" s="320"/>
      <c r="Y111" s="320"/>
      <c r="Z111" s="321"/>
      <c r="AA111" s="321"/>
      <c r="AB111" s="321"/>
      <c r="AC111" s="320"/>
      <c r="AD111" s="380"/>
      <c r="AE111" s="352"/>
      <c r="AF111" s="381">
        <f t="shared" si="18"/>
        <v>0</v>
      </c>
      <c r="AG111" s="381"/>
      <c r="AH111" s="408"/>
      <c r="AI111" s="409">
        <f t="shared" si="19"/>
        <v>0</v>
      </c>
      <c r="AJ111" s="410"/>
      <c r="AK111" s="411">
        <f t="shared" si="20"/>
        <v>0</v>
      </c>
      <c r="AL111" s="234"/>
      <c r="AM111" s="234"/>
      <c r="AN111" s="234"/>
    </row>
    <row r="112" spans="1:40" ht="20.25">
      <c r="A112" s="316" t="s">
        <v>128</v>
      </c>
      <c r="B112" s="710"/>
      <c r="C112" s="295"/>
      <c r="D112" s="1077"/>
      <c r="E112" s="319"/>
      <c r="F112" s="320"/>
      <c r="G112" s="320"/>
      <c r="H112" s="321"/>
      <c r="I112" s="321"/>
      <c r="J112" s="320"/>
      <c r="K112" s="1090"/>
      <c r="L112" s="351"/>
      <c r="M112" s="352"/>
      <c r="N112" s="353"/>
      <c r="O112" s="321"/>
      <c r="P112" s="321"/>
      <c r="Q112" s="321"/>
      <c r="R112" s="321"/>
      <c r="S112" s="321"/>
      <c r="T112" s="321"/>
      <c r="U112" s="351"/>
      <c r="V112" s="352"/>
      <c r="W112" s="319"/>
      <c r="X112" s="320"/>
      <c r="Y112" s="320"/>
      <c r="Z112" s="321"/>
      <c r="AA112" s="321"/>
      <c r="AB112" s="321"/>
      <c r="AC112" s="320"/>
      <c r="AD112" s="380"/>
      <c r="AE112" s="352"/>
      <c r="AF112" s="381">
        <f t="shared" si="18"/>
        <v>0</v>
      </c>
      <c r="AG112" s="381"/>
      <c r="AH112" s="408"/>
      <c r="AI112" s="409">
        <f t="shared" si="19"/>
        <v>0</v>
      </c>
      <c r="AJ112" s="410"/>
      <c r="AK112" s="411">
        <f t="shared" si="20"/>
        <v>0</v>
      </c>
      <c r="AL112" s="234"/>
      <c r="AM112" s="234"/>
      <c r="AN112" s="234"/>
    </row>
    <row r="113" spans="1:40" ht="20.25">
      <c r="A113" s="316" t="s">
        <v>128</v>
      </c>
      <c r="B113" s="710"/>
      <c r="C113" s="295"/>
      <c r="D113" s="1077"/>
      <c r="E113" s="319"/>
      <c r="F113" s="320"/>
      <c r="G113" s="320"/>
      <c r="H113" s="321"/>
      <c r="I113" s="321"/>
      <c r="J113" s="320"/>
      <c r="K113" s="1090"/>
      <c r="L113" s="351"/>
      <c r="M113" s="352"/>
      <c r="N113" s="353"/>
      <c r="O113" s="321"/>
      <c r="P113" s="321"/>
      <c r="Q113" s="321"/>
      <c r="R113" s="321"/>
      <c r="S113" s="321"/>
      <c r="T113" s="321"/>
      <c r="U113" s="351"/>
      <c r="V113" s="352"/>
      <c r="W113" s="319"/>
      <c r="X113" s="320"/>
      <c r="Y113" s="320"/>
      <c r="Z113" s="321"/>
      <c r="AA113" s="321"/>
      <c r="AB113" s="321"/>
      <c r="AC113" s="320"/>
      <c r="AD113" s="380"/>
      <c r="AE113" s="352"/>
      <c r="AF113" s="381">
        <f t="shared" si="18"/>
        <v>0</v>
      </c>
      <c r="AG113" s="381"/>
      <c r="AH113" s="408"/>
      <c r="AI113" s="409">
        <f t="shared" si="19"/>
        <v>0</v>
      </c>
      <c r="AJ113" s="410"/>
      <c r="AK113" s="411">
        <f t="shared" si="20"/>
        <v>0</v>
      </c>
      <c r="AL113" s="234"/>
      <c r="AM113" s="234"/>
      <c r="AN113" s="234"/>
    </row>
    <row r="114" spans="1:40" ht="20.25">
      <c r="A114" s="316" t="s">
        <v>128</v>
      </c>
      <c r="B114" s="710"/>
      <c r="C114" s="295"/>
      <c r="D114" s="1077"/>
      <c r="E114" s="319"/>
      <c r="F114" s="320"/>
      <c r="G114" s="320"/>
      <c r="H114" s="321"/>
      <c r="I114" s="321"/>
      <c r="J114" s="320"/>
      <c r="K114" s="1090"/>
      <c r="L114" s="351"/>
      <c r="M114" s="352"/>
      <c r="N114" s="353"/>
      <c r="O114" s="321"/>
      <c r="P114" s="321"/>
      <c r="Q114" s="321"/>
      <c r="R114" s="321"/>
      <c r="S114" s="321"/>
      <c r="T114" s="321"/>
      <c r="U114" s="351"/>
      <c r="V114" s="352"/>
      <c r="W114" s="319"/>
      <c r="X114" s="320"/>
      <c r="Y114" s="320"/>
      <c r="Z114" s="321"/>
      <c r="AA114" s="321"/>
      <c r="AB114" s="321"/>
      <c r="AC114" s="320"/>
      <c r="AD114" s="380"/>
      <c r="AE114" s="352"/>
      <c r="AF114" s="381">
        <f t="shared" si="18"/>
        <v>0</v>
      </c>
      <c r="AG114" s="381"/>
      <c r="AH114" s="408"/>
      <c r="AI114" s="409">
        <f t="shared" si="19"/>
        <v>0</v>
      </c>
      <c r="AJ114" s="410"/>
      <c r="AK114" s="411">
        <f t="shared" si="20"/>
        <v>0</v>
      </c>
      <c r="AL114" s="234"/>
      <c r="AM114" s="234"/>
      <c r="AN114" s="234"/>
    </row>
    <row r="115" spans="1:40" ht="20.25">
      <c r="A115" s="316" t="s">
        <v>128</v>
      </c>
      <c r="B115" s="710"/>
      <c r="C115" s="295"/>
      <c r="D115" s="1077"/>
      <c r="E115" s="319"/>
      <c r="F115" s="320"/>
      <c r="G115" s="320"/>
      <c r="H115" s="321"/>
      <c r="I115" s="321"/>
      <c r="J115" s="320"/>
      <c r="K115" s="1090"/>
      <c r="L115" s="351"/>
      <c r="M115" s="352"/>
      <c r="N115" s="353"/>
      <c r="O115" s="321"/>
      <c r="P115" s="321"/>
      <c r="Q115" s="321"/>
      <c r="R115" s="321"/>
      <c r="S115" s="321"/>
      <c r="T115" s="321"/>
      <c r="U115" s="351"/>
      <c r="V115" s="352"/>
      <c r="W115" s="319"/>
      <c r="X115" s="320"/>
      <c r="Y115" s="320"/>
      <c r="Z115" s="321"/>
      <c r="AA115" s="321"/>
      <c r="AB115" s="321"/>
      <c r="AC115" s="320"/>
      <c r="AD115" s="380"/>
      <c r="AE115" s="352"/>
      <c r="AF115" s="381">
        <f t="shared" si="18"/>
        <v>0</v>
      </c>
      <c r="AG115" s="381"/>
      <c r="AH115" s="408"/>
      <c r="AI115" s="409">
        <f t="shared" si="19"/>
        <v>0</v>
      </c>
      <c r="AJ115" s="410"/>
      <c r="AK115" s="411">
        <f t="shared" si="20"/>
        <v>0</v>
      </c>
      <c r="AL115" s="234"/>
      <c r="AM115" s="234"/>
      <c r="AN115" s="234"/>
    </row>
    <row r="116" spans="1:40" ht="20.25">
      <c r="A116" s="316" t="s">
        <v>128</v>
      </c>
      <c r="B116" s="822"/>
      <c r="C116" s="295"/>
      <c r="D116" s="1077"/>
      <c r="E116" s="319"/>
      <c r="F116" s="320"/>
      <c r="G116" s="320"/>
      <c r="H116" s="321"/>
      <c r="I116" s="321"/>
      <c r="J116" s="320"/>
      <c r="K116" s="1090"/>
      <c r="L116" s="351"/>
      <c r="M116" s="352"/>
      <c r="N116" s="353"/>
      <c r="O116" s="321"/>
      <c r="P116" s="321"/>
      <c r="Q116" s="321"/>
      <c r="R116" s="321"/>
      <c r="S116" s="321"/>
      <c r="T116" s="321"/>
      <c r="U116" s="351"/>
      <c r="V116" s="352"/>
      <c r="W116" s="319"/>
      <c r="X116" s="320"/>
      <c r="Y116" s="320"/>
      <c r="Z116" s="321"/>
      <c r="AA116" s="321"/>
      <c r="AB116" s="321"/>
      <c r="AC116" s="320"/>
      <c r="AD116" s="380"/>
      <c r="AE116" s="352"/>
      <c r="AF116" s="381">
        <f t="shared" si="18"/>
        <v>0</v>
      </c>
      <c r="AG116" s="381"/>
      <c r="AH116" s="408"/>
      <c r="AI116" s="409">
        <f t="shared" si="19"/>
        <v>0</v>
      </c>
      <c r="AJ116" s="410"/>
      <c r="AK116" s="411">
        <f t="shared" si="20"/>
        <v>0</v>
      </c>
      <c r="AL116" s="234"/>
      <c r="AM116" s="234"/>
      <c r="AN116" s="234"/>
    </row>
    <row r="117" spans="1:40" ht="20.25">
      <c r="A117" s="316" t="s">
        <v>128</v>
      </c>
      <c r="B117" s="710"/>
      <c r="C117" s="295"/>
      <c r="D117" s="1077"/>
      <c r="E117" s="319"/>
      <c r="F117" s="320"/>
      <c r="G117" s="320"/>
      <c r="H117" s="321"/>
      <c r="I117" s="321"/>
      <c r="J117" s="320"/>
      <c r="K117" s="1090"/>
      <c r="L117" s="351"/>
      <c r="M117" s="352"/>
      <c r="N117" s="353"/>
      <c r="O117" s="321"/>
      <c r="P117" s="321"/>
      <c r="Q117" s="321"/>
      <c r="R117" s="321"/>
      <c r="S117" s="321"/>
      <c r="T117" s="321"/>
      <c r="U117" s="351"/>
      <c r="V117" s="352"/>
      <c r="W117" s="319"/>
      <c r="X117" s="320"/>
      <c r="Y117" s="320"/>
      <c r="Z117" s="321"/>
      <c r="AA117" s="321"/>
      <c r="AB117" s="321"/>
      <c r="AC117" s="320"/>
      <c r="AD117" s="380"/>
      <c r="AE117" s="352"/>
      <c r="AF117" s="381">
        <f t="shared" si="18"/>
        <v>0</v>
      </c>
      <c r="AG117" s="381"/>
      <c r="AH117" s="408"/>
      <c r="AI117" s="409">
        <f t="shared" si="19"/>
        <v>0</v>
      </c>
      <c r="AJ117" s="410"/>
      <c r="AK117" s="411">
        <f t="shared" si="20"/>
        <v>0</v>
      </c>
      <c r="AL117" s="234"/>
      <c r="AM117" s="234"/>
      <c r="AN117" s="234"/>
    </row>
    <row r="118" spans="1:40" ht="20.25">
      <c r="A118" s="316" t="s">
        <v>128</v>
      </c>
      <c r="B118" s="295"/>
      <c r="C118" s="295"/>
      <c r="D118" s="1077"/>
      <c r="E118" s="319"/>
      <c r="F118" s="320"/>
      <c r="G118" s="320"/>
      <c r="H118" s="321"/>
      <c r="I118" s="321"/>
      <c r="J118" s="320"/>
      <c r="K118" s="1090"/>
      <c r="L118" s="351"/>
      <c r="M118" s="352"/>
      <c r="N118" s="353"/>
      <c r="O118" s="321"/>
      <c r="P118" s="321"/>
      <c r="Q118" s="321"/>
      <c r="R118" s="321"/>
      <c r="S118" s="321"/>
      <c r="T118" s="321"/>
      <c r="U118" s="351"/>
      <c r="V118" s="352"/>
      <c r="W118" s="319"/>
      <c r="X118" s="320"/>
      <c r="Y118" s="320"/>
      <c r="Z118" s="321"/>
      <c r="AA118" s="321"/>
      <c r="AB118" s="321"/>
      <c r="AC118" s="320"/>
      <c r="AD118" s="380"/>
      <c r="AE118" s="352"/>
      <c r="AF118" s="381">
        <f t="shared" si="18"/>
        <v>0</v>
      </c>
      <c r="AG118" s="381"/>
      <c r="AH118" s="408"/>
      <c r="AI118" s="409">
        <f t="shared" si="19"/>
        <v>0</v>
      </c>
      <c r="AJ118" s="410"/>
      <c r="AK118" s="411">
        <f t="shared" si="20"/>
        <v>0</v>
      </c>
      <c r="AL118" s="234"/>
      <c r="AM118" s="234"/>
      <c r="AN118" s="234"/>
    </row>
    <row r="119" spans="1:40" ht="20.25">
      <c r="A119" s="316" t="s">
        <v>128</v>
      </c>
      <c r="B119" s="295"/>
      <c r="C119" s="295"/>
      <c r="D119" s="1077"/>
      <c r="E119" s="319"/>
      <c r="F119" s="320"/>
      <c r="G119" s="320"/>
      <c r="H119" s="321"/>
      <c r="I119" s="321"/>
      <c r="J119" s="320"/>
      <c r="K119" s="1090"/>
      <c r="L119" s="351"/>
      <c r="M119" s="352"/>
      <c r="N119" s="353"/>
      <c r="O119" s="321"/>
      <c r="P119" s="321"/>
      <c r="Q119" s="321"/>
      <c r="R119" s="321"/>
      <c r="S119" s="321"/>
      <c r="T119" s="321"/>
      <c r="U119" s="351"/>
      <c r="V119" s="352"/>
      <c r="W119" s="319"/>
      <c r="X119" s="320"/>
      <c r="Y119" s="320"/>
      <c r="Z119" s="321"/>
      <c r="AA119" s="321"/>
      <c r="AB119" s="321"/>
      <c r="AC119" s="320"/>
      <c r="AD119" s="380"/>
      <c r="AE119" s="352"/>
      <c r="AF119" s="381">
        <f t="shared" si="18"/>
        <v>0</v>
      </c>
      <c r="AG119" s="381"/>
      <c r="AH119" s="408"/>
      <c r="AI119" s="409">
        <f t="shared" si="19"/>
        <v>0</v>
      </c>
      <c r="AJ119" s="410"/>
      <c r="AK119" s="411">
        <f t="shared" si="20"/>
        <v>0</v>
      </c>
      <c r="AL119" s="234"/>
      <c r="AM119" s="234"/>
      <c r="AN119" s="234"/>
    </row>
    <row r="120" spans="1:40" ht="20.25">
      <c r="A120" s="316" t="s">
        <v>128</v>
      </c>
      <c r="B120" s="295"/>
      <c r="C120" s="295"/>
      <c r="D120" s="1077"/>
      <c r="E120" s="319"/>
      <c r="F120" s="320"/>
      <c r="G120" s="320"/>
      <c r="H120" s="321"/>
      <c r="I120" s="321"/>
      <c r="J120" s="320"/>
      <c r="K120" s="1090"/>
      <c r="L120" s="351"/>
      <c r="M120" s="352"/>
      <c r="N120" s="353"/>
      <c r="O120" s="321"/>
      <c r="P120" s="321"/>
      <c r="Q120" s="321"/>
      <c r="R120" s="321"/>
      <c r="S120" s="321"/>
      <c r="T120" s="321"/>
      <c r="U120" s="351"/>
      <c r="V120" s="352"/>
      <c r="W120" s="319"/>
      <c r="X120" s="320"/>
      <c r="Y120" s="320"/>
      <c r="Z120" s="321"/>
      <c r="AA120" s="321"/>
      <c r="AB120" s="321"/>
      <c r="AC120" s="320"/>
      <c r="AD120" s="380"/>
      <c r="AE120" s="352"/>
      <c r="AF120" s="381">
        <f t="shared" si="18"/>
        <v>0</v>
      </c>
      <c r="AG120" s="381"/>
      <c r="AH120" s="408"/>
      <c r="AI120" s="409">
        <f t="shared" si="19"/>
        <v>0</v>
      </c>
      <c r="AJ120" s="410"/>
      <c r="AK120" s="411">
        <f t="shared" si="20"/>
        <v>0</v>
      </c>
      <c r="AL120" s="234"/>
      <c r="AM120" s="234"/>
      <c r="AN120" s="234"/>
    </row>
    <row r="121" spans="1:40" ht="20.25">
      <c r="A121" s="316" t="s">
        <v>128</v>
      </c>
      <c r="B121" s="295"/>
      <c r="C121" s="295"/>
      <c r="D121" s="1077"/>
      <c r="E121" s="319"/>
      <c r="F121" s="320"/>
      <c r="G121" s="320"/>
      <c r="H121" s="321"/>
      <c r="I121" s="321"/>
      <c r="J121" s="320"/>
      <c r="K121" s="1090"/>
      <c r="L121" s="351"/>
      <c r="M121" s="352"/>
      <c r="N121" s="353"/>
      <c r="O121" s="321"/>
      <c r="P121" s="321"/>
      <c r="Q121" s="321"/>
      <c r="R121" s="321"/>
      <c r="S121" s="321"/>
      <c r="T121" s="321"/>
      <c r="U121" s="351"/>
      <c r="V121" s="352"/>
      <c r="W121" s="319"/>
      <c r="X121" s="320"/>
      <c r="Y121" s="320"/>
      <c r="Z121" s="321"/>
      <c r="AA121" s="321"/>
      <c r="AB121" s="321"/>
      <c r="AC121" s="320"/>
      <c r="AD121" s="380"/>
      <c r="AE121" s="352"/>
      <c r="AF121" s="381">
        <f t="shared" si="18"/>
        <v>0</v>
      </c>
      <c r="AG121" s="381"/>
      <c r="AH121" s="408"/>
      <c r="AI121" s="409">
        <f t="shared" si="19"/>
        <v>0</v>
      </c>
      <c r="AJ121" s="410"/>
      <c r="AK121" s="411">
        <f t="shared" si="20"/>
        <v>0</v>
      </c>
      <c r="AL121" s="234"/>
      <c r="AM121" s="234"/>
      <c r="AN121" s="234"/>
    </row>
    <row r="122" spans="1:40" ht="20.25">
      <c r="A122" s="316" t="s">
        <v>128</v>
      </c>
      <c r="B122" s="295"/>
      <c r="C122" s="295"/>
      <c r="D122" s="1077"/>
      <c r="E122" s="319"/>
      <c r="F122" s="320"/>
      <c r="G122" s="320"/>
      <c r="H122" s="321"/>
      <c r="I122" s="321"/>
      <c r="J122" s="320"/>
      <c r="K122" s="842"/>
      <c r="L122" s="351"/>
      <c r="M122" s="352"/>
      <c r="N122" s="353"/>
      <c r="O122" s="321"/>
      <c r="P122" s="321"/>
      <c r="Q122" s="321"/>
      <c r="R122" s="321"/>
      <c r="S122" s="321"/>
      <c r="T122" s="321"/>
      <c r="U122" s="351"/>
      <c r="V122" s="352"/>
      <c r="W122" s="319"/>
      <c r="X122" s="320"/>
      <c r="Y122" s="320"/>
      <c r="Z122" s="321"/>
      <c r="AA122" s="321"/>
      <c r="AB122" s="321"/>
      <c r="AC122" s="320"/>
      <c r="AD122" s="380"/>
      <c r="AE122" s="352"/>
      <c r="AF122" s="381">
        <f t="shared" si="18"/>
        <v>0</v>
      </c>
      <c r="AG122" s="381"/>
      <c r="AH122" s="408"/>
      <c r="AI122" s="409">
        <f t="shared" si="19"/>
        <v>0</v>
      </c>
      <c r="AJ122" s="410"/>
      <c r="AK122" s="411">
        <f t="shared" si="20"/>
        <v>0</v>
      </c>
      <c r="AL122" s="234"/>
      <c r="AM122" s="234"/>
      <c r="AN122" s="234"/>
    </row>
    <row r="123" spans="1:40" ht="20.25">
      <c r="A123" s="316" t="s">
        <v>128</v>
      </c>
      <c r="B123" s="295"/>
      <c r="C123" s="295"/>
      <c r="D123" s="1077"/>
      <c r="E123" s="319"/>
      <c r="F123" s="320"/>
      <c r="G123" s="320"/>
      <c r="H123" s="321"/>
      <c r="I123" s="321"/>
      <c r="J123" s="320"/>
      <c r="K123" s="842"/>
      <c r="L123" s="351"/>
      <c r="M123" s="352"/>
      <c r="N123" s="353"/>
      <c r="O123" s="321"/>
      <c r="P123" s="321"/>
      <c r="Q123" s="321"/>
      <c r="R123" s="321"/>
      <c r="S123" s="321"/>
      <c r="T123" s="321"/>
      <c r="U123" s="351"/>
      <c r="V123" s="352"/>
      <c r="W123" s="319"/>
      <c r="X123" s="320"/>
      <c r="Y123" s="320"/>
      <c r="Z123" s="321"/>
      <c r="AA123" s="321"/>
      <c r="AB123" s="321"/>
      <c r="AC123" s="320"/>
      <c r="AD123" s="380"/>
      <c r="AE123" s="352"/>
      <c r="AF123" s="381">
        <f t="shared" si="18"/>
        <v>0</v>
      </c>
      <c r="AG123" s="381"/>
      <c r="AH123" s="408"/>
      <c r="AI123" s="409">
        <f t="shared" si="19"/>
        <v>0</v>
      </c>
      <c r="AJ123" s="410"/>
      <c r="AK123" s="411">
        <f t="shared" si="20"/>
        <v>0</v>
      </c>
      <c r="AL123" s="234"/>
      <c r="AM123" s="234"/>
      <c r="AN123" s="234"/>
    </row>
    <row r="124" spans="1:40" ht="20.25">
      <c r="A124" s="316" t="s">
        <v>128</v>
      </c>
      <c r="B124" s="295"/>
      <c r="C124" s="295"/>
      <c r="D124" s="1077"/>
      <c r="E124" s="319"/>
      <c r="F124" s="320"/>
      <c r="G124" s="320"/>
      <c r="H124" s="321"/>
      <c r="I124" s="321"/>
      <c r="J124" s="320"/>
      <c r="K124" s="842"/>
      <c r="L124" s="351"/>
      <c r="M124" s="352"/>
      <c r="N124" s="353"/>
      <c r="O124" s="321"/>
      <c r="P124" s="321"/>
      <c r="Q124" s="321"/>
      <c r="R124" s="321"/>
      <c r="S124" s="321"/>
      <c r="T124" s="321"/>
      <c r="U124" s="351"/>
      <c r="V124" s="352"/>
      <c r="W124" s="319"/>
      <c r="X124" s="320"/>
      <c r="Y124" s="320"/>
      <c r="Z124" s="321"/>
      <c r="AA124" s="321"/>
      <c r="AB124" s="321"/>
      <c r="AC124" s="320"/>
      <c r="AD124" s="380"/>
      <c r="AE124" s="352"/>
      <c r="AF124" s="381">
        <f t="shared" si="18"/>
        <v>0</v>
      </c>
      <c r="AG124" s="381"/>
      <c r="AH124" s="408"/>
      <c r="AI124" s="409">
        <f t="shared" si="19"/>
        <v>0</v>
      </c>
      <c r="AJ124" s="410"/>
      <c r="AK124" s="411">
        <f t="shared" si="20"/>
        <v>0</v>
      </c>
      <c r="AL124" s="234"/>
      <c r="AM124" s="234"/>
      <c r="AN124" s="234"/>
    </row>
    <row r="125" spans="1:40" ht="20.25">
      <c r="A125" s="316" t="s">
        <v>128</v>
      </c>
      <c r="B125" s="295"/>
      <c r="C125" s="295"/>
      <c r="D125" s="1077"/>
      <c r="E125" s="319"/>
      <c r="F125" s="320"/>
      <c r="G125" s="320"/>
      <c r="H125" s="321"/>
      <c r="I125" s="321"/>
      <c r="J125" s="320"/>
      <c r="K125" s="842"/>
      <c r="L125" s="351"/>
      <c r="M125" s="352"/>
      <c r="N125" s="353"/>
      <c r="O125" s="321"/>
      <c r="P125" s="321"/>
      <c r="Q125" s="321"/>
      <c r="R125" s="321"/>
      <c r="S125" s="321"/>
      <c r="T125" s="321"/>
      <c r="U125" s="351"/>
      <c r="V125" s="352"/>
      <c r="W125" s="319"/>
      <c r="X125" s="320"/>
      <c r="Y125" s="320"/>
      <c r="Z125" s="321"/>
      <c r="AA125" s="321"/>
      <c r="AB125" s="321"/>
      <c r="AC125" s="320"/>
      <c r="AD125" s="380"/>
      <c r="AE125" s="352"/>
      <c r="AF125" s="381">
        <f t="shared" si="18"/>
        <v>0</v>
      </c>
      <c r="AG125" s="381"/>
      <c r="AH125" s="408"/>
      <c r="AI125" s="409">
        <f t="shared" si="19"/>
        <v>0</v>
      </c>
      <c r="AJ125" s="410"/>
      <c r="AK125" s="411">
        <f t="shared" si="20"/>
        <v>0</v>
      </c>
      <c r="AL125" s="234"/>
      <c r="AM125" s="234"/>
      <c r="AN125" s="234"/>
    </row>
    <row r="126" spans="1:40" ht="20.25">
      <c r="A126" s="316" t="s">
        <v>128</v>
      </c>
      <c r="B126" s="295"/>
      <c r="C126" s="295"/>
      <c r="D126" s="1077"/>
      <c r="E126" s="319"/>
      <c r="F126" s="320"/>
      <c r="G126" s="320"/>
      <c r="H126" s="321"/>
      <c r="I126" s="321"/>
      <c r="J126" s="320"/>
      <c r="K126" s="842"/>
      <c r="L126" s="351"/>
      <c r="M126" s="352"/>
      <c r="N126" s="353"/>
      <c r="O126" s="321"/>
      <c r="P126" s="321"/>
      <c r="Q126" s="321"/>
      <c r="R126" s="321"/>
      <c r="S126" s="321"/>
      <c r="T126" s="321"/>
      <c r="U126" s="351"/>
      <c r="V126" s="352"/>
      <c r="W126" s="319"/>
      <c r="X126" s="320"/>
      <c r="Y126" s="320"/>
      <c r="Z126" s="321"/>
      <c r="AA126" s="321"/>
      <c r="AB126" s="321"/>
      <c r="AC126" s="320"/>
      <c r="AD126" s="380"/>
      <c r="AE126" s="352"/>
      <c r="AF126" s="381">
        <f t="shared" si="18"/>
        <v>0</v>
      </c>
      <c r="AG126" s="381"/>
      <c r="AH126" s="408"/>
      <c r="AI126" s="409">
        <f t="shared" si="19"/>
        <v>0</v>
      </c>
      <c r="AJ126" s="410"/>
      <c r="AK126" s="411">
        <f t="shared" si="20"/>
        <v>0</v>
      </c>
      <c r="AL126" s="234"/>
      <c r="AM126" s="234"/>
      <c r="AN126" s="234"/>
    </row>
    <row r="127" spans="1:40" ht="20.25">
      <c r="A127" s="316" t="s">
        <v>128</v>
      </c>
      <c r="B127" s="295"/>
      <c r="C127" s="295"/>
      <c r="D127" s="1077"/>
      <c r="E127" s="319"/>
      <c r="F127" s="320"/>
      <c r="G127" s="320"/>
      <c r="H127" s="321"/>
      <c r="I127" s="321"/>
      <c r="J127" s="320"/>
      <c r="K127" s="842"/>
      <c r="L127" s="351"/>
      <c r="M127" s="352"/>
      <c r="N127" s="353"/>
      <c r="O127" s="321"/>
      <c r="P127" s="321"/>
      <c r="Q127" s="321"/>
      <c r="R127" s="321"/>
      <c r="S127" s="321"/>
      <c r="T127" s="321"/>
      <c r="U127" s="351"/>
      <c r="V127" s="352"/>
      <c r="W127" s="319"/>
      <c r="X127" s="320"/>
      <c r="Y127" s="320"/>
      <c r="Z127" s="321"/>
      <c r="AA127" s="321"/>
      <c r="AB127" s="321"/>
      <c r="AC127" s="320"/>
      <c r="AD127" s="380"/>
      <c r="AE127" s="352"/>
      <c r="AF127" s="381">
        <f t="shared" si="18"/>
        <v>0</v>
      </c>
      <c r="AG127" s="381"/>
      <c r="AH127" s="408"/>
      <c r="AI127" s="409">
        <f t="shared" si="19"/>
        <v>0</v>
      </c>
      <c r="AJ127" s="410"/>
      <c r="AK127" s="411">
        <f t="shared" si="20"/>
        <v>0</v>
      </c>
      <c r="AL127" s="234"/>
      <c r="AM127" s="234"/>
      <c r="AN127" s="234"/>
    </row>
    <row r="128" spans="1:40" ht="20.25">
      <c r="A128" s="316" t="s">
        <v>128</v>
      </c>
      <c r="B128" s="295"/>
      <c r="C128" s="295"/>
      <c r="D128" s="1077"/>
      <c r="E128" s="319"/>
      <c r="F128" s="320"/>
      <c r="G128" s="320"/>
      <c r="H128" s="321"/>
      <c r="I128" s="321"/>
      <c r="J128" s="320"/>
      <c r="K128" s="842"/>
      <c r="L128" s="351"/>
      <c r="M128" s="352"/>
      <c r="N128" s="353"/>
      <c r="O128" s="321"/>
      <c r="P128" s="321"/>
      <c r="Q128" s="321"/>
      <c r="R128" s="321"/>
      <c r="S128" s="321"/>
      <c r="T128" s="321"/>
      <c r="U128" s="351"/>
      <c r="V128" s="352"/>
      <c r="W128" s="319"/>
      <c r="X128" s="320"/>
      <c r="Y128" s="320"/>
      <c r="Z128" s="321"/>
      <c r="AA128" s="321"/>
      <c r="AB128" s="321"/>
      <c r="AC128" s="320"/>
      <c r="AD128" s="380"/>
      <c r="AE128" s="352"/>
      <c r="AF128" s="381">
        <f t="shared" si="18"/>
        <v>0</v>
      </c>
      <c r="AG128" s="381"/>
      <c r="AH128" s="408"/>
      <c r="AI128" s="409">
        <f t="shared" si="19"/>
        <v>0</v>
      </c>
      <c r="AJ128" s="410"/>
      <c r="AK128" s="411">
        <f t="shared" si="20"/>
        <v>0</v>
      </c>
      <c r="AL128" s="234"/>
      <c r="AM128" s="234"/>
      <c r="AN128" s="234"/>
    </row>
    <row r="129" spans="1:40" ht="20.25">
      <c r="A129" s="316" t="s">
        <v>128</v>
      </c>
      <c r="B129" s="295"/>
      <c r="C129" s="295"/>
      <c r="D129" s="1077"/>
      <c r="E129" s="319"/>
      <c r="F129" s="320"/>
      <c r="G129" s="320"/>
      <c r="H129" s="321"/>
      <c r="I129" s="321"/>
      <c r="J129" s="320"/>
      <c r="K129" s="842"/>
      <c r="L129" s="351"/>
      <c r="M129" s="352"/>
      <c r="N129" s="353"/>
      <c r="O129" s="321"/>
      <c r="P129" s="321"/>
      <c r="Q129" s="321"/>
      <c r="R129" s="321"/>
      <c r="S129" s="321"/>
      <c r="T129" s="321"/>
      <c r="U129" s="351"/>
      <c r="V129" s="352"/>
      <c r="W129" s="319"/>
      <c r="X129" s="320"/>
      <c r="Y129" s="320"/>
      <c r="Z129" s="321"/>
      <c r="AA129" s="321"/>
      <c r="AB129" s="321"/>
      <c r="AC129" s="320"/>
      <c r="AD129" s="380"/>
      <c r="AE129" s="352"/>
      <c r="AF129" s="381">
        <f t="shared" si="18"/>
        <v>0</v>
      </c>
      <c r="AG129" s="381"/>
      <c r="AH129" s="408"/>
      <c r="AI129" s="409">
        <f t="shared" si="19"/>
        <v>0</v>
      </c>
      <c r="AJ129" s="410"/>
      <c r="AK129" s="411">
        <f t="shared" si="20"/>
        <v>0</v>
      </c>
      <c r="AL129" s="234"/>
      <c r="AM129" s="234"/>
      <c r="AN129" s="234"/>
    </row>
    <row r="130" spans="1:40" ht="20.25">
      <c r="A130" s="316" t="s">
        <v>128</v>
      </c>
      <c r="B130" s="295"/>
      <c r="C130" s="295"/>
      <c r="D130" s="1077"/>
      <c r="E130" s="319"/>
      <c r="F130" s="320"/>
      <c r="G130" s="320"/>
      <c r="H130" s="321"/>
      <c r="I130" s="321"/>
      <c r="J130" s="320"/>
      <c r="K130" s="842"/>
      <c r="L130" s="351"/>
      <c r="M130" s="352"/>
      <c r="N130" s="353"/>
      <c r="O130" s="321"/>
      <c r="P130" s="321"/>
      <c r="Q130" s="321"/>
      <c r="R130" s="321"/>
      <c r="S130" s="321"/>
      <c r="T130" s="321"/>
      <c r="U130" s="351"/>
      <c r="V130" s="352"/>
      <c r="W130" s="319"/>
      <c r="X130" s="320"/>
      <c r="Y130" s="320"/>
      <c r="Z130" s="321"/>
      <c r="AA130" s="321"/>
      <c r="AB130" s="321"/>
      <c r="AC130" s="320"/>
      <c r="AD130" s="380"/>
      <c r="AE130" s="352"/>
      <c r="AF130" s="381">
        <f t="shared" si="18"/>
        <v>0</v>
      </c>
      <c r="AG130" s="381"/>
      <c r="AH130" s="408"/>
      <c r="AI130" s="409">
        <f t="shared" si="19"/>
        <v>0</v>
      </c>
      <c r="AJ130" s="410"/>
      <c r="AK130" s="411">
        <f t="shared" si="20"/>
        <v>0</v>
      </c>
      <c r="AL130" s="234"/>
      <c r="AM130" s="234"/>
      <c r="AN130" s="234"/>
    </row>
    <row r="131" spans="1:40" ht="20.25">
      <c r="A131" s="316" t="s">
        <v>128</v>
      </c>
      <c r="B131" s="295"/>
      <c r="C131" s="295"/>
      <c r="D131" s="1077"/>
      <c r="E131" s="319"/>
      <c r="F131" s="320"/>
      <c r="G131" s="320"/>
      <c r="H131" s="321"/>
      <c r="I131" s="321"/>
      <c r="J131" s="320"/>
      <c r="K131" s="842"/>
      <c r="L131" s="351"/>
      <c r="M131" s="352"/>
      <c r="N131" s="353"/>
      <c r="O131" s="321"/>
      <c r="P131" s="321"/>
      <c r="Q131" s="321"/>
      <c r="R131" s="321"/>
      <c r="S131" s="321"/>
      <c r="T131" s="321"/>
      <c r="U131" s="351"/>
      <c r="V131" s="352"/>
      <c r="W131" s="319"/>
      <c r="X131" s="320"/>
      <c r="Y131" s="320"/>
      <c r="Z131" s="321"/>
      <c r="AA131" s="321"/>
      <c r="AB131" s="321"/>
      <c r="AC131" s="320"/>
      <c r="AD131" s="380"/>
      <c r="AE131" s="352"/>
      <c r="AF131" s="381">
        <f t="shared" si="18"/>
        <v>0</v>
      </c>
      <c r="AG131" s="381"/>
      <c r="AH131" s="408"/>
      <c r="AI131" s="409">
        <f t="shared" si="19"/>
        <v>0</v>
      </c>
      <c r="AJ131" s="410"/>
      <c r="AK131" s="411">
        <f t="shared" si="20"/>
        <v>0</v>
      </c>
      <c r="AL131" s="234"/>
      <c r="AM131" s="234"/>
      <c r="AN131" s="234"/>
    </row>
    <row r="132" spans="1:40" ht="20.25">
      <c r="A132" s="316" t="s">
        <v>128</v>
      </c>
      <c r="B132" s="295"/>
      <c r="C132" s="295"/>
      <c r="D132" s="1077"/>
      <c r="E132" s="319"/>
      <c r="F132" s="320"/>
      <c r="G132" s="320"/>
      <c r="H132" s="321"/>
      <c r="I132" s="321"/>
      <c r="J132" s="320"/>
      <c r="K132" s="842"/>
      <c r="L132" s="351"/>
      <c r="M132" s="352"/>
      <c r="N132" s="353"/>
      <c r="O132" s="321"/>
      <c r="P132" s="321"/>
      <c r="Q132" s="321"/>
      <c r="R132" s="321"/>
      <c r="S132" s="321"/>
      <c r="T132" s="321"/>
      <c r="U132" s="351"/>
      <c r="V132" s="352"/>
      <c r="W132" s="319"/>
      <c r="X132" s="320"/>
      <c r="Y132" s="320"/>
      <c r="Z132" s="321"/>
      <c r="AA132" s="321"/>
      <c r="AB132" s="321"/>
      <c r="AC132" s="320"/>
      <c r="AD132" s="380"/>
      <c r="AE132" s="352"/>
      <c r="AF132" s="381">
        <f t="shared" si="18"/>
        <v>0</v>
      </c>
      <c r="AG132" s="381"/>
      <c r="AH132" s="408"/>
      <c r="AI132" s="409">
        <f t="shared" si="19"/>
        <v>0</v>
      </c>
      <c r="AJ132" s="410"/>
      <c r="AK132" s="411">
        <f t="shared" si="20"/>
        <v>0</v>
      </c>
      <c r="AL132" s="234"/>
      <c r="AM132" s="234"/>
      <c r="AN132" s="234"/>
    </row>
    <row r="133" spans="1:40" ht="20.25">
      <c r="A133" s="316" t="s">
        <v>128</v>
      </c>
      <c r="B133" s="295"/>
      <c r="C133" s="295"/>
      <c r="D133" s="1077"/>
      <c r="E133" s="319"/>
      <c r="F133" s="320"/>
      <c r="G133" s="320"/>
      <c r="H133" s="321"/>
      <c r="I133" s="321"/>
      <c r="J133" s="320"/>
      <c r="K133" s="842"/>
      <c r="L133" s="351"/>
      <c r="M133" s="352"/>
      <c r="N133" s="353"/>
      <c r="O133" s="321"/>
      <c r="P133" s="321"/>
      <c r="Q133" s="321"/>
      <c r="R133" s="321"/>
      <c r="S133" s="321"/>
      <c r="T133" s="321"/>
      <c r="U133" s="351"/>
      <c r="V133" s="352"/>
      <c r="W133" s="319"/>
      <c r="X133" s="320"/>
      <c r="Y133" s="320"/>
      <c r="Z133" s="321"/>
      <c r="AA133" s="321"/>
      <c r="AB133" s="321"/>
      <c r="AC133" s="320"/>
      <c r="AD133" s="380"/>
      <c r="AE133" s="352"/>
      <c r="AF133" s="381">
        <f t="shared" si="18"/>
        <v>0</v>
      </c>
      <c r="AG133" s="381"/>
      <c r="AH133" s="408"/>
      <c r="AI133" s="409">
        <f t="shared" si="19"/>
        <v>0</v>
      </c>
      <c r="AJ133" s="410"/>
      <c r="AK133" s="411">
        <f t="shared" si="20"/>
        <v>0</v>
      </c>
      <c r="AL133" s="234"/>
      <c r="AM133" s="234"/>
      <c r="AN133" s="234"/>
    </row>
    <row r="134" spans="1:40" ht="20.25">
      <c r="A134" s="316" t="s">
        <v>128</v>
      </c>
      <c r="B134" s="295"/>
      <c r="C134" s="295"/>
      <c r="D134" s="1077"/>
      <c r="E134" s="319"/>
      <c r="F134" s="320"/>
      <c r="G134" s="320"/>
      <c r="H134" s="321"/>
      <c r="I134" s="321"/>
      <c r="J134" s="320"/>
      <c r="K134" s="842"/>
      <c r="L134" s="351"/>
      <c r="M134" s="352"/>
      <c r="N134" s="353"/>
      <c r="O134" s="321"/>
      <c r="P134" s="321"/>
      <c r="Q134" s="321"/>
      <c r="R134" s="321"/>
      <c r="S134" s="321"/>
      <c r="T134" s="321"/>
      <c r="U134" s="351"/>
      <c r="V134" s="352"/>
      <c r="W134" s="319"/>
      <c r="X134" s="320"/>
      <c r="Y134" s="320"/>
      <c r="Z134" s="321"/>
      <c r="AA134" s="321"/>
      <c r="AB134" s="321"/>
      <c r="AC134" s="320"/>
      <c r="AD134" s="380"/>
      <c r="AE134" s="352"/>
      <c r="AF134" s="381">
        <f t="shared" si="18"/>
        <v>0</v>
      </c>
      <c r="AG134" s="381"/>
      <c r="AH134" s="408"/>
      <c r="AI134" s="409">
        <f t="shared" si="19"/>
        <v>0</v>
      </c>
      <c r="AJ134" s="410"/>
      <c r="AK134" s="411">
        <f t="shared" si="20"/>
        <v>0</v>
      </c>
      <c r="AL134" s="234"/>
      <c r="AM134" s="234"/>
      <c r="AN134" s="234"/>
    </row>
    <row r="135" spans="1:40" ht="21" thickBot="1">
      <c r="A135" s="316" t="s">
        <v>128</v>
      </c>
      <c r="B135" s="295"/>
      <c r="C135" s="295"/>
      <c r="D135" s="1077"/>
      <c r="E135" s="319"/>
      <c r="F135" s="320"/>
      <c r="G135" s="320"/>
      <c r="H135" s="321"/>
      <c r="I135" s="321"/>
      <c r="J135" s="320"/>
      <c r="K135" s="842"/>
      <c r="L135" s="351"/>
      <c r="M135" s="352"/>
      <c r="N135" s="353"/>
      <c r="O135" s="321"/>
      <c r="P135" s="321"/>
      <c r="Q135" s="321"/>
      <c r="R135" s="321"/>
      <c r="S135" s="321"/>
      <c r="T135" s="321"/>
      <c r="U135" s="351"/>
      <c r="V135" s="352"/>
      <c r="W135" s="319"/>
      <c r="X135" s="320"/>
      <c r="Y135" s="320"/>
      <c r="Z135" s="321"/>
      <c r="AA135" s="321"/>
      <c r="AB135" s="321"/>
      <c r="AC135" s="320"/>
      <c r="AD135" s="380"/>
      <c r="AE135" s="352"/>
      <c r="AF135" s="381">
        <f t="shared" si="18"/>
        <v>0</v>
      </c>
      <c r="AG135" s="381"/>
      <c r="AH135" s="408"/>
      <c r="AI135" s="409">
        <f t="shared" si="19"/>
        <v>0</v>
      </c>
      <c r="AJ135" s="410"/>
      <c r="AK135" s="411">
        <f t="shared" si="20"/>
        <v>0</v>
      </c>
      <c r="AL135" s="234"/>
      <c r="AM135" s="234"/>
      <c r="AN135" s="234"/>
    </row>
    <row r="136" spans="1:40" ht="21" thickBot="1">
      <c r="A136" s="322"/>
      <c r="B136" s="323"/>
      <c r="C136" s="323"/>
      <c r="D136" s="1078"/>
      <c r="E136" s="325"/>
      <c r="F136" s="297"/>
      <c r="G136" s="297"/>
      <c r="H136" s="298"/>
      <c r="I136" s="298"/>
      <c r="J136" s="297"/>
      <c r="K136" s="1086"/>
      <c r="L136" s="367"/>
      <c r="M136" s="355"/>
      <c r="N136" s="343"/>
      <c r="O136" s="298"/>
      <c r="P136" s="298"/>
      <c r="Q136" s="298"/>
      <c r="R136" s="298"/>
      <c r="S136" s="298"/>
      <c r="T136" s="298"/>
      <c r="U136" s="367"/>
      <c r="V136" s="355"/>
      <c r="W136" s="325"/>
      <c r="X136" s="297"/>
      <c r="Y136" s="297"/>
      <c r="Z136" s="298"/>
      <c r="AA136" s="298"/>
      <c r="AB136" s="298"/>
      <c r="AC136" s="297"/>
      <c r="AD136" s="375"/>
      <c r="AE136" s="355"/>
      <c r="AF136" s="376">
        <f t="shared" si="18"/>
        <v>0</v>
      </c>
      <c r="AG136" s="377"/>
      <c r="AH136" s="390"/>
      <c r="AI136" s="391">
        <f t="shared" si="19"/>
        <v>0</v>
      </c>
      <c r="AJ136" s="412"/>
      <c r="AK136" s="413">
        <f t="shared" si="20"/>
        <v>0</v>
      </c>
      <c r="AL136" s="414" t="s">
        <v>8</v>
      </c>
      <c r="AM136" s="397" t="s">
        <v>23</v>
      </c>
      <c r="AN136" s="415" t="s">
        <v>174</v>
      </c>
    </row>
    <row r="137" spans="1:40" s="284" customFormat="1" ht="19.5" thickBot="1">
      <c r="A137" s="326" t="s">
        <v>129</v>
      </c>
      <c r="B137" s="327"/>
      <c r="C137" s="327"/>
      <c r="D137" s="328"/>
      <c r="E137" s="329">
        <f t="shared" ref="E137:L137" si="21">SUM(E106:E136)</f>
        <v>0</v>
      </c>
      <c r="F137" s="329">
        <f t="shared" si="21"/>
        <v>0</v>
      </c>
      <c r="G137" s="329">
        <f t="shared" si="21"/>
        <v>0</v>
      </c>
      <c r="H137" s="329">
        <f t="shared" si="21"/>
        <v>0</v>
      </c>
      <c r="I137" s="329">
        <f t="shared" si="21"/>
        <v>0</v>
      </c>
      <c r="J137" s="329">
        <f t="shared" si="21"/>
        <v>0</v>
      </c>
      <c r="K137" s="329">
        <f t="shared" si="21"/>
        <v>0</v>
      </c>
      <c r="L137" s="329">
        <f t="shared" si="21"/>
        <v>0</v>
      </c>
      <c r="M137" s="357"/>
      <c r="N137" s="358">
        <f t="shared" ref="N137:U137" si="22">SUM(N106:N136)</f>
        <v>0</v>
      </c>
      <c r="O137" s="359">
        <f t="shared" si="22"/>
        <v>0</v>
      </c>
      <c r="P137" s="359">
        <f t="shared" si="22"/>
        <v>0</v>
      </c>
      <c r="Q137" s="359">
        <f t="shared" si="22"/>
        <v>0</v>
      </c>
      <c r="R137" s="359">
        <f t="shared" si="22"/>
        <v>0</v>
      </c>
      <c r="S137" s="359">
        <f t="shared" si="22"/>
        <v>0</v>
      </c>
      <c r="T137" s="359">
        <f t="shared" si="22"/>
        <v>0</v>
      </c>
      <c r="U137" s="369">
        <f t="shared" si="22"/>
        <v>0</v>
      </c>
      <c r="V137" s="357"/>
      <c r="W137" s="358">
        <f t="shared" ref="W137:AD137" si="23">SUM(W106:W136)</f>
        <v>0</v>
      </c>
      <c r="X137" s="358">
        <f t="shared" si="23"/>
        <v>0</v>
      </c>
      <c r="Y137" s="358">
        <f t="shared" si="23"/>
        <v>0</v>
      </c>
      <c r="Z137" s="358">
        <f t="shared" si="23"/>
        <v>0</v>
      </c>
      <c r="AA137" s="358">
        <f t="shared" si="23"/>
        <v>0</v>
      </c>
      <c r="AB137" s="358">
        <f t="shared" si="23"/>
        <v>0</v>
      </c>
      <c r="AC137" s="358">
        <f t="shared" si="23"/>
        <v>0</v>
      </c>
      <c r="AD137" s="358">
        <f t="shared" si="23"/>
        <v>0</v>
      </c>
      <c r="AE137" s="357"/>
      <c r="AF137" s="382">
        <f t="shared" ref="AF137:AK137" si="24">SUM(AF106:AF136)</f>
        <v>0</v>
      </c>
      <c r="AG137" s="382">
        <f t="shared" si="24"/>
        <v>0</v>
      </c>
      <c r="AH137" s="416">
        <f t="shared" si="24"/>
        <v>0</v>
      </c>
      <c r="AI137" s="417">
        <f t="shared" si="24"/>
        <v>0</v>
      </c>
      <c r="AJ137" s="382">
        <f t="shared" si="24"/>
        <v>0</v>
      </c>
      <c r="AK137" s="418">
        <f t="shared" si="24"/>
        <v>0</v>
      </c>
      <c r="AL137" s="399" t="e">
        <f>'BIG CHAIR'!#REF!</f>
        <v>#REF!</v>
      </c>
      <c r="AM137" s="400">
        <f>'Tea Table'!X236</f>
        <v>96</v>
      </c>
      <c r="AN137" s="401" t="e">
        <f>AI137+AL137+AM137</f>
        <v>#REF!</v>
      </c>
    </row>
    <row r="138" spans="1:40" ht="24" thickBot="1">
      <c r="A138" s="286" t="s">
        <v>130</v>
      </c>
      <c r="B138" s="287" t="s">
        <v>68</v>
      </c>
      <c r="C138" s="287" t="s">
        <v>69</v>
      </c>
      <c r="D138" s="3376" t="s">
        <v>70</v>
      </c>
      <c r="E138" s="743" t="s">
        <v>96</v>
      </c>
      <c r="F138" s="744" t="s">
        <v>124</v>
      </c>
      <c r="G138" s="744" t="s">
        <v>228</v>
      </c>
      <c r="H138" s="744" t="s">
        <v>149</v>
      </c>
      <c r="I138" s="744" t="s">
        <v>470</v>
      </c>
      <c r="J138" s="744" t="s">
        <v>92</v>
      </c>
      <c r="K138" s="50" t="s">
        <v>479</v>
      </c>
      <c r="L138" s="783" t="s">
        <v>497</v>
      </c>
      <c r="M138" s="578"/>
      <c r="N138" s="80" t="s">
        <v>71</v>
      </c>
      <c r="O138" s="49" t="s">
        <v>53</v>
      </c>
      <c r="P138" s="49" t="s">
        <v>118</v>
      </c>
      <c r="Q138" s="49" t="s">
        <v>407</v>
      </c>
      <c r="R138" s="49" t="s">
        <v>457</v>
      </c>
      <c r="S138" s="49" t="s">
        <v>94</v>
      </c>
      <c r="T138" s="126" t="s">
        <v>77</v>
      </c>
      <c r="U138" s="717" t="s">
        <v>482</v>
      </c>
      <c r="V138" s="578"/>
      <c r="W138" s="764" t="e">
        <f>#REF!</f>
        <v>#REF!</v>
      </c>
      <c r="X138" s="765" t="s">
        <v>96</v>
      </c>
      <c r="Y138" s="765" t="e">
        <f>#REF!</f>
        <v>#REF!</v>
      </c>
      <c r="Z138" s="49" t="s">
        <v>496</v>
      </c>
      <c r="AA138" s="765" t="e">
        <f>#REF!</f>
        <v>#REF!</v>
      </c>
      <c r="AB138" s="765" t="e">
        <f>#REF!</f>
        <v>#REF!</v>
      </c>
      <c r="AC138" s="765" t="e">
        <f>#REF!</f>
        <v>#REF!</v>
      </c>
      <c r="AD138" s="772" t="e">
        <f>#REF!</f>
        <v>#REF!</v>
      </c>
      <c r="AE138" s="370"/>
      <c r="AF138" s="371" t="s">
        <v>172</v>
      </c>
      <c r="AG138" s="372" t="s">
        <v>80</v>
      </c>
      <c r="AH138" s="385"/>
      <c r="AI138" s="386" t="s">
        <v>106</v>
      </c>
      <c r="AJ138" s="385" t="s">
        <v>173</v>
      </c>
      <c r="AK138" s="371" t="s">
        <v>108</v>
      </c>
      <c r="AL138" s="282"/>
      <c r="AM138" s="282"/>
      <c r="AN138" s="282"/>
    </row>
    <row r="139" spans="1:40" ht="20.25">
      <c r="A139" s="316" t="s">
        <v>131</v>
      </c>
      <c r="B139" s="822"/>
      <c r="C139" s="295"/>
      <c r="D139" s="1077"/>
      <c r="E139" s="319"/>
      <c r="F139" s="320"/>
      <c r="G139" s="320"/>
      <c r="H139" s="321"/>
      <c r="I139" s="321"/>
      <c r="J139" s="320"/>
      <c r="K139" s="320"/>
      <c r="L139" s="363"/>
      <c r="M139" s="352"/>
      <c r="N139" s="353"/>
      <c r="O139" s="321"/>
      <c r="P139" s="321"/>
      <c r="Q139" s="321"/>
      <c r="R139" s="321"/>
      <c r="S139" s="321"/>
      <c r="T139" s="321"/>
      <c r="U139" s="351"/>
      <c r="V139" s="352"/>
      <c r="W139" s="319"/>
      <c r="X139" s="320"/>
      <c r="Y139" s="320"/>
      <c r="Z139" s="321"/>
      <c r="AA139" s="321"/>
      <c r="AB139" s="321"/>
      <c r="AC139" s="320"/>
      <c r="AD139" s="380"/>
      <c r="AE139" s="352"/>
      <c r="AF139" s="381">
        <f>SUM(E139:AD139)</f>
        <v>0</v>
      </c>
      <c r="AG139" s="381"/>
      <c r="AH139" s="408"/>
      <c r="AI139" s="409">
        <f>AF139+AG139</f>
        <v>0</v>
      </c>
      <c r="AJ139" s="410"/>
      <c r="AK139" s="411">
        <f>AI139+AJ139</f>
        <v>0</v>
      </c>
      <c r="AL139" s="234"/>
      <c r="AM139" s="234"/>
      <c r="AN139" s="234"/>
    </row>
    <row r="140" spans="1:40" ht="20.25">
      <c r="A140" s="316" t="s">
        <v>131</v>
      </c>
      <c r="B140" s="822"/>
      <c r="C140" s="295"/>
      <c r="D140" s="1077"/>
      <c r="E140" s="319"/>
      <c r="F140" s="320"/>
      <c r="G140" s="320"/>
      <c r="H140" s="321"/>
      <c r="I140" s="321"/>
      <c r="J140" s="320"/>
      <c r="K140" s="320"/>
      <c r="L140" s="363"/>
      <c r="M140" s="352"/>
      <c r="N140" s="353"/>
      <c r="O140" s="321"/>
      <c r="P140" s="321"/>
      <c r="Q140" s="321"/>
      <c r="R140" s="321"/>
      <c r="S140" s="321"/>
      <c r="T140" s="321"/>
      <c r="U140" s="351"/>
      <c r="V140" s="352"/>
      <c r="W140" s="319"/>
      <c r="X140" s="320"/>
      <c r="Y140" s="320"/>
      <c r="Z140" s="321"/>
      <c r="AA140" s="321"/>
      <c r="AB140" s="321"/>
      <c r="AC140" s="320"/>
      <c r="AD140" s="380"/>
      <c r="AE140" s="352"/>
      <c r="AF140" s="381">
        <f>SUM(E140:AD140)</f>
        <v>0</v>
      </c>
      <c r="AG140" s="381"/>
      <c r="AH140" s="408"/>
      <c r="AI140" s="409">
        <f>AF140+AG140</f>
        <v>0</v>
      </c>
      <c r="AJ140" s="410"/>
      <c r="AK140" s="411">
        <f>AI140+AJ140</f>
        <v>0</v>
      </c>
      <c r="AL140" s="234"/>
      <c r="AM140" s="234"/>
      <c r="AN140" s="234"/>
    </row>
    <row r="141" spans="1:40" ht="20.25">
      <c r="A141" s="316" t="s">
        <v>131</v>
      </c>
      <c r="B141" s="822"/>
      <c r="C141" s="295"/>
      <c r="D141" s="1077"/>
      <c r="E141" s="319"/>
      <c r="F141" s="320"/>
      <c r="G141" s="320"/>
      <c r="H141" s="321"/>
      <c r="I141" s="321"/>
      <c r="J141" s="320"/>
      <c r="K141" s="320"/>
      <c r="L141" s="363"/>
      <c r="M141" s="352"/>
      <c r="N141" s="353"/>
      <c r="O141" s="321"/>
      <c r="P141" s="321"/>
      <c r="Q141" s="321"/>
      <c r="R141" s="321"/>
      <c r="S141" s="321"/>
      <c r="T141" s="321"/>
      <c r="U141" s="351"/>
      <c r="V141" s="352"/>
      <c r="W141" s="319"/>
      <c r="X141" s="320"/>
      <c r="Y141" s="320"/>
      <c r="Z141" s="321"/>
      <c r="AA141" s="321"/>
      <c r="AB141" s="321"/>
      <c r="AC141" s="320"/>
      <c r="AD141" s="380"/>
      <c r="AE141" s="352"/>
      <c r="AF141" s="381">
        <f>SUM(E141:AD141)</f>
        <v>0</v>
      </c>
      <c r="AG141" s="381"/>
      <c r="AH141" s="408"/>
      <c r="AI141" s="409">
        <f>AF141+AG141</f>
        <v>0</v>
      </c>
      <c r="AJ141" s="410"/>
      <c r="AK141" s="411">
        <f>AI141+AJ141</f>
        <v>0</v>
      </c>
      <c r="AL141" s="234"/>
      <c r="AM141" s="234"/>
      <c r="AN141" s="234"/>
    </row>
    <row r="142" spans="1:40" ht="20.25">
      <c r="A142" s="316" t="s">
        <v>131</v>
      </c>
      <c r="B142" s="822"/>
      <c r="C142" s="295"/>
      <c r="D142" s="1077"/>
      <c r="E142" s="319"/>
      <c r="F142" s="320"/>
      <c r="G142" s="320"/>
      <c r="H142" s="321"/>
      <c r="I142" s="321"/>
      <c r="J142" s="320"/>
      <c r="K142" s="1090"/>
      <c r="L142" s="363"/>
      <c r="M142" s="352"/>
      <c r="N142" s="353"/>
      <c r="O142" s="321"/>
      <c r="P142" s="321"/>
      <c r="Q142" s="321"/>
      <c r="R142" s="321"/>
      <c r="S142" s="321"/>
      <c r="T142" s="321"/>
      <c r="U142" s="351"/>
      <c r="V142" s="352"/>
      <c r="W142" s="319"/>
      <c r="X142" s="320"/>
      <c r="Y142" s="320"/>
      <c r="Z142" s="321"/>
      <c r="AA142" s="321"/>
      <c r="AB142" s="321"/>
      <c r="AC142" s="320"/>
      <c r="AD142" s="380"/>
      <c r="AE142" s="352"/>
      <c r="AF142" s="381">
        <f t="shared" ref="AF142:AF169" si="25">SUM(E142:AD142)</f>
        <v>0</v>
      </c>
      <c r="AG142" s="381"/>
      <c r="AH142" s="408"/>
      <c r="AI142" s="409">
        <f t="shared" ref="AI142:AI169" si="26">AF142+AG142</f>
        <v>0</v>
      </c>
      <c r="AJ142" s="410"/>
      <c r="AK142" s="411">
        <f t="shared" ref="AK142:AK169" si="27">AI142+AJ142</f>
        <v>0</v>
      </c>
      <c r="AL142" s="234"/>
      <c r="AM142" s="234"/>
      <c r="AN142" s="234"/>
    </row>
    <row r="143" spans="1:40" ht="20.25">
      <c r="A143" s="316" t="s">
        <v>131</v>
      </c>
      <c r="B143" s="710"/>
      <c r="C143" s="295"/>
      <c r="D143" s="1077"/>
      <c r="E143" s="319"/>
      <c r="F143" s="320"/>
      <c r="G143" s="320"/>
      <c r="H143" s="321"/>
      <c r="I143" s="321"/>
      <c r="J143" s="320"/>
      <c r="K143" s="1090"/>
      <c r="L143" s="351"/>
      <c r="M143" s="352"/>
      <c r="N143" s="353"/>
      <c r="O143" s="321"/>
      <c r="P143" s="321"/>
      <c r="Q143" s="321"/>
      <c r="R143" s="321"/>
      <c r="S143" s="321"/>
      <c r="T143" s="321"/>
      <c r="U143" s="351"/>
      <c r="V143" s="352"/>
      <c r="W143" s="319"/>
      <c r="X143" s="320"/>
      <c r="Y143" s="320"/>
      <c r="Z143" s="321"/>
      <c r="AA143" s="321"/>
      <c r="AB143" s="321"/>
      <c r="AC143" s="320"/>
      <c r="AD143" s="380"/>
      <c r="AE143" s="352"/>
      <c r="AF143" s="381">
        <f t="shared" si="25"/>
        <v>0</v>
      </c>
      <c r="AG143" s="381"/>
      <c r="AH143" s="408"/>
      <c r="AI143" s="409">
        <f t="shared" si="26"/>
        <v>0</v>
      </c>
      <c r="AJ143" s="410"/>
      <c r="AK143" s="411">
        <f t="shared" si="27"/>
        <v>0</v>
      </c>
      <c r="AL143" s="234"/>
      <c r="AM143" s="234"/>
      <c r="AN143" s="234"/>
    </row>
    <row r="144" spans="1:40" ht="20.25">
      <c r="A144" s="316" t="s">
        <v>131</v>
      </c>
      <c r="B144" s="710"/>
      <c r="C144" s="295"/>
      <c r="D144" s="1077"/>
      <c r="E144" s="319"/>
      <c r="F144" s="320"/>
      <c r="G144" s="320"/>
      <c r="H144" s="321"/>
      <c r="I144" s="321"/>
      <c r="J144" s="320"/>
      <c r="K144" s="1090"/>
      <c r="L144" s="351"/>
      <c r="M144" s="352"/>
      <c r="N144" s="353"/>
      <c r="O144" s="321"/>
      <c r="P144" s="321"/>
      <c r="Q144" s="321"/>
      <c r="R144" s="321"/>
      <c r="S144" s="321"/>
      <c r="T144" s="321"/>
      <c r="U144" s="351"/>
      <c r="V144" s="352"/>
      <c r="W144" s="319"/>
      <c r="X144" s="320"/>
      <c r="Y144" s="320"/>
      <c r="Z144" s="321"/>
      <c r="AA144" s="321"/>
      <c r="AB144" s="321"/>
      <c r="AC144" s="320"/>
      <c r="AD144" s="380"/>
      <c r="AE144" s="352"/>
      <c r="AF144" s="381">
        <f t="shared" si="25"/>
        <v>0</v>
      </c>
      <c r="AG144" s="381"/>
      <c r="AH144" s="408"/>
      <c r="AI144" s="409">
        <f t="shared" si="26"/>
        <v>0</v>
      </c>
      <c r="AJ144" s="410"/>
      <c r="AK144" s="411">
        <f t="shared" si="27"/>
        <v>0</v>
      </c>
      <c r="AL144" s="234"/>
      <c r="AM144" s="234"/>
      <c r="AN144" s="234"/>
    </row>
    <row r="145" spans="1:40" ht="20.25">
      <c r="A145" s="316" t="s">
        <v>131</v>
      </c>
      <c r="B145" s="710"/>
      <c r="C145" s="295"/>
      <c r="D145" s="1077"/>
      <c r="E145" s="319"/>
      <c r="F145" s="320"/>
      <c r="G145" s="320"/>
      <c r="H145" s="321"/>
      <c r="I145" s="321"/>
      <c r="J145" s="320"/>
      <c r="K145" s="1090"/>
      <c r="L145" s="351"/>
      <c r="M145" s="352"/>
      <c r="N145" s="353"/>
      <c r="O145" s="321"/>
      <c r="P145" s="321"/>
      <c r="Q145" s="321"/>
      <c r="R145" s="321"/>
      <c r="S145" s="321"/>
      <c r="T145" s="321"/>
      <c r="U145" s="351"/>
      <c r="V145" s="352"/>
      <c r="W145" s="319"/>
      <c r="X145" s="320"/>
      <c r="Y145" s="320"/>
      <c r="Z145" s="321"/>
      <c r="AA145" s="321"/>
      <c r="AB145" s="321"/>
      <c r="AC145" s="320"/>
      <c r="AD145" s="380"/>
      <c r="AE145" s="352"/>
      <c r="AF145" s="381">
        <f t="shared" si="25"/>
        <v>0</v>
      </c>
      <c r="AG145" s="381"/>
      <c r="AH145" s="408"/>
      <c r="AI145" s="409">
        <f t="shared" si="26"/>
        <v>0</v>
      </c>
      <c r="AJ145" s="410"/>
      <c r="AK145" s="411">
        <f t="shared" si="27"/>
        <v>0</v>
      </c>
      <c r="AL145" s="234"/>
      <c r="AM145" s="234"/>
      <c r="AN145" s="234"/>
    </row>
    <row r="146" spans="1:40" ht="20.25">
      <c r="A146" s="316" t="s">
        <v>131</v>
      </c>
      <c r="B146" s="710"/>
      <c r="C146" s="295"/>
      <c r="D146" s="1077"/>
      <c r="E146" s="319"/>
      <c r="F146" s="320"/>
      <c r="G146" s="320"/>
      <c r="H146" s="321"/>
      <c r="I146" s="321"/>
      <c r="J146" s="320"/>
      <c r="K146" s="1090"/>
      <c r="L146" s="351"/>
      <c r="M146" s="352"/>
      <c r="N146" s="353"/>
      <c r="O146" s="321"/>
      <c r="P146" s="321"/>
      <c r="Q146" s="321"/>
      <c r="R146" s="321"/>
      <c r="S146" s="321"/>
      <c r="T146" s="321"/>
      <c r="U146" s="351"/>
      <c r="V146" s="352"/>
      <c r="W146" s="319"/>
      <c r="X146" s="320"/>
      <c r="Y146" s="320"/>
      <c r="Z146" s="321"/>
      <c r="AA146" s="321"/>
      <c r="AB146" s="321"/>
      <c r="AC146" s="320"/>
      <c r="AD146" s="380"/>
      <c r="AE146" s="352"/>
      <c r="AF146" s="381">
        <f t="shared" si="25"/>
        <v>0</v>
      </c>
      <c r="AG146" s="381"/>
      <c r="AH146" s="408"/>
      <c r="AI146" s="409">
        <f t="shared" si="26"/>
        <v>0</v>
      </c>
      <c r="AJ146" s="410"/>
      <c r="AK146" s="411">
        <f t="shared" si="27"/>
        <v>0</v>
      </c>
      <c r="AL146" s="234"/>
      <c r="AM146" s="234"/>
      <c r="AN146" s="234"/>
    </row>
    <row r="147" spans="1:40" ht="20.25">
      <c r="A147" s="316" t="s">
        <v>131</v>
      </c>
      <c r="B147" s="710"/>
      <c r="C147" s="295"/>
      <c r="D147" s="1077"/>
      <c r="E147" s="319"/>
      <c r="F147" s="320"/>
      <c r="G147" s="320"/>
      <c r="H147" s="321"/>
      <c r="I147" s="321"/>
      <c r="J147" s="320"/>
      <c r="K147" s="1090"/>
      <c r="L147" s="351"/>
      <c r="M147" s="352"/>
      <c r="N147" s="353"/>
      <c r="O147" s="321"/>
      <c r="P147" s="321"/>
      <c r="Q147" s="321"/>
      <c r="R147" s="321"/>
      <c r="S147" s="321"/>
      <c r="T147" s="321"/>
      <c r="U147" s="351"/>
      <c r="V147" s="352"/>
      <c r="W147" s="319"/>
      <c r="X147" s="320"/>
      <c r="Y147" s="320"/>
      <c r="Z147" s="321"/>
      <c r="AA147" s="321"/>
      <c r="AB147" s="321"/>
      <c r="AC147" s="320"/>
      <c r="AD147" s="380"/>
      <c r="AE147" s="352"/>
      <c r="AF147" s="381">
        <f t="shared" si="25"/>
        <v>0</v>
      </c>
      <c r="AG147" s="381"/>
      <c r="AH147" s="408"/>
      <c r="AI147" s="409">
        <f t="shared" si="26"/>
        <v>0</v>
      </c>
      <c r="AJ147" s="410"/>
      <c r="AK147" s="411">
        <f t="shared" si="27"/>
        <v>0</v>
      </c>
      <c r="AL147" s="234"/>
      <c r="AM147" s="234"/>
      <c r="AN147" s="234"/>
    </row>
    <row r="148" spans="1:40" ht="20.25">
      <c r="A148" s="316" t="s">
        <v>131</v>
      </c>
      <c r="B148" s="710"/>
      <c r="C148" s="295"/>
      <c r="D148" s="1077"/>
      <c r="E148" s="319"/>
      <c r="F148" s="320"/>
      <c r="G148" s="320"/>
      <c r="H148" s="321"/>
      <c r="I148" s="321"/>
      <c r="J148" s="320"/>
      <c r="K148" s="1090"/>
      <c r="L148" s="351"/>
      <c r="M148" s="352"/>
      <c r="N148" s="353"/>
      <c r="O148" s="321"/>
      <c r="P148" s="321"/>
      <c r="Q148" s="321"/>
      <c r="R148" s="321"/>
      <c r="S148" s="321"/>
      <c r="T148" s="321"/>
      <c r="U148" s="351"/>
      <c r="V148" s="352"/>
      <c r="W148" s="319"/>
      <c r="X148" s="320"/>
      <c r="Y148" s="320"/>
      <c r="Z148" s="321"/>
      <c r="AA148" s="321"/>
      <c r="AB148" s="321"/>
      <c r="AC148" s="320"/>
      <c r="AD148" s="380"/>
      <c r="AE148" s="352"/>
      <c r="AF148" s="381">
        <f t="shared" si="25"/>
        <v>0</v>
      </c>
      <c r="AG148" s="381"/>
      <c r="AH148" s="408"/>
      <c r="AI148" s="409">
        <f t="shared" si="26"/>
        <v>0</v>
      </c>
      <c r="AJ148" s="410"/>
      <c r="AK148" s="411">
        <f t="shared" si="27"/>
        <v>0</v>
      </c>
      <c r="AL148" s="234"/>
      <c r="AM148" s="234"/>
      <c r="AN148" s="234"/>
    </row>
    <row r="149" spans="1:40" ht="20.25">
      <c r="A149" s="316" t="s">
        <v>131</v>
      </c>
      <c r="B149" s="822"/>
      <c r="C149" s="295"/>
      <c r="D149" s="1077"/>
      <c r="E149" s="319"/>
      <c r="F149" s="320"/>
      <c r="G149" s="320"/>
      <c r="H149" s="321"/>
      <c r="I149" s="321"/>
      <c r="J149" s="320"/>
      <c r="K149" s="1090"/>
      <c r="L149" s="351"/>
      <c r="M149" s="352"/>
      <c r="N149" s="353"/>
      <c r="O149" s="321"/>
      <c r="P149" s="321"/>
      <c r="Q149" s="321"/>
      <c r="R149" s="321"/>
      <c r="S149" s="321"/>
      <c r="T149" s="321"/>
      <c r="U149" s="351"/>
      <c r="V149" s="352"/>
      <c r="W149" s="319"/>
      <c r="X149" s="320"/>
      <c r="Y149" s="320"/>
      <c r="Z149" s="321"/>
      <c r="AA149" s="321"/>
      <c r="AB149" s="321"/>
      <c r="AC149" s="320"/>
      <c r="AD149" s="380"/>
      <c r="AE149" s="352"/>
      <c r="AF149" s="381">
        <f t="shared" si="25"/>
        <v>0</v>
      </c>
      <c r="AG149" s="381"/>
      <c r="AH149" s="408"/>
      <c r="AI149" s="409">
        <f t="shared" si="26"/>
        <v>0</v>
      </c>
      <c r="AJ149" s="410"/>
      <c r="AK149" s="411">
        <f t="shared" si="27"/>
        <v>0</v>
      </c>
      <c r="AL149" s="234"/>
      <c r="AM149" s="234"/>
      <c r="AN149" s="234"/>
    </row>
    <row r="150" spans="1:40" ht="20.25">
      <c r="A150" s="316" t="s">
        <v>131</v>
      </c>
      <c r="B150" s="710"/>
      <c r="C150" s="295"/>
      <c r="D150" s="1077"/>
      <c r="E150" s="319"/>
      <c r="F150" s="320"/>
      <c r="G150" s="320"/>
      <c r="H150" s="321"/>
      <c r="I150" s="321"/>
      <c r="J150" s="320"/>
      <c r="K150" s="1090"/>
      <c r="L150" s="351"/>
      <c r="M150" s="352"/>
      <c r="N150" s="353"/>
      <c r="O150" s="321"/>
      <c r="P150" s="321"/>
      <c r="Q150" s="321"/>
      <c r="R150" s="321"/>
      <c r="S150" s="321"/>
      <c r="T150" s="321"/>
      <c r="U150" s="351"/>
      <c r="V150" s="352"/>
      <c r="W150" s="319"/>
      <c r="X150" s="320"/>
      <c r="Y150" s="320"/>
      <c r="Z150" s="321"/>
      <c r="AA150" s="321"/>
      <c r="AB150" s="321"/>
      <c r="AC150" s="320"/>
      <c r="AD150" s="380"/>
      <c r="AE150" s="352"/>
      <c r="AF150" s="381">
        <f t="shared" si="25"/>
        <v>0</v>
      </c>
      <c r="AG150" s="381"/>
      <c r="AH150" s="408"/>
      <c r="AI150" s="409">
        <f t="shared" si="26"/>
        <v>0</v>
      </c>
      <c r="AJ150" s="410"/>
      <c r="AK150" s="411">
        <f t="shared" si="27"/>
        <v>0</v>
      </c>
      <c r="AL150" s="234"/>
      <c r="AM150" s="234"/>
      <c r="AN150" s="234"/>
    </row>
    <row r="151" spans="1:40" ht="20.25">
      <c r="A151" s="316" t="s">
        <v>131</v>
      </c>
      <c r="B151" s="295"/>
      <c r="C151" s="295"/>
      <c r="D151" s="1077"/>
      <c r="E151" s="319"/>
      <c r="F151" s="320"/>
      <c r="G151" s="320"/>
      <c r="H151" s="321"/>
      <c r="I151" s="321"/>
      <c r="J151" s="320"/>
      <c r="K151" s="1090"/>
      <c r="L151" s="351"/>
      <c r="M151" s="352"/>
      <c r="N151" s="353"/>
      <c r="O151" s="321"/>
      <c r="P151" s="321"/>
      <c r="Q151" s="321"/>
      <c r="R151" s="321"/>
      <c r="S151" s="321"/>
      <c r="T151" s="321"/>
      <c r="U151" s="351"/>
      <c r="V151" s="352"/>
      <c r="W151" s="319"/>
      <c r="X151" s="320"/>
      <c r="Y151" s="320"/>
      <c r="Z151" s="321"/>
      <c r="AA151" s="321"/>
      <c r="AB151" s="321"/>
      <c r="AC151" s="320"/>
      <c r="AD151" s="380"/>
      <c r="AE151" s="352"/>
      <c r="AF151" s="381">
        <f t="shared" si="25"/>
        <v>0</v>
      </c>
      <c r="AG151" s="381"/>
      <c r="AH151" s="408"/>
      <c r="AI151" s="409">
        <f t="shared" si="26"/>
        <v>0</v>
      </c>
      <c r="AJ151" s="410"/>
      <c r="AK151" s="411">
        <f t="shared" si="27"/>
        <v>0</v>
      </c>
      <c r="AL151" s="234"/>
      <c r="AM151" s="234"/>
      <c r="AN151" s="234"/>
    </row>
    <row r="152" spans="1:40" ht="20.25">
      <c r="A152" s="316" t="s">
        <v>131</v>
      </c>
      <c r="B152" s="295"/>
      <c r="C152" s="295"/>
      <c r="D152" s="1077"/>
      <c r="E152" s="319"/>
      <c r="F152" s="320"/>
      <c r="G152" s="320"/>
      <c r="H152" s="321"/>
      <c r="I152" s="321"/>
      <c r="J152" s="320"/>
      <c r="K152" s="1090"/>
      <c r="L152" s="351"/>
      <c r="M152" s="352"/>
      <c r="N152" s="353"/>
      <c r="O152" s="321"/>
      <c r="P152" s="321"/>
      <c r="Q152" s="321"/>
      <c r="R152" s="321"/>
      <c r="S152" s="321"/>
      <c r="T152" s="321"/>
      <c r="U152" s="351"/>
      <c r="V152" s="352"/>
      <c r="W152" s="319"/>
      <c r="X152" s="320"/>
      <c r="Y152" s="320"/>
      <c r="Z152" s="321"/>
      <c r="AA152" s="321"/>
      <c r="AB152" s="321"/>
      <c r="AC152" s="320"/>
      <c r="AD152" s="380"/>
      <c r="AE152" s="352"/>
      <c r="AF152" s="381">
        <f t="shared" si="25"/>
        <v>0</v>
      </c>
      <c r="AG152" s="381"/>
      <c r="AH152" s="408"/>
      <c r="AI152" s="409">
        <f t="shared" si="26"/>
        <v>0</v>
      </c>
      <c r="AJ152" s="410"/>
      <c r="AK152" s="411">
        <f t="shared" si="27"/>
        <v>0</v>
      </c>
      <c r="AL152" s="234"/>
      <c r="AM152" s="234"/>
      <c r="AN152" s="234"/>
    </row>
    <row r="153" spans="1:40" ht="20.25">
      <c r="A153" s="316" t="s">
        <v>131</v>
      </c>
      <c r="B153" s="295"/>
      <c r="C153" s="295"/>
      <c r="D153" s="1077"/>
      <c r="E153" s="319"/>
      <c r="F153" s="320"/>
      <c r="G153" s="320"/>
      <c r="H153" s="321"/>
      <c r="I153" s="321"/>
      <c r="J153" s="320"/>
      <c r="K153" s="1090"/>
      <c r="L153" s="351"/>
      <c r="M153" s="352"/>
      <c r="N153" s="353"/>
      <c r="O153" s="321"/>
      <c r="P153" s="321"/>
      <c r="Q153" s="321"/>
      <c r="R153" s="321"/>
      <c r="S153" s="321"/>
      <c r="T153" s="321"/>
      <c r="U153" s="351"/>
      <c r="V153" s="352"/>
      <c r="W153" s="319"/>
      <c r="X153" s="320"/>
      <c r="Y153" s="320"/>
      <c r="Z153" s="321"/>
      <c r="AA153" s="321"/>
      <c r="AB153" s="321"/>
      <c r="AC153" s="320"/>
      <c r="AD153" s="380"/>
      <c r="AE153" s="352"/>
      <c r="AF153" s="381">
        <f t="shared" si="25"/>
        <v>0</v>
      </c>
      <c r="AG153" s="381"/>
      <c r="AH153" s="408"/>
      <c r="AI153" s="409">
        <f t="shared" si="26"/>
        <v>0</v>
      </c>
      <c r="AJ153" s="410"/>
      <c r="AK153" s="411">
        <f t="shared" si="27"/>
        <v>0</v>
      </c>
      <c r="AL153" s="234"/>
      <c r="AM153" s="234"/>
      <c r="AN153" s="234"/>
    </row>
    <row r="154" spans="1:40" ht="20.25">
      <c r="A154" s="316" t="s">
        <v>131</v>
      </c>
      <c r="B154" s="295"/>
      <c r="C154" s="295"/>
      <c r="D154" s="1077"/>
      <c r="E154" s="319"/>
      <c r="F154" s="320"/>
      <c r="G154" s="320"/>
      <c r="H154" s="321"/>
      <c r="I154" s="321"/>
      <c r="J154" s="320"/>
      <c r="K154" s="1090"/>
      <c r="L154" s="351"/>
      <c r="M154" s="352"/>
      <c r="N154" s="353"/>
      <c r="O154" s="321"/>
      <c r="P154" s="321"/>
      <c r="Q154" s="321"/>
      <c r="R154" s="321"/>
      <c r="S154" s="321"/>
      <c r="T154" s="321"/>
      <c r="U154" s="351"/>
      <c r="V154" s="352"/>
      <c r="W154" s="319"/>
      <c r="X154" s="320"/>
      <c r="Y154" s="320"/>
      <c r="Z154" s="321"/>
      <c r="AA154" s="321"/>
      <c r="AB154" s="321"/>
      <c r="AC154" s="320"/>
      <c r="AD154" s="380"/>
      <c r="AE154" s="352"/>
      <c r="AF154" s="381">
        <f t="shared" si="25"/>
        <v>0</v>
      </c>
      <c r="AG154" s="381"/>
      <c r="AH154" s="408"/>
      <c r="AI154" s="409">
        <f t="shared" si="26"/>
        <v>0</v>
      </c>
      <c r="AJ154" s="410"/>
      <c r="AK154" s="411">
        <f t="shared" si="27"/>
        <v>0</v>
      </c>
      <c r="AL154" s="234"/>
      <c r="AM154" s="234"/>
      <c r="AN154" s="234"/>
    </row>
    <row r="155" spans="1:40" ht="20.25">
      <c r="A155" s="316" t="s">
        <v>131</v>
      </c>
      <c r="B155" s="295"/>
      <c r="C155" s="295"/>
      <c r="D155" s="1077"/>
      <c r="E155" s="319"/>
      <c r="F155" s="320"/>
      <c r="G155" s="320"/>
      <c r="H155" s="321"/>
      <c r="I155" s="321"/>
      <c r="J155" s="320"/>
      <c r="K155" s="842"/>
      <c r="L155" s="351"/>
      <c r="M155" s="352"/>
      <c r="N155" s="353"/>
      <c r="O155" s="321"/>
      <c r="P155" s="321"/>
      <c r="Q155" s="321"/>
      <c r="R155" s="321"/>
      <c r="S155" s="321"/>
      <c r="T155" s="321"/>
      <c r="U155" s="351"/>
      <c r="V155" s="352"/>
      <c r="W155" s="319"/>
      <c r="X155" s="320"/>
      <c r="Y155" s="320"/>
      <c r="Z155" s="321"/>
      <c r="AA155" s="321"/>
      <c r="AB155" s="321"/>
      <c r="AC155" s="320"/>
      <c r="AD155" s="380"/>
      <c r="AE155" s="352"/>
      <c r="AF155" s="381">
        <f t="shared" si="25"/>
        <v>0</v>
      </c>
      <c r="AG155" s="381"/>
      <c r="AH155" s="408"/>
      <c r="AI155" s="409">
        <f t="shared" si="26"/>
        <v>0</v>
      </c>
      <c r="AJ155" s="410"/>
      <c r="AK155" s="411">
        <f t="shared" si="27"/>
        <v>0</v>
      </c>
      <c r="AL155" s="234"/>
      <c r="AM155" s="234"/>
      <c r="AN155" s="234"/>
    </row>
    <row r="156" spans="1:40" ht="20.25">
      <c r="A156" s="316" t="s">
        <v>131</v>
      </c>
      <c r="B156" s="295"/>
      <c r="C156" s="295"/>
      <c r="D156" s="1077"/>
      <c r="E156" s="319"/>
      <c r="F156" s="320"/>
      <c r="G156" s="320"/>
      <c r="H156" s="321"/>
      <c r="I156" s="321"/>
      <c r="J156" s="320"/>
      <c r="K156" s="842"/>
      <c r="L156" s="351"/>
      <c r="M156" s="352"/>
      <c r="N156" s="353"/>
      <c r="O156" s="321"/>
      <c r="P156" s="321"/>
      <c r="Q156" s="321"/>
      <c r="R156" s="321"/>
      <c r="S156" s="321"/>
      <c r="T156" s="321"/>
      <c r="U156" s="351"/>
      <c r="V156" s="352"/>
      <c r="W156" s="319"/>
      <c r="X156" s="320"/>
      <c r="Y156" s="320"/>
      <c r="Z156" s="321"/>
      <c r="AA156" s="321"/>
      <c r="AB156" s="321"/>
      <c r="AC156" s="320"/>
      <c r="AD156" s="380"/>
      <c r="AE156" s="352"/>
      <c r="AF156" s="381">
        <f t="shared" si="25"/>
        <v>0</v>
      </c>
      <c r="AG156" s="381"/>
      <c r="AH156" s="408"/>
      <c r="AI156" s="409">
        <f t="shared" si="26"/>
        <v>0</v>
      </c>
      <c r="AJ156" s="410"/>
      <c r="AK156" s="411">
        <f t="shared" si="27"/>
        <v>0</v>
      </c>
      <c r="AL156" s="234"/>
      <c r="AM156" s="234"/>
      <c r="AN156" s="234"/>
    </row>
    <row r="157" spans="1:40" ht="20.25">
      <c r="A157" s="316" t="s">
        <v>131</v>
      </c>
      <c r="B157" s="295"/>
      <c r="C157" s="295"/>
      <c r="D157" s="1077"/>
      <c r="E157" s="319"/>
      <c r="F157" s="320"/>
      <c r="G157" s="320"/>
      <c r="H157" s="321"/>
      <c r="I157" s="321"/>
      <c r="J157" s="320"/>
      <c r="K157" s="842"/>
      <c r="L157" s="351"/>
      <c r="M157" s="352"/>
      <c r="N157" s="353"/>
      <c r="O157" s="321"/>
      <c r="P157" s="321"/>
      <c r="Q157" s="321"/>
      <c r="R157" s="321"/>
      <c r="S157" s="321"/>
      <c r="T157" s="321"/>
      <c r="U157" s="351"/>
      <c r="V157" s="352"/>
      <c r="W157" s="319"/>
      <c r="X157" s="320"/>
      <c r="Y157" s="320"/>
      <c r="Z157" s="321"/>
      <c r="AA157" s="321"/>
      <c r="AB157" s="321"/>
      <c r="AC157" s="320"/>
      <c r="AD157" s="380"/>
      <c r="AE157" s="352"/>
      <c r="AF157" s="381">
        <f t="shared" si="25"/>
        <v>0</v>
      </c>
      <c r="AG157" s="381"/>
      <c r="AH157" s="408"/>
      <c r="AI157" s="409">
        <f t="shared" si="26"/>
        <v>0</v>
      </c>
      <c r="AJ157" s="410"/>
      <c r="AK157" s="411">
        <f t="shared" si="27"/>
        <v>0</v>
      </c>
      <c r="AL157" s="234"/>
      <c r="AM157" s="234"/>
      <c r="AN157" s="234"/>
    </row>
    <row r="158" spans="1:40" ht="20.25">
      <c r="A158" s="316" t="s">
        <v>131</v>
      </c>
      <c r="B158" s="295"/>
      <c r="C158" s="295"/>
      <c r="D158" s="1077"/>
      <c r="E158" s="319"/>
      <c r="F158" s="320"/>
      <c r="G158" s="320"/>
      <c r="H158" s="321"/>
      <c r="I158" s="321"/>
      <c r="J158" s="320"/>
      <c r="K158" s="842"/>
      <c r="L158" s="351"/>
      <c r="M158" s="352"/>
      <c r="N158" s="353"/>
      <c r="O158" s="321"/>
      <c r="P158" s="321"/>
      <c r="Q158" s="321"/>
      <c r="R158" s="321"/>
      <c r="S158" s="321"/>
      <c r="T158" s="321"/>
      <c r="U158" s="351"/>
      <c r="V158" s="352"/>
      <c r="W158" s="319"/>
      <c r="X158" s="320"/>
      <c r="Y158" s="320"/>
      <c r="Z158" s="321"/>
      <c r="AA158" s="321"/>
      <c r="AB158" s="321"/>
      <c r="AC158" s="320"/>
      <c r="AD158" s="380"/>
      <c r="AE158" s="352"/>
      <c r="AF158" s="381">
        <f t="shared" si="25"/>
        <v>0</v>
      </c>
      <c r="AG158" s="381"/>
      <c r="AH158" s="408"/>
      <c r="AI158" s="409">
        <f t="shared" si="26"/>
        <v>0</v>
      </c>
      <c r="AJ158" s="410"/>
      <c r="AK158" s="411">
        <f t="shared" si="27"/>
        <v>0</v>
      </c>
      <c r="AL158" s="234"/>
      <c r="AM158" s="234"/>
      <c r="AN158" s="234"/>
    </row>
    <row r="159" spans="1:40" ht="20.25">
      <c r="A159" s="316" t="s">
        <v>131</v>
      </c>
      <c r="B159" s="295"/>
      <c r="C159" s="295"/>
      <c r="D159" s="1077"/>
      <c r="E159" s="319"/>
      <c r="F159" s="320"/>
      <c r="G159" s="320"/>
      <c r="H159" s="321"/>
      <c r="I159" s="321"/>
      <c r="J159" s="320"/>
      <c r="K159" s="842"/>
      <c r="L159" s="351"/>
      <c r="M159" s="352"/>
      <c r="N159" s="353"/>
      <c r="O159" s="321"/>
      <c r="P159" s="321"/>
      <c r="Q159" s="321"/>
      <c r="R159" s="321"/>
      <c r="S159" s="321"/>
      <c r="T159" s="321"/>
      <c r="U159" s="351"/>
      <c r="V159" s="352"/>
      <c r="W159" s="319"/>
      <c r="X159" s="320"/>
      <c r="Y159" s="320"/>
      <c r="Z159" s="321"/>
      <c r="AA159" s="321"/>
      <c r="AB159" s="321"/>
      <c r="AC159" s="320"/>
      <c r="AD159" s="380"/>
      <c r="AE159" s="352"/>
      <c r="AF159" s="381">
        <f t="shared" si="25"/>
        <v>0</v>
      </c>
      <c r="AG159" s="381"/>
      <c r="AH159" s="408"/>
      <c r="AI159" s="409">
        <f t="shared" si="26"/>
        <v>0</v>
      </c>
      <c r="AJ159" s="410"/>
      <c r="AK159" s="411">
        <f t="shared" si="27"/>
        <v>0</v>
      </c>
      <c r="AL159" s="234"/>
      <c r="AM159" s="234"/>
      <c r="AN159" s="234"/>
    </row>
    <row r="160" spans="1:40" ht="20.25">
      <c r="A160" s="316" t="s">
        <v>131</v>
      </c>
      <c r="B160" s="295"/>
      <c r="C160" s="295"/>
      <c r="D160" s="1077"/>
      <c r="E160" s="319"/>
      <c r="F160" s="320"/>
      <c r="G160" s="320"/>
      <c r="H160" s="321"/>
      <c r="I160" s="321"/>
      <c r="J160" s="320"/>
      <c r="K160" s="842"/>
      <c r="L160" s="351"/>
      <c r="M160" s="352"/>
      <c r="N160" s="353"/>
      <c r="O160" s="321"/>
      <c r="P160" s="321"/>
      <c r="Q160" s="321"/>
      <c r="R160" s="321"/>
      <c r="S160" s="321"/>
      <c r="T160" s="321"/>
      <c r="U160" s="351"/>
      <c r="V160" s="352"/>
      <c r="W160" s="319"/>
      <c r="X160" s="320"/>
      <c r="Y160" s="320"/>
      <c r="Z160" s="321"/>
      <c r="AA160" s="321"/>
      <c r="AB160" s="321"/>
      <c r="AC160" s="320"/>
      <c r="AD160" s="380"/>
      <c r="AE160" s="352"/>
      <c r="AF160" s="381">
        <f t="shared" si="25"/>
        <v>0</v>
      </c>
      <c r="AG160" s="381"/>
      <c r="AH160" s="408"/>
      <c r="AI160" s="409">
        <f t="shared" si="26"/>
        <v>0</v>
      </c>
      <c r="AJ160" s="410"/>
      <c r="AK160" s="411">
        <f t="shared" si="27"/>
        <v>0</v>
      </c>
      <c r="AL160" s="234"/>
      <c r="AM160" s="234"/>
      <c r="AN160" s="234"/>
    </row>
    <row r="161" spans="1:40" ht="20.25">
      <c r="A161" s="316" t="s">
        <v>131</v>
      </c>
      <c r="B161" s="295"/>
      <c r="C161" s="295"/>
      <c r="D161" s="1077"/>
      <c r="E161" s="319"/>
      <c r="F161" s="320"/>
      <c r="G161" s="320"/>
      <c r="H161" s="321"/>
      <c r="I161" s="321"/>
      <c r="J161" s="320"/>
      <c r="K161" s="842"/>
      <c r="L161" s="351"/>
      <c r="M161" s="352"/>
      <c r="N161" s="353"/>
      <c r="O161" s="321"/>
      <c r="P161" s="321"/>
      <c r="Q161" s="321"/>
      <c r="R161" s="321"/>
      <c r="S161" s="321"/>
      <c r="T161" s="321"/>
      <c r="U161" s="351"/>
      <c r="V161" s="352"/>
      <c r="W161" s="319"/>
      <c r="X161" s="320"/>
      <c r="Y161" s="320"/>
      <c r="Z161" s="321"/>
      <c r="AA161" s="321"/>
      <c r="AB161" s="321"/>
      <c r="AC161" s="320"/>
      <c r="AD161" s="380"/>
      <c r="AE161" s="352"/>
      <c r="AF161" s="381">
        <f t="shared" si="25"/>
        <v>0</v>
      </c>
      <c r="AG161" s="381"/>
      <c r="AH161" s="408"/>
      <c r="AI161" s="409">
        <f t="shared" si="26"/>
        <v>0</v>
      </c>
      <c r="AJ161" s="410"/>
      <c r="AK161" s="411">
        <f t="shared" si="27"/>
        <v>0</v>
      </c>
      <c r="AL161" s="234"/>
      <c r="AM161" s="234"/>
      <c r="AN161" s="234"/>
    </row>
    <row r="162" spans="1:40" ht="20.25">
      <c r="A162" s="316" t="s">
        <v>131</v>
      </c>
      <c r="B162" s="295"/>
      <c r="C162" s="295"/>
      <c r="D162" s="1077"/>
      <c r="E162" s="319"/>
      <c r="F162" s="320"/>
      <c r="G162" s="320"/>
      <c r="H162" s="321"/>
      <c r="I162" s="321"/>
      <c r="J162" s="320"/>
      <c r="K162" s="842"/>
      <c r="L162" s="351"/>
      <c r="M162" s="352"/>
      <c r="N162" s="353"/>
      <c r="O162" s="321"/>
      <c r="P162" s="321"/>
      <c r="Q162" s="321"/>
      <c r="R162" s="321"/>
      <c r="S162" s="321"/>
      <c r="T162" s="321"/>
      <c r="U162" s="351"/>
      <c r="V162" s="352"/>
      <c r="W162" s="319"/>
      <c r="X162" s="320"/>
      <c r="Y162" s="320"/>
      <c r="Z162" s="321"/>
      <c r="AA162" s="321"/>
      <c r="AB162" s="321"/>
      <c r="AC162" s="320"/>
      <c r="AD162" s="380"/>
      <c r="AE162" s="352"/>
      <c r="AF162" s="381">
        <f t="shared" si="25"/>
        <v>0</v>
      </c>
      <c r="AG162" s="381"/>
      <c r="AH162" s="408"/>
      <c r="AI162" s="409">
        <f t="shared" si="26"/>
        <v>0</v>
      </c>
      <c r="AJ162" s="410"/>
      <c r="AK162" s="411">
        <f t="shared" si="27"/>
        <v>0</v>
      </c>
      <c r="AL162" s="234"/>
      <c r="AM162" s="234"/>
      <c r="AN162" s="234"/>
    </row>
    <row r="163" spans="1:40" ht="20.25">
      <c r="A163" s="316" t="s">
        <v>131</v>
      </c>
      <c r="B163" s="295"/>
      <c r="C163" s="295"/>
      <c r="D163" s="1077"/>
      <c r="E163" s="319"/>
      <c r="F163" s="320"/>
      <c r="G163" s="320"/>
      <c r="H163" s="321"/>
      <c r="I163" s="321"/>
      <c r="J163" s="320"/>
      <c r="K163" s="842"/>
      <c r="L163" s="351"/>
      <c r="M163" s="352"/>
      <c r="N163" s="353"/>
      <c r="O163" s="321"/>
      <c r="P163" s="321"/>
      <c r="Q163" s="321"/>
      <c r="R163" s="321"/>
      <c r="S163" s="321"/>
      <c r="T163" s="321"/>
      <c r="U163" s="351"/>
      <c r="V163" s="352"/>
      <c r="W163" s="319"/>
      <c r="X163" s="320"/>
      <c r="Y163" s="320"/>
      <c r="Z163" s="321"/>
      <c r="AA163" s="321"/>
      <c r="AB163" s="321"/>
      <c r="AC163" s="320"/>
      <c r="AD163" s="380"/>
      <c r="AE163" s="352"/>
      <c r="AF163" s="381">
        <f t="shared" si="25"/>
        <v>0</v>
      </c>
      <c r="AG163" s="381"/>
      <c r="AH163" s="408"/>
      <c r="AI163" s="409">
        <f t="shared" si="26"/>
        <v>0</v>
      </c>
      <c r="AJ163" s="410"/>
      <c r="AK163" s="411">
        <f t="shared" si="27"/>
        <v>0</v>
      </c>
      <c r="AL163" s="234"/>
      <c r="AM163" s="234"/>
      <c r="AN163" s="234"/>
    </row>
    <row r="164" spans="1:40" ht="20.25">
      <c r="A164" s="316" t="s">
        <v>131</v>
      </c>
      <c r="B164" s="295"/>
      <c r="C164" s="295"/>
      <c r="D164" s="1077"/>
      <c r="E164" s="319"/>
      <c r="F164" s="320"/>
      <c r="G164" s="320"/>
      <c r="H164" s="321"/>
      <c r="I164" s="321"/>
      <c r="J164" s="320"/>
      <c r="K164" s="842"/>
      <c r="L164" s="351"/>
      <c r="M164" s="352"/>
      <c r="N164" s="353"/>
      <c r="O164" s="321"/>
      <c r="P164" s="321"/>
      <c r="Q164" s="321"/>
      <c r="R164" s="321"/>
      <c r="S164" s="321"/>
      <c r="T164" s="321"/>
      <c r="U164" s="351"/>
      <c r="V164" s="352"/>
      <c r="W164" s="319"/>
      <c r="X164" s="320"/>
      <c r="Y164" s="320"/>
      <c r="Z164" s="321"/>
      <c r="AA164" s="321"/>
      <c r="AB164" s="321"/>
      <c r="AC164" s="320"/>
      <c r="AD164" s="380"/>
      <c r="AE164" s="352"/>
      <c r="AF164" s="381">
        <f t="shared" si="25"/>
        <v>0</v>
      </c>
      <c r="AG164" s="381"/>
      <c r="AH164" s="408"/>
      <c r="AI164" s="409">
        <f t="shared" si="26"/>
        <v>0</v>
      </c>
      <c r="AJ164" s="410"/>
      <c r="AK164" s="411">
        <f t="shared" si="27"/>
        <v>0</v>
      </c>
      <c r="AL164" s="234"/>
      <c r="AM164" s="234"/>
      <c r="AN164" s="234"/>
    </row>
    <row r="165" spans="1:40" ht="20.25">
      <c r="A165" s="316" t="s">
        <v>131</v>
      </c>
      <c r="B165" s="295"/>
      <c r="C165" s="295"/>
      <c r="D165" s="1077"/>
      <c r="E165" s="319"/>
      <c r="F165" s="320"/>
      <c r="G165" s="320"/>
      <c r="H165" s="321"/>
      <c r="I165" s="321"/>
      <c r="J165" s="320"/>
      <c r="K165" s="842"/>
      <c r="L165" s="351"/>
      <c r="M165" s="352"/>
      <c r="N165" s="353"/>
      <c r="O165" s="321"/>
      <c r="P165" s="321"/>
      <c r="Q165" s="321"/>
      <c r="R165" s="321"/>
      <c r="S165" s="321"/>
      <c r="T165" s="321"/>
      <c r="U165" s="351"/>
      <c r="V165" s="352"/>
      <c r="W165" s="319"/>
      <c r="X165" s="320"/>
      <c r="Y165" s="320"/>
      <c r="Z165" s="321"/>
      <c r="AA165" s="321"/>
      <c r="AB165" s="321"/>
      <c r="AC165" s="320"/>
      <c r="AD165" s="380"/>
      <c r="AE165" s="352"/>
      <c r="AF165" s="381">
        <f t="shared" si="25"/>
        <v>0</v>
      </c>
      <c r="AG165" s="381"/>
      <c r="AH165" s="408"/>
      <c r="AI165" s="409">
        <f t="shared" si="26"/>
        <v>0</v>
      </c>
      <c r="AJ165" s="410"/>
      <c r="AK165" s="411">
        <f t="shared" si="27"/>
        <v>0</v>
      </c>
      <c r="AL165" s="234"/>
      <c r="AM165" s="234"/>
      <c r="AN165" s="234"/>
    </row>
    <row r="166" spans="1:40" ht="20.25">
      <c r="A166" s="316" t="s">
        <v>131</v>
      </c>
      <c r="B166" s="295"/>
      <c r="C166" s="295"/>
      <c r="D166" s="1077"/>
      <c r="E166" s="319"/>
      <c r="F166" s="320"/>
      <c r="G166" s="320"/>
      <c r="H166" s="321"/>
      <c r="I166" s="321"/>
      <c r="J166" s="320"/>
      <c r="K166" s="842"/>
      <c r="L166" s="351"/>
      <c r="M166" s="352"/>
      <c r="N166" s="353"/>
      <c r="O166" s="321"/>
      <c r="P166" s="321"/>
      <c r="Q166" s="321"/>
      <c r="R166" s="321"/>
      <c r="S166" s="321"/>
      <c r="T166" s="321"/>
      <c r="U166" s="351"/>
      <c r="V166" s="352"/>
      <c r="W166" s="319"/>
      <c r="X166" s="320"/>
      <c r="Y166" s="320"/>
      <c r="Z166" s="321"/>
      <c r="AA166" s="321"/>
      <c r="AB166" s="321"/>
      <c r="AC166" s="320"/>
      <c r="AD166" s="380"/>
      <c r="AE166" s="352"/>
      <c r="AF166" s="381">
        <f t="shared" si="25"/>
        <v>0</v>
      </c>
      <c r="AG166" s="381"/>
      <c r="AH166" s="408"/>
      <c r="AI166" s="409">
        <f t="shared" si="26"/>
        <v>0</v>
      </c>
      <c r="AJ166" s="410"/>
      <c r="AK166" s="411">
        <f t="shared" si="27"/>
        <v>0</v>
      </c>
      <c r="AL166" s="234"/>
      <c r="AM166" s="234"/>
      <c r="AN166" s="234"/>
    </row>
    <row r="167" spans="1:40" ht="20.25">
      <c r="A167" s="316" t="s">
        <v>131</v>
      </c>
      <c r="B167" s="295"/>
      <c r="C167" s="295"/>
      <c r="D167" s="1077"/>
      <c r="E167" s="319"/>
      <c r="F167" s="320"/>
      <c r="G167" s="320"/>
      <c r="H167" s="321"/>
      <c r="I167" s="321"/>
      <c r="J167" s="320"/>
      <c r="K167" s="842"/>
      <c r="L167" s="351"/>
      <c r="M167" s="352"/>
      <c r="N167" s="353"/>
      <c r="O167" s="321"/>
      <c r="P167" s="321"/>
      <c r="Q167" s="321"/>
      <c r="R167" s="321"/>
      <c r="S167" s="321"/>
      <c r="T167" s="321"/>
      <c r="U167" s="351"/>
      <c r="V167" s="352"/>
      <c r="W167" s="319"/>
      <c r="X167" s="320"/>
      <c r="Y167" s="320"/>
      <c r="Z167" s="321"/>
      <c r="AA167" s="321"/>
      <c r="AB167" s="321"/>
      <c r="AC167" s="320"/>
      <c r="AD167" s="380"/>
      <c r="AE167" s="352"/>
      <c r="AF167" s="381">
        <f t="shared" si="25"/>
        <v>0</v>
      </c>
      <c r="AG167" s="381"/>
      <c r="AH167" s="408"/>
      <c r="AI167" s="409">
        <f t="shared" si="26"/>
        <v>0</v>
      </c>
      <c r="AJ167" s="410"/>
      <c r="AK167" s="411">
        <f t="shared" si="27"/>
        <v>0</v>
      </c>
      <c r="AL167" s="234"/>
      <c r="AM167" s="234"/>
      <c r="AN167" s="234"/>
    </row>
    <row r="168" spans="1:40" ht="21" thickBot="1">
      <c r="A168" s="316" t="s">
        <v>131</v>
      </c>
      <c r="B168" s="295"/>
      <c r="C168" s="295"/>
      <c r="D168" s="1077"/>
      <c r="E168" s="319"/>
      <c r="F168" s="320"/>
      <c r="G168" s="320"/>
      <c r="H168" s="321"/>
      <c r="I168" s="321"/>
      <c r="J168" s="320"/>
      <c r="K168" s="842"/>
      <c r="L168" s="351"/>
      <c r="M168" s="352"/>
      <c r="N168" s="353"/>
      <c r="O168" s="321"/>
      <c r="P168" s="321"/>
      <c r="Q168" s="321"/>
      <c r="R168" s="321"/>
      <c r="S168" s="321"/>
      <c r="T168" s="321"/>
      <c r="U168" s="351"/>
      <c r="V168" s="352"/>
      <c r="W168" s="319"/>
      <c r="X168" s="320"/>
      <c r="Y168" s="320"/>
      <c r="Z168" s="321"/>
      <c r="AA168" s="321"/>
      <c r="AB168" s="321"/>
      <c r="AC168" s="320"/>
      <c r="AD168" s="380"/>
      <c r="AE168" s="352"/>
      <c r="AF168" s="381">
        <f t="shared" si="25"/>
        <v>0</v>
      </c>
      <c r="AG168" s="381"/>
      <c r="AH168" s="408"/>
      <c r="AI168" s="409">
        <f t="shared" si="26"/>
        <v>0</v>
      </c>
      <c r="AJ168" s="410"/>
      <c r="AK168" s="411">
        <f t="shared" si="27"/>
        <v>0</v>
      </c>
      <c r="AL168" s="234"/>
      <c r="AM168" s="234"/>
      <c r="AN168" s="234"/>
    </row>
    <row r="169" spans="1:40" ht="21" thickBot="1">
      <c r="A169" s="316" t="s">
        <v>131</v>
      </c>
      <c r="B169" s="323"/>
      <c r="C169" s="323"/>
      <c r="D169" s="1078"/>
      <c r="E169" s="325"/>
      <c r="F169" s="297"/>
      <c r="G169" s="297"/>
      <c r="H169" s="298"/>
      <c r="I169" s="298"/>
      <c r="J169" s="297"/>
      <c r="K169" s="1086"/>
      <c r="L169" s="367"/>
      <c r="M169" s="355"/>
      <c r="N169" s="343"/>
      <c r="O169" s="298"/>
      <c r="P169" s="298"/>
      <c r="Q169" s="298"/>
      <c r="R169" s="298"/>
      <c r="S169" s="298"/>
      <c r="T169" s="298"/>
      <c r="U169" s="367"/>
      <c r="V169" s="355"/>
      <c r="W169" s="325"/>
      <c r="X169" s="297"/>
      <c r="Y169" s="297"/>
      <c r="Z169" s="298"/>
      <c r="AA169" s="298"/>
      <c r="AB169" s="298"/>
      <c r="AC169" s="297"/>
      <c r="AD169" s="375"/>
      <c r="AE169" s="355"/>
      <c r="AF169" s="376">
        <f t="shared" si="25"/>
        <v>0</v>
      </c>
      <c r="AG169" s="377"/>
      <c r="AH169" s="390"/>
      <c r="AI169" s="391">
        <f t="shared" si="26"/>
        <v>0</v>
      </c>
      <c r="AJ169" s="412"/>
      <c r="AK169" s="413">
        <f t="shared" si="27"/>
        <v>0</v>
      </c>
      <c r="AL169" s="414" t="s">
        <v>8</v>
      </c>
      <c r="AM169" s="397" t="s">
        <v>23</v>
      </c>
      <c r="AN169" s="415" t="s">
        <v>174</v>
      </c>
    </row>
    <row r="170" spans="1:40" s="284" customFormat="1" ht="19.5" thickBot="1">
      <c r="A170" s="326" t="s">
        <v>132</v>
      </c>
      <c r="B170" s="327"/>
      <c r="C170" s="327"/>
      <c r="D170" s="328"/>
      <c r="E170" s="329">
        <f t="shared" ref="E170:L170" si="28">SUM(E139:E169)</f>
        <v>0</v>
      </c>
      <c r="F170" s="329">
        <f t="shared" si="28"/>
        <v>0</v>
      </c>
      <c r="G170" s="329">
        <f t="shared" si="28"/>
        <v>0</v>
      </c>
      <c r="H170" s="329">
        <f t="shared" si="28"/>
        <v>0</v>
      </c>
      <c r="I170" s="329">
        <f t="shared" si="28"/>
        <v>0</v>
      </c>
      <c r="J170" s="329">
        <f t="shared" si="28"/>
        <v>0</v>
      </c>
      <c r="K170" s="329">
        <f t="shared" si="28"/>
        <v>0</v>
      </c>
      <c r="L170" s="329">
        <f t="shared" si="28"/>
        <v>0</v>
      </c>
      <c r="M170" s="357"/>
      <c r="N170" s="358">
        <f t="shared" ref="N170:U170" si="29">SUM(N139:N169)</f>
        <v>0</v>
      </c>
      <c r="O170" s="359">
        <f t="shared" si="29"/>
        <v>0</v>
      </c>
      <c r="P170" s="359">
        <f t="shared" si="29"/>
        <v>0</v>
      </c>
      <c r="Q170" s="359">
        <f t="shared" si="29"/>
        <v>0</v>
      </c>
      <c r="R170" s="359">
        <f t="shared" si="29"/>
        <v>0</v>
      </c>
      <c r="S170" s="359">
        <f t="shared" si="29"/>
        <v>0</v>
      </c>
      <c r="T170" s="359">
        <f t="shared" si="29"/>
        <v>0</v>
      </c>
      <c r="U170" s="369">
        <f t="shared" si="29"/>
        <v>0</v>
      </c>
      <c r="V170" s="357"/>
      <c r="W170" s="358">
        <f t="shared" ref="W170:AD170" si="30">SUM(W139:W169)</f>
        <v>0</v>
      </c>
      <c r="X170" s="358">
        <f t="shared" si="30"/>
        <v>0</v>
      </c>
      <c r="Y170" s="358">
        <f t="shared" si="30"/>
        <v>0</v>
      </c>
      <c r="Z170" s="358">
        <f t="shared" si="30"/>
        <v>0</v>
      </c>
      <c r="AA170" s="358">
        <f t="shared" si="30"/>
        <v>0</v>
      </c>
      <c r="AB170" s="358">
        <f t="shared" si="30"/>
        <v>0</v>
      </c>
      <c r="AC170" s="358">
        <f t="shared" si="30"/>
        <v>0</v>
      </c>
      <c r="AD170" s="358">
        <f t="shared" si="30"/>
        <v>0</v>
      </c>
      <c r="AE170" s="357"/>
      <c r="AF170" s="382">
        <f t="shared" ref="AF170:AK170" si="31">SUM(AF139:AF169)</f>
        <v>0</v>
      </c>
      <c r="AG170" s="382">
        <f t="shared" si="31"/>
        <v>0</v>
      </c>
      <c r="AH170" s="416">
        <f t="shared" si="31"/>
        <v>0</v>
      </c>
      <c r="AI170" s="417">
        <f t="shared" si="31"/>
        <v>0</v>
      </c>
      <c r="AJ170" s="382">
        <f t="shared" si="31"/>
        <v>0</v>
      </c>
      <c r="AK170" s="418">
        <f t="shared" si="31"/>
        <v>0</v>
      </c>
      <c r="AL170" s="399" t="e">
        <f>'BIG CHAIR'!#REF!</f>
        <v>#REF!</v>
      </c>
      <c r="AM170" s="400">
        <f>'Tea Table'!X269</f>
        <v>0</v>
      </c>
      <c r="AN170" s="401" t="e">
        <f>AI170+AL170+AM170</f>
        <v>#REF!</v>
      </c>
    </row>
    <row r="171" spans="1:40" s="282" customFormat="1" ht="24" thickBot="1">
      <c r="A171" s="286" t="s">
        <v>393</v>
      </c>
      <c r="B171" s="287" t="s">
        <v>68</v>
      </c>
      <c r="C171" s="287" t="s">
        <v>69</v>
      </c>
      <c r="D171" s="3376" t="s">
        <v>70</v>
      </c>
      <c r="E171" s="743" t="s">
        <v>96</v>
      </c>
      <c r="F171" s="744" t="s">
        <v>124</v>
      </c>
      <c r="G171" s="744" t="s">
        <v>228</v>
      </c>
      <c r="H171" s="744" t="s">
        <v>149</v>
      </c>
      <c r="I171" s="744" t="s">
        <v>470</v>
      </c>
      <c r="J171" s="744" t="s">
        <v>92</v>
      </c>
      <c r="K171" s="50" t="s">
        <v>479</v>
      </c>
      <c r="L171" s="783" t="s">
        <v>497</v>
      </c>
      <c r="M171" s="578"/>
      <c r="N171" s="80" t="s">
        <v>71</v>
      </c>
      <c r="O171" s="49" t="s">
        <v>53</v>
      </c>
      <c r="P171" s="49" t="s">
        <v>118</v>
      </c>
      <c r="Q171" s="49" t="s">
        <v>407</v>
      </c>
      <c r="R171" s="49" t="s">
        <v>457</v>
      </c>
      <c r="S171" s="49" t="s">
        <v>94</v>
      </c>
      <c r="T171" s="126" t="s">
        <v>77</v>
      </c>
      <c r="U171" s="717" t="s">
        <v>482</v>
      </c>
      <c r="V171" s="578"/>
      <c r="W171" s="764" t="e">
        <f>#REF!</f>
        <v>#REF!</v>
      </c>
      <c r="X171" s="765" t="s">
        <v>96</v>
      </c>
      <c r="Y171" s="765" t="e">
        <f>#REF!</f>
        <v>#REF!</v>
      </c>
      <c r="Z171" s="49" t="s">
        <v>496</v>
      </c>
      <c r="AA171" s="765" t="e">
        <f>#REF!</f>
        <v>#REF!</v>
      </c>
      <c r="AB171" s="765" t="e">
        <f>#REF!</f>
        <v>#REF!</v>
      </c>
      <c r="AC171" s="765" t="e">
        <f>#REF!</f>
        <v>#REF!</v>
      </c>
      <c r="AD171" s="772" t="e">
        <f>#REF!</f>
        <v>#REF!</v>
      </c>
      <c r="AE171" s="370"/>
      <c r="AF171" s="371" t="s">
        <v>172</v>
      </c>
      <c r="AG171" s="372" t="s">
        <v>80</v>
      </c>
      <c r="AH171" s="385"/>
      <c r="AI171" s="386" t="s">
        <v>106</v>
      </c>
      <c r="AJ171" s="385" t="s">
        <v>173</v>
      </c>
      <c r="AK171" s="371" t="s">
        <v>108</v>
      </c>
    </row>
    <row r="172" spans="1:40" s="283" customFormat="1" ht="20.25">
      <c r="A172" s="316" t="s">
        <v>392</v>
      </c>
      <c r="B172" s="317" t="s">
        <v>472</v>
      </c>
      <c r="C172" s="317"/>
      <c r="D172" s="1077"/>
      <c r="E172" s="319"/>
      <c r="F172" s="320"/>
      <c r="G172" s="320"/>
      <c r="H172" s="321"/>
      <c r="I172" s="321"/>
      <c r="J172" s="320"/>
      <c r="K172" s="1090"/>
      <c r="L172" s="351"/>
      <c r="M172" s="352"/>
      <c r="N172" s="353"/>
      <c r="O172" s="321"/>
      <c r="P172" s="321"/>
      <c r="Q172" s="321"/>
      <c r="R172" s="321"/>
      <c r="S172" s="321"/>
      <c r="T172" s="321"/>
      <c r="U172" s="351"/>
      <c r="V172" s="352"/>
      <c r="W172" s="319"/>
      <c r="X172" s="320"/>
      <c r="Y172" s="320"/>
      <c r="Z172" s="321"/>
      <c r="AA172" s="321"/>
      <c r="AB172" s="321"/>
      <c r="AC172" s="320"/>
      <c r="AD172" s="380"/>
      <c r="AE172" s="352"/>
      <c r="AF172" s="381">
        <f>SUM(E172:AD172)</f>
        <v>0</v>
      </c>
      <c r="AG172" s="381"/>
      <c r="AH172" s="408"/>
      <c r="AI172" s="409">
        <f>AF172+AG172</f>
        <v>0</v>
      </c>
      <c r="AJ172" s="410"/>
      <c r="AK172" s="411">
        <f>AI172+AJ172</f>
        <v>0</v>
      </c>
      <c r="AL172" s="234"/>
      <c r="AM172" s="234"/>
      <c r="AN172" s="234"/>
    </row>
    <row r="173" spans="1:40" s="283" customFormat="1" ht="20.25">
      <c r="A173" s="316" t="s">
        <v>392</v>
      </c>
      <c r="B173" s="822"/>
      <c r="C173" s="295"/>
      <c r="D173" s="1077"/>
      <c r="E173" s="319"/>
      <c r="F173" s="320"/>
      <c r="G173" s="320"/>
      <c r="H173" s="321"/>
      <c r="I173" s="321"/>
      <c r="J173" s="320"/>
      <c r="K173" s="1090"/>
      <c r="L173" s="363"/>
      <c r="M173" s="352"/>
      <c r="N173" s="353"/>
      <c r="O173" s="321"/>
      <c r="P173" s="321"/>
      <c r="Q173" s="321"/>
      <c r="R173" s="321"/>
      <c r="S173" s="321"/>
      <c r="T173" s="321"/>
      <c r="U173" s="351"/>
      <c r="V173" s="352"/>
      <c r="W173" s="319"/>
      <c r="X173" s="320"/>
      <c r="Y173" s="320"/>
      <c r="Z173" s="321"/>
      <c r="AA173" s="321"/>
      <c r="AB173" s="321"/>
      <c r="AC173" s="320"/>
      <c r="AD173" s="380"/>
      <c r="AE173" s="352"/>
      <c r="AF173" s="381">
        <f>SUM(E173:AD173)</f>
        <v>0</v>
      </c>
      <c r="AG173" s="381"/>
      <c r="AH173" s="408"/>
      <c r="AI173" s="409">
        <f>AF173+AG173</f>
        <v>0</v>
      </c>
      <c r="AJ173" s="410"/>
      <c r="AK173" s="411">
        <f>AI173+AJ173</f>
        <v>0</v>
      </c>
      <c r="AL173" s="234"/>
      <c r="AM173" s="234"/>
      <c r="AN173" s="234"/>
    </row>
    <row r="174" spans="1:40" s="283" customFormat="1" ht="20.25">
      <c r="A174" s="316" t="s">
        <v>392</v>
      </c>
      <c r="B174" s="822"/>
      <c r="C174" s="295"/>
      <c r="D174" s="1077"/>
      <c r="E174" s="319"/>
      <c r="F174" s="320"/>
      <c r="G174" s="320"/>
      <c r="H174" s="321"/>
      <c r="I174" s="321"/>
      <c r="J174" s="320"/>
      <c r="K174" s="1090"/>
      <c r="L174" s="363"/>
      <c r="M174" s="352"/>
      <c r="N174" s="353"/>
      <c r="O174" s="321"/>
      <c r="P174" s="321"/>
      <c r="Q174" s="321"/>
      <c r="R174" s="321"/>
      <c r="S174" s="321"/>
      <c r="T174" s="321"/>
      <c r="U174" s="351"/>
      <c r="V174" s="352"/>
      <c r="W174" s="319"/>
      <c r="X174" s="320"/>
      <c r="Y174" s="320"/>
      <c r="Z174" s="321"/>
      <c r="AA174" s="321"/>
      <c r="AB174" s="321"/>
      <c r="AC174" s="320"/>
      <c r="AD174" s="380"/>
      <c r="AE174" s="352"/>
      <c r="AF174" s="381">
        <f>SUM(E174:AD174)</f>
        <v>0</v>
      </c>
      <c r="AG174" s="381"/>
      <c r="AH174" s="408"/>
      <c r="AI174" s="409">
        <f>AF174+AG174</f>
        <v>0</v>
      </c>
      <c r="AJ174" s="410"/>
      <c r="AK174" s="411">
        <f>AI174+AJ174</f>
        <v>0</v>
      </c>
      <c r="AL174" s="234"/>
      <c r="AM174" s="234"/>
      <c r="AN174" s="234"/>
    </row>
    <row r="175" spans="1:40" s="283" customFormat="1" ht="20.25">
      <c r="A175" s="316" t="s">
        <v>392</v>
      </c>
      <c r="B175" s="822"/>
      <c r="C175" s="295"/>
      <c r="D175" s="1077"/>
      <c r="E175" s="319"/>
      <c r="F175" s="320"/>
      <c r="G175" s="320"/>
      <c r="H175" s="321"/>
      <c r="I175" s="321"/>
      <c r="J175" s="320"/>
      <c r="K175" s="1091"/>
      <c r="L175" s="363"/>
      <c r="M175" s="352"/>
      <c r="N175" s="353"/>
      <c r="O175" s="321"/>
      <c r="P175" s="321"/>
      <c r="Q175" s="321"/>
      <c r="R175" s="321"/>
      <c r="S175" s="321"/>
      <c r="T175" s="321"/>
      <c r="U175" s="351"/>
      <c r="V175" s="352"/>
      <c r="W175" s="319"/>
      <c r="X175" s="320"/>
      <c r="Y175" s="320"/>
      <c r="Z175" s="321"/>
      <c r="AA175" s="321"/>
      <c r="AB175" s="321"/>
      <c r="AC175" s="320"/>
      <c r="AD175" s="380"/>
      <c r="AE175" s="352"/>
      <c r="AF175" s="381">
        <f>SUM(E175:AD175)</f>
        <v>0</v>
      </c>
      <c r="AG175" s="381"/>
      <c r="AH175" s="408"/>
      <c r="AI175" s="409">
        <f>AF175+AG175</f>
        <v>0</v>
      </c>
      <c r="AJ175" s="410"/>
      <c r="AK175" s="411">
        <f>AI175+AJ175</f>
        <v>0</v>
      </c>
      <c r="AL175" s="234"/>
      <c r="AM175" s="234"/>
      <c r="AN175" s="234"/>
    </row>
    <row r="176" spans="1:40" s="283" customFormat="1" ht="20.25">
      <c r="A176" s="316" t="s">
        <v>392</v>
      </c>
      <c r="B176" s="822"/>
      <c r="C176" s="295"/>
      <c r="D176" s="1077"/>
      <c r="E176" s="319"/>
      <c r="F176" s="320"/>
      <c r="G176" s="320"/>
      <c r="H176" s="321"/>
      <c r="I176" s="321"/>
      <c r="J176" s="320"/>
      <c r="K176" s="1090"/>
      <c r="L176" s="363"/>
      <c r="M176" s="352"/>
      <c r="N176" s="353"/>
      <c r="O176" s="321"/>
      <c r="P176" s="321"/>
      <c r="Q176" s="321"/>
      <c r="R176" s="321"/>
      <c r="S176" s="321"/>
      <c r="T176" s="321"/>
      <c r="U176" s="351"/>
      <c r="V176" s="352"/>
      <c r="W176" s="319"/>
      <c r="X176" s="320"/>
      <c r="Y176" s="320"/>
      <c r="Z176" s="321"/>
      <c r="AA176" s="321"/>
      <c r="AB176" s="321"/>
      <c r="AC176" s="320"/>
      <c r="AD176" s="380"/>
      <c r="AE176" s="352"/>
      <c r="AF176" s="381">
        <f>SUM(E176:AD176)</f>
        <v>0</v>
      </c>
      <c r="AG176" s="381"/>
      <c r="AH176" s="408"/>
      <c r="AI176" s="409">
        <f>AF176+AG176</f>
        <v>0</v>
      </c>
      <c r="AJ176" s="410"/>
      <c r="AK176" s="411">
        <f>AI176+AJ176</f>
        <v>0</v>
      </c>
      <c r="AL176" s="234"/>
      <c r="AM176" s="234"/>
      <c r="AN176" s="234"/>
    </row>
    <row r="177" spans="1:40" s="283" customFormat="1" ht="20.25">
      <c r="A177" s="316" t="s">
        <v>392</v>
      </c>
      <c r="B177" s="822"/>
      <c r="C177" s="295"/>
      <c r="D177" s="1077"/>
      <c r="E177" s="319"/>
      <c r="F177" s="320"/>
      <c r="G177" s="320"/>
      <c r="H177" s="321"/>
      <c r="I177" s="321"/>
      <c r="J177" s="320"/>
      <c r="K177" s="1090"/>
      <c r="L177" s="363"/>
      <c r="M177" s="352"/>
      <c r="N177" s="353"/>
      <c r="O177" s="321"/>
      <c r="P177" s="321"/>
      <c r="Q177" s="321"/>
      <c r="R177" s="321"/>
      <c r="S177" s="321"/>
      <c r="T177" s="321"/>
      <c r="U177" s="351"/>
      <c r="V177" s="352"/>
      <c r="W177" s="319"/>
      <c r="X177" s="320"/>
      <c r="Y177" s="320"/>
      <c r="Z177" s="321"/>
      <c r="AA177" s="321"/>
      <c r="AB177" s="321"/>
      <c r="AC177" s="320"/>
      <c r="AD177" s="380"/>
      <c r="AE177" s="352"/>
      <c r="AF177" s="381">
        <f t="shared" ref="AF177:AF204" si="32">SUM(E177:AD177)</f>
        <v>0</v>
      </c>
      <c r="AG177" s="381"/>
      <c r="AH177" s="408"/>
      <c r="AI177" s="409">
        <f t="shared" ref="AI177:AI204" si="33">AF177+AG177</f>
        <v>0</v>
      </c>
      <c r="AJ177" s="410"/>
      <c r="AK177" s="411">
        <f t="shared" ref="AK177:AK204" si="34">AI177+AJ177</f>
        <v>0</v>
      </c>
      <c r="AL177" s="234"/>
      <c r="AM177" s="234"/>
      <c r="AN177" s="234"/>
    </row>
    <row r="178" spans="1:40" s="284" customFormat="1" ht="20.25">
      <c r="A178" s="316" t="s">
        <v>392</v>
      </c>
      <c r="B178" s="710"/>
      <c r="C178" s="295"/>
      <c r="D178" s="1077"/>
      <c r="E178" s="319"/>
      <c r="F178" s="320"/>
      <c r="G178" s="320"/>
      <c r="H178" s="321"/>
      <c r="I178" s="321"/>
      <c r="J178" s="320"/>
      <c r="K178" s="1090"/>
      <c r="L178" s="351"/>
      <c r="M178" s="352"/>
      <c r="N178" s="353"/>
      <c r="O178" s="321"/>
      <c r="P178" s="321"/>
      <c r="Q178" s="321"/>
      <c r="R178" s="321"/>
      <c r="S178" s="321"/>
      <c r="T178" s="321"/>
      <c r="U178" s="351"/>
      <c r="V178" s="352"/>
      <c r="W178" s="319"/>
      <c r="X178" s="320"/>
      <c r="Y178" s="320"/>
      <c r="Z178" s="321"/>
      <c r="AA178" s="321"/>
      <c r="AB178" s="321"/>
      <c r="AC178" s="320"/>
      <c r="AD178" s="380"/>
      <c r="AE178" s="352"/>
      <c r="AF178" s="381">
        <f t="shared" si="32"/>
        <v>0</v>
      </c>
      <c r="AG178" s="381"/>
      <c r="AH178" s="408"/>
      <c r="AI178" s="409">
        <f t="shared" si="33"/>
        <v>0</v>
      </c>
      <c r="AJ178" s="410"/>
      <c r="AK178" s="411">
        <f t="shared" si="34"/>
        <v>0</v>
      </c>
      <c r="AL178" s="234"/>
      <c r="AM178" s="234"/>
      <c r="AN178" s="234"/>
    </row>
    <row r="179" spans="1:40" s="282" customFormat="1" ht="20.25">
      <c r="A179" s="316" t="s">
        <v>392</v>
      </c>
      <c r="B179" s="710"/>
      <c r="C179" s="295"/>
      <c r="D179" s="1077"/>
      <c r="E179" s="319"/>
      <c r="F179" s="320"/>
      <c r="G179" s="320"/>
      <c r="H179" s="321"/>
      <c r="I179" s="321"/>
      <c r="J179" s="320"/>
      <c r="K179" s="1090"/>
      <c r="L179" s="351"/>
      <c r="M179" s="352"/>
      <c r="N179" s="353"/>
      <c r="O179" s="321"/>
      <c r="P179" s="321"/>
      <c r="Q179" s="321"/>
      <c r="R179" s="321"/>
      <c r="S179" s="321"/>
      <c r="T179" s="321"/>
      <c r="U179" s="351"/>
      <c r="V179" s="352"/>
      <c r="W179" s="319"/>
      <c r="X179" s="320"/>
      <c r="Y179" s="320"/>
      <c r="Z179" s="321"/>
      <c r="AA179" s="321"/>
      <c r="AB179" s="321"/>
      <c r="AC179" s="320"/>
      <c r="AD179" s="380"/>
      <c r="AE179" s="352"/>
      <c r="AF179" s="381">
        <f t="shared" si="32"/>
        <v>0</v>
      </c>
      <c r="AG179" s="381"/>
      <c r="AH179" s="408"/>
      <c r="AI179" s="409">
        <f t="shared" si="33"/>
        <v>0</v>
      </c>
      <c r="AJ179" s="410"/>
      <c r="AK179" s="411">
        <f t="shared" si="34"/>
        <v>0</v>
      </c>
      <c r="AL179" s="234"/>
      <c r="AM179" s="234"/>
      <c r="AN179" s="234"/>
    </row>
    <row r="180" spans="1:40" s="283" customFormat="1" ht="20.25">
      <c r="A180" s="551"/>
      <c r="B180" s="710"/>
      <c r="C180" s="295"/>
      <c r="D180" s="1077"/>
      <c r="E180" s="319"/>
      <c r="F180" s="320"/>
      <c r="G180" s="320"/>
      <c r="H180" s="321"/>
      <c r="I180" s="321"/>
      <c r="J180" s="320"/>
      <c r="K180" s="1090"/>
      <c r="L180" s="351"/>
      <c r="M180" s="352"/>
      <c r="N180" s="353"/>
      <c r="O180" s="321"/>
      <c r="P180" s="321"/>
      <c r="Q180" s="321"/>
      <c r="R180" s="321"/>
      <c r="S180" s="321"/>
      <c r="T180" s="321"/>
      <c r="U180" s="351"/>
      <c r="V180" s="352"/>
      <c r="W180" s="319"/>
      <c r="X180" s="320"/>
      <c r="Y180" s="320"/>
      <c r="Z180" s="321"/>
      <c r="AA180" s="321"/>
      <c r="AB180" s="321"/>
      <c r="AC180" s="320"/>
      <c r="AD180" s="380"/>
      <c r="AE180" s="352"/>
      <c r="AF180" s="381">
        <f t="shared" si="32"/>
        <v>0</v>
      </c>
      <c r="AG180" s="381"/>
      <c r="AH180" s="408"/>
      <c r="AI180" s="409">
        <f t="shared" si="33"/>
        <v>0</v>
      </c>
      <c r="AJ180" s="410"/>
      <c r="AK180" s="411">
        <f t="shared" si="34"/>
        <v>0</v>
      </c>
      <c r="AL180" s="234"/>
      <c r="AM180" s="234"/>
      <c r="AN180" s="234"/>
    </row>
    <row r="181" spans="1:40" s="283" customFormat="1" ht="20.25">
      <c r="A181" s="316" t="s">
        <v>392</v>
      </c>
      <c r="B181" s="710"/>
      <c r="C181" s="295"/>
      <c r="D181" s="1077"/>
      <c r="E181" s="319"/>
      <c r="F181" s="320"/>
      <c r="G181" s="320"/>
      <c r="H181" s="321"/>
      <c r="I181" s="321"/>
      <c r="J181" s="320"/>
      <c r="K181" s="1090"/>
      <c r="L181" s="351"/>
      <c r="M181" s="352"/>
      <c r="N181" s="353"/>
      <c r="O181" s="321"/>
      <c r="P181" s="321"/>
      <c r="Q181" s="321"/>
      <c r="R181" s="321"/>
      <c r="S181" s="321"/>
      <c r="T181" s="321"/>
      <c r="U181" s="351"/>
      <c r="V181" s="352"/>
      <c r="W181" s="319"/>
      <c r="X181" s="320"/>
      <c r="Y181" s="320"/>
      <c r="Z181" s="321"/>
      <c r="AA181" s="321"/>
      <c r="AB181" s="321"/>
      <c r="AC181" s="320"/>
      <c r="AD181" s="380"/>
      <c r="AE181" s="352"/>
      <c r="AF181" s="381">
        <f t="shared" si="32"/>
        <v>0</v>
      </c>
      <c r="AG181" s="381"/>
      <c r="AH181" s="408"/>
      <c r="AI181" s="409">
        <f t="shared" si="33"/>
        <v>0</v>
      </c>
      <c r="AJ181" s="410"/>
      <c r="AK181" s="411">
        <f t="shared" si="34"/>
        <v>0</v>
      </c>
      <c r="AL181" s="234"/>
      <c r="AM181" s="234"/>
      <c r="AN181" s="234"/>
    </row>
    <row r="182" spans="1:40" s="283" customFormat="1" ht="20.25">
      <c r="A182" s="316" t="s">
        <v>392</v>
      </c>
      <c r="B182" s="710"/>
      <c r="C182" s="295"/>
      <c r="D182" s="1077"/>
      <c r="E182" s="319"/>
      <c r="F182" s="320"/>
      <c r="G182" s="320"/>
      <c r="H182" s="321"/>
      <c r="I182" s="321"/>
      <c r="J182" s="320"/>
      <c r="K182" s="1090"/>
      <c r="L182" s="351"/>
      <c r="M182" s="352"/>
      <c r="N182" s="353"/>
      <c r="O182" s="321"/>
      <c r="P182" s="321"/>
      <c r="Q182" s="321"/>
      <c r="R182" s="321"/>
      <c r="S182" s="321"/>
      <c r="T182" s="321"/>
      <c r="U182" s="351"/>
      <c r="V182" s="352"/>
      <c r="W182" s="319"/>
      <c r="X182" s="320"/>
      <c r="Y182" s="320"/>
      <c r="Z182" s="321"/>
      <c r="AA182" s="321"/>
      <c r="AB182" s="321"/>
      <c r="AC182" s="320"/>
      <c r="AD182" s="380"/>
      <c r="AE182" s="352"/>
      <c r="AF182" s="381">
        <f t="shared" si="32"/>
        <v>0</v>
      </c>
      <c r="AG182" s="381"/>
      <c r="AH182" s="408"/>
      <c r="AI182" s="409">
        <f t="shared" si="33"/>
        <v>0</v>
      </c>
      <c r="AJ182" s="410"/>
      <c r="AK182" s="411">
        <f t="shared" si="34"/>
        <v>0</v>
      </c>
      <c r="AL182" s="234"/>
      <c r="AM182" s="234"/>
      <c r="AN182" s="234"/>
    </row>
    <row r="183" spans="1:40" s="283" customFormat="1" ht="20.25">
      <c r="A183" s="316" t="s">
        <v>392</v>
      </c>
      <c r="B183" s="710"/>
      <c r="C183" s="295"/>
      <c r="D183" s="1077"/>
      <c r="E183" s="319"/>
      <c r="F183" s="320"/>
      <c r="G183" s="320"/>
      <c r="H183" s="321"/>
      <c r="I183" s="321"/>
      <c r="J183" s="320"/>
      <c r="K183" s="1090"/>
      <c r="L183" s="351"/>
      <c r="M183" s="352"/>
      <c r="N183" s="353"/>
      <c r="O183" s="321"/>
      <c r="P183" s="321"/>
      <c r="Q183" s="321"/>
      <c r="R183" s="321"/>
      <c r="S183" s="321"/>
      <c r="T183" s="321"/>
      <c r="U183" s="351"/>
      <c r="V183" s="352"/>
      <c r="W183" s="319"/>
      <c r="X183" s="320"/>
      <c r="Y183" s="320"/>
      <c r="Z183" s="321"/>
      <c r="AA183" s="321"/>
      <c r="AB183" s="321"/>
      <c r="AC183" s="320"/>
      <c r="AD183" s="380"/>
      <c r="AE183" s="352"/>
      <c r="AF183" s="381">
        <f t="shared" si="32"/>
        <v>0</v>
      </c>
      <c r="AG183" s="381"/>
      <c r="AH183" s="408"/>
      <c r="AI183" s="409">
        <f t="shared" si="33"/>
        <v>0</v>
      </c>
      <c r="AJ183" s="410"/>
      <c r="AK183" s="411">
        <f t="shared" si="34"/>
        <v>0</v>
      </c>
      <c r="AL183" s="234"/>
      <c r="AM183" s="234"/>
      <c r="AN183" s="234"/>
    </row>
    <row r="184" spans="1:40" s="283" customFormat="1" ht="20.25">
      <c r="A184" s="316" t="s">
        <v>392</v>
      </c>
      <c r="B184" s="822"/>
      <c r="C184" s="295"/>
      <c r="D184" s="1077"/>
      <c r="E184" s="319"/>
      <c r="F184" s="320"/>
      <c r="G184" s="320"/>
      <c r="H184" s="321"/>
      <c r="I184" s="321"/>
      <c r="J184" s="320"/>
      <c r="K184" s="1090"/>
      <c r="L184" s="351"/>
      <c r="M184" s="352"/>
      <c r="N184" s="353"/>
      <c r="O184" s="321"/>
      <c r="P184" s="321"/>
      <c r="Q184" s="321"/>
      <c r="R184" s="321"/>
      <c r="S184" s="321"/>
      <c r="T184" s="321"/>
      <c r="U184" s="351"/>
      <c r="V184" s="352"/>
      <c r="W184" s="319"/>
      <c r="X184" s="320"/>
      <c r="Y184" s="320"/>
      <c r="Z184" s="321"/>
      <c r="AA184" s="321"/>
      <c r="AB184" s="321"/>
      <c r="AC184" s="320"/>
      <c r="AD184" s="380"/>
      <c r="AE184" s="352"/>
      <c r="AF184" s="381">
        <f t="shared" si="32"/>
        <v>0</v>
      </c>
      <c r="AG184" s="381"/>
      <c r="AH184" s="408"/>
      <c r="AI184" s="409">
        <f t="shared" si="33"/>
        <v>0</v>
      </c>
      <c r="AJ184" s="410"/>
      <c r="AK184" s="411">
        <f t="shared" si="34"/>
        <v>0</v>
      </c>
      <c r="AL184" s="234"/>
      <c r="AM184" s="234"/>
      <c r="AN184" s="234"/>
    </row>
    <row r="185" spans="1:40" s="284" customFormat="1" ht="20.25">
      <c r="A185" s="316" t="s">
        <v>392</v>
      </c>
      <c r="B185" s="710"/>
      <c r="C185" s="295"/>
      <c r="D185" s="1077"/>
      <c r="E185" s="319"/>
      <c r="F185" s="320"/>
      <c r="G185" s="320"/>
      <c r="H185" s="321"/>
      <c r="I185" s="321"/>
      <c r="J185" s="320"/>
      <c r="K185" s="1090"/>
      <c r="L185" s="351"/>
      <c r="M185" s="352"/>
      <c r="N185" s="353"/>
      <c r="O185" s="321"/>
      <c r="P185" s="321"/>
      <c r="Q185" s="321"/>
      <c r="R185" s="321"/>
      <c r="S185" s="321"/>
      <c r="T185" s="321"/>
      <c r="U185" s="351"/>
      <c r="V185" s="352"/>
      <c r="W185" s="319"/>
      <c r="X185" s="320"/>
      <c r="Y185" s="320"/>
      <c r="Z185" s="321"/>
      <c r="AA185" s="321"/>
      <c r="AB185" s="321"/>
      <c r="AC185" s="320"/>
      <c r="AD185" s="380"/>
      <c r="AE185" s="352"/>
      <c r="AF185" s="381">
        <f t="shared" si="32"/>
        <v>0</v>
      </c>
      <c r="AG185" s="381"/>
      <c r="AH185" s="408"/>
      <c r="AI185" s="409">
        <f t="shared" si="33"/>
        <v>0</v>
      </c>
      <c r="AJ185" s="410"/>
      <c r="AK185" s="411">
        <f t="shared" si="34"/>
        <v>0</v>
      </c>
      <c r="AL185" s="234"/>
      <c r="AM185" s="234"/>
      <c r="AN185" s="234"/>
    </row>
    <row r="186" spans="1:40" s="282" customFormat="1" ht="20.25">
      <c r="A186" s="316" t="s">
        <v>392</v>
      </c>
      <c r="B186" s="295"/>
      <c r="C186" s="295"/>
      <c r="D186" s="1077"/>
      <c r="E186" s="319"/>
      <c r="F186" s="320"/>
      <c r="G186" s="320"/>
      <c r="H186" s="321"/>
      <c r="I186" s="321"/>
      <c r="J186" s="320"/>
      <c r="K186" s="1090"/>
      <c r="L186" s="351"/>
      <c r="M186" s="352"/>
      <c r="N186" s="353"/>
      <c r="O186" s="321"/>
      <c r="P186" s="321"/>
      <c r="Q186" s="321"/>
      <c r="R186" s="321"/>
      <c r="S186" s="321"/>
      <c r="T186" s="321"/>
      <c r="U186" s="351"/>
      <c r="V186" s="352"/>
      <c r="W186" s="319"/>
      <c r="X186" s="320"/>
      <c r="Y186" s="320"/>
      <c r="Z186" s="321"/>
      <c r="AA186" s="321"/>
      <c r="AB186" s="321"/>
      <c r="AC186" s="320"/>
      <c r="AD186" s="380"/>
      <c r="AE186" s="352"/>
      <c r="AF186" s="381">
        <f t="shared" si="32"/>
        <v>0</v>
      </c>
      <c r="AG186" s="381"/>
      <c r="AH186" s="408"/>
      <c r="AI186" s="409">
        <f t="shared" si="33"/>
        <v>0</v>
      </c>
      <c r="AJ186" s="410"/>
      <c r="AK186" s="411">
        <f t="shared" si="34"/>
        <v>0</v>
      </c>
      <c r="AL186" s="234"/>
      <c r="AM186" s="234"/>
      <c r="AN186" s="234"/>
    </row>
    <row r="187" spans="1:40" s="283" customFormat="1" ht="20.25">
      <c r="A187" s="316" t="s">
        <v>392</v>
      </c>
      <c r="B187" s="295"/>
      <c r="C187" s="295"/>
      <c r="D187" s="1077"/>
      <c r="E187" s="319"/>
      <c r="F187" s="320"/>
      <c r="G187" s="320"/>
      <c r="H187" s="321"/>
      <c r="I187" s="321"/>
      <c r="J187" s="320"/>
      <c r="K187" s="1090"/>
      <c r="L187" s="351"/>
      <c r="M187" s="352"/>
      <c r="N187" s="353"/>
      <c r="O187" s="321"/>
      <c r="P187" s="321"/>
      <c r="Q187" s="321"/>
      <c r="R187" s="321"/>
      <c r="S187" s="321"/>
      <c r="T187" s="321"/>
      <c r="U187" s="351"/>
      <c r="V187" s="352"/>
      <c r="W187" s="319"/>
      <c r="X187" s="320"/>
      <c r="Y187" s="320"/>
      <c r="Z187" s="321"/>
      <c r="AA187" s="321"/>
      <c r="AB187" s="321"/>
      <c r="AC187" s="320"/>
      <c r="AD187" s="380"/>
      <c r="AE187" s="352"/>
      <c r="AF187" s="381">
        <f t="shared" si="32"/>
        <v>0</v>
      </c>
      <c r="AG187" s="381"/>
      <c r="AH187" s="408"/>
      <c r="AI187" s="409">
        <f t="shared" si="33"/>
        <v>0</v>
      </c>
      <c r="AJ187" s="410"/>
      <c r="AK187" s="411">
        <f t="shared" si="34"/>
        <v>0</v>
      </c>
      <c r="AL187" s="234"/>
      <c r="AM187" s="234"/>
      <c r="AN187" s="234"/>
    </row>
    <row r="188" spans="1:40" s="283" customFormat="1" ht="20.25">
      <c r="A188" s="316" t="s">
        <v>392</v>
      </c>
      <c r="B188" s="295"/>
      <c r="C188" s="295"/>
      <c r="D188" s="1077"/>
      <c r="E188" s="319"/>
      <c r="F188" s="320"/>
      <c r="G188" s="320"/>
      <c r="H188" s="321"/>
      <c r="I188" s="321"/>
      <c r="J188" s="320"/>
      <c r="K188" s="1090"/>
      <c r="L188" s="351"/>
      <c r="M188" s="352"/>
      <c r="N188" s="353"/>
      <c r="O188" s="321"/>
      <c r="P188" s="321"/>
      <c r="Q188" s="321"/>
      <c r="R188" s="321"/>
      <c r="S188" s="321"/>
      <c r="T188" s="321"/>
      <c r="U188" s="351"/>
      <c r="V188" s="352"/>
      <c r="W188" s="319"/>
      <c r="X188" s="320"/>
      <c r="Y188" s="320"/>
      <c r="Z188" s="321"/>
      <c r="AA188" s="321"/>
      <c r="AB188" s="321"/>
      <c r="AC188" s="320"/>
      <c r="AD188" s="380"/>
      <c r="AE188" s="352"/>
      <c r="AF188" s="381">
        <f t="shared" si="32"/>
        <v>0</v>
      </c>
      <c r="AG188" s="381"/>
      <c r="AH188" s="408"/>
      <c r="AI188" s="409">
        <f t="shared" si="33"/>
        <v>0</v>
      </c>
      <c r="AJ188" s="410"/>
      <c r="AK188" s="411">
        <f t="shared" si="34"/>
        <v>0</v>
      </c>
      <c r="AL188" s="234"/>
      <c r="AM188" s="234"/>
      <c r="AN188" s="234"/>
    </row>
    <row r="189" spans="1:40" s="283" customFormat="1" ht="20.25">
      <c r="A189" s="316" t="s">
        <v>392</v>
      </c>
      <c r="B189" s="295"/>
      <c r="C189" s="295"/>
      <c r="D189" s="1077"/>
      <c r="E189" s="319"/>
      <c r="F189" s="320"/>
      <c r="G189" s="320"/>
      <c r="H189" s="321"/>
      <c r="I189" s="321"/>
      <c r="J189" s="320"/>
      <c r="K189" s="1090"/>
      <c r="L189" s="351"/>
      <c r="M189" s="352"/>
      <c r="N189" s="353"/>
      <c r="O189" s="321"/>
      <c r="P189" s="321"/>
      <c r="Q189" s="321"/>
      <c r="R189" s="321"/>
      <c r="S189" s="321"/>
      <c r="T189" s="321"/>
      <c r="U189" s="351"/>
      <c r="V189" s="352"/>
      <c r="W189" s="319"/>
      <c r="X189" s="320"/>
      <c r="Y189" s="320"/>
      <c r="Z189" s="321"/>
      <c r="AA189" s="321"/>
      <c r="AB189" s="321"/>
      <c r="AC189" s="320"/>
      <c r="AD189" s="380"/>
      <c r="AE189" s="352"/>
      <c r="AF189" s="381">
        <f t="shared" si="32"/>
        <v>0</v>
      </c>
      <c r="AG189" s="381"/>
      <c r="AH189" s="408"/>
      <c r="AI189" s="409">
        <f t="shared" si="33"/>
        <v>0</v>
      </c>
      <c r="AJ189" s="410"/>
      <c r="AK189" s="411">
        <f t="shared" si="34"/>
        <v>0</v>
      </c>
      <c r="AL189" s="234"/>
      <c r="AM189" s="234"/>
      <c r="AN189" s="234"/>
    </row>
    <row r="190" spans="1:40" s="283" customFormat="1" ht="20.25">
      <c r="A190" s="316" t="s">
        <v>392</v>
      </c>
      <c r="B190" s="295"/>
      <c r="C190" s="295"/>
      <c r="D190" s="1077"/>
      <c r="E190" s="319"/>
      <c r="F190" s="320"/>
      <c r="G190" s="320"/>
      <c r="H190" s="321"/>
      <c r="I190" s="321"/>
      <c r="J190" s="320"/>
      <c r="K190" s="842"/>
      <c r="L190" s="351"/>
      <c r="M190" s="352"/>
      <c r="N190" s="353"/>
      <c r="O190" s="321"/>
      <c r="P190" s="321"/>
      <c r="Q190" s="321"/>
      <c r="R190" s="321"/>
      <c r="S190" s="321"/>
      <c r="T190" s="321"/>
      <c r="U190" s="351"/>
      <c r="V190" s="352"/>
      <c r="W190" s="319"/>
      <c r="X190" s="320"/>
      <c r="Y190" s="320"/>
      <c r="Z190" s="321"/>
      <c r="AA190" s="321"/>
      <c r="AB190" s="321"/>
      <c r="AC190" s="320"/>
      <c r="AD190" s="380"/>
      <c r="AE190" s="352"/>
      <c r="AF190" s="381">
        <f t="shared" si="32"/>
        <v>0</v>
      </c>
      <c r="AG190" s="381"/>
      <c r="AH190" s="408"/>
      <c r="AI190" s="409">
        <f t="shared" si="33"/>
        <v>0</v>
      </c>
      <c r="AJ190" s="410"/>
      <c r="AK190" s="411">
        <f t="shared" si="34"/>
        <v>0</v>
      </c>
      <c r="AL190" s="234"/>
      <c r="AM190" s="234"/>
      <c r="AN190" s="234"/>
    </row>
    <row r="191" spans="1:40" s="283" customFormat="1" ht="20.25">
      <c r="A191" s="316" t="s">
        <v>392</v>
      </c>
      <c r="B191" s="295"/>
      <c r="C191" s="295"/>
      <c r="D191" s="1077"/>
      <c r="E191" s="319"/>
      <c r="F191" s="320"/>
      <c r="G191" s="320"/>
      <c r="H191" s="321"/>
      <c r="I191" s="321"/>
      <c r="J191" s="320"/>
      <c r="K191" s="842"/>
      <c r="L191" s="351"/>
      <c r="M191" s="352"/>
      <c r="N191" s="353"/>
      <c r="O191" s="321"/>
      <c r="P191" s="321"/>
      <c r="Q191" s="321"/>
      <c r="R191" s="321"/>
      <c r="S191" s="321"/>
      <c r="T191" s="321"/>
      <c r="U191" s="351"/>
      <c r="V191" s="352"/>
      <c r="W191" s="319"/>
      <c r="X191" s="320"/>
      <c r="Y191" s="320"/>
      <c r="Z191" s="321"/>
      <c r="AA191" s="321"/>
      <c r="AB191" s="321"/>
      <c r="AC191" s="320"/>
      <c r="AD191" s="380"/>
      <c r="AE191" s="352"/>
      <c r="AF191" s="381">
        <f t="shared" si="32"/>
        <v>0</v>
      </c>
      <c r="AG191" s="381"/>
      <c r="AH191" s="408"/>
      <c r="AI191" s="409">
        <f t="shared" si="33"/>
        <v>0</v>
      </c>
      <c r="AJ191" s="410"/>
      <c r="AK191" s="411">
        <f t="shared" si="34"/>
        <v>0</v>
      </c>
      <c r="AL191" s="234"/>
      <c r="AM191" s="234"/>
      <c r="AN191" s="234"/>
    </row>
    <row r="192" spans="1:40" s="283" customFormat="1" ht="20.25">
      <c r="A192" s="316" t="s">
        <v>392</v>
      </c>
      <c r="B192" s="295"/>
      <c r="C192" s="295"/>
      <c r="D192" s="1077"/>
      <c r="E192" s="319"/>
      <c r="F192" s="320"/>
      <c r="G192" s="320"/>
      <c r="H192" s="321"/>
      <c r="I192" s="321"/>
      <c r="J192" s="320"/>
      <c r="K192" s="842"/>
      <c r="L192" s="351"/>
      <c r="M192" s="352"/>
      <c r="N192" s="353"/>
      <c r="O192" s="321"/>
      <c r="P192" s="321"/>
      <c r="Q192" s="321"/>
      <c r="R192" s="321"/>
      <c r="S192" s="321"/>
      <c r="T192" s="321"/>
      <c r="U192" s="351"/>
      <c r="V192" s="352"/>
      <c r="W192" s="319"/>
      <c r="X192" s="320"/>
      <c r="Y192" s="320"/>
      <c r="Z192" s="321"/>
      <c r="AA192" s="321"/>
      <c r="AB192" s="321"/>
      <c r="AC192" s="320"/>
      <c r="AD192" s="380"/>
      <c r="AE192" s="352"/>
      <c r="AF192" s="381">
        <f t="shared" si="32"/>
        <v>0</v>
      </c>
      <c r="AG192" s="381"/>
      <c r="AH192" s="408"/>
      <c r="AI192" s="409">
        <f t="shared" si="33"/>
        <v>0</v>
      </c>
      <c r="AJ192" s="410"/>
      <c r="AK192" s="411">
        <f t="shared" si="34"/>
        <v>0</v>
      </c>
      <c r="AL192" s="234"/>
      <c r="AM192" s="234"/>
      <c r="AN192" s="234"/>
    </row>
    <row r="193" spans="1:40" s="283" customFormat="1" ht="20.25">
      <c r="A193" s="316" t="s">
        <v>392</v>
      </c>
      <c r="B193" s="295"/>
      <c r="C193" s="295"/>
      <c r="D193" s="1077"/>
      <c r="E193" s="319"/>
      <c r="F193" s="320"/>
      <c r="G193" s="320"/>
      <c r="H193" s="321"/>
      <c r="I193" s="321"/>
      <c r="J193" s="320"/>
      <c r="K193" s="842"/>
      <c r="L193" s="351"/>
      <c r="M193" s="352"/>
      <c r="N193" s="353"/>
      <c r="O193" s="321"/>
      <c r="P193" s="321"/>
      <c r="Q193" s="321"/>
      <c r="R193" s="321"/>
      <c r="S193" s="321"/>
      <c r="T193" s="321"/>
      <c r="U193" s="351"/>
      <c r="V193" s="352"/>
      <c r="W193" s="319"/>
      <c r="X193" s="320"/>
      <c r="Y193" s="320"/>
      <c r="Z193" s="321"/>
      <c r="AA193" s="321"/>
      <c r="AB193" s="321"/>
      <c r="AC193" s="320"/>
      <c r="AD193" s="380"/>
      <c r="AE193" s="352"/>
      <c r="AF193" s="381">
        <f t="shared" si="32"/>
        <v>0</v>
      </c>
      <c r="AG193" s="381"/>
      <c r="AH193" s="408"/>
      <c r="AI193" s="409">
        <f t="shared" si="33"/>
        <v>0</v>
      </c>
      <c r="AJ193" s="410"/>
      <c r="AK193" s="411">
        <f t="shared" si="34"/>
        <v>0</v>
      </c>
      <c r="AL193" s="234"/>
      <c r="AM193" s="234"/>
      <c r="AN193" s="234"/>
    </row>
    <row r="194" spans="1:40" s="284" customFormat="1" ht="20.25">
      <c r="A194" s="316" t="s">
        <v>392</v>
      </c>
      <c r="B194" s="295"/>
      <c r="C194" s="295"/>
      <c r="D194" s="1077"/>
      <c r="E194" s="319"/>
      <c r="F194" s="320"/>
      <c r="G194" s="320"/>
      <c r="H194" s="321"/>
      <c r="I194" s="321"/>
      <c r="J194" s="320"/>
      <c r="K194" s="842"/>
      <c r="L194" s="351"/>
      <c r="M194" s="352"/>
      <c r="N194" s="353"/>
      <c r="O194" s="321"/>
      <c r="P194" s="321"/>
      <c r="Q194" s="321"/>
      <c r="R194" s="321"/>
      <c r="S194" s="321"/>
      <c r="T194" s="321"/>
      <c r="U194" s="351"/>
      <c r="V194" s="352"/>
      <c r="W194" s="319"/>
      <c r="X194" s="320"/>
      <c r="Y194" s="320"/>
      <c r="Z194" s="321"/>
      <c r="AA194" s="321"/>
      <c r="AB194" s="321"/>
      <c r="AC194" s="320"/>
      <c r="AD194" s="380"/>
      <c r="AE194" s="352"/>
      <c r="AF194" s="381">
        <f t="shared" si="32"/>
        <v>0</v>
      </c>
      <c r="AG194" s="381"/>
      <c r="AH194" s="408"/>
      <c r="AI194" s="409">
        <f t="shared" si="33"/>
        <v>0</v>
      </c>
      <c r="AJ194" s="410"/>
      <c r="AK194" s="411">
        <f t="shared" si="34"/>
        <v>0</v>
      </c>
      <c r="AL194" s="234"/>
      <c r="AM194" s="234"/>
      <c r="AN194" s="234"/>
    </row>
    <row r="195" spans="1:40" s="282" customFormat="1" ht="20.25">
      <c r="A195" s="316" t="s">
        <v>392</v>
      </c>
      <c r="B195" s="295"/>
      <c r="C195" s="295"/>
      <c r="D195" s="1077"/>
      <c r="E195" s="319"/>
      <c r="F195" s="320"/>
      <c r="G195" s="320"/>
      <c r="H195" s="321"/>
      <c r="I195" s="321"/>
      <c r="J195" s="320"/>
      <c r="K195" s="842"/>
      <c r="L195" s="351"/>
      <c r="M195" s="352"/>
      <c r="N195" s="353"/>
      <c r="O195" s="321"/>
      <c r="P195" s="321"/>
      <c r="Q195" s="321"/>
      <c r="R195" s="321"/>
      <c r="S195" s="321"/>
      <c r="T195" s="321"/>
      <c r="U195" s="351"/>
      <c r="V195" s="352"/>
      <c r="W195" s="319"/>
      <c r="X195" s="320"/>
      <c r="Y195" s="320"/>
      <c r="Z195" s="321"/>
      <c r="AA195" s="321"/>
      <c r="AB195" s="321"/>
      <c r="AC195" s="320"/>
      <c r="AD195" s="380"/>
      <c r="AE195" s="352"/>
      <c r="AF195" s="381">
        <f t="shared" si="32"/>
        <v>0</v>
      </c>
      <c r="AG195" s="381"/>
      <c r="AH195" s="408"/>
      <c r="AI195" s="409">
        <f t="shared" si="33"/>
        <v>0</v>
      </c>
      <c r="AJ195" s="410"/>
      <c r="AK195" s="411">
        <f t="shared" si="34"/>
        <v>0</v>
      </c>
      <c r="AL195" s="234"/>
      <c r="AM195" s="234"/>
      <c r="AN195" s="234"/>
    </row>
    <row r="196" spans="1:40" s="283" customFormat="1" ht="20.25">
      <c r="A196" s="316" t="s">
        <v>392</v>
      </c>
      <c r="B196" s="295"/>
      <c r="C196" s="295"/>
      <c r="D196" s="1077"/>
      <c r="E196" s="319"/>
      <c r="F196" s="320"/>
      <c r="G196" s="320"/>
      <c r="H196" s="321"/>
      <c r="I196" s="321"/>
      <c r="J196" s="320"/>
      <c r="K196" s="842"/>
      <c r="L196" s="351"/>
      <c r="M196" s="352"/>
      <c r="N196" s="353"/>
      <c r="O196" s="321"/>
      <c r="P196" s="321"/>
      <c r="Q196" s="321"/>
      <c r="R196" s="321"/>
      <c r="S196" s="321"/>
      <c r="T196" s="321"/>
      <c r="U196" s="351"/>
      <c r="V196" s="352"/>
      <c r="W196" s="319"/>
      <c r="X196" s="320"/>
      <c r="Y196" s="320"/>
      <c r="Z196" s="321"/>
      <c r="AA196" s="321"/>
      <c r="AB196" s="321"/>
      <c r="AC196" s="320"/>
      <c r="AD196" s="380"/>
      <c r="AE196" s="352"/>
      <c r="AF196" s="381">
        <f t="shared" si="32"/>
        <v>0</v>
      </c>
      <c r="AG196" s="381"/>
      <c r="AH196" s="408"/>
      <c r="AI196" s="409">
        <f t="shared" si="33"/>
        <v>0</v>
      </c>
      <c r="AJ196" s="410"/>
      <c r="AK196" s="411">
        <f t="shared" si="34"/>
        <v>0</v>
      </c>
      <c r="AL196" s="234"/>
      <c r="AM196" s="234"/>
      <c r="AN196" s="234"/>
    </row>
    <row r="197" spans="1:40" s="283" customFormat="1" ht="20.25">
      <c r="A197" s="316" t="s">
        <v>392</v>
      </c>
      <c r="B197" s="295"/>
      <c r="C197" s="295"/>
      <c r="D197" s="1077"/>
      <c r="E197" s="319"/>
      <c r="F197" s="320"/>
      <c r="G197" s="320"/>
      <c r="H197" s="321"/>
      <c r="I197" s="321"/>
      <c r="J197" s="320"/>
      <c r="K197" s="842"/>
      <c r="L197" s="351"/>
      <c r="M197" s="352"/>
      <c r="N197" s="353"/>
      <c r="O197" s="321"/>
      <c r="P197" s="321"/>
      <c r="Q197" s="321"/>
      <c r="R197" s="321"/>
      <c r="S197" s="321"/>
      <c r="T197" s="321"/>
      <c r="U197" s="351"/>
      <c r="V197" s="352"/>
      <c r="W197" s="319"/>
      <c r="X197" s="320"/>
      <c r="Y197" s="320"/>
      <c r="Z197" s="321"/>
      <c r="AA197" s="321"/>
      <c r="AB197" s="321"/>
      <c r="AC197" s="320"/>
      <c r="AD197" s="380"/>
      <c r="AE197" s="352"/>
      <c r="AF197" s="381">
        <f t="shared" si="32"/>
        <v>0</v>
      </c>
      <c r="AG197" s="381"/>
      <c r="AH197" s="408"/>
      <c r="AI197" s="409">
        <f t="shared" si="33"/>
        <v>0</v>
      </c>
      <c r="AJ197" s="410"/>
      <c r="AK197" s="411">
        <f t="shared" si="34"/>
        <v>0</v>
      </c>
      <c r="AL197" s="234"/>
      <c r="AM197" s="234"/>
      <c r="AN197" s="234"/>
    </row>
    <row r="198" spans="1:40" s="283" customFormat="1" ht="20.25">
      <c r="A198" s="316" t="s">
        <v>392</v>
      </c>
      <c r="B198" s="295"/>
      <c r="C198" s="295"/>
      <c r="D198" s="1077"/>
      <c r="E198" s="319"/>
      <c r="F198" s="320"/>
      <c r="G198" s="320"/>
      <c r="H198" s="321"/>
      <c r="I198" s="321"/>
      <c r="J198" s="320"/>
      <c r="K198" s="842"/>
      <c r="L198" s="351"/>
      <c r="M198" s="352"/>
      <c r="N198" s="353"/>
      <c r="O198" s="321"/>
      <c r="P198" s="321"/>
      <c r="Q198" s="321"/>
      <c r="R198" s="321"/>
      <c r="S198" s="321"/>
      <c r="T198" s="321"/>
      <c r="U198" s="351"/>
      <c r="V198" s="352"/>
      <c r="W198" s="319"/>
      <c r="X198" s="320"/>
      <c r="Y198" s="320"/>
      <c r="Z198" s="321"/>
      <c r="AA198" s="321"/>
      <c r="AB198" s="321"/>
      <c r="AC198" s="320"/>
      <c r="AD198" s="380"/>
      <c r="AE198" s="352"/>
      <c r="AF198" s="381">
        <f t="shared" si="32"/>
        <v>0</v>
      </c>
      <c r="AG198" s="381"/>
      <c r="AH198" s="408"/>
      <c r="AI198" s="409">
        <f t="shared" si="33"/>
        <v>0</v>
      </c>
      <c r="AJ198" s="410"/>
      <c r="AK198" s="411">
        <f t="shared" si="34"/>
        <v>0</v>
      </c>
      <c r="AL198" s="234"/>
      <c r="AM198" s="234"/>
      <c r="AN198" s="234"/>
    </row>
    <row r="199" spans="1:40" s="283" customFormat="1" ht="20.25">
      <c r="A199" s="316" t="s">
        <v>392</v>
      </c>
      <c r="B199" s="295"/>
      <c r="C199" s="295"/>
      <c r="D199" s="1077"/>
      <c r="E199" s="319"/>
      <c r="F199" s="320"/>
      <c r="G199" s="320"/>
      <c r="H199" s="321"/>
      <c r="I199" s="321"/>
      <c r="J199" s="320"/>
      <c r="K199" s="842"/>
      <c r="L199" s="351"/>
      <c r="M199" s="352"/>
      <c r="N199" s="353"/>
      <c r="O199" s="321"/>
      <c r="P199" s="321"/>
      <c r="Q199" s="321"/>
      <c r="R199" s="321"/>
      <c r="S199" s="321"/>
      <c r="T199" s="321"/>
      <c r="U199" s="351"/>
      <c r="V199" s="352"/>
      <c r="W199" s="319"/>
      <c r="X199" s="320"/>
      <c r="Y199" s="320"/>
      <c r="Z199" s="321"/>
      <c r="AA199" s="321"/>
      <c r="AB199" s="321"/>
      <c r="AC199" s="320"/>
      <c r="AD199" s="380"/>
      <c r="AE199" s="352"/>
      <c r="AF199" s="381">
        <f t="shared" si="32"/>
        <v>0</v>
      </c>
      <c r="AG199" s="381"/>
      <c r="AH199" s="408"/>
      <c r="AI199" s="409">
        <f t="shared" si="33"/>
        <v>0</v>
      </c>
      <c r="AJ199" s="410"/>
      <c r="AK199" s="411">
        <f t="shared" si="34"/>
        <v>0</v>
      </c>
      <c r="AL199" s="234"/>
      <c r="AM199" s="234"/>
      <c r="AN199" s="234"/>
    </row>
    <row r="200" spans="1:40" s="283" customFormat="1" ht="20.25">
      <c r="A200" s="316" t="s">
        <v>392</v>
      </c>
      <c r="B200" s="295"/>
      <c r="C200" s="295"/>
      <c r="D200" s="1077"/>
      <c r="E200" s="319"/>
      <c r="F200" s="320"/>
      <c r="G200" s="320"/>
      <c r="H200" s="321"/>
      <c r="I200" s="321"/>
      <c r="J200" s="320"/>
      <c r="K200" s="842"/>
      <c r="L200" s="351"/>
      <c r="M200" s="352"/>
      <c r="N200" s="353"/>
      <c r="O200" s="321"/>
      <c r="P200" s="321"/>
      <c r="Q200" s="321"/>
      <c r="R200" s="321"/>
      <c r="S200" s="321"/>
      <c r="T200" s="321"/>
      <c r="U200" s="351"/>
      <c r="V200" s="352"/>
      <c r="W200" s="319"/>
      <c r="X200" s="320"/>
      <c r="Y200" s="320"/>
      <c r="Z200" s="321"/>
      <c r="AA200" s="321"/>
      <c r="AB200" s="321"/>
      <c r="AC200" s="320"/>
      <c r="AD200" s="380"/>
      <c r="AE200" s="352"/>
      <c r="AF200" s="381">
        <f t="shared" si="32"/>
        <v>0</v>
      </c>
      <c r="AG200" s="381"/>
      <c r="AH200" s="408"/>
      <c r="AI200" s="409">
        <f t="shared" si="33"/>
        <v>0</v>
      </c>
      <c r="AJ200" s="410"/>
      <c r="AK200" s="411">
        <f t="shared" si="34"/>
        <v>0</v>
      </c>
      <c r="AL200" s="234"/>
      <c r="AM200" s="234"/>
      <c r="AN200" s="234"/>
    </row>
    <row r="201" spans="1:40" s="283" customFormat="1" ht="20.25">
      <c r="A201" s="316" t="s">
        <v>392</v>
      </c>
      <c r="B201" s="295"/>
      <c r="C201" s="295"/>
      <c r="D201" s="1077"/>
      <c r="E201" s="319"/>
      <c r="F201" s="320"/>
      <c r="G201" s="320"/>
      <c r="H201" s="321"/>
      <c r="I201" s="321"/>
      <c r="J201" s="320"/>
      <c r="K201" s="842"/>
      <c r="L201" s="351"/>
      <c r="M201" s="352"/>
      <c r="N201" s="353"/>
      <c r="O201" s="321"/>
      <c r="P201" s="321"/>
      <c r="Q201" s="321"/>
      <c r="R201" s="321"/>
      <c r="S201" s="321"/>
      <c r="T201" s="321"/>
      <c r="U201" s="351"/>
      <c r="V201" s="352"/>
      <c r="W201" s="319"/>
      <c r="X201" s="320"/>
      <c r="Y201" s="320"/>
      <c r="Z201" s="321"/>
      <c r="AA201" s="321"/>
      <c r="AB201" s="321"/>
      <c r="AC201" s="320"/>
      <c r="AD201" s="380"/>
      <c r="AE201" s="352"/>
      <c r="AF201" s="381">
        <f t="shared" si="32"/>
        <v>0</v>
      </c>
      <c r="AG201" s="381"/>
      <c r="AH201" s="408"/>
      <c r="AI201" s="409">
        <f t="shared" si="33"/>
        <v>0</v>
      </c>
      <c r="AJ201" s="410"/>
      <c r="AK201" s="411">
        <f t="shared" si="34"/>
        <v>0</v>
      </c>
      <c r="AL201" s="234"/>
      <c r="AM201" s="234"/>
      <c r="AN201" s="234"/>
    </row>
    <row r="202" spans="1:40" s="284" customFormat="1" ht="15.75" customHeight="1">
      <c r="A202" s="316" t="s">
        <v>392</v>
      </c>
      <c r="B202" s="295"/>
      <c r="C202" s="295"/>
      <c r="D202" s="1077"/>
      <c r="E202" s="319"/>
      <c r="F202" s="320"/>
      <c r="G202" s="320"/>
      <c r="H202" s="321"/>
      <c r="I202" s="321"/>
      <c r="J202" s="320"/>
      <c r="K202" s="842"/>
      <c r="L202" s="351"/>
      <c r="M202" s="352"/>
      <c r="N202" s="353"/>
      <c r="O202" s="321"/>
      <c r="P202" s="321"/>
      <c r="Q202" s="321"/>
      <c r="R202" s="321"/>
      <c r="S202" s="321"/>
      <c r="T202" s="321"/>
      <c r="U202" s="351"/>
      <c r="V202" s="352"/>
      <c r="W202" s="319"/>
      <c r="X202" s="320"/>
      <c r="Y202" s="320"/>
      <c r="Z202" s="321"/>
      <c r="AA202" s="321"/>
      <c r="AB202" s="321"/>
      <c r="AC202" s="320"/>
      <c r="AD202" s="380"/>
      <c r="AE202" s="352"/>
      <c r="AF202" s="381">
        <f t="shared" si="32"/>
        <v>0</v>
      </c>
      <c r="AG202" s="381"/>
      <c r="AH202" s="408"/>
      <c r="AI202" s="409">
        <f t="shared" si="33"/>
        <v>0</v>
      </c>
      <c r="AJ202" s="410"/>
      <c r="AK202" s="411">
        <f t="shared" si="34"/>
        <v>0</v>
      </c>
      <c r="AL202" s="234"/>
      <c r="AM202" s="234"/>
      <c r="AN202" s="234"/>
    </row>
    <row r="203" spans="1:40" ht="21" thickBot="1">
      <c r="A203" s="316" t="s">
        <v>392</v>
      </c>
      <c r="B203" s="295"/>
      <c r="C203" s="295"/>
      <c r="D203" s="1077"/>
      <c r="E203" s="319"/>
      <c r="F203" s="320"/>
      <c r="G203" s="320"/>
      <c r="H203" s="321"/>
      <c r="I203" s="321"/>
      <c r="J203" s="320"/>
      <c r="K203" s="842"/>
      <c r="L203" s="351"/>
      <c r="M203" s="352"/>
      <c r="N203" s="353"/>
      <c r="O203" s="321"/>
      <c r="P203" s="321"/>
      <c r="Q203" s="321"/>
      <c r="R203" s="321"/>
      <c r="S203" s="321"/>
      <c r="T203" s="321"/>
      <c r="U203" s="351"/>
      <c r="V203" s="352"/>
      <c r="W203" s="319"/>
      <c r="X203" s="320"/>
      <c r="Y203" s="320"/>
      <c r="Z203" s="321"/>
      <c r="AA203" s="321"/>
      <c r="AB203" s="321"/>
      <c r="AC203" s="320"/>
      <c r="AD203" s="380"/>
      <c r="AE203" s="352"/>
      <c r="AF203" s="381">
        <f t="shared" si="32"/>
        <v>0</v>
      </c>
      <c r="AG203" s="381"/>
      <c r="AH203" s="408"/>
      <c r="AI203" s="409">
        <f t="shared" si="33"/>
        <v>0</v>
      </c>
      <c r="AJ203" s="410"/>
      <c r="AK203" s="411">
        <f t="shared" si="34"/>
        <v>0</v>
      </c>
      <c r="AL203" s="234"/>
      <c r="AM203" s="234"/>
      <c r="AN203" s="234"/>
    </row>
    <row r="204" spans="1:40" ht="21" thickBot="1">
      <c r="A204" s="316" t="s">
        <v>392</v>
      </c>
      <c r="B204" s="323"/>
      <c r="C204" s="323"/>
      <c r="D204" s="1078"/>
      <c r="E204" s="325"/>
      <c r="F204" s="297"/>
      <c r="G204" s="297"/>
      <c r="H204" s="298"/>
      <c r="I204" s="298"/>
      <c r="J204" s="297"/>
      <c r="K204" s="1086"/>
      <c r="L204" s="367"/>
      <c r="M204" s="355"/>
      <c r="N204" s="343"/>
      <c r="O204" s="298"/>
      <c r="P204" s="298"/>
      <c r="Q204" s="298"/>
      <c r="R204" s="298"/>
      <c r="S204" s="298"/>
      <c r="T204" s="298"/>
      <c r="U204" s="367"/>
      <c r="V204" s="355"/>
      <c r="W204" s="325"/>
      <c r="X204" s="297"/>
      <c r="Y204" s="297"/>
      <c r="Z204" s="298"/>
      <c r="AA204" s="298"/>
      <c r="AB204" s="298"/>
      <c r="AC204" s="297"/>
      <c r="AD204" s="375"/>
      <c r="AE204" s="355"/>
      <c r="AF204" s="376">
        <f t="shared" si="32"/>
        <v>0</v>
      </c>
      <c r="AG204" s="377"/>
      <c r="AH204" s="390"/>
      <c r="AI204" s="391">
        <f t="shared" si="33"/>
        <v>0</v>
      </c>
      <c r="AJ204" s="412"/>
      <c r="AK204" s="413">
        <f t="shared" si="34"/>
        <v>0</v>
      </c>
      <c r="AL204" s="414" t="s">
        <v>8</v>
      </c>
      <c r="AM204" s="397" t="s">
        <v>23</v>
      </c>
      <c r="AN204" s="415" t="s">
        <v>174</v>
      </c>
    </row>
    <row r="205" spans="1:40" s="1" customFormat="1" ht="19.5" thickBot="1">
      <c r="A205" s="326" t="s">
        <v>415</v>
      </c>
      <c r="B205" s="327"/>
      <c r="C205" s="327"/>
      <c r="D205" s="328"/>
      <c r="E205" s="329">
        <f>SUM(E172:E204)</f>
        <v>0</v>
      </c>
      <c r="F205" s="329">
        <f t="shared" ref="F205:L205" si="35">SUM(F172:F204)</f>
        <v>0</v>
      </c>
      <c r="G205" s="329">
        <f t="shared" si="35"/>
        <v>0</v>
      </c>
      <c r="H205" s="329">
        <f t="shared" si="35"/>
        <v>0</v>
      </c>
      <c r="I205" s="329">
        <f t="shared" si="35"/>
        <v>0</v>
      </c>
      <c r="J205" s="329">
        <f t="shared" si="35"/>
        <v>0</v>
      </c>
      <c r="K205" s="329">
        <f t="shared" si="35"/>
        <v>0</v>
      </c>
      <c r="L205" s="329">
        <f t="shared" si="35"/>
        <v>0</v>
      </c>
      <c r="M205" s="357"/>
      <c r="N205" s="358">
        <f>SUM(N172:N204)</f>
        <v>0</v>
      </c>
      <c r="O205" s="359">
        <f t="shared" ref="O205:U205" si="36">SUM(O172:O204)</f>
        <v>0</v>
      </c>
      <c r="P205" s="359">
        <f t="shared" si="36"/>
        <v>0</v>
      </c>
      <c r="Q205" s="359">
        <f t="shared" si="36"/>
        <v>0</v>
      </c>
      <c r="R205" s="359">
        <f t="shared" si="36"/>
        <v>0</v>
      </c>
      <c r="S205" s="359">
        <f t="shared" si="36"/>
        <v>0</v>
      </c>
      <c r="T205" s="359">
        <f t="shared" si="36"/>
        <v>0</v>
      </c>
      <c r="U205" s="369">
        <f t="shared" si="36"/>
        <v>0</v>
      </c>
      <c r="V205" s="357"/>
      <c r="W205" s="358">
        <f>SUM(W172:W204)</f>
        <v>0</v>
      </c>
      <c r="X205" s="358">
        <f t="shared" ref="X205:AD205" si="37">SUM(X172:X204)</f>
        <v>0</v>
      </c>
      <c r="Y205" s="358">
        <f t="shared" si="37"/>
        <v>0</v>
      </c>
      <c r="Z205" s="358">
        <f t="shared" si="37"/>
        <v>0</v>
      </c>
      <c r="AA205" s="358">
        <f t="shared" si="37"/>
        <v>0</v>
      </c>
      <c r="AB205" s="358">
        <f t="shared" si="37"/>
        <v>0</v>
      </c>
      <c r="AC205" s="358">
        <f t="shared" si="37"/>
        <v>0</v>
      </c>
      <c r="AD205" s="358">
        <f t="shared" si="37"/>
        <v>0</v>
      </c>
      <c r="AE205" s="357"/>
      <c r="AF205" s="382">
        <f>SUM(AF172:AF204)</f>
        <v>0</v>
      </c>
      <c r="AG205" s="382">
        <f t="shared" ref="AG205:AK205" si="38">SUM(AG172:AG204)</f>
        <v>0</v>
      </c>
      <c r="AH205" s="416">
        <f t="shared" si="38"/>
        <v>0</v>
      </c>
      <c r="AI205" s="417">
        <f t="shared" si="38"/>
        <v>0</v>
      </c>
      <c r="AJ205" s="382">
        <f t="shared" si="38"/>
        <v>0</v>
      </c>
      <c r="AK205" s="418">
        <f t="shared" si="38"/>
        <v>0</v>
      </c>
      <c r="AL205" s="399" t="str">
        <f>'BIG CHAIR'!CL230</f>
        <v>Total</v>
      </c>
      <c r="AM205" s="400">
        <f>'Tea Table'!X295</f>
        <v>0</v>
      </c>
      <c r="AN205" s="401" t="e">
        <f>AI205+AL205+AM205</f>
        <v>#VALUE!</v>
      </c>
    </row>
    <row r="206" spans="1:40" ht="24" thickBot="1">
      <c r="A206" s="286" t="s">
        <v>535</v>
      </c>
      <c r="B206" s="287" t="s">
        <v>68</v>
      </c>
      <c r="C206" s="287" t="s">
        <v>69</v>
      </c>
      <c r="D206" s="3525" t="s">
        <v>70</v>
      </c>
      <c r="E206" s="743" t="s">
        <v>96</v>
      </c>
      <c r="F206" s="744" t="s">
        <v>124</v>
      </c>
      <c r="G206" s="744" t="s">
        <v>228</v>
      </c>
      <c r="H206" s="744" t="s">
        <v>149</v>
      </c>
      <c r="I206" s="744" t="s">
        <v>470</v>
      </c>
      <c r="J206" s="744" t="s">
        <v>92</v>
      </c>
      <c r="K206" s="50" t="s">
        <v>479</v>
      </c>
      <c r="L206" s="783" t="s">
        <v>497</v>
      </c>
      <c r="M206" s="578"/>
      <c r="N206" s="80" t="s">
        <v>71</v>
      </c>
      <c r="O206" s="49" t="s">
        <v>53</v>
      </c>
      <c r="P206" s="49" t="s">
        <v>118</v>
      </c>
      <c r="Q206" s="49" t="s">
        <v>407</v>
      </c>
      <c r="R206" s="49" t="s">
        <v>457</v>
      </c>
      <c r="S206" s="49" t="s">
        <v>94</v>
      </c>
      <c r="T206" s="126" t="s">
        <v>77</v>
      </c>
      <c r="U206" s="717" t="s">
        <v>482</v>
      </c>
      <c r="V206" s="578"/>
      <c r="W206" s="764" t="e">
        <f>#REF!</f>
        <v>#REF!</v>
      </c>
      <c r="X206" s="765" t="s">
        <v>96</v>
      </c>
      <c r="Y206" s="765" t="e">
        <f>#REF!</f>
        <v>#REF!</v>
      </c>
      <c r="Z206" s="49" t="s">
        <v>496</v>
      </c>
      <c r="AA206" s="765" t="e">
        <f>#REF!</f>
        <v>#REF!</v>
      </c>
      <c r="AB206" s="765" t="e">
        <f>#REF!</f>
        <v>#REF!</v>
      </c>
      <c r="AC206" s="765" t="e">
        <f>#REF!</f>
        <v>#REF!</v>
      </c>
      <c r="AD206" s="772" t="e">
        <f>#REF!</f>
        <v>#REF!</v>
      </c>
      <c r="AE206" s="370"/>
      <c r="AF206" s="371" t="s">
        <v>172</v>
      </c>
      <c r="AG206" s="372" t="s">
        <v>80</v>
      </c>
      <c r="AH206" s="385"/>
      <c r="AI206" s="386" t="s">
        <v>106</v>
      </c>
      <c r="AJ206" s="385" t="s">
        <v>173</v>
      </c>
      <c r="AK206" s="371" t="s">
        <v>108</v>
      </c>
      <c r="AL206" s="282"/>
      <c r="AM206" s="282"/>
      <c r="AN206" s="282"/>
    </row>
    <row r="207" spans="1:40" s="276" customFormat="1" ht="20.25">
      <c r="A207" s="316" t="s">
        <v>536</v>
      </c>
      <c r="B207" s="317" t="s">
        <v>472</v>
      </c>
      <c r="C207" s="317"/>
      <c r="D207" s="1077"/>
      <c r="E207" s="319"/>
      <c r="F207" s="320"/>
      <c r="G207" s="320"/>
      <c r="H207" s="321"/>
      <c r="I207" s="321"/>
      <c r="J207" s="320"/>
      <c r="K207" s="1090"/>
      <c r="L207" s="363"/>
      <c r="M207" s="352"/>
      <c r="N207" s="353"/>
      <c r="O207" s="320"/>
      <c r="P207" s="320"/>
      <c r="Q207" s="321"/>
      <c r="R207" s="321"/>
      <c r="S207" s="321"/>
      <c r="T207" s="320"/>
      <c r="U207" s="351"/>
      <c r="V207" s="352"/>
      <c r="W207" s="362"/>
      <c r="X207" s="334"/>
      <c r="Y207" s="334"/>
      <c r="Z207" s="334"/>
      <c r="AA207" s="334"/>
      <c r="AB207" s="334"/>
      <c r="AC207" s="334"/>
      <c r="AD207" s="380"/>
      <c r="AE207" s="352"/>
      <c r="AF207" s="381">
        <f>SUM(E207:AD207)</f>
        <v>0</v>
      </c>
      <c r="AG207" s="381"/>
      <c r="AH207" s="408"/>
      <c r="AI207" s="409">
        <f>AF207+AG207</f>
        <v>0</v>
      </c>
      <c r="AJ207" s="410"/>
      <c r="AK207" s="411">
        <f>AI207+AJ207</f>
        <v>0</v>
      </c>
      <c r="AL207" s="234"/>
      <c r="AM207" s="234"/>
      <c r="AN207" s="234"/>
    </row>
    <row r="208" spans="1:40" s="276" customFormat="1" ht="20.25">
      <c r="A208" s="316" t="s">
        <v>536</v>
      </c>
      <c r="B208" s="822"/>
      <c r="C208" s="295"/>
      <c r="D208" s="1077"/>
      <c r="E208" s="319"/>
      <c r="F208" s="320"/>
      <c r="G208" s="320"/>
      <c r="H208" s="321"/>
      <c r="I208" s="321"/>
      <c r="J208" s="320"/>
      <c r="K208" s="1090"/>
      <c r="L208" s="363"/>
      <c r="M208" s="352"/>
      <c r="N208" s="353"/>
      <c r="O208" s="321"/>
      <c r="P208" s="321"/>
      <c r="Q208" s="321"/>
      <c r="R208" s="321"/>
      <c r="S208" s="321"/>
      <c r="T208" s="321"/>
      <c r="U208" s="351"/>
      <c r="V208" s="352"/>
      <c r="W208" s="319"/>
      <c r="X208" s="320"/>
      <c r="Y208" s="320"/>
      <c r="Z208" s="321"/>
      <c r="AA208" s="321"/>
      <c r="AB208" s="321"/>
      <c r="AC208" s="320"/>
      <c r="AD208" s="380"/>
      <c r="AE208" s="352"/>
      <c r="AF208" s="381">
        <f>SUM(E208:AD208)</f>
        <v>0</v>
      </c>
      <c r="AG208" s="381"/>
      <c r="AH208" s="408"/>
      <c r="AI208" s="409">
        <f>AF208+AG208</f>
        <v>0</v>
      </c>
      <c r="AJ208" s="410"/>
      <c r="AK208" s="411">
        <f>AI208+AJ208</f>
        <v>0</v>
      </c>
      <c r="AL208" s="234"/>
      <c r="AM208" s="234"/>
      <c r="AN208" s="234"/>
    </row>
    <row r="209" spans="1:40" s="276" customFormat="1" ht="20.25">
      <c r="A209" s="316" t="s">
        <v>536</v>
      </c>
      <c r="B209" s="822"/>
      <c r="C209" s="295"/>
      <c r="D209" s="1077"/>
      <c r="E209" s="319"/>
      <c r="F209" s="320"/>
      <c r="G209" s="320"/>
      <c r="H209" s="321"/>
      <c r="I209" s="321"/>
      <c r="J209" s="320"/>
      <c r="K209" s="1090"/>
      <c r="L209" s="363"/>
      <c r="M209" s="352"/>
      <c r="N209" s="353"/>
      <c r="O209" s="321"/>
      <c r="P209" s="321"/>
      <c r="Q209" s="321"/>
      <c r="R209" s="321"/>
      <c r="S209" s="321"/>
      <c r="T209" s="321"/>
      <c r="U209" s="351"/>
      <c r="V209" s="352"/>
      <c r="W209" s="319"/>
      <c r="X209" s="320"/>
      <c r="Y209" s="320"/>
      <c r="Z209" s="321"/>
      <c r="AA209" s="321"/>
      <c r="AB209" s="321"/>
      <c r="AC209" s="320"/>
      <c r="AD209" s="380"/>
      <c r="AE209" s="352"/>
      <c r="AF209" s="381">
        <f>SUM(E209:AD209)</f>
        <v>0</v>
      </c>
      <c r="AG209" s="381"/>
      <c r="AH209" s="408"/>
      <c r="AI209" s="409">
        <f>AF209+AG209</f>
        <v>0</v>
      </c>
      <c r="AJ209" s="410"/>
      <c r="AK209" s="411">
        <f>AI209+AJ209</f>
        <v>0</v>
      </c>
      <c r="AL209" s="234"/>
      <c r="AM209" s="234"/>
      <c r="AN209" s="234"/>
    </row>
    <row r="210" spans="1:40" s="234" customFormat="1" ht="20.25">
      <c r="A210" s="316" t="s">
        <v>536</v>
      </c>
      <c r="B210" s="822"/>
      <c r="C210" s="295"/>
      <c r="D210" s="1077"/>
      <c r="E210" s="319"/>
      <c r="F210" s="320"/>
      <c r="G210" s="320"/>
      <c r="H210" s="321"/>
      <c r="I210" s="321"/>
      <c r="J210" s="320"/>
      <c r="K210" s="1091"/>
      <c r="L210" s="363"/>
      <c r="M210" s="352"/>
      <c r="N210" s="353"/>
      <c r="O210" s="321"/>
      <c r="P210" s="321"/>
      <c r="Q210" s="321"/>
      <c r="R210" s="321"/>
      <c r="S210" s="321"/>
      <c r="T210" s="321"/>
      <c r="U210" s="351"/>
      <c r="V210" s="352"/>
      <c r="W210" s="319"/>
      <c r="X210" s="320"/>
      <c r="Y210" s="320"/>
      <c r="Z210" s="321"/>
      <c r="AA210" s="321"/>
      <c r="AB210" s="321"/>
      <c r="AC210" s="320"/>
      <c r="AD210" s="380"/>
      <c r="AE210" s="352"/>
      <c r="AF210" s="381">
        <f>SUM(E210:AD210)</f>
        <v>0</v>
      </c>
      <c r="AG210" s="381"/>
      <c r="AH210" s="408"/>
      <c r="AI210" s="409">
        <f>AF210+AG210</f>
        <v>0</v>
      </c>
      <c r="AJ210" s="410"/>
      <c r="AK210" s="411">
        <f>AI210+AJ210</f>
        <v>0</v>
      </c>
    </row>
    <row r="211" spans="1:40" s="234" customFormat="1" ht="20.25">
      <c r="A211" s="316" t="s">
        <v>536</v>
      </c>
      <c r="B211" s="822"/>
      <c r="C211" s="295"/>
      <c r="D211" s="1077"/>
      <c r="E211" s="319"/>
      <c r="F211" s="320"/>
      <c r="G211" s="320"/>
      <c r="H211" s="321"/>
      <c r="I211" s="321"/>
      <c r="J211" s="320"/>
      <c r="K211" s="1090"/>
      <c r="L211" s="363"/>
      <c r="M211" s="352"/>
      <c r="N211" s="353"/>
      <c r="O211" s="321"/>
      <c r="P211" s="321"/>
      <c r="Q211" s="321"/>
      <c r="R211" s="321"/>
      <c r="S211" s="321"/>
      <c r="T211" s="321"/>
      <c r="U211" s="351"/>
      <c r="V211" s="352"/>
      <c r="W211" s="319"/>
      <c r="X211" s="320"/>
      <c r="Y211" s="320"/>
      <c r="Z211" s="321"/>
      <c r="AA211" s="321"/>
      <c r="AB211" s="321"/>
      <c r="AC211" s="320"/>
      <c r="AD211" s="380"/>
      <c r="AE211" s="352"/>
      <c r="AF211" s="381">
        <f>SUM(E211:AD211)</f>
        <v>0</v>
      </c>
      <c r="AG211" s="381"/>
      <c r="AH211" s="408"/>
      <c r="AI211" s="409">
        <f>AF211+AG211</f>
        <v>0</v>
      </c>
      <c r="AJ211" s="410"/>
      <c r="AK211" s="411">
        <f>AI211+AJ211</f>
        <v>0</v>
      </c>
    </row>
    <row r="212" spans="1:40" s="276" customFormat="1" ht="20.25">
      <c r="A212" s="316" t="s">
        <v>536</v>
      </c>
      <c r="B212" s="822"/>
      <c r="C212" s="295"/>
      <c r="D212" s="1077"/>
      <c r="E212" s="319"/>
      <c r="F212" s="320"/>
      <c r="G212" s="320"/>
      <c r="H212" s="321"/>
      <c r="I212" s="321"/>
      <c r="J212" s="320"/>
      <c r="K212" s="1090"/>
      <c r="L212" s="363"/>
      <c r="M212" s="352"/>
      <c r="N212" s="353"/>
      <c r="O212" s="321"/>
      <c r="P212" s="321"/>
      <c r="Q212" s="321"/>
      <c r="R212" s="321"/>
      <c r="S212" s="321"/>
      <c r="T212" s="321"/>
      <c r="U212" s="351"/>
      <c r="V212" s="352"/>
      <c r="W212" s="319"/>
      <c r="X212" s="320"/>
      <c r="Y212" s="320"/>
      <c r="Z212" s="321"/>
      <c r="AA212" s="321"/>
      <c r="AB212" s="321"/>
      <c r="AC212" s="320"/>
      <c r="AD212" s="380"/>
      <c r="AE212" s="352"/>
      <c r="AF212" s="381">
        <f t="shared" ref="AF212:AF239" si="39">SUM(E212:AD212)</f>
        <v>0</v>
      </c>
      <c r="AG212" s="381"/>
      <c r="AH212" s="408"/>
      <c r="AI212" s="409">
        <f t="shared" ref="AI212:AI239" si="40">AF212+AG212</f>
        <v>0</v>
      </c>
      <c r="AJ212" s="410"/>
      <c r="AK212" s="411">
        <f t="shared" ref="AK212:AK239" si="41">AI212+AJ212</f>
        <v>0</v>
      </c>
      <c r="AL212" s="234"/>
      <c r="AM212" s="234"/>
      <c r="AN212" s="234"/>
    </row>
    <row r="213" spans="1:40" s="234" customFormat="1" ht="20.25">
      <c r="A213" s="316" t="s">
        <v>536</v>
      </c>
      <c r="B213" s="710"/>
      <c r="C213" s="295"/>
      <c r="D213" s="1077"/>
      <c r="E213" s="319"/>
      <c r="F213" s="320"/>
      <c r="G213" s="320"/>
      <c r="H213" s="321"/>
      <c r="I213" s="321"/>
      <c r="J213" s="320"/>
      <c r="K213" s="1090"/>
      <c r="L213" s="351"/>
      <c r="M213" s="352"/>
      <c r="N213" s="353"/>
      <c r="O213" s="321"/>
      <c r="P213" s="321"/>
      <c r="Q213" s="321"/>
      <c r="R213" s="321"/>
      <c r="S213" s="321"/>
      <c r="T213" s="321"/>
      <c r="U213" s="351"/>
      <c r="V213" s="352"/>
      <c r="W213" s="319"/>
      <c r="X213" s="320"/>
      <c r="Y213" s="320"/>
      <c r="Z213" s="321"/>
      <c r="AA213" s="321"/>
      <c r="AB213" s="321"/>
      <c r="AC213" s="320"/>
      <c r="AD213" s="380"/>
      <c r="AE213" s="352"/>
      <c r="AF213" s="381">
        <f t="shared" si="39"/>
        <v>0</v>
      </c>
      <c r="AG213" s="381"/>
      <c r="AH213" s="408"/>
      <c r="AI213" s="409">
        <f t="shared" si="40"/>
        <v>0</v>
      </c>
      <c r="AJ213" s="410"/>
      <c r="AK213" s="411">
        <f t="shared" si="41"/>
        <v>0</v>
      </c>
    </row>
    <row r="214" spans="1:40" s="234" customFormat="1" ht="20.25">
      <c r="A214" s="316" t="s">
        <v>536</v>
      </c>
      <c r="B214" s="710"/>
      <c r="C214" s="295"/>
      <c r="D214" s="1077"/>
      <c r="E214" s="319"/>
      <c r="F214" s="320"/>
      <c r="G214" s="320"/>
      <c r="H214" s="321"/>
      <c r="I214" s="321"/>
      <c r="J214" s="320"/>
      <c r="K214" s="1090"/>
      <c r="L214" s="351"/>
      <c r="M214" s="352"/>
      <c r="N214" s="353"/>
      <c r="O214" s="321"/>
      <c r="P214" s="321"/>
      <c r="Q214" s="321"/>
      <c r="R214" s="321"/>
      <c r="S214" s="321"/>
      <c r="T214" s="321"/>
      <c r="U214" s="351"/>
      <c r="V214" s="352"/>
      <c r="W214" s="319"/>
      <c r="X214" s="320"/>
      <c r="Y214" s="320"/>
      <c r="Z214" s="321"/>
      <c r="AA214" s="321"/>
      <c r="AB214" s="321"/>
      <c r="AC214" s="320"/>
      <c r="AD214" s="380"/>
      <c r="AE214" s="352"/>
      <c r="AF214" s="381">
        <f t="shared" si="39"/>
        <v>0</v>
      </c>
      <c r="AG214" s="381"/>
      <c r="AH214" s="408"/>
      <c r="AI214" s="409">
        <f t="shared" si="40"/>
        <v>0</v>
      </c>
      <c r="AJ214" s="410"/>
      <c r="AK214" s="411">
        <f t="shared" si="41"/>
        <v>0</v>
      </c>
    </row>
    <row r="215" spans="1:40" s="276" customFormat="1" ht="20.25">
      <c r="A215" s="316" t="s">
        <v>536</v>
      </c>
      <c r="B215" s="710"/>
      <c r="C215" s="295"/>
      <c r="D215" s="1077"/>
      <c r="E215" s="319"/>
      <c r="F215" s="320"/>
      <c r="G215" s="320"/>
      <c r="H215" s="321"/>
      <c r="I215" s="321"/>
      <c r="J215" s="320"/>
      <c r="K215" s="1090"/>
      <c r="L215" s="351"/>
      <c r="M215" s="352"/>
      <c r="N215" s="353"/>
      <c r="O215" s="321"/>
      <c r="P215" s="321"/>
      <c r="Q215" s="321"/>
      <c r="R215" s="321"/>
      <c r="S215" s="321"/>
      <c r="T215" s="321"/>
      <c r="U215" s="351"/>
      <c r="V215" s="352"/>
      <c r="W215" s="319"/>
      <c r="X215" s="320"/>
      <c r="Y215" s="320"/>
      <c r="Z215" s="321"/>
      <c r="AA215" s="321"/>
      <c r="AB215" s="321"/>
      <c r="AC215" s="320"/>
      <c r="AD215" s="380"/>
      <c r="AE215" s="352"/>
      <c r="AF215" s="381">
        <f t="shared" si="39"/>
        <v>0</v>
      </c>
      <c r="AG215" s="381"/>
      <c r="AH215" s="408"/>
      <c r="AI215" s="409">
        <f t="shared" si="40"/>
        <v>0</v>
      </c>
      <c r="AJ215" s="410"/>
      <c r="AK215" s="411">
        <f t="shared" si="41"/>
        <v>0</v>
      </c>
      <c r="AL215" s="234"/>
      <c r="AM215" s="234"/>
      <c r="AN215" s="234"/>
    </row>
    <row r="216" spans="1:40" s="234" customFormat="1" ht="20.25">
      <c r="A216" s="316" t="s">
        <v>536</v>
      </c>
      <c r="B216" s="710"/>
      <c r="C216" s="295"/>
      <c r="D216" s="1077"/>
      <c r="E216" s="319"/>
      <c r="F216" s="320"/>
      <c r="G216" s="320"/>
      <c r="H216" s="321"/>
      <c r="I216" s="321"/>
      <c r="J216" s="320"/>
      <c r="K216" s="1090"/>
      <c r="L216" s="351"/>
      <c r="M216" s="352"/>
      <c r="N216" s="353"/>
      <c r="O216" s="321"/>
      <c r="P216" s="321"/>
      <c r="Q216" s="321"/>
      <c r="R216" s="321"/>
      <c r="S216" s="321"/>
      <c r="T216" s="321"/>
      <c r="U216" s="351"/>
      <c r="V216" s="352"/>
      <c r="W216" s="319"/>
      <c r="X216" s="320"/>
      <c r="Y216" s="320"/>
      <c r="Z216" s="321"/>
      <c r="AA216" s="321"/>
      <c r="AB216" s="321"/>
      <c r="AC216" s="320"/>
      <c r="AD216" s="380"/>
      <c r="AE216" s="352"/>
      <c r="AF216" s="381">
        <f t="shared" si="39"/>
        <v>0</v>
      </c>
      <c r="AG216" s="381"/>
      <c r="AH216" s="408"/>
      <c r="AI216" s="409">
        <f t="shared" si="40"/>
        <v>0</v>
      </c>
      <c r="AJ216" s="410"/>
      <c r="AK216" s="411">
        <f t="shared" si="41"/>
        <v>0</v>
      </c>
    </row>
    <row r="217" spans="1:40" s="276" customFormat="1" ht="20.25">
      <c r="A217" s="316" t="s">
        <v>536</v>
      </c>
      <c r="B217" s="710"/>
      <c r="C217" s="295"/>
      <c r="D217" s="1077"/>
      <c r="E217" s="319"/>
      <c r="F217" s="320"/>
      <c r="G217" s="320"/>
      <c r="H217" s="321"/>
      <c r="I217" s="321"/>
      <c r="J217" s="320"/>
      <c r="K217" s="1090"/>
      <c r="L217" s="351"/>
      <c r="M217" s="352"/>
      <c r="N217" s="353"/>
      <c r="O217" s="321"/>
      <c r="P217" s="321"/>
      <c r="Q217" s="321"/>
      <c r="R217" s="321"/>
      <c r="S217" s="321"/>
      <c r="T217" s="321"/>
      <c r="U217" s="351"/>
      <c r="V217" s="352"/>
      <c r="W217" s="319"/>
      <c r="X217" s="320"/>
      <c r="Y217" s="320"/>
      <c r="Z217" s="321"/>
      <c r="AA217" s="321"/>
      <c r="AB217" s="321"/>
      <c r="AC217" s="320"/>
      <c r="AD217" s="380"/>
      <c r="AE217" s="352"/>
      <c r="AF217" s="381">
        <f t="shared" si="39"/>
        <v>0</v>
      </c>
      <c r="AG217" s="381"/>
      <c r="AH217" s="408"/>
      <c r="AI217" s="409">
        <f t="shared" si="40"/>
        <v>0</v>
      </c>
      <c r="AJ217" s="410"/>
      <c r="AK217" s="411">
        <f t="shared" si="41"/>
        <v>0</v>
      </c>
      <c r="AL217" s="234"/>
      <c r="AM217" s="234"/>
      <c r="AN217" s="234"/>
    </row>
    <row r="218" spans="1:40" s="234" customFormat="1" ht="20.25">
      <c r="A218" s="316" t="s">
        <v>536</v>
      </c>
      <c r="B218" s="710"/>
      <c r="C218" s="295"/>
      <c r="D218" s="1077"/>
      <c r="E218" s="319"/>
      <c r="F218" s="320"/>
      <c r="G218" s="320"/>
      <c r="H218" s="321"/>
      <c r="I218" s="321"/>
      <c r="J218" s="320"/>
      <c r="K218" s="1090"/>
      <c r="L218" s="351"/>
      <c r="M218" s="352"/>
      <c r="N218" s="353"/>
      <c r="O218" s="321"/>
      <c r="P218" s="321"/>
      <c r="Q218" s="321"/>
      <c r="R218" s="321"/>
      <c r="S218" s="321"/>
      <c r="T218" s="321"/>
      <c r="U218" s="351"/>
      <c r="V218" s="352"/>
      <c r="W218" s="319"/>
      <c r="X218" s="320"/>
      <c r="Y218" s="320"/>
      <c r="Z218" s="321"/>
      <c r="AA218" s="321"/>
      <c r="AB218" s="321"/>
      <c r="AC218" s="320"/>
      <c r="AD218" s="380"/>
      <c r="AE218" s="352"/>
      <c r="AF218" s="381">
        <f t="shared" si="39"/>
        <v>0</v>
      </c>
      <c r="AG218" s="381"/>
      <c r="AH218" s="408"/>
      <c r="AI218" s="409">
        <f t="shared" si="40"/>
        <v>0</v>
      </c>
      <c r="AJ218" s="410"/>
      <c r="AK218" s="411">
        <f t="shared" si="41"/>
        <v>0</v>
      </c>
    </row>
    <row r="219" spans="1:40" s="276" customFormat="1" ht="20.25">
      <c r="A219" s="316" t="s">
        <v>536</v>
      </c>
      <c r="B219" s="822"/>
      <c r="C219" s="295"/>
      <c r="D219" s="1077"/>
      <c r="E219" s="319"/>
      <c r="F219" s="320"/>
      <c r="G219" s="320"/>
      <c r="H219" s="321"/>
      <c r="I219" s="321"/>
      <c r="J219" s="320"/>
      <c r="K219" s="1090"/>
      <c r="L219" s="351"/>
      <c r="M219" s="352"/>
      <c r="N219" s="353"/>
      <c r="O219" s="321"/>
      <c r="P219" s="321"/>
      <c r="Q219" s="321"/>
      <c r="R219" s="321"/>
      <c r="S219" s="321"/>
      <c r="T219" s="321"/>
      <c r="U219" s="351"/>
      <c r="V219" s="352"/>
      <c r="W219" s="319"/>
      <c r="X219" s="320"/>
      <c r="Y219" s="320"/>
      <c r="Z219" s="321"/>
      <c r="AA219" s="321"/>
      <c r="AB219" s="321"/>
      <c r="AC219" s="320"/>
      <c r="AD219" s="380"/>
      <c r="AE219" s="352"/>
      <c r="AF219" s="381">
        <f t="shared" si="39"/>
        <v>0</v>
      </c>
      <c r="AG219" s="381"/>
      <c r="AH219" s="408"/>
      <c r="AI219" s="409">
        <f t="shared" si="40"/>
        <v>0</v>
      </c>
      <c r="AJ219" s="410"/>
      <c r="AK219" s="411">
        <f t="shared" si="41"/>
        <v>0</v>
      </c>
      <c r="AL219" s="234"/>
      <c r="AM219" s="234"/>
      <c r="AN219" s="234"/>
    </row>
    <row r="220" spans="1:40" s="234" customFormat="1" ht="20.25">
      <c r="A220" s="316" t="s">
        <v>536</v>
      </c>
      <c r="B220" s="710"/>
      <c r="C220" s="295"/>
      <c r="D220" s="1077"/>
      <c r="E220" s="319"/>
      <c r="F220" s="320"/>
      <c r="G220" s="320"/>
      <c r="H220" s="321"/>
      <c r="I220" s="321"/>
      <c r="J220" s="320"/>
      <c r="K220" s="1090"/>
      <c r="L220" s="351"/>
      <c r="M220" s="352"/>
      <c r="N220" s="353"/>
      <c r="O220" s="321"/>
      <c r="P220" s="321"/>
      <c r="Q220" s="321"/>
      <c r="R220" s="321"/>
      <c r="S220" s="321"/>
      <c r="T220" s="321"/>
      <c r="U220" s="351"/>
      <c r="V220" s="352"/>
      <c r="W220" s="319"/>
      <c r="X220" s="320"/>
      <c r="Y220" s="320"/>
      <c r="Z220" s="321"/>
      <c r="AA220" s="321"/>
      <c r="AB220" s="321"/>
      <c r="AC220" s="320"/>
      <c r="AD220" s="380"/>
      <c r="AE220" s="352"/>
      <c r="AF220" s="381">
        <f t="shared" si="39"/>
        <v>0</v>
      </c>
      <c r="AG220" s="381"/>
      <c r="AH220" s="408"/>
      <c r="AI220" s="409">
        <f t="shared" si="40"/>
        <v>0</v>
      </c>
      <c r="AJ220" s="410"/>
      <c r="AK220" s="411">
        <f t="shared" si="41"/>
        <v>0</v>
      </c>
    </row>
    <row r="221" spans="1:40" s="276" customFormat="1" ht="20.25">
      <c r="A221" s="316" t="s">
        <v>536</v>
      </c>
      <c r="B221" s="295"/>
      <c r="C221" s="295"/>
      <c r="D221" s="1077"/>
      <c r="E221" s="319"/>
      <c r="F221" s="320"/>
      <c r="G221" s="320"/>
      <c r="H221" s="321"/>
      <c r="I221" s="321"/>
      <c r="J221" s="320"/>
      <c r="K221" s="1090"/>
      <c r="L221" s="351"/>
      <c r="M221" s="352"/>
      <c r="N221" s="353"/>
      <c r="O221" s="321"/>
      <c r="P221" s="321"/>
      <c r="Q221" s="321"/>
      <c r="R221" s="321"/>
      <c r="S221" s="321"/>
      <c r="T221" s="321"/>
      <c r="U221" s="351"/>
      <c r="V221" s="352"/>
      <c r="W221" s="319"/>
      <c r="X221" s="320"/>
      <c r="Y221" s="320"/>
      <c r="Z221" s="321"/>
      <c r="AA221" s="321"/>
      <c r="AB221" s="321"/>
      <c r="AC221" s="320"/>
      <c r="AD221" s="380"/>
      <c r="AE221" s="352"/>
      <c r="AF221" s="381">
        <f t="shared" si="39"/>
        <v>0</v>
      </c>
      <c r="AG221" s="381"/>
      <c r="AH221" s="408"/>
      <c r="AI221" s="409">
        <f t="shared" si="40"/>
        <v>0</v>
      </c>
      <c r="AJ221" s="410"/>
      <c r="AK221" s="411">
        <f t="shared" si="41"/>
        <v>0</v>
      </c>
      <c r="AL221" s="234"/>
      <c r="AM221" s="234"/>
      <c r="AN221" s="234"/>
    </row>
    <row r="222" spans="1:40" s="234" customFormat="1" ht="20.25">
      <c r="A222" s="316" t="s">
        <v>536</v>
      </c>
      <c r="B222" s="295"/>
      <c r="C222" s="295"/>
      <c r="D222" s="1077"/>
      <c r="E222" s="319"/>
      <c r="F222" s="320"/>
      <c r="G222" s="320"/>
      <c r="H222" s="321"/>
      <c r="I222" s="321"/>
      <c r="J222" s="320"/>
      <c r="K222" s="1090"/>
      <c r="L222" s="351"/>
      <c r="M222" s="352"/>
      <c r="N222" s="353"/>
      <c r="O222" s="321"/>
      <c r="P222" s="321"/>
      <c r="Q222" s="321"/>
      <c r="R222" s="321"/>
      <c r="S222" s="321"/>
      <c r="T222" s="321"/>
      <c r="U222" s="351"/>
      <c r="V222" s="352"/>
      <c r="W222" s="319"/>
      <c r="X222" s="320"/>
      <c r="Y222" s="320"/>
      <c r="Z222" s="321"/>
      <c r="AA222" s="321"/>
      <c r="AB222" s="321"/>
      <c r="AC222" s="320"/>
      <c r="AD222" s="380"/>
      <c r="AE222" s="352"/>
      <c r="AF222" s="381">
        <f t="shared" si="39"/>
        <v>0</v>
      </c>
      <c r="AG222" s="381"/>
      <c r="AH222" s="408"/>
      <c r="AI222" s="409">
        <f t="shared" si="40"/>
        <v>0</v>
      </c>
      <c r="AJ222" s="410"/>
      <c r="AK222" s="411">
        <f t="shared" si="41"/>
        <v>0</v>
      </c>
    </row>
    <row r="223" spans="1:40" s="276" customFormat="1" ht="20.25">
      <c r="A223" s="316" t="s">
        <v>536</v>
      </c>
      <c r="B223" s="295"/>
      <c r="C223" s="295"/>
      <c r="D223" s="1077"/>
      <c r="E223" s="319"/>
      <c r="F223" s="320"/>
      <c r="G223" s="320"/>
      <c r="H223" s="321"/>
      <c r="I223" s="321"/>
      <c r="J223" s="320"/>
      <c r="K223" s="1090"/>
      <c r="L223" s="351"/>
      <c r="M223" s="352"/>
      <c r="N223" s="353"/>
      <c r="O223" s="321"/>
      <c r="P223" s="321"/>
      <c r="Q223" s="321"/>
      <c r="R223" s="321"/>
      <c r="S223" s="321"/>
      <c r="T223" s="321"/>
      <c r="U223" s="351"/>
      <c r="V223" s="352"/>
      <c r="W223" s="319"/>
      <c r="X223" s="320"/>
      <c r="Y223" s="320"/>
      <c r="Z223" s="321"/>
      <c r="AA223" s="321"/>
      <c r="AB223" s="321"/>
      <c r="AC223" s="320"/>
      <c r="AD223" s="380"/>
      <c r="AE223" s="352"/>
      <c r="AF223" s="381">
        <f t="shared" si="39"/>
        <v>0</v>
      </c>
      <c r="AG223" s="381"/>
      <c r="AH223" s="408"/>
      <c r="AI223" s="409">
        <f t="shared" si="40"/>
        <v>0</v>
      </c>
      <c r="AJ223" s="410"/>
      <c r="AK223" s="411">
        <f t="shared" si="41"/>
        <v>0</v>
      </c>
      <c r="AL223" s="234"/>
      <c r="AM223" s="234"/>
      <c r="AN223" s="234"/>
    </row>
    <row r="224" spans="1:40" s="234" customFormat="1" ht="20.25">
      <c r="A224" s="316" t="s">
        <v>536</v>
      </c>
      <c r="B224" s="295"/>
      <c r="C224" s="295"/>
      <c r="D224" s="1077"/>
      <c r="E224" s="319"/>
      <c r="F224" s="320"/>
      <c r="G224" s="320"/>
      <c r="H224" s="321"/>
      <c r="I224" s="321"/>
      <c r="J224" s="320"/>
      <c r="K224" s="1090"/>
      <c r="L224" s="351"/>
      <c r="M224" s="352"/>
      <c r="N224" s="353"/>
      <c r="O224" s="321"/>
      <c r="P224" s="321"/>
      <c r="Q224" s="321"/>
      <c r="R224" s="321"/>
      <c r="S224" s="321"/>
      <c r="T224" s="321"/>
      <c r="U224" s="351"/>
      <c r="V224" s="352"/>
      <c r="W224" s="319"/>
      <c r="X224" s="320"/>
      <c r="Y224" s="320"/>
      <c r="Z224" s="321"/>
      <c r="AA224" s="321"/>
      <c r="AB224" s="321"/>
      <c r="AC224" s="320"/>
      <c r="AD224" s="380"/>
      <c r="AE224" s="352"/>
      <c r="AF224" s="381">
        <f t="shared" si="39"/>
        <v>0</v>
      </c>
      <c r="AG224" s="381"/>
      <c r="AH224" s="408"/>
      <c r="AI224" s="409">
        <f t="shared" si="40"/>
        <v>0</v>
      </c>
      <c r="AJ224" s="410"/>
      <c r="AK224" s="411">
        <f t="shared" si="41"/>
        <v>0</v>
      </c>
    </row>
    <row r="225" spans="1:40" s="276" customFormat="1" ht="20.25">
      <c r="A225" s="316" t="s">
        <v>536</v>
      </c>
      <c r="B225" s="295"/>
      <c r="C225" s="295"/>
      <c r="D225" s="1077"/>
      <c r="E225" s="319"/>
      <c r="F225" s="320"/>
      <c r="G225" s="320"/>
      <c r="H225" s="321"/>
      <c r="I225" s="321"/>
      <c r="J225" s="320"/>
      <c r="K225" s="842"/>
      <c r="L225" s="351"/>
      <c r="M225" s="352"/>
      <c r="N225" s="353"/>
      <c r="O225" s="321"/>
      <c r="P225" s="321"/>
      <c r="Q225" s="321"/>
      <c r="R225" s="321"/>
      <c r="S225" s="321"/>
      <c r="T225" s="321"/>
      <c r="U225" s="351"/>
      <c r="V225" s="352"/>
      <c r="W225" s="319"/>
      <c r="X225" s="320"/>
      <c r="Y225" s="320"/>
      <c r="Z225" s="321"/>
      <c r="AA225" s="321"/>
      <c r="AB225" s="321"/>
      <c r="AC225" s="320"/>
      <c r="AD225" s="380"/>
      <c r="AE225" s="352"/>
      <c r="AF225" s="381">
        <f t="shared" si="39"/>
        <v>0</v>
      </c>
      <c r="AG225" s="381"/>
      <c r="AH225" s="408"/>
      <c r="AI225" s="409">
        <f t="shared" si="40"/>
        <v>0</v>
      </c>
      <c r="AJ225" s="410"/>
      <c r="AK225" s="411">
        <f t="shared" si="41"/>
        <v>0</v>
      </c>
      <c r="AL225" s="234"/>
      <c r="AM225" s="234"/>
      <c r="AN225" s="234"/>
    </row>
    <row r="226" spans="1:40" s="234" customFormat="1" ht="20.25">
      <c r="A226" s="316" t="s">
        <v>536</v>
      </c>
      <c r="B226" s="295"/>
      <c r="C226" s="295"/>
      <c r="D226" s="1077"/>
      <c r="E226" s="319"/>
      <c r="F226" s="320"/>
      <c r="G226" s="320"/>
      <c r="H226" s="321"/>
      <c r="I226" s="321"/>
      <c r="J226" s="320"/>
      <c r="K226" s="842"/>
      <c r="L226" s="351"/>
      <c r="M226" s="352"/>
      <c r="N226" s="353"/>
      <c r="O226" s="321"/>
      <c r="P226" s="321"/>
      <c r="Q226" s="321"/>
      <c r="R226" s="321"/>
      <c r="S226" s="321"/>
      <c r="T226" s="321"/>
      <c r="U226" s="351"/>
      <c r="V226" s="352"/>
      <c r="W226" s="319"/>
      <c r="X226" s="320"/>
      <c r="Y226" s="320"/>
      <c r="Z226" s="321"/>
      <c r="AA226" s="321"/>
      <c r="AB226" s="321"/>
      <c r="AC226" s="320"/>
      <c r="AD226" s="380"/>
      <c r="AE226" s="352"/>
      <c r="AF226" s="381">
        <f t="shared" si="39"/>
        <v>0</v>
      </c>
      <c r="AG226" s="381"/>
      <c r="AH226" s="408"/>
      <c r="AI226" s="409">
        <f t="shared" si="40"/>
        <v>0</v>
      </c>
      <c r="AJ226" s="410"/>
      <c r="AK226" s="411">
        <f t="shared" si="41"/>
        <v>0</v>
      </c>
    </row>
    <row r="227" spans="1:40" s="234" customFormat="1" ht="20.25">
      <c r="A227" s="316" t="s">
        <v>536</v>
      </c>
      <c r="B227" s="295"/>
      <c r="C227" s="295"/>
      <c r="D227" s="1077"/>
      <c r="E227" s="319"/>
      <c r="F227" s="320"/>
      <c r="G227" s="320"/>
      <c r="H227" s="321"/>
      <c r="I227" s="321"/>
      <c r="J227" s="320"/>
      <c r="K227" s="842"/>
      <c r="L227" s="351"/>
      <c r="M227" s="352"/>
      <c r="N227" s="353"/>
      <c r="O227" s="321"/>
      <c r="P227" s="321"/>
      <c r="Q227" s="321"/>
      <c r="R227" s="321"/>
      <c r="S227" s="321"/>
      <c r="T227" s="321"/>
      <c r="U227" s="351"/>
      <c r="V227" s="352"/>
      <c r="W227" s="319"/>
      <c r="X227" s="320"/>
      <c r="Y227" s="320"/>
      <c r="Z227" s="321"/>
      <c r="AA227" s="321"/>
      <c r="AB227" s="321"/>
      <c r="AC227" s="320"/>
      <c r="AD227" s="380"/>
      <c r="AE227" s="352"/>
      <c r="AF227" s="381">
        <f t="shared" si="39"/>
        <v>0</v>
      </c>
      <c r="AG227" s="381"/>
      <c r="AH227" s="408"/>
      <c r="AI227" s="409">
        <f t="shared" si="40"/>
        <v>0</v>
      </c>
      <c r="AJ227" s="410"/>
      <c r="AK227" s="411">
        <f t="shared" si="41"/>
        <v>0</v>
      </c>
    </row>
    <row r="228" spans="1:40" s="276" customFormat="1" ht="20.25">
      <c r="A228" s="316" t="s">
        <v>536</v>
      </c>
      <c r="B228" s="295"/>
      <c r="C228" s="295"/>
      <c r="D228" s="1077"/>
      <c r="E228" s="319"/>
      <c r="F228" s="320"/>
      <c r="G228" s="320"/>
      <c r="H228" s="321"/>
      <c r="I228" s="321"/>
      <c r="J228" s="320"/>
      <c r="K228" s="842"/>
      <c r="L228" s="351"/>
      <c r="M228" s="352"/>
      <c r="N228" s="353"/>
      <c r="O228" s="321"/>
      <c r="P228" s="321"/>
      <c r="Q228" s="321"/>
      <c r="R228" s="321"/>
      <c r="S228" s="321"/>
      <c r="T228" s="321"/>
      <c r="U228" s="351"/>
      <c r="V228" s="352"/>
      <c r="W228" s="319"/>
      <c r="X228" s="320"/>
      <c r="Y228" s="320"/>
      <c r="Z228" s="321"/>
      <c r="AA228" s="321"/>
      <c r="AB228" s="321"/>
      <c r="AC228" s="320"/>
      <c r="AD228" s="380"/>
      <c r="AE228" s="352"/>
      <c r="AF228" s="381">
        <f t="shared" si="39"/>
        <v>0</v>
      </c>
      <c r="AG228" s="381"/>
      <c r="AH228" s="408"/>
      <c r="AI228" s="409">
        <f t="shared" si="40"/>
        <v>0</v>
      </c>
      <c r="AJ228" s="410"/>
      <c r="AK228" s="411">
        <f t="shared" si="41"/>
        <v>0</v>
      </c>
      <c r="AL228" s="234"/>
      <c r="AM228" s="234"/>
      <c r="AN228" s="234"/>
    </row>
    <row r="229" spans="1:40" s="234" customFormat="1" ht="20.25">
      <c r="A229" s="316" t="s">
        <v>536</v>
      </c>
      <c r="B229" s="295"/>
      <c r="C229" s="295"/>
      <c r="D229" s="1077"/>
      <c r="E229" s="319"/>
      <c r="F229" s="320"/>
      <c r="G229" s="320"/>
      <c r="H229" s="321"/>
      <c r="I229" s="321"/>
      <c r="J229" s="320"/>
      <c r="K229" s="842"/>
      <c r="L229" s="351"/>
      <c r="M229" s="352"/>
      <c r="N229" s="353"/>
      <c r="O229" s="321"/>
      <c r="P229" s="321"/>
      <c r="Q229" s="321"/>
      <c r="R229" s="321"/>
      <c r="S229" s="321"/>
      <c r="T229" s="321"/>
      <c r="U229" s="351"/>
      <c r="V229" s="352"/>
      <c r="W229" s="319"/>
      <c r="X229" s="320"/>
      <c r="Y229" s="320"/>
      <c r="Z229" s="321"/>
      <c r="AA229" s="321"/>
      <c r="AB229" s="321"/>
      <c r="AC229" s="320"/>
      <c r="AD229" s="380"/>
      <c r="AE229" s="352"/>
      <c r="AF229" s="381">
        <f t="shared" si="39"/>
        <v>0</v>
      </c>
      <c r="AG229" s="381"/>
      <c r="AH229" s="408"/>
      <c r="AI229" s="409">
        <f t="shared" si="40"/>
        <v>0</v>
      </c>
      <c r="AJ229" s="410"/>
      <c r="AK229" s="411">
        <f t="shared" si="41"/>
        <v>0</v>
      </c>
    </row>
    <row r="230" spans="1:40" s="276" customFormat="1" ht="20.25">
      <c r="A230" s="316" t="s">
        <v>536</v>
      </c>
      <c r="B230" s="295"/>
      <c r="C230" s="295"/>
      <c r="D230" s="1077"/>
      <c r="E230" s="319"/>
      <c r="F230" s="320"/>
      <c r="G230" s="320"/>
      <c r="H230" s="321"/>
      <c r="I230" s="321"/>
      <c r="J230" s="320"/>
      <c r="K230" s="842"/>
      <c r="L230" s="351"/>
      <c r="M230" s="352"/>
      <c r="N230" s="353"/>
      <c r="O230" s="321"/>
      <c r="P230" s="321"/>
      <c r="Q230" s="321"/>
      <c r="R230" s="321"/>
      <c r="S230" s="321"/>
      <c r="T230" s="321"/>
      <c r="U230" s="351"/>
      <c r="V230" s="352"/>
      <c r="W230" s="319"/>
      <c r="X230" s="320"/>
      <c r="Y230" s="320"/>
      <c r="Z230" s="321"/>
      <c r="AA230" s="321"/>
      <c r="AB230" s="321"/>
      <c r="AC230" s="320"/>
      <c r="AD230" s="380"/>
      <c r="AE230" s="352"/>
      <c r="AF230" s="381">
        <f t="shared" si="39"/>
        <v>0</v>
      </c>
      <c r="AG230" s="381"/>
      <c r="AH230" s="408"/>
      <c r="AI230" s="409">
        <f t="shared" si="40"/>
        <v>0</v>
      </c>
      <c r="AJ230" s="410"/>
      <c r="AK230" s="411">
        <f t="shared" si="41"/>
        <v>0</v>
      </c>
      <c r="AL230" s="234"/>
      <c r="AM230" s="234"/>
      <c r="AN230" s="234"/>
    </row>
    <row r="231" spans="1:40" s="234" customFormat="1" ht="20.25">
      <c r="A231" s="316" t="s">
        <v>536</v>
      </c>
      <c r="B231" s="295"/>
      <c r="C231" s="295"/>
      <c r="D231" s="1077"/>
      <c r="E231" s="319"/>
      <c r="F231" s="320"/>
      <c r="G231" s="320"/>
      <c r="H231" s="321"/>
      <c r="I231" s="321"/>
      <c r="J231" s="320"/>
      <c r="K231" s="842"/>
      <c r="L231" s="351"/>
      <c r="M231" s="352"/>
      <c r="N231" s="353"/>
      <c r="O231" s="321"/>
      <c r="P231" s="321"/>
      <c r="Q231" s="321"/>
      <c r="R231" s="321"/>
      <c r="S231" s="321"/>
      <c r="T231" s="321"/>
      <c r="U231" s="351"/>
      <c r="V231" s="352"/>
      <c r="W231" s="319"/>
      <c r="X231" s="320"/>
      <c r="Y231" s="320"/>
      <c r="Z231" s="321"/>
      <c r="AA231" s="321"/>
      <c r="AB231" s="321"/>
      <c r="AC231" s="320"/>
      <c r="AD231" s="380"/>
      <c r="AE231" s="352"/>
      <c r="AF231" s="381">
        <f t="shared" si="39"/>
        <v>0</v>
      </c>
      <c r="AG231" s="381"/>
      <c r="AH231" s="408"/>
      <c r="AI231" s="409">
        <f t="shared" si="40"/>
        <v>0</v>
      </c>
      <c r="AJ231" s="410"/>
      <c r="AK231" s="411">
        <f t="shared" si="41"/>
        <v>0</v>
      </c>
    </row>
    <row r="232" spans="1:40" s="276" customFormat="1" ht="20.25">
      <c r="A232" s="316" t="s">
        <v>536</v>
      </c>
      <c r="B232" s="295"/>
      <c r="C232" s="295"/>
      <c r="D232" s="1077"/>
      <c r="E232" s="319"/>
      <c r="F232" s="320"/>
      <c r="G232" s="320"/>
      <c r="H232" s="321"/>
      <c r="I232" s="321"/>
      <c r="J232" s="320"/>
      <c r="K232" s="842"/>
      <c r="L232" s="351"/>
      <c r="M232" s="352"/>
      <c r="N232" s="353"/>
      <c r="O232" s="321"/>
      <c r="P232" s="321"/>
      <c r="Q232" s="321"/>
      <c r="R232" s="321"/>
      <c r="S232" s="321"/>
      <c r="T232" s="321"/>
      <c r="U232" s="351"/>
      <c r="V232" s="352"/>
      <c r="W232" s="319"/>
      <c r="X232" s="320"/>
      <c r="Y232" s="320"/>
      <c r="Z232" s="321"/>
      <c r="AA232" s="321"/>
      <c r="AB232" s="321"/>
      <c r="AC232" s="320"/>
      <c r="AD232" s="380"/>
      <c r="AE232" s="352"/>
      <c r="AF232" s="381">
        <f t="shared" si="39"/>
        <v>0</v>
      </c>
      <c r="AG232" s="381"/>
      <c r="AH232" s="408"/>
      <c r="AI232" s="409">
        <f t="shared" si="40"/>
        <v>0</v>
      </c>
      <c r="AJ232" s="410"/>
      <c r="AK232" s="411">
        <f t="shared" si="41"/>
        <v>0</v>
      </c>
      <c r="AL232" s="234"/>
      <c r="AM232" s="234"/>
      <c r="AN232" s="234"/>
    </row>
    <row r="233" spans="1:40" s="234" customFormat="1" ht="20.25">
      <c r="A233" s="316" t="s">
        <v>536</v>
      </c>
      <c r="B233" s="295"/>
      <c r="C233" s="295"/>
      <c r="D233" s="1077"/>
      <c r="E233" s="319"/>
      <c r="F233" s="320"/>
      <c r="G233" s="320"/>
      <c r="H233" s="321"/>
      <c r="I233" s="321"/>
      <c r="J233" s="320"/>
      <c r="K233" s="842"/>
      <c r="L233" s="351"/>
      <c r="M233" s="352"/>
      <c r="N233" s="353"/>
      <c r="O233" s="321"/>
      <c r="P233" s="321"/>
      <c r="Q233" s="321"/>
      <c r="R233" s="321"/>
      <c r="S233" s="321"/>
      <c r="T233" s="321"/>
      <c r="U233" s="351"/>
      <c r="V233" s="352"/>
      <c r="W233" s="319"/>
      <c r="X233" s="320"/>
      <c r="Y233" s="320"/>
      <c r="Z233" s="321"/>
      <c r="AA233" s="321"/>
      <c r="AB233" s="321"/>
      <c r="AC233" s="320"/>
      <c r="AD233" s="380"/>
      <c r="AE233" s="352"/>
      <c r="AF233" s="381">
        <f t="shared" si="39"/>
        <v>0</v>
      </c>
      <c r="AG233" s="381"/>
      <c r="AH233" s="408"/>
      <c r="AI233" s="409">
        <f t="shared" si="40"/>
        <v>0</v>
      </c>
      <c r="AJ233" s="410"/>
      <c r="AK233" s="411">
        <f t="shared" si="41"/>
        <v>0</v>
      </c>
    </row>
    <row r="234" spans="1:40" s="1063" customFormat="1" ht="20.25">
      <c r="A234" s="316" t="s">
        <v>536</v>
      </c>
      <c r="B234" s="295"/>
      <c r="C234" s="295"/>
      <c r="D234" s="1077"/>
      <c r="E234" s="319"/>
      <c r="F234" s="320"/>
      <c r="G234" s="320"/>
      <c r="H234" s="321"/>
      <c r="I234" s="321"/>
      <c r="J234" s="320"/>
      <c r="K234" s="842"/>
      <c r="L234" s="351"/>
      <c r="M234" s="352"/>
      <c r="N234" s="353"/>
      <c r="O234" s="321"/>
      <c r="P234" s="321"/>
      <c r="Q234" s="321"/>
      <c r="R234" s="321"/>
      <c r="S234" s="321"/>
      <c r="T234" s="321"/>
      <c r="U234" s="351"/>
      <c r="V234" s="352"/>
      <c r="W234" s="319"/>
      <c r="X234" s="320"/>
      <c r="Y234" s="320"/>
      <c r="Z234" s="321"/>
      <c r="AA234" s="321"/>
      <c r="AB234" s="321"/>
      <c r="AC234" s="320"/>
      <c r="AD234" s="380"/>
      <c r="AE234" s="352"/>
      <c r="AF234" s="381">
        <f t="shared" si="39"/>
        <v>0</v>
      </c>
      <c r="AG234" s="381"/>
      <c r="AH234" s="408"/>
      <c r="AI234" s="409">
        <f t="shared" si="40"/>
        <v>0</v>
      </c>
      <c r="AJ234" s="410"/>
      <c r="AK234" s="411">
        <f t="shared" si="41"/>
        <v>0</v>
      </c>
      <c r="AL234" s="234"/>
      <c r="AM234" s="234"/>
      <c r="AN234" s="234"/>
    </row>
    <row r="235" spans="1:40" s="1063" customFormat="1" ht="20.25">
      <c r="A235" s="316" t="s">
        <v>536</v>
      </c>
      <c r="B235" s="295"/>
      <c r="C235" s="295"/>
      <c r="D235" s="1077"/>
      <c r="E235" s="319"/>
      <c r="F235" s="320"/>
      <c r="G235" s="320"/>
      <c r="H235" s="321"/>
      <c r="I235" s="321"/>
      <c r="J235" s="320"/>
      <c r="K235" s="842"/>
      <c r="L235" s="351"/>
      <c r="M235" s="352"/>
      <c r="N235" s="353"/>
      <c r="O235" s="321"/>
      <c r="P235" s="321"/>
      <c r="Q235" s="321"/>
      <c r="R235" s="321"/>
      <c r="S235" s="321"/>
      <c r="T235" s="321"/>
      <c r="U235" s="351"/>
      <c r="V235" s="352"/>
      <c r="W235" s="319"/>
      <c r="X235" s="320"/>
      <c r="Y235" s="320"/>
      <c r="Z235" s="321"/>
      <c r="AA235" s="321"/>
      <c r="AB235" s="321"/>
      <c r="AC235" s="320"/>
      <c r="AD235" s="380"/>
      <c r="AE235" s="352"/>
      <c r="AF235" s="381">
        <f t="shared" si="39"/>
        <v>0</v>
      </c>
      <c r="AG235" s="381"/>
      <c r="AH235" s="408"/>
      <c r="AI235" s="409">
        <f t="shared" si="40"/>
        <v>0</v>
      </c>
      <c r="AJ235" s="410"/>
      <c r="AK235" s="411">
        <f t="shared" si="41"/>
        <v>0</v>
      </c>
      <c r="AL235" s="234"/>
      <c r="AM235" s="234"/>
      <c r="AN235" s="234"/>
    </row>
    <row r="236" spans="1:40" s="1063" customFormat="1" ht="20.25">
      <c r="A236" s="316" t="s">
        <v>536</v>
      </c>
      <c r="B236" s="295"/>
      <c r="C236" s="295"/>
      <c r="D236" s="1077"/>
      <c r="E236" s="319"/>
      <c r="F236" s="320"/>
      <c r="G236" s="320"/>
      <c r="H236" s="321"/>
      <c r="I236" s="321"/>
      <c r="J236" s="320"/>
      <c r="K236" s="842"/>
      <c r="L236" s="351"/>
      <c r="M236" s="352"/>
      <c r="N236" s="353"/>
      <c r="O236" s="321"/>
      <c r="P236" s="321"/>
      <c r="Q236" s="321"/>
      <c r="R236" s="321"/>
      <c r="S236" s="321"/>
      <c r="T236" s="321"/>
      <c r="U236" s="351"/>
      <c r="V236" s="352"/>
      <c r="W236" s="319"/>
      <c r="X236" s="320"/>
      <c r="Y236" s="320"/>
      <c r="Z236" s="321"/>
      <c r="AA236" s="321"/>
      <c r="AB236" s="321"/>
      <c r="AC236" s="320"/>
      <c r="AD236" s="380"/>
      <c r="AE236" s="352"/>
      <c r="AF236" s="381">
        <f t="shared" si="39"/>
        <v>0</v>
      </c>
      <c r="AG236" s="381"/>
      <c r="AH236" s="408"/>
      <c r="AI236" s="409">
        <f t="shared" si="40"/>
        <v>0</v>
      </c>
      <c r="AJ236" s="410"/>
      <c r="AK236" s="411">
        <f t="shared" si="41"/>
        <v>0</v>
      </c>
      <c r="AL236" s="234"/>
      <c r="AM236" s="234"/>
      <c r="AN236" s="234"/>
    </row>
    <row r="237" spans="1:40" s="1063" customFormat="1" ht="20.25">
      <c r="A237" s="316" t="s">
        <v>536</v>
      </c>
      <c r="B237" s="295"/>
      <c r="C237" s="295"/>
      <c r="D237" s="1077"/>
      <c r="E237" s="319"/>
      <c r="F237" s="320"/>
      <c r="G237" s="320"/>
      <c r="H237" s="321"/>
      <c r="I237" s="321"/>
      <c r="J237" s="320"/>
      <c r="K237" s="842"/>
      <c r="L237" s="351"/>
      <c r="M237" s="352"/>
      <c r="N237" s="353"/>
      <c r="O237" s="321"/>
      <c r="P237" s="321"/>
      <c r="Q237" s="321"/>
      <c r="R237" s="321"/>
      <c r="S237" s="321"/>
      <c r="T237" s="321"/>
      <c r="U237" s="351"/>
      <c r="V237" s="352"/>
      <c r="W237" s="319"/>
      <c r="X237" s="320"/>
      <c r="Y237" s="320"/>
      <c r="Z237" s="321"/>
      <c r="AA237" s="321"/>
      <c r="AB237" s="321"/>
      <c r="AC237" s="320"/>
      <c r="AD237" s="380"/>
      <c r="AE237" s="352"/>
      <c r="AF237" s="381">
        <f t="shared" si="39"/>
        <v>0</v>
      </c>
      <c r="AG237" s="381"/>
      <c r="AH237" s="408"/>
      <c r="AI237" s="409">
        <f t="shared" si="40"/>
        <v>0</v>
      </c>
      <c r="AJ237" s="410"/>
      <c r="AK237" s="411">
        <f t="shared" si="41"/>
        <v>0</v>
      </c>
      <c r="AL237" s="234"/>
      <c r="AM237" s="234"/>
      <c r="AN237" s="234"/>
    </row>
    <row r="238" spans="1:40" s="1063" customFormat="1" ht="21" thickBot="1">
      <c r="A238" s="316" t="s">
        <v>536</v>
      </c>
      <c r="B238" s="295"/>
      <c r="C238" s="295"/>
      <c r="D238" s="1077"/>
      <c r="E238" s="319"/>
      <c r="F238" s="320"/>
      <c r="G238" s="320"/>
      <c r="H238" s="321"/>
      <c r="I238" s="321"/>
      <c r="J238" s="320"/>
      <c r="K238" s="842"/>
      <c r="L238" s="351"/>
      <c r="M238" s="352"/>
      <c r="N238" s="353"/>
      <c r="O238" s="321"/>
      <c r="P238" s="321"/>
      <c r="Q238" s="321"/>
      <c r="R238" s="321"/>
      <c r="S238" s="321"/>
      <c r="T238" s="321"/>
      <c r="U238" s="351"/>
      <c r="V238" s="352"/>
      <c r="W238" s="319"/>
      <c r="X238" s="320"/>
      <c r="Y238" s="320"/>
      <c r="Z238" s="321"/>
      <c r="AA238" s="321"/>
      <c r="AB238" s="321"/>
      <c r="AC238" s="320"/>
      <c r="AD238" s="380"/>
      <c r="AE238" s="352"/>
      <c r="AF238" s="381">
        <f t="shared" si="39"/>
        <v>0</v>
      </c>
      <c r="AG238" s="381"/>
      <c r="AH238" s="408"/>
      <c r="AI238" s="409">
        <f t="shared" si="40"/>
        <v>0</v>
      </c>
      <c r="AJ238" s="410"/>
      <c r="AK238" s="411">
        <f t="shared" si="41"/>
        <v>0</v>
      </c>
      <c r="AL238" s="234"/>
      <c r="AM238" s="234"/>
      <c r="AN238" s="234"/>
    </row>
    <row r="239" spans="1:40" s="1063" customFormat="1" ht="21" thickBot="1">
      <c r="A239" s="316" t="s">
        <v>536</v>
      </c>
      <c r="B239" s="323"/>
      <c r="C239" s="323"/>
      <c r="D239" s="1078"/>
      <c r="E239" s="325"/>
      <c r="F239" s="297"/>
      <c r="G239" s="297"/>
      <c r="H239" s="298"/>
      <c r="I239" s="298"/>
      <c r="J239" s="297"/>
      <c r="K239" s="1086"/>
      <c r="L239" s="367"/>
      <c r="M239" s="355"/>
      <c r="N239" s="343"/>
      <c r="O239" s="298"/>
      <c r="P239" s="298"/>
      <c r="Q239" s="298"/>
      <c r="R239" s="298"/>
      <c r="S239" s="298"/>
      <c r="T239" s="298"/>
      <c r="U239" s="367"/>
      <c r="V239" s="355"/>
      <c r="W239" s="325"/>
      <c r="X239" s="297"/>
      <c r="Y239" s="297"/>
      <c r="Z239" s="298"/>
      <c r="AA239" s="298"/>
      <c r="AB239" s="298"/>
      <c r="AC239" s="297"/>
      <c r="AD239" s="375"/>
      <c r="AE239" s="355"/>
      <c r="AF239" s="376">
        <f t="shared" si="39"/>
        <v>0</v>
      </c>
      <c r="AG239" s="377"/>
      <c r="AH239" s="390"/>
      <c r="AI239" s="391">
        <f t="shared" si="40"/>
        <v>0</v>
      </c>
      <c r="AJ239" s="412"/>
      <c r="AK239" s="413">
        <f t="shared" si="41"/>
        <v>0</v>
      </c>
      <c r="AL239" s="414" t="s">
        <v>8</v>
      </c>
      <c r="AM239" s="397" t="s">
        <v>23</v>
      </c>
      <c r="AN239" s="415" t="s">
        <v>174</v>
      </c>
    </row>
    <row r="240" spans="1:40" ht="19.5" thickBot="1">
      <c r="A240" s="326" t="s">
        <v>534</v>
      </c>
      <c r="B240" s="327"/>
      <c r="C240" s="327"/>
      <c r="D240" s="328"/>
      <c r="E240" s="329">
        <f>SUM(E207:E239)</f>
        <v>0</v>
      </c>
      <c r="F240" s="329">
        <f t="shared" ref="F240:L240" si="42">SUM(F207:F239)</f>
        <v>0</v>
      </c>
      <c r="G240" s="329">
        <f t="shared" si="42"/>
        <v>0</v>
      </c>
      <c r="H240" s="329">
        <f t="shared" si="42"/>
        <v>0</v>
      </c>
      <c r="I240" s="329">
        <f t="shared" si="42"/>
        <v>0</v>
      </c>
      <c r="J240" s="329">
        <f t="shared" si="42"/>
        <v>0</v>
      </c>
      <c r="K240" s="329">
        <f t="shared" si="42"/>
        <v>0</v>
      </c>
      <c r="L240" s="329">
        <f t="shared" si="42"/>
        <v>0</v>
      </c>
      <c r="M240" s="357"/>
      <c r="N240" s="358">
        <f>SUM(N207:N239)</f>
        <v>0</v>
      </c>
      <c r="O240" s="359">
        <f t="shared" ref="O240:U240" si="43">SUM(O207:O239)</f>
        <v>0</v>
      </c>
      <c r="P240" s="359">
        <f t="shared" si="43"/>
        <v>0</v>
      </c>
      <c r="Q240" s="359">
        <f t="shared" si="43"/>
        <v>0</v>
      </c>
      <c r="R240" s="359">
        <f t="shared" si="43"/>
        <v>0</v>
      </c>
      <c r="S240" s="359">
        <f t="shared" si="43"/>
        <v>0</v>
      </c>
      <c r="T240" s="359">
        <f t="shared" si="43"/>
        <v>0</v>
      </c>
      <c r="U240" s="369">
        <f t="shared" si="43"/>
        <v>0</v>
      </c>
      <c r="V240" s="357"/>
      <c r="W240" s="358">
        <f>SUM(W207:W239)</f>
        <v>0</v>
      </c>
      <c r="X240" s="358">
        <f t="shared" ref="X240:AD240" si="44">SUM(X207:X239)</f>
        <v>0</v>
      </c>
      <c r="Y240" s="358">
        <f t="shared" si="44"/>
        <v>0</v>
      </c>
      <c r="Z240" s="358">
        <f t="shared" si="44"/>
        <v>0</v>
      </c>
      <c r="AA240" s="358">
        <f t="shared" si="44"/>
        <v>0</v>
      </c>
      <c r="AB240" s="358">
        <f t="shared" si="44"/>
        <v>0</v>
      </c>
      <c r="AC240" s="358">
        <f t="shared" si="44"/>
        <v>0</v>
      </c>
      <c r="AD240" s="358">
        <f t="shared" si="44"/>
        <v>0</v>
      </c>
      <c r="AE240" s="357"/>
      <c r="AF240" s="382">
        <f>SUM(AF207:AF239)</f>
        <v>0</v>
      </c>
      <c r="AG240" s="382">
        <f t="shared" ref="AG240:AK240" si="45">SUM(AG207:AG239)</f>
        <v>0</v>
      </c>
      <c r="AH240" s="416">
        <f t="shared" si="45"/>
        <v>0</v>
      </c>
      <c r="AI240" s="417">
        <f t="shared" si="45"/>
        <v>0</v>
      </c>
      <c r="AJ240" s="382">
        <f t="shared" si="45"/>
        <v>0</v>
      </c>
      <c r="AK240" s="418">
        <f t="shared" si="45"/>
        <v>0</v>
      </c>
      <c r="AL240" s="399">
        <f>'BIG CHAIR'!CL265</f>
        <v>704</v>
      </c>
      <c r="AM240" s="400">
        <f>'Tea Table'!X330</f>
        <v>0</v>
      </c>
      <c r="AN240" s="401">
        <f>AI240+AL240+AM240</f>
        <v>704</v>
      </c>
    </row>
    <row r="241" spans="1:40" ht="16.5" thickBot="1">
      <c r="A241" s="429" t="s">
        <v>179</v>
      </c>
      <c r="B241" s="287" t="s">
        <v>68</v>
      </c>
      <c r="C241" s="287" t="s">
        <v>69</v>
      </c>
      <c r="D241" s="3376" t="s">
        <v>70</v>
      </c>
      <c r="E241" s="743" t="s">
        <v>96</v>
      </c>
      <c r="F241" s="744" t="s">
        <v>124</v>
      </c>
      <c r="G241" s="744" t="s">
        <v>228</v>
      </c>
      <c r="H241" s="744" t="s">
        <v>149</v>
      </c>
      <c r="I241" s="744" t="s">
        <v>470</v>
      </c>
      <c r="J241" s="744" t="s">
        <v>92</v>
      </c>
      <c r="K241" s="50" t="s">
        <v>479</v>
      </c>
      <c r="L241" s="783" t="s">
        <v>497</v>
      </c>
      <c r="M241" s="578"/>
      <c r="N241" s="80" t="s">
        <v>71</v>
      </c>
      <c r="O241" s="49" t="s">
        <v>53</v>
      </c>
      <c r="P241" s="49" t="s">
        <v>118</v>
      </c>
      <c r="Q241" s="49" t="s">
        <v>407</v>
      </c>
      <c r="R241" s="49" t="s">
        <v>457</v>
      </c>
      <c r="S241" s="49" t="s">
        <v>94</v>
      </c>
      <c r="T241" s="126" t="s">
        <v>77</v>
      </c>
      <c r="U241" s="717" t="s">
        <v>482</v>
      </c>
      <c r="V241" s="578"/>
      <c r="W241" s="764" t="e">
        <f>#REF!</f>
        <v>#REF!</v>
      </c>
      <c r="X241" s="765" t="s">
        <v>96</v>
      </c>
      <c r="Y241" s="765" t="e">
        <f>#REF!</f>
        <v>#REF!</v>
      </c>
      <c r="Z241" s="49" t="s">
        <v>496</v>
      </c>
      <c r="AA241" s="765" t="e">
        <f>#REF!</f>
        <v>#REF!</v>
      </c>
      <c r="AB241" s="765" t="e">
        <f>#REF!</f>
        <v>#REF!</v>
      </c>
      <c r="AC241" s="765" t="e">
        <f>#REF!</f>
        <v>#REF!</v>
      </c>
      <c r="AD241" s="772" t="e">
        <f>#REF!</f>
        <v>#REF!</v>
      </c>
      <c r="AE241" s="79"/>
      <c r="AF241" s="371" t="s">
        <v>172</v>
      </c>
      <c r="AG241" s="372" t="s">
        <v>80</v>
      </c>
      <c r="AH241" s="385"/>
      <c r="AI241" s="386" t="s">
        <v>106</v>
      </c>
      <c r="AJ241" s="385" t="s">
        <v>173</v>
      </c>
      <c r="AK241" s="371" t="s">
        <v>108</v>
      </c>
      <c r="AL241" s="282"/>
      <c r="AM241" s="282"/>
      <c r="AN241" s="282"/>
    </row>
    <row r="242" spans="1:40" s="284" customFormat="1" ht="20.25">
      <c r="A242" s="322"/>
      <c r="B242" s="323"/>
      <c r="C242" s="323"/>
      <c r="D242" s="432"/>
      <c r="E242" s="1067"/>
      <c r="F242" s="1068"/>
      <c r="G242" s="1068"/>
      <c r="H242" s="1069"/>
      <c r="I242" s="1069"/>
      <c r="J242" s="1068"/>
      <c r="K242" s="1101"/>
      <c r="L242" s="1102"/>
      <c r="M242" s="355"/>
      <c r="N242" s="343"/>
      <c r="O242" s="298"/>
      <c r="P242" s="298"/>
      <c r="Q242" s="298"/>
      <c r="R242" s="298"/>
      <c r="S242" s="298"/>
      <c r="T242" s="298"/>
      <c r="U242" s="367"/>
      <c r="V242" s="355"/>
      <c r="W242" s="325"/>
      <c r="X242" s="297"/>
      <c r="Y242" s="297"/>
      <c r="Z242" s="298"/>
      <c r="AA242" s="298"/>
      <c r="AB242" s="298"/>
      <c r="AC242" s="297"/>
      <c r="AD242" s="375"/>
      <c r="AE242" s="355"/>
      <c r="AF242" s="377">
        <f t="shared" ref="AF242:AF244" si="46">SUM(E242:AD242)</f>
        <v>0</v>
      </c>
      <c r="AG242" s="377"/>
      <c r="AH242" s="390"/>
      <c r="AI242" s="507">
        <f t="shared" ref="AI242:AI246" si="47">AF242+AG242</f>
        <v>0</v>
      </c>
      <c r="AJ242" s="412"/>
      <c r="AK242" s="508">
        <f>AI242+AJ242</f>
        <v>0</v>
      </c>
      <c r="AL242" s="283"/>
      <c r="AM242" s="283"/>
      <c r="AN242" s="283"/>
    </row>
    <row r="243" spans="1:40" s="282" customFormat="1" ht="20.25">
      <c r="A243" s="322"/>
      <c r="B243" s="323"/>
      <c r="C243" s="323"/>
      <c r="D243" s="1078"/>
      <c r="E243" s="457"/>
      <c r="F243" s="458"/>
      <c r="G243" s="458"/>
      <c r="H243" s="459"/>
      <c r="I243" s="459"/>
      <c r="J243" s="458"/>
      <c r="K243" s="1085"/>
      <c r="L243" s="1103"/>
      <c r="M243" s="355"/>
      <c r="N243" s="343"/>
      <c r="O243" s="298"/>
      <c r="P243" s="298"/>
      <c r="Q243" s="298"/>
      <c r="R243" s="298"/>
      <c r="S243" s="298"/>
      <c r="T243" s="298"/>
      <c r="U243" s="367"/>
      <c r="V243" s="355"/>
      <c r="W243" s="325"/>
      <c r="X243" s="297"/>
      <c r="Y243" s="297"/>
      <c r="Z243" s="298"/>
      <c r="AA243" s="298"/>
      <c r="AB243" s="298"/>
      <c r="AC243" s="297"/>
      <c r="AD243" s="375"/>
      <c r="AE243" s="355"/>
      <c r="AF243" s="377">
        <f t="shared" ref="AF243" si="48">SUM(E243:AD243)</f>
        <v>0</v>
      </c>
      <c r="AG243" s="377"/>
      <c r="AH243" s="390"/>
      <c r="AI243" s="507">
        <f t="shared" si="47"/>
        <v>0</v>
      </c>
      <c r="AJ243" s="412"/>
      <c r="AK243" s="508">
        <f>AI243+AJ243</f>
        <v>0</v>
      </c>
      <c r="AL243" s="283"/>
      <c r="AM243" s="283"/>
      <c r="AN243" s="283"/>
    </row>
    <row r="244" spans="1:40" s="283" customFormat="1" ht="20.25">
      <c r="A244" s="322"/>
      <c r="B244" s="323"/>
      <c r="C244" s="323"/>
      <c r="D244" s="1078"/>
      <c r="E244" s="457"/>
      <c r="F244" s="458"/>
      <c r="G244" s="458"/>
      <c r="H244" s="459"/>
      <c r="I244" s="459"/>
      <c r="J244" s="458"/>
      <c r="K244" s="1085"/>
      <c r="L244" s="1103"/>
      <c r="M244" s="355"/>
      <c r="N244" s="343"/>
      <c r="O244" s="298"/>
      <c r="P244" s="298"/>
      <c r="Q244" s="298"/>
      <c r="R244" s="298"/>
      <c r="S244" s="298"/>
      <c r="T244" s="298"/>
      <c r="U244" s="367"/>
      <c r="V244" s="355"/>
      <c r="W244" s="325"/>
      <c r="X244" s="297"/>
      <c r="Y244" s="297"/>
      <c r="Z244" s="298"/>
      <c r="AA244" s="298"/>
      <c r="AB244" s="298"/>
      <c r="AC244" s="297"/>
      <c r="AD244" s="375"/>
      <c r="AE244" s="355"/>
      <c r="AF244" s="377">
        <f t="shared" si="46"/>
        <v>0</v>
      </c>
      <c r="AG244" s="377"/>
      <c r="AH244" s="390"/>
      <c r="AI244" s="507">
        <f t="shared" si="47"/>
        <v>0</v>
      </c>
      <c r="AJ244" s="412"/>
      <c r="AK244" s="508">
        <f>AI244+AJ244</f>
        <v>0</v>
      </c>
    </row>
    <row r="245" spans="1:40" s="283" customFormat="1" ht="20.25">
      <c r="A245" s="322"/>
      <c r="B245" s="323"/>
      <c r="C245" s="323"/>
      <c r="D245" s="1078"/>
      <c r="E245" s="457"/>
      <c r="F245" s="458"/>
      <c r="G245" s="458"/>
      <c r="H245" s="459"/>
      <c r="I245" s="459"/>
      <c r="J245" s="458"/>
      <c r="K245" s="1085"/>
      <c r="L245" s="486"/>
      <c r="M245" s="355"/>
      <c r="N245" s="343"/>
      <c r="O245" s="298"/>
      <c r="P245" s="298"/>
      <c r="Q245" s="298"/>
      <c r="R245" s="298"/>
      <c r="S245" s="298"/>
      <c r="T245" s="298"/>
      <c r="U245" s="367"/>
      <c r="V245" s="355"/>
      <c r="W245" s="325"/>
      <c r="X245" s="297"/>
      <c r="Y245" s="297"/>
      <c r="Z245" s="298"/>
      <c r="AA245" s="298"/>
      <c r="AB245" s="298"/>
      <c r="AC245" s="297"/>
      <c r="AD245" s="375"/>
      <c r="AE245" s="355"/>
      <c r="AF245" s="377">
        <f t="shared" ref="AF245:AF246" si="49">SUM(E245:AD245)</f>
        <v>0</v>
      </c>
      <c r="AG245" s="377"/>
      <c r="AH245" s="390"/>
      <c r="AI245" s="507">
        <f t="shared" si="47"/>
        <v>0</v>
      </c>
      <c r="AJ245" s="412"/>
      <c r="AK245" s="508">
        <f>AI245+AJ245</f>
        <v>0</v>
      </c>
    </row>
    <row r="246" spans="1:40" s="284" customFormat="1" ht="21" thickBot="1">
      <c r="A246" s="322"/>
      <c r="B246" s="323"/>
      <c r="C246" s="323"/>
      <c r="D246" s="1078"/>
      <c r="E246" s="325"/>
      <c r="F246" s="297"/>
      <c r="G246" s="297"/>
      <c r="H246" s="298"/>
      <c r="I246" s="298"/>
      <c r="J246" s="297"/>
      <c r="K246" s="1086"/>
      <c r="L246" s="344"/>
      <c r="M246" s="355"/>
      <c r="N246" s="343"/>
      <c r="O246" s="298"/>
      <c r="P246" s="298"/>
      <c r="Q246" s="298"/>
      <c r="R246" s="298"/>
      <c r="S246" s="298"/>
      <c r="T246" s="298"/>
      <c r="U246" s="367"/>
      <c r="V246" s="355"/>
      <c r="W246" s="325"/>
      <c r="X246" s="297"/>
      <c r="Y246" s="297"/>
      <c r="Z246" s="298"/>
      <c r="AA246" s="298"/>
      <c r="AB246" s="298"/>
      <c r="AC246" s="297"/>
      <c r="AD246" s="375"/>
      <c r="AE246" s="355"/>
      <c r="AF246" s="377">
        <f t="shared" si="49"/>
        <v>0</v>
      </c>
      <c r="AG246" s="377"/>
      <c r="AH246" s="390"/>
      <c r="AI246" s="507">
        <f t="shared" si="47"/>
        <v>0</v>
      </c>
      <c r="AJ246" s="412"/>
      <c r="AK246" s="508">
        <f t="shared" ref="AK246" si="50">AI246+AJ246</f>
        <v>0</v>
      </c>
      <c r="AL246" s="283"/>
      <c r="AM246" s="283"/>
      <c r="AN246" s="283"/>
    </row>
    <row r="247" spans="1:40" s="1" customFormat="1" ht="21" thickBot="1">
      <c r="A247" s="436"/>
      <c r="B247" s="437"/>
      <c r="C247" s="437"/>
      <c r="D247" s="1093"/>
      <c r="E247" s="439">
        <f>SUM(E242:E246)</f>
        <v>0</v>
      </c>
      <c r="F247" s="440">
        <f t="shared" ref="F247:L247" si="51">SUM(F242:F246)</f>
        <v>0</v>
      </c>
      <c r="G247" s="440">
        <f t="shared" si="51"/>
        <v>0</v>
      </c>
      <c r="H247" s="440">
        <f t="shared" si="51"/>
        <v>0</v>
      </c>
      <c r="I247" s="440">
        <f t="shared" si="51"/>
        <v>0</v>
      </c>
      <c r="J247" s="440">
        <f t="shared" si="51"/>
        <v>0</v>
      </c>
      <c r="K247" s="1104">
        <f t="shared" si="51"/>
        <v>0</v>
      </c>
      <c r="L247" s="481">
        <f t="shared" si="51"/>
        <v>0</v>
      </c>
      <c r="M247" s="482"/>
      <c r="N247" s="439">
        <f t="shared" ref="N247:U247" si="52">SUM(N242:N246)</f>
        <v>0</v>
      </c>
      <c r="O247" s="439">
        <f t="shared" si="52"/>
        <v>0</v>
      </c>
      <c r="P247" s="439">
        <f t="shared" si="52"/>
        <v>0</v>
      </c>
      <c r="Q247" s="439">
        <f t="shared" si="52"/>
        <v>0</v>
      </c>
      <c r="R247" s="439">
        <f t="shared" si="52"/>
        <v>0</v>
      </c>
      <c r="S247" s="439">
        <f t="shared" si="52"/>
        <v>0</v>
      </c>
      <c r="T247" s="439">
        <f t="shared" si="52"/>
        <v>0</v>
      </c>
      <c r="U247" s="439">
        <f t="shared" si="52"/>
        <v>0</v>
      </c>
      <c r="V247" s="482"/>
      <c r="W247" s="439">
        <f>SUM(W242:W246)</f>
        <v>0</v>
      </c>
      <c r="X247" s="440">
        <f t="shared" ref="X247:AD247" si="53">SUM(X242:X246)</f>
        <v>0</v>
      </c>
      <c r="Y247" s="440">
        <f t="shared" si="53"/>
        <v>0</v>
      </c>
      <c r="Z247" s="440">
        <f t="shared" si="53"/>
        <v>0</v>
      </c>
      <c r="AA247" s="440">
        <f t="shared" si="53"/>
        <v>0</v>
      </c>
      <c r="AB247" s="440">
        <f t="shared" si="53"/>
        <v>0</v>
      </c>
      <c r="AC247" s="440">
        <f t="shared" si="53"/>
        <v>0</v>
      </c>
      <c r="AD247" s="481">
        <f t="shared" si="53"/>
        <v>0</v>
      </c>
      <c r="AE247" s="482"/>
      <c r="AF247" s="494">
        <f>SUM(AF242:AF246)</f>
        <v>0</v>
      </c>
      <c r="AG247" s="494">
        <f>SUM(AG242:AG246)</f>
        <v>0</v>
      </c>
      <c r="AH247" s="494">
        <f t="shared" ref="AH247:AK247" si="54">SUM(AH242:AH246)</f>
        <v>0</v>
      </c>
      <c r="AI247" s="509">
        <f t="shared" si="54"/>
        <v>0</v>
      </c>
      <c r="AJ247" s="494">
        <f t="shared" si="54"/>
        <v>0</v>
      </c>
      <c r="AK247" s="509">
        <f t="shared" si="54"/>
        <v>0</v>
      </c>
      <c r="AL247" s="283"/>
      <c r="AM247" s="283"/>
      <c r="AN247" s="283"/>
    </row>
    <row r="248" spans="1:40" s="1" customFormat="1" ht="19.5" thickBot="1">
      <c r="A248" s="425"/>
      <c r="B248" s="426"/>
      <c r="C248" s="426"/>
      <c r="D248" s="427"/>
      <c r="E248" s="428"/>
      <c r="F248" s="428"/>
      <c r="G248" s="428"/>
      <c r="H248" s="428"/>
      <c r="I248" s="428"/>
      <c r="J248" s="428"/>
      <c r="K248" s="428"/>
      <c r="L248" s="428"/>
      <c r="M248" s="478"/>
      <c r="N248" s="479"/>
      <c r="O248" s="479"/>
      <c r="P248" s="479"/>
      <c r="Q248" s="479"/>
      <c r="R248" s="479"/>
      <c r="S248" s="479"/>
      <c r="T248" s="479"/>
      <c r="U248" s="479"/>
      <c r="V248" s="478"/>
      <c r="W248" s="479"/>
      <c r="X248" s="479"/>
      <c r="Y248" s="479"/>
      <c r="Z248" s="479"/>
      <c r="AA248" s="479"/>
      <c r="AB248" s="479"/>
      <c r="AC248" s="479"/>
      <c r="AD248" s="479"/>
      <c r="AE248" s="478"/>
      <c r="AF248" s="479"/>
      <c r="AG248" s="479"/>
      <c r="AH248" s="479"/>
      <c r="AI248" s="479"/>
      <c r="AJ248" s="479"/>
      <c r="AK248" s="506"/>
      <c r="AL248" s="403"/>
      <c r="AM248" s="403"/>
      <c r="AN248" s="403"/>
    </row>
    <row r="249" spans="1:40" ht="18.75" thickBot="1">
      <c r="A249" s="3377" t="s">
        <v>135</v>
      </c>
      <c r="B249" s="287" t="s">
        <v>68</v>
      </c>
      <c r="C249" s="287" t="s">
        <v>69</v>
      </c>
      <c r="D249" s="3376" t="s">
        <v>70</v>
      </c>
      <c r="E249" s="743" t="s">
        <v>96</v>
      </c>
      <c r="F249" s="744" t="s">
        <v>124</v>
      </c>
      <c r="G249" s="744" t="s">
        <v>228</v>
      </c>
      <c r="H249" s="744" t="s">
        <v>149</v>
      </c>
      <c r="I249" s="744" t="s">
        <v>470</v>
      </c>
      <c r="J249" s="744" t="s">
        <v>92</v>
      </c>
      <c r="K249" s="50" t="s">
        <v>479</v>
      </c>
      <c r="L249" s="783" t="s">
        <v>497</v>
      </c>
      <c r="M249" s="578"/>
      <c r="N249" s="80" t="s">
        <v>71</v>
      </c>
      <c r="O249" s="49" t="s">
        <v>53</v>
      </c>
      <c r="P249" s="49" t="s">
        <v>118</v>
      </c>
      <c r="Q249" s="49" t="s">
        <v>407</v>
      </c>
      <c r="R249" s="49" t="s">
        <v>457</v>
      </c>
      <c r="S249" s="49" t="s">
        <v>94</v>
      </c>
      <c r="T249" s="126" t="s">
        <v>77</v>
      </c>
      <c r="U249" s="717" t="s">
        <v>482</v>
      </c>
      <c r="V249" s="578"/>
      <c r="W249" s="764" t="e">
        <f>#REF!</f>
        <v>#REF!</v>
      </c>
      <c r="X249" s="765" t="s">
        <v>96</v>
      </c>
      <c r="Y249" s="765" t="e">
        <f>#REF!</f>
        <v>#REF!</v>
      </c>
      <c r="Z249" s="49" t="s">
        <v>496</v>
      </c>
      <c r="AA249" s="765" t="e">
        <f>#REF!</f>
        <v>#REF!</v>
      </c>
      <c r="AB249" s="765" t="e">
        <f>#REF!</f>
        <v>#REF!</v>
      </c>
      <c r="AC249" s="765" t="e">
        <f>#REF!</f>
        <v>#REF!</v>
      </c>
      <c r="AD249" s="772" t="e">
        <f>#REF!</f>
        <v>#REF!</v>
      </c>
      <c r="AE249" s="79"/>
      <c r="AF249" s="371" t="s">
        <v>172</v>
      </c>
      <c r="AG249" s="372" t="s">
        <v>80</v>
      </c>
      <c r="AH249" s="385"/>
      <c r="AI249" s="386" t="s">
        <v>106</v>
      </c>
      <c r="AJ249" s="385" t="s">
        <v>173</v>
      </c>
      <c r="AK249" s="371" t="s">
        <v>108</v>
      </c>
      <c r="AL249" s="282"/>
      <c r="AM249" s="282"/>
      <c r="AN249" s="282"/>
    </row>
    <row r="250" spans="1:40" ht="20.25">
      <c r="A250" s="442" t="s">
        <v>232</v>
      </c>
      <c r="B250" s="443"/>
      <c r="C250" s="443"/>
      <c r="D250" s="1094"/>
      <c r="E250" s="1067"/>
      <c r="F250" s="1068"/>
      <c r="G250" s="1068"/>
      <c r="H250" s="1069"/>
      <c r="I250" s="1069"/>
      <c r="J250" s="1068"/>
      <c r="K250" s="1101"/>
      <c r="L250" s="1102"/>
      <c r="M250" s="483"/>
      <c r="N250" s="484"/>
      <c r="O250" s="435"/>
      <c r="P250" s="435"/>
      <c r="Q250" s="435"/>
      <c r="R250" s="435"/>
      <c r="S250" s="435"/>
      <c r="T250" s="435"/>
      <c r="U250" s="492"/>
      <c r="V250" s="483"/>
      <c r="W250" s="433"/>
      <c r="X250" s="434"/>
      <c r="Y250" s="434"/>
      <c r="Z250" s="435"/>
      <c r="AA250" s="435"/>
      <c r="AB250" s="435"/>
      <c r="AC250" s="434"/>
      <c r="AD250" s="495"/>
      <c r="AE250" s="483"/>
      <c r="AF250" s="496">
        <f t="shared" ref="AF250:AF253" si="55">SUM(E250:AD250)</f>
        <v>0</v>
      </c>
      <c r="AG250" s="497"/>
      <c r="AH250" s="510"/>
      <c r="AI250" s="511">
        <f t="shared" ref="AI250:AI253" si="56">AF250+AG250</f>
        <v>0</v>
      </c>
      <c r="AJ250" s="512"/>
      <c r="AK250" s="513">
        <f>AI250+AJ250</f>
        <v>0</v>
      </c>
      <c r="AL250" s="283"/>
      <c r="AM250" s="283"/>
      <c r="AN250" s="283"/>
    </row>
    <row r="251" spans="1:40" ht="20.25">
      <c r="A251" s="445"/>
      <c r="B251" s="323"/>
      <c r="C251" s="323"/>
      <c r="D251" s="1078"/>
      <c r="E251" s="457"/>
      <c r="F251" s="458"/>
      <c r="G251" s="458"/>
      <c r="H251" s="459"/>
      <c r="I251" s="459"/>
      <c r="J251" s="458"/>
      <c r="K251" s="1085"/>
      <c r="L251" s="486"/>
      <c r="M251" s="355"/>
      <c r="N251" s="343"/>
      <c r="O251" s="298"/>
      <c r="P251" s="298"/>
      <c r="Q251" s="298"/>
      <c r="R251" s="298"/>
      <c r="S251" s="298"/>
      <c r="T251" s="298"/>
      <c r="U251" s="367"/>
      <c r="V251" s="355"/>
      <c r="W251" s="325"/>
      <c r="X251" s="297"/>
      <c r="Y251" s="297"/>
      <c r="Z251" s="298"/>
      <c r="AA251" s="298"/>
      <c r="AB251" s="298"/>
      <c r="AC251" s="297"/>
      <c r="AD251" s="375"/>
      <c r="AE251" s="355"/>
      <c r="AF251" s="376">
        <f t="shared" si="55"/>
        <v>0</v>
      </c>
      <c r="AG251" s="377"/>
      <c r="AH251" s="390"/>
      <c r="AI251" s="391">
        <f t="shared" si="56"/>
        <v>0</v>
      </c>
      <c r="AJ251" s="412"/>
      <c r="AK251" s="413">
        <f t="shared" ref="AK251:AK253" si="57">AI251+AJ251</f>
        <v>0</v>
      </c>
      <c r="AL251" s="283"/>
      <c r="AM251" s="283"/>
      <c r="AN251" s="283"/>
    </row>
    <row r="252" spans="1:40" ht="20.25">
      <c r="A252" s="445"/>
      <c r="B252" s="323"/>
      <c r="C252" s="323"/>
      <c r="D252" s="1078"/>
      <c r="E252" s="457"/>
      <c r="F252" s="458"/>
      <c r="G252" s="458"/>
      <c r="H252" s="459"/>
      <c r="I252" s="459"/>
      <c r="J252" s="458"/>
      <c r="K252" s="1085"/>
      <c r="L252" s="486"/>
      <c r="M252" s="355"/>
      <c r="N252" s="343"/>
      <c r="O252" s="298"/>
      <c r="P252" s="298"/>
      <c r="Q252" s="298"/>
      <c r="R252" s="298"/>
      <c r="S252" s="298"/>
      <c r="T252" s="298"/>
      <c r="U252" s="367"/>
      <c r="V252" s="355"/>
      <c r="W252" s="325"/>
      <c r="X252" s="297"/>
      <c r="Y252" s="297"/>
      <c r="Z252" s="298"/>
      <c r="AA252" s="298"/>
      <c r="AB252" s="298"/>
      <c r="AC252" s="297"/>
      <c r="AD252" s="375"/>
      <c r="AE252" s="355"/>
      <c r="AF252" s="376">
        <f t="shared" si="55"/>
        <v>0</v>
      </c>
      <c r="AG252" s="377"/>
      <c r="AH252" s="390"/>
      <c r="AI252" s="391">
        <f t="shared" si="56"/>
        <v>0</v>
      </c>
      <c r="AJ252" s="412"/>
      <c r="AK252" s="413">
        <f t="shared" si="57"/>
        <v>0</v>
      </c>
      <c r="AL252" s="283"/>
      <c r="AM252" s="283"/>
      <c r="AN252" s="283"/>
    </row>
    <row r="253" spans="1:40" ht="21" thickBot="1">
      <c r="A253" s="322"/>
      <c r="B253" s="323"/>
      <c r="C253" s="323"/>
      <c r="D253" s="1078"/>
      <c r="E253" s="325"/>
      <c r="F253" s="297"/>
      <c r="G253" s="297"/>
      <c r="H253" s="298"/>
      <c r="I253" s="298"/>
      <c r="J253" s="297"/>
      <c r="K253" s="1086"/>
      <c r="L253" s="344"/>
      <c r="M253" s="355"/>
      <c r="N253" s="343"/>
      <c r="O253" s="298"/>
      <c r="P253" s="298"/>
      <c r="Q253" s="298"/>
      <c r="R253" s="298"/>
      <c r="S253" s="298"/>
      <c r="T253" s="298"/>
      <c r="U253" s="367"/>
      <c r="V253" s="355"/>
      <c r="W253" s="325"/>
      <c r="X253" s="297"/>
      <c r="Y253" s="297"/>
      <c r="Z253" s="298"/>
      <c r="AA253" s="298"/>
      <c r="AB253" s="298"/>
      <c r="AC253" s="297"/>
      <c r="AD253" s="375"/>
      <c r="AE253" s="355"/>
      <c r="AF253" s="377">
        <f t="shared" si="55"/>
        <v>0</v>
      </c>
      <c r="AG253" s="377"/>
      <c r="AH253" s="390"/>
      <c r="AI253" s="507">
        <f t="shared" si="56"/>
        <v>0</v>
      </c>
      <c r="AJ253" s="412"/>
      <c r="AK253" s="508">
        <f t="shared" si="57"/>
        <v>0</v>
      </c>
      <c r="AL253" s="283"/>
      <c r="AM253" s="283"/>
      <c r="AN253" s="283"/>
    </row>
    <row r="254" spans="1:40" ht="21" customHeight="1" thickBot="1">
      <c r="A254" s="436"/>
      <c r="B254" s="437"/>
      <c r="C254" s="437"/>
      <c r="D254" s="1093"/>
      <c r="E254" s="439">
        <f>SUM(E250:E253)</f>
        <v>0</v>
      </c>
      <c r="F254" s="439">
        <f t="shared" ref="F254:L254" si="58">SUM(F250:F253)</f>
        <v>0</v>
      </c>
      <c r="G254" s="439">
        <f t="shared" si="58"/>
        <v>0</v>
      </c>
      <c r="H254" s="439">
        <f t="shared" si="58"/>
        <v>0</v>
      </c>
      <c r="I254" s="439">
        <f t="shared" si="58"/>
        <v>0</v>
      </c>
      <c r="J254" s="439">
        <f t="shared" si="58"/>
        <v>0</v>
      </c>
      <c r="K254" s="439">
        <f t="shared" si="58"/>
        <v>0</v>
      </c>
      <c r="L254" s="439">
        <f t="shared" si="58"/>
        <v>0</v>
      </c>
      <c r="M254" s="482"/>
      <c r="N254" s="439">
        <f>SUM(N250:N253)</f>
        <v>0</v>
      </c>
      <c r="O254" s="439">
        <f t="shared" ref="O254:U254" si="59">SUM(O250:O253)</f>
        <v>0</v>
      </c>
      <c r="P254" s="439">
        <f t="shared" si="59"/>
        <v>0</v>
      </c>
      <c r="Q254" s="439">
        <f t="shared" si="59"/>
        <v>0</v>
      </c>
      <c r="R254" s="439">
        <f t="shared" si="59"/>
        <v>0</v>
      </c>
      <c r="S254" s="439">
        <f t="shared" si="59"/>
        <v>0</v>
      </c>
      <c r="T254" s="439">
        <f t="shared" si="59"/>
        <v>0</v>
      </c>
      <c r="U254" s="439">
        <f t="shared" si="59"/>
        <v>0</v>
      </c>
      <c r="V254" s="482"/>
      <c r="W254" s="439">
        <f>SUM(W250:W253)</f>
        <v>0</v>
      </c>
      <c r="X254" s="439">
        <f t="shared" ref="X254:AD254" si="60">SUM(X250:X253)</f>
        <v>0</v>
      </c>
      <c r="Y254" s="439">
        <f t="shared" si="60"/>
        <v>0</v>
      </c>
      <c r="Z254" s="439">
        <f t="shared" si="60"/>
        <v>0</v>
      </c>
      <c r="AA254" s="439">
        <f t="shared" si="60"/>
        <v>0</v>
      </c>
      <c r="AB254" s="439">
        <f t="shared" si="60"/>
        <v>0</v>
      </c>
      <c r="AC254" s="439">
        <f t="shared" si="60"/>
        <v>0</v>
      </c>
      <c r="AD254" s="481">
        <f t="shared" si="60"/>
        <v>0</v>
      </c>
      <c r="AE254" s="482"/>
      <c r="AF254" s="494">
        <f>SUM(AF250:AF253)</f>
        <v>0</v>
      </c>
      <c r="AG254" s="494">
        <f>SUM(AG250:AG253)</f>
        <v>0</v>
      </c>
      <c r="AH254" s="509"/>
      <c r="AI254" s="514">
        <f>SUM(AI250:AI253)</f>
        <v>0</v>
      </c>
      <c r="AJ254" s="494">
        <f>SUM(AJ250:AJ253)</f>
        <v>0</v>
      </c>
      <c r="AK254" s="515">
        <f>SUM(AK250:AK253)</f>
        <v>0</v>
      </c>
      <c r="AL254" s="283"/>
      <c r="AM254" s="283"/>
      <c r="AN254" s="283"/>
    </row>
    <row r="255" spans="1:40" ht="19.5" thickBot="1">
      <c r="A255" s="425"/>
      <c r="B255" s="426"/>
      <c r="C255" s="426"/>
      <c r="D255" s="427"/>
      <c r="E255" s="428"/>
      <c r="F255" s="428"/>
      <c r="G255" s="428"/>
      <c r="H255" s="428"/>
      <c r="I255" s="428"/>
      <c r="J255" s="428"/>
      <c r="K255" s="428"/>
      <c r="L255" s="428"/>
      <c r="M255" s="478"/>
      <c r="N255" s="479"/>
      <c r="O255" s="479"/>
      <c r="P255" s="479"/>
      <c r="Q255" s="479"/>
      <c r="R255" s="479"/>
      <c r="S255" s="479"/>
      <c r="T255" s="479"/>
      <c r="U255" s="479"/>
      <c r="V255" s="478"/>
      <c r="W255" s="479"/>
      <c r="X255" s="479"/>
      <c r="Y255" s="479"/>
      <c r="Z255" s="479"/>
      <c r="AA255" s="479"/>
      <c r="AB255" s="479"/>
      <c r="AC255" s="479"/>
      <c r="AD255" s="479"/>
      <c r="AE255" s="478"/>
      <c r="AF255" s="479"/>
      <c r="AG255" s="479"/>
      <c r="AH255" s="479"/>
      <c r="AI255" s="479"/>
      <c r="AJ255" s="479"/>
      <c r="AK255" s="506"/>
      <c r="AL255" s="403"/>
      <c r="AM255" s="403"/>
      <c r="AN255" s="403"/>
    </row>
    <row r="256" spans="1:40" ht="16.5" thickBot="1">
      <c r="A256" s="446" t="s">
        <v>140</v>
      </c>
      <c r="B256" s="287" t="s">
        <v>68</v>
      </c>
      <c r="C256" s="447" t="s">
        <v>69</v>
      </c>
      <c r="D256" s="1095" t="s">
        <v>70</v>
      </c>
      <c r="E256" s="743" t="s">
        <v>96</v>
      </c>
      <c r="F256" s="744" t="s">
        <v>124</v>
      </c>
      <c r="G256" s="744" t="s">
        <v>228</v>
      </c>
      <c r="H256" s="744" t="s">
        <v>149</v>
      </c>
      <c r="I256" s="744" t="s">
        <v>470</v>
      </c>
      <c r="J256" s="744" t="s">
        <v>92</v>
      </c>
      <c r="K256" s="50" t="s">
        <v>479</v>
      </c>
      <c r="L256" s="783" t="s">
        <v>497</v>
      </c>
      <c r="M256" s="578"/>
      <c r="N256" s="80" t="s">
        <v>71</v>
      </c>
      <c r="O256" s="49" t="s">
        <v>53</v>
      </c>
      <c r="P256" s="49" t="s">
        <v>118</v>
      </c>
      <c r="Q256" s="49" t="s">
        <v>407</v>
      </c>
      <c r="R256" s="49" t="s">
        <v>457</v>
      </c>
      <c r="S256" s="49" t="s">
        <v>94</v>
      </c>
      <c r="T256" s="126" t="s">
        <v>77</v>
      </c>
      <c r="U256" s="717" t="s">
        <v>482</v>
      </c>
      <c r="V256" s="578"/>
      <c r="W256" s="764" t="e">
        <f>#REF!</f>
        <v>#REF!</v>
      </c>
      <c r="X256" s="765" t="s">
        <v>96</v>
      </c>
      <c r="Y256" s="765" t="e">
        <f>#REF!</f>
        <v>#REF!</v>
      </c>
      <c r="Z256" s="49" t="s">
        <v>496</v>
      </c>
      <c r="AA256" s="765" t="e">
        <f>#REF!</f>
        <v>#REF!</v>
      </c>
      <c r="AB256" s="765" t="e">
        <f>#REF!</f>
        <v>#REF!</v>
      </c>
      <c r="AC256" s="765" t="e">
        <f>#REF!</f>
        <v>#REF!</v>
      </c>
      <c r="AD256" s="772" t="e">
        <f>#REF!</f>
        <v>#REF!</v>
      </c>
      <c r="AE256" s="79"/>
      <c r="AF256" s="371" t="s">
        <v>172</v>
      </c>
      <c r="AG256" s="498" t="s">
        <v>80</v>
      </c>
      <c r="AH256" s="385"/>
      <c r="AI256" s="386" t="s">
        <v>106</v>
      </c>
      <c r="AJ256" s="385" t="s">
        <v>173</v>
      </c>
      <c r="AK256" s="371" t="s">
        <v>108</v>
      </c>
      <c r="AL256" s="282"/>
      <c r="AM256" s="282"/>
      <c r="AN256" s="282"/>
    </row>
    <row r="257" spans="1:40" ht="20.25">
      <c r="A257" s="449" t="s">
        <v>180</v>
      </c>
      <c r="B257" s="450"/>
      <c r="C257" s="450"/>
      <c r="D257" s="451"/>
      <c r="E257" s="1067"/>
      <c r="F257" s="1068"/>
      <c r="G257" s="1068"/>
      <c r="H257" s="1069"/>
      <c r="I257" s="1069"/>
      <c r="J257" s="1068"/>
      <c r="K257" s="1101"/>
      <c r="L257" s="1102"/>
      <c r="M257" s="355"/>
      <c r="N257" s="343"/>
      <c r="O257" s="298"/>
      <c r="P257" s="298"/>
      <c r="Q257" s="298"/>
      <c r="R257" s="298"/>
      <c r="S257" s="298"/>
      <c r="T257" s="298"/>
      <c r="U257" s="367"/>
      <c r="V257" s="355"/>
      <c r="W257" s="325"/>
      <c r="X257" s="297"/>
      <c r="Y257" s="297"/>
      <c r="Z257" s="298"/>
      <c r="AA257" s="298"/>
      <c r="AB257" s="298"/>
      <c r="AC257" s="297"/>
      <c r="AD257" s="375"/>
      <c r="AE257" s="355"/>
      <c r="AF257" s="376">
        <f t="shared" ref="AF257:AF262" si="61">SUM(E257:AD257)</f>
        <v>0</v>
      </c>
      <c r="AG257" s="499"/>
      <c r="AH257" s="516"/>
      <c r="AI257" s="391">
        <f t="shared" ref="AI257:AI262" si="62">AF257+AG257</f>
        <v>0</v>
      </c>
      <c r="AJ257" s="412"/>
      <c r="AK257" s="413">
        <f>AI257+AJ257</f>
        <v>0</v>
      </c>
      <c r="AL257" s="283"/>
      <c r="AM257" s="283"/>
      <c r="AN257" s="283"/>
    </row>
    <row r="258" spans="1:40" ht="20.25">
      <c r="A258" s="445"/>
      <c r="B258" s="455"/>
      <c r="C258" s="455"/>
      <c r="D258" s="456"/>
      <c r="E258" s="457"/>
      <c r="F258" s="458"/>
      <c r="G258" s="458"/>
      <c r="H258" s="459"/>
      <c r="I258" s="459"/>
      <c r="J258" s="458"/>
      <c r="K258" s="1085"/>
      <c r="L258" s="486"/>
      <c r="M258" s="355"/>
      <c r="N258" s="343"/>
      <c r="O258" s="298"/>
      <c r="P258" s="298"/>
      <c r="Q258" s="298"/>
      <c r="R258" s="298"/>
      <c r="S258" s="298"/>
      <c r="T258" s="298"/>
      <c r="U258" s="367"/>
      <c r="V258" s="355"/>
      <c r="W258" s="325"/>
      <c r="X258" s="297"/>
      <c r="Y258" s="297"/>
      <c r="Z258" s="298"/>
      <c r="AA258" s="298"/>
      <c r="AB258" s="298"/>
      <c r="AC258" s="297"/>
      <c r="AD258" s="375"/>
      <c r="AE258" s="355"/>
      <c r="AF258" s="376">
        <f t="shared" si="61"/>
        <v>0</v>
      </c>
      <c r="AG258" s="500"/>
      <c r="AH258" s="516"/>
      <c r="AI258" s="391">
        <f t="shared" si="62"/>
        <v>0</v>
      </c>
      <c r="AJ258" s="412"/>
      <c r="AK258" s="413">
        <f t="shared" ref="AK258:AK262" si="63">AI258+AJ258</f>
        <v>0</v>
      </c>
      <c r="AL258" s="283"/>
      <c r="AM258" s="283"/>
      <c r="AN258" s="283"/>
    </row>
    <row r="259" spans="1:40" ht="20.25">
      <c r="A259" s="442"/>
      <c r="B259" s="455"/>
      <c r="C259" s="455"/>
      <c r="D259" s="456"/>
      <c r="E259" s="457"/>
      <c r="F259" s="458"/>
      <c r="G259" s="458"/>
      <c r="H259" s="459"/>
      <c r="I259" s="459"/>
      <c r="J259" s="458"/>
      <c r="K259" s="1085"/>
      <c r="L259" s="486"/>
      <c r="M259" s="483"/>
      <c r="N259" s="484"/>
      <c r="O259" s="435"/>
      <c r="P259" s="435"/>
      <c r="Q259" s="435"/>
      <c r="R259" s="435"/>
      <c r="S259" s="435"/>
      <c r="T259" s="435"/>
      <c r="U259" s="492"/>
      <c r="V259" s="483"/>
      <c r="W259" s="433"/>
      <c r="X259" s="434"/>
      <c r="Y259" s="434"/>
      <c r="Z259" s="435"/>
      <c r="AA259" s="435"/>
      <c r="AB259" s="435"/>
      <c r="AC259" s="434"/>
      <c r="AD259" s="495"/>
      <c r="AE259" s="483"/>
      <c r="AF259" s="496">
        <f t="shared" si="61"/>
        <v>0</v>
      </c>
      <c r="AG259" s="500"/>
      <c r="AH259" s="516"/>
      <c r="AI259" s="511">
        <f t="shared" si="62"/>
        <v>0</v>
      </c>
      <c r="AJ259" s="412"/>
      <c r="AK259" s="513">
        <f t="shared" si="63"/>
        <v>0</v>
      </c>
      <c r="AL259" s="283"/>
      <c r="AM259" s="283"/>
      <c r="AN259" s="283"/>
    </row>
    <row r="260" spans="1:40" ht="20.25">
      <c r="A260" s="445"/>
      <c r="B260" s="455"/>
      <c r="C260" s="455"/>
      <c r="D260" s="456"/>
      <c r="E260" s="457"/>
      <c r="F260" s="458"/>
      <c r="G260" s="458"/>
      <c r="H260" s="459"/>
      <c r="I260" s="459"/>
      <c r="J260" s="458"/>
      <c r="K260" s="1085"/>
      <c r="L260" s="486"/>
      <c r="M260" s="355"/>
      <c r="N260" s="343"/>
      <c r="O260" s="298"/>
      <c r="P260" s="298"/>
      <c r="Q260" s="298"/>
      <c r="R260" s="298"/>
      <c r="S260" s="298"/>
      <c r="T260" s="298"/>
      <c r="U260" s="367"/>
      <c r="V260" s="355"/>
      <c r="W260" s="325"/>
      <c r="X260" s="297"/>
      <c r="Y260" s="297"/>
      <c r="Z260" s="298"/>
      <c r="AA260" s="298"/>
      <c r="AB260" s="298"/>
      <c r="AC260" s="297"/>
      <c r="AD260" s="375"/>
      <c r="AE260" s="355"/>
      <c r="AF260" s="376">
        <f t="shared" si="61"/>
        <v>0</v>
      </c>
      <c r="AG260" s="500"/>
      <c r="AH260" s="516"/>
      <c r="AI260" s="391">
        <f t="shared" si="62"/>
        <v>0</v>
      </c>
      <c r="AJ260" s="412"/>
      <c r="AK260" s="413">
        <f t="shared" si="63"/>
        <v>0</v>
      </c>
      <c r="AL260" s="283"/>
      <c r="AM260" s="283"/>
      <c r="AN260" s="283"/>
    </row>
    <row r="261" spans="1:40" ht="20.25">
      <c r="A261" s="445"/>
      <c r="B261" s="455"/>
      <c r="C261" s="455"/>
      <c r="D261" s="456"/>
      <c r="E261" s="457"/>
      <c r="F261" s="458"/>
      <c r="G261" s="458"/>
      <c r="H261" s="459"/>
      <c r="I261" s="459"/>
      <c r="J261" s="458"/>
      <c r="K261" s="1085"/>
      <c r="L261" s="486"/>
      <c r="M261" s="355"/>
      <c r="N261" s="343"/>
      <c r="O261" s="298"/>
      <c r="P261" s="298"/>
      <c r="Q261" s="298"/>
      <c r="R261" s="298"/>
      <c r="S261" s="298"/>
      <c r="T261" s="298"/>
      <c r="U261" s="367"/>
      <c r="V261" s="355"/>
      <c r="W261" s="325"/>
      <c r="X261" s="297"/>
      <c r="Y261" s="297"/>
      <c r="Z261" s="298"/>
      <c r="AA261" s="298"/>
      <c r="AB261" s="298"/>
      <c r="AC261" s="297"/>
      <c r="AD261" s="375"/>
      <c r="AE261" s="355"/>
      <c r="AF261" s="376">
        <f t="shared" si="61"/>
        <v>0</v>
      </c>
      <c r="AG261" s="500"/>
      <c r="AH261" s="516"/>
      <c r="AI261" s="391">
        <f t="shared" si="62"/>
        <v>0</v>
      </c>
      <c r="AJ261" s="412"/>
      <c r="AK261" s="413">
        <f t="shared" si="63"/>
        <v>0</v>
      </c>
      <c r="AL261" s="283"/>
      <c r="AM261" s="283"/>
      <c r="AN261" s="283"/>
    </row>
    <row r="262" spans="1:40" ht="21" thickBot="1">
      <c r="A262" s="460"/>
      <c r="B262" s="461"/>
      <c r="C262" s="461"/>
      <c r="D262" s="462"/>
      <c r="E262" s="325"/>
      <c r="F262" s="297"/>
      <c r="G262" s="297"/>
      <c r="H262" s="298"/>
      <c r="I262" s="298"/>
      <c r="J262" s="297"/>
      <c r="K262" s="1086"/>
      <c r="L262" s="344"/>
      <c r="M262" s="355"/>
      <c r="N262" s="343"/>
      <c r="O262" s="298"/>
      <c r="P262" s="298"/>
      <c r="Q262" s="298"/>
      <c r="R262" s="298"/>
      <c r="S262" s="298"/>
      <c r="T262" s="298"/>
      <c r="U262" s="367"/>
      <c r="V262" s="355"/>
      <c r="W262" s="325"/>
      <c r="X262" s="297"/>
      <c r="Y262" s="297"/>
      <c r="Z262" s="298"/>
      <c r="AA262" s="298"/>
      <c r="AB262" s="298"/>
      <c r="AC262" s="297"/>
      <c r="AD262" s="375"/>
      <c r="AE262" s="355"/>
      <c r="AF262" s="377">
        <f t="shared" si="61"/>
        <v>0</v>
      </c>
      <c r="AG262" s="501"/>
      <c r="AH262" s="516"/>
      <c r="AI262" s="507">
        <f t="shared" si="62"/>
        <v>0</v>
      </c>
      <c r="AJ262" s="412"/>
      <c r="AK262" s="508">
        <f t="shared" si="63"/>
        <v>0</v>
      </c>
      <c r="AL262" s="283"/>
      <c r="AM262" s="283"/>
      <c r="AN262" s="283"/>
    </row>
    <row r="263" spans="1:40" ht="21" thickBot="1">
      <c r="A263" s="466"/>
      <c r="B263" s="467"/>
      <c r="C263" s="467"/>
      <c r="D263" s="1096"/>
      <c r="E263" s="439">
        <f>SUM(E257:E262)</f>
        <v>0</v>
      </c>
      <c r="F263" s="439">
        <f t="shared" ref="F263:AK263" si="64">SUM(F257:F262)</f>
        <v>0</v>
      </c>
      <c r="G263" s="439">
        <f t="shared" si="64"/>
        <v>0</v>
      </c>
      <c r="H263" s="439">
        <f t="shared" si="64"/>
        <v>0</v>
      </c>
      <c r="I263" s="439">
        <f t="shared" si="64"/>
        <v>0</v>
      </c>
      <c r="J263" s="439">
        <f t="shared" si="64"/>
        <v>0</v>
      </c>
      <c r="K263" s="439">
        <f t="shared" si="64"/>
        <v>0</v>
      </c>
      <c r="L263" s="439">
        <f t="shared" si="64"/>
        <v>0</v>
      </c>
      <c r="M263" s="439"/>
      <c r="N263" s="439">
        <f t="shared" si="64"/>
        <v>0</v>
      </c>
      <c r="O263" s="439">
        <f t="shared" si="64"/>
        <v>0</v>
      </c>
      <c r="P263" s="439">
        <f t="shared" si="64"/>
        <v>0</v>
      </c>
      <c r="Q263" s="439">
        <f t="shared" si="64"/>
        <v>0</v>
      </c>
      <c r="R263" s="439">
        <f t="shared" si="64"/>
        <v>0</v>
      </c>
      <c r="S263" s="439">
        <f t="shared" si="64"/>
        <v>0</v>
      </c>
      <c r="T263" s="439">
        <f t="shared" si="64"/>
        <v>0</v>
      </c>
      <c r="U263" s="439">
        <f t="shared" si="64"/>
        <v>0</v>
      </c>
      <c r="V263" s="439"/>
      <c r="W263" s="439">
        <f t="shared" si="64"/>
        <v>0</v>
      </c>
      <c r="X263" s="439">
        <f t="shared" si="64"/>
        <v>0</v>
      </c>
      <c r="Y263" s="439">
        <f t="shared" si="64"/>
        <v>0</v>
      </c>
      <c r="Z263" s="439">
        <f t="shared" si="64"/>
        <v>0</v>
      </c>
      <c r="AA263" s="439">
        <f t="shared" si="64"/>
        <v>0</v>
      </c>
      <c r="AB263" s="439">
        <f t="shared" si="64"/>
        <v>0</v>
      </c>
      <c r="AC263" s="439">
        <f t="shared" si="64"/>
        <v>0</v>
      </c>
      <c r="AD263" s="439">
        <f t="shared" si="64"/>
        <v>0</v>
      </c>
      <c r="AE263" s="439"/>
      <c r="AF263" s="439">
        <f t="shared" si="64"/>
        <v>0</v>
      </c>
      <c r="AG263" s="439">
        <f t="shared" si="64"/>
        <v>0</v>
      </c>
      <c r="AH263" s="439">
        <f t="shared" si="64"/>
        <v>0</v>
      </c>
      <c r="AI263" s="439">
        <f t="shared" si="64"/>
        <v>0</v>
      </c>
      <c r="AJ263" s="439">
        <f t="shared" si="64"/>
        <v>0</v>
      </c>
      <c r="AK263" s="439">
        <f t="shared" si="64"/>
        <v>0</v>
      </c>
      <c r="AL263" s="283"/>
      <c r="AM263" s="283"/>
      <c r="AN263" s="283"/>
    </row>
    <row r="264" spans="1:40" ht="19.5" thickBot="1">
      <c r="A264" s="425"/>
      <c r="B264" s="426"/>
      <c r="C264" s="426"/>
      <c r="D264" s="427"/>
      <c r="E264" s="428"/>
      <c r="F264" s="428"/>
      <c r="G264" s="428"/>
      <c r="H264" s="428"/>
      <c r="I264" s="428"/>
      <c r="J264" s="428"/>
      <c r="K264" s="428"/>
      <c r="L264" s="428"/>
      <c r="M264" s="478"/>
      <c r="N264" s="479"/>
      <c r="O264" s="479"/>
      <c r="P264" s="479"/>
      <c r="Q264" s="479"/>
      <c r="R264" s="479"/>
      <c r="S264" s="479"/>
      <c r="T264" s="479"/>
      <c r="U264" s="479"/>
      <c r="V264" s="478"/>
      <c r="W264" s="479"/>
      <c r="X264" s="479"/>
      <c r="Y264" s="479"/>
      <c r="Z264" s="479"/>
      <c r="AA264" s="479"/>
      <c r="AB264" s="479"/>
      <c r="AC264" s="479"/>
      <c r="AD264" s="479"/>
      <c r="AE264" s="478"/>
      <c r="AF264" s="479"/>
      <c r="AG264" s="479"/>
      <c r="AH264" s="479"/>
      <c r="AI264" s="479"/>
      <c r="AJ264" s="479"/>
      <c r="AK264" s="506"/>
      <c r="AL264" s="403"/>
      <c r="AM264" s="403"/>
      <c r="AN264" s="403"/>
    </row>
    <row r="265" spans="1:40" ht="18.75" thickBot="1">
      <c r="A265" s="3377" t="s">
        <v>143</v>
      </c>
      <c r="B265" s="287" t="s">
        <v>68</v>
      </c>
      <c r="C265" s="287" t="s">
        <v>69</v>
      </c>
      <c r="D265" s="3376" t="s">
        <v>70</v>
      </c>
      <c r="E265" s="743" t="s">
        <v>96</v>
      </c>
      <c r="F265" s="744" t="s">
        <v>124</v>
      </c>
      <c r="G265" s="744" t="s">
        <v>228</v>
      </c>
      <c r="H265" s="744" t="s">
        <v>149</v>
      </c>
      <c r="I265" s="744" t="s">
        <v>470</v>
      </c>
      <c r="J265" s="744" t="s">
        <v>92</v>
      </c>
      <c r="K265" s="50" t="s">
        <v>479</v>
      </c>
      <c r="L265" s="783" t="s">
        <v>497</v>
      </c>
      <c r="M265" s="578"/>
      <c r="N265" s="80" t="s">
        <v>71</v>
      </c>
      <c r="O265" s="49" t="s">
        <v>53</v>
      </c>
      <c r="P265" s="49" t="s">
        <v>118</v>
      </c>
      <c r="Q265" s="49" t="s">
        <v>407</v>
      </c>
      <c r="R265" s="49" t="s">
        <v>457</v>
      </c>
      <c r="S265" s="49" t="s">
        <v>94</v>
      </c>
      <c r="T265" s="126" t="s">
        <v>77</v>
      </c>
      <c r="U265" s="717" t="s">
        <v>482</v>
      </c>
      <c r="V265" s="578"/>
      <c r="W265" s="764" t="e">
        <f>#REF!</f>
        <v>#REF!</v>
      </c>
      <c r="X265" s="765" t="s">
        <v>96</v>
      </c>
      <c r="Y265" s="765" t="e">
        <f>#REF!</f>
        <v>#REF!</v>
      </c>
      <c r="Z265" s="49" t="s">
        <v>496</v>
      </c>
      <c r="AA265" s="765" t="e">
        <f>#REF!</f>
        <v>#REF!</v>
      </c>
      <c r="AB265" s="765" t="e">
        <f>#REF!</f>
        <v>#REF!</v>
      </c>
      <c r="AC265" s="765" t="e">
        <f>#REF!</f>
        <v>#REF!</v>
      </c>
      <c r="AD265" s="772" t="e">
        <f>#REF!</f>
        <v>#REF!</v>
      </c>
      <c r="AE265" s="79"/>
      <c r="AF265" s="371" t="s">
        <v>172</v>
      </c>
      <c r="AG265" s="372" t="s">
        <v>80</v>
      </c>
      <c r="AH265" s="385"/>
      <c r="AI265" s="386" t="s">
        <v>106</v>
      </c>
      <c r="AJ265" s="385" t="s">
        <v>173</v>
      </c>
      <c r="AK265" s="371" t="s">
        <v>108</v>
      </c>
      <c r="AL265" s="282"/>
      <c r="AM265" s="282"/>
      <c r="AN265" s="282"/>
    </row>
    <row r="266" spans="1:40" ht="20.25">
      <c r="A266" s="471" t="s">
        <v>181</v>
      </c>
      <c r="B266" s="472"/>
      <c r="C266" s="472"/>
      <c r="D266" s="1097"/>
      <c r="E266" s="1098"/>
      <c r="F266" s="1099"/>
      <c r="G266" s="1099"/>
      <c r="H266" s="1100"/>
      <c r="I266" s="1100"/>
      <c r="J266" s="1099"/>
      <c r="K266" s="1105"/>
      <c r="L266" s="1106"/>
      <c r="M266" s="490"/>
      <c r="N266" s="491"/>
      <c r="O266" s="476"/>
      <c r="P266" s="476"/>
      <c r="Q266" s="476"/>
      <c r="R266" s="476"/>
      <c r="S266" s="476"/>
      <c r="T266" s="476"/>
      <c r="U266" s="493"/>
      <c r="V266" s="490"/>
      <c r="W266" s="474"/>
      <c r="X266" s="475"/>
      <c r="Y266" s="475"/>
      <c r="Z266" s="476"/>
      <c r="AA266" s="476"/>
      <c r="AB266" s="476"/>
      <c r="AC266" s="475"/>
      <c r="AD266" s="503"/>
      <c r="AE266" s="490"/>
      <c r="AF266" s="504">
        <f t="shared" ref="AF266:AF270" si="65">SUM(E266:AD266)</f>
        <v>0</v>
      </c>
      <c r="AG266" s="505"/>
      <c r="AH266" s="518"/>
      <c r="AI266" s="519">
        <f t="shared" ref="AI266:AI270" si="66">AF266+AG266</f>
        <v>0</v>
      </c>
      <c r="AJ266" s="520"/>
      <c r="AK266" s="521">
        <f>AI266+AJ266</f>
        <v>0</v>
      </c>
      <c r="AL266" s="283"/>
      <c r="AM266" s="283"/>
      <c r="AN266" s="283"/>
    </row>
    <row r="267" spans="1:40" ht="20.25">
      <c r="A267" s="445" t="s">
        <v>182</v>
      </c>
      <c r="B267" s="323"/>
      <c r="C267" s="323"/>
      <c r="D267" s="324"/>
      <c r="E267" s="457"/>
      <c r="F267" s="458"/>
      <c r="G267" s="458"/>
      <c r="H267" s="459"/>
      <c r="I267" s="459"/>
      <c r="J267" s="458"/>
      <c r="K267" s="1085"/>
      <c r="L267" s="1103"/>
      <c r="M267" s="355"/>
      <c r="N267" s="343"/>
      <c r="O267" s="298"/>
      <c r="P267" s="298"/>
      <c r="Q267" s="298"/>
      <c r="R267" s="298"/>
      <c r="S267" s="298"/>
      <c r="T267" s="298"/>
      <c r="U267" s="367"/>
      <c r="V267" s="355"/>
      <c r="W267" s="325"/>
      <c r="X267" s="297"/>
      <c r="Y267" s="297"/>
      <c r="Z267" s="298"/>
      <c r="AA267" s="298"/>
      <c r="AB267" s="298"/>
      <c r="AC267" s="297"/>
      <c r="AD267" s="375"/>
      <c r="AE267" s="355"/>
      <c r="AF267" s="376">
        <f t="shared" si="65"/>
        <v>0</v>
      </c>
      <c r="AG267" s="377"/>
      <c r="AH267" s="390"/>
      <c r="AI267" s="391">
        <f t="shared" si="66"/>
        <v>0</v>
      </c>
      <c r="AJ267" s="412"/>
      <c r="AK267" s="413">
        <f t="shared" ref="AK267:AK270" si="67">AI267+AJ267</f>
        <v>0</v>
      </c>
      <c r="AL267" s="283"/>
      <c r="AM267" s="283"/>
      <c r="AN267" s="283"/>
    </row>
    <row r="268" spans="1:40" ht="20.25">
      <c r="A268" s="445"/>
      <c r="B268" s="323"/>
      <c r="C268" s="323"/>
      <c r="D268" s="1078"/>
      <c r="E268" s="457"/>
      <c r="F268" s="458"/>
      <c r="G268" s="458"/>
      <c r="H268" s="459"/>
      <c r="I268" s="459"/>
      <c r="J268" s="458"/>
      <c r="K268" s="1085"/>
      <c r="L268" s="486"/>
      <c r="M268" s="355"/>
      <c r="N268" s="343"/>
      <c r="O268" s="298"/>
      <c r="P268" s="298"/>
      <c r="Q268" s="298"/>
      <c r="R268" s="298"/>
      <c r="S268" s="298"/>
      <c r="T268" s="298"/>
      <c r="U268" s="367"/>
      <c r="V268" s="355"/>
      <c r="W268" s="325"/>
      <c r="X268" s="297"/>
      <c r="Y268" s="297"/>
      <c r="Z268" s="298"/>
      <c r="AA268" s="298"/>
      <c r="AB268" s="298"/>
      <c r="AC268" s="297"/>
      <c r="AD268" s="375"/>
      <c r="AE268" s="355"/>
      <c r="AF268" s="376">
        <f t="shared" si="65"/>
        <v>0</v>
      </c>
      <c r="AG268" s="377"/>
      <c r="AH268" s="390"/>
      <c r="AI268" s="391">
        <f t="shared" si="66"/>
        <v>0</v>
      </c>
      <c r="AJ268" s="412"/>
      <c r="AK268" s="413">
        <f t="shared" si="67"/>
        <v>0</v>
      </c>
      <c r="AL268" s="283"/>
      <c r="AM268" s="283"/>
      <c r="AN268" s="283"/>
    </row>
    <row r="269" spans="1:40" ht="20.25">
      <c r="A269" s="445"/>
      <c r="B269" s="323"/>
      <c r="C269" s="323"/>
      <c r="D269" s="1078"/>
      <c r="E269" s="457"/>
      <c r="F269" s="458"/>
      <c r="G269" s="458"/>
      <c r="H269" s="459"/>
      <c r="I269" s="459"/>
      <c r="J269" s="458"/>
      <c r="K269" s="1085"/>
      <c r="L269" s="486"/>
      <c r="M269" s="355"/>
      <c r="N269" s="343"/>
      <c r="O269" s="298"/>
      <c r="P269" s="298"/>
      <c r="Q269" s="298"/>
      <c r="R269" s="298"/>
      <c r="S269" s="298"/>
      <c r="T269" s="298"/>
      <c r="U269" s="367"/>
      <c r="V269" s="355"/>
      <c r="W269" s="325"/>
      <c r="X269" s="297"/>
      <c r="Y269" s="297"/>
      <c r="Z269" s="298"/>
      <c r="AA269" s="298"/>
      <c r="AB269" s="298"/>
      <c r="AC269" s="297"/>
      <c r="AD269" s="375"/>
      <c r="AE269" s="355"/>
      <c r="AF269" s="376">
        <f t="shared" si="65"/>
        <v>0</v>
      </c>
      <c r="AG269" s="377"/>
      <c r="AH269" s="390"/>
      <c r="AI269" s="391">
        <f t="shared" si="66"/>
        <v>0</v>
      </c>
      <c r="AJ269" s="412"/>
      <c r="AK269" s="413">
        <f t="shared" si="67"/>
        <v>0</v>
      </c>
      <c r="AL269" s="283"/>
      <c r="AM269" s="283"/>
      <c r="AN269" s="283"/>
    </row>
    <row r="270" spans="1:40" ht="21" thickBot="1">
      <c r="A270" s="322"/>
      <c r="B270" s="323"/>
      <c r="C270" s="323"/>
      <c r="D270" s="1078"/>
      <c r="E270" s="325"/>
      <c r="F270" s="297"/>
      <c r="G270" s="297"/>
      <c r="H270" s="298"/>
      <c r="I270" s="298"/>
      <c r="J270" s="297"/>
      <c r="K270" s="1086"/>
      <c r="L270" s="344"/>
      <c r="M270" s="355"/>
      <c r="N270" s="343"/>
      <c r="O270" s="298"/>
      <c r="P270" s="298"/>
      <c r="Q270" s="298"/>
      <c r="R270" s="298"/>
      <c r="S270" s="298"/>
      <c r="T270" s="298"/>
      <c r="U270" s="367"/>
      <c r="V270" s="355"/>
      <c r="W270" s="325"/>
      <c r="X270" s="297"/>
      <c r="Y270" s="297"/>
      <c r="Z270" s="298"/>
      <c r="AA270" s="298"/>
      <c r="AB270" s="298"/>
      <c r="AC270" s="297"/>
      <c r="AD270" s="375"/>
      <c r="AE270" s="355"/>
      <c r="AF270" s="377">
        <f t="shared" si="65"/>
        <v>0</v>
      </c>
      <c r="AG270" s="377"/>
      <c r="AH270" s="390"/>
      <c r="AI270" s="507">
        <f t="shared" si="66"/>
        <v>0</v>
      </c>
      <c r="AJ270" s="412"/>
      <c r="AK270" s="508">
        <f t="shared" si="67"/>
        <v>0</v>
      </c>
      <c r="AL270" s="283"/>
      <c r="AM270" s="283"/>
      <c r="AN270" s="283"/>
    </row>
    <row r="271" spans="1:40" ht="21" thickBot="1">
      <c r="A271" s="436"/>
      <c r="B271" s="437"/>
      <c r="C271" s="437"/>
      <c r="D271" s="1093"/>
      <c r="E271" s="439">
        <f>SUM(E266:E270)</f>
        <v>0</v>
      </c>
      <c r="F271" s="440">
        <f t="shared" ref="F271:L271" si="68">SUM(F266:F270)</f>
        <v>0</v>
      </c>
      <c r="G271" s="440">
        <f t="shared" si="68"/>
        <v>0</v>
      </c>
      <c r="H271" s="440">
        <f t="shared" si="68"/>
        <v>0</v>
      </c>
      <c r="I271" s="440">
        <f t="shared" si="68"/>
        <v>0</v>
      </c>
      <c r="J271" s="440">
        <f t="shared" si="68"/>
        <v>0</v>
      </c>
      <c r="K271" s="1104">
        <f t="shared" si="68"/>
        <v>0</v>
      </c>
      <c r="L271" s="481">
        <f t="shared" si="68"/>
        <v>0</v>
      </c>
      <c r="M271" s="482"/>
      <c r="N271" s="439">
        <f t="shared" ref="N271:U271" si="69">SUM(N266:N270)</f>
        <v>0</v>
      </c>
      <c r="O271" s="440">
        <f t="shared" si="69"/>
        <v>0</v>
      </c>
      <c r="P271" s="440">
        <f t="shared" si="69"/>
        <v>0</v>
      </c>
      <c r="Q271" s="440">
        <f t="shared" si="69"/>
        <v>0</v>
      </c>
      <c r="R271" s="440">
        <f t="shared" si="69"/>
        <v>0</v>
      </c>
      <c r="S271" s="440">
        <f t="shared" si="69"/>
        <v>0</v>
      </c>
      <c r="T271" s="440">
        <f t="shared" si="69"/>
        <v>0</v>
      </c>
      <c r="U271" s="481">
        <f t="shared" si="69"/>
        <v>0</v>
      </c>
      <c r="V271" s="482"/>
      <c r="W271" s="439">
        <f t="shared" ref="W271:AD271" si="70">SUM(W266:W270)</f>
        <v>0</v>
      </c>
      <c r="X271" s="440">
        <f t="shared" si="70"/>
        <v>0</v>
      </c>
      <c r="Y271" s="440">
        <f t="shared" si="70"/>
        <v>0</v>
      </c>
      <c r="Z271" s="440">
        <f t="shared" si="70"/>
        <v>0</v>
      </c>
      <c r="AA271" s="440">
        <f t="shared" si="70"/>
        <v>0</v>
      </c>
      <c r="AB271" s="440">
        <f t="shared" si="70"/>
        <v>0</v>
      </c>
      <c r="AC271" s="440">
        <f t="shared" si="70"/>
        <v>0</v>
      </c>
      <c r="AD271" s="481">
        <f t="shared" si="70"/>
        <v>0</v>
      </c>
      <c r="AE271" s="482"/>
      <c r="AF271" s="494">
        <f>SUM(AF266:AF270)</f>
        <v>0</v>
      </c>
      <c r="AG271" s="494">
        <f>SUM(AG266:AG270)</f>
        <v>0</v>
      </c>
      <c r="AH271" s="509"/>
      <c r="AI271" s="514">
        <f>SUM(AI266:AI270)</f>
        <v>0</v>
      </c>
      <c r="AJ271" s="494">
        <f>SUM(AJ266:AJ270)</f>
        <v>0</v>
      </c>
      <c r="AK271" s="509">
        <f>SUM(AK266:AK270)</f>
        <v>0</v>
      </c>
      <c r="AL271" s="283"/>
      <c r="AM271" s="283"/>
      <c r="AN271" s="283"/>
    </row>
    <row r="272" spans="1:40" ht="19.5" thickBot="1">
      <c r="A272" s="522"/>
      <c r="B272" s="523"/>
      <c r="C272" s="523"/>
      <c r="D272" s="524"/>
      <c r="E272" s="525"/>
      <c r="F272" s="525"/>
      <c r="G272" s="525"/>
      <c r="H272" s="525"/>
      <c r="I272" s="525"/>
      <c r="J272" s="525"/>
      <c r="K272" s="525"/>
      <c r="L272" s="525"/>
      <c r="M272" s="572"/>
      <c r="N272" s="573"/>
      <c r="O272" s="573"/>
      <c r="P272" s="573"/>
      <c r="Q272" s="573"/>
      <c r="R272" s="573"/>
      <c r="S272" s="573"/>
      <c r="T272" s="573"/>
      <c r="U272" s="573"/>
      <c r="V272" s="572"/>
      <c r="W272" s="573"/>
      <c r="X272" s="573"/>
      <c r="Y272" s="573"/>
      <c r="Z272" s="573"/>
      <c r="AA272" s="573"/>
      <c r="AB272" s="573"/>
      <c r="AC272" s="573"/>
      <c r="AD272" s="573"/>
      <c r="AE272" s="572"/>
      <c r="AF272" s="573"/>
      <c r="AG272" s="573"/>
      <c r="AH272" s="599"/>
      <c r="AI272" s="573"/>
      <c r="AJ272" s="573"/>
      <c r="AK272" s="600"/>
      <c r="AL272" s="403"/>
      <c r="AM272" s="403"/>
      <c r="AN272" s="403"/>
    </row>
    <row r="273" spans="1:40" ht="21" thickBot="1">
      <c r="A273" s="526" t="s">
        <v>145</v>
      </c>
      <c r="B273" s="527"/>
      <c r="C273" s="527"/>
      <c r="D273" s="528"/>
      <c r="E273" s="665">
        <f t="shared" ref="E273:L273" si="71">E4+E32+E68+E104+E137+E205+E247+E254+E263+E271+E170+E240</f>
        <v>740</v>
      </c>
      <c r="F273" s="665">
        <f t="shared" si="71"/>
        <v>0</v>
      </c>
      <c r="G273" s="665">
        <f t="shared" si="71"/>
        <v>0</v>
      </c>
      <c r="H273" s="665">
        <f t="shared" si="71"/>
        <v>20</v>
      </c>
      <c r="I273" s="665">
        <f t="shared" si="71"/>
        <v>660</v>
      </c>
      <c r="J273" s="665">
        <f t="shared" si="71"/>
        <v>400</v>
      </c>
      <c r="K273" s="665">
        <f t="shared" si="71"/>
        <v>460</v>
      </c>
      <c r="L273" s="665">
        <f t="shared" si="71"/>
        <v>380</v>
      </c>
      <c r="M273" s="665"/>
      <c r="N273" s="529">
        <f t="shared" ref="N273:U273" si="72">N4+N32+N68+N104+N137+N205+N247+N254+N263+N271+N170+N240</f>
        <v>0</v>
      </c>
      <c r="O273" s="529">
        <f t="shared" si="72"/>
        <v>0</v>
      </c>
      <c r="P273" s="529">
        <f t="shared" si="72"/>
        <v>0</v>
      </c>
      <c r="Q273" s="529">
        <f t="shared" si="72"/>
        <v>120</v>
      </c>
      <c r="R273" s="529">
        <f t="shared" si="72"/>
        <v>0</v>
      </c>
      <c r="S273" s="529">
        <f t="shared" si="72"/>
        <v>0</v>
      </c>
      <c r="T273" s="529">
        <f t="shared" si="72"/>
        <v>0</v>
      </c>
      <c r="U273" s="693">
        <f t="shared" si="72"/>
        <v>860</v>
      </c>
      <c r="V273" s="665"/>
      <c r="W273" s="529">
        <f t="shared" ref="W273:AD273" si="73">W4+W32+W68+W104+W137+W205+W247+W254+W263+W271+W170+W240</f>
        <v>20</v>
      </c>
      <c r="X273" s="529">
        <f t="shared" si="73"/>
        <v>0</v>
      </c>
      <c r="Y273" s="529">
        <f t="shared" si="73"/>
        <v>0</v>
      </c>
      <c r="Z273" s="529">
        <f t="shared" si="73"/>
        <v>1420</v>
      </c>
      <c r="AA273" s="529">
        <f t="shared" si="73"/>
        <v>0</v>
      </c>
      <c r="AB273" s="529">
        <f t="shared" si="73"/>
        <v>0</v>
      </c>
      <c r="AC273" s="529">
        <f t="shared" si="73"/>
        <v>0</v>
      </c>
      <c r="AD273" s="529">
        <f t="shared" si="73"/>
        <v>0</v>
      </c>
      <c r="AE273" s="529"/>
      <c r="AF273" s="529">
        <f t="shared" ref="AF273:AK273" si="74">AF4+AF32+AF68+AF104+AF137+AF205+AF247+AF254+AF263+AF271+AF170+AF240</f>
        <v>5080</v>
      </c>
      <c r="AG273" s="529">
        <f t="shared" si="74"/>
        <v>0</v>
      </c>
      <c r="AH273" s="529">
        <f t="shared" si="74"/>
        <v>0</v>
      </c>
      <c r="AI273" s="529">
        <f t="shared" si="74"/>
        <v>5080</v>
      </c>
      <c r="AJ273" s="529">
        <f t="shared" si="74"/>
        <v>0</v>
      </c>
      <c r="AK273" s="529">
        <f t="shared" si="74"/>
        <v>5080</v>
      </c>
    </row>
    <row r="274" spans="1:40" ht="21" thickBot="1">
      <c r="A274" s="530" t="s">
        <v>152</v>
      </c>
      <c r="B274" s="531"/>
      <c r="C274" s="531"/>
      <c r="D274" s="532"/>
      <c r="E274" s="529">
        <f>E273/20</f>
        <v>37</v>
      </c>
      <c r="F274" s="639">
        <f t="shared" ref="F274:L274" si="75">F273/20</f>
        <v>0</v>
      </c>
      <c r="G274" s="639">
        <f t="shared" si="75"/>
        <v>0</v>
      </c>
      <c r="H274" s="639">
        <f t="shared" si="75"/>
        <v>1</v>
      </c>
      <c r="I274" s="639">
        <f t="shared" si="75"/>
        <v>33</v>
      </c>
      <c r="J274" s="639">
        <f t="shared" si="75"/>
        <v>20</v>
      </c>
      <c r="K274" s="1122">
        <f t="shared" si="75"/>
        <v>23</v>
      </c>
      <c r="L274" s="1123">
        <f t="shared" si="75"/>
        <v>19</v>
      </c>
      <c r="M274" s="3379"/>
      <c r="N274" s="3381">
        <f>N5+N33+N69+N137+N248+N255+N264+N272</f>
        <v>0</v>
      </c>
      <c r="O274" s="577">
        <f t="shared" ref="O274:U274" si="76">O273/20</f>
        <v>0</v>
      </c>
      <c r="P274" s="577">
        <f t="shared" si="76"/>
        <v>0</v>
      </c>
      <c r="Q274" s="577">
        <f t="shared" si="76"/>
        <v>6</v>
      </c>
      <c r="R274" s="577">
        <f t="shared" si="76"/>
        <v>0</v>
      </c>
      <c r="S274" s="577">
        <f t="shared" si="76"/>
        <v>0</v>
      </c>
      <c r="T274" s="577">
        <f t="shared" si="76"/>
        <v>0</v>
      </c>
      <c r="U274" s="586">
        <f t="shared" si="76"/>
        <v>43</v>
      </c>
      <c r="V274" s="3379"/>
      <c r="W274" s="576">
        <f>W273/20</f>
        <v>1</v>
      </c>
      <c r="X274" s="577">
        <f t="shared" ref="X274:AK274" si="77">X273/20</f>
        <v>0</v>
      </c>
      <c r="Y274" s="577">
        <f t="shared" si="77"/>
        <v>0</v>
      </c>
      <c r="Z274" s="577">
        <f t="shared" si="77"/>
        <v>71</v>
      </c>
      <c r="AA274" s="577">
        <f t="shared" si="77"/>
        <v>0</v>
      </c>
      <c r="AB274" s="577">
        <f t="shared" si="77"/>
        <v>0</v>
      </c>
      <c r="AC274" s="577">
        <f t="shared" si="77"/>
        <v>0</v>
      </c>
      <c r="AD274" s="586">
        <f t="shared" si="77"/>
        <v>0</v>
      </c>
      <c r="AE274" s="586"/>
      <c r="AF274" s="586">
        <f t="shared" si="77"/>
        <v>254</v>
      </c>
      <c r="AG274" s="586">
        <f t="shared" si="77"/>
        <v>0</v>
      </c>
      <c r="AH274" s="586">
        <f t="shared" si="77"/>
        <v>0</v>
      </c>
      <c r="AI274" s="586">
        <f t="shared" si="77"/>
        <v>254</v>
      </c>
      <c r="AJ274" s="586">
        <f t="shared" si="77"/>
        <v>0</v>
      </c>
      <c r="AK274" s="601">
        <f t="shared" si="77"/>
        <v>254</v>
      </c>
    </row>
    <row r="275" spans="1:40" ht="24" thickBot="1">
      <c r="A275" s="3755" t="s">
        <v>147</v>
      </c>
      <c r="B275" s="3755"/>
      <c r="C275" s="3755"/>
      <c r="D275" s="3755"/>
      <c r="E275" s="3756"/>
      <c r="F275" s="3756"/>
      <c r="G275" s="3756"/>
      <c r="H275" s="3756"/>
      <c r="I275" s="3756"/>
      <c r="J275" s="3756"/>
      <c r="K275" s="3756"/>
      <c r="L275" s="3756"/>
      <c r="M275" s="3755"/>
      <c r="N275" s="3755"/>
      <c r="O275" s="3755"/>
      <c r="P275" s="3755"/>
      <c r="Q275" s="3755"/>
      <c r="R275" s="3755"/>
      <c r="S275" s="3755"/>
      <c r="T275" s="3755"/>
      <c r="U275" s="3755"/>
      <c r="V275" s="3755"/>
      <c r="W275" s="3755"/>
      <c r="X275" s="3755"/>
      <c r="Y275" s="3755"/>
      <c r="Z275" s="3755"/>
      <c r="AA275" s="3755"/>
      <c r="AB275" s="3755"/>
      <c r="AC275" s="3755"/>
      <c r="AD275" s="3755"/>
      <c r="AE275" s="3755"/>
      <c r="AF275" s="3755"/>
      <c r="AG275" s="3755"/>
      <c r="AH275" s="3755"/>
      <c r="AI275" s="3755"/>
      <c r="AJ275" s="3755"/>
      <c r="AK275" s="3755"/>
      <c r="AL275" s="1"/>
      <c r="AM275" s="1"/>
      <c r="AN275" s="1"/>
    </row>
    <row r="276" spans="1:40" ht="24" thickBot="1">
      <c r="A276" s="3888" t="s">
        <v>4</v>
      </c>
      <c r="B276" s="3889"/>
      <c r="C276" s="3889"/>
      <c r="D276" s="3890"/>
      <c r="E276" s="3891" t="str">
        <f>E2</f>
        <v>601 (High Cros)</v>
      </c>
      <c r="F276" s="3892"/>
      <c r="G276" s="3892"/>
      <c r="H276" s="3892"/>
      <c r="I276" s="3892"/>
      <c r="J276" s="3892"/>
      <c r="K276" s="3892"/>
      <c r="L276" s="3904"/>
      <c r="M276" s="336"/>
      <c r="N276" s="3893">
        <f>N2</f>
        <v>0</v>
      </c>
      <c r="O276" s="3894"/>
      <c r="P276" s="3894"/>
      <c r="Q276" s="3894"/>
      <c r="R276" s="3894"/>
      <c r="S276" s="3894"/>
      <c r="T276" s="3894"/>
      <c r="U276" s="3895"/>
      <c r="V276" s="364"/>
      <c r="W276" s="3893">
        <f>W2</f>
        <v>0</v>
      </c>
      <c r="X276" s="3894"/>
      <c r="Y276" s="3894"/>
      <c r="Z276" s="3894"/>
      <c r="AA276" s="3894"/>
      <c r="AB276" s="3894"/>
      <c r="AC276" s="3894"/>
      <c r="AD276" s="3895"/>
      <c r="AE276" s="364"/>
      <c r="AF276" s="3893"/>
      <c r="AG276" s="3894"/>
      <c r="AH276" s="3894"/>
      <c r="AI276" s="3894"/>
      <c r="AJ276" s="3894"/>
      <c r="AK276" s="3895"/>
    </row>
    <row r="277" spans="1:40" ht="30.75" thickBot="1">
      <c r="A277" s="535" t="s">
        <v>148</v>
      </c>
      <c r="B277" s="749" t="s">
        <v>68</v>
      </c>
      <c r="C277" s="536" t="s">
        <v>69</v>
      </c>
      <c r="D277" s="536" t="s">
        <v>70</v>
      </c>
      <c r="E277" s="743" t="s">
        <v>96</v>
      </c>
      <c r="F277" s="744" t="s">
        <v>86</v>
      </c>
      <c r="G277" s="744" t="s">
        <v>559</v>
      </c>
      <c r="H277" s="744" t="s">
        <v>149</v>
      </c>
      <c r="I277" s="744" t="s">
        <v>470</v>
      </c>
      <c r="J277" s="744" t="s">
        <v>92</v>
      </c>
      <c r="K277" s="50" t="s">
        <v>479</v>
      </c>
      <c r="L277" s="783" t="s">
        <v>123</v>
      </c>
      <c r="M277" s="578"/>
      <c r="N277" s="80" t="s">
        <v>71</v>
      </c>
      <c r="O277" s="49" t="s">
        <v>53</v>
      </c>
      <c r="P277" s="49" t="s">
        <v>558</v>
      </c>
      <c r="Q277" s="49" t="s">
        <v>213</v>
      </c>
      <c r="R277" s="49" t="s">
        <v>457</v>
      </c>
      <c r="S277" s="49" t="s">
        <v>94</v>
      </c>
      <c r="T277" s="126" t="s">
        <v>77</v>
      </c>
      <c r="U277" s="717" t="s">
        <v>482</v>
      </c>
      <c r="V277" s="578"/>
      <c r="W277" s="764" t="str">
        <f>W3</f>
        <v>SILVER</v>
      </c>
      <c r="X277" s="765" t="s">
        <v>96</v>
      </c>
      <c r="Y277" s="765" t="e">
        <f>Y3</f>
        <v>#REF!</v>
      </c>
      <c r="Z277" s="49" t="s">
        <v>496</v>
      </c>
      <c r="AA277" s="765" t="e">
        <f>AA3</f>
        <v>#REF!</v>
      </c>
      <c r="AB277" s="765" t="e">
        <f>AB3</f>
        <v>#REF!</v>
      </c>
      <c r="AC277" s="765" t="e">
        <f>AC3</f>
        <v>#REF!</v>
      </c>
      <c r="AD277" s="772" t="e">
        <f>AD3</f>
        <v>#REF!</v>
      </c>
      <c r="AE277" s="589"/>
      <c r="AF277" s="590" t="s">
        <v>172</v>
      </c>
      <c r="AG277" s="591" t="s">
        <v>80</v>
      </c>
      <c r="AH277" s="602" t="s">
        <v>150</v>
      </c>
      <c r="AI277" s="603" t="s">
        <v>106</v>
      </c>
      <c r="AJ277" s="602" t="s">
        <v>173</v>
      </c>
      <c r="AK277" s="604" t="s">
        <v>108</v>
      </c>
      <c r="AL277" s="276"/>
      <c r="AM277" s="276"/>
      <c r="AN277" s="276"/>
    </row>
    <row r="278" spans="1:40" ht="20.25">
      <c r="A278" s="537" t="s">
        <v>625</v>
      </c>
      <c r="B278" s="545"/>
      <c r="C278" s="539"/>
      <c r="D278" s="544">
        <v>46121</v>
      </c>
      <c r="E278" s="556"/>
      <c r="F278" s="557"/>
      <c r="G278" s="557"/>
      <c r="H278" s="558"/>
      <c r="I278" s="558"/>
      <c r="J278" s="557"/>
      <c r="K278" s="558"/>
      <c r="L278" s="583"/>
      <c r="M278" s="584"/>
      <c r="N278" s="585"/>
      <c r="O278" s="558"/>
      <c r="P278" s="558"/>
      <c r="Q278" s="558"/>
      <c r="R278" s="558"/>
      <c r="S278" s="558"/>
      <c r="T278" s="558"/>
      <c r="U278" s="819">
        <f>4*20</f>
        <v>80</v>
      </c>
      <c r="V278" s="584"/>
      <c r="W278" s="585"/>
      <c r="X278" s="558"/>
      <c r="Y278" s="558"/>
      <c r="Z278" s="558">
        <f>11*20</f>
        <v>220</v>
      </c>
      <c r="AA278" s="558"/>
      <c r="AB278" s="558"/>
      <c r="AC278" s="558"/>
      <c r="AD278" s="595"/>
      <c r="AE278" s="584"/>
      <c r="AF278" s="596">
        <f>SUM(E278:AD278)</f>
        <v>300</v>
      </c>
      <c r="AG278" s="597"/>
      <c r="AH278" s="596"/>
      <c r="AI278" s="597">
        <f>AF278+AG278+AH278</f>
        <v>300</v>
      </c>
      <c r="AJ278" s="607"/>
      <c r="AK278" s="606">
        <f>AI278+AJ278</f>
        <v>300</v>
      </c>
      <c r="AL278" s="276"/>
      <c r="AM278" s="276"/>
      <c r="AN278" s="276"/>
    </row>
    <row r="279" spans="1:40" ht="20.25">
      <c r="A279" s="561" t="s">
        <v>644</v>
      </c>
      <c r="B279" s="545"/>
      <c r="C279" s="539"/>
      <c r="D279" s="544">
        <v>46128</v>
      </c>
      <c r="E279" s="556"/>
      <c r="F279" s="557"/>
      <c r="G279" s="557"/>
      <c r="H279" s="558"/>
      <c r="I279" s="558"/>
      <c r="J279" s="557">
        <f>5*20</f>
        <v>100</v>
      </c>
      <c r="K279" s="558">
        <f>10*20</f>
        <v>200</v>
      </c>
      <c r="L279" s="583"/>
      <c r="M279" s="584"/>
      <c r="N279" s="585"/>
      <c r="O279" s="558"/>
      <c r="P279" s="558"/>
      <c r="Q279" s="558"/>
      <c r="R279" s="558"/>
      <c r="S279" s="558"/>
      <c r="T279" s="558"/>
      <c r="U279" s="819"/>
      <c r="V279" s="584"/>
      <c r="W279" s="585"/>
      <c r="X279" s="558"/>
      <c r="Y279" s="558"/>
      <c r="Z279" s="558"/>
      <c r="AA279" s="558"/>
      <c r="AB279" s="558"/>
      <c r="AC279" s="558"/>
      <c r="AD279" s="595"/>
      <c r="AE279" s="584"/>
      <c r="AF279" s="596">
        <f>SUM(E279:AD279)</f>
        <v>300</v>
      </c>
      <c r="AG279" s="597"/>
      <c r="AH279" s="596"/>
      <c r="AI279" s="597">
        <f>AF279+AG279+AH279</f>
        <v>300</v>
      </c>
      <c r="AJ279" s="607"/>
      <c r="AK279" s="606">
        <f>AI279+AJ279</f>
        <v>300</v>
      </c>
      <c r="AL279" s="276"/>
      <c r="AM279" s="276"/>
      <c r="AN279" s="276"/>
    </row>
    <row r="280" spans="1:40" ht="20.25">
      <c r="A280" s="561" t="s">
        <v>619</v>
      </c>
      <c r="B280" s="545"/>
      <c r="C280" s="539"/>
      <c r="D280" s="544">
        <v>46130</v>
      </c>
      <c r="E280" s="332"/>
      <c r="F280" s="333"/>
      <c r="G280" s="333"/>
      <c r="H280" s="334"/>
      <c r="I280" s="334"/>
      <c r="J280" s="333"/>
      <c r="K280" s="334">
        <f>5*20</f>
        <v>100</v>
      </c>
      <c r="L280" s="798"/>
      <c r="M280" s="361"/>
      <c r="N280" s="362"/>
      <c r="O280" s="334"/>
      <c r="P280" s="334"/>
      <c r="Q280" s="334"/>
      <c r="R280" s="334"/>
      <c r="S280" s="334"/>
      <c r="T280" s="334"/>
      <c r="U280" s="818">
        <f>2*20</f>
        <v>40</v>
      </c>
      <c r="V280" s="361"/>
      <c r="W280" s="362"/>
      <c r="X280" s="334"/>
      <c r="Y280" s="334"/>
      <c r="Z280" s="334">
        <f>4*20</f>
        <v>80</v>
      </c>
      <c r="AA280" s="334"/>
      <c r="AB280" s="334"/>
      <c r="AC280" s="334"/>
      <c r="AD280" s="383"/>
      <c r="AE280" s="361"/>
      <c r="AF280" s="419">
        <f t="shared" ref="AF280:AF306" si="78">SUM(E280:AD280)</f>
        <v>220</v>
      </c>
      <c r="AG280" s="420"/>
      <c r="AH280" s="419"/>
      <c r="AI280" s="420">
        <f>AF280+AG280+AH280</f>
        <v>220</v>
      </c>
      <c r="AJ280" s="421"/>
      <c r="AK280" s="422">
        <f>AI280+AJ280</f>
        <v>220</v>
      </c>
      <c r="AL280" s="234"/>
      <c r="AM280" s="234"/>
      <c r="AN280" s="234"/>
    </row>
    <row r="281" spans="1:40" ht="20.25">
      <c r="A281" s="547" t="s">
        <v>653</v>
      </c>
      <c r="B281" s="545"/>
      <c r="C281" s="539"/>
      <c r="D281" s="544">
        <v>46130</v>
      </c>
      <c r="E281" s="556"/>
      <c r="F281" s="557"/>
      <c r="G281" s="557"/>
      <c r="H281" s="558"/>
      <c r="I281" s="558"/>
      <c r="J281" s="557">
        <f>3*20</f>
        <v>60</v>
      </c>
      <c r="K281" s="558"/>
      <c r="L281" s="583">
        <f>2*20</f>
        <v>40</v>
      </c>
      <c r="M281" s="584"/>
      <c r="N281" s="585"/>
      <c r="O281" s="558"/>
      <c r="P281" s="558"/>
      <c r="Q281" s="558"/>
      <c r="R281" s="558"/>
      <c r="S281" s="558"/>
      <c r="T281" s="558"/>
      <c r="U281" s="819"/>
      <c r="V281" s="584"/>
      <c r="W281" s="585"/>
      <c r="X281" s="558"/>
      <c r="Y281" s="558"/>
      <c r="Z281" s="558"/>
      <c r="AA281" s="558"/>
      <c r="AB281" s="558"/>
      <c r="AC281" s="558"/>
      <c r="AD281" s="595"/>
      <c r="AE281" s="584"/>
      <c r="AF281" s="596">
        <f t="shared" ref="AF281" si="79">SUM(E281:AD281)</f>
        <v>100</v>
      </c>
      <c r="AG281" s="597"/>
      <c r="AH281" s="596"/>
      <c r="AI281" s="597">
        <f t="shared" ref="AI281:AI335" si="80">AF281+AG281+AH281</f>
        <v>100</v>
      </c>
      <c r="AJ281" s="607"/>
      <c r="AK281" s="606">
        <f t="shared" ref="AK281:AK335" si="81">AI281+AJ281</f>
        <v>100</v>
      </c>
      <c r="AL281" s="276"/>
      <c r="AM281" s="276"/>
      <c r="AN281" s="276"/>
    </row>
    <row r="282" spans="1:40" ht="20.25">
      <c r="A282" s="547" t="s">
        <v>623</v>
      </c>
      <c r="B282" s="548"/>
      <c r="C282" s="549"/>
      <c r="D282" s="544">
        <v>46133</v>
      </c>
      <c r="E282" s="829">
        <f>2*20</f>
        <v>40</v>
      </c>
      <c r="F282" s="741"/>
      <c r="G282" s="741"/>
      <c r="H282" s="582"/>
      <c r="I282" s="582"/>
      <c r="J282" s="741"/>
      <c r="K282" s="582"/>
      <c r="L282" s="832"/>
      <c r="M282" s="830"/>
      <c r="N282" s="831"/>
      <c r="O282" s="582"/>
      <c r="P282" s="582"/>
      <c r="Q282" s="582"/>
      <c r="R282" s="582"/>
      <c r="S282" s="582"/>
      <c r="T282" s="582"/>
      <c r="U282" s="834">
        <f>2*20</f>
        <v>40</v>
      </c>
      <c r="V282" s="830"/>
      <c r="W282" s="831"/>
      <c r="X282" s="582"/>
      <c r="Y282" s="582"/>
      <c r="Z282" s="582">
        <f>2*20</f>
        <v>40</v>
      </c>
      <c r="AA282" s="582"/>
      <c r="AB282" s="582"/>
      <c r="AC282" s="582"/>
      <c r="AD282" s="833"/>
      <c r="AE282" s="830"/>
      <c r="AF282" s="1143">
        <f t="shared" ref="AF282:AF305" si="82">SUM(E282:AD282)</f>
        <v>120</v>
      </c>
      <c r="AG282" s="1151"/>
      <c r="AH282" s="1143"/>
      <c r="AI282" s="1151">
        <f t="shared" si="80"/>
        <v>120</v>
      </c>
      <c r="AJ282" s="1152"/>
      <c r="AK282" s="411">
        <f t="shared" si="81"/>
        <v>120</v>
      </c>
      <c r="AL282" s="234"/>
      <c r="AM282" s="234"/>
      <c r="AN282" s="234"/>
    </row>
    <row r="283" spans="1:40" ht="20.25">
      <c r="A283" s="561" t="s">
        <v>665</v>
      </c>
      <c r="B283" s="548"/>
      <c r="C283" s="549"/>
      <c r="D283" s="544">
        <v>46134</v>
      </c>
      <c r="E283" s="829"/>
      <c r="F283" s="741"/>
      <c r="G283" s="741"/>
      <c r="H283" s="582"/>
      <c r="I283" s="582"/>
      <c r="J283" s="741"/>
      <c r="K283" s="582"/>
      <c r="L283" s="832"/>
      <c r="M283" s="830"/>
      <c r="N283" s="831"/>
      <c r="O283" s="582"/>
      <c r="P283" s="582"/>
      <c r="Q283" s="582"/>
      <c r="R283" s="582"/>
      <c r="S283" s="582"/>
      <c r="T283" s="582"/>
      <c r="U283" s="834">
        <f>6*20</f>
        <v>120</v>
      </c>
      <c r="V283" s="830"/>
      <c r="W283" s="831"/>
      <c r="X283" s="582"/>
      <c r="Y283" s="582"/>
      <c r="Z283" s="582"/>
      <c r="AA283" s="582"/>
      <c r="AB283" s="582"/>
      <c r="AC283" s="582"/>
      <c r="AD283" s="833"/>
      <c r="AE283" s="830"/>
      <c r="AF283" s="1143">
        <f t="shared" si="82"/>
        <v>120</v>
      </c>
      <c r="AG283" s="1151"/>
      <c r="AH283" s="1143"/>
      <c r="AI283" s="1151">
        <f t="shared" si="80"/>
        <v>120</v>
      </c>
      <c r="AJ283" s="1152"/>
      <c r="AK283" s="411">
        <f t="shared" si="81"/>
        <v>120</v>
      </c>
      <c r="AL283" s="234"/>
      <c r="AM283" s="234"/>
      <c r="AN283" s="234"/>
    </row>
    <row r="284" spans="1:40" ht="20.25">
      <c r="A284" s="551" t="s">
        <v>672</v>
      </c>
      <c r="B284" s="563"/>
      <c r="C284" s="553"/>
      <c r="D284" s="544">
        <v>46136</v>
      </c>
      <c r="E284" s="1532"/>
      <c r="F284" s="741"/>
      <c r="G284" s="741"/>
      <c r="H284" s="582"/>
      <c r="I284" s="582"/>
      <c r="J284" s="741"/>
      <c r="K284" s="582"/>
      <c r="L284" s="832"/>
      <c r="M284" s="830"/>
      <c r="N284" s="831"/>
      <c r="O284" s="582"/>
      <c r="P284" s="582"/>
      <c r="Q284" s="582"/>
      <c r="R284" s="582"/>
      <c r="S284" s="582"/>
      <c r="T284" s="582"/>
      <c r="U284" s="3472"/>
      <c r="V284" s="830"/>
      <c r="W284" s="831"/>
      <c r="X284" s="582"/>
      <c r="Y284" s="582"/>
      <c r="Z284" s="582">
        <f>2*20</f>
        <v>40</v>
      </c>
      <c r="AA284" s="582"/>
      <c r="AB284" s="582"/>
      <c r="AC284" s="582"/>
      <c r="AD284" s="833"/>
      <c r="AE284" s="830"/>
      <c r="AF284" s="1143">
        <f t="shared" si="82"/>
        <v>40</v>
      </c>
      <c r="AG284" s="1151"/>
      <c r="AH284" s="1143"/>
      <c r="AI284" s="1151">
        <f t="shared" si="80"/>
        <v>40</v>
      </c>
      <c r="AJ284" s="1152"/>
      <c r="AK284" s="411">
        <f t="shared" si="81"/>
        <v>40</v>
      </c>
      <c r="AL284" s="234"/>
      <c r="AM284" s="234"/>
      <c r="AN284" s="234"/>
    </row>
    <row r="285" spans="1:40" ht="20.25">
      <c r="A285" s="547" t="s">
        <v>674</v>
      </c>
      <c r="B285" s="563"/>
      <c r="C285" s="553"/>
      <c r="D285" s="544">
        <v>46137</v>
      </c>
      <c r="E285" s="829"/>
      <c r="F285" s="741"/>
      <c r="G285" s="741"/>
      <c r="H285" s="582"/>
      <c r="I285" s="582"/>
      <c r="J285" s="741"/>
      <c r="K285" s="582"/>
      <c r="L285" s="832"/>
      <c r="M285" s="830"/>
      <c r="N285" s="831"/>
      <c r="O285" s="582"/>
      <c r="P285" s="582"/>
      <c r="Q285" s="582"/>
      <c r="R285" s="582"/>
      <c r="S285" s="582"/>
      <c r="T285" s="582"/>
      <c r="U285" s="1137">
        <f>18*20</f>
        <v>360</v>
      </c>
      <c r="V285" s="830"/>
      <c r="W285" s="831"/>
      <c r="X285" s="582"/>
      <c r="Y285" s="582"/>
      <c r="Z285" s="582">
        <f>30*20</f>
        <v>600</v>
      </c>
      <c r="AA285" s="582"/>
      <c r="AB285" s="582"/>
      <c r="AC285" s="582"/>
      <c r="AD285" s="833"/>
      <c r="AE285" s="830"/>
      <c r="AF285" s="1143">
        <f t="shared" si="82"/>
        <v>960</v>
      </c>
      <c r="AG285" s="1151"/>
      <c r="AH285" s="1143"/>
      <c r="AI285" s="1151">
        <f t="shared" si="80"/>
        <v>960</v>
      </c>
      <c r="AJ285" s="1152"/>
      <c r="AK285" s="411">
        <f t="shared" si="81"/>
        <v>960</v>
      </c>
      <c r="AL285" s="276"/>
      <c r="AM285" s="276"/>
      <c r="AN285" s="276"/>
    </row>
    <row r="286" spans="1:40" ht="20.25">
      <c r="A286" s="547" t="s">
        <v>676</v>
      </c>
      <c r="B286" s="548"/>
      <c r="C286" s="549"/>
      <c r="D286" s="544">
        <v>46138</v>
      </c>
      <c r="E286" s="829"/>
      <c r="F286" s="741"/>
      <c r="G286" s="741"/>
      <c r="H286" s="582"/>
      <c r="I286" s="582"/>
      <c r="J286" s="741"/>
      <c r="K286" s="582"/>
      <c r="L286" s="832"/>
      <c r="M286" s="830"/>
      <c r="N286" s="831"/>
      <c r="O286" s="582"/>
      <c r="P286" s="582"/>
      <c r="Q286" s="582"/>
      <c r="R286" s="582"/>
      <c r="S286" s="582"/>
      <c r="T286" s="582"/>
      <c r="U286" s="1137">
        <f>4*20</f>
        <v>80</v>
      </c>
      <c r="V286" s="830"/>
      <c r="W286" s="831"/>
      <c r="X286" s="582"/>
      <c r="Y286" s="582"/>
      <c r="Z286" s="582"/>
      <c r="AA286" s="582"/>
      <c r="AB286" s="582"/>
      <c r="AC286" s="582"/>
      <c r="AD286" s="833"/>
      <c r="AE286" s="830"/>
      <c r="AF286" s="1143">
        <f t="shared" si="82"/>
        <v>80</v>
      </c>
      <c r="AG286" s="1151"/>
      <c r="AH286" s="1143"/>
      <c r="AI286" s="1151">
        <f t="shared" si="80"/>
        <v>80</v>
      </c>
      <c r="AJ286" s="1152"/>
      <c r="AK286" s="411">
        <f t="shared" si="81"/>
        <v>80</v>
      </c>
      <c r="AL286" s="234"/>
      <c r="AM286" s="234"/>
      <c r="AN286" s="234"/>
    </row>
    <row r="287" spans="1:40" ht="20.25">
      <c r="A287" s="547" t="s">
        <v>683</v>
      </c>
      <c r="B287" s="548"/>
      <c r="C287" s="549"/>
      <c r="D287" s="544">
        <v>46140</v>
      </c>
      <c r="E287" s="829"/>
      <c r="F287" s="741"/>
      <c r="G287" s="741"/>
      <c r="H287" s="582"/>
      <c r="I287" s="582"/>
      <c r="J287" s="741"/>
      <c r="K287" s="582"/>
      <c r="L287" s="832"/>
      <c r="M287" s="830"/>
      <c r="N287" s="831"/>
      <c r="O287" s="582"/>
      <c r="P287" s="582"/>
      <c r="Q287" s="582"/>
      <c r="R287" s="582"/>
      <c r="S287" s="582"/>
      <c r="T287" s="582"/>
      <c r="U287" s="1137">
        <f>3*20</f>
        <v>60</v>
      </c>
      <c r="V287" s="830"/>
      <c r="W287" s="831"/>
      <c r="X287" s="582"/>
      <c r="Y287" s="582"/>
      <c r="Z287" s="582">
        <f>3*20</f>
        <v>60</v>
      </c>
      <c r="AA287" s="582"/>
      <c r="AB287" s="582"/>
      <c r="AC287" s="582"/>
      <c r="AD287" s="833"/>
      <c r="AE287" s="830"/>
      <c r="AF287" s="1143">
        <f t="shared" si="82"/>
        <v>120</v>
      </c>
      <c r="AG287" s="1151"/>
      <c r="AH287" s="1143"/>
      <c r="AI287" s="1151">
        <f t="shared" si="80"/>
        <v>120</v>
      </c>
      <c r="AJ287" s="1152"/>
      <c r="AK287" s="411">
        <f t="shared" si="81"/>
        <v>120</v>
      </c>
      <c r="AL287" s="276"/>
      <c r="AM287" s="276"/>
      <c r="AN287" s="276"/>
    </row>
    <row r="288" spans="1:40" ht="20.25">
      <c r="A288" s="537" t="s">
        <v>684</v>
      </c>
      <c r="B288" s="548"/>
      <c r="C288" s="549"/>
      <c r="D288" s="544">
        <v>46140</v>
      </c>
      <c r="E288" s="829"/>
      <c r="F288" s="741"/>
      <c r="G288" s="741"/>
      <c r="H288" s="582"/>
      <c r="I288" s="582"/>
      <c r="J288" s="741"/>
      <c r="K288" s="582"/>
      <c r="L288" s="832"/>
      <c r="M288" s="830"/>
      <c r="N288" s="831"/>
      <c r="O288" s="582"/>
      <c r="P288" s="582"/>
      <c r="Q288" s="582"/>
      <c r="R288" s="582"/>
      <c r="S288" s="582"/>
      <c r="T288" s="582"/>
      <c r="U288" s="1137">
        <f>1*20</f>
        <v>20</v>
      </c>
      <c r="V288" s="830"/>
      <c r="W288" s="831"/>
      <c r="X288" s="582"/>
      <c r="Y288" s="582"/>
      <c r="Z288" s="582">
        <f>1*20</f>
        <v>20</v>
      </c>
      <c r="AA288" s="582"/>
      <c r="AB288" s="582"/>
      <c r="AC288" s="582"/>
      <c r="AD288" s="833"/>
      <c r="AE288" s="830"/>
      <c r="AF288" s="1143">
        <f t="shared" si="82"/>
        <v>40</v>
      </c>
      <c r="AG288" s="1151"/>
      <c r="AH288" s="1143"/>
      <c r="AI288" s="1151">
        <f t="shared" si="80"/>
        <v>40</v>
      </c>
      <c r="AJ288" s="1152"/>
      <c r="AK288" s="411">
        <f t="shared" si="81"/>
        <v>40</v>
      </c>
      <c r="AL288" s="234"/>
      <c r="AM288" s="234"/>
      <c r="AN288" s="234"/>
    </row>
    <row r="289" spans="1:40" ht="20.25">
      <c r="A289" s="537" t="s">
        <v>632</v>
      </c>
      <c r="B289" s="545"/>
      <c r="C289" s="539"/>
      <c r="D289" s="544">
        <v>46141</v>
      </c>
      <c r="E289" s="1107">
        <f>2*20</f>
        <v>40</v>
      </c>
      <c r="F289" s="557"/>
      <c r="G289" s="557"/>
      <c r="H289" s="558">
        <f>2*20</f>
        <v>40</v>
      </c>
      <c r="I289" s="558"/>
      <c r="J289" s="557">
        <f>5*20</f>
        <v>100</v>
      </c>
      <c r="K289" s="558">
        <f>5*20</f>
        <v>100</v>
      </c>
      <c r="L289" s="583">
        <f>4*20</f>
        <v>80</v>
      </c>
      <c r="M289" s="584"/>
      <c r="N289" s="585"/>
      <c r="O289" s="558"/>
      <c r="P289" s="558"/>
      <c r="Q289" s="558"/>
      <c r="R289" s="558"/>
      <c r="S289" s="558"/>
      <c r="T289" s="558"/>
      <c r="U289" s="819"/>
      <c r="V289" s="584"/>
      <c r="W289" s="585"/>
      <c r="X289" s="558"/>
      <c r="Y289" s="558"/>
      <c r="Z289" s="558"/>
      <c r="AA289" s="558"/>
      <c r="AB289" s="558"/>
      <c r="AC289" s="558"/>
      <c r="AD289" s="595"/>
      <c r="AE289" s="584"/>
      <c r="AF289" s="596">
        <f t="shared" si="82"/>
        <v>360</v>
      </c>
      <c r="AG289" s="597"/>
      <c r="AH289" s="596"/>
      <c r="AI289" s="597">
        <f t="shared" si="80"/>
        <v>360</v>
      </c>
      <c r="AJ289" s="607"/>
      <c r="AK289" s="606">
        <f t="shared" si="81"/>
        <v>360</v>
      </c>
      <c r="AL289" s="234"/>
      <c r="AM289" s="234"/>
      <c r="AN289" s="234"/>
    </row>
    <row r="290" spans="1:40" ht="20.25">
      <c r="A290" s="537" t="s">
        <v>659</v>
      </c>
      <c r="B290" s="796"/>
      <c r="C290" s="797"/>
      <c r="D290" s="544">
        <v>46142</v>
      </c>
      <c r="E290" s="829"/>
      <c r="F290" s="741"/>
      <c r="G290" s="741"/>
      <c r="H290" s="582"/>
      <c r="I290" s="582"/>
      <c r="J290" s="741"/>
      <c r="K290" s="582"/>
      <c r="L290" s="583"/>
      <c r="M290" s="830"/>
      <c r="N290" s="831"/>
      <c r="O290" s="582"/>
      <c r="P290" s="582"/>
      <c r="Q290" s="582"/>
      <c r="R290" s="582"/>
      <c r="S290" s="582"/>
      <c r="T290" s="582"/>
      <c r="U290" s="1137"/>
      <c r="V290" s="830"/>
      <c r="W290" s="831"/>
      <c r="X290" s="582"/>
      <c r="Y290" s="582"/>
      <c r="Z290" s="582">
        <f>2*20</f>
        <v>40</v>
      </c>
      <c r="AA290" s="582"/>
      <c r="AB290" s="582"/>
      <c r="AC290" s="582"/>
      <c r="AD290" s="833"/>
      <c r="AE290" s="830"/>
      <c r="AF290" s="1143">
        <f t="shared" si="82"/>
        <v>40</v>
      </c>
      <c r="AG290" s="1151"/>
      <c r="AH290" s="1143"/>
      <c r="AI290" s="1151">
        <f t="shared" si="80"/>
        <v>40</v>
      </c>
      <c r="AJ290" s="1152"/>
      <c r="AK290" s="411">
        <f t="shared" si="81"/>
        <v>40</v>
      </c>
      <c r="AL290" s="276"/>
      <c r="AM290" s="276"/>
      <c r="AN290" s="276"/>
    </row>
    <row r="291" spans="1:40" ht="20.25">
      <c r="A291" s="1111"/>
      <c r="B291" s="796"/>
      <c r="C291" s="797"/>
      <c r="D291" s="544"/>
      <c r="E291" s="556"/>
      <c r="F291" s="557"/>
      <c r="G291" s="557"/>
      <c r="H291" s="558"/>
      <c r="I291" s="558"/>
      <c r="J291" s="557"/>
      <c r="K291" s="558"/>
      <c r="L291" s="583"/>
      <c r="M291" s="584"/>
      <c r="N291" s="585"/>
      <c r="O291" s="558"/>
      <c r="P291" s="558"/>
      <c r="Q291" s="558"/>
      <c r="R291" s="558"/>
      <c r="S291" s="558"/>
      <c r="T291" s="558"/>
      <c r="U291" s="588"/>
      <c r="V291" s="584"/>
      <c r="W291" s="585"/>
      <c r="X291" s="558"/>
      <c r="Y291" s="558"/>
      <c r="Z291" s="558"/>
      <c r="AA291" s="558"/>
      <c r="AB291" s="558"/>
      <c r="AC291" s="558"/>
      <c r="AD291" s="595"/>
      <c r="AE291" s="584"/>
      <c r="AF291" s="596">
        <f t="shared" si="82"/>
        <v>0</v>
      </c>
      <c r="AG291" s="597"/>
      <c r="AH291" s="596"/>
      <c r="AI291" s="597">
        <f t="shared" si="80"/>
        <v>0</v>
      </c>
      <c r="AJ291" s="607"/>
      <c r="AK291" s="606">
        <f t="shared" si="81"/>
        <v>0</v>
      </c>
      <c r="AL291" s="276"/>
      <c r="AM291" s="276"/>
      <c r="AN291" s="276"/>
    </row>
    <row r="292" spans="1:40" ht="20.25">
      <c r="A292" s="537"/>
      <c r="B292" s="548"/>
      <c r="C292" s="549"/>
      <c r="D292" s="544"/>
      <c r="E292" s="829"/>
      <c r="F292" s="741"/>
      <c r="G292" s="741"/>
      <c r="H292" s="582"/>
      <c r="I292" s="582"/>
      <c r="J292" s="741"/>
      <c r="K292" s="582"/>
      <c r="L292" s="832"/>
      <c r="M292" s="830"/>
      <c r="N292" s="831"/>
      <c r="O292" s="582"/>
      <c r="P292" s="582"/>
      <c r="Q292" s="582"/>
      <c r="R292" s="582"/>
      <c r="S292" s="582"/>
      <c r="T292" s="582"/>
      <c r="U292" s="1137"/>
      <c r="V292" s="830"/>
      <c r="W292" s="831"/>
      <c r="X292" s="582"/>
      <c r="Y292" s="582"/>
      <c r="Z292" s="582"/>
      <c r="AA292" s="582"/>
      <c r="AB292" s="582"/>
      <c r="AC292" s="582"/>
      <c r="AD292" s="833"/>
      <c r="AE292" s="830"/>
      <c r="AF292" s="1143">
        <f t="shared" si="82"/>
        <v>0</v>
      </c>
      <c r="AG292" s="1151"/>
      <c r="AH292" s="1143"/>
      <c r="AI292" s="1151">
        <f t="shared" si="80"/>
        <v>0</v>
      </c>
      <c r="AJ292" s="1152"/>
      <c r="AK292" s="411">
        <f t="shared" si="81"/>
        <v>0</v>
      </c>
      <c r="AL292" s="234"/>
      <c r="AM292" s="234"/>
      <c r="AN292" s="234"/>
    </row>
    <row r="293" spans="1:40" ht="20.25">
      <c r="A293" s="551"/>
      <c r="B293" s="552"/>
      <c r="C293" s="553"/>
      <c r="D293" s="544"/>
      <c r="E293" s="829"/>
      <c r="F293" s="741"/>
      <c r="G293" s="741"/>
      <c r="H293" s="582"/>
      <c r="I293" s="582"/>
      <c r="J293" s="741"/>
      <c r="K293" s="582"/>
      <c r="L293" s="832"/>
      <c r="M293" s="830"/>
      <c r="N293" s="831"/>
      <c r="O293" s="582"/>
      <c r="P293" s="582"/>
      <c r="Q293" s="582"/>
      <c r="R293" s="582"/>
      <c r="S293" s="582"/>
      <c r="T293" s="582"/>
      <c r="U293" s="1137"/>
      <c r="V293" s="830"/>
      <c r="W293" s="831"/>
      <c r="X293" s="582"/>
      <c r="Y293" s="741"/>
      <c r="Z293" s="582"/>
      <c r="AA293" s="582"/>
      <c r="AB293" s="582"/>
      <c r="AC293" s="582"/>
      <c r="AD293" s="833"/>
      <c r="AE293" s="830"/>
      <c r="AF293" s="1143">
        <f t="shared" si="82"/>
        <v>0</v>
      </c>
      <c r="AG293" s="1151"/>
      <c r="AH293" s="1143"/>
      <c r="AI293" s="1151">
        <f t="shared" si="80"/>
        <v>0</v>
      </c>
      <c r="AJ293" s="1152"/>
      <c r="AK293" s="411">
        <f t="shared" si="81"/>
        <v>0</v>
      </c>
      <c r="AL293" s="276"/>
      <c r="AM293" s="276"/>
      <c r="AN293" s="276"/>
    </row>
    <row r="294" spans="1:40" ht="20.25">
      <c r="A294" s="547"/>
      <c r="B294" s="552"/>
      <c r="C294" s="553"/>
      <c r="D294" s="544"/>
      <c r="E294" s="556"/>
      <c r="F294" s="557"/>
      <c r="G294" s="557"/>
      <c r="H294" s="558"/>
      <c r="I294" s="558"/>
      <c r="J294" s="557"/>
      <c r="K294" s="558"/>
      <c r="L294" s="583"/>
      <c r="M294" s="584"/>
      <c r="N294" s="585"/>
      <c r="O294" s="558"/>
      <c r="P294" s="558"/>
      <c r="Q294" s="558"/>
      <c r="R294" s="558"/>
      <c r="S294" s="558"/>
      <c r="T294" s="558"/>
      <c r="U294" s="588"/>
      <c r="V294" s="584"/>
      <c r="W294" s="585"/>
      <c r="X294" s="558"/>
      <c r="Y294" s="557"/>
      <c r="Z294" s="558"/>
      <c r="AA294" s="558"/>
      <c r="AB294" s="558"/>
      <c r="AC294" s="558"/>
      <c r="AD294" s="595"/>
      <c r="AE294" s="584"/>
      <c r="AF294" s="596">
        <f t="shared" si="82"/>
        <v>0</v>
      </c>
      <c r="AG294" s="597"/>
      <c r="AH294" s="596"/>
      <c r="AI294" s="597">
        <f t="shared" si="80"/>
        <v>0</v>
      </c>
      <c r="AJ294" s="607"/>
      <c r="AK294" s="606">
        <f t="shared" si="81"/>
        <v>0</v>
      </c>
      <c r="AL294" s="234"/>
      <c r="AM294" s="234"/>
      <c r="AN294" s="234"/>
    </row>
    <row r="295" spans="1:40" ht="20.25">
      <c r="A295" s="537"/>
      <c r="B295" s="552"/>
      <c r="C295" s="553"/>
      <c r="D295" s="544"/>
      <c r="E295" s="556"/>
      <c r="F295" s="557"/>
      <c r="G295" s="557"/>
      <c r="H295" s="558"/>
      <c r="I295" s="558"/>
      <c r="J295" s="557"/>
      <c r="K295" s="558"/>
      <c r="L295" s="583"/>
      <c r="M295" s="584"/>
      <c r="N295" s="585"/>
      <c r="O295" s="558"/>
      <c r="P295" s="558"/>
      <c r="Q295" s="558"/>
      <c r="R295" s="558"/>
      <c r="S295" s="558"/>
      <c r="T295" s="558"/>
      <c r="U295" s="588"/>
      <c r="V295" s="584"/>
      <c r="W295" s="585"/>
      <c r="X295" s="558"/>
      <c r="Y295" s="558"/>
      <c r="Z295" s="558"/>
      <c r="AA295" s="558"/>
      <c r="AB295" s="558"/>
      <c r="AC295" s="558"/>
      <c r="AD295" s="595"/>
      <c r="AE295" s="584"/>
      <c r="AF295" s="596">
        <f t="shared" si="82"/>
        <v>0</v>
      </c>
      <c r="AG295" s="597"/>
      <c r="AH295" s="596"/>
      <c r="AI295" s="597">
        <f t="shared" si="80"/>
        <v>0</v>
      </c>
      <c r="AJ295" s="607"/>
      <c r="AK295" s="606">
        <f t="shared" si="81"/>
        <v>0</v>
      </c>
      <c r="AL295" s="234"/>
      <c r="AM295" s="234"/>
      <c r="AN295" s="234"/>
    </row>
    <row r="296" spans="1:40" ht="20.25">
      <c r="A296" s="537"/>
      <c r="B296" s="552"/>
      <c r="C296" s="553"/>
      <c r="D296" s="544"/>
      <c r="E296" s="829"/>
      <c r="F296" s="741"/>
      <c r="G296" s="741"/>
      <c r="H296" s="582"/>
      <c r="I296" s="582"/>
      <c r="J296" s="741"/>
      <c r="K296" s="582"/>
      <c r="L296" s="832"/>
      <c r="M296" s="830"/>
      <c r="N296" s="831"/>
      <c r="O296" s="582"/>
      <c r="P296" s="582"/>
      <c r="Q296" s="582"/>
      <c r="R296" s="582"/>
      <c r="S296" s="582"/>
      <c r="T296" s="582"/>
      <c r="U296" s="1137"/>
      <c r="V296" s="830"/>
      <c r="W296" s="831"/>
      <c r="X296" s="582"/>
      <c r="Y296" s="582"/>
      <c r="Z296" s="582"/>
      <c r="AA296" s="582"/>
      <c r="AB296" s="582"/>
      <c r="AC296" s="582"/>
      <c r="AD296" s="833"/>
      <c r="AE296" s="830"/>
      <c r="AF296" s="1143">
        <f t="shared" si="82"/>
        <v>0</v>
      </c>
      <c r="AG296" s="1151"/>
      <c r="AH296" s="1143"/>
      <c r="AI296" s="1151">
        <f t="shared" si="80"/>
        <v>0</v>
      </c>
      <c r="AJ296" s="1152"/>
      <c r="AK296" s="411">
        <f t="shared" si="81"/>
        <v>0</v>
      </c>
      <c r="AL296" s="276"/>
      <c r="AM296" s="276"/>
      <c r="AN296" s="276"/>
    </row>
    <row r="297" spans="1:40" ht="20.25">
      <c r="A297" s="537"/>
      <c r="B297" s="563"/>
      <c r="C297" s="553"/>
      <c r="D297" s="544"/>
      <c r="E297" s="556"/>
      <c r="F297" s="557"/>
      <c r="G297" s="557"/>
      <c r="H297" s="558"/>
      <c r="I297" s="558"/>
      <c r="J297" s="557"/>
      <c r="K297" s="558"/>
      <c r="L297" s="583"/>
      <c r="M297" s="584"/>
      <c r="N297" s="585"/>
      <c r="O297" s="558"/>
      <c r="P297" s="558"/>
      <c r="Q297" s="558"/>
      <c r="R297" s="558"/>
      <c r="S297" s="558"/>
      <c r="T297" s="558"/>
      <c r="U297" s="588"/>
      <c r="V297" s="584"/>
      <c r="W297" s="585"/>
      <c r="X297" s="558"/>
      <c r="Y297" s="558"/>
      <c r="Z297" s="558"/>
      <c r="AA297" s="558"/>
      <c r="AB297" s="558"/>
      <c r="AC297" s="558"/>
      <c r="AD297" s="595"/>
      <c r="AE297" s="584"/>
      <c r="AF297" s="596">
        <f t="shared" si="82"/>
        <v>0</v>
      </c>
      <c r="AG297" s="597"/>
      <c r="AH297" s="596"/>
      <c r="AI297" s="597">
        <f t="shared" si="80"/>
        <v>0</v>
      </c>
      <c r="AJ297" s="607"/>
      <c r="AK297" s="606">
        <f t="shared" si="81"/>
        <v>0</v>
      </c>
      <c r="AL297" s="234"/>
      <c r="AM297" s="234"/>
      <c r="AN297" s="234"/>
    </row>
    <row r="298" spans="1:40" ht="20.25">
      <c r="A298" s="561"/>
      <c r="B298" s="552"/>
      <c r="C298" s="553"/>
      <c r="D298" s="544"/>
      <c r="E298" s="829"/>
      <c r="F298" s="741"/>
      <c r="G298" s="741"/>
      <c r="H298" s="582"/>
      <c r="I298" s="582"/>
      <c r="J298" s="741"/>
      <c r="K298" s="582"/>
      <c r="L298" s="832"/>
      <c r="M298" s="830"/>
      <c r="N298" s="831"/>
      <c r="O298" s="582"/>
      <c r="P298" s="582"/>
      <c r="Q298" s="582"/>
      <c r="R298" s="582"/>
      <c r="S298" s="582"/>
      <c r="T298" s="582"/>
      <c r="U298" s="1137"/>
      <c r="V298" s="830"/>
      <c r="W298" s="831"/>
      <c r="X298" s="582"/>
      <c r="Y298" s="582"/>
      <c r="Z298" s="582"/>
      <c r="AA298" s="582"/>
      <c r="AB298" s="582"/>
      <c r="AC298" s="582"/>
      <c r="AD298" s="833"/>
      <c r="AE298" s="830"/>
      <c r="AF298" s="1143">
        <f t="shared" si="82"/>
        <v>0</v>
      </c>
      <c r="AG298" s="1151"/>
      <c r="AH298" s="1143"/>
      <c r="AI298" s="1151">
        <f t="shared" si="80"/>
        <v>0</v>
      </c>
      <c r="AJ298" s="1152"/>
      <c r="AK298" s="411">
        <f t="shared" si="81"/>
        <v>0</v>
      </c>
      <c r="AL298" s="276"/>
      <c r="AM298" s="276"/>
      <c r="AN298" s="276"/>
    </row>
    <row r="299" spans="1:40" ht="20.25">
      <c r="A299" s="537"/>
      <c r="B299" s="552"/>
      <c r="C299" s="553"/>
      <c r="D299" s="544"/>
      <c r="E299" s="829"/>
      <c r="F299" s="741"/>
      <c r="G299" s="741"/>
      <c r="H299" s="582"/>
      <c r="I299" s="582"/>
      <c r="J299" s="741"/>
      <c r="K299" s="582"/>
      <c r="L299" s="832"/>
      <c r="M299" s="830"/>
      <c r="N299" s="831"/>
      <c r="O299" s="582"/>
      <c r="P299" s="582"/>
      <c r="Q299" s="582"/>
      <c r="R299" s="582"/>
      <c r="S299" s="582"/>
      <c r="T299" s="582"/>
      <c r="U299" s="1137"/>
      <c r="V299" s="830"/>
      <c r="W299" s="831"/>
      <c r="X299" s="582"/>
      <c r="Y299" s="582"/>
      <c r="Z299" s="582"/>
      <c r="AA299" s="582"/>
      <c r="AB299" s="582"/>
      <c r="AC299" s="582"/>
      <c r="AD299" s="833"/>
      <c r="AE299" s="830"/>
      <c r="AF299" s="1143">
        <f t="shared" si="82"/>
        <v>0</v>
      </c>
      <c r="AG299" s="1151"/>
      <c r="AH299" s="1143"/>
      <c r="AI299" s="1151">
        <f t="shared" si="80"/>
        <v>0</v>
      </c>
      <c r="AJ299" s="1152"/>
      <c r="AK299" s="411">
        <f t="shared" si="81"/>
        <v>0</v>
      </c>
      <c r="AL299" s="234"/>
      <c r="AM299" s="234"/>
      <c r="AN299" s="234"/>
    </row>
    <row r="300" spans="1:40" ht="20.25">
      <c r="A300" s="537"/>
      <c r="B300" s="563"/>
      <c r="C300" s="553"/>
      <c r="D300" s="544"/>
      <c r="E300" s="556"/>
      <c r="F300" s="557"/>
      <c r="G300" s="557"/>
      <c r="H300" s="558"/>
      <c r="I300" s="558"/>
      <c r="J300" s="557"/>
      <c r="K300" s="558"/>
      <c r="L300" s="583"/>
      <c r="M300" s="584"/>
      <c r="N300" s="585"/>
      <c r="O300" s="558"/>
      <c r="P300" s="558"/>
      <c r="Q300" s="558"/>
      <c r="R300" s="558"/>
      <c r="S300" s="558"/>
      <c r="T300" s="558"/>
      <c r="U300" s="588"/>
      <c r="V300" s="584"/>
      <c r="W300" s="585"/>
      <c r="X300" s="558"/>
      <c r="Y300" s="558"/>
      <c r="Z300" s="558"/>
      <c r="AA300" s="558"/>
      <c r="AB300" s="558"/>
      <c r="AC300" s="558"/>
      <c r="AD300" s="595"/>
      <c r="AE300" s="584"/>
      <c r="AF300" s="596">
        <f t="shared" si="82"/>
        <v>0</v>
      </c>
      <c r="AG300" s="597"/>
      <c r="AH300" s="596"/>
      <c r="AI300" s="597">
        <f t="shared" si="80"/>
        <v>0</v>
      </c>
      <c r="AJ300" s="607"/>
      <c r="AK300" s="606">
        <f t="shared" si="81"/>
        <v>0</v>
      </c>
      <c r="AL300" s="276"/>
      <c r="AM300" s="276"/>
      <c r="AN300" s="276"/>
    </row>
    <row r="301" spans="1:40" ht="20.25">
      <c r="A301" s="551"/>
      <c r="B301" s="538"/>
      <c r="C301" s="3079"/>
      <c r="D301" s="544"/>
      <c r="E301" s="319"/>
      <c r="F301" s="320"/>
      <c r="G301" s="320"/>
      <c r="H301" s="321"/>
      <c r="I301" s="321"/>
      <c r="J301" s="320"/>
      <c r="K301" s="321"/>
      <c r="L301" s="351"/>
      <c r="M301" s="352"/>
      <c r="N301" s="353"/>
      <c r="O301" s="321"/>
      <c r="P301" s="321"/>
      <c r="Q301" s="321"/>
      <c r="R301" s="321"/>
      <c r="S301" s="321"/>
      <c r="T301" s="321"/>
      <c r="U301" s="354"/>
      <c r="V301" s="352"/>
      <c r="W301" s="353"/>
      <c r="X301" s="321"/>
      <c r="Y301" s="321"/>
      <c r="Z301" s="321"/>
      <c r="AA301" s="321"/>
      <c r="AB301" s="321"/>
      <c r="AC301" s="321"/>
      <c r="AD301" s="380"/>
      <c r="AE301" s="352"/>
      <c r="AF301" s="408">
        <f t="shared" si="82"/>
        <v>0</v>
      </c>
      <c r="AG301" s="409"/>
      <c r="AH301" s="408"/>
      <c r="AI301" s="409">
        <f t="shared" si="80"/>
        <v>0</v>
      </c>
      <c r="AJ301" s="410"/>
      <c r="AK301" s="411">
        <f t="shared" si="81"/>
        <v>0</v>
      </c>
      <c r="AL301" s="234"/>
      <c r="AM301" s="234"/>
      <c r="AN301" s="234"/>
    </row>
    <row r="302" spans="1:40" ht="20.25">
      <c r="A302" s="537"/>
      <c r="B302" s="552"/>
      <c r="C302" s="553"/>
      <c r="D302" s="544"/>
      <c r="E302" s="541"/>
      <c r="F302" s="542"/>
      <c r="G302" s="542"/>
      <c r="H302" s="543"/>
      <c r="I302" s="543"/>
      <c r="J302" s="542"/>
      <c r="K302" s="543"/>
      <c r="L302" s="579"/>
      <c r="M302" s="580"/>
      <c r="N302" s="581"/>
      <c r="O302" s="543"/>
      <c r="P302" s="543"/>
      <c r="Q302" s="543"/>
      <c r="R302" s="543"/>
      <c r="S302" s="543"/>
      <c r="T302" s="543"/>
      <c r="U302" s="587"/>
      <c r="V302" s="580"/>
      <c r="W302" s="581"/>
      <c r="X302" s="543"/>
      <c r="Y302" s="543"/>
      <c r="Z302" s="543"/>
      <c r="AA302" s="543"/>
      <c r="AB302" s="543"/>
      <c r="AC302" s="543"/>
      <c r="AD302" s="592"/>
      <c r="AE302" s="580"/>
      <c r="AF302" s="593">
        <f t="shared" si="82"/>
        <v>0</v>
      </c>
      <c r="AG302" s="594"/>
      <c r="AH302" s="593"/>
      <c r="AI302" s="594">
        <f t="shared" si="80"/>
        <v>0</v>
      </c>
      <c r="AJ302" s="605"/>
      <c r="AK302" s="606">
        <f t="shared" si="81"/>
        <v>0</v>
      </c>
      <c r="AL302" s="1063"/>
      <c r="AM302" s="1063"/>
      <c r="AN302" s="1063"/>
    </row>
    <row r="303" spans="1:40" ht="20.25">
      <c r="A303" s="551"/>
      <c r="B303" s="550"/>
      <c r="C303" s="549"/>
      <c r="D303" s="544"/>
      <c r="E303" s="319"/>
      <c r="F303" s="320"/>
      <c r="G303" s="320"/>
      <c r="H303" s="321"/>
      <c r="I303" s="321"/>
      <c r="J303" s="320"/>
      <c r="K303" s="321"/>
      <c r="L303" s="351"/>
      <c r="M303" s="352"/>
      <c r="N303" s="353"/>
      <c r="O303" s="321"/>
      <c r="P303" s="321"/>
      <c r="Q303" s="321"/>
      <c r="R303" s="321"/>
      <c r="S303" s="321"/>
      <c r="T303" s="321"/>
      <c r="U303" s="354"/>
      <c r="V303" s="352"/>
      <c r="W303" s="353"/>
      <c r="X303" s="321"/>
      <c r="Y303" s="321"/>
      <c r="Z303" s="321"/>
      <c r="AA303" s="321"/>
      <c r="AB303" s="321"/>
      <c r="AC303" s="321"/>
      <c r="AD303" s="380"/>
      <c r="AE303" s="352"/>
      <c r="AF303" s="408">
        <f t="shared" si="82"/>
        <v>0</v>
      </c>
      <c r="AG303" s="409"/>
      <c r="AH303" s="408"/>
      <c r="AI303" s="409">
        <f t="shared" si="80"/>
        <v>0</v>
      </c>
      <c r="AJ303" s="410"/>
      <c r="AK303" s="411">
        <f t="shared" si="81"/>
        <v>0</v>
      </c>
      <c r="AL303" s="1063"/>
      <c r="AM303" s="1063"/>
      <c r="AN303" s="1063"/>
    </row>
    <row r="304" spans="1:40" ht="20.25">
      <c r="A304" s="547"/>
      <c r="B304" s="552"/>
      <c r="C304" s="553"/>
      <c r="D304" s="544"/>
      <c r="E304" s="541"/>
      <c r="F304" s="542"/>
      <c r="G304" s="542"/>
      <c r="H304" s="543"/>
      <c r="I304" s="543"/>
      <c r="J304" s="542"/>
      <c r="K304" s="543"/>
      <c r="L304" s="579"/>
      <c r="M304" s="580"/>
      <c r="N304" s="581"/>
      <c r="O304" s="543"/>
      <c r="P304" s="543"/>
      <c r="Q304" s="543"/>
      <c r="R304" s="543"/>
      <c r="S304" s="543"/>
      <c r="T304" s="543"/>
      <c r="U304" s="587"/>
      <c r="V304" s="580"/>
      <c r="W304" s="581"/>
      <c r="X304" s="543"/>
      <c r="Y304" s="543"/>
      <c r="Z304" s="543"/>
      <c r="AA304" s="543"/>
      <c r="AB304" s="543"/>
      <c r="AC304" s="543"/>
      <c r="AD304" s="592"/>
      <c r="AE304" s="580"/>
      <c r="AF304" s="593">
        <f t="shared" si="82"/>
        <v>0</v>
      </c>
      <c r="AG304" s="594"/>
      <c r="AH304" s="593"/>
      <c r="AI304" s="594">
        <f t="shared" si="80"/>
        <v>0</v>
      </c>
      <c r="AJ304" s="605"/>
      <c r="AK304" s="606">
        <f t="shared" si="81"/>
        <v>0</v>
      </c>
      <c r="AL304" s="1063"/>
      <c r="AM304" s="1063"/>
      <c r="AN304" s="1063"/>
    </row>
    <row r="305" spans="1:40" ht="20.25">
      <c r="A305" s="551"/>
      <c r="B305" s="550"/>
      <c r="C305" s="549"/>
      <c r="D305" s="544"/>
      <c r="E305" s="319"/>
      <c r="F305" s="320"/>
      <c r="G305" s="320"/>
      <c r="H305" s="321"/>
      <c r="I305" s="321"/>
      <c r="J305" s="320"/>
      <c r="K305" s="321"/>
      <c r="L305" s="351"/>
      <c r="M305" s="352"/>
      <c r="N305" s="353"/>
      <c r="O305" s="321"/>
      <c r="P305" s="321"/>
      <c r="Q305" s="321"/>
      <c r="R305" s="321"/>
      <c r="S305" s="321"/>
      <c r="T305" s="321"/>
      <c r="U305" s="354"/>
      <c r="V305" s="352"/>
      <c r="W305" s="353"/>
      <c r="X305" s="321"/>
      <c r="Y305" s="321"/>
      <c r="Z305" s="321"/>
      <c r="AA305" s="321"/>
      <c r="AB305" s="321"/>
      <c r="AC305" s="321"/>
      <c r="AD305" s="380"/>
      <c r="AE305" s="352"/>
      <c r="AF305" s="408">
        <f t="shared" si="82"/>
        <v>0</v>
      </c>
      <c r="AG305" s="409"/>
      <c r="AH305" s="408"/>
      <c r="AI305" s="409">
        <f t="shared" si="80"/>
        <v>0</v>
      </c>
      <c r="AJ305" s="410"/>
      <c r="AK305" s="411">
        <f t="shared" si="81"/>
        <v>0</v>
      </c>
      <c r="AL305" s="1063"/>
      <c r="AM305" s="1063"/>
      <c r="AN305" s="1063"/>
    </row>
    <row r="306" spans="1:40" ht="20.25">
      <c r="A306" s="537"/>
      <c r="B306" s="550"/>
      <c r="C306" s="549"/>
      <c r="D306" s="544"/>
      <c r="E306" s="1108"/>
      <c r="F306" s="1109"/>
      <c r="G306" s="1109"/>
      <c r="H306" s="1110"/>
      <c r="I306" s="1110"/>
      <c r="J306" s="1109"/>
      <c r="K306" s="1110"/>
      <c r="L306" s="1124"/>
      <c r="M306" s="1125"/>
      <c r="N306" s="1126"/>
      <c r="O306" s="1127"/>
      <c r="P306" s="1127"/>
      <c r="Q306" s="1127"/>
      <c r="R306" s="1127"/>
      <c r="S306" s="1127"/>
      <c r="T306" s="1127"/>
      <c r="U306" s="1138"/>
      <c r="V306" s="1139"/>
      <c r="W306" s="1126"/>
      <c r="X306" s="1127"/>
      <c r="Y306" s="1127"/>
      <c r="Z306" s="1127"/>
      <c r="AA306" s="1127"/>
      <c r="AB306" s="1127"/>
      <c r="AC306" s="1127"/>
      <c r="AD306" s="1144"/>
      <c r="AE306" s="1139"/>
      <c r="AF306" s="1145">
        <f t="shared" si="78"/>
        <v>0</v>
      </c>
      <c r="AG306" s="1153"/>
      <c r="AH306" s="1145"/>
      <c r="AI306" s="1153">
        <f t="shared" si="80"/>
        <v>0</v>
      </c>
      <c r="AJ306" s="1154"/>
      <c r="AK306" s="1155">
        <f t="shared" si="81"/>
        <v>0</v>
      </c>
      <c r="AL306" s="1063"/>
      <c r="AM306" s="1063"/>
      <c r="AN306" s="1063"/>
    </row>
    <row r="307" spans="1:40" ht="21" thickBot="1">
      <c r="A307" s="537"/>
      <c r="B307" s="550"/>
      <c r="C307" s="549"/>
      <c r="D307" s="544"/>
      <c r="E307" s="1108"/>
      <c r="F307" s="1109"/>
      <c r="G307" s="1109"/>
      <c r="H307" s="1110"/>
      <c r="I307" s="1110"/>
      <c r="J307" s="1109"/>
      <c r="K307" s="1110"/>
      <c r="L307" s="1124"/>
      <c r="M307" s="1128"/>
      <c r="N307" s="1129"/>
      <c r="O307" s="1130"/>
      <c r="P307" s="1130"/>
      <c r="Q307" s="1130"/>
      <c r="R307" s="1130"/>
      <c r="S307" s="1130"/>
      <c r="T307" s="1130"/>
      <c r="U307" s="1140"/>
      <c r="V307" s="1131"/>
      <c r="W307" s="1129"/>
      <c r="X307" s="1130"/>
      <c r="Y307" s="1130"/>
      <c r="Z307" s="1130"/>
      <c r="AA307" s="1130"/>
      <c r="AB307" s="1130"/>
      <c r="AC307" s="1130"/>
      <c r="AD307" s="1146"/>
      <c r="AE307" s="1147"/>
      <c r="AF307" s="1148">
        <f t="shared" ref="AF307:AF335" si="83">SUM(E307:AD307)</f>
        <v>0</v>
      </c>
      <c r="AG307" s="1156"/>
      <c r="AH307" s="1150"/>
      <c r="AI307" s="1156">
        <f t="shared" si="80"/>
        <v>0</v>
      </c>
      <c r="AJ307" s="1157"/>
      <c r="AK307" s="1158">
        <f t="shared" si="81"/>
        <v>0</v>
      </c>
      <c r="AL307" s="1063"/>
      <c r="AM307" s="1063"/>
      <c r="AN307" s="1063"/>
    </row>
    <row r="308" spans="1:40" ht="21" thickBot="1">
      <c r="A308" s="1111"/>
      <c r="B308" s="552"/>
      <c r="C308" s="553"/>
      <c r="D308" s="544"/>
      <c r="E308" s="1108"/>
      <c r="F308" s="1109"/>
      <c r="G308" s="1109"/>
      <c r="H308" s="1110"/>
      <c r="I308" s="1110"/>
      <c r="J308" s="1109"/>
      <c r="K308" s="1110"/>
      <c r="L308" s="1124"/>
      <c r="M308" s="1128"/>
      <c r="N308" s="1126"/>
      <c r="O308" s="1127"/>
      <c r="P308" s="1127"/>
      <c r="Q308" s="1127"/>
      <c r="R308" s="1127"/>
      <c r="S308" s="1127"/>
      <c r="T308" s="1127"/>
      <c r="U308" s="1138"/>
      <c r="V308" s="1139"/>
      <c r="W308" s="1126"/>
      <c r="X308" s="1127"/>
      <c r="Y308" s="1127"/>
      <c r="Z308" s="1127"/>
      <c r="AA308" s="1127"/>
      <c r="AB308" s="1127"/>
      <c r="AC308" s="1127"/>
      <c r="AD308" s="1144"/>
      <c r="AE308" s="1147"/>
      <c r="AF308" s="1145">
        <f t="shared" si="83"/>
        <v>0</v>
      </c>
      <c r="AG308" s="1153"/>
      <c r="AH308" s="1145"/>
      <c r="AI308" s="1153">
        <f t="shared" si="80"/>
        <v>0</v>
      </c>
      <c r="AJ308" s="1154"/>
      <c r="AK308" s="1155">
        <f t="shared" si="81"/>
        <v>0</v>
      </c>
      <c r="AL308" s="1063"/>
      <c r="AM308" s="1063"/>
      <c r="AN308" s="1063"/>
    </row>
    <row r="309" spans="1:40" ht="20.25">
      <c r="A309" s="1111"/>
      <c r="B309" s="550"/>
      <c r="C309" s="549"/>
      <c r="D309" s="544"/>
      <c r="E309" s="1108"/>
      <c r="F309" s="1109"/>
      <c r="G309" s="1109"/>
      <c r="H309" s="1110"/>
      <c r="I309" s="1110"/>
      <c r="J309" s="1109"/>
      <c r="K309" s="1110"/>
      <c r="L309" s="1124"/>
      <c r="M309" s="1131"/>
      <c r="N309" s="1108"/>
      <c r="O309" s="1109"/>
      <c r="P309" s="1109"/>
      <c r="Q309" s="1110"/>
      <c r="R309" s="1110"/>
      <c r="S309" s="1109"/>
      <c r="T309" s="1110"/>
      <c r="U309" s="1124"/>
      <c r="V309" s="1131"/>
      <c r="W309" s="1108"/>
      <c r="X309" s="1109"/>
      <c r="Y309" s="1109"/>
      <c r="Z309" s="1110"/>
      <c r="AA309" s="1110"/>
      <c r="AB309" s="1109"/>
      <c r="AC309" s="1110"/>
      <c r="AD309" s="1124"/>
      <c r="AE309" s="1131"/>
      <c r="AF309" s="1148">
        <f t="shared" si="83"/>
        <v>0</v>
      </c>
      <c r="AG309" s="1156"/>
      <c r="AH309" s="1148"/>
      <c r="AI309" s="1156">
        <f t="shared" si="80"/>
        <v>0</v>
      </c>
      <c r="AJ309" s="1159"/>
      <c r="AK309" s="1158">
        <f t="shared" si="81"/>
        <v>0</v>
      </c>
      <c r="AL309" s="1063"/>
      <c r="AM309" s="1063"/>
      <c r="AN309" s="1063"/>
    </row>
    <row r="310" spans="1:40" ht="20.25">
      <c r="A310" s="537"/>
      <c r="B310" s="538"/>
      <c r="C310" s="539"/>
      <c r="D310" s="544"/>
      <c r="E310" s="1108"/>
      <c r="F310" s="1109"/>
      <c r="G310" s="1109"/>
      <c r="H310" s="1110"/>
      <c r="I310" s="1110"/>
      <c r="J310" s="1109"/>
      <c r="K310" s="1110"/>
      <c r="L310" s="1124"/>
      <c r="M310" s="1131"/>
      <c r="N310" s="1108"/>
      <c r="O310" s="1109"/>
      <c r="P310" s="1109"/>
      <c r="Q310" s="1110"/>
      <c r="R310" s="1110"/>
      <c r="S310" s="1109"/>
      <c r="T310" s="1110"/>
      <c r="U310" s="1124"/>
      <c r="V310" s="1131"/>
      <c r="W310" s="1108"/>
      <c r="X310" s="1109"/>
      <c r="Y310" s="1109"/>
      <c r="Z310" s="1110"/>
      <c r="AA310" s="1110"/>
      <c r="AB310" s="1109"/>
      <c r="AC310" s="1110"/>
      <c r="AD310" s="1124"/>
      <c r="AE310" s="1131"/>
      <c r="AF310" s="1145">
        <f t="shared" si="83"/>
        <v>0</v>
      </c>
      <c r="AG310" s="1153"/>
      <c r="AH310" s="1145"/>
      <c r="AI310" s="1153">
        <f t="shared" si="80"/>
        <v>0</v>
      </c>
      <c r="AJ310" s="1154"/>
      <c r="AK310" s="1155">
        <f t="shared" si="81"/>
        <v>0</v>
      </c>
      <c r="AL310" s="1063"/>
      <c r="AM310" s="1063"/>
      <c r="AN310" s="1063"/>
    </row>
    <row r="311" spans="1:40" ht="20.25">
      <c r="A311" s="547"/>
      <c r="B311" s="1112"/>
      <c r="C311" s="1113"/>
      <c r="D311" s="1114"/>
      <c r="E311" s="1108"/>
      <c r="F311" s="1109"/>
      <c r="G311" s="1109"/>
      <c r="H311" s="1110"/>
      <c r="I311" s="1110"/>
      <c r="J311" s="1109"/>
      <c r="K311" s="1110"/>
      <c r="L311" s="1124"/>
      <c r="M311" s="1131"/>
      <c r="N311" s="1108"/>
      <c r="O311" s="1109"/>
      <c r="P311" s="1109"/>
      <c r="Q311" s="1110"/>
      <c r="R311" s="1110"/>
      <c r="S311" s="1109"/>
      <c r="T311" s="1110"/>
      <c r="U311" s="1124"/>
      <c r="V311" s="1131"/>
      <c r="W311" s="1108"/>
      <c r="X311" s="1109"/>
      <c r="Y311" s="1109"/>
      <c r="Z311" s="1110"/>
      <c r="AA311" s="1110"/>
      <c r="AB311" s="1109"/>
      <c r="AC311" s="1110"/>
      <c r="AD311" s="1124"/>
      <c r="AE311" s="1131"/>
      <c r="AF311" s="1148">
        <f t="shared" si="83"/>
        <v>0</v>
      </c>
      <c r="AG311" s="1156"/>
      <c r="AH311" s="1148"/>
      <c r="AI311" s="1156">
        <f t="shared" si="80"/>
        <v>0</v>
      </c>
      <c r="AJ311" s="1159"/>
      <c r="AK311" s="1158">
        <f t="shared" si="81"/>
        <v>0</v>
      </c>
      <c r="AL311" s="1063"/>
      <c r="AM311" s="1063"/>
      <c r="AN311" s="1063"/>
    </row>
    <row r="312" spans="1:40" ht="20.25">
      <c r="A312" s="537"/>
      <c r="B312" s="552"/>
      <c r="C312" s="553"/>
      <c r="D312" s="544"/>
      <c r="E312" s="1108"/>
      <c r="F312" s="1109"/>
      <c r="G312" s="1109"/>
      <c r="H312" s="1110"/>
      <c r="I312" s="1110"/>
      <c r="J312" s="1109"/>
      <c r="K312" s="1110"/>
      <c r="L312" s="1124"/>
      <c r="M312" s="1131"/>
      <c r="N312" s="1108"/>
      <c r="O312" s="1109"/>
      <c r="P312" s="1109"/>
      <c r="Q312" s="1110"/>
      <c r="R312" s="1110"/>
      <c r="S312" s="1109"/>
      <c r="T312" s="1110"/>
      <c r="U312" s="1124"/>
      <c r="V312" s="1131"/>
      <c r="W312" s="1108"/>
      <c r="X312" s="1109"/>
      <c r="Y312" s="1109"/>
      <c r="Z312" s="1110"/>
      <c r="AA312" s="1110"/>
      <c r="AB312" s="1109"/>
      <c r="AC312" s="1110"/>
      <c r="AD312" s="1124"/>
      <c r="AE312" s="1131"/>
      <c r="AF312" s="1145">
        <f t="shared" si="83"/>
        <v>0</v>
      </c>
      <c r="AG312" s="1153"/>
      <c r="AH312" s="1145"/>
      <c r="AI312" s="1153">
        <f t="shared" si="80"/>
        <v>0</v>
      </c>
      <c r="AJ312" s="1154"/>
      <c r="AK312" s="1155">
        <f t="shared" si="81"/>
        <v>0</v>
      </c>
      <c r="AL312" s="1063"/>
      <c r="AM312" s="1063"/>
      <c r="AN312" s="1063"/>
    </row>
    <row r="313" spans="1:40" ht="20.25">
      <c r="A313" s="547"/>
      <c r="B313" s="550"/>
      <c r="C313" s="549"/>
      <c r="D313" s="544"/>
      <c r="E313" s="1108"/>
      <c r="F313" s="1109"/>
      <c r="G313" s="1109"/>
      <c r="H313" s="1110"/>
      <c r="I313" s="1110"/>
      <c r="J313" s="1109"/>
      <c r="K313" s="1110"/>
      <c r="L313" s="1124"/>
      <c r="M313" s="1131"/>
      <c r="N313" s="1108"/>
      <c r="O313" s="1109"/>
      <c r="P313" s="1109"/>
      <c r="Q313" s="1110"/>
      <c r="R313" s="1110"/>
      <c r="S313" s="1109"/>
      <c r="T313" s="1110"/>
      <c r="U313" s="1124"/>
      <c r="V313" s="1131"/>
      <c r="W313" s="1108"/>
      <c r="X313" s="1109"/>
      <c r="Y313" s="1109"/>
      <c r="Z313" s="1110"/>
      <c r="AA313" s="1110"/>
      <c r="AB313" s="1109"/>
      <c r="AC313" s="1110"/>
      <c r="AD313" s="1124"/>
      <c r="AE313" s="1131"/>
      <c r="AF313" s="1148">
        <f t="shared" si="83"/>
        <v>0</v>
      </c>
      <c r="AG313" s="1156"/>
      <c r="AH313" s="1148"/>
      <c r="AI313" s="1156">
        <f t="shared" si="80"/>
        <v>0</v>
      </c>
      <c r="AJ313" s="1159"/>
      <c r="AK313" s="1158">
        <f t="shared" si="81"/>
        <v>0</v>
      </c>
      <c r="AL313" s="1063"/>
      <c r="AM313" s="1063"/>
      <c r="AN313" s="1063"/>
    </row>
    <row r="314" spans="1:40" ht="20.25">
      <c r="A314" s="537"/>
      <c r="B314" s="550"/>
      <c r="C314" s="549"/>
      <c r="D314" s="544"/>
      <c r="E314" s="1108"/>
      <c r="F314" s="1109"/>
      <c r="G314" s="1109"/>
      <c r="H314" s="1110"/>
      <c r="I314" s="1110"/>
      <c r="J314" s="1109"/>
      <c r="K314" s="1110"/>
      <c r="L314" s="1124"/>
      <c r="M314" s="1125"/>
      <c r="N314" s="1108"/>
      <c r="O314" s="1109"/>
      <c r="P314" s="1109"/>
      <c r="Q314" s="1110"/>
      <c r="R314" s="1110"/>
      <c r="S314" s="1109"/>
      <c r="T314" s="1110"/>
      <c r="U314" s="1124"/>
      <c r="V314" s="1139"/>
      <c r="W314" s="1126"/>
      <c r="X314" s="1127"/>
      <c r="Y314" s="1127"/>
      <c r="Z314" s="1127"/>
      <c r="AA314" s="1127"/>
      <c r="AB314" s="1127"/>
      <c r="AC314" s="1127"/>
      <c r="AD314" s="1144"/>
      <c r="AE314" s="1139"/>
      <c r="AF314" s="1145">
        <f t="shared" si="83"/>
        <v>0</v>
      </c>
      <c r="AG314" s="1153"/>
      <c r="AH314" s="1145"/>
      <c r="AI314" s="1153">
        <f t="shared" si="80"/>
        <v>0</v>
      </c>
      <c r="AJ314" s="1154"/>
      <c r="AK314" s="1155">
        <f t="shared" si="81"/>
        <v>0</v>
      </c>
      <c r="AL314" s="1063"/>
      <c r="AM314" s="1063"/>
      <c r="AN314" s="1063"/>
    </row>
    <row r="315" spans="1:40" ht="20.25">
      <c r="A315" s="537"/>
      <c r="B315" s="550"/>
      <c r="C315" s="549"/>
      <c r="D315" s="544"/>
      <c r="E315" s="1108"/>
      <c r="F315" s="1109"/>
      <c r="G315" s="1109"/>
      <c r="H315" s="1110"/>
      <c r="I315" s="1110"/>
      <c r="J315" s="1109"/>
      <c r="K315" s="1110"/>
      <c r="L315" s="1124"/>
      <c r="M315" s="1125"/>
      <c r="N315" s="1108"/>
      <c r="O315" s="1109"/>
      <c r="P315" s="1109"/>
      <c r="Q315" s="1110"/>
      <c r="R315" s="1110"/>
      <c r="S315" s="1109"/>
      <c r="T315" s="1110"/>
      <c r="U315" s="1124"/>
      <c r="V315" s="1139"/>
      <c r="W315" s="1126"/>
      <c r="X315" s="1127"/>
      <c r="Y315" s="1127"/>
      <c r="Z315" s="1127"/>
      <c r="AA315" s="1127"/>
      <c r="AB315" s="1127"/>
      <c r="AC315" s="1127"/>
      <c r="AD315" s="1144"/>
      <c r="AE315" s="1139"/>
      <c r="AF315" s="1145">
        <f t="shared" si="83"/>
        <v>0</v>
      </c>
      <c r="AG315" s="1153"/>
      <c r="AH315" s="1145"/>
      <c r="AI315" s="1153">
        <f t="shared" si="80"/>
        <v>0</v>
      </c>
      <c r="AJ315" s="1154"/>
      <c r="AK315" s="1155">
        <f t="shared" si="81"/>
        <v>0</v>
      </c>
      <c r="AL315" s="1063"/>
      <c r="AM315" s="1063"/>
      <c r="AN315" s="1063"/>
    </row>
    <row r="316" spans="1:40" ht="20.25">
      <c r="A316" s="551"/>
      <c r="B316" s="550"/>
      <c r="C316" s="549"/>
      <c r="D316" s="544"/>
      <c r="E316" s="1108"/>
      <c r="F316" s="1109"/>
      <c r="G316" s="1109"/>
      <c r="H316" s="1110"/>
      <c r="I316" s="1110"/>
      <c r="J316" s="1109"/>
      <c r="K316" s="1110"/>
      <c r="L316" s="1124"/>
      <c r="M316" s="1125"/>
      <c r="N316" s="1108"/>
      <c r="O316" s="1109"/>
      <c r="P316" s="1109"/>
      <c r="Q316" s="1110"/>
      <c r="R316" s="1110"/>
      <c r="S316" s="1109"/>
      <c r="T316" s="1110"/>
      <c r="U316" s="1124"/>
      <c r="V316" s="1139"/>
      <c r="W316" s="1126"/>
      <c r="X316" s="1127"/>
      <c r="Y316" s="1127"/>
      <c r="Z316" s="1127"/>
      <c r="AA316" s="1127"/>
      <c r="AB316" s="1127"/>
      <c r="AC316" s="1127"/>
      <c r="AD316" s="1144"/>
      <c r="AE316" s="1139"/>
      <c r="AF316" s="1145">
        <f t="shared" si="83"/>
        <v>0</v>
      </c>
      <c r="AG316" s="1153"/>
      <c r="AH316" s="1145"/>
      <c r="AI316" s="1153">
        <f t="shared" si="80"/>
        <v>0</v>
      </c>
      <c r="AJ316" s="1154"/>
      <c r="AK316" s="1155">
        <f t="shared" si="81"/>
        <v>0</v>
      </c>
      <c r="AL316" s="1063"/>
      <c r="AM316" s="1063"/>
      <c r="AN316" s="1063"/>
    </row>
    <row r="317" spans="1:40" ht="20.25">
      <c r="A317" s="537"/>
      <c r="B317" s="550"/>
      <c r="C317" s="549"/>
      <c r="D317" s="544"/>
      <c r="E317" s="1108"/>
      <c r="F317" s="1109"/>
      <c r="G317" s="1109"/>
      <c r="H317" s="1110"/>
      <c r="I317" s="1110"/>
      <c r="J317" s="1109"/>
      <c r="K317" s="1110"/>
      <c r="L317" s="1124"/>
      <c r="M317" s="1125"/>
      <c r="N317" s="1108"/>
      <c r="O317" s="1109"/>
      <c r="P317" s="1109"/>
      <c r="Q317" s="1110"/>
      <c r="R317" s="1110"/>
      <c r="S317" s="1109"/>
      <c r="T317" s="1110"/>
      <c r="U317" s="1124"/>
      <c r="V317" s="1139"/>
      <c r="W317" s="1126"/>
      <c r="X317" s="1127"/>
      <c r="Y317" s="1127"/>
      <c r="Z317" s="1127"/>
      <c r="AA317" s="1127"/>
      <c r="AB317" s="1127"/>
      <c r="AC317" s="1127"/>
      <c r="AD317" s="1144"/>
      <c r="AE317" s="1139"/>
      <c r="AF317" s="1145">
        <f t="shared" si="83"/>
        <v>0</v>
      </c>
      <c r="AG317" s="1153"/>
      <c r="AH317" s="1145"/>
      <c r="AI317" s="1153">
        <f t="shared" si="80"/>
        <v>0</v>
      </c>
      <c r="AJ317" s="1154"/>
      <c r="AK317" s="1155">
        <f t="shared" si="81"/>
        <v>0</v>
      </c>
    </row>
    <row r="318" spans="1:40" ht="20.25">
      <c r="A318" s="551"/>
      <c r="B318" s="563"/>
      <c r="C318" s="553"/>
      <c r="D318" s="544"/>
      <c r="E318" s="1108"/>
      <c r="F318" s="1109"/>
      <c r="G318" s="1109"/>
      <c r="H318" s="1110"/>
      <c r="I318" s="1110"/>
      <c r="J318" s="1109"/>
      <c r="K318" s="1110"/>
      <c r="L318" s="1124"/>
      <c r="M318" s="1125"/>
      <c r="N318" s="1108"/>
      <c r="O318" s="1109"/>
      <c r="P318" s="1109"/>
      <c r="Q318" s="1110"/>
      <c r="R318" s="1110"/>
      <c r="S318" s="1109"/>
      <c r="T318" s="1110"/>
      <c r="U318" s="1124"/>
      <c r="V318" s="1139"/>
      <c r="W318" s="1126"/>
      <c r="X318" s="1127"/>
      <c r="Y318" s="1127"/>
      <c r="Z318" s="1127"/>
      <c r="AA318" s="1127"/>
      <c r="AB318" s="1127"/>
      <c r="AC318" s="1127"/>
      <c r="AD318" s="1144"/>
      <c r="AE318" s="1139"/>
      <c r="AF318" s="1145">
        <f t="shared" si="83"/>
        <v>0</v>
      </c>
      <c r="AG318" s="1153"/>
      <c r="AH318" s="1145"/>
      <c r="AI318" s="1153">
        <f t="shared" si="80"/>
        <v>0</v>
      </c>
      <c r="AJ318" s="1154"/>
      <c r="AK318" s="1155">
        <f t="shared" si="81"/>
        <v>0</v>
      </c>
    </row>
    <row r="319" spans="1:40" ht="20.25">
      <c r="A319" s="1111"/>
      <c r="B319" s="1112"/>
      <c r="C319" s="1113"/>
      <c r="D319" s="1114"/>
      <c r="E319" s="1108"/>
      <c r="F319" s="1109"/>
      <c r="G319" s="1109"/>
      <c r="H319" s="1110"/>
      <c r="I319" s="1110"/>
      <c r="J319" s="1109"/>
      <c r="K319" s="1110"/>
      <c r="L319" s="1124"/>
      <c r="M319" s="1125"/>
      <c r="N319" s="1108"/>
      <c r="O319" s="1109"/>
      <c r="P319" s="1109"/>
      <c r="Q319" s="1110"/>
      <c r="R319" s="1110"/>
      <c r="S319" s="1109"/>
      <c r="T319" s="1110"/>
      <c r="U319" s="1124"/>
      <c r="V319" s="1139"/>
      <c r="W319" s="1126"/>
      <c r="X319" s="1127"/>
      <c r="Y319" s="1127"/>
      <c r="Z319" s="1127"/>
      <c r="AA319" s="1127"/>
      <c r="AB319" s="1127"/>
      <c r="AC319" s="1127"/>
      <c r="AD319" s="1144"/>
      <c r="AE319" s="1131"/>
      <c r="AF319" s="1127">
        <f t="shared" ref="AF319:AF321" si="84">SUM(E319:AD319)</f>
        <v>0</v>
      </c>
      <c r="AG319" s="1127"/>
      <c r="AH319" s="1127"/>
      <c r="AI319" s="1127">
        <f t="shared" ref="AI319:AI321" si="85">AF319+AG319+AH319</f>
        <v>0</v>
      </c>
      <c r="AJ319" s="1537"/>
      <c r="AK319" s="3492">
        <f t="shared" ref="AK319:AK321" si="86">AI319+AJ319</f>
        <v>0</v>
      </c>
      <c r="AL319" s="403"/>
      <c r="AM319" s="403"/>
      <c r="AN319" s="403"/>
    </row>
    <row r="320" spans="1:40" ht="21" thickBot="1">
      <c r="A320" s="561"/>
      <c r="B320" s="1115"/>
      <c r="C320" s="1116"/>
      <c r="D320" s="1117"/>
      <c r="E320" s="1108"/>
      <c r="F320" s="1109"/>
      <c r="G320" s="1109"/>
      <c r="H320" s="1110"/>
      <c r="I320" s="1110"/>
      <c r="J320" s="1109"/>
      <c r="K320" s="1110"/>
      <c r="L320" s="1124"/>
      <c r="M320" s="1132"/>
      <c r="N320" s="1108"/>
      <c r="O320" s="1109"/>
      <c r="P320" s="1109"/>
      <c r="Q320" s="1110"/>
      <c r="R320" s="1110"/>
      <c r="S320" s="1109"/>
      <c r="T320" s="1110"/>
      <c r="U320" s="1124"/>
      <c r="V320" s="1141"/>
      <c r="W320" s="1142"/>
      <c r="X320" s="1110"/>
      <c r="Y320" s="1110"/>
      <c r="Z320" s="1110"/>
      <c r="AA320" s="1110"/>
      <c r="AB320" s="1110"/>
      <c r="AC320" s="1110"/>
      <c r="AD320" s="1149"/>
      <c r="AE320" s="1131"/>
      <c r="AF320" s="1127">
        <f t="shared" si="84"/>
        <v>0</v>
      </c>
      <c r="AG320" s="1127"/>
      <c r="AH320" s="1127"/>
      <c r="AI320" s="1127">
        <f t="shared" si="85"/>
        <v>0</v>
      </c>
      <c r="AJ320" s="1537"/>
      <c r="AK320" s="3492">
        <f t="shared" si="86"/>
        <v>0</v>
      </c>
      <c r="AL320" s="282"/>
      <c r="AM320" s="282"/>
      <c r="AN320" s="282"/>
    </row>
    <row r="321" spans="1:40" ht="20.25">
      <c r="A321" s="547"/>
      <c r="B321" s="550"/>
      <c r="C321" s="549"/>
      <c r="D321" s="544"/>
      <c r="E321" s="1108"/>
      <c r="F321" s="1109"/>
      <c r="G321" s="1109"/>
      <c r="H321" s="1110"/>
      <c r="I321" s="1110"/>
      <c r="J321" s="1109"/>
      <c r="K321" s="1110"/>
      <c r="L321" s="1124"/>
      <c r="M321" s="1131"/>
      <c r="N321" s="1108"/>
      <c r="O321" s="1109"/>
      <c r="P321" s="1109"/>
      <c r="Q321" s="1110"/>
      <c r="R321" s="1110"/>
      <c r="S321" s="1109"/>
      <c r="T321" s="1110"/>
      <c r="U321" s="1124"/>
      <c r="V321" s="1131"/>
      <c r="W321" s="1108"/>
      <c r="X321" s="1109"/>
      <c r="Y321" s="1109"/>
      <c r="Z321" s="1110"/>
      <c r="AA321" s="1110"/>
      <c r="AB321" s="1109"/>
      <c r="AC321" s="1110"/>
      <c r="AD321" s="1124"/>
      <c r="AE321" s="1131"/>
      <c r="AF321" s="1127">
        <f t="shared" si="84"/>
        <v>0</v>
      </c>
      <c r="AG321" s="1127"/>
      <c r="AH321" s="1127"/>
      <c r="AI321" s="1127">
        <f t="shared" si="85"/>
        <v>0</v>
      </c>
      <c r="AJ321" s="1537"/>
      <c r="AK321" s="3492">
        <f t="shared" si="86"/>
        <v>0</v>
      </c>
      <c r="AL321" s="283"/>
      <c r="AM321" s="283"/>
      <c r="AN321" s="283"/>
    </row>
    <row r="322" spans="1:40" ht="20.25">
      <c r="A322" s="537"/>
      <c r="B322" s="550"/>
      <c r="C322" s="549"/>
      <c r="D322" s="544"/>
      <c r="E322" s="1108"/>
      <c r="F322" s="1109"/>
      <c r="G322" s="1109"/>
      <c r="H322" s="1110"/>
      <c r="I322" s="1110"/>
      <c r="J322" s="1109"/>
      <c r="K322" s="1110"/>
      <c r="L322" s="1124"/>
      <c r="M322" s="1131"/>
      <c r="N322" s="1108"/>
      <c r="O322" s="1109"/>
      <c r="P322" s="1109"/>
      <c r="Q322" s="1110"/>
      <c r="R322" s="1110"/>
      <c r="S322" s="1109"/>
      <c r="T322" s="1110"/>
      <c r="U322" s="1124"/>
      <c r="V322" s="1131"/>
      <c r="W322" s="1108"/>
      <c r="X322" s="1109"/>
      <c r="Y322" s="1109"/>
      <c r="Z322" s="1110"/>
      <c r="AA322" s="1110"/>
      <c r="AB322" s="1109"/>
      <c r="AC322" s="1110"/>
      <c r="AD322" s="1124"/>
      <c r="AE322" s="1131"/>
      <c r="AF322" s="1127">
        <f t="shared" ref="AF322:AF333" si="87">SUM(E322:AD322)</f>
        <v>0</v>
      </c>
      <c r="AG322" s="1127"/>
      <c r="AH322" s="1127"/>
      <c r="AI322" s="1127">
        <f t="shared" ref="AI322:AI333" si="88">AF322+AG322+AH322</f>
        <v>0</v>
      </c>
      <c r="AJ322" s="1537"/>
      <c r="AK322" s="3492">
        <f t="shared" ref="AK322:AK333" si="89">AI322+AJ322</f>
        <v>0</v>
      </c>
      <c r="AL322" s="283"/>
      <c r="AM322" s="283"/>
      <c r="AN322" s="283"/>
    </row>
    <row r="323" spans="1:40" ht="20.25">
      <c r="A323" s="1111"/>
      <c r="B323" s="1112"/>
      <c r="C323" s="1113"/>
      <c r="D323" s="1114"/>
      <c r="E323" s="1108"/>
      <c r="F323" s="1109"/>
      <c r="G323" s="1109"/>
      <c r="H323" s="1110"/>
      <c r="I323" s="1110"/>
      <c r="J323" s="1109"/>
      <c r="K323" s="1110"/>
      <c r="L323" s="1124"/>
      <c r="M323" s="1125"/>
      <c r="N323" s="1108"/>
      <c r="O323" s="1109"/>
      <c r="P323" s="1109"/>
      <c r="Q323" s="1110"/>
      <c r="R323" s="1110"/>
      <c r="S323" s="1109"/>
      <c r="T323" s="1110"/>
      <c r="U323" s="1124"/>
      <c r="V323" s="1139"/>
      <c r="W323" s="1126"/>
      <c r="X323" s="1127"/>
      <c r="Y323" s="1127"/>
      <c r="Z323" s="1127"/>
      <c r="AA323" s="1127"/>
      <c r="AB323" s="1127"/>
      <c r="AC323" s="1127"/>
      <c r="AD323" s="1144"/>
      <c r="AE323" s="1139"/>
      <c r="AF323" s="1145">
        <f t="shared" si="87"/>
        <v>0</v>
      </c>
      <c r="AG323" s="1153"/>
      <c r="AH323" s="1145"/>
      <c r="AI323" s="1153">
        <f t="shared" si="88"/>
        <v>0</v>
      </c>
      <c r="AJ323" s="1154"/>
      <c r="AK323" s="1155">
        <f t="shared" si="89"/>
        <v>0</v>
      </c>
      <c r="AL323" s="283"/>
      <c r="AM323" s="283"/>
      <c r="AN323" s="283"/>
    </row>
    <row r="324" spans="1:40" ht="20.25">
      <c r="A324" s="1111"/>
      <c r="B324" s="1112"/>
      <c r="C324" s="1113"/>
      <c r="D324" s="1114"/>
      <c r="E324" s="1108"/>
      <c r="F324" s="1109"/>
      <c r="G324" s="1109"/>
      <c r="H324" s="1110"/>
      <c r="I324" s="1110"/>
      <c r="J324" s="1109"/>
      <c r="K324" s="1110"/>
      <c r="L324" s="1124"/>
      <c r="M324" s="1125"/>
      <c r="N324" s="1108"/>
      <c r="O324" s="1109"/>
      <c r="P324" s="1109"/>
      <c r="Q324" s="1110"/>
      <c r="R324" s="1110"/>
      <c r="S324" s="1109"/>
      <c r="T324" s="1110"/>
      <c r="U324" s="1124"/>
      <c r="V324" s="1139"/>
      <c r="W324" s="1126"/>
      <c r="X324" s="1127"/>
      <c r="Y324" s="1127"/>
      <c r="Z324" s="1127"/>
      <c r="AA324" s="1127"/>
      <c r="AB324" s="1127"/>
      <c r="AC324" s="1127"/>
      <c r="AD324" s="1144"/>
      <c r="AE324" s="1139"/>
      <c r="AF324" s="1145">
        <f t="shared" ref="AF324:AF327" si="90">SUM(E324:AD324)</f>
        <v>0</v>
      </c>
      <c r="AG324" s="1153"/>
      <c r="AH324" s="1145"/>
      <c r="AI324" s="1153">
        <f t="shared" ref="AI324:AI327" si="91">AF324+AG324+AH324</f>
        <v>0</v>
      </c>
      <c r="AJ324" s="1154"/>
      <c r="AK324" s="1155">
        <f t="shared" ref="AK324:AK327" si="92">AI324+AJ324</f>
        <v>0</v>
      </c>
      <c r="AL324" s="403"/>
      <c r="AM324" s="403"/>
      <c r="AN324" s="403"/>
    </row>
    <row r="325" spans="1:40" ht="20.25">
      <c r="A325" s="1111"/>
      <c r="B325" s="1112"/>
      <c r="C325" s="1113"/>
      <c r="D325" s="1114"/>
      <c r="E325" s="1108"/>
      <c r="F325" s="1109"/>
      <c r="G325" s="1109"/>
      <c r="H325" s="1110"/>
      <c r="I325" s="1110"/>
      <c r="J325" s="1109"/>
      <c r="K325" s="1110"/>
      <c r="L325" s="1124"/>
      <c r="M325" s="1125"/>
      <c r="N325" s="1108"/>
      <c r="O325" s="1109"/>
      <c r="P325" s="1109"/>
      <c r="Q325" s="1110"/>
      <c r="R325" s="1110"/>
      <c r="S325" s="1109"/>
      <c r="T325" s="1110"/>
      <c r="U325" s="1124"/>
      <c r="V325" s="1139"/>
      <c r="W325" s="1126"/>
      <c r="X325" s="1127"/>
      <c r="Y325" s="1127"/>
      <c r="Z325" s="1127"/>
      <c r="AA325" s="1127"/>
      <c r="AB325" s="1127"/>
      <c r="AC325" s="1127"/>
      <c r="AD325" s="1144"/>
      <c r="AE325" s="1139"/>
      <c r="AF325" s="1145">
        <f t="shared" si="90"/>
        <v>0</v>
      </c>
      <c r="AG325" s="1153"/>
      <c r="AH325" s="1145"/>
      <c r="AI325" s="1153">
        <f t="shared" si="91"/>
        <v>0</v>
      </c>
      <c r="AJ325" s="1154"/>
      <c r="AK325" s="1155">
        <f t="shared" si="92"/>
        <v>0</v>
      </c>
      <c r="AL325" s="1"/>
      <c r="AM325" s="1"/>
      <c r="AN325" s="1"/>
    </row>
    <row r="326" spans="1:40" ht="20.25">
      <c r="A326" s="1111"/>
      <c r="B326" s="1112"/>
      <c r="C326" s="1113"/>
      <c r="D326" s="1114"/>
      <c r="E326" s="1108"/>
      <c r="F326" s="1109"/>
      <c r="G326" s="1109"/>
      <c r="H326" s="1110"/>
      <c r="I326" s="1110"/>
      <c r="J326" s="1109"/>
      <c r="K326" s="1110"/>
      <c r="L326" s="1124"/>
      <c r="M326" s="1125"/>
      <c r="N326" s="1108"/>
      <c r="O326" s="1109"/>
      <c r="P326" s="1109"/>
      <c r="Q326" s="1110"/>
      <c r="R326" s="1110"/>
      <c r="S326" s="1109"/>
      <c r="T326" s="1110"/>
      <c r="U326" s="1124"/>
      <c r="V326" s="1139"/>
      <c r="W326" s="1126"/>
      <c r="X326" s="1127"/>
      <c r="Y326" s="1127"/>
      <c r="Z326" s="1127"/>
      <c r="AA326" s="1127"/>
      <c r="AB326" s="1127"/>
      <c r="AC326" s="1127"/>
      <c r="AD326" s="1144"/>
      <c r="AE326" s="1139"/>
      <c r="AF326" s="1145">
        <f t="shared" si="90"/>
        <v>0</v>
      </c>
      <c r="AG326" s="1153"/>
      <c r="AH326" s="1145"/>
      <c r="AI326" s="1153">
        <f t="shared" si="91"/>
        <v>0</v>
      </c>
      <c r="AJ326" s="1154"/>
      <c r="AK326" s="1155">
        <f t="shared" si="92"/>
        <v>0</v>
      </c>
    </row>
    <row r="327" spans="1:40" ht="20.25">
      <c r="A327" s="547"/>
      <c r="B327" s="1112"/>
      <c r="C327" s="1113"/>
      <c r="D327" s="1114"/>
      <c r="E327" s="1108"/>
      <c r="F327" s="1109"/>
      <c r="G327" s="1109"/>
      <c r="H327" s="1110"/>
      <c r="I327" s="1110"/>
      <c r="J327" s="1109"/>
      <c r="K327" s="1110"/>
      <c r="L327" s="1124"/>
      <c r="M327" s="1125"/>
      <c r="N327" s="1108"/>
      <c r="O327" s="1109"/>
      <c r="P327" s="1109"/>
      <c r="Q327" s="1110"/>
      <c r="R327" s="1110"/>
      <c r="S327" s="1109"/>
      <c r="T327" s="1110"/>
      <c r="U327" s="1124"/>
      <c r="V327" s="1139"/>
      <c r="W327" s="1126"/>
      <c r="X327" s="1127"/>
      <c r="Y327" s="1127"/>
      <c r="Z327" s="1127"/>
      <c r="AA327" s="1127"/>
      <c r="AB327" s="1127"/>
      <c r="AC327" s="1127"/>
      <c r="AD327" s="1144"/>
      <c r="AE327" s="1139"/>
      <c r="AF327" s="1145">
        <f t="shared" si="90"/>
        <v>0</v>
      </c>
      <c r="AG327" s="1153"/>
      <c r="AH327" s="1145"/>
      <c r="AI327" s="1153">
        <f t="shared" si="91"/>
        <v>0</v>
      </c>
      <c r="AJ327" s="1154"/>
      <c r="AK327" s="1155">
        <f t="shared" si="92"/>
        <v>0</v>
      </c>
    </row>
    <row r="328" spans="1:40" ht="20.25">
      <c r="A328" s="537"/>
      <c r="B328" s="1112"/>
      <c r="C328" s="1113"/>
      <c r="D328" s="1114"/>
      <c r="E328" s="1108"/>
      <c r="F328" s="1109"/>
      <c r="G328" s="1109"/>
      <c r="H328" s="1110"/>
      <c r="I328" s="1110"/>
      <c r="J328" s="1109"/>
      <c r="K328" s="1110"/>
      <c r="L328" s="1124"/>
      <c r="M328" s="1125"/>
      <c r="N328" s="1108"/>
      <c r="O328" s="1109"/>
      <c r="P328" s="1109"/>
      <c r="Q328" s="1110"/>
      <c r="R328" s="1110"/>
      <c r="S328" s="1109"/>
      <c r="T328" s="1110"/>
      <c r="U328" s="1124"/>
      <c r="V328" s="1139"/>
      <c r="W328" s="1126"/>
      <c r="X328" s="1127"/>
      <c r="Y328" s="1127"/>
      <c r="Z328" s="1127"/>
      <c r="AA328" s="1127"/>
      <c r="AB328" s="1127"/>
      <c r="AC328" s="1127"/>
      <c r="AD328" s="1144"/>
      <c r="AE328" s="1139"/>
      <c r="AF328" s="1145">
        <f t="shared" ref="AF328:AF329" si="93">SUM(E328:AD328)</f>
        <v>0</v>
      </c>
      <c r="AG328" s="1153"/>
      <c r="AH328" s="1145"/>
      <c r="AI328" s="1153">
        <f t="shared" ref="AI328:AI329" si="94">AF328+AG328+AH328</f>
        <v>0</v>
      </c>
      <c r="AJ328" s="1154"/>
      <c r="AK328" s="1155">
        <f t="shared" ref="AK328:AK329" si="95">AI328+AJ328</f>
        <v>0</v>
      </c>
    </row>
    <row r="329" spans="1:40" ht="20.25">
      <c r="A329" s="1111"/>
      <c r="B329" s="1112"/>
      <c r="C329" s="1113"/>
      <c r="D329" s="1114"/>
      <c r="E329" s="1108"/>
      <c r="F329" s="1109"/>
      <c r="G329" s="1109"/>
      <c r="H329" s="1110"/>
      <c r="I329" s="1110"/>
      <c r="J329" s="1109"/>
      <c r="K329" s="1110"/>
      <c r="L329" s="1124"/>
      <c r="M329" s="1125"/>
      <c r="N329" s="1108"/>
      <c r="O329" s="1109"/>
      <c r="P329" s="1109"/>
      <c r="Q329" s="1110"/>
      <c r="R329" s="1110"/>
      <c r="S329" s="1109"/>
      <c r="T329" s="1110"/>
      <c r="U329" s="1124"/>
      <c r="V329" s="1139"/>
      <c r="W329" s="1126"/>
      <c r="X329" s="1127"/>
      <c r="Y329" s="1127"/>
      <c r="Z329" s="1127"/>
      <c r="AA329" s="1127"/>
      <c r="AB329" s="1127"/>
      <c r="AC329" s="1127"/>
      <c r="AD329" s="1144"/>
      <c r="AE329" s="1139"/>
      <c r="AF329" s="1145">
        <f t="shared" si="93"/>
        <v>0</v>
      </c>
      <c r="AG329" s="1153"/>
      <c r="AH329" s="1145"/>
      <c r="AI329" s="1153">
        <f t="shared" si="94"/>
        <v>0</v>
      </c>
      <c r="AJ329" s="1154"/>
      <c r="AK329" s="1155">
        <f t="shared" si="95"/>
        <v>0</v>
      </c>
      <c r="AL329" s="1"/>
    </row>
    <row r="330" spans="1:40" ht="20.25">
      <c r="A330" s="1111"/>
      <c r="B330" s="1112"/>
      <c r="C330" s="1113"/>
      <c r="D330" s="1114"/>
      <c r="E330" s="1108"/>
      <c r="F330" s="1109"/>
      <c r="G330" s="1109"/>
      <c r="H330" s="1110"/>
      <c r="I330" s="1110"/>
      <c r="J330" s="1109"/>
      <c r="K330" s="1110"/>
      <c r="L330" s="1124"/>
      <c r="M330" s="1125"/>
      <c r="N330" s="1108"/>
      <c r="O330" s="1109"/>
      <c r="P330" s="1109"/>
      <c r="Q330" s="1110"/>
      <c r="R330" s="1110"/>
      <c r="S330" s="1109"/>
      <c r="T330" s="1110"/>
      <c r="U330" s="1124"/>
      <c r="V330" s="1139"/>
      <c r="W330" s="1126"/>
      <c r="X330" s="1127"/>
      <c r="Y330" s="1127"/>
      <c r="Z330" s="1127"/>
      <c r="AA330" s="1127"/>
      <c r="AB330" s="1127"/>
      <c r="AC330" s="1127"/>
      <c r="AD330" s="1144"/>
      <c r="AE330" s="1139"/>
      <c r="AF330" s="1145">
        <f t="shared" ref="AF330:AF331" si="96">SUM(E330:AD330)</f>
        <v>0</v>
      </c>
      <c r="AG330" s="1153"/>
      <c r="AH330" s="1145"/>
      <c r="AI330" s="1153">
        <f t="shared" ref="AI330:AI331" si="97">AF330+AG330+AH330</f>
        <v>0</v>
      </c>
      <c r="AJ330" s="1154"/>
      <c r="AK330" s="1155">
        <f t="shared" ref="AK330:AK331" si="98">AI330+AJ330</f>
        <v>0</v>
      </c>
    </row>
    <row r="331" spans="1:40" ht="20.25">
      <c r="A331" s="1111"/>
      <c r="B331" s="1112"/>
      <c r="C331" s="1113"/>
      <c r="D331" s="1114"/>
      <c r="E331" s="1108"/>
      <c r="F331" s="1109"/>
      <c r="G331" s="1109"/>
      <c r="H331" s="1110"/>
      <c r="I331" s="1110"/>
      <c r="J331" s="1109"/>
      <c r="K331" s="1110"/>
      <c r="L331" s="1124"/>
      <c r="M331" s="1125"/>
      <c r="N331" s="1108"/>
      <c r="O331" s="1109"/>
      <c r="P331" s="1109"/>
      <c r="Q331" s="1110"/>
      <c r="R331" s="1110"/>
      <c r="S331" s="1109"/>
      <c r="T331" s="1110"/>
      <c r="U331" s="1124"/>
      <c r="V331" s="1139"/>
      <c r="W331" s="1126"/>
      <c r="X331" s="1127"/>
      <c r="Y331" s="1127"/>
      <c r="Z331" s="1127"/>
      <c r="AA331" s="1127"/>
      <c r="AB331" s="1127"/>
      <c r="AC331" s="1127"/>
      <c r="AD331" s="1144"/>
      <c r="AE331" s="1139"/>
      <c r="AF331" s="1145">
        <f t="shared" si="96"/>
        <v>0</v>
      </c>
      <c r="AG331" s="1153"/>
      <c r="AH331" s="1145"/>
      <c r="AI331" s="1153">
        <f t="shared" si="97"/>
        <v>0</v>
      </c>
      <c r="AJ331" s="1154"/>
      <c r="AK331" s="1155">
        <f t="shared" si="98"/>
        <v>0</v>
      </c>
    </row>
    <row r="332" spans="1:40" ht="20.25">
      <c r="A332" s="1111"/>
      <c r="B332" s="1112"/>
      <c r="C332" s="1113"/>
      <c r="D332" s="1114"/>
      <c r="E332" s="1108"/>
      <c r="F332" s="1109"/>
      <c r="G332" s="1109"/>
      <c r="H332" s="1110"/>
      <c r="I332" s="1110"/>
      <c r="J332" s="1109"/>
      <c r="K332" s="1110"/>
      <c r="L332" s="1124"/>
      <c r="M332" s="1125"/>
      <c r="N332" s="1108"/>
      <c r="O332" s="1109"/>
      <c r="P332" s="1109"/>
      <c r="Q332" s="1110"/>
      <c r="R332" s="1110"/>
      <c r="S332" s="1109"/>
      <c r="T332" s="1110"/>
      <c r="U332" s="1124"/>
      <c r="V332" s="1139"/>
      <c r="W332" s="1126"/>
      <c r="X332" s="1127"/>
      <c r="Y332" s="1127"/>
      <c r="Z332" s="1127"/>
      <c r="AA332" s="1127"/>
      <c r="AB332" s="1127"/>
      <c r="AC332" s="1127"/>
      <c r="AD332" s="1144"/>
      <c r="AE332" s="1139"/>
      <c r="AF332" s="1145">
        <f t="shared" ref="AF332" si="99">SUM(E332:AD332)</f>
        <v>0</v>
      </c>
      <c r="AG332" s="1153"/>
      <c r="AH332" s="1145"/>
      <c r="AI332" s="1153">
        <f t="shared" ref="AI332" si="100">AF332+AG332+AH332</f>
        <v>0</v>
      </c>
      <c r="AJ332" s="1154"/>
      <c r="AK332" s="1155">
        <f t="shared" ref="AK332" si="101">AI332+AJ332</f>
        <v>0</v>
      </c>
    </row>
    <row r="333" spans="1:40" ht="20.25">
      <c r="A333" s="1111"/>
      <c r="B333" s="1112"/>
      <c r="C333" s="1113"/>
      <c r="D333" s="1114"/>
      <c r="E333" s="1108"/>
      <c r="F333" s="1109"/>
      <c r="G333" s="1109"/>
      <c r="H333" s="1110"/>
      <c r="I333" s="1110"/>
      <c r="J333" s="1109"/>
      <c r="K333" s="1110"/>
      <c r="L333" s="1124"/>
      <c r="M333" s="1125"/>
      <c r="N333" s="1108"/>
      <c r="O333" s="1109"/>
      <c r="P333" s="1109"/>
      <c r="Q333" s="1110"/>
      <c r="R333" s="1110"/>
      <c r="S333" s="1109"/>
      <c r="T333" s="1110"/>
      <c r="U333" s="1124"/>
      <c r="V333" s="1139"/>
      <c r="W333" s="1126"/>
      <c r="X333" s="1127"/>
      <c r="Y333" s="1127"/>
      <c r="Z333" s="1127"/>
      <c r="AA333" s="1127"/>
      <c r="AB333" s="1127"/>
      <c r="AC333" s="1127"/>
      <c r="AD333" s="1144"/>
      <c r="AE333" s="1139"/>
      <c r="AF333" s="1145">
        <f t="shared" si="87"/>
        <v>0</v>
      </c>
      <c r="AG333" s="1153"/>
      <c r="AH333" s="1145"/>
      <c r="AI333" s="1153">
        <f t="shared" si="88"/>
        <v>0</v>
      </c>
      <c r="AJ333" s="1154"/>
      <c r="AK333" s="1155">
        <f t="shared" si="89"/>
        <v>0</v>
      </c>
    </row>
    <row r="334" spans="1:40" ht="20.25">
      <c r="A334" s="1111"/>
      <c r="B334" s="1112"/>
      <c r="C334" s="1113"/>
      <c r="D334" s="1114"/>
      <c r="E334" s="1108"/>
      <c r="F334" s="1109"/>
      <c r="G334" s="1109"/>
      <c r="H334" s="1110"/>
      <c r="I334" s="1110"/>
      <c r="J334" s="1109"/>
      <c r="K334" s="1110"/>
      <c r="L334" s="1124"/>
      <c r="M334" s="1125"/>
      <c r="N334" s="1108"/>
      <c r="O334" s="1109"/>
      <c r="P334" s="1109"/>
      <c r="Q334" s="1110"/>
      <c r="R334" s="1110"/>
      <c r="S334" s="1109"/>
      <c r="T334" s="1110"/>
      <c r="U334" s="1124"/>
      <c r="V334" s="1139"/>
      <c r="W334" s="1126"/>
      <c r="X334" s="1127"/>
      <c r="Y334" s="1127"/>
      <c r="Z334" s="1127"/>
      <c r="AA334" s="1127"/>
      <c r="AB334" s="1127"/>
      <c r="AC334" s="1127"/>
      <c r="AD334" s="1144"/>
      <c r="AE334" s="1139"/>
      <c r="AF334" s="1145">
        <f t="shared" si="83"/>
        <v>0</v>
      </c>
      <c r="AG334" s="1153"/>
      <c r="AH334" s="1145"/>
      <c r="AI334" s="1153">
        <f t="shared" si="80"/>
        <v>0</v>
      </c>
      <c r="AJ334" s="1154"/>
      <c r="AK334" s="1155">
        <f t="shared" si="81"/>
        <v>0</v>
      </c>
    </row>
    <row r="335" spans="1:40" ht="21" thickBot="1">
      <c r="A335" s="561"/>
      <c r="B335" s="1115"/>
      <c r="C335" s="1116"/>
      <c r="D335" s="1117"/>
      <c r="E335" s="1108"/>
      <c r="F335" s="1109"/>
      <c r="G335" s="1109"/>
      <c r="H335" s="1110"/>
      <c r="I335" s="1110"/>
      <c r="J335" s="1109"/>
      <c r="K335" s="1110"/>
      <c r="L335" s="1124"/>
      <c r="M335" s="1132"/>
      <c r="N335" s="1108"/>
      <c r="O335" s="1109"/>
      <c r="P335" s="1109"/>
      <c r="Q335" s="1110"/>
      <c r="R335" s="1110"/>
      <c r="S335" s="1109"/>
      <c r="T335" s="1110"/>
      <c r="U335" s="1124"/>
      <c r="V335" s="1141"/>
      <c r="W335" s="1142"/>
      <c r="X335" s="1110"/>
      <c r="Y335" s="1110"/>
      <c r="Z335" s="1110"/>
      <c r="AA335" s="1110"/>
      <c r="AB335" s="1110"/>
      <c r="AC335" s="1110"/>
      <c r="AD335" s="1149"/>
      <c r="AE335" s="1141"/>
      <c r="AF335" s="1150">
        <f t="shared" si="83"/>
        <v>0</v>
      </c>
      <c r="AG335" s="1160"/>
      <c r="AH335" s="1150"/>
      <c r="AI335" s="1160">
        <f t="shared" si="80"/>
        <v>0</v>
      </c>
      <c r="AJ335" s="1157"/>
      <c r="AK335" s="1161">
        <f t="shared" si="81"/>
        <v>0</v>
      </c>
    </row>
    <row r="336" spans="1:40" ht="21" thickBot="1">
      <c r="A336" s="626" t="s">
        <v>151</v>
      </c>
      <c r="B336" s="627"/>
      <c r="C336" s="627"/>
      <c r="D336" s="628"/>
      <c r="E336" s="529">
        <f t="shared" ref="E336:L336" si="102">SUM(E278:E335)</f>
        <v>80</v>
      </c>
      <c r="F336" s="529">
        <f t="shared" si="102"/>
        <v>0</v>
      </c>
      <c r="G336" s="529">
        <f t="shared" si="102"/>
        <v>0</v>
      </c>
      <c r="H336" s="529">
        <f t="shared" si="102"/>
        <v>40</v>
      </c>
      <c r="I336" s="529">
        <f t="shared" si="102"/>
        <v>0</v>
      </c>
      <c r="J336" s="529">
        <f t="shared" si="102"/>
        <v>260</v>
      </c>
      <c r="K336" s="529">
        <f t="shared" si="102"/>
        <v>400</v>
      </c>
      <c r="L336" s="529">
        <f t="shared" si="102"/>
        <v>120</v>
      </c>
      <c r="M336" s="693">
        <f>SUM(M280:M306)</f>
        <v>0</v>
      </c>
      <c r="N336" s="529">
        <f t="shared" ref="N336:U336" si="103">SUM(N278:N335)</f>
        <v>0</v>
      </c>
      <c r="O336" s="529">
        <f t="shared" si="103"/>
        <v>0</v>
      </c>
      <c r="P336" s="529">
        <f t="shared" si="103"/>
        <v>0</v>
      </c>
      <c r="Q336" s="529">
        <f t="shared" si="103"/>
        <v>0</v>
      </c>
      <c r="R336" s="529">
        <f t="shared" si="103"/>
        <v>0</v>
      </c>
      <c r="S336" s="529">
        <f t="shared" si="103"/>
        <v>0</v>
      </c>
      <c r="T336" s="529">
        <f t="shared" si="103"/>
        <v>0</v>
      </c>
      <c r="U336" s="529">
        <f t="shared" si="103"/>
        <v>800</v>
      </c>
      <c r="V336" s="3385">
        <f>SUM(V280:V306)</f>
        <v>0</v>
      </c>
      <c r="W336" s="529">
        <f t="shared" ref="W336:AD336" si="104">SUM(W278:W335)</f>
        <v>0</v>
      </c>
      <c r="X336" s="529">
        <f t="shared" si="104"/>
        <v>0</v>
      </c>
      <c r="Y336" s="529">
        <f t="shared" si="104"/>
        <v>0</v>
      </c>
      <c r="Z336" s="529">
        <f t="shared" si="104"/>
        <v>1100</v>
      </c>
      <c r="AA336" s="529">
        <f t="shared" si="104"/>
        <v>0</v>
      </c>
      <c r="AB336" s="529">
        <f t="shared" si="104"/>
        <v>0</v>
      </c>
      <c r="AC336" s="529">
        <f t="shared" si="104"/>
        <v>0</v>
      </c>
      <c r="AD336" s="529">
        <f t="shared" si="104"/>
        <v>0</v>
      </c>
      <c r="AE336" s="3385">
        <f>SUM(AE280:AE335)</f>
        <v>0</v>
      </c>
      <c r="AF336" s="693">
        <f t="shared" ref="AF336:AK336" si="105">SUM(AF278:AF335)</f>
        <v>2800</v>
      </c>
      <c r="AG336" s="693">
        <f t="shared" si="105"/>
        <v>0</v>
      </c>
      <c r="AH336" s="693">
        <f t="shared" si="105"/>
        <v>0</v>
      </c>
      <c r="AI336" s="693">
        <f t="shared" si="105"/>
        <v>2800</v>
      </c>
      <c r="AJ336" s="693">
        <f t="shared" si="105"/>
        <v>0</v>
      </c>
      <c r="AK336" s="693">
        <f t="shared" si="105"/>
        <v>2800</v>
      </c>
    </row>
    <row r="337" spans="1:37" ht="21" thickBot="1">
      <c r="A337" s="530" t="s">
        <v>152</v>
      </c>
      <c r="B337" s="531"/>
      <c r="C337" s="531"/>
      <c r="D337" s="630"/>
      <c r="E337" s="533">
        <f>E336/20</f>
        <v>4</v>
      </c>
      <c r="F337" s="534">
        <f t="shared" ref="F337:L337" si="106">F336/20</f>
        <v>0</v>
      </c>
      <c r="G337" s="534">
        <f t="shared" si="106"/>
        <v>0</v>
      </c>
      <c r="H337" s="534">
        <f t="shared" si="106"/>
        <v>2</v>
      </c>
      <c r="I337" s="534">
        <f t="shared" si="106"/>
        <v>0</v>
      </c>
      <c r="J337" s="534">
        <f t="shared" si="106"/>
        <v>13</v>
      </c>
      <c r="K337" s="586">
        <f t="shared" si="106"/>
        <v>20</v>
      </c>
      <c r="L337" s="586">
        <f t="shared" si="106"/>
        <v>6</v>
      </c>
      <c r="M337" s="3379"/>
      <c r="N337" s="576">
        <f>N336/20</f>
        <v>0</v>
      </c>
      <c r="O337" s="577">
        <f t="shared" ref="O337:U337" si="107">O336/20</f>
        <v>0</v>
      </c>
      <c r="P337" s="577">
        <f t="shared" si="107"/>
        <v>0</v>
      </c>
      <c r="Q337" s="577">
        <f t="shared" si="107"/>
        <v>0</v>
      </c>
      <c r="R337" s="577">
        <f t="shared" si="107"/>
        <v>0</v>
      </c>
      <c r="S337" s="577">
        <f t="shared" si="107"/>
        <v>0</v>
      </c>
      <c r="T337" s="577">
        <f t="shared" si="107"/>
        <v>0</v>
      </c>
      <c r="U337" s="586">
        <f t="shared" si="107"/>
        <v>40</v>
      </c>
      <c r="V337" s="3379"/>
      <c r="W337" s="576">
        <f>W336/20</f>
        <v>0</v>
      </c>
      <c r="X337" s="577">
        <f t="shared" ref="X337:AD337" si="108">X336/20</f>
        <v>0</v>
      </c>
      <c r="Y337" s="577">
        <f t="shared" si="108"/>
        <v>0</v>
      </c>
      <c r="Z337" s="577">
        <f t="shared" si="108"/>
        <v>55</v>
      </c>
      <c r="AA337" s="577">
        <f t="shared" si="108"/>
        <v>0</v>
      </c>
      <c r="AB337" s="577">
        <f t="shared" si="108"/>
        <v>0</v>
      </c>
      <c r="AC337" s="577">
        <f t="shared" si="108"/>
        <v>0</v>
      </c>
      <c r="AD337" s="586">
        <f t="shared" si="108"/>
        <v>0</v>
      </c>
      <c r="AE337" s="3379"/>
      <c r="AF337" s="3378">
        <f>SUM(E337:AD337)</f>
        <v>140</v>
      </c>
      <c r="AG337" s="3381">
        <f>AG336/20</f>
        <v>0</v>
      </c>
      <c r="AH337" s="3381">
        <f>AH336/20</f>
        <v>0</v>
      </c>
      <c r="AI337" s="3379">
        <f>AI336/20</f>
        <v>140</v>
      </c>
      <c r="AJ337" s="3381">
        <f>AJ336/20</f>
        <v>0</v>
      </c>
      <c r="AK337" s="3380">
        <f>AK336/20</f>
        <v>140</v>
      </c>
    </row>
    <row r="338" spans="1:37" ht="19.5" thickBot="1">
      <c r="A338" s="306"/>
      <c r="B338" s="307"/>
      <c r="C338" s="307"/>
      <c r="D338" s="308"/>
      <c r="E338" s="309"/>
      <c r="F338" s="309"/>
      <c r="G338" s="309"/>
      <c r="H338" s="309"/>
      <c r="I338" s="309"/>
      <c r="J338" s="309"/>
      <c r="K338" s="309"/>
      <c r="L338" s="309"/>
      <c r="M338" s="346"/>
      <c r="N338" s="347"/>
      <c r="O338" s="347"/>
      <c r="P338" s="347"/>
      <c r="Q338" s="347"/>
      <c r="R338" s="347"/>
      <c r="S338" s="347"/>
      <c r="T338" s="347"/>
      <c r="U338" s="347"/>
      <c r="V338" s="346"/>
      <c r="W338" s="347"/>
      <c r="X338" s="347"/>
      <c r="Y338" s="347"/>
      <c r="Z338" s="347"/>
      <c r="AA338" s="347"/>
      <c r="AB338" s="347"/>
      <c r="AC338" s="347"/>
      <c r="AD338" s="347"/>
      <c r="AE338" s="346"/>
      <c r="AF338" s="347"/>
      <c r="AG338" s="347"/>
      <c r="AH338" s="347"/>
      <c r="AI338" s="347"/>
      <c r="AJ338" s="347"/>
      <c r="AK338" s="402"/>
    </row>
    <row r="339" spans="1:37" ht="16.5" thickBot="1">
      <c r="A339" s="3881" t="s">
        <v>183</v>
      </c>
      <c r="B339" s="3882"/>
      <c r="C339" s="3883"/>
      <c r="D339" s="288" t="s">
        <v>70</v>
      </c>
      <c r="E339" s="743" t="s">
        <v>96</v>
      </c>
      <c r="F339" s="744" t="s">
        <v>124</v>
      </c>
      <c r="G339" s="744" t="s">
        <v>228</v>
      </c>
      <c r="H339" s="744" t="s">
        <v>149</v>
      </c>
      <c r="I339" s="744" t="s">
        <v>470</v>
      </c>
      <c r="J339" s="744" t="s">
        <v>92</v>
      </c>
      <c r="K339" s="50" t="s">
        <v>479</v>
      </c>
      <c r="L339" s="783" t="s">
        <v>497</v>
      </c>
      <c r="M339" s="578"/>
      <c r="N339" s="80" t="s">
        <v>71</v>
      </c>
      <c r="O339" s="49" t="s">
        <v>53</v>
      </c>
      <c r="P339" s="49" t="s">
        <v>583</v>
      </c>
      <c r="Q339" s="49" t="s">
        <v>213</v>
      </c>
      <c r="R339" s="49" t="s">
        <v>457</v>
      </c>
      <c r="S339" s="49" t="s">
        <v>94</v>
      </c>
      <c r="T339" s="126" t="s">
        <v>77</v>
      </c>
      <c r="U339" s="717" t="s">
        <v>482</v>
      </c>
      <c r="V339" s="578"/>
      <c r="W339" s="764" t="s">
        <v>584</v>
      </c>
      <c r="X339" s="765" t="s">
        <v>96</v>
      </c>
      <c r="Y339" s="765" t="e">
        <f>#REF!</f>
        <v>#REF!</v>
      </c>
      <c r="Z339" s="49" t="s">
        <v>598</v>
      </c>
      <c r="AA339" s="765" t="e">
        <f>#REF!</f>
        <v>#REF!</v>
      </c>
      <c r="AB339" s="765" t="e">
        <f>#REF!</f>
        <v>#REF!</v>
      </c>
      <c r="AC339" s="765" t="e">
        <f>#REF!</f>
        <v>#REF!</v>
      </c>
      <c r="AD339" s="772" t="e">
        <f>#REF!</f>
        <v>#REF!</v>
      </c>
      <c r="AE339" s="79"/>
      <c r="AF339" s="371" t="s">
        <v>172</v>
      </c>
      <c r="AG339" s="372" t="s">
        <v>80</v>
      </c>
      <c r="AH339" s="385"/>
      <c r="AI339" s="386" t="s">
        <v>106</v>
      </c>
      <c r="AJ339" s="385" t="s">
        <v>173</v>
      </c>
      <c r="AK339" s="371" t="s">
        <v>108</v>
      </c>
    </row>
    <row r="340" spans="1:37" ht="20.25">
      <c r="A340" s="631"/>
      <c r="B340" s="443"/>
      <c r="C340" s="443"/>
      <c r="D340" s="444"/>
      <c r="E340" s="433"/>
      <c r="F340" s="434"/>
      <c r="G340" s="434"/>
      <c r="H340" s="435"/>
      <c r="I340" s="435"/>
      <c r="J340" s="434"/>
      <c r="K340" s="480"/>
      <c r="L340" s="492"/>
      <c r="M340" s="483"/>
      <c r="N340" s="484"/>
      <c r="O340" s="435"/>
      <c r="P340" s="435"/>
      <c r="Q340" s="435"/>
      <c r="R340" s="435"/>
      <c r="S340" s="435"/>
      <c r="T340" s="435"/>
      <c r="U340" s="492"/>
      <c r="V340" s="483"/>
      <c r="W340" s="433"/>
      <c r="X340" s="434"/>
      <c r="Y340" s="434"/>
      <c r="Z340" s="435"/>
      <c r="AA340" s="435"/>
      <c r="AB340" s="435"/>
      <c r="AC340" s="434"/>
      <c r="AD340" s="495"/>
      <c r="AE340" s="483"/>
      <c r="AF340" s="496">
        <f t="shared" ref="AF340:AF341" si="109">SUM(E340:AD340)</f>
        <v>0</v>
      </c>
      <c r="AG340" s="497"/>
      <c r="AH340" s="510"/>
      <c r="AI340" s="511">
        <f t="shared" ref="AI340:AI341" si="110">AF340+AG340</f>
        <v>0</v>
      </c>
      <c r="AJ340" s="512"/>
      <c r="AK340" s="513">
        <f>AI340+AJ340</f>
        <v>0</v>
      </c>
    </row>
    <row r="341" spans="1:37" ht="21" thickBot="1">
      <c r="A341" s="322"/>
      <c r="B341" s="323"/>
      <c r="C341" s="323"/>
      <c r="D341" s="324"/>
      <c r="E341" s="325"/>
      <c r="F341" s="297"/>
      <c r="G341" s="297"/>
      <c r="H341" s="298"/>
      <c r="I341" s="298"/>
      <c r="J341" s="297"/>
      <c r="K341" s="344"/>
      <c r="L341" s="344"/>
      <c r="M341" s="355"/>
      <c r="N341" s="343"/>
      <c r="O341" s="298"/>
      <c r="P341" s="298"/>
      <c r="Q341" s="298"/>
      <c r="R341" s="298"/>
      <c r="S341" s="298"/>
      <c r="T341" s="298"/>
      <c r="U341" s="367"/>
      <c r="V341" s="355"/>
      <c r="W341" s="325"/>
      <c r="X341" s="297"/>
      <c r="Y341" s="297"/>
      <c r="Z341" s="298"/>
      <c r="AA341" s="298"/>
      <c r="AB341" s="298"/>
      <c r="AC341" s="297"/>
      <c r="AD341" s="375"/>
      <c r="AE341" s="355"/>
      <c r="AF341" s="377">
        <f t="shared" si="109"/>
        <v>0</v>
      </c>
      <c r="AG341" s="377"/>
      <c r="AH341" s="390"/>
      <c r="AI341" s="507">
        <f t="shared" si="110"/>
        <v>0</v>
      </c>
      <c r="AJ341" s="412"/>
      <c r="AK341" s="508">
        <f t="shared" ref="AK341" si="111">AI341+AJ341</f>
        <v>0</v>
      </c>
    </row>
    <row r="342" spans="1:37" ht="21" thickBot="1">
      <c r="A342" s="436"/>
      <c r="B342" s="437"/>
      <c r="C342" s="437"/>
      <c r="D342" s="438"/>
      <c r="E342" s="439">
        <f t="shared" ref="E342:L342" si="112">SUM(E340:E341)</f>
        <v>0</v>
      </c>
      <c r="F342" s="440">
        <f t="shared" si="112"/>
        <v>0</v>
      </c>
      <c r="G342" s="440">
        <f t="shared" si="112"/>
        <v>0</v>
      </c>
      <c r="H342" s="440">
        <f t="shared" si="112"/>
        <v>0</v>
      </c>
      <c r="I342" s="440">
        <f t="shared" si="112"/>
        <v>0</v>
      </c>
      <c r="J342" s="440">
        <f t="shared" si="112"/>
        <v>0</v>
      </c>
      <c r="K342" s="481">
        <f t="shared" si="112"/>
        <v>0</v>
      </c>
      <c r="L342" s="481">
        <f t="shared" si="112"/>
        <v>0</v>
      </c>
      <c r="M342" s="482"/>
      <c r="N342" s="439">
        <f t="shared" ref="N342:U342" si="113">SUM(N340:N341)</f>
        <v>0</v>
      </c>
      <c r="O342" s="440">
        <f t="shared" si="113"/>
        <v>0</v>
      </c>
      <c r="P342" s="440">
        <f t="shared" si="113"/>
        <v>0</v>
      </c>
      <c r="Q342" s="440">
        <f t="shared" si="113"/>
        <v>0</v>
      </c>
      <c r="R342" s="440">
        <f t="shared" si="113"/>
        <v>0</v>
      </c>
      <c r="S342" s="440">
        <f t="shared" si="113"/>
        <v>0</v>
      </c>
      <c r="T342" s="440">
        <f t="shared" si="113"/>
        <v>0</v>
      </c>
      <c r="U342" s="481">
        <f t="shared" si="113"/>
        <v>0</v>
      </c>
      <c r="V342" s="482"/>
      <c r="W342" s="439">
        <f t="shared" ref="W342:AD342" si="114">SUM(W340:W341)</f>
        <v>0</v>
      </c>
      <c r="X342" s="440">
        <f t="shared" si="114"/>
        <v>0</v>
      </c>
      <c r="Y342" s="440">
        <f t="shared" si="114"/>
        <v>0</v>
      </c>
      <c r="Z342" s="440">
        <f t="shared" si="114"/>
        <v>0</v>
      </c>
      <c r="AA342" s="440">
        <f t="shared" si="114"/>
        <v>0</v>
      </c>
      <c r="AB342" s="440">
        <f t="shared" si="114"/>
        <v>0</v>
      </c>
      <c r="AC342" s="440">
        <f t="shared" si="114"/>
        <v>0</v>
      </c>
      <c r="AD342" s="481">
        <f t="shared" si="114"/>
        <v>0</v>
      </c>
      <c r="AE342" s="482"/>
      <c r="AF342" s="494">
        <f>SUM(AF340:AF341)</f>
        <v>0</v>
      </c>
      <c r="AG342" s="494">
        <f>SUM(AG340:AG341)</f>
        <v>0</v>
      </c>
      <c r="AH342" s="509"/>
      <c r="AI342" s="514">
        <f>SUM(AI340:AI341)</f>
        <v>0</v>
      </c>
      <c r="AJ342" s="494">
        <f>SUM(AJ340:AJ341)</f>
        <v>0</v>
      </c>
      <c r="AK342" s="515">
        <f>SUM(AK340:AK341)</f>
        <v>0</v>
      </c>
    </row>
    <row r="343" spans="1:37" ht="19.5" thickBot="1">
      <c r="A343" s="1118"/>
      <c r="B343" s="1119"/>
      <c r="C343" s="1119"/>
      <c r="D343" s="1120"/>
      <c r="E343" s="1121"/>
      <c r="F343" s="1121"/>
      <c r="G343" s="1121"/>
      <c r="H343" s="1121"/>
      <c r="I343" s="1121"/>
      <c r="J343" s="1121"/>
      <c r="K343" s="1121"/>
      <c r="L343" s="1121"/>
      <c r="M343" s="1133"/>
      <c r="N343" s="1134"/>
      <c r="O343" s="1134"/>
      <c r="P343" s="1134"/>
      <c r="Q343" s="1134"/>
      <c r="R343" s="1134"/>
      <c r="S343" s="1134"/>
      <c r="T343" s="1134"/>
      <c r="U343" s="1134"/>
      <c r="V343" s="1133"/>
      <c r="W343" s="1134"/>
      <c r="X343" s="1134"/>
      <c r="Y343" s="1134"/>
      <c r="Z343" s="1134"/>
      <c r="AA343" s="1134"/>
      <c r="AB343" s="1134"/>
      <c r="AC343" s="1134"/>
      <c r="AD343" s="1134"/>
      <c r="AE343" s="1133"/>
      <c r="AF343" s="1134"/>
      <c r="AG343" s="1134"/>
      <c r="AH343" s="1162"/>
      <c r="AI343" s="1134"/>
      <c r="AJ343" s="1134"/>
      <c r="AK343" s="1163"/>
    </row>
    <row r="344" spans="1:37" ht="20.25">
      <c r="A344" s="122"/>
      <c r="B344" s="632"/>
      <c r="C344" s="632"/>
      <c r="D344" s="122"/>
      <c r="E344" s="3901"/>
      <c r="F344" s="3901"/>
      <c r="G344" s="3901"/>
      <c r="H344" s="3901"/>
      <c r="I344" s="3901"/>
      <c r="J344" s="3901"/>
      <c r="K344" s="3901"/>
      <c r="L344" s="3901"/>
      <c r="M344" s="3383"/>
      <c r="N344" s="3902"/>
      <c r="O344" s="3902"/>
      <c r="P344" s="3902"/>
      <c r="Q344" s="3902"/>
      <c r="R344" s="3902"/>
      <c r="S344" s="3902"/>
      <c r="T344" s="3902"/>
      <c r="U344" s="3902"/>
      <c r="V344" s="3384"/>
      <c r="W344" s="3903"/>
      <c r="X344" s="3903"/>
      <c r="Y344" s="3903"/>
      <c r="Z344" s="3903"/>
      <c r="AA344" s="3903"/>
      <c r="AB344" s="3903"/>
      <c r="AC344" s="3903"/>
      <c r="AD344" s="3903"/>
      <c r="AE344" s="688"/>
      <c r="AF344" s="689"/>
      <c r="AG344" s="3382"/>
      <c r="AH344" s="3382"/>
      <c r="AI344" s="689"/>
      <c r="AJ344" s="689"/>
      <c r="AK344" s="704"/>
    </row>
    <row r="345" spans="1:37" ht="15.75" thickBot="1">
      <c r="A345" s="634"/>
      <c r="B345" s="635"/>
      <c r="C345" s="635"/>
      <c r="D345" s="634"/>
      <c r="E345" s="634"/>
      <c r="F345" s="634"/>
      <c r="G345" s="634"/>
      <c r="H345" s="634"/>
      <c r="I345" s="634"/>
      <c r="J345" s="634"/>
      <c r="K345" s="634"/>
      <c r="L345" s="634"/>
      <c r="M345" s="634"/>
      <c r="N345" s="634"/>
      <c r="O345" s="634"/>
      <c r="P345" s="634"/>
      <c r="Q345" s="634"/>
      <c r="R345" s="634"/>
      <c r="S345" s="634"/>
      <c r="T345" s="634"/>
      <c r="U345" s="634"/>
      <c r="V345" s="634"/>
      <c r="W345" s="634"/>
      <c r="X345" s="634"/>
      <c r="Y345" s="634"/>
      <c r="Z345" s="634"/>
      <c r="AA345" s="634"/>
      <c r="AB345" s="634"/>
      <c r="AC345" s="690"/>
      <c r="AD345" s="690"/>
      <c r="AE345" s="690"/>
      <c r="AF345" s="690"/>
      <c r="AG345" s="634"/>
      <c r="AH345" s="634"/>
      <c r="AI345" s="634"/>
      <c r="AJ345" s="634"/>
      <c r="AK345" s="634"/>
    </row>
    <row r="346" spans="1:37" ht="21" thickBot="1">
      <c r="A346" s="636" t="s">
        <v>185</v>
      </c>
      <c r="B346" s="637"/>
      <c r="C346" s="637"/>
      <c r="D346" s="638"/>
      <c r="E346" s="529">
        <f t="shared" ref="E346:L346" si="115">E273-E336+E342</f>
        <v>660</v>
      </c>
      <c r="F346" s="639">
        <f t="shared" si="115"/>
        <v>0</v>
      </c>
      <c r="G346" s="639">
        <f t="shared" si="115"/>
        <v>0</v>
      </c>
      <c r="H346" s="639">
        <f t="shared" si="115"/>
        <v>-20</v>
      </c>
      <c r="I346" s="639">
        <f t="shared" si="115"/>
        <v>660</v>
      </c>
      <c r="J346" s="639">
        <f t="shared" si="115"/>
        <v>140</v>
      </c>
      <c r="K346" s="664">
        <f t="shared" si="115"/>
        <v>60</v>
      </c>
      <c r="L346" s="664">
        <f t="shared" si="115"/>
        <v>260</v>
      </c>
      <c r="M346" s="3385"/>
      <c r="N346" s="665">
        <f t="shared" ref="N346:U346" si="116">N273-N336+N342</f>
        <v>0</v>
      </c>
      <c r="O346" s="666">
        <f t="shared" si="116"/>
        <v>0</v>
      </c>
      <c r="P346" s="666">
        <f t="shared" si="116"/>
        <v>0</v>
      </c>
      <c r="Q346" s="666">
        <f t="shared" si="116"/>
        <v>120</v>
      </c>
      <c r="R346" s="666">
        <f t="shared" si="116"/>
        <v>0</v>
      </c>
      <c r="S346" s="666">
        <f t="shared" si="116"/>
        <v>0</v>
      </c>
      <c r="T346" s="666">
        <f t="shared" si="116"/>
        <v>0</v>
      </c>
      <c r="U346" s="674">
        <f t="shared" si="116"/>
        <v>60</v>
      </c>
      <c r="V346" s="3385"/>
      <c r="W346" s="665">
        <f t="shared" ref="W346:AD346" si="117">W273-W336+W342</f>
        <v>20</v>
      </c>
      <c r="X346" s="666">
        <f t="shared" si="117"/>
        <v>0</v>
      </c>
      <c r="Y346" s="666">
        <f t="shared" si="117"/>
        <v>0</v>
      </c>
      <c r="Z346" s="666">
        <f t="shared" si="117"/>
        <v>320</v>
      </c>
      <c r="AA346" s="666">
        <f t="shared" si="117"/>
        <v>0</v>
      </c>
      <c r="AB346" s="666">
        <f t="shared" si="117"/>
        <v>0</v>
      </c>
      <c r="AC346" s="666">
        <f t="shared" si="117"/>
        <v>0</v>
      </c>
      <c r="AD346" s="674">
        <f t="shared" si="117"/>
        <v>0</v>
      </c>
      <c r="AE346" s="691"/>
      <c r="AF346" s="529">
        <f>AF273-AF336+AF342</f>
        <v>2280</v>
      </c>
      <c r="AG346" s="3775">
        <f>AG273-AG336-AH336+AG342</f>
        <v>0</v>
      </c>
      <c r="AH346" s="3884"/>
      <c r="AI346" s="529">
        <f>AI273-AI336+AI342</f>
        <v>2280</v>
      </c>
      <c r="AJ346" s="529">
        <f>AJ273-AJ336+AJ342</f>
        <v>0</v>
      </c>
      <c r="AK346" s="693">
        <f>AK273-AK336+AK342</f>
        <v>2280</v>
      </c>
    </row>
    <row r="347" spans="1:37" ht="21" thickBot="1">
      <c r="A347" s="640" t="s">
        <v>152</v>
      </c>
      <c r="B347" s="641"/>
      <c r="C347" s="641"/>
      <c r="D347" s="642"/>
      <c r="E347" s="529">
        <f>E346/20</f>
        <v>33</v>
      </c>
      <c r="F347" s="639">
        <f t="shared" ref="F347:L347" si="118">F346/20</f>
        <v>0</v>
      </c>
      <c r="G347" s="639">
        <f t="shared" si="118"/>
        <v>0</v>
      </c>
      <c r="H347" s="639">
        <f t="shared" si="118"/>
        <v>-1</v>
      </c>
      <c r="I347" s="639">
        <f t="shared" si="118"/>
        <v>33</v>
      </c>
      <c r="J347" s="639">
        <f t="shared" si="118"/>
        <v>7</v>
      </c>
      <c r="K347" s="1123">
        <f t="shared" si="118"/>
        <v>3</v>
      </c>
      <c r="L347" s="1123">
        <f t="shared" si="118"/>
        <v>13</v>
      </c>
      <c r="M347" s="1135"/>
      <c r="N347" s="1136">
        <f>N346/20</f>
        <v>0</v>
      </c>
      <c r="O347" s="1122">
        <f t="shared" ref="O347:U347" si="119">O346/20</f>
        <v>0</v>
      </c>
      <c r="P347" s="1122">
        <f t="shared" si="119"/>
        <v>0</v>
      </c>
      <c r="Q347" s="1122">
        <f t="shared" si="119"/>
        <v>6</v>
      </c>
      <c r="R347" s="1122">
        <f t="shared" si="119"/>
        <v>0</v>
      </c>
      <c r="S347" s="1122">
        <f t="shared" si="119"/>
        <v>0</v>
      </c>
      <c r="T347" s="1122">
        <f t="shared" si="119"/>
        <v>0</v>
      </c>
      <c r="U347" s="1123">
        <f t="shared" si="119"/>
        <v>3</v>
      </c>
      <c r="V347" s="1135"/>
      <c r="W347" s="1136">
        <f>W346/20</f>
        <v>1</v>
      </c>
      <c r="X347" s="1122">
        <f t="shared" ref="X347:AD347" si="120">X346/20</f>
        <v>0</v>
      </c>
      <c r="Y347" s="1122">
        <f t="shared" si="120"/>
        <v>0</v>
      </c>
      <c r="Z347" s="1122">
        <f t="shared" si="120"/>
        <v>16</v>
      </c>
      <c r="AA347" s="1122">
        <f t="shared" si="120"/>
        <v>0</v>
      </c>
      <c r="AB347" s="1122">
        <f t="shared" si="120"/>
        <v>0</v>
      </c>
      <c r="AC347" s="1122">
        <f t="shared" si="120"/>
        <v>0</v>
      </c>
      <c r="AD347" s="1123">
        <f t="shared" si="120"/>
        <v>0</v>
      </c>
      <c r="AE347" s="692"/>
      <c r="AF347" s="693">
        <f>AF346/20</f>
        <v>114</v>
      </c>
      <c r="AG347" s="3775">
        <f>AG346/20</f>
        <v>0</v>
      </c>
      <c r="AH347" s="3884"/>
      <c r="AI347" s="693">
        <f t="shared" ref="AI347:AK347" si="121">AI346/20</f>
        <v>114</v>
      </c>
      <c r="AJ347" s="3385">
        <f t="shared" si="121"/>
        <v>0</v>
      </c>
      <c r="AK347" s="706">
        <f t="shared" si="121"/>
        <v>114</v>
      </c>
    </row>
    <row r="348" spans="1:37" ht="21" thickBot="1">
      <c r="A348" s="643" t="s">
        <v>156</v>
      </c>
      <c r="B348" s="644"/>
      <c r="C348" s="644"/>
      <c r="D348" s="645"/>
      <c r="E348" s="3897">
        <f>SUM(E347:L347)</f>
        <v>88</v>
      </c>
      <c r="F348" s="3898"/>
      <c r="G348" s="3898"/>
      <c r="H348" s="3898"/>
      <c r="I348" s="3898"/>
      <c r="J348" s="3898"/>
      <c r="K348" s="3898"/>
      <c r="L348" s="3899"/>
      <c r="M348" s="667"/>
      <c r="N348" s="3778">
        <f>SUM(N347:U347)</f>
        <v>9</v>
      </c>
      <c r="O348" s="3779"/>
      <c r="P348" s="3779"/>
      <c r="Q348" s="3779"/>
      <c r="R348" s="3779"/>
      <c r="S348" s="3779"/>
      <c r="T348" s="3779"/>
      <c r="U348" s="3780"/>
      <c r="V348" s="675"/>
      <c r="W348" s="3778">
        <f>SUM(W347:AD347)</f>
        <v>17</v>
      </c>
      <c r="X348" s="3779"/>
      <c r="Y348" s="3779"/>
      <c r="Z348" s="3779"/>
      <c r="AA348" s="3779"/>
      <c r="AB348" s="3779"/>
      <c r="AC348" s="3779"/>
      <c r="AD348" s="3780"/>
      <c r="AE348" s="694"/>
      <c r="AF348" s="694"/>
      <c r="AG348" s="694"/>
      <c r="AH348" s="694"/>
      <c r="AI348" s="694"/>
      <c r="AJ348" s="694"/>
      <c r="AK348" s="707"/>
    </row>
    <row r="349" spans="1:37" ht="21" thickBot="1">
      <c r="A349" s="646" t="s">
        <v>157</v>
      </c>
      <c r="B349" s="647"/>
      <c r="C349" s="647"/>
      <c r="D349" s="648"/>
      <c r="E349" s="3875">
        <f>SUM(E346:L346)</f>
        <v>1760</v>
      </c>
      <c r="F349" s="3876"/>
      <c r="G349" s="3876"/>
      <c r="H349" s="3876"/>
      <c r="I349" s="3876"/>
      <c r="J349" s="3876"/>
      <c r="K349" s="3876"/>
      <c r="L349" s="3900"/>
      <c r="M349" s="669"/>
      <c r="N349" s="3877">
        <f>SUM(N346:U346)</f>
        <v>180</v>
      </c>
      <c r="O349" s="3878"/>
      <c r="P349" s="3878"/>
      <c r="Q349" s="3878"/>
      <c r="R349" s="3878"/>
      <c r="S349" s="3878"/>
      <c r="T349" s="3878"/>
      <c r="U349" s="3879"/>
      <c r="V349" s="676"/>
      <c r="W349" s="3781">
        <f>SUM(W346:AD346)</f>
        <v>340</v>
      </c>
      <c r="X349" s="3788"/>
      <c r="Y349" s="3788"/>
      <c r="Z349" s="3788"/>
      <c r="AA349" s="3788"/>
      <c r="AB349" s="3788"/>
      <c r="AC349" s="3788"/>
      <c r="AD349" s="3880"/>
      <c r="AE349" s="688"/>
      <c r="AF349" s="689"/>
      <c r="AG349" s="3382"/>
      <c r="AH349" s="3382"/>
      <c r="AI349" s="689"/>
      <c r="AJ349" s="689"/>
      <c r="AK349" s="704"/>
    </row>
    <row r="350" spans="1:37">
      <c r="A350" s="634"/>
      <c r="B350" s="635"/>
      <c r="C350" s="635"/>
      <c r="D350" s="649"/>
      <c r="E350" s="634"/>
      <c r="F350" s="634"/>
      <c r="G350" s="634"/>
      <c r="H350" s="634"/>
      <c r="I350" s="634"/>
      <c r="J350" s="634"/>
      <c r="K350" s="634"/>
      <c r="L350" s="634"/>
      <c r="M350" s="634"/>
      <c r="N350" s="634"/>
      <c r="O350" s="634"/>
      <c r="P350" s="634"/>
      <c r="Q350" s="634"/>
      <c r="R350" s="634"/>
      <c r="S350" s="634"/>
      <c r="T350" s="634"/>
      <c r="U350" s="634"/>
      <c r="V350" s="634"/>
      <c r="W350" s="634"/>
      <c r="X350" s="634"/>
      <c r="Y350" s="634"/>
      <c r="Z350" s="634"/>
      <c r="AA350" s="634"/>
      <c r="AB350" s="634"/>
      <c r="AC350" s="690"/>
      <c r="AD350" s="690"/>
      <c r="AE350" s="690"/>
      <c r="AF350" s="690"/>
      <c r="AG350" s="634"/>
      <c r="AH350" s="634"/>
      <c r="AI350" s="634"/>
      <c r="AJ350" s="634"/>
      <c r="AK350" s="634"/>
    </row>
    <row r="351" spans="1:37" ht="21" thickBot="1">
      <c r="A351" s="650"/>
      <c r="B351" s="651"/>
      <c r="C351" s="651"/>
      <c r="D351" s="650"/>
      <c r="E351" s="650"/>
      <c r="F351" s="650"/>
      <c r="G351" s="650"/>
      <c r="H351" s="650"/>
      <c r="I351" s="650"/>
      <c r="J351" s="650"/>
      <c r="K351" s="650"/>
      <c r="L351" s="650"/>
      <c r="M351" s="650"/>
      <c r="N351" s="650"/>
      <c r="O351" s="650"/>
      <c r="P351" s="650"/>
      <c r="Q351" s="650"/>
      <c r="R351" s="650"/>
      <c r="S351" s="650"/>
      <c r="T351" s="650"/>
      <c r="U351" s="650"/>
      <c r="V351" s="650"/>
      <c r="W351" s="650"/>
      <c r="X351" s="650"/>
      <c r="Y351" s="650"/>
      <c r="Z351" s="650"/>
      <c r="AA351" s="650"/>
      <c r="AB351" s="650"/>
      <c r="AC351" s="650"/>
      <c r="AD351" s="650"/>
      <c r="AE351" s="650"/>
      <c r="AF351" s="650"/>
      <c r="AG351" s="650"/>
      <c r="AH351" s="650"/>
      <c r="AI351" s="650"/>
      <c r="AJ351" s="650"/>
      <c r="AK351" s="650"/>
    </row>
    <row r="352" spans="1:37" ht="27.75" thickBot="1">
      <c r="A352" s="634"/>
      <c r="B352" s="635"/>
      <c r="C352" s="635"/>
      <c r="D352" s="634"/>
      <c r="E352" s="634"/>
      <c r="F352" s="634"/>
      <c r="G352" s="634"/>
      <c r="H352" s="634"/>
      <c r="I352" s="634"/>
      <c r="J352" s="634"/>
      <c r="K352" s="634"/>
      <c r="L352" s="634"/>
      <c r="M352" s="634"/>
      <c r="N352" s="634"/>
      <c r="O352" s="634"/>
      <c r="P352" s="634"/>
      <c r="Q352" s="634"/>
      <c r="R352" s="634"/>
      <c r="S352" s="634"/>
      <c r="T352" s="634"/>
      <c r="U352" s="634"/>
      <c r="V352" s="634"/>
      <c r="W352" s="634"/>
      <c r="X352" s="677"/>
      <c r="Y352" s="3857" t="s">
        <v>158</v>
      </c>
      <c r="Z352" s="3858"/>
      <c r="AA352" s="3858"/>
      <c r="AB352" s="3858"/>
      <c r="AC352" s="3859"/>
      <c r="AD352" s="3802">
        <f>'BIG CHAIR'!CI325</f>
        <v>0</v>
      </c>
      <c r="AE352" s="3803"/>
      <c r="AF352" s="3804"/>
      <c r="AG352" s="634"/>
      <c r="AH352" s="634"/>
      <c r="AI352" s="634"/>
      <c r="AJ352" s="634"/>
      <c r="AK352" s="634"/>
    </row>
    <row r="353" spans="1:37" ht="27.75" thickBot="1">
      <c r="A353" s="634"/>
      <c r="B353" s="635"/>
      <c r="C353" s="635"/>
      <c r="D353" s="634"/>
      <c r="E353" s="634"/>
      <c r="F353" s="634"/>
      <c r="G353" s="634"/>
      <c r="H353" s="634"/>
      <c r="I353" s="634"/>
      <c r="J353" s="634"/>
      <c r="K353" s="634"/>
      <c r="L353" s="634"/>
      <c r="M353" s="634"/>
      <c r="N353" s="634"/>
      <c r="O353" s="634"/>
      <c r="P353" s="634"/>
      <c r="Q353" s="634"/>
      <c r="R353" s="634"/>
      <c r="S353" s="634"/>
      <c r="T353" s="634"/>
      <c r="U353" s="634"/>
      <c r="V353" s="634"/>
      <c r="W353" s="634"/>
      <c r="X353" s="677"/>
      <c r="Y353" s="3905" t="s">
        <v>159</v>
      </c>
      <c r="Z353" s="3826"/>
      <c r="AA353" s="3826"/>
      <c r="AB353" s="3826"/>
      <c r="AC353" s="3906"/>
      <c r="AD353" s="3872">
        <f>AF346</f>
        <v>2280</v>
      </c>
      <c r="AE353" s="3803"/>
      <c r="AF353" s="3804"/>
      <c r="AG353" s="634"/>
      <c r="AH353" s="634"/>
      <c r="AI353" s="634"/>
      <c r="AJ353" s="634"/>
      <c r="AK353" s="708"/>
    </row>
    <row r="354" spans="1:37" ht="27.75" thickBot="1">
      <c r="A354" s="634"/>
      <c r="B354" s="635"/>
      <c r="C354" s="635"/>
      <c r="D354" s="634"/>
      <c r="E354" s="634"/>
      <c r="F354" s="634"/>
      <c r="G354" s="634"/>
      <c r="H354" s="634"/>
      <c r="I354" s="634"/>
      <c r="J354" s="634"/>
      <c r="K354" s="634"/>
      <c r="L354" s="634"/>
      <c r="M354" s="634"/>
      <c r="N354" s="634"/>
      <c r="O354" s="634"/>
      <c r="P354" s="634"/>
      <c r="Q354" s="634"/>
      <c r="R354" s="634"/>
      <c r="S354" s="634"/>
      <c r="T354" s="634"/>
      <c r="U354" s="634"/>
      <c r="V354" s="634"/>
      <c r="W354" s="634"/>
      <c r="X354" s="677"/>
      <c r="Y354" s="3857" t="s">
        <v>160</v>
      </c>
      <c r="Z354" s="3858"/>
      <c r="AA354" s="3858"/>
      <c r="AB354" s="3858"/>
      <c r="AC354" s="3859"/>
      <c r="AD354" s="3802">
        <f>'BIG CHAIR'!CJ325</f>
        <v>0</v>
      </c>
      <c r="AE354" s="3803"/>
      <c r="AF354" s="3804"/>
      <c r="AG354" s="634"/>
      <c r="AH354" s="634"/>
      <c r="AI354" s="634"/>
      <c r="AJ354" s="634"/>
      <c r="AK354" s="634"/>
    </row>
    <row r="355" spans="1:37" ht="27.75" thickBot="1">
      <c r="A355" s="634"/>
      <c r="B355" s="635"/>
      <c r="C355" s="635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4"/>
      <c r="P355" s="634"/>
      <c r="Q355" s="634"/>
      <c r="R355" s="634"/>
      <c r="S355" s="634"/>
      <c r="T355" s="634"/>
      <c r="U355" s="634"/>
      <c r="V355" s="634"/>
      <c r="W355" s="634"/>
      <c r="X355" s="677"/>
      <c r="Y355" s="3857" t="s">
        <v>161</v>
      </c>
      <c r="Z355" s="3858"/>
      <c r="AA355" s="3858"/>
      <c r="AB355" s="3858"/>
      <c r="AC355" s="3858"/>
      <c r="AD355" s="3872">
        <f>AG346</f>
        <v>0</v>
      </c>
      <c r="AE355" s="3803"/>
      <c r="AF355" s="3804"/>
      <c r="AG355" s="634"/>
      <c r="AH355" s="634"/>
      <c r="AI355" s="634"/>
      <c r="AJ355" s="634"/>
      <c r="AK355" s="634"/>
    </row>
    <row r="356" spans="1:37" ht="27.75" thickBot="1">
      <c r="A356" s="634"/>
      <c r="B356" s="635"/>
      <c r="C356" s="635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4"/>
      <c r="P356" s="634"/>
      <c r="Q356" s="634"/>
      <c r="R356" s="634"/>
      <c r="S356" s="634"/>
      <c r="T356" s="634"/>
      <c r="U356" s="634"/>
      <c r="V356" s="634"/>
      <c r="W356" s="634"/>
      <c r="X356" s="677"/>
      <c r="Y356" s="3857" t="s">
        <v>162</v>
      </c>
      <c r="Z356" s="3858"/>
      <c r="AA356" s="3858"/>
      <c r="AB356" s="3858"/>
      <c r="AC356" s="3859"/>
      <c r="AD356" s="3802">
        <f>'Tea Table'!U285</f>
        <v>2676</v>
      </c>
      <c r="AE356" s="3803"/>
      <c r="AF356" s="3804"/>
      <c r="AG356" s="634"/>
      <c r="AH356" s="634"/>
      <c r="AI356" s="634"/>
      <c r="AJ356" s="634"/>
      <c r="AK356" s="634"/>
    </row>
    <row r="357" spans="1:37" ht="27.75" thickBot="1">
      <c r="A357" s="634"/>
      <c r="B357" s="635"/>
      <c r="C357" s="635"/>
      <c r="D357" s="634"/>
      <c r="E357" s="634"/>
      <c r="F357" s="634"/>
      <c r="G357" s="634"/>
      <c r="H357" s="634"/>
      <c r="I357" s="634"/>
      <c r="J357" s="634"/>
      <c r="K357" s="634"/>
      <c r="L357" s="634"/>
      <c r="M357" s="634"/>
      <c r="N357" s="634"/>
      <c r="O357" s="634"/>
      <c r="P357" s="634"/>
      <c r="Q357" s="634"/>
      <c r="R357" s="634"/>
      <c r="S357" s="634"/>
      <c r="T357" s="634"/>
      <c r="U357" s="634"/>
      <c r="V357" s="634"/>
      <c r="W357" s="634"/>
      <c r="X357" s="677"/>
      <c r="Y357" s="3860" t="s">
        <v>163</v>
      </c>
      <c r="Z357" s="3861"/>
      <c r="AA357" s="3861"/>
      <c r="AB357" s="3861"/>
      <c r="AC357" s="3862"/>
      <c r="AD357" s="3863">
        <f>'Tea Table'!V285</f>
        <v>29</v>
      </c>
      <c r="AE357" s="3864"/>
      <c r="AF357" s="3865"/>
      <c r="AG357" s="634"/>
      <c r="AH357" s="634"/>
      <c r="AI357" s="634"/>
      <c r="AJ357" s="634"/>
      <c r="AK357" s="634"/>
    </row>
    <row r="358" spans="1:37" ht="28.5" thickTop="1" thickBot="1">
      <c r="A358" s="634"/>
      <c r="B358" s="635"/>
      <c r="C358" s="635"/>
      <c r="D358" s="634"/>
      <c r="E358" s="634"/>
      <c r="F358" s="634"/>
      <c r="G358" s="634"/>
      <c r="H358" s="634"/>
      <c r="I358" s="634"/>
      <c r="J358" s="634"/>
      <c r="K358" s="634"/>
      <c r="L358" s="634"/>
      <c r="M358" s="634"/>
      <c r="N358" s="634"/>
      <c r="O358" s="634"/>
      <c r="P358" s="634"/>
      <c r="Q358" s="634"/>
      <c r="R358" s="634"/>
      <c r="S358" s="634"/>
      <c r="T358" s="634"/>
      <c r="U358" s="634"/>
      <c r="V358" s="634"/>
      <c r="W358" s="634"/>
      <c r="X358" s="677"/>
      <c r="Y358" s="3866"/>
      <c r="Z358" s="3867"/>
      <c r="AA358" s="3867"/>
      <c r="AB358" s="3867"/>
      <c r="AC358" s="3868"/>
      <c r="AD358" s="3869"/>
      <c r="AE358" s="3870"/>
      <c r="AF358" s="3871"/>
      <c r="AG358" s="634"/>
      <c r="AH358" s="634"/>
      <c r="AI358" s="634"/>
      <c r="AJ358" s="634"/>
      <c r="AK358" s="634"/>
    </row>
    <row r="359" spans="1:37" ht="27.75" thickBot="1">
      <c r="A359" s="634"/>
      <c r="B359" s="635"/>
      <c r="C359" s="635"/>
      <c r="D359" s="634"/>
      <c r="E359" s="634"/>
      <c r="F359" s="634"/>
      <c r="G359" s="634"/>
      <c r="H359" s="634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34"/>
      <c r="X359" s="677"/>
      <c r="Y359" s="3857" t="s">
        <v>164</v>
      </c>
      <c r="Z359" s="3858"/>
      <c r="AA359" s="3858"/>
      <c r="AB359" s="3858"/>
      <c r="AC359" s="3859"/>
      <c r="AD359" s="3796">
        <f>SUM(AD352:AF358)</f>
        <v>4985</v>
      </c>
      <c r="AE359" s="3797"/>
      <c r="AF359" s="3798"/>
      <c r="AG359" s="634"/>
      <c r="AH359" s="634"/>
      <c r="AI359" s="634"/>
      <c r="AJ359" s="634"/>
      <c r="AK359" s="634"/>
    </row>
    <row r="360" spans="1:37" ht="27.75" thickBot="1">
      <c r="A360" s="634"/>
      <c r="B360" s="635"/>
      <c r="C360" s="635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4"/>
      <c r="S360" s="634"/>
      <c r="T360" s="634"/>
      <c r="U360" s="634"/>
      <c r="V360" s="634"/>
      <c r="W360" s="634"/>
      <c r="X360" s="677"/>
      <c r="Y360" s="3857" t="s">
        <v>165</v>
      </c>
      <c r="Z360" s="3858"/>
      <c r="AA360" s="3858"/>
      <c r="AB360" s="3858"/>
      <c r="AC360" s="3859"/>
      <c r="AD360" s="3796">
        <f>AF347+'BIG CHAIR'!CI326+'Tea Table'!U286</f>
        <v>337</v>
      </c>
      <c r="AE360" s="3797"/>
      <c r="AF360" s="3798"/>
      <c r="AG360" s="695"/>
      <c r="AH360" s="695"/>
      <c r="AI360" s="695"/>
      <c r="AJ360" s="634"/>
      <c r="AK360" s="634"/>
    </row>
    <row r="361" spans="1:37">
      <c r="B361" s="652"/>
      <c r="C361" s="652"/>
      <c r="AC361" s="696"/>
      <c r="AD361" s="696"/>
      <c r="AE361" s="696"/>
      <c r="AF361" s="696"/>
    </row>
    <row r="362" spans="1:37">
      <c r="B362" s="652"/>
      <c r="C362" s="652"/>
      <c r="AC362" s="696"/>
      <c r="AD362" s="696"/>
      <c r="AE362" s="696"/>
      <c r="AF362" s="696"/>
    </row>
    <row r="363" spans="1:37">
      <c r="B363" s="652"/>
      <c r="C363" s="652"/>
      <c r="AC363" s="696"/>
      <c r="AD363" s="696"/>
      <c r="AE363" s="696"/>
      <c r="AF363" s="696"/>
    </row>
    <row r="364" spans="1:37">
      <c r="B364" s="652"/>
      <c r="C364" s="652"/>
      <c r="AC364" s="696"/>
      <c r="AD364" s="696"/>
      <c r="AE364" s="696"/>
      <c r="AF364" s="696"/>
    </row>
    <row r="365" spans="1:37">
      <c r="B365" s="652"/>
      <c r="C365" s="652"/>
      <c r="AC365" s="696"/>
      <c r="AD365" s="696"/>
      <c r="AE365" s="696"/>
      <c r="AF365" s="696"/>
    </row>
    <row r="366" spans="1:37">
      <c r="B366" s="652"/>
      <c r="C366" s="652"/>
      <c r="AC366" s="696"/>
      <c r="AD366" s="696"/>
      <c r="AE366" s="696"/>
      <c r="AF366" s="696"/>
    </row>
    <row r="367" spans="1:37">
      <c r="B367" s="652"/>
      <c r="C367" s="652"/>
      <c r="AC367" s="696"/>
      <c r="AD367" s="696"/>
      <c r="AE367" s="696"/>
      <c r="AF367" s="696"/>
    </row>
    <row r="368" spans="1:37">
      <c r="B368" s="652"/>
      <c r="C368" s="652"/>
      <c r="AC368" s="696"/>
      <c r="AD368" s="696"/>
      <c r="AE368" s="696"/>
      <c r="AF368" s="696"/>
    </row>
    <row r="369" spans="2:32">
      <c r="B369" s="652"/>
      <c r="C369" s="652"/>
      <c r="AC369" s="696"/>
      <c r="AD369" s="696"/>
      <c r="AE369" s="696"/>
      <c r="AF369" s="696"/>
    </row>
    <row r="370" spans="2:32">
      <c r="B370" s="652"/>
      <c r="C370" s="652"/>
      <c r="AC370" s="696"/>
      <c r="AD370" s="696"/>
      <c r="AE370" s="696"/>
      <c r="AF370" s="696"/>
    </row>
    <row r="371" spans="2:32">
      <c r="B371" s="652"/>
      <c r="C371" s="652"/>
      <c r="AC371" s="696"/>
      <c r="AD371" s="696"/>
      <c r="AE371" s="696"/>
      <c r="AF371" s="696"/>
    </row>
    <row r="372" spans="2:32">
      <c r="B372" s="652"/>
      <c r="C372" s="652"/>
      <c r="AC372" s="696"/>
      <c r="AD372" s="696"/>
      <c r="AE372" s="696"/>
      <c r="AF372" s="696"/>
    </row>
    <row r="373" spans="2:32">
      <c r="B373" s="652"/>
      <c r="C373" s="652"/>
      <c r="AC373" s="696"/>
      <c r="AD373" s="696"/>
      <c r="AE373" s="696"/>
      <c r="AF373" s="696"/>
    </row>
    <row r="374" spans="2:32">
      <c r="B374" s="652"/>
      <c r="C374" s="652"/>
      <c r="AC374" s="696"/>
      <c r="AD374" s="696"/>
      <c r="AE374" s="696"/>
      <c r="AF374" s="696"/>
    </row>
    <row r="375" spans="2:32">
      <c r="B375" s="652"/>
      <c r="C375" s="652"/>
      <c r="AC375" s="696"/>
      <c r="AD375" s="696"/>
      <c r="AE375" s="696"/>
      <c r="AF375" s="696"/>
    </row>
    <row r="376" spans="2:32">
      <c r="B376" s="652"/>
      <c r="C376" s="652"/>
      <c r="AC376" s="696"/>
      <c r="AD376" s="696"/>
      <c r="AE376" s="696"/>
      <c r="AF376" s="696"/>
    </row>
    <row r="377" spans="2:32">
      <c r="B377" s="652"/>
      <c r="C377" s="652"/>
      <c r="AC377" s="696"/>
      <c r="AD377" s="696"/>
      <c r="AE377" s="696"/>
      <c r="AF377" s="696"/>
    </row>
    <row r="378" spans="2:32">
      <c r="B378" s="652"/>
      <c r="C378" s="652"/>
      <c r="AC378" s="696"/>
      <c r="AD378" s="696"/>
      <c r="AE378" s="696"/>
      <c r="AF378" s="696"/>
    </row>
  </sheetData>
  <mergeCells count="41">
    <mergeCell ref="Y360:AC360"/>
    <mergeCell ref="AD360:AF360"/>
    <mergeCell ref="Y357:AC357"/>
    <mergeCell ref="AD357:AF357"/>
    <mergeCell ref="Y358:AC358"/>
    <mergeCell ref="AD358:AF358"/>
    <mergeCell ref="Y359:AC359"/>
    <mergeCell ref="AD359:AF359"/>
    <mergeCell ref="Y354:AC354"/>
    <mergeCell ref="AD354:AF354"/>
    <mergeCell ref="Y355:AC355"/>
    <mergeCell ref="AD355:AF355"/>
    <mergeCell ref="Y356:AC356"/>
    <mergeCell ref="AD356:AF356"/>
    <mergeCell ref="Y353:AC353"/>
    <mergeCell ref="AD353:AF353"/>
    <mergeCell ref="E344:L344"/>
    <mergeCell ref="N344:U344"/>
    <mergeCell ref="W344:AD344"/>
    <mergeCell ref="E349:L349"/>
    <mergeCell ref="N349:U349"/>
    <mergeCell ref="W349:AD349"/>
    <mergeCell ref="Y352:AC352"/>
    <mergeCell ref="AD352:AF352"/>
    <mergeCell ref="AG346:AH346"/>
    <mergeCell ref="AG347:AH347"/>
    <mergeCell ref="E348:L348"/>
    <mergeCell ref="N348:U348"/>
    <mergeCell ref="W348:AD348"/>
    <mergeCell ref="AF2:AK2"/>
    <mergeCell ref="A275:AK275"/>
    <mergeCell ref="A339:C339"/>
    <mergeCell ref="A2:D2"/>
    <mergeCell ref="E2:L2"/>
    <mergeCell ref="N2:U2"/>
    <mergeCell ref="W2:AD2"/>
    <mergeCell ref="A276:D276"/>
    <mergeCell ref="E276:L276"/>
    <mergeCell ref="N276:U276"/>
    <mergeCell ref="W276:AD276"/>
    <mergeCell ref="AF276:AK276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66"/>
  <sheetViews>
    <sheetView topLeftCell="A180" workbookViewId="0">
      <selection activeCell="A191" sqref="A191"/>
    </sheetView>
  </sheetViews>
  <sheetFormatPr defaultColWidth="9" defaultRowHeight="23.25"/>
  <cols>
    <col min="1" max="1" width="45.7109375" customWidth="1"/>
    <col min="2" max="2" width="18.140625" style="873" customWidth="1"/>
    <col min="3" max="3" width="12.140625" style="873" customWidth="1"/>
    <col min="4" max="4" width="20.28515625" bestFit="1" customWidth="1"/>
    <col min="5" max="5" width="12" customWidth="1"/>
    <col min="6" max="6" width="12.140625" customWidth="1"/>
    <col min="7" max="7" width="11.42578125" customWidth="1"/>
    <col min="8" max="8" width="12" customWidth="1"/>
    <col min="9" max="9" width="8.7109375" customWidth="1"/>
    <col min="10" max="11" width="12" customWidth="1"/>
    <col min="12" max="12" width="10" customWidth="1"/>
    <col min="13" max="13" width="12" customWidth="1"/>
    <col min="14" max="14" width="10" customWidth="1"/>
    <col min="15" max="15" width="10.7109375" customWidth="1"/>
    <col min="16" max="16" width="8.42578125" customWidth="1"/>
    <col min="17" max="17" width="8.7109375" customWidth="1"/>
    <col min="18" max="18" width="9" customWidth="1"/>
    <col min="19" max="19" width="10.7109375" customWidth="1"/>
    <col min="20" max="20" width="2.85546875" customWidth="1"/>
    <col min="21" max="21" width="10.28515625" customWidth="1"/>
    <col min="22" max="23" width="9.5703125" customWidth="1"/>
    <col min="24" max="24" width="10.28515625" customWidth="1"/>
    <col min="25" max="25" width="11" customWidth="1"/>
    <col min="26" max="26" width="12" customWidth="1"/>
    <col min="27" max="27" width="9.140625" style="1" customWidth="1"/>
    <col min="28" max="28" width="10.85546875" style="1" customWidth="1"/>
    <col min="29" max="29" width="9.28515625" style="1" customWidth="1"/>
    <col min="30" max="38" width="9.140625" style="1" customWidth="1"/>
    <col min="39" max="256" width="10" customWidth="1"/>
  </cols>
  <sheetData>
    <row r="1" spans="1:40" ht="34.5" customHeight="1" thickBot="1">
      <c r="A1" s="285" t="s">
        <v>191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3535">
        <v>1</v>
      </c>
      <c r="P1" s="335">
        <v>4</v>
      </c>
      <c r="Q1" s="3848">
        <v>2026</v>
      </c>
      <c r="R1" s="3849"/>
      <c r="S1" s="285"/>
      <c r="T1" s="285"/>
      <c r="U1" s="285"/>
      <c r="V1" s="285"/>
      <c r="W1" s="285"/>
      <c r="X1" s="285"/>
      <c r="Y1" s="285"/>
      <c r="Z1" s="285"/>
      <c r="AA1" s="958"/>
      <c r="AB1" s="958"/>
      <c r="AC1" s="958"/>
      <c r="AD1" s="958"/>
      <c r="AE1" s="958"/>
      <c r="AF1" s="958"/>
      <c r="AG1" s="958"/>
      <c r="AH1" s="958"/>
      <c r="AI1" s="958"/>
      <c r="AJ1" s="958"/>
      <c r="AK1" s="958"/>
      <c r="AL1" s="958"/>
      <c r="AM1" s="958"/>
      <c r="AN1" s="958"/>
    </row>
    <row r="2" spans="1:40" ht="27" thickBot="1">
      <c r="A2" s="874"/>
      <c r="B2" s="875"/>
      <c r="C2" s="875"/>
      <c r="D2" s="876"/>
      <c r="E2" s="3745" t="s">
        <v>553</v>
      </c>
      <c r="F2" s="3850"/>
      <c r="G2" s="3850"/>
      <c r="H2" s="3850"/>
      <c r="I2" s="3850"/>
      <c r="J2" s="3850"/>
      <c r="K2" s="3850"/>
      <c r="L2" s="3850"/>
      <c r="M2" s="3850"/>
      <c r="N2" s="3850"/>
      <c r="O2" s="3850"/>
      <c r="P2" s="3850"/>
      <c r="Q2" s="3850"/>
      <c r="R2" s="3850"/>
      <c r="S2" s="3746"/>
      <c r="T2" s="876"/>
      <c r="U2" s="874"/>
      <c r="V2" s="876"/>
      <c r="W2" s="876"/>
      <c r="X2" s="876"/>
      <c r="Y2" s="876"/>
      <c r="Z2" s="959"/>
    </row>
    <row r="3" spans="1:40" s="282" customFormat="1" ht="21" customHeight="1" thickBot="1">
      <c r="A3" s="286" t="s">
        <v>67</v>
      </c>
      <c r="B3" s="877" t="s">
        <v>68</v>
      </c>
      <c r="C3" s="877" t="s">
        <v>69</v>
      </c>
      <c r="D3" s="878" t="s">
        <v>70</v>
      </c>
      <c r="E3" s="879" t="s">
        <v>71</v>
      </c>
      <c r="F3" s="880" t="s">
        <v>561</v>
      </c>
      <c r="G3" s="880" t="s">
        <v>101</v>
      </c>
      <c r="H3" s="879" t="s">
        <v>193</v>
      </c>
      <c r="I3" s="879" t="s">
        <v>97</v>
      </c>
      <c r="J3" s="879" t="s">
        <v>92</v>
      </c>
      <c r="K3" s="879" t="s">
        <v>194</v>
      </c>
      <c r="L3" s="880" t="s">
        <v>195</v>
      </c>
      <c r="M3" s="880" t="s">
        <v>482</v>
      </c>
      <c r="N3" s="880" t="s">
        <v>94</v>
      </c>
      <c r="O3" s="880" t="s">
        <v>86</v>
      </c>
      <c r="P3" s="880" t="s">
        <v>75</v>
      </c>
      <c r="Q3" s="880" t="s">
        <v>95</v>
      </c>
      <c r="R3" s="49" t="s">
        <v>77</v>
      </c>
      <c r="S3" s="914" t="s">
        <v>53</v>
      </c>
      <c r="T3" s="915"/>
      <c r="U3" s="916" t="s">
        <v>104</v>
      </c>
      <c r="V3" s="917" t="s">
        <v>105</v>
      </c>
      <c r="W3" s="917"/>
      <c r="X3" s="918" t="s">
        <v>106</v>
      </c>
      <c r="Y3" s="917" t="s">
        <v>107</v>
      </c>
      <c r="Z3" s="960" t="s">
        <v>108</v>
      </c>
    </row>
    <row r="4" spans="1:40" ht="23.25" customHeight="1" thickBot="1">
      <c r="A4" s="881" t="s">
        <v>109</v>
      </c>
      <c r="B4" s="882" t="s">
        <v>472</v>
      </c>
      <c r="C4" s="882"/>
      <c r="D4" s="883"/>
      <c r="E4" s="884"/>
      <c r="F4" s="885">
        <f>46*12</f>
        <v>552</v>
      </c>
      <c r="G4" s="885">
        <f>55*12</f>
        <v>660</v>
      </c>
      <c r="H4" s="884"/>
      <c r="I4" s="884"/>
      <c r="J4" s="884">
        <f>23*12</f>
        <v>276</v>
      </c>
      <c r="K4" s="884"/>
      <c r="L4" s="907"/>
      <c r="M4" s="907"/>
      <c r="N4" s="907"/>
      <c r="O4" s="907">
        <f>37*12</f>
        <v>444</v>
      </c>
      <c r="P4" s="908"/>
      <c r="Q4" s="907"/>
      <c r="R4" s="919"/>
      <c r="S4" s="920"/>
      <c r="T4" s="921"/>
      <c r="U4" s="884">
        <f t="shared" ref="U4:U26" si="0">SUM(E4:S4)</f>
        <v>1932</v>
      </c>
      <c r="V4" s="907"/>
      <c r="W4" s="907"/>
      <c r="X4" s="919">
        <f t="shared" ref="X4:X26" si="1">U4+V4</f>
        <v>1932</v>
      </c>
      <c r="Y4" s="961"/>
      <c r="Z4" s="962">
        <f t="shared" ref="Z4:Z26" si="2">X4+Y4</f>
        <v>1932</v>
      </c>
    </row>
    <row r="5" spans="1:40" ht="21">
      <c r="A5" s="886" t="s">
        <v>110</v>
      </c>
      <c r="B5" s="887"/>
      <c r="C5" s="887"/>
      <c r="D5" s="888"/>
      <c r="E5" s="889"/>
      <c r="F5" s="889"/>
      <c r="G5" s="889"/>
      <c r="H5" s="889"/>
      <c r="I5" s="889"/>
      <c r="J5" s="889"/>
      <c r="K5" s="889"/>
      <c r="L5" s="909"/>
      <c r="M5" s="909"/>
      <c r="N5" s="909"/>
      <c r="O5" s="909"/>
      <c r="P5" s="909"/>
      <c r="Q5" s="909"/>
      <c r="R5" s="922"/>
      <c r="S5" s="922"/>
      <c r="T5" s="923"/>
      <c r="U5" s="924">
        <f t="shared" si="0"/>
        <v>0</v>
      </c>
      <c r="V5" s="924"/>
      <c r="W5" s="925"/>
      <c r="X5" s="924">
        <f t="shared" si="1"/>
        <v>0</v>
      </c>
      <c r="Y5" s="963"/>
      <c r="Z5" s="964">
        <f t="shared" si="2"/>
        <v>0</v>
      </c>
    </row>
    <row r="6" spans="1:40">
      <c r="A6" s="890" t="s">
        <v>110</v>
      </c>
      <c r="B6" s="891"/>
      <c r="C6" s="891"/>
      <c r="D6" s="892"/>
      <c r="E6" s="893"/>
      <c r="F6" s="893"/>
      <c r="G6" s="893"/>
      <c r="H6" s="893"/>
      <c r="I6" s="893"/>
      <c r="J6" s="893"/>
      <c r="K6" s="893"/>
      <c r="L6" s="910"/>
      <c r="M6" s="910"/>
      <c r="N6" s="910"/>
      <c r="O6" s="910"/>
      <c r="P6" s="910"/>
      <c r="Q6" s="910"/>
      <c r="R6" s="926"/>
      <c r="S6" s="926"/>
      <c r="T6" s="927"/>
      <c r="U6" s="928">
        <f t="shared" si="0"/>
        <v>0</v>
      </c>
      <c r="V6" s="929"/>
      <c r="W6" s="930"/>
      <c r="X6" s="928">
        <f t="shared" si="1"/>
        <v>0</v>
      </c>
      <c r="Y6" s="929"/>
      <c r="Z6" s="965">
        <f t="shared" si="2"/>
        <v>0</v>
      </c>
    </row>
    <row r="7" spans="1:40">
      <c r="A7" s="890" t="s">
        <v>110</v>
      </c>
      <c r="B7" s="891"/>
      <c r="C7" s="891"/>
      <c r="D7" s="892"/>
      <c r="E7" s="893"/>
      <c r="F7" s="893"/>
      <c r="G7" s="893"/>
      <c r="H7" s="893"/>
      <c r="I7" s="893"/>
      <c r="J7" s="893"/>
      <c r="K7" s="893"/>
      <c r="L7" s="910"/>
      <c r="M7" s="910"/>
      <c r="N7" s="910"/>
      <c r="O7" s="910"/>
      <c r="P7" s="910"/>
      <c r="Q7" s="910"/>
      <c r="R7" s="926"/>
      <c r="S7" s="926"/>
      <c r="T7" s="927"/>
      <c r="U7" s="928">
        <f t="shared" si="0"/>
        <v>0</v>
      </c>
      <c r="V7" s="929"/>
      <c r="W7" s="930"/>
      <c r="X7" s="928">
        <f t="shared" si="1"/>
        <v>0</v>
      </c>
      <c r="Y7" s="929"/>
      <c r="Z7" s="965">
        <f t="shared" si="2"/>
        <v>0</v>
      </c>
    </row>
    <row r="8" spans="1:40">
      <c r="A8" s="890" t="s">
        <v>110</v>
      </c>
      <c r="B8" s="891"/>
      <c r="C8" s="891"/>
      <c r="D8" s="892"/>
      <c r="E8" s="893"/>
      <c r="F8" s="893"/>
      <c r="G8" s="893"/>
      <c r="H8" s="893"/>
      <c r="I8" s="893"/>
      <c r="J8" s="893"/>
      <c r="K8" s="893"/>
      <c r="L8" s="910"/>
      <c r="M8" s="910"/>
      <c r="N8" s="910"/>
      <c r="O8" s="910"/>
      <c r="P8" s="910"/>
      <c r="Q8" s="910"/>
      <c r="R8" s="926"/>
      <c r="S8" s="926"/>
      <c r="T8" s="927"/>
      <c r="U8" s="928">
        <f t="shared" si="0"/>
        <v>0</v>
      </c>
      <c r="V8" s="929"/>
      <c r="W8" s="930"/>
      <c r="X8" s="928">
        <f t="shared" si="1"/>
        <v>0</v>
      </c>
      <c r="Y8" s="929"/>
      <c r="Z8" s="965">
        <f t="shared" si="2"/>
        <v>0</v>
      </c>
    </row>
    <row r="9" spans="1:40">
      <c r="A9" s="890" t="s">
        <v>110</v>
      </c>
      <c r="B9" s="891"/>
      <c r="C9" s="891"/>
      <c r="D9" s="892"/>
      <c r="E9" s="893"/>
      <c r="F9" s="893"/>
      <c r="G9" s="893"/>
      <c r="H9" s="893"/>
      <c r="I9" s="893"/>
      <c r="J9" s="893"/>
      <c r="K9" s="893"/>
      <c r="L9" s="910"/>
      <c r="M9" s="910"/>
      <c r="N9" s="910"/>
      <c r="O9" s="910"/>
      <c r="P9" s="910"/>
      <c r="Q9" s="910"/>
      <c r="R9" s="926"/>
      <c r="S9" s="926"/>
      <c r="T9" s="927"/>
      <c r="U9" s="928">
        <f t="shared" si="0"/>
        <v>0</v>
      </c>
      <c r="V9" s="929"/>
      <c r="W9" s="930"/>
      <c r="X9" s="928">
        <f t="shared" si="1"/>
        <v>0</v>
      </c>
      <c r="Y9" s="929"/>
      <c r="Z9" s="965">
        <f t="shared" si="2"/>
        <v>0</v>
      </c>
    </row>
    <row r="10" spans="1:40">
      <c r="A10" s="890" t="s">
        <v>110</v>
      </c>
      <c r="B10" s="891"/>
      <c r="C10" s="891"/>
      <c r="D10" s="892"/>
      <c r="E10" s="893"/>
      <c r="F10" s="893"/>
      <c r="G10" s="893"/>
      <c r="H10" s="893"/>
      <c r="I10" s="893"/>
      <c r="J10" s="893"/>
      <c r="K10" s="893"/>
      <c r="L10" s="910"/>
      <c r="M10" s="910"/>
      <c r="N10" s="910"/>
      <c r="O10" s="910"/>
      <c r="P10" s="910"/>
      <c r="Q10" s="910"/>
      <c r="R10" s="926"/>
      <c r="S10" s="926"/>
      <c r="T10" s="927"/>
      <c r="U10" s="928">
        <f t="shared" si="0"/>
        <v>0</v>
      </c>
      <c r="V10" s="929"/>
      <c r="W10" s="930"/>
      <c r="X10" s="928">
        <f t="shared" si="1"/>
        <v>0</v>
      </c>
      <c r="Y10" s="929"/>
      <c r="Z10" s="965">
        <f t="shared" si="2"/>
        <v>0</v>
      </c>
    </row>
    <row r="11" spans="1:40">
      <c r="A11" s="890" t="s">
        <v>110</v>
      </c>
      <c r="B11" s="891"/>
      <c r="C11" s="891"/>
      <c r="D11" s="892"/>
      <c r="E11" s="893"/>
      <c r="F11" s="893"/>
      <c r="G11" s="893"/>
      <c r="H11" s="893"/>
      <c r="I11" s="893"/>
      <c r="J11" s="893"/>
      <c r="K11" s="893"/>
      <c r="L11" s="910"/>
      <c r="M11" s="910"/>
      <c r="N11" s="910"/>
      <c r="O11" s="910"/>
      <c r="P11" s="910"/>
      <c r="Q11" s="910"/>
      <c r="R11" s="926"/>
      <c r="S11" s="926"/>
      <c r="T11" s="927"/>
      <c r="U11" s="928">
        <f t="shared" si="0"/>
        <v>0</v>
      </c>
      <c r="V11" s="929"/>
      <c r="W11" s="930"/>
      <c r="X11" s="928">
        <f t="shared" si="1"/>
        <v>0</v>
      </c>
      <c r="Y11" s="929"/>
      <c r="Z11" s="965">
        <f t="shared" si="2"/>
        <v>0</v>
      </c>
    </row>
    <row r="12" spans="1:40">
      <c r="A12" s="890" t="s">
        <v>110</v>
      </c>
      <c r="B12" s="891"/>
      <c r="C12" s="891"/>
      <c r="D12" s="892"/>
      <c r="E12" s="893"/>
      <c r="F12" s="893"/>
      <c r="G12" s="893"/>
      <c r="H12" s="893"/>
      <c r="I12" s="893"/>
      <c r="J12" s="893"/>
      <c r="K12" s="893"/>
      <c r="L12" s="910"/>
      <c r="M12" s="910"/>
      <c r="N12" s="910"/>
      <c r="O12" s="910"/>
      <c r="P12" s="910"/>
      <c r="Q12" s="910"/>
      <c r="R12" s="926"/>
      <c r="S12" s="926"/>
      <c r="T12" s="927"/>
      <c r="U12" s="928">
        <f t="shared" si="0"/>
        <v>0</v>
      </c>
      <c r="V12" s="929"/>
      <c r="W12" s="930"/>
      <c r="X12" s="928">
        <f t="shared" si="1"/>
        <v>0</v>
      </c>
      <c r="Y12" s="929"/>
      <c r="Z12" s="965">
        <f t="shared" si="2"/>
        <v>0</v>
      </c>
    </row>
    <row r="13" spans="1:40">
      <c r="A13" s="890" t="s">
        <v>110</v>
      </c>
      <c r="B13" s="891"/>
      <c r="C13" s="891"/>
      <c r="D13" s="892"/>
      <c r="E13" s="893"/>
      <c r="F13" s="893"/>
      <c r="G13" s="893"/>
      <c r="H13" s="893"/>
      <c r="I13" s="893"/>
      <c r="J13" s="893"/>
      <c r="K13" s="893"/>
      <c r="L13" s="910"/>
      <c r="M13" s="910"/>
      <c r="N13" s="910"/>
      <c r="O13" s="910"/>
      <c r="P13" s="910"/>
      <c r="Q13" s="910"/>
      <c r="R13" s="926"/>
      <c r="S13" s="926"/>
      <c r="T13" s="927"/>
      <c r="U13" s="928">
        <f t="shared" si="0"/>
        <v>0</v>
      </c>
      <c r="V13" s="929"/>
      <c r="W13" s="930"/>
      <c r="X13" s="928">
        <f t="shared" si="1"/>
        <v>0</v>
      </c>
      <c r="Y13" s="929"/>
      <c r="Z13" s="965">
        <f t="shared" si="2"/>
        <v>0</v>
      </c>
    </row>
    <row r="14" spans="1:40">
      <c r="A14" s="890" t="s">
        <v>110</v>
      </c>
      <c r="B14" s="891"/>
      <c r="C14" s="891"/>
      <c r="D14" s="892"/>
      <c r="E14" s="893"/>
      <c r="F14" s="893"/>
      <c r="G14" s="893"/>
      <c r="H14" s="893"/>
      <c r="I14" s="893"/>
      <c r="J14" s="893"/>
      <c r="K14" s="893"/>
      <c r="L14" s="910"/>
      <c r="M14" s="910"/>
      <c r="N14" s="910"/>
      <c r="O14" s="910"/>
      <c r="P14" s="910"/>
      <c r="Q14" s="910"/>
      <c r="R14" s="926"/>
      <c r="S14" s="926"/>
      <c r="T14" s="927"/>
      <c r="U14" s="928">
        <f t="shared" si="0"/>
        <v>0</v>
      </c>
      <c r="V14" s="929"/>
      <c r="W14" s="930"/>
      <c r="X14" s="928">
        <f t="shared" si="1"/>
        <v>0</v>
      </c>
      <c r="Y14" s="929"/>
      <c r="Z14" s="965">
        <f t="shared" si="2"/>
        <v>0</v>
      </c>
    </row>
    <row r="15" spans="1:40">
      <c r="A15" s="890" t="s">
        <v>110</v>
      </c>
      <c r="B15" s="891"/>
      <c r="C15" s="891"/>
      <c r="D15" s="892"/>
      <c r="E15" s="893"/>
      <c r="F15" s="893"/>
      <c r="G15" s="893"/>
      <c r="H15" s="893"/>
      <c r="I15" s="893"/>
      <c r="J15" s="893"/>
      <c r="K15" s="893"/>
      <c r="L15" s="910"/>
      <c r="M15" s="910"/>
      <c r="N15" s="910"/>
      <c r="O15" s="910"/>
      <c r="P15" s="910"/>
      <c r="Q15" s="910"/>
      <c r="R15" s="926"/>
      <c r="S15" s="926"/>
      <c r="T15" s="927"/>
      <c r="U15" s="928">
        <f t="shared" si="0"/>
        <v>0</v>
      </c>
      <c r="V15" s="929"/>
      <c r="W15" s="930"/>
      <c r="X15" s="928">
        <f t="shared" si="1"/>
        <v>0</v>
      </c>
      <c r="Y15" s="929"/>
      <c r="Z15" s="965">
        <f t="shared" si="2"/>
        <v>0</v>
      </c>
    </row>
    <row r="16" spans="1:40">
      <c r="A16" s="890" t="s">
        <v>110</v>
      </c>
      <c r="B16" s="891"/>
      <c r="C16" s="891"/>
      <c r="D16" s="892"/>
      <c r="E16" s="893"/>
      <c r="F16" s="893"/>
      <c r="G16" s="893"/>
      <c r="H16" s="893"/>
      <c r="I16" s="893"/>
      <c r="J16" s="893"/>
      <c r="K16" s="893"/>
      <c r="L16" s="910"/>
      <c r="M16" s="910"/>
      <c r="N16" s="910"/>
      <c r="O16" s="910"/>
      <c r="P16" s="910"/>
      <c r="Q16" s="910"/>
      <c r="R16" s="926"/>
      <c r="S16" s="926"/>
      <c r="T16" s="927"/>
      <c r="U16" s="928">
        <f t="shared" si="0"/>
        <v>0</v>
      </c>
      <c r="V16" s="929"/>
      <c r="W16" s="930"/>
      <c r="X16" s="928">
        <f t="shared" si="1"/>
        <v>0</v>
      </c>
      <c r="Y16" s="929"/>
      <c r="Z16" s="965">
        <f t="shared" si="2"/>
        <v>0</v>
      </c>
    </row>
    <row r="17" spans="1:29">
      <c r="A17" s="890" t="s">
        <v>110</v>
      </c>
      <c r="B17" s="891"/>
      <c r="C17" s="891"/>
      <c r="D17" s="892"/>
      <c r="E17" s="893"/>
      <c r="F17" s="893"/>
      <c r="G17" s="893"/>
      <c r="H17" s="893"/>
      <c r="I17" s="893"/>
      <c r="J17" s="893"/>
      <c r="K17" s="893"/>
      <c r="L17" s="910"/>
      <c r="M17" s="910"/>
      <c r="N17" s="910"/>
      <c r="O17" s="910"/>
      <c r="P17" s="910"/>
      <c r="Q17" s="910"/>
      <c r="R17" s="926"/>
      <c r="S17" s="926"/>
      <c r="T17" s="927"/>
      <c r="U17" s="928">
        <f t="shared" si="0"/>
        <v>0</v>
      </c>
      <c r="V17" s="929"/>
      <c r="W17" s="930"/>
      <c r="X17" s="928">
        <f t="shared" si="1"/>
        <v>0</v>
      </c>
      <c r="Y17" s="929"/>
      <c r="Z17" s="965">
        <f t="shared" si="2"/>
        <v>0</v>
      </c>
    </row>
    <row r="18" spans="1:29">
      <c r="A18" s="890" t="s">
        <v>110</v>
      </c>
      <c r="B18" s="891"/>
      <c r="C18" s="891"/>
      <c r="D18" s="892"/>
      <c r="E18" s="893"/>
      <c r="F18" s="893"/>
      <c r="G18" s="893"/>
      <c r="H18" s="893"/>
      <c r="I18" s="893"/>
      <c r="J18" s="893"/>
      <c r="K18" s="893"/>
      <c r="L18" s="910"/>
      <c r="M18" s="910"/>
      <c r="N18" s="910"/>
      <c r="O18" s="910"/>
      <c r="P18" s="910"/>
      <c r="Q18" s="910"/>
      <c r="R18" s="926"/>
      <c r="S18" s="926"/>
      <c r="T18" s="927"/>
      <c r="U18" s="928">
        <f t="shared" si="0"/>
        <v>0</v>
      </c>
      <c r="V18" s="929"/>
      <c r="W18" s="930"/>
      <c r="X18" s="928">
        <f t="shared" si="1"/>
        <v>0</v>
      </c>
      <c r="Y18" s="929"/>
      <c r="Z18" s="965">
        <f t="shared" si="2"/>
        <v>0</v>
      </c>
    </row>
    <row r="19" spans="1:29" ht="24" thickBot="1">
      <c r="A19" s="890" t="s">
        <v>110</v>
      </c>
      <c r="B19" s="891"/>
      <c r="C19" s="891"/>
      <c r="D19" s="892"/>
      <c r="E19" s="893"/>
      <c r="F19" s="893"/>
      <c r="G19" s="893"/>
      <c r="H19" s="893"/>
      <c r="I19" s="893"/>
      <c r="J19" s="893"/>
      <c r="K19" s="893"/>
      <c r="L19" s="910"/>
      <c r="M19" s="910"/>
      <c r="N19" s="910"/>
      <c r="O19" s="910"/>
      <c r="P19" s="910"/>
      <c r="Q19" s="910"/>
      <c r="R19" s="926"/>
      <c r="S19" s="926"/>
      <c r="T19" s="927"/>
      <c r="U19" s="928">
        <f t="shared" si="0"/>
        <v>0</v>
      </c>
      <c r="V19" s="929"/>
      <c r="W19" s="930"/>
      <c r="X19" s="928">
        <f t="shared" si="1"/>
        <v>0</v>
      </c>
      <c r="Y19" s="929"/>
      <c r="Z19" s="965">
        <f t="shared" si="2"/>
        <v>0</v>
      </c>
    </row>
    <row r="20" spans="1:29" ht="24" thickBot="1">
      <c r="A20" s="890" t="s">
        <v>110</v>
      </c>
      <c r="B20" s="891"/>
      <c r="C20" s="891"/>
      <c r="D20" s="892"/>
      <c r="E20" s="893"/>
      <c r="F20" s="893"/>
      <c r="G20" s="893"/>
      <c r="H20" s="893"/>
      <c r="I20" s="893"/>
      <c r="J20" s="893"/>
      <c r="K20" s="893"/>
      <c r="L20" s="910"/>
      <c r="M20" s="910"/>
      <c r="N20" s="910"/>
      <c r="O20" s="910"/>
      <c r="P20" s="910"/>
      <c r="Q20" s="910"/>
      <c r="R20" s="926"/>
      <c r="S20" s="926"/>
      <c r="T20" s="927"/>
      <c r="U20" s="929">
        <f t="shared" si="0"/>
        <v>0</v>
      </c>
      <c r="V20" s="929"/>
      <c r="W20" s="930"/>
      <c r="X20" s="929">
        <f t="shared" si="1"/>
        <v>0</v>
      </c>
      <c r="Y20" s="929"/>
      <c r="Z20" s="966">
        <f t="shared" si="2"/>
        <v>0</v>
      </c>
      <c r="AA20" s="414" t="s">
        <v>8</v>
      </c>
      <c r="AB20" s="967" t="s">
        <v>197</v>
      </c>
      <c r="AC20" s="415" t="s">
        <v>174</v>
      </c>
    </row>
    <row r="21" spans="1:29" ht="24" thickBot="1">
      <c r="A21" s="890" t="s">
        <v>110</v>
      </c>
      <c r="B21" s="891"/>
      <c r="C21" s="891"/>
      <c r="D21" s="892"/>
      <c r="E21" s="893"/>
      <c r="F21" s="893"/>
      <c r="G21" s="893"/>
      <c r="H21" s="893"/>
      <c r="I21" s="893"/>
      <c r="J21" s="893"/>
      <c r="K21" s="893"/>
      <c r="L21" s="910"/>
      <c r="M21" s="910"/>
      <c r="N21" s="910"/>
      <c r="O21" s="910"/>
      <c r="P21" s="910"/>
      <c r="Q21" s="910"/>
      <c r="R21" s="926"/>
      <c r="S21" s="926"/>
      <c r="T21" s="927"/>
      <c r="U21" s="929">
        <f t="shared" si="0"/>
        <v>0</v>
      </c>
      <c r="V21" s="929"/>
      <c r="W21" s="930"/>
      <c r="X21" s="929">
        <f t="shared" si="1"/>
        <v>0</v>
      </c>
      <c r="Y21" s="929"/>
      <c r="Z21" s="966">
        <f t="shared" si="2"/>
        <v>0</v>
      </c>
      <c r="AA21" s="414" t="s">
        <v>8</v>
      </c>
      <c r="AB21" s="967" t="s">
        <v>197</v>
      </c>
      <c r="AC21" s="415" t="s">
        <v>174</v>
      </c>
    </row>
    <row r="22" spans="1:29" ht="24" thickBot="1">
      <c r="A22" s="890" t="s">
        <v>110</v>
      </c>
      <c r="B22" s="891"/>
      <c r="C22" s="891"/>
      <c r="D22" s="892"/>
      <c r="E22" s="893"/>
      <c r="F22" s="893"/>
      <c r="G22" s="893"/>
      <c r="H22" s="893"/>
      <c r="I22" s="893"/>
      <c r="J22" s="893"/>
      <c r="K22" s="893"/>
      <c r="L22" s="910"/>
      <c r="M22" s="910"/>
      <c r="N22" s="910"/>
      <c r="O22" s="910"/>
      <c r="P22" s="910"/>
      <c r="Q22" s="910"/>
      <c r="R22" s="926"/>
      <c r="S22" s="926"/>
      <c r="T22" s="927"/>
      <c r="U22" s="929">
        <f t="shared" si="0"/>
        <v>0</v>
      </c>
      <c r="V22" s="929"/>
      <c r="W22" s="930"/>
      <c r="X22" s="929">
        <f t="shared" si="1"/>
        <v>0</v>
      </c>
      <c r="Y22" s="929"/>
      <c r="Z22" s="966">
        <f t="shared" si="2"/>
        <v>0</v>
      </c>
      <c r="AA22" s="414" t="s">
        <v>8</v>
      </c>
      <c r="AB22" s="967" t="s">
        <v>197</v>
      </c>
      <c r="AC22" s="415" t="s">
        <v>174</v>
      </c>
    </row>
    <row r="23" spans="1:29" ht="24" thickBot="1">
      <c r="A23" s="890" t="s">
        <v>110</v>
      </c>
      <c r="B23" s="891"/>
      <c r="C23" s="891"/>
      <c r="D23" s="894"/>
      <c r="E23" s="893"/>
      <c r="F23" s="893"/>
      <c r="G23" s="893"/>
      <c r="H23" s="893"/>
      <c r="I23" s="893"/>
      <c r="J23" s="893"/>
      <c r="K23" s="893"/>
      <c r="L23" s="910"/>
      <c r="M23" s="910"/>
      <c r="N23" s="910"/>
      <c r="O23" s="910"/>
      <c r="P23" s="910"/>
      <c r="Q23" s="910"/>
      <c r="R23" s="926"/>
      <c r="S23" s="926"/>
      <c r="T23" s="927"/>
      <c r="U23" s="929">
        <f t="shared" si="0"/>
        <v>0</v>
      </c>
      <c r="V23" s="929"/>
      <c r="W23" s="930"/>
      <c r="X23" s="929">
        <f t="shared" si="1"/>
        <v>0</v>
      </c>
      <c r="Y23" s="929"/>
      <c r="Z23" s="966">
        <f t="shared" si="2"/>
        <v>0</v>
      </c>
      <c r="AA23" s="414" t="s">
        <v>8</v>
      </c>
      <c r="AB23" s="967" t="s">
        <v>197</v>
      </c>
      <c r="AC23" s="415" t="s">
        <v>174</v>
      </c>
    </row>
    <row r="24" spans="1:29" ht="24" thickBot="1">
      <c r="A24" s="890" t="s">
        <v>110</v>
      </c>
      <c r="B24" s="891"/>
      <c r="C24" s="891"/>
      <c r="D24" s="894"/>
      <c r="E24" s="893"/>
      <c r="F24" s="893"/>
      <c r="G24" s="893"/>
      <c r="H24" s="893"/>
      <c r="I24" s="893"/>
      <c r="J24" s="893"/>
      <c r="K24" s="893"/>
      <c r="L24" s="910"/>
      <c r="M24" s="910"/>
      <c r="N24" s="910"/>
      <c r="O24" s="910"/>
      <c r="P24" s="910"/>
      <c r="Q24" s="910"/>
      <c r="R24" s="926"/>
      <c r="S24" s="926"/>
      <c r="T24" s="927"/>
      <c r="U24" s="929">
        <f t="shared" si="0"/>
        <v>0</v>
      </c>
      <c r="V24" s="929"/>
      <c r="W24" s="930"/>
      <c r="X24" s="929">
        <f t="shared" si="1"/>
        <v>0</v>
      </c>
      <c r="Y24" s="929"/>
      <c r="Z24" s="966">
        <f t="shared" si="2"/>
        <v>0</v>
      </c>
      <c r="AA24" s="414" t="s">
        <v>8</v>
      </c>
      <c r="AB24" s="967" t="s">
        <v>197</v>
      </c>
      <c r="AC24" s="415" t="s">
        <v>174</v>
      </c>
    </row>
    <row r="25" spans="1:29" ht="24" thickBot="1">
      <c r="A25" s="890" t="s">
        <v>110</v>
      </c>
      <c r="B25" s="891"/>
      <c r="C25" s="891"/>
      <c r="D25" s="894"/>
      <c r="E25" s="893"/>
      <c r="F25" s="893"/>
      <c r="G25" s="893"/>
      <c r="H25" s="893"/>
      <c r="I25" s="893"/>
      <c r="J25" s="893"/>
      <c r="K25" s="893"/>
      <c r="L25" s="910"/>
      <c r="M25" s="910"/>
      <c r="N25" s="910"/>
      <c r="O25" s="910"/>
      <c r="P25" s="910"/>
      <c r="Q25" s="910"/>
      <c r="R25" s="926"/>
      <c r="S25" s="926"/>
      <c r="T25" s="927"/>
      <c r="U25" s="929">
        <f t="shared" si="0"/>
        <v>0</v>
      </c>
      <c r="V25" s="929"/>
      <c r="W25" s="930"/>
      <c r="X25" s="929">
        <f t="shared" si="1"/>
        <v>0</v>
      </c>
      <c r="Y25" s="929"/>
      <c r="Z25" s="966">
        <f t="shared" si="2"/>
        <v>0</v>
      </c>
      <c r="AA25" s="414" t="s">
        <v>8</v>
      </c>
      <c r="AB25" s="967" t="s">
        <v>197</v>
      </c>
      <c r="AC25" s="415" t="s">
        <v>174</v>
      </c>
    </row>
    <row r="26" spans="1:29" ht="24" thickBot="1">
      <c r="A26" s="890" t="s">
        <v>110</v>
      </c>
      <c r="B26" s="891"/>
      <c r="C26" s="891"/>
      <c r="D26" s="894"/>
      <c r="E26" s="893"/>
      <c r="F26" s="893"/>
      <c r="G26" s="893"/>
      <c r="H26" s="893"/>
      <c r="I26" s="893"/>
      <c r="J26" s="893"/>
      <c r="K26" s="893"/>
      <c r="L26" s="910"/>
      <c r="M26" s="910"/>
      <c r="N26" s="910"/>
      <c r="O26" s="910"/>
      <c r="P26" s="910"/>
      <c r="Q26" s="910"/>
      <c r="R26" s="926"/>
      <c r="S26" s="926"/>
      <c r="T26" s="927"/>
      <c r="U26" s="931">
        <f t="shared" si="0"/>
        <v>0</v>
      </c>
      <c r="V26" s="931"/>
      <c r="W26" s="930"/>
      <c r="X26" s="931">
        <f t="shared" si="1"/>
        <v>0</v>
      </c>
      <c r="Y26" s="929"/>
      <c r="Z26" s="966">
        <f t="shared" si="2"/>
        <v>0</v>
      </c>
      <c r="AA26" s="414" t="s">
        <v>8</v>
      </c>
      <c r="AB26" s="967" t="s">
        <v>197</v>
      </c>
      <c r="AC26" s="415" t="s">
        <v>174</v>
      </c>
    </row>
    <row r="27" spans="1:29" s="870" customFormat="1" ht="24" thickBot="1">
      <c r="A27" s="326" t="s">
        <v>175</v>
      </c>
      <c r="B27" s="895"/>
      <c r="C27" s="895"/>
      <c r="D27" s="896"/>
      <c r="E27" s="897">
        <f t="shared" ref="E27:S27" si="3">SUM(E5:E26)</f>
        <v>0</v>
      </c>
      <c r="F27" s="897">
        <f t="shared" si="3"/>
        <v>0</v>
      </c>
      <c r="G27" s="897">
        <f t="shared" si="3"/>
        <v>0</v>
      </c>
      <c r="H27" s="897">
        <f t="shared" si="3"/>
        <v>0</v>
      </c>
      <c r="I27" s="897">
        <f t="shared" si="3"/>
        <v>0</v>
      </c>
      <c r="J27" s="897">
        <f t="shared" si="3"/>
        <v>0</v>
      </c>
      <c r="K27" s="897">
        <f t="shared" si="3"/>
        <v>0</v>
      </c>
      <c r="L27" s="897">
        <f t="shared" si="3"/>
        <v>0</v>
      </c>
      <c r="M27" s="897">
        <f t="shared" si="3"/>
        <v>0</v>
      </c>
      <c r="N27" s="897">
        <f t="shared" si="3"/>
        <v>0</v>
      </c>
      <c r="O27" s="897">
        <f t="shared" si="3"/>
        <v>0</v>
      </c>
      <c r="P27" s="897">
        <f t="shared" si="3"/>
        <v>0</v>
      </c>
      <c r="Q27" s="897">
        <f t="shared" si="3"/>
        <v>0</v>
      </c>
      <c r="R27" s="897">
        <f t="shared" si="3"/>
        <v>0</v>
      </c>
      <c r="S27" s="897">
        <f t="shared" si="3"/>
        <v>0</v>
      </c>
      <c r="T27" s="932"/>
      <c r="U27" s="933">
        <f t="shared" ref="U27:Z27" si="4">SUM(U5:U26)</f>
        <v>0</v>
      </c>
      <c r="V27" s="934">
        <f t="shared" si="4"/>
        <v>0</v>
      </c>
      <c r="W27" s="934">
        <f t="shared" si="4"/>
        <v>0</v>
      </c>
      <c r="X27" s="935">
        <f t="shared" si="4"/>
        <v>0</v>
      </c>
      <c r="Y27" s="951">
        <f t="shared" si="4"/>
        <v>0</v>
      </c>
      <c r="Z27" s="897">
        <f t="shared" si="4"/>
        <v>0</v>
      </c>
      <c r="AA27" s="399">
        <f>'BIG CHAIR'!CL36</f>
        <v>0</v>
      </c>
      <c r="AB27" s="400">
        <f>'Jordan Chair'!AH38</f>
        <v>627</v>
      </c>
      <c r="AC27" s="401">
        <f>X27+AA27+AB27</f>
        <v>627</v>
      </c>
    </row>
    <row r="28" spans="1:29" s="870" customFormat="1" ht="24" thickBot="1">
      <c r="A28" s="306"/>
      <c r="B28" s="898"/>
      <c r="C28" s="898"/>
      <c r="D28" s="899"/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0"/>
      <c r="S28" s="900"/>
      <c r="T28" s="900"/>
      <c r="U28" s="900"/>
      <c r="V28" s="900"/>
      <c r="W28" s="900"/>
      <c r="X28" s="900"/>
      <c r="Y28" s="900"/>
      <c r="Z28" s="900"/>
      <c r="AA28" s="403"/>
      <c r="AB28" s="403"/>
      <c r="AC28" s="403"/>
    </row>
    <row r="29" spans="1:29" s="870" customFormat="1" ht="24" thickBot="1">
      <c r="A29" s="286" t="s">
        <v>117</v>
      </c>
      <c r="B29" s="877" t="s">
        <v>68</v>
      </c>
      <c r="C29" s="877" t="s">
        <v>69</v>
      </c>
      <c r="D29" s="878" t="s">
        <v>70</v>
      </c>
      <c r="E29" s="901" t="s">
        <v>71</v>
      </c>
      <c r="F29" s="880" t="s">
        <v>178</v>
      </c>
      <c r="G29" s="880" t="s">
        <v>101</v>
      </c>
      <c r="H29" s="879" t="s">
        <v>193</v>
      </c>
      <c r="I29" s="879" t="s">
        <v>97</v>
      </c>
      <c r="J29" s="879" t="s">
        <v>92</v>
      </c>
      <c r="K29" s="879" t="s">
        <v>194</v>
      </c>
      <c r="L29" s="880" t="s">
        <v>195</v>
      </c>
      <c r="M29" s="880" t="s">
        <v>482</v>
      </c>
      <c r="N29" s="880" t="s">
        <v>94</v>
      </c>
      <c r="O29" s="880" t="s">
        <v>86</v>
      </c>
      <c r="P29" s="880" t="s">
        <v>75</v>
      </c>
      <c r="Q29" s="880" t="s">
        <v>95</v>
      </c>
      <c r="R29" s="744" t="s">
        <v>77</v>
      </c>
      <c r="S29" s="936" t="s">
        <v>53</v>
      </c>
      <c r="T29" s="915"/>
      <c r="U29" s="916" t="s">
        <v>104</v>
      </c>
      <c r="V29" s="917" t="s">
        <v>105</v>
      </c>
      <c r="W29" s="917"/>
      <c r="X29" s="918" t="s">
        <v>106</v>
      </c>
      <c r="Y29" s="917" t="s">
        <v>107</v>
      </c>
      <c r="Z29" s="960" t="s">
        <v>108</v>
      </c>
      <c r="AA29" s="403"/>
      <c r="AB29" s="403"/>
      <c r="AC29" s="403"/>
    </row>
    <row r="30" spans="1:29">
      <c r="A30" s="726" t="s">
        <v>120</v>
      </c>
      <c r="B30" s="891"/>
      <c r="C30" s="891"/>
      <c r="D30" s="902"/>
      <c r="E30" s="903"/>
      <c r="F30" s="903"/>
      <c r="G30" s="903"/>
      <c r="H30" s="903"/>
      <c r="I30" s="903"/>
      <c r="J30" s="903"/>
      <c r="K30" s="903"/>
      <c r="L30" s="911"/>
      <c r="M30" s="911"/>
      <c r="N30" s="911"/>
      <c r="O30" s="911"/>
      <c r="P30" s="911"/>
      <c r="Q30" s="911"/>
      <c r="R30" s="937"/>
      <c r="S30" s="937"/>
      <c r="T30" s="938"/>
      <c r="U30" s="939">
        <f t="shared" ref="U30:U55" si="5">SUM(E30:S30)</f>
        <v>0</v>
      </c>
      <c r="V30" s="940"/>
      <c r="W30" s="903"/>
      <c r="X30" s="911">
        <f t="shared" ref="X30:X55" si="6">U30+V30</f>
        <v>0</v>
      </c>
      <c r="Y30" s="911"/>
      <c r="Z30" s="968">
        <f t="shared" ref="Z30:Z55" si="7">X30+Y30</f>
        <v>0</v>
      </c>
      <c r="AA30" s="394"/>
      <c r="AB30" s="394"/>
      <c r="AC30" s="394"/>
    </row>
    <row r="31" spans="1:29">
      <c r="A31" s="726" t="s">
        <v>120</v>
      </c>
      <c r="B31" s="891"/>
      <c r="C31" s="891"/>
      <c r="D31" s="902"/>
      <c r="E31" s="904"/>
      <c r="F31" s="904"/>
      <c r="G31" s="904"/>
      <c r="H31" s="904"/>
      <c r="I31" s="904"/>
      <c r="J31" s="904"/>
      <c r="K31" s="904"/>
      <c r="L31" s="912"/>
      <c r="M31" s="912"/>
      <c r="N31" s="912"/>
      <c r="O31" s="912"/>
      <c r="P31" s="912"/>
      <c r="Q31" s="912"/>
      <c r="R31" s="941"/>
      <c r="S31" s="941"/>
      <c r="T31" s="938"/>
      <c r="U31" s="938">
        <f t="shared" si="5"/>
        <v>0</v>
      </c>
      <c r="V31" s="942"/>
      <c r="W31" s="904"/>
      <c r="X31" s="912">
        <f t="shared" si="6"/>
        <v>0</v>
      </c>
      <c r="Y31" s="912"/>
      <c r="Z31" s="969">
        <f t="shared" si="7"/>
        <v>0</v>
      </c>
      <c r="AA31" s="394"/>
      <c r="AB31" s="394"/>
      <c r="AC31" s="394"/>
    </row>
    <row r="32" spans="1:29">
      <c r="A32" s="726" t="s">
        <v>120</v>
      </c>
      <c r="B32" s="891"/>
      <c r="C32" s="891"/>
      <c r="D32" s="902"/>
      <c r="E32" s="904"/>
      <c r="F32" s="904"/>
      <c r="G32" s="904"/>
      <c r="H32" s="904"/>
      <c r="I32" s="904"/>
      <c r="J32" s="904"/>
      <c r="K32" s="904"/>
      <c r="L32" s="912"/>
      <c r="M32" s="912"/>
      <c r="N32" s="912"/>
      <c r="O32" s="912"/>
      <c r="P32" s="912"/>
      <c r="Q32" s="912"/>
      <c r="R32" s="941"/>
      <c r="S32" s="941"/>
      <c r="T32" s="938"/>
      <c r="U32" s="938">
        <f t="shared" si="5"/>
        <v>0</v>
      </c>
      <c r="V32" s="942"/>
      <c r="W32" s="904"/>
      <c r="X32" s="912">
        <f t="shared" si="6"/>
        <v>0</v>
      </c>
      <c r="Y32" s="912"/>
      <c r="Z32" s="969">
        <f t="shared" si="7"/>
        <v>0</v>
      </c>
      <c r="AA32" s="394"/>
      <c r="AB32" s="394"/>
      <c r="AC32" s="394"/>
    </row>
    <row r="33" spans="1:29">
      <c r="A33" s="726" t="s">
        <v>120</v>
      </c>
      <c r="B33" s="891"/>
      <c r="C33" s="891"/>
      <c r="D33" s="902"/>
      <c r="E33" s="904"/>
      <c r="F33" s="904"/>
      <c r="G33" s="904"/>
      <c r="H33" s="904"/>
      <c r="I33" s="904"/>
      <c r="J33" s="904"/>
      <c r="K33" s="904"/>
      <c r="L33" s="912"/>
      <c r="M33" s="912"/>
      <c r="N33" s="912"/>
      <c r="O33" s="912"/>
      <c r="P33" s="912"/>
      <c r="Q33" s="912"/>
      <c r="R33" s="941"/>
      <c r="S33" s="941"/>
      <c r="T33" s="938"/>
      <c r="U33" s="938">
        <f t="shared" si="5"/>
        <v>0</v>
      </c>
      <c r="V33" s="942"/>
      <c r="W33" s="904"/>
      <c r="X33" s="912">
        <f t="shared" si="6"/>
        <v>0</v>
      </c>
      <c r="Y33" s="912"/>
      <c r="Z33" s="969">
        <f t="shared" si="7"/>
        <v>0</v>
      </c>
      <c r="AA33" s="394"/>
      <c r="AB33" s="394"/>
      <c r="AC33" s="394"/>
    </row>
    <row r="34" spans="1:29">
      <c r="A34" s="726" t="s">
        <v>120</v>
      </c>
      <c r="B34" s="891"/>
      <c r="C34" s="891"/>
      <c r="D34" s="902"/>
      <c r="E34" s="904"/>
      <c r="F34" s="904"/>
      <c r="G34" s="904"/>
      <c r="H34" s="904"/>
      <c r="I34" s="904"/>
      <c r="J34" s="904"/>
      <c r="K34" s="904"/>
      <c r="L34" s="912"/>
      <c r="M34" s="912"/>
      <c r="N34" s="912"/>
      <c r="O34" s="912"/>
      <c r="P34" s="912"/>
      <c r="Q34" s="912"/>
      <c r="R34" s="941"/>
      <c r="S34" s="941"/>
      <c r="T34" s="938"/>
      <c r="U34" s="938">
        <f t="shared" si="5"/>
        <v>0</v>
      </c>
      <c r="V34" s="942"/>
      <c r="W34" s="904"/>
      <c r="X34" s="912">
        <f t="shared" si="6"/>
        <v>0</v>
      </c>
      <c r="Y34" s="912"/>
      <c r="Z34" s="969">
        <f t="shared" si="7"/>
        <v>0</v>
      </c>
      <c r="AA34" s="394"/>
      <c r="AB34" s="394"/>
      <c r="AC34" s="394"/>
    </row>
    <row r="35" spans="1:29">
      <c r="A35" s="726" t="s">
        <v>120</v>
      </c>
      <c r="B35" s="891"/>
      <c r="C35" s="891"/>
      <c r="D35" s="902"/>
      <c r="E35" s="904"/>
      <c r="F35" s="904"/>
      <c r="G35" s="904"/>
      <c r="H35" s="904"/>
      <c r="I35" s="904"/>
      <c r="J35" s="904"/>
      <c r="K35" s="904"/>
      <c r="L35" s="912"/>
      <c r="M35" s="912"/>
      <c r="N35" s="912"/>
      <c r="O35" s="912"/>
      <c r="P35" s="912"/>
      <c r="Q35" s="912"/>
      <c r="R35" s="941"/>
      <c r="S35" s="941"/>
      <c r="T35" s="938"/>
      <c r="U35" s="938">
        <f t="shared" si="5"/>
        <v>0</v>
      </c>
      <c r="V35" s="942"/>
      <c r="W35" s="904"/>
      <c r="X35" s="912">
        <f t="shared" si="6"/>
        <v>0</v>
      </c>
      <c r="Y35" s="912"/>
      <c r="Z35" s="969">
        <f t="shared" si="7"/>
        <v>0</v>
      </c>
      <c r="AA35" s="394"/>
      <c r="AB35" s="394"/>
      <c r="AC35" s="394"/>
    </row>
    <row r="36" spans="1:29">
      <c r="A36" s="726" t="s">
        <v>120</v>
      </c>
      <c r="B36" s="891"/>
      <c r="C36" s="891"/>
      <c r="D36" s="902"/>
      <c r="E36" s="904"/>
      <c r="F36" s="904"/>
      <c r="G36" s="904"/>
      <c r="H36" s="904"/>
      <c r="I36" s="904"/>
      <c r="J36" s="904"/>
      <c r="K36" s="904"/>
      <c r="L36" s="912"/>
      <c r="M36" s="912"/>
      <c r="N36" s="912"/>
      <c r="O36" s="912"/>
      <c r="P36" s="912"/>
      <c r="Q36" s="912"/>
      <c r="R36" s="941"/>
      <c r="S36" s="941"/>
      <c r="T36" s="938"/>
      <c r="U36" s="938">
        <f t="shared" si="5"/>
        <v>0</v>
      </c>
      <c r="V36" s="942"/>
      <c r="W36" s="904"/>
      <c r="X36" s="912">
        <f t="shared" si="6"/>
        <v>0</v>
      </c>
      <c r="Y36" s="912"/>
      <c r="Z36" s="969">
        <f t="shared" si="7"/>
        <v>0</v>
      </c>
      <c r="AA36" s="394"/>
      <c r="AB36" s="394"/>
      <c r="AC36" s="394"/>
    </row>
    <row r="37" spans="1:29">
      <c r="A37" s="726" t="s">
        <v>120</v>
      </c>
      <c r="B37" s="891"/>
      <c r="C37" s="891"/>
      <c r="D37" s="902"/>
      <c r="E37" s="904"/>
      <c r="F37" s="904"/>
      <c r="G37" s="904"/>
      <c r="H37" s="904"/>
      <c r="I37" s="904"/>
      <c r="J37" s="904"/>
      <c r="K37" s="904"/>
      <c r="L37" s="912"/>
      <c r="M37" s="912"/>
      <c r="N37" s="912"/>
      <c r="O37" s="912"/>
      <c r="P37" s="912"/>
      <c r="Q37" s="912"/>
      <c r="R37" s="941"/>
      <c r="S37" s="941"/>
      <c r="T37" s="938"/>
      <c r="U37" s="938">
        <f t="shared" si="5"/>
        <v>0</v>
      </c>
      <c r="V37" s="942"/>
      <c r="W37" s="904"/>
      <c r="X37" s="912">
        <f t="shared" si="6"/>
        <v>0</v>
      </c>
      <c r="Y37" s="912"/>
      <c r="Z37" s="969">
        <f t="shared" si="7"/>
        <v>0</v>
      </c>
      <c r="AA37" s="394"/>
      <c r="AB37" s="394"/>
      <c r="AC37" s="394"/>
    </row>
    <row r="38" spans="1:29">
      <c r="A38" s="726" t="s">
        <v>120</v>
      </c>
      <c r="B38" s="891"/>
      <c r="C38" s="891"/>
      <c r="D38" s="902"/>
      <c r="E38" s="904"/>
      <c r="F38" s="904"/>
      <c r="G38" s="904"/>
      <c r="H38" s="904"/>
      <c r="I38" s="904"/>
      <c r="J38" s="904"/>
      <c r="K38" s="904"/>
      <c r="L38" s="912"/>
      <c r="M38" s="912"/>
      <c r="N38" s="912"/>
      <c r="O38" s="912"/>
      <c r="P38" s="912"/>
      <c r="Q38" s="912"/>
      <c r="R38" s="941"/>
      <c r="S38" s="941"/>
      <c r="T38" s="938"/>
      <c r="U38" s="938">
        <f t="shared" si="5"/>
        <v>0</v>
      </c>
      <c r="V38" s="942"/>
      <c r="W38" s="904"/>
      <c r="X38" s="912">
        <f t="shared" si="6"/>
        <v>0</v>
      </c>
      <c r="Y38" s="912"/>
      <c r="Z38" s="969">
        <f t="shared" si="7"/>
        <v>0</v>
      </c>
      <c r="AA38" s="394"/>
      <c r="AB38" s="394"/>
      <c r="AC38" s="394"/>
    </row>
    <row r="39" spans="1:29">
      <c r="A39" s="726" t="s">
        <v>120</v>
      </c>
      <c r="B39" s="891"/>
      <c r="C39" s="891"/>
      <c r="D39" s="902"/>
      <c r="E39" s="904"/>
      <c r="F39" s="904"/>
      <c r="G39" s="904"/>
      <c r="H39" s="904"/>
      <c r="I39" s="904"/>
      <c r="J39" s="904"/>
      <c r="K39" s="904"/>
      <c r="L39" s="912"/>
      <c r="M39" s="912"/>
      <c r="N39" s="912"/>
      <c r="O39" s="912"/>
      <c r="P39" s="912"/>
      <c r="Q39" s="912"/>
      <c r="R39" s="941"/>
      <c r="S39" s="941"/>
      <c r="T39" s="938"/>
      <c r="U39" s="938">
        <f t="shared" si="5"/>
        <v>0</v>
      </c>
      <c r="V39" s="942"/>
      <c r="W39" s="904"/>
      <c r="X39" s="912">
        <f t="shared" si="6"/>
        <v>0</v>
      </c>
      <c r="Y39" s="912"/>
      <c r="Z39" s="969">
        <f t="shared" si="7"/>
        <v>0</v>
      </c>
      <c r="AA39" s="394"/>
      <c r="AB39" s="394"/>
      <c r="AC39" s="394"/>
    </row>
    <row r="40" spans="1:29">
      <c r="A40" s="726" t="s">
        <v>120</v>
      </c>
      <c r="B40" s="891"/>
      <c r="C40" s="891"/>
      <c r="D40" s="902"/>
      <c r="E40" s="904"/>
      <c r="F40" s="904"/>
      <c r="G40" s="904"/>
      <c r="H40" s="904"/>
      <c r="I40" s="904"/>
      <c r="J40" s="904"/>
      <c r="K40" s="904"/>
      <c r="L40" s="912"/>
      <c r="M40" s="912"/>
      <c r="N40" s="912"/>
      <c r="O40" s="912"/>
      <c r="P40" s="912"/>
      <c r="Q40" s="912"/>
      <c r="R40" s="941"/>
      <c r="S40" s="941"/>
      <c r="T40" s="938"/>
      <c r="U40" s="938">
        <f t="shared" si="5"/>
        <v>0</v>
      </c>
      <c r="V40" s="942"/>
      <c r="W40" s="904"/>
      <c r="X40" s="912">
        <f t="shared" si="6"/>
        <v>0</v>
      </c>
      <c r="Y40" s="912"/>
      <c r="Z40" s="969">
        <f t="shared" si="7"/>
        <v>0</v>
      </c>
      <c r="AA40" s="394"/>
      <c r="AB40" s="394"/>
      <c r="AC40" s="394"/>
    </row>
    <row r="41" spans="1:29">
      <c r="A41" s="726" t="s">
        <v>120</v>
      </c>
      <c r="B41" s="891"/>
      <c r="C41" s="891"/>
      <c r="D41" s="902"/>
      <c r="E41" s="904"/>
      <c r="F41" s="904"/>
      <c r="G41" s="904"/>
      <c r="H41" s="904"/>
      <c r="I41" s="904"/>
      <c r="J41" s="904"/>
      <c r="K41" s="904"/>
      <c r="L41" s="912"/>
      <c r="M41" s="912"/>
      <c r="N41" s="912"/>
      <c r="O41" s="912"/>
      <c r="P41" s="912"/>
      <c r="Q41" s="912"/>
      <c r="R41" s="941"/>
      <c r="S41" s="941"/>
      <c r="T41" s="938"/>
      <c r="U41" s="938">
        <f t="shared" si="5"/>
        <v>0</v>
      </c>
      <c r="V41" s="942"/>
      <c r="W41" s="904"/>
      <c r="X41" s="912">
        <f t="shared" si="6"/>
        <v>0</v>
      </c>
      <c r="Y41" s="912"/>
      <c r="Z41" s="969">
        <f t="shared" si="7"/>
        <v>0</v>
      </c>
      <c r="AA41" s="394"/>
      <c r="AB41" s="394"/>
      <c r="AC41" s="394"/>
    </row>
    <row r="42" spans="1:29">
      <c r="A42" s="726" t="s">
        <v>120</v>
      </c>
      <c r="B42" s="891"/>
      <c r="C42" s="891"/>
      <c r="D42" s="902"/>
      <c r="E42" s="904"/>
      <c r="F42" s="904"/>
      <c r="G42" s="904"/>
      <c r="H42" s="904"/>
      <c r="I42" s="904"/>
      <c r="J42" s="904"/>
      <c r="K42" s="904"/>
      <c r="L42" s="912"/>
      <c r="M42" s="912"/>
      <c r="N42" s="912"/>
      <c r="O42" s="912"/>
      <c r="P42" s="912"/>
      <c r="Q42" s="912"/>
      <c r="R42" s="941"/>
      <c r="S42" s="941"/>
      <c r="T42" s="938"/>
      <c r="U42" s="938">
        <f t="shared" si="5"/>
        <v>0</v>
      </c>
      <c r="V42" s="942"/>
      <c r="W42" s="904"/>
      <c r="X42" s="912">
        <f t="shared" si="6"/>
        <v>0</v>
      </c>
      <c r="Y42" s="912"/>
      <c r="Z42" s="969">
        <f t="shared" si="7"/>
        <v>0</v>
      </c>
      <c r="AA42" s="394"/>
      <c r="AB42" s="394"/>
      <c r="AC42" s="394"/>
    </row>
    <row r="43" spans="1:29">
      <c r="A43" s="726" t="s">
        <v>120</v>
      </c>
      <c r="B43" s="891"/>
      <c r="C43" s="891"/>
      <c r="D43" s="902"/>
      <c r="E43" s="904"/>
      <c r="F43" s="904"/>
      <c r="G43" s="904"/>
      <c r="H43" s="904"/>
      <c r="I43" s="904"/>
      <c r="J43" s="904"/>
      <c r="K43" s="904"/>
      <c r="L43" s="912"/>
      <c r="M43" s="912"/>
      <c r="N43" s="912"/>
      <c r="O43" s="912"/>
      <c r="P43" s="912"/>
      <c r="Q43" s="912"/>
      <c r="R43" s="941"/>
      <c r="S43" s="941"/>
      <c r="T43" s="938"/>
      <c r="U43" s="938">
        <f t="shared" si="5"/>
        <v>0</v>
      </c>
      <c r="V43" s="942"/>
      <c r="W43" s="904"/>
      <c r="X43" s="912">
        <f t="shared" si="6"/>
        <v>0</v>
      </c>
      <c r="Y43" s="912"/>
      <c r="Z43" s="969">
        <f t="shared" si="7"/>
        <v>0</v>
      </c>
      <c r="AA43" s="394"/>
      <c r="AB43" s="394"/>
      <c r="AC43" s="394"/>
    </row>
    <row r="44" spans="1:29">
      <c r="A44" s="726" t="s">
        <v>120</v>
      </c>
      <c r="B44" s="891"/>
      <c r="C44" s="891"/>
      <c r="D44" s="902"/>
      <c r="E44" s="904"/>
      <c r="F44" s="904"/>
      <c r="G44" s="904"/>
      <c r="H44" s="904"/>
      <c r="I44" s="904"/>
      <c r="J44" s="904"/>
      <c r="K44" s="904"/>
      <c r="L44" s="912"/>
      <c r="M44" s="912"/>
      <c r="N44" s="912"/>
      <c r="O44" s="912"/>
      <c r="P44" s="912"/>
      <c r="Q44" s="912"/>
      <c r="R44" s="941"/>
      <c r="S44" s="941"/>
      <c r="T44" s="938"/>
      <c r="U44" s="938">
        <f t="shared" si="5"/>
        <v>0</v>
      </c>
      <c r="V44" s="942"/>
      <c r="W44" s="904"/>
      <c r="X44" s="912">
        <f t="shared" si="6"/>
        <v>0</v>
      </c>
      <c r="Y44" s="912"/>
      <c r="Z44" s="969">
        <f t="shared" si="7"/>
        <v>0</v>
      </c>
      <c r="AA44" s="394"/>
      <c r="AB44" s="394"/>
      <c r="AC44" s="394"/>
    </row>
    <row r="45" spans="1:29">
      <c r="A45" s="726" t="s">
        <v>120</v>
      </c>
      <c r="B45" s="891"/>
      <c r="C45" s="891"/>
      <c r="D45" s="902"/>
      <c r="E45" s="904"/>
      <c r="F45" s="904"/>
      <c r="G45" s="904"/>
      <c r="H45" s="904"/>
      <c r="I45" s="904"/>
      <c r="J45" s="904"/>
      <c r="K45" s="904"/>
      <c r="L45" s="912"/>
      <c r="M45" s="912"/>
      <c r="N45" s="912"/>
      <c r="O45" s="912"/>
      <c r="P45" s="912"/>
      <c r="Q45" s="912"/>
      <c r="R45" s="941"/>
      <c r="S45" s="941"/>
      <c r="T45" s="938"/>
      <c r="U45" s="938">
        <f t="shared" si="5"/>
        <v>0</v>
      </c>
      <c r="V45" s="942"/>
      <c r="W45" s="904"/>
      <c r="X45" s="912">
        <f t="shared" si="6"/>
        <v>0</v>
      </c>
      <c r="Y45" s="912"/>
      <c r="Z45" s="969">
        <f t="shared" si="7"/>
        <v>0</v>
      </c>
      <c r="AA45" s="394"/>
      <c r="AB45" s="394"/>
      <c r="AC45" s="394"/>
    </row>
    <row r="46" spans="1:29">
      <c r="A46" s="726" t="s">
        <v>120</v>
      </c>
      <c r="B46" s="891"/>
      <c r="C46" s="891"/>
      <c r="D46" s="902"/>
      <c r="E46" s="904"/>
      <c r="F46" s="904"/>
      <c r="G46" s="904"/>
      <c r="H46" s="904"/>
      <c r="I46" s="904"/>
      <c r="J46" s="904"/>
      <c r="K46" s="904"/>
      <c r="L46" s="912"/>
      <c r="M46" s="912"/>
      <c r="N46" s="912"/>
      <c r="O46" s="912"/>
      <c r="P46" s="912"/>
      <c r="Q46" s="912"/>
      <c r="R46" s="941"/>
      <c r="S46" s="941"/>
      <c r="T46" s="938"/>
      <c r="U46" s="938">
        <f t="shared" si="5"/>
        <v>0</v>
      </c>
      <c r="V46" s="942"/>
      <c r="W46" s="904"/>
      <c r="X46" s="912">
        <f t="shared" si="6"/>
        <v>0</v>
      </c>
      <c r="Y46" s="912"/>
      <c r="Z46" s="969">
        <f t="shared" si="7"/>
        <v>0</v>
      </c>
      <c r="AA46" s="394"/>
      <c r="AB46" s="394"/>
      <c r="AC46" s="394"/>
    </row>
    <row r="47" spans="1:29">
      <c r="A47" s="726" t="s">
        <v>120</v>
      </c>
      <c r="B47" s="891"/>
      <c r="C47" s="891"/>
      <c r="D47" s="905"/>
      <c r="E47" s="904"/>
      <c r="F47" s="904"/>
      <c r="G47" s="904"/>
      <c r="H47" s="904"/>
      <c r="I47" s="904"/>
      <c r="J47" s="904"/>
      <c r="K47" s="904"/>
      <c r="L47" s="912"/>
      <c r="M47" s="912"/>
      <c r="N47" s="912"/>
      <c r="O47" s="912"/>
      <c r="P47" s="912"/>
      <c r="Q47" s="912"/>
      <c r="R47" s="941"/>
      <c r="S47" s="941"/>
      <c r="T47" s="938"/>
      <c r="U47" s="938">
        <f t="shared" si="5"/>
        <v>0</v>
      </c>
      <c r="V47" s="942"/>
      <c r="W47" s="904"/>
      <c r="X47" s="912">
        <f t="shared" si="6"/>
        <v>0</v>
      </c>
      <c r="Y47" s="912"/>
      <c r="Z47" s="969">
        <f t="shared" si="7"/>
        <v>0</v>
      </c>
      <c r="AA47" s="394"/>
      <c r="AB47" s="394"/>
      <c r="AC47" s="394"/>
    </row>
    <row r="48" spans="1:29">
      <c r="A48" s="726" t="s">
        <v>120</v>
      </c>
      <c r="B48" s="891"/>
      <c r="C48" s="891"/>
      <c r="D48" s="902"/>
      <c r="E48" s="904"/>
      <c r="F48" s="904"/>
      <c r="G48" s="904"/>
      <c r="H48" s="904"/>
      <c r="I48" s="904"/>
      <c r="J48" s="904"/>
      <c r="K48" s="904"/>
      <c r="L48" s="912"/>
      <c r="M48" s="912"/>
      <c r="N48" s="912"/>
      <c r="O48" s="912"/>
      <c r="P48" s="912"/>
      <c r="Q48" s="912"/>
      <c r="R48" s="941"/>
      <c r="S48" s="941"/>
      <c r="T48" s="938"/>
      <c r="U48" s="938">
        <f t="shared" si="5"/>
        <v>0</v>
      </c>
      <c r="V48" s="942"/>
      <c r="W48" s="904"/>
      <c r="X48" s="912">
        <f t="shared" si="6"/>
        <v>0</v>
      </c>
      <c r="Y48" s="912"/>
      <c r="Z48" s="969">
        <f t="shared" si="7"/>
        <v>0</v>
      </c>
      <c r="AA48" s="394"/>
      <c r="AB48" s="394"/>
      <c r="AC48" s="394"/>
    </row>
    <row r="49" spans="1:29">
      <c r="A49" s="726" t="s">
        <v>120</v>
      </c>
      <c r="B49" s="891"/>
      <c r="C49" s="891"/>
      <c r="D49" s="902"/>
      <c r="E49" s="904"/>
      <c r="F49" s="904"/>
      <c r="G49" s="904"/>
      <c r="H49" s="904"/>
      <c r="I49" s="904"/>
      <c r="J49" s="904"/>
      <c r="K49" s="904"/>
      <c r="L49" s="912"/>
      <c r="M49" s="912"/>
      <c r="N49" s="912"/>
      <c r="O49" s="912"/>
      <c r="P49" s="912"/>
      <c r="Q49" s="912"/>
      <c r="R49" s="941"/>
      <c r="S49" s="941"/>
      <c r="T49" s="938"/>
      <c r="U49" s="938">
        <f t="shared" si="5"/>
        <v>0</v>
      </c>
      <c r="V49" s="942"/>
      <c r="W49" s="904"/>
      <c r="X49" s="912">
        <f t="shared" si="6"/>
        <v>0</v>
      </c>
      <c r="Y49" s="912"/>
      <c r="Z49" s="969">
        <f t="shared" si="7"/>
        <v>0</v>
      </c>
      <c r="AA49" s="394"/>
      <c r="AB49" s="394"/>
      <c r="AC49" s="394"/>
    </row>
    <row r="50" spans="1:29">
      <c r="A50" s="726" t="s">
        <v>120</v>
      </c>
      <c r="B50" s="891"/>
      <c r="C50" s="891"/>
      <c r="D50" s="902"/>
      <c r="E50" s="904"/>
      <c r="F50" s="904"/>
      <c r="G50" s="904"/>
      <c r="H50" s="904"/>
      <c r="I50" s="904"/>
      <c r="J50" s="904"/>
      <c r="K50" s="904"/>
      <c r="L50" s="912"/>
      <c r="M50" s="912"/>
      <c r="N50" s="912"/>
      <c r="O50" s="912"/>
      <c r="P50" s="912"/>
      <c r="Q50" s="912"/>
      <c r="R50" s="941"/>
      <c r="S50" s="941"/>
      <c r="T50" s="938"/>
      <c r="U50" s="938">
        <f t="shared" si="5"/>
        <v>0</v>
      </c>
      <c r="V50" s="942"/>
      <c r="W50" s="904"/>
      <c r="X50" s="912">
        <f t="shared" si="6"/>
        <v>0</v>
      </c>
      <c r="Y50" s="912"/>
      <c r="Z50" s="969">
        <f t="shared" si="7"/>
        <v>0</v>
      </c>
      <c r="AA50" s="394"/>
      <c r="AB50" s="394"/>
      <c r="AC50" s="394"/>
    </row>
    <row r="51" spans="1:29">
      <c r="A51" s="726" t="s">
        <v>120</v>
      </c>
      <c r="B51" s="891"/>
      <c r="C51" s="891"/>
      <c r="D51" s="902"/>
      <c r="E51" s="904"/>
      <c r="F51" s="904"/>
      <c r="G51" s="904"/>
      <c r="H51" s="904"/>
      <c r="I51" s="904"/>
      <c r="J51" s="904"/>
      <c r="K51" s="904"/>
      <c r="L51" s="912"/>
      <c r="M51" s="912"/>
      <c r="N51" s="912"/>
      <c r="O51" s="912"/>
      <c r="P51" s="912"/>
      <c r="Q51" s="912"/>
      <c r="R51" s="941"/>
      <c r="S51" s="941"/>
      <c r="T51" s="938"/>
      <c r="U51" s="938">
        <f t="shared" si="5"/>
        <v>0</v>
      </c>
      <c r="V51" s="942"/>
      <c r="W51" s="904"/>
      <c r="X51" s="912">
        <f t="shared" si="6"/>
        <v>0</v>
      </c>
      <c r="Y51" s="912"/>
      <c r="Z51" s="969">
        <f t="shared" si="7"/>
        <v>0</v>
      </c>
      <c r="AA51" s="394"/>
      <c r="AB51" s="394"/>
      <c r="AC51" s="394"/>
    </row>
    <row r="52" spans="1:29">
      <c r="A52" s="726" t="s">
        <v>120</v>
      </c>
      <c r="B52" s="891"/>
      <c r="C52" s="891"/>
      <c r="D52" s="902"/>
      <c r="E52" s="904"/>
      <c r="F52" s="904"/>
      <c r="G52" s="904"/>
      <c r="H52" s="904"/>
      <c r="I52" s="904"/>
      <c r="J52" s="904"/>
      <c r="K52" s="904"/>
      <c r="L52" s="912"/>
      <c r="M52" s="912"/>
      <c r="N52" s="912"/>
      <c r="O52" s="912"/>
      <c r="P52" s="912"/>
      <c r="Q52" s="912"/>
      <c r="R52" s="941"/>
      <c r="S52" s="941"/>
      <c r="T52" s="938"/>
      <c r="U52" s="938">
        <f t="shared" si="5"/>
        <v>0</v>
      </c>
      <c r="V52" s="942"/>
      <c r="W52" s="904"/>
      <c r="X52" s="912">
        <f t="shared" si="6"/>
        <v>0</v>
      </c>
      <c r="Y52" s="912"/>
      <c r="Z52" s="969">
        <f t="shared" si="7"/>
        <v>0</v>
      </c>
      <c r="AA52" s="394"/>
      <c r="AB52" s="394"/>
      <c r="AC52" s="394"/>
    </row>
    <row r="53" spans="1:29" ht="24" thickBot="1">
      <c r="A53" s="726" t="s">
        <v>120</v>
      </c>
      <c r="B53" s="891"/>
      <c r="C53" s="891"/>
      <c r="D53" s="902"/>
      <c r="E53" s="904"/>
      <c r="F53" s="904"/>
      <c r="G53" s="904"/>
      <c r="H53" s="904"/>
      <c r="I53" s="904"/>
      <c r="J53" s="904"/>
      <c r="K53" s="904"/>
      <c r="L53" s="912"/>
      <c r="M53" s="912"/>
      <c r="N53" s="912"/>
      <c r="O53" s="912"/>
      <c r="P53" s="912"/>
      <c r="Q53" s="912"/>
      <c r="R53" s="941"/>
      <c r="S53" s="941"/>
      <c r="T53" s="938"/>
      <c r="U53" s="938">
        <f t="shared" si="5"/>
        <v>0</v>
      </c>
      <c r="V53" s="942"/>
      <c r="W53" s="904"/>
      <c r="X53" s="912">
        <f t="shared" si="6"/>
        <v>0</v>
      </c>
      <c r="Y53" s="912"/>
      <c r="Z53" s="969">
        <f t="shared" si="7"/>
        <v>0</v>
      </c>
      <c r="AA53" s="394"/>
      <c r="AB53" s="394"/>
      <c r="AC53" s="394"/>
    </row>
    <row r="54" spans="1:29" ht="24" thickBot="1">
      <c r="A54" s="726" t="s">
        <v>120</v>
      </c>
      <c r="B54" s="891"/>
      <c r="C54" s="891"/>
      <c r="D54" s="902"/>
      <c r="E54" s="904"/>
      <c r="F54" s="904"/>
      <c r="G54" s="904"/>
      <c r="H54" s="904"/>
      <c r="I54" s="904"/>
      <c r="J54" s="904"/>
      <c r="K54" s="904"/>
      <c r="L54" s="912"/>
      <c r="M54" s="912"/>
      <c r="N54" s="912"/>
      <c r="O54" s="912"/>
      <c r="P54" s="912"/>
      <c r="Q54" s="912"/>
      <c r="R54" s="941"/>
      <c r="S54" s="941"/>
      <c r="T54" s="938"/>
      <c r="U54" s="943">
        <f t="shared" si="5"/>
        <v>0</v>
      </c>
      <c r="V54" s="944"/>
      <c r="W54" s="945"/>
      <c r="X54" s="946">
        <f t="shared" si="6"/>
        <v>0</v>
      </c>
      <c r="Y54" s="946"/>
      <c r="Z54" s="970">
        <f t="shared" si="7"/>
        <v>0</v>
      </c>
      <c r="AA54" s="971" t="s">
        <v>8</v>
      </c>
      <c r="AB54" s="967" t="s">
        <v>197</v>
      </c>
      <c r="AC54" s="398" t="s">
        <v>174</v>
      </c>
    </row>
    <row r="55" spans="1:29" ht="24" thickBot="1">
      <c r="A55" s="726" t="s">
        <v>120</v>
      </c>
      <c r="B55" s="891"/>
      <c r="C55" s="891"/>
      <c r="D55" s="902"/>
      <c r="E55" s="904"/>
      <c r="F55" s="904"/>
      <c r="G55" s="904"/>
      <c r="H55" s="904"/>
      <c r="I55" s="904"/>
      <c r="J55" s="904"/>
      <c r="K55" s="904"/>
      <c r="L55" s="912"/>
      <c r="M55" s="912"/>
      <c r="N55" s="912"/>
      <c r="O55" s="912"/>
      <c r="P55" s="912"/>
      <c r="Q55" s="912"/>
      <c r="R55" s="941"/>
      <c r="S55" s="941"/>
      <c r="T55" s="938"/>
      <c r="U55" s="947">
        <f t="shared" si="5"/>
        <v>0</v>
      </c>
      <c r="V55" s="948"/>
      <c r="W55" s="949"/>
      <c r="X55" s="950">
        <f t="shared" si="6"/>
        <v>0</v>
      </c>
      <c r="Y55" s="950"/>
      <c r="Z55" s="972">
        <f t="shared" si="7"/>
        <v>0</v>
      </c>
      <c r="AA55" s="971" t="s">
        <v>8</v>
      </c>
      <c r="AB55" s="967" t="s">
        <v>197</v>
      </c>
      <c r="AC55" s="398" t="s">
        <v>174</v>
      </c>
    </row>
    <row r="56" spans="1:29" s="870" customFormat="1" ht="24" thickBot="1">
      <c r="A56" s="326" t="s">
        <v>177</v>
      </c>
      <c r="B56" s="895"/>
      <c r="C56" s="895"/>
      <c r="D56" s="896"/>
      <c r="E56" s="897">
        <f t="shared" ref="E56:S56" si="8">SUM(E30:E55)</f>
        <v>0</v>
      </c>
      <c r="F56" s="897">
        <f t="shared" si="8"/>
        <v>0</v>
      </c>
      <c r="G56" s="897">
        <f t="shared" si="8"/>
        <v>0</v>
      </c>
      <c r="H56" s="897">
        <f t="shared" si="8"/>
        <v>0</v>
      </c>
      <c r="I56" s="897">
        <f t="shared" si="8"/>
        <v>0</v>
      </c>
      <c r="J56" s="897">
        <f t="shared" si="8"/>
        <v>0</v>
      </c>
      <c r="K56" s="897">
        <f t="shared" si="8"/>
        <v>0</v>
      </c>
      <c r="L56" s="897">
        <f t="shared" si="8"/>
        <v>0</v>
      </c>
      <c r="M56" s="897">
        <f t="shared" si="8"/>
        <v>0</v>
      </c>
      <c r="N56" s="897">
        <f t="shared" si="8"/>
        <v>0</v>
      </c>
      <c r="O56" s="897">
        <f t="shared" si="8"/>
        <v>0</v>
      </c>
      <c r="P56" s="897">
        <f t="shared" si="8"/>
        <v>0</v>
      </c>
      <c r="Q56" s="897">
        <f t="shared" si="8"/>
        <v>0</v>
      </c>
      <c r="R56" s="897">
        <f t="shared" si="8"/>
        <v>0</v>
      </c>
      <c r="S56" s="897">
        <f t="shared" si="8"/>
        <v>0</v>
      </c>
      <c r="T56" s="932"/>
      <c r="U56" s="932">
        <f t="shared" ref="U56:Z56" si="9">SUM(U30:U55)</f>
        <v>0</v>
      </c>
      <c r="V56" s="951">
        <f t="shared" si="9"/>
        <v>0</v>
      </c>
      <c r="W56" s="897"/>
      <c r="X56" s="934">
        <f t="shared" si="9"/>
        <v>0</v>
      </c>
      <c r="Y56" s="934">
        <f t="shared" si="9"/>
        <v>0</v>
      </c>
      <c r="Z56" s="973">
        <f t="shared" si="9"/>
        <v>0</v>
      </c>
      <c r="AA56" s="399">
        <f>'BIG CHAIR'!CL42</f>
        <v>880</v>
      </c>
      <c r="AB56" s="400">
        <f>'Jordan Chair'!AH26</f>
        <v>0</v>
      </c>
      <c r="AC56" s="401">
        <f>X56+AA56+AB56</f>
        <v>880</v>
      </c>
    </row>
    <row r="57" spans="1:29" s="870" customFormat="1" ht="24" thickBot="1">
      <c r="A57" s="286" t="s">
        <v>122</v>
      </c>
      <c r="B57" s="877" t="s">
        <v>68</v>
      </c>
      <c r="C57" s="877" t="s">
        <v>69</v>
      </c>
      <c r="D57" s="878" t="s">
        <v>70</v>
      </c>
      <c r="E57" s="901" t="s">
        <v>71</v>
      </c>
      <c r="F57" s="880" t="s">
        <v>542</v>
      </c>
      <c r="G57" s="880" t="s">
        <v>101</v>
      </c>
      <c r="H57" s="879" t="s">
        <v>193</v>
      </c>
      <c r="I57" s="879" t="s">
        <v>97</v>
      </c>
      <c r="J57" s="879" t="s">
        <v>92</v>
      </c>
      <c r="K57" s="879" t="s">
        <v>194</v>
      </c>
      <c r="L57" s="880" t="s">
        <v>195</v>
      </c>
      <c r="M57" s="880" t="s">
        <v>482</v>
      </c>
      <c r="N57" s="880" t="s">
        <v>94</v>
      </c>
      <c r="O57" s="880" t="s">
        <v>86</v>
      </c>
      <c r="P57" s="880" t="s">
        <v>75</v>
      </c>
      <c r="Q57" s="880" t="s">
        <v>95</v>
      </c>
      <c r="R57" s="744" t="s">
        <v>77</v>
      </c>
      <c r="S57" s="936" t="s">
        <v>53</v>
      </c>
      <c r="T57" s="915"/>
      <c r="U57" s="952" t="s">
        <v>104</v>
      </c>
      <c r="V57" s="953" t="s">
        <v>105</v>
      </c>
      <c r="W57" s="954"/>
      <c r="X57" s="918" t="s">
        <v>106</v>
      </c>
      <c r="Y57" s="917" t="s">
        <v>107</v>
      </c>
      <c r="Z57" s="960" t="s">
        <v>108</v>
      </c>
      <c r="AA57" s="403"/>
      <c r="AB57" s="403"/>
      <c r="AC57" s="403"/>
    </row>
    <row r="58" spans="1:29" ht="24" thickBot="1">
      <c r="A58" s="726" t="s">
        <v>125</v>
      </c>
      <c r="B58" s="891"/>
      <c r="C58" s="891"/>
      <c r="D58" s="902">
        <v>46130</v>
      </c>
      <c r="E58" s="903"/>
      <c r="F58" s="903"/>
      <c r="G58" s="903"/>
      <c r="H58" s="903"/>
      <c r="I58" s="903">
        <f>17*12+17*12</f>
        <v>408</v>
      </c>
      <c r="J58" s="903"/>
      <c r="K58" s="903"/>
      <c r="L58" s="911"/>
      <c r="M58" s="911"/>
      <c r="N58" s="911"/>
      <c r="O58" s="911"/>
      <c r="P58" s="911"/>
      <c r="Q58" s="911"/>
      <c r="R58" s="937"/>
      <c r="S58" s="937"/>
      <c r="T58" s="938"/>
      <c r="U58" s="3201">
        <f t="shared" ref="U58:U82" si="10">SUM(E58:S58)</f>
        <v>408</v>
      </c>
      <c r="V58" s="957">
        <v>2</v>
      </c>
      <c r="W58" s="554"/>
      <c r="X58" s="942">
        <f t="shared" ref="X58:X82" si="11">U58+V58</f>
        <v>410</v>
      </c>
      <c r="Y58" s="957">
        <f>23+5</f>
        <v>28</v>
      </c>
      <c r="Z58" s="940">
        <f t="shared" ref="Z58:Z82" si="12">X58+Y58</f>
        <v>438</v>
      </c>
      <c r="AA58" s="394"/>
      <c r="AB58" s="394"/>
      <c r="AC58" s="394"/>
    </row>
    <row r="59" spans="1:29" ht="24" thickBot="1">
      <c r="A59" s="726" t="s">
        <v>125</v>
      </c>
      <c r="B59" s="891"/>
      <c r="C59" s="891"/>
      <c r="D59" s="902">
        <v>46131</v>
      </c>
      <c r="E59" s="904"/>
      <c r="F59" s="904"/>
      <c r="G59" s="904"/>
      <c r="H59" s="904"/>
      <c r="I59" s="904">
        <f>31*12+2*12</f>
        <v>396</v>
      </c>
      <c r="J59" s="904"/>
      <c r="K59" s="904"/>
      <c r="L59" s="912"/>
      <c r="M59" s="912"/>
      <c r="N59" s="912"/>
      <c r="O59" s="912"/>
      <c r="P59" s="912"/>
      <c r="Q59" s="912"/>
      <c r="R59" s="941"/>
      <c r="S59" s="941">
        <f>18*12</f>
        <v>216</v>
      </c>
      <c r="T59" s="938"/>
      <c r="U59" s="938">
        <f t="shared" si="10"/>
        <v>612</v>
      </c>
      <c r="V59" s="942"/>
      <c r="W59" s="957"/>
      <c r="X59" s="942">
        <f t="shared" si="11"/>
        <v>612</v>
      </c>
      <c r="Y59" s="957">
        <f>7+3+16</f>
        <v>26</v>
      </c>
      <c r="Z59" s="940">
        <f t="shared" si="12"/>
        <v>638</v>
      </c>
      <c r="AA59" s="394"/>
      <c r="AB59" s="394"/>
      <c r="AC59" s="394"/>
    </row>
    <row r="60" spans="1:29" ht="24" thickBot="1">
      <c r="A60" s="726" t="s">
        <v>125</v>
      </c>
      <c r="B60" s="891"/>
      <c r="C60" s="891"/>
      <c r="D60" s="902">
        <v>46132</v>
      </c>
      <c r="E60" s="904"/>
      <c r="F60" s="904"/>
      <c r="G60" s="904"/>
      <c r="H60" s="904"/>
      <c r="I60" s="904"/>
      <c r="J60" s="904"/>
      <c r="K60" s="904"/>
      <c r="L60" s="912"/>
      <c r="M60" s="912">
        <f>13*12+8*12</f>
        <v>252</v>
      </c>
      <c r="N60" s="912"/>
      <c r="O60" s="912"/>
      <c r="P60" s="912"/>
      <c r="Q60" s="912"/>
      <c r="R60" s="941"/>
      <c r="S60" s="941">
        <f>15*12</f>
        <v>180</v>
      </c>
      <c r="T60" s="938"/>
      <c r="U60" s="938">
        <f t="shared" si="10"/>
        <v>432</v>
      </c>
      <c r="V60" s="942">
        <f>4+1</f>
        <v>5</v>
      </c>
      <c r="W60" s="957"/>
      <c r="X60" s="942">
        <f t="shared" si="11"/>
        <v>437</v>
      </c>
      <c r="Y60" s="957">
        <f>4+3</f>
        <v>7</v>
      </c>
      <c r="Z60" s="940">
        <f t="shared" si="12"/>
        <v>444</v>
      </c>
      <c r="AA60" s="394"/>
      <c r="AB60" s="394"/>
      <c r="AC60" s="394"/>
    </row>
    <row r="61" spans="1:29">
      <c r="A61" s="726" t="s">
        <v>198</v>
      </c>
      <c r="B61" s="891"/>
      <c r="C61" s="891"/>
      <c r="D61" s="902">
        <v>46133</v>
      </c>
      <c r="E61" s="904"/>
      <c r="F61" s="904"/>
      <c r="G61" s="904"/>
      <c r="H61" s="904"/>
      <c r="I61" s="904"/>
      <c r="J61" s="904"/>
      <c r="K61" s="904"/>
      <c r="L61" s="912"/>
      <c r="M61" s="912">
        <f>29*12+8*12</f>
        <v>444</v>
      </c>
      <c r="N61" s="912">
        <f>11*12</f>
        <v>132</v>
      </c>
      <c r="O61" s="912"/>
      <c r="P61" s="912"/>
      <c r="Q61" s="912"/>
      <c r="R61" s="912"/>
      <c r="S61" s="941"/>
      <c r="T61" s="938"/>
      <c r="U61" s="938">
        <f t="shared" si="10"/>
        <v>576</v>
      </c>
      <c r="V61" s="942">
        <v>4</v>
      </c>
      <c r="W61" s="957"/>
      <c r="X61" s="942">
        <f t="shared" si="11"/>
        <v>580</v>
      </c>
      <c r="Y61" s="957">
        <f>7+15+3</f>
        <v>25</v>
      </c>
      <c r="Z61" s="940">
        <f t="shared" si="12"/>
        <v>605</v>
      </c>
      <c r="AA61" s="394"/>
      <c r="AB61" s="394"/>
      <c r="AC61" s="394"/>
    </row>
    <row r="62" spans="1:29">
      <c r="A62" s="726" t="s">
        <v>198</v>
      </c>
      <c r="B62" s="891"/>
      <c r="C62" s="891"/>
      <c r="D62" s="902">
        <v>46134</v>
      </c>
      <c r="E62" s="904"/>
      <c r="F62" s="904"/>
      <c r="G62" s="904"/>
      <c r="H62" s="904"/>
      <c r="I62" s="904"/>
      <c r="J62" s="904"/>
      <c r="K62" s="904"/>
      <c r="L62" s="912">
        <f>7*12+12*12</f>
        <v>228</v>
      </c>
      <c r="M62" s="912"/>
      <c r="N62" s="912">
        <f>19*12</f>
        <v>228</v>
      </c>
      <c r="O62" s="912"/>
      <c r="P62" s="913"/>
      <c r="Q62" s="912"/>
      <c r="R62" s="941"/>
      <c r="S62" s="941"/>
      <c r="T62" s="938"/>
      <c r="U62" s="938">
        <f t="shared" si="10"/>
        <v>456</v>
      </c>
      <c r="V62" s="942">
        <v>6</v>
      </c>
      <c r="W62" s="957"/>
      <c r="X62" s="942">
        <f t="shared" si="11"/>
        <v>462</v>
      </c>
      <c r="Y62" s="957">
        <f>5+1+13</f>
        <v>19</v>
      </c>
      <c r="Z62" s="942">
        <f t="shared" si="12"/>
        <v>481</v>
      </c>
      <c r="AA62" s="394"/>
      <c r="AB62" s="394"/>
      <c r="AC62" s="394"/>
    </row>
    <row r="63" spans="1:29">
      <c r="A63" s="726" t="s">
        <v>199</v>
      </c>
      <c r="B63" s="891"/>
      <c r="C63" s="891"/>
      <c r="D63" s="902">
        <v>46135</v>
      </c>
      <c r="E63" s="904"/>
      <c r="F63" s="904"/>
      <c r="G63" s="904"/>
      <c r="H63" s="904"/>
      <c r="I63" s="904"/>
      <c r="J63" s="904"/>
      <c r="K63" s="904"/>
      <c r="L63" s="912">
        <f>3*12</f>
        <v>36</v>
      </c>
      <c r="M63" s="912"/>
      <c r="N63" s="912"/>
      <c r="O63" s="912"/>
      <c r="P63" s="912"/>
      <c r="Q63" s="912"/>
      <c r="R63" s="941"/>
      <c r="S63" s="941"/>
      <c r="T63" s="938"/>
      <c r="U63" s="938">
        <f t="shared" si="10"/>
        <v>36</v>
      </c>
      <c r="V63" s="942"/>
      <c r="W63" s="957"/>
      <c r="X63" s="942">
        <f t="shared" si="11"/>
        <v>36</v>
      </c>
      <c r="Y63" s="957">
        <v>2</v>
      </c>
      <c r="Z63" s="942">
        <f t="shared" si="12"/>
        <v>38</v>
      </c>
      <c r="AA63" s="394"/>
      <c r="AB63" s="394"/>
      <c r="AC63" s="394"/>
    </row>
    <row r="64" spans="1:29">
      <c r="A64" s="726" t="s">
        <v>199</v>
      </c>
      <c r="B64" s="891"/>
      <c r="C64" s="891"/>
      <c r="D64" s="902"/>
      <c r="E64" s="904"/>
      <c r="F64" s="904"/>
      <c r="G64" s="904"/>
      <c r="H64" s="904"/>
      <c r="I64" s="904"/>
      <c r="J64" s="904"/>
      <c r="K64" s="904"/>
      <c r="L64" s="912"/>
      <c r="M64" s="912"/>
      <c r="N64" s="912"/>
      <c r="O64" s="912"/>
      <c r="P64" s="912"/>
      <c r="Q64" s="912"/>
      <c r="R64" s="941"/>
      <c r="S64" s="941"/>
      <c r="T64" s="938"/>
      <c r="U64" s="938">
        <f t="shared" si="10"/>
        <v>0</v>
      </c>
      <c r="V64" s="942"/>
      <c r="W64" s="957"/>
      <c r="X64" s="942">
        <f t="shared" si="11"/>
        <v>0</v>
      </c>
      <c r="Y64" s="957"/>
      <c r="Z64" s="942">
        <f t="shared" si="12"/>
        <v>0</v>
      </c>
      <c r="AA64" s="394"/>
      <c r="AB64" s="394"/>
      <c r="AC64" s="394"/>
    </row>
    <row r="65" spans="1:29">
      <c r="A65" s="726" t="s">
        <v>199</v>
      </c>
      <c r="B65" s="891"/>
      <c r="C65" s="891"/>
      <c r="D65" s="902"/>
      <c r="E65" s="904"/>
      <c r="F65" s="904"/>
      <c r="G65" s="904"/>
      <c r="H65" s="904"/>
      <c r="I65" s="904"/>
      <c r="J65" s="904"/>
      <c r="K65" s="904"/>
      <c r="L65" s="912"/>
      <c r="M65" s="912"/>
      <c r="N65" s="912"/>
      <c r="O65" s="912"/>
      <c r="P65" s="912"/>
      <c r="Q65" s="912"/>
      <c r="R65" s="941"/>
      <c r="S65" s="941"/>
      <c r="T65" s="938"/>
      <c r="U65" s="938">
        <f t="shared" si="10"/>
        <v>0</v>
      </c>
      <c r="V65" s="942"/>
      <c r="W65" s="957"/>
      <c r="X65" s="942">
        <f t="shared" si="11"/>
        <v>0</v>
      </c>
      <c r="Y65" s="957"/>
      <c r="Z65" s="942">
        <f t="shared" si="12"/>
        <v>0</v>
      </c>
      <c r="AA65" s="394"/>
      <c r="AB65" s="394"/>
      <c r="AC65" s="394"/>
    </row>
    <row r="66" spans="1:29">
      <c r="A66" s="726" t="s">
        <v>199</v>
      </c>
      <c r="B66" s="891"/>
      <c r="C66" s="891"/>
      <c r="D66" s="902"/>
      <c r="E66" s="904"/>
      <c r="F66" s="904"/>
      <c r="G66" s="904"/>
      <c r="H66" s="904"/>
      <c r="I66" s="904"/>
      <c r="J66" s="904"/>
      <c r="K66" s="904"/>
      <c r="L66" s="912"/>
      <c r="M66" s="912"/>
      <c r="N66" s="912"/>
      <c r="O66" s="912"/>
      <c r="P66" s="912"/>
      <c r="Q66" s="912"/>
      <c r="R66" s="941"/>
      <c r="S66" s="941"/>
      <c r="T66" s="938"/>
      <c r="U66" s="938">
        <f t="shared" si="10"/>
        <v>0</v>
      </c>
      <c r="V66" s="942"/>
      <c r="W66" s="957"/>
      <c r="X66" s="942">
        <f t="shared" si="11"/>
        <v>0</v>
      </c>
      <c r="Y66" s="957"/>
      <c r="Z66" s="942">
        <f t="shared" si="12"/>
        <v>0</v>
      </c>
      <c r="AA66" s="394"/>
      <c r="AB66" s="394"/>
      <c r="AC66" s="394"/>
    </row>
    <row r="67" spans="1:29">
      <c r="A67" s="726" t="s">
        <v>199</v>
      </c>
      <c r="B67" s="891"/>
      <c r="C67" s="891"/>
      <c r="D67" s="902"/>
      <c r="E67" s="904"/>
      <c r="F67" s="904"/>
      <c r="G67" s="904"/>
      <c r="H67" s="904"/>
      <c r="I67" s="904"/>
      <c r="J67" s="904"/>
      <c r="K67" s="904"/>
      <c r="L67" s="912"/>
      <c r="M67" s="912"/>
      <c r="N67" s="912"/>
      <c r="O67" s="912"/>
      <c r="P67" s="912"/>
      <c r="Q67" s="912"/>
      <c r="R67" s="941"/>
      <c r="S67" s="941"/>
      <c r="T67" s="938"/>
      <c r="U67" s="938">
        <f t="shared" si="10"/>
        <v>0</v>
      </c>
      <c r="V67" s="942"/>
      <c r="W67" s="957"/>
      <c r="X67" s="942">
        <f t="shared" si="11"/>
        <v>0</v>
      </c>
      <c r="Y67" s="957"/>
      <c r="Z67" s="942">
        <f t="shared" si="12"/>
        <v>0</v>
      </c>
      <c r="AA67" s="394"/>
      <c r="AB67" s="394"/>
      <c r="AC67" s="394"/>
    </row>
    <row r="68" spans="1:29">
      <c r="A68" s="726" t="s">
        <v>199</v>
      </c>
      <c r="B68" s="891"/>
      <c r="C68" s="891"/>
      <c r="D68" s="902"/>
      <c r="E68" s="904"/>
      <c r="F68" s="904"/>
      <c r="G68" s="904"/>
      <c r="H68" s="904"/>
      <c r="I68" s="904"/>
      <c r="J68" s="904"/>
      <c r="K68" s="904"/>
      <c r="L68" s="912"/>
      <c r="M68" s="912"/>
      <c r="N68" s="912"/>
      <c r="O68" s="912"/>
      <c r="P68" s="912"/>
      <c r="Q68" s="912"/>
      <c r="R68" s="941"/>
      <c r="S68" s="941"/>
      <c r="T68" s="938"/>
      <c r="U68" s="938">
        <f t="shared" si="10"/>
        <v>0</v>
      </c>
      <c r="V68" s="942"/>
      <c r="W68" s="957"/>
      <c r="X68" s="942">
        <f t="shared" si="11"/>
        <v>0</v>
      </c>
      <c r="Y68" s="957"/>
      <c r="Z68" s="942">
        <f t="shared" si="12"/>
        <v>0</v>
      </c>
      <c r="AA68" s="394"/>
      <c r="AB68" s="394"/>
      <c r="AC68" s="394"/>
    </row>
    <row r="69" spans="1:29">
      <c r="A69" s="726" t="s">
        <v>199</v>
      </c>
      <c r="B69" s="891"/>
      <c r="C69" s="891"/>
      <c r="D69" s="902"/>
      <c r="E69" s="904"/>
      <c r="F69" s="904"/>
      <c r="G69" s="904"/>
      <c r="H69" s="904"/>
      <c r="I69" s="904"/>
      <c r="J69" s="904"/>
      <c r="K69" s="904"/>
      <c r="L69" s="912"/>
      <c r="M69" s="912"/>
      <c r="N69" s="912"/>
      <c r="O69" s="912"/>
      <c r="P69" s="912"/>
      <c r="Q69" s="912"/>
      <c r="R69" s="941"/>
      <c r="S69" s="941"/>
      <c r="T69" s="938"/>
      <c r="U69" s="938">
        <f t="shared" si="10"/>
        <v>0</v>
      </c>
      <c r="V69" s="942"/>
      <c r="W69" s="957"/>
      <c r="X69" s="942">
        <f t="shared" si="11"/>
        <v>0</v>
      </c>
      <c r="Y69" s="957"/>
      <c r="Z69" s="942">
        <f t="shared" si="12"/>
        <v>0</v>
      </c>
      <c r="AA69" s="394"/>
      <c r="AB69" s="394"/>
      <c r="AC69" s="394"/>
    </row>
    <row r="70" spans="1:29">
      <c r="A70" s="726" t="s">
        <v>199</v>
      </c>
      <c r="B70" s="891"/>
      <c r="C70" s="891"/>
      <c r="D70" s="902"/>
      <c r="E70" s="904"/>
      <c r="F70" s="904"/>
      <c r="G70" s="904"/>
      <c r="H70" s="904"/>
      <c r="I70" s="904"/>
      <c r="J70" s="904"/>
      <c r="K70" s="904"/>
      <c r="L70" s="912"/>
      <c r="M70" s="912"/>
      <c r="N70" s="912"/>
      <c r="O70" s="912"/>
      <c r="P70" s="912"/>
      <c r="Q70" s="912"/>
      <c r="R70" s="941"/>
      <c r="S70" s="941"/>
      <c r="T70" s="938"/>
      <c r="U70" s="938">
        <f t="shared" si="10"/>
        <v>0</v>
      </c>
      <c r="V70" s="942"/>
      <c r="W70" s="957"/>
      <c r="X70" s="942">
        <f t="shared" si="11"/>
        <v>0</v>
      </c>
      <c r="Y70" s="957"/>
      <c r="Z70" s="942">
        <f t="shared" si="12"/>
        <v>0</v>
      </c>
      <c r="AA70" s="394"/>
      <c r="AB70" s="394"/>
      <c r="AC70" s="394"/>
    </row>
    <row r="71" spans="1:29">
      <c r="A71" s="726" t="s">
        <v>199</v>
      </c>
      <c r="B71" s="891"/>
      <c r="C71" s="891"/>
      <c r="D71" s="902"/>
      <c r="E71" s="904"/>
      <c r="F71" s="904"/>
      <c r="G71" s="904"/>
      <c r="H71" s="904"/>
      <c r="I71" s="904"/>
      <c r="J71" s="904"/>
      <c r="K71" s="904"/>
      <c r="L71" s="912"/>
      <c r="M71" s="912"/>
      <c r="N71" s="912"/>
      <c r="O71" s="912"/>
      <c r="P71" s="912"/>
      <c r="Q71" s="912"/>
      <c r="R71" s="941"/>
      <c r="S71" s="941"/>
      <c r="T71" s="938"/>
      <c r="U71" s="938">
        <f t="shared" si="10"/>
        <v>0</v>
      </c>
      <c r="V71" s="942"/>
      <c r="W71" s="957"/>
      <c r="X71" s="942">
        <f t="shared" si="11"/>
        <v>0</v>
      </c>
      <c r="Y71" s="957"/>
      <c r="Z71" s="942">
        <f t="shared" si="12"/>
        <v>0</v>
      </c>
      <c r="AA71" s="394"/>
      <c r="AB71" s="394"/>
      <c r="AC71" s="394"/>
    </row>
    <row r="72" spans="1:29">
      <c r="A72" s="726" t="s">
        <v>199</v>
      </c>
      <c r="B72" s="891"/>
      <c r="C72" s="891"/>
      <c r="D72" s="902"/>
      <c r="E72" s="904"/>
      <c r="F72" s="904"/>
      <c r="G72" s="904"/>
      <c r="H72" s="904"/>
      <c r="I72" s="904"/>
      <c r="J72" s="904"/>
      <c r="K72" s="904"/>
      <c r="L72" s="912"/>
      <c r="M72" s="912"/>
      <c r="N72" s="912"/>
      <c r="O72" s="912"/>
      <c r="P72" s="912"/>
      <c r="Q72" s="912"/>
      <c r="R72" s="941"/>
      <c r="S72" s="941"/>
      <c r="T72" s="938"/>
      <c r="U72" s="938">
        <f t="shared" si="10"/>
        <v>0</v>
      </c>
      <c r="V72" s="942"/>
      <c r="W72" s="957"/>
      <c r="X72" s="942">
        <f t="shared" si="11"/>
        <v>0</v>
      </c>
      <c r="Y72" s="957"/>
      <c r="Z72" s="942">
        <f t="shared" si="12"/>
        <v>0</v>
      </c>
      <c r="AA72" s="394"/>
      <c r="AB72" s="394"/>
      <c r="AC72" s="394"/>
    </row>
    <row r="73" spans="1:29">
      <c r="A73" s="726" t="s">
        <v>199</v>
      </c>
      <c r="B73" s="891"/>
      <c r="C73" s="891"/>
      <c r="D73" s="902"/>
      <c r="E73" s="904"/>
      <c r="F73" s="904"/>
      <c r="G73" s="904"/>
      <c r="H73" s="904"/>
      <c r="I73" s="904"/>
      <c r="J73" s="904"/>
      <c r="K73" s="904"/>
      <c r="L73" s="912"/>
      <c r="M73" s="912"/>
      <c r="N73" s="912"/>
      <c r="O73" s="912"/>
      <c r="P73" s="912"/>
      <c r="Q73" s="912"/>
      <c r="R73" s="941"/>
      <c r="S73" s="941"/>
      <c r="T73" s="938"/>
      <c r="U73" s="938">
        <f t="shared" si="10"/>
        <v>0</v>
      </c>
      <c r="V73" s="942"/>
      <c r="W73" s="957"/>
      <c r="X73" s="942">
        <f t="shared" si="11"/>
        <v>0</v>
      </c>
      <c r="Y73" s="957"/>
      <c r="Z73" s="942">
        <f t="shared" si="12"/>
        <v>0</v>
      </c>
      <c r="AA73" s="394"/>
      <c r="AB73" s="394"/>
      <c r="AC73" s="394"/>
    </row>
    <row r="74" spans="1:29">
      <c r="A74" s="726" t="s">
        <v>199</v>
      </c>
      <c r="B74" s="891"/>
      <c r="C74" s="891"/>
      <c r="D74" s="902"/>
      <c r="E74" s="904"/>
      <c r="F74" s="904"/>
      <c r="G74" s="904"/>
      <c r="H74" s="904"/>
      <c r="I74" s="904"/>
      <c r="J74" s="904"/>
      <c r="K74" s="904"/>
      <c r="L74" s="912"/>
      <c r="M74" s="912"/>
      <c r="N74" s="912"/>
      <c r="O74" s="912"/>
      <c r="P74" s="912"/>
      <c r="Q74" s="912"/>
      <c r="R74" s="941"/>
      <c r="S74" s="941"/>
      <c r="T74" s="938"/>
      <c r="U74" s="938">
        <f t="shared" si="10"/>
        <v>0</v>
      </c>
      <c r="V74" s="942"/>
      <c r="W74" s="957"/>
      <c r="X74" s="942">
        <f t="shared" si="11"/>
        <v>0</v>
      </c>
      <c r="Y74" s="957"/>
      <c r="Z74" s="942">
        <f t="shared" si="12"/>
        <v>0</v>
      </c>
      <c r="AA74" s="394"/>
      <c r="AB74" s="394"/>
      <c r="AC74" s="394"/>
    </row>
    <row r="75" spans="1:29">
      <c r="A75" s="726" t="s">
        <v>199</v>
      </c>
      <c r="B75" s="891"/>
      <c r="C75" s="891"/>
      <c r="D75" s="902"/>
      <c r="E75" s="904"/>
      <c r="F75" s="904"/>
      <c r="G75" s="904"/>
      <c r="H75" s="904"/>
      <c r="I75" s="904"/>
      <c r="J75" s="904"/>
      <c r="K75" s="904"/>
      <c r="L75" s="912"/>
      <c r="M75" s="912"/>
      <c r="N75" s="912"/>
      <c r="O75" s="912"/>
      <c r="P75" s="912"/>
      <c r="Q75" s="912"/>
      <c r="R75" s="941"/>
      <c r="S75" s="941"/>
      <c r="T75" s="938"/>
      <c r="U75" s="938">
        <f t="shared" si="10"/>
        <v>0</v>
      </c>
      <c r="V75" s="942"/>
      <c r="W75" s="957"/>
      <c r="X75" s="942">
        <f t="shared" si="11"/>
        <v>0</v>
      </c>
      <c r="Y75" s="957"/>
      <c r="Z75" s="942">
        <f t="shared" si="12"/>
        <v>0</v>
      </c>
      <c r="AA75" s="394"/>
      <c r="AB75" s="394"/>
      <c r="AC75" s="394"/>
    </row>
    <row r="76" spans="1:29">
      <c r="A76" s="726" t="s">
        <v>199</v>
      </c>
      <c r="B76" s="891"/>
      <c r="C76" s="891"/>
      <c r="D76" s="902"/>
      <c r="E76" s="904"/>
      <c r="F76" s="904"/>
      <c r="G76" s="904"/>
      <c r="H76" s="904"/>
      <c r="I76" s="904"/>
      <c r="J76" s="904"/>
      <c r="K76" s="904"/>
      <c r="L76" s="912"/>
      <c r="M76" s="912"/>
      <c r="N76" s="912"/>
      <c r="O76" s="912"/>
      <c r="P76" s="912"/>
      <c r="Q76" s="912"/>
      <c r="R76" s="941"/>
      <c r="S76" s="941"/>
      <c r="T76" s="938"/>
      <c r="U76" s="938">
        <f t="shared" si="10"/>
        <v>0</v>
      </c>
      <c r="V76" s="942"/>
      <c r="W76" s="957"/>
      <c r="X76" s="942">
        <f t="shared" si="11"/>
        <v>0</v>
      </c>
      <c r="Y76" s="957"/>
      <c r="Z76" s="942">
        <f t="shared" si="12"/>
        <v>0</v>
      </c>
      <c r="AA76" s="394"/>
      <c r="AB76" s="394"/>
      <c r="AC76" s="394"/>
    </row>
    <row r="77" spans="1:29">
      <c r="A77" s="726" t="s">
        <v>199</v>
      </c>
      <c r="B77" s="891"/>
      <c r="C77" s="891"/>
      <c r="D77" s="902"/>
      <c r="E77" s="904"/>
      <c r="F77" s="904"/>
      <c r="G77" s="904"/>
      <c r="H77" s="904"/>
      <c r="I77" s="904"/>
      <c r="J77" s="904"/>
      <c r="K77" s="904"/>
      <c r="L77" s="912"/>
      <c r="M77" s="912"/>
      <c r="N77" s="912"/>
      <c r="O77" s="912"/>
      <c r="P77" s="912"/>
      <c r="Q77" s="912"/>
      <c r="R77" s="941"/>
      <c r="S77" s="941"/>
      <c r="T77" s="938"/>
      <c r="U77" s="938">
        <f t="shared" si="10"/>
        <v>0</v>
      </c>
      <c r="V77" s="942"/>
      <c r="W77" s="957"/>
      <c r="X77" s="942">
        <f t="shared" si="11"/>
        <v>0</v>
      </c>
      <c r="Y77" s="957"/>
      <c r="Z77" s="942">
        <f t="shared" si="12"/>
        <v>0</v>
      </c>
      <c r="AA77" s="394"/>
      <c r="AB77" s="394"/>
      <c r="AC77" s="394"/>
    </row>
    <row r="78" spans="1:29">
      <c r="A78" s="726" t="s">
        <v>199</v>
      </c>
      <c r="B78" s="891"/>
      <c r="C78" s="891"/>
      <c r="D78" s="902"/>
      <c r="E78" s="904"/>
      <c r="F78" s="904"/>
      <c r="G78" s="904"/>
      <c r="H78" s="904"/>
      <c r="I78" s="904"/>
      <c r="J78" s="904"/>
      <c r="K78" s="904"/>
      <c r="L78" s="912"/>
      <c r="M78" s="912"/>
      <c r="N78" s="912"/>
      <c r="O78" s="912"/>
      <c r="P78" s="912"/>
      <c r="Q78" s="912"/>
      <c r="R78" s="941"/>
      <c r="S78" s="941"/>
      <c r="T78" s="938"/>
      <c r="U78" s="938">
        <f t="shared" si="10"/>
        <v>0</v>
      </c>
      <c r="V78" s="942"/>
      <c r="W78" s="957"/>
      <c r="X78" s="942">
        <f t="shared" si="11"/>
        <v>0</v>
      </c>
      <c r="Y78" s="957"/>
      <c r="Z78" s="942">
        <f t="shared" si="12"/>
        <v>0</v>
      </c>
      <c r="AA78" s="394"/>
      <c r="AB78" s="394"/>
      <c r="AC78" s="394"/>
    </row>
    <row r="79" spans="1:29">
      <c r="A79" s="726" t="s">
        <v>199</v>
      </c>
      <c r="B79" s="891"/>
      <c r="C79" s="891"/>
      <c r="D79" s="902"/>
      <c r="E79" s="904"/>
      <c r="F79" s="904"/>
      <c r="G79" s="904"/>
      <c r="H79" s="904"/>
      <c r="I79" s="904"/>
      <c r="J79" s="904"/>
      <c r="K79" s="904"/>
      <c r="L79" s="912"/>
      <c r="M79" s="912"/>
      <c r="N79" s="912"/>
      <c r="O79" s="912"/>
      <c r="P79" s="912"/>
      <c r="Q79" s="912"/>
      <c r="R79" s="941"/>
      <c r="S79" s="941"/>
      <c r="T79" s="938"/>
      <c r="U79" s="938">
        <f t="shared" si="10"/>
        <v>0</v>
      </c>
      <c r="V79" s="942"/>
      <c r="W79" s="957"/>
      <c r="X79" s="942">
        <f t="shared" si="11"/>
        <v>0</v>
      </c>
      <c r="Y79" s="957"/>
      <c r="Z79" s="942">
        <f t="shared" si="12"/>
        <v>0</v>
      </c>
      <c r="AA79" s="394"/>
      <c r="AB79" s="394"/>
      <c r="AC79" s="394"/>
    </row>
    <row r="80" spans="1:29" ht="24" thickBot="1">
      <c r="A80" s="726" t="s">
        <v>199</v>
      </c>
      <c r="B80" s="891"/>
      <c r="C80" s="891"/>
      <c r="D80" s="902"/>
      <c r="E80" s="904"/>
      <c r="F80" s="904"/>
      <c r="G80" s="904"/>
      <c r="H80" s="904"/>
      <c r="I80" s="904"/>
      <c r="J80" s="904"/>
      <c r="K80" s="904"/>
      <c r="L80" s="912"/>
      <c r="M80" s="912"/>
      <c r="N80" s="912"/>
      <c r="O80" s="912"/>
      <c r="P80" s="912"/>
      <c r="Q80" s="912"/>
      <c r="R80" s="941"/>
      <c r="S80" s="941"/>
      <c r="T80" s="938"/>
      <c r="U80" s="938">
        <f t="shared" si="10"/>
        <v>0</v>
      </c>
      <c r="V80" s="942"/>
      <c r="W80" s="957"/>
      <c r="X80" s="942">
        <f t="shared" si="11"/>
        <v>0</v>
      </c>
      <c r="Y80" s="957"/>
      <c r="Z80" s="942">
        <f t="shared" si="12"/>
        <v>0</v>
      </c>
      <c r="AA80" s="394"/>
      <c r="AB80" s="394"/>
      <c r="AC80" s="394"/>
    </row>
    <row r="81" spans="1:30" ht="24" thickBot="1">
      <c r="A81" s="726" t="s">
        <v>199</v>
      </c>
      <c r="B81" s="891"/>
      <c r="C81" s="891"/>
      <c r="D81" s="902"/>
      <c r="E81" s="904"/>
      <c r="F81" s="904"/>
      <c r="G81" s="904"/>
      <c r="H81" s="904"/>
      <c r="I81" s="904"/>
      <c r="J81" s="904"/>
      <c r="K81" s="904"/>
      <c r="L81" s="912"/>
      <c r="M81" s="912"/>
      <c r="N81" s="912"/>
      <c r="O81" s="912"/>
      <c r="P81" s="912"/>
      <c r="Q81" s="912"/>
      <c r="R81" s="941"/>
      <c r="S81" s="941"/>
      <c r="T81" s="938"/>
      <c r="U81" s="938">
        <f t="shared" si="10"/>
        <v>0</v>
      </c>
      <c r="V81" s="942"/>
      <c r="W81" s="957"/>
      <c r="X81" s="942">
        <f t="shared" si="11"/>
        <v>0</v>
      </c>
      <c r="Y81" s="957"/>
      <c r="Z81" s="942">
        <f t="shared" si="12"/>
        <v>0</v>
      </c>
      <c r="AA81" s="971" t="s">
        <v>8</v>
      </c>
      <c r="AB81" s="967" t="s">
        <v>197</v>
      </c>
      <c r="AC81" s="398" t="s">
        <v>174</v>
      </c>
    </row>
    <row r="82" spans="1:30" ht="24" thickBot="1">
      <c r="A82" s="726" t="s">
        <v>199</v>
      </c>
      <c r="B82" s="891"/>
      <c r="C82" s="891"/>
      <c r="D82" s="902"/>
      <c r="E82" s="904"/>
      <c r="F82" s="904"/>
      <c r="G82" s="904"/>
      <c r="H82" s="904"/>
      <c r="I82" s="904"/>
      <c r="J82" s="904"/>
      <c r="K82" s="904"/>
      <c r="L82" s="912"/>
      <c r="M82" s="912"/>
      <c r="N82" s="912"/>
      <c r="O82" s="912"/>
      <c r="P82" s="912"/>
      <c r="Q82" s="912"/>
      <c r="R82" s="941"/>
      <c r="S82" s="941"/>
      <c r="T82" s="938"/>
      <c r="U82" s="975">
        <f t="shared" si="10"/>
        <v>0</v>
      </c>
      <c r="V82" s="976"/>
      <c r="W82" s="977"/>
      <c r="X82" s="976">
        <f t="shared" si="11"/>
        <v>0</v>
      </c>
      <c r="Y82" s="977"/>
      <c r="Z82" s="976">
        <f t="shared" si="12"/>
        <v>0</v>
      </c>
      <c r="AA82" s="399">
        <f>'BIG CHAIR'!CL77</f>
        <v>14560</v>
      </c>
      <c r="AB82" s="400">
        <f>'Jordan Chair'!AH53</f>
        <v>0</v>
      </c>
      <c r="AC82" s="401">
        <f>X83+AA82+AB82</f>
        <v>17097</v>
      </c>
      <c r="AD82" s="870"/>
    </row>
    <row r="83" spans="1:30" s="870" customFormat="1" ht="24" thickBot="1">
      <c r="A83" s="326" t="s">
        <v>126</v>
      </c>
      <c r="B83" s="895"/>
      <c r="C83" s="895"/>
      <c r="D83" s="896"/>
      <c r="E83" s="897">
        <f>SUM(E58:E82)</f>
        <v>0</v>
      </c>
      <c r="F83" s="897">
        <f t="shared" ref="F83:S83" si="13">SUM(F58:F82)</f>
        <v>0</v>
      </c>
      <c r="G83" s="897">
        <f t="shared" si="13"/>
        <v>0</v>
      </c>
      <c r="H83" s="897">
        <f t="shared" si="13"/>
        <v>0</v>
      </c>
      <c r="I83" s="897">
        <f t="shared" si="13"/>
        <v>804</v>
      </c>
      <c r="J83" s="897">
        <f t="shared" si="13"/>
        <v>0</v>
      </c>
      <c r="K83" s="897">
        <f t="shared" si="13"/>
        <v>0</v>
      </c>
      <c r="L83" s="897">
        <f t="shared" si="13"/>
        <v>264</v>
      </c>
      <c r="M83" s="897">
        <f t="shared" si="13"/>
        <v>696</v>
      </c>
      <c r="N83" s="897">
        <f t="shared" si="13"/>
        <v>360</v>
      </c>
      <c r="O83" s="897">
        <f t="shared" si="13"/>
        <v>0</v>
      </c>
      <c r="P83" s="897">
        <f t="shared" si="13"/>
        <v>0</v>
      </c>
      <c r="Q83" s="897">
        <f t="shared" si="13"/>
        <v>0</v>
      </c>
      <c r="R83" s="897">
        <f t="shared" si="13"/>
        <v>0</v>
      </c>
      <c r="S83" s="897">
        <f t="shared" si="13"/>
        <v>396</v>
      </c>
      <c r="T83" s="932"/>
      <c r="U83" s="933">
        <f t="shared" ref="U83:Z83" si="14">SUM(U58:U82)</f>
        <v>2520</v>
      </c>
      <c r="V83" s="934">
        <f t="shared" si="14"/>
        <v>17</v>
      </c>
      <c r="W83" s="934"/>
      <c r="X83" s="934">
        <f t="shared" si="14"/>
        <v>2537</v>
      </c>
      <c r="Y83" s="934">
        <f t="shared" si="14"/>
        <v>107</v>
      </c>
      <c r="Z83" s="973">
        <f t="shared" si="14"/>
        <v>2644</v>
      </c>
      <c r="AA83" s="403"/>
      <c r="AB83" s="403"/>
      <c r="AC83" s="403"/>
      <c r="AD83" s="1"/>
    </row>
    <row r="84" spans="1:30" ht="24" thickBot="1">
      <c r="A84" s="286" t="s">
        <v>127</v>
      </c>
      <c r="B84" s="877" t="s">
        <v>68</v>
      </c>
      <c r="C84" s="877" t="s">
        <v>69</v>
      </c>
      <c r="D84" s="878" t="s">
        <v>70</v>
      </c>
      <c r="E84" s="901"/>
      <c r="F84" s="880" t="s">
        <v>178</v>
      </c>
      <c r="G84" s="880" t="s">
        <v>101</v>
      </c>
      <c r="H84" s="879"/>
      <c r="I84" s="879"/>
      <c r="J84" s="879"/>
      <c r="K84" s="879"/>
      <c r="L84" s="880"/>
      <c r="M84" s="880"/>
      <c r="N84" s="880"/>
      <c r="O84" s="880"/>
      <c r="P84" s="880"/>
      <c r="Q84" s="880"/>
      <c r="R84" s="744"/>
      <c r="S84" s="936"/>
      <c r="T84" s="915"/>
      <c r="U84" s="952" t="s">
        <v>104</v>
      </c>
      <c r="V84" s="953" t="s">
        <v>105</v>
      </c>
      <c r="W84" s="954"/>
      <c r="X84" s="918" t="s">
        <v>106</v>
      </c>
      <c r="Y84" s="917" t="s">
        <v>107</v>
      </c>
      <c r="Z84" s="960" t="s">
        <v>108</v>
      </c>
      <c r="AA84" s="394"/>
      <c r="AB84" s="394"/>
      <c r="AC84" s="394"/>
    </row>
    <row r="85" spans="1:30">
      <c r="A85" s="726" t="s">
        <v>128</v>
      </c>
      <c r="B85" s="891"/>
      <c r="C85" s="891"/>
      <c r="D85" s="902"/>
      <c r="E85" s="903"/>
      <c r="F85" s="903"/>
      <c r="G85" s="903"/>
      <c r="H85" s="903"/>
      <c r="I85" s="903"/>
      <c r="J85" s="903"/>
      <c r="K85" s="903"/>
      <c r="L85" s="911"/>
      <c r="M85" s="911"/>
      <c r="N85" s="911"/>
      <c r="O85" s="911"/>
      <c r="P85" s="911"/>
      <c r="Q85" s="911"/>
      <c r="R85" s="937"/>
      <c r="S85" s="937"/>
      <c r="T85" s="938"/>
      <c r="U85" s="955">
        <f t="shared" ref="U85:U109" si="15">SUM(E85:S85)</f>
        <v>0</v>
      </c>
      <c r="V85" s="956"/>
      <c r="W85" s="742"/>
      <c r="X85" s="940">
        <f t="shared" ref="X85:X109" si="16">U85+V85</f>
        <v>0</v>
      </c>
      <c r="Y85" s="742"/>
      <c r="Z85" s="940">
        <f t="shared" ref="Z85:Z109" si="17">X85+Y85</f>
        <v>0</v>
      </c>
      <c r="AA85" s="394"/>
      <c r="AB85" s="394"/>
      <c r="AC85" s="394"/>
    </row>
    <row r="86" spans="1:30">
      <c r="A86" s="726" t="s">
        <v>128</v>
      </c>
      <c r="B86" s="891"/>
      <c r="C86" s="891"/>
      <c r="D86" s="902"/>
      <c r="E86" s="904"/>
      <c r="F86" s="904"/>
      <c r="G86" s="904"/>
      <c r="H86" s="904"/>
      <c r="I86" s="904"/>
      <c r="J86" s="904"/>
      <c r="K86" s="904"/>
      <c r="L86" s="912"/>
      <c r="M86" s="912"/>
      <c r="N86" s="912"/>
      <c r="O86" s="912"/>
      <c r="P86" s="912"/>
      <c r="Q86" s="912"/>
      <c r="R86" s="941"/>
      <c r="S86" s="941"/>
      <c r="T86" s="938"/>
      <c r="U86" s="938">
        <f t="shared" si="15"/>
        <v>0</v>
      </c>
      <c r="V86" s="942"/>
      <c r="W86" s="957"/>
      <c r="X86" s="942">
        <f t="shared" si="16"/>
        <v>0</v>
      </c>
      <c r="Y86" s="957"/>
      <c r="Z86" s="942">
        <f t="shared" si="17"/>
        <v>0</v>
      </c>
      <c r="AA86" s="394"/>
      <c r="AB86" s="394"/>
      <c r="AC86" s="394"/>
    </row>
    <row r="87" spans="1:30">
      <c r="A87" s="726" t="s">
        <v>128</v>
      </c>
      <c r="B87" s="891"/>
      <c r="C87" s="891"/>
      <c r="D87" s="902"/>
      <c r="E87" s="904"/>
      <c r="F87" s="904"/>
      <c r="G87" s="904"/>
      <c r="H87" s="904"/>
      <c r="I87" s="904"/>
      <c r="J87" s="904"/>
      <c r="K87" s="904"/>
      <c r="L87" s="912"/>
      <c r="M87" s="912"/>
      <c r="N87" s="912"/>
      <c r="O87" s="912"/>
      <c r="P87" s="912"/>
      <c r="Q87" s="912"/>
      <c r="R87" s="941"/>
      <c r="S87" s="941"/>
      <c r="T87" s="938"/>
      <c r="U87" s="938">
        <f t="shared" si="15"/>
        <v>0</v>
      </c>
      <c r="V87" s="942"/>
      <c r="W87" s="957"/>
      <c r="X87" s="942">
        <f t="shared" si="16"/>
        <v>0</v>
      </c>
      <c r="Y87" s="957"/>
      <c r="Z87" s="942">
        <f t="shared" si="17"/>
        <v>0</v>
      </c>
      <c r="AA87" s="394"/>
      <c r="AB87" s="394"/>
      <c r="AC87" s="394"/>
    </row>
    <row r="88" spans="1:30">
      <c r="A88" s="726" t="s">
        <v>128</v>
      </c>
      <c r="B88" s="891"/>
      <c r="C88" s="891"/>
      <c r="D88" s="902"/>
      <c r="E88" s="904"/>
      <c r="F88" s="904"/>
      <c r="G88" s="904"/>
      <c r="H88" s="904"/>
      <c r="I88" s="904"/>
      <c r="J88" s="904"/>
      <c r="K88" s="904"/>
      <c r="L88" s="912"/>
      <c r="M88" s="912"/>
      <c r="N88" s="912"/>
      <c r="O88" s="912"/>
      <c r="P88" s="912"/>
      <c r="Q88" s="912"/>
      <c r="R88" s="912"/>
      <c r="S88" s="941"/>
      <c r="T88" s="938"/>
      <c r="U88" s="938">
        <f t="shared" si="15"/>
        <v>0</v>
      </c>
      <c r="V88" s="942"/>
      <c r="W88" s="957"/>
      <c r="X88" s="942">
        <f t="shared" si="16"/>
        <v>0</v>
      </c>
      <c r="Y88" s="957"/>
      <c r="Z88" s="942">
        <f t="shared" si="17"/>
        <v>0</v>
      </c>
      <c r="AA88" s="394"/>
      <c r="AB88" s="394"/>
      <c r="AC88" s="394"/>
    </row>
    <row r="89" spans="1:30">
      <c r="A89" s="726" t="s">
        <v>128</v>
      </c>
      <c r="B89" s="891"/>
      <c r="C89" s="891"/>
      <c r="D89" s="902"/>
      <c r="E89" s="904"/>
      <c r="F89" s="904"/>
      <c r="G89" s="904"/>
      <c r="H89" s="904"/>
      <c r="I89" s="904"/>
      <c r="J89" s="904"/>
      <c r="K89" s="904"/>
      <c r="L89" s="912"/>
      <c r="M89" s="912"/>
      <c r="N89" s="912"/>
      <c r="O89" s="912"/>
      <c r="P89" s="974"/>
      <c r="Q89" s="912"/>
      <c r="R89" s="941"/>
      <c r="S89" s="941"/>
      <c r="T89" s="938"/>
      <c r="U89" s="938">
        <f t="shared" si="15"/>
        <v>0</v>
      </c>
      <c r="V89" s="942"/>
      <c r="W89" s="957"/>
      <c r="X89" s="942">
        <f t="shared" si="16"/>
        <v>0</v>
      </c>
      <c r="Y89" s="957"/>
      <c r="Z89" s="942">
        <f t="shared" si="17"/>
        <v>0</v>
      </c>
      <c r="AA89" s="394"/>
      <c r="AB89" s="394"/>
      <c r="AC89" s="394"/>
    </row>
    <row r="90" spans="1:30">
      <c r="A90" s="726" t="s">
        <v>128</v>
      </c>
      <c r="B90" s="891"/>
      <c r="C90" s="891"/>
      <c r="D90" s="902"/>
      <c r="E90" s="904"/>
      <c r="F90" s="904"/>
      <c r="G90" s="904"/>
      <c r="H90" s="904"/>
      <c r="I90" s="904"/>
      <c r="J90" s="904"/>
      <c r="K90" s="904"/>
      <c r="L90" s="912"/>
      <c r="M90" s="912"/>
      <c r="N90" s="912"/>
      <c r="O90" s="912"/>
      <c r="P90" s="912"/>
      <c r="Q90" s="912"/>
      <c r="R90" s="941"/>
      <c r="S90" s="941"/>
      <c r="T90" s="938"/>
      <c r="U90" s="938">
        <f t="shared" si="15"/>
        <v>0</v>
      </c>
      <c r="V90" s="942"/>
      <c r="W90" s="957"/>
      <c r="X90" s="942">
        <f t="shared" si="16"/>
        <v>0</v>
      </c>
      <c r="Y90" s="957"/>
      <c r="Z90" s="942">
        <f t="shared" si="17"/>
        <v>0</v>
      </c>
      <c r="AA90" s="394"/>
      <c r="AB90" s="394"/>
      <c r="AC90" s="394"/>
    </row>
    <row r="91" spans="1:30">
      <c r="A91" s="726" t="s">
        <v>128</v>
      </c>
      <c r="B91" s="891"/>
      <c r="C91" s="891"/>
      <c r="D91" s="902"/>
      <c r="E91" s="904"/>
      <c r="F91" s="904"/>
      <c r="G91" s="904"/>
      <c r="H91" s="904"/>
      <c r="I91" s="904"/>
      <c r="J91" s="904"/>
      <c r="K91" s="904"/>
      <c r="L91" s="912"/>
      <c r="M91" s="912"/>
      <c r="N91" s="912"/>
      <c r="O91" s="912"/>
      <c r="P91" s="912"/>
      <c r="Q91" s="912"/>
      <c r="R91" s="941"/>
      <c r="S91" s="941"/>
      <c r="T91" s="938"/>
      <c r="U91" s="938">
        <f t="shared" si="15"/>
        <v>0</v>
      </c>
      <c r="V91" s="942"/>
      <c r="W91" s="957"/>
      <c r="X91" s="942">
        <f t="shared" si="16"/>
        <v>0</v>
      </c>
      <c r="Y91" s="957"/>
      <c r="Z91" s="942">
        <f t="shared" si="17"/>
        <v>0</v>
      </c>
      <c r="AA91" s="394"/>
      <c r="AB91" s="394"/>
      <c r="AC91" s="394"/>
    </row>
    <row r="92" spans="1:30">
      <c r="A92" s="726" t="s">
        <v>128</v>
      </c>
      <c r="B92" s="891"/>
      <c r="C92" s="891"/>
      <c r="D92" s="902"/>
      <c r="E92" s="904"/>
      <c r="F92" s="904"/>
      <c r="G92" s="904"/>
      <c r="H92" s="904"/>
      <c r="I92" s="904"/>
      <c r="J92" s="904"/>
      <c r="K92" s="904"/>
      <c r="L92" s="912"/>
      <c r="M92" s="912"/>
      <c r="N92" s="912"/>
      <c r="O92" s="912"/>
      <c r="P92" s="912"/>
      <c r="Q92" s="912"/>
      <c r="R92" s="941"/>
      <c r="S92" s="941"/>
      <c r="T92" s="938"/>
      <c r="U92" s="938">
        <f t="shared" si="15"/>
        <v>0</v>
      </c>
      <c r="V92" s="942"/>
      <c r="W92" s="957"/>
      <c r="X92" s="942">
        <f t="shared" si="16"/>
        <v>0</v>
      </c>
      <c r="Y92" s="957"/>
      <c r="Z92" s="942">
        <f t="shared" si="17"/>
        <v>0</v>
      </c>
      <c r="AA92" s="394"/>
      <c r="AB92" s="394"/>
      <c r="AC92" s="394"/>
    </row>
    <row r="93" spans="1:30">
      <c r="A93" s="726" t="s">
        <v>128</v>
      </c>
      <c r="B93" s="891"/>
      <c r="C93" s="891"/>
      <c r="D93" s="902"/>
      <c r="E93" s="904"/>
      <c r="F93" s="904"/>
      <c r="G93" s="904"/>
      <c r="H93" s="904"/>
      <c r="I93" s="904"/>
      <c r="J93" s="904"/>
      <c r="K93" s="904"/>
      <c r="L93" s="912"/>
      <c r="M93" s="912"/>
      <c r="N93" s="912"/>
      <c r="O93" s="912"/>
      <c r="P93" s="912"/>
      <c r="Q93" s="912"/>
      <c r="R93" s="941"/>
      <c r="S93" s="941"/>
      <c r="T93" s="938"/>
      <c r="U93" s="938">
        <f t="shared" si="15"/>
        <v>0</v>
      </c>
      <c r="V93" s="942"/>
      <c r="W93" s="957"/>
      <c r="X93" s="942">
        <f t="shared" si="16"/>
        <v>0</v>
      </c>
      <c r="Y93" s="957"/>
      <c r="Z93" s="942">
        <f t="shared" si="17"/>
        <v>0</v>
      </c>
      <c r="AA93" s="394"/>
      <c r="AB93" s="394"/>
      <c r="AC93" s="394"/>
    </row>
    <row r="94" spans="1:30">
      <c r="A94" s="726" t="s">
        <v>128</v>
      </c>
      <c r="B94" s="891"/>
      <c r="C94" s="891"/>
      <c r="D94" s="902"/>
      <c r="E94" s="904"/>
      <c r="F94" s="904"/>
      <c r="G94" s="904"/>
      <c r="H94" s="904"/>
      <c r="I94" s="904"/>
      <c r="J94" s="904"/>
      <c r="K94" s="904"/>
      <c r="L94" s="912"/>
      <c r="M94" s="912"/>
      <c r="N94" s="912"/>
      <c r="O94" s="912"/>
      <c r="P94" s="912"/>
      <c r="Q94" s="912"/>
      <c r="R94" s="941"/>
      <c r="S94" s="941"/>
      <c r="T94" s="938"/>
      <c r="U94" s="938">
        <f t="shared" si="15"/>
        <v>0</v>
      </c>
      <c r="V94" s="942"/>
      <c r="W94" s="957"/>
      <c r="X94" s="942">
        <f t="shared" si="16"/>
        <v>0</v>
      </c>
      <c r="Y94" s="957"/>
      <c r="Z94" s="942">
        <f t="shared" si="17"/>
        <v>0</v>
      </c>
      <c r="AA94" s="394"/>
      <c r="AB94" s="394"/>
      <c r="AC94" s="394"/>
    </row>
    <row r="95" spans="1:30">
      <c r="A95" s="726" t="s">
        <v>128</v>
      </c>
      <c r="B95" s="891"/>
      <c r="C95" s="891"/>
      <c r="D95" s="902"/>
      <c r="E95" s="904"/>
      <c r="F95" s="904"/>
      <c r="G95" s="904"/>
      <c r="H95" s="904"/>
      <c r="I95" s="904"/>
      <c r="J95" s="904"/>
      <c r="K95" s="904"/>
      <c r="L95" s="912"/>
      <c r="M95" s="912"/>
      <c r="N95" s="912"/>
      <c r="O95" s="912"/>
      <c r="P95" s="912"/>
      <c r="Q95" s="912"/>
      <c r="R95" s="941"/>
      <c r="S95" s="941"/>
      <c r="T95" s="938"/>
      <c r="U95" s="938">
        <f t="shared" si="15"/>
        <v>0</v>
      </c>
      <c r="V95" s="942"/>
      <c r="W95" s="957"/>
      <c r="X95" s="942">
        <f t="shared" si="16"/>
        <v>0</v>
      </c>
      <c r="Y95" s="957"/>
      <c r="Z95" s="942">
        <f t="shared" si="17"/>
        <v>0</v>
      </c>
      <c r="AA95" s="394"/>
      <c r="AB95" s="394"/>
      <c r="AC95" s="394"/>
    </row>
    <row r="96" spans="1:30">
      <c r="A96" s="726" t="s">
        <v>128</v>
      </c>
      <c r="B96" s="891"/>
      <c r="C96" s="891"/>
      <c r="D96" s="902"/>
      <c r="E96" s="904"/>
      <c r="F96" s="904"/>
      <c r="G96" s="904"/>
      <c r="H96" s="904"/>
      <c r="I96" s="904"/>
      <c r="J96" s="904"/>
      <c r="K96" s="904"/>
      <c r="L96" s="912"/>
      <c r="M96" s="912"/>
      <c r="N96" s="912"/>
      <c r="O96" s="912"/>
      <c r="P96" s="912"/>
      <c r="Q96" s="912"/>
      <c r="R96" s="941"/>
      <c r="S96" s="941"/>
      <c r="T96" s="938"/>
      <c r="U96" s="938">
        <f t="shared" si="15"/>
        <v>0</v>
      </c>
      <c r="V96" s="942"/>
      <c r="W96" s="957"/>
      <c r="X96" s="942">
        <f t="shared" si="16"/>
        <v>0</v>
      </c>
      <c r="Y96" s="957"/>
      <c r="Z96" s="942">
        <f t="shared" si="17"/>
        <v>0</v>
      </c>
      <c r="AA96" s="394"/>
      <c r="AB96" s="394"/>
      <c r="AC96" s="394"/>
    </row>
    <row r="97" spans="1:30">
      <c r="A97" s="726" t="s">
        <v>128</v>
      </c>
      <c r="B97" s="891"/>
      <c r="C97" s="891"/>
      <c r="D97" s="902"/>
      <c r="E97" s="904"/>
      <c r="F97" s="904"/>
      <c r="G97" s="904"/>
      <c r="H97" s="904"/>
      <c r="I97" s="904"/>
      <c r="J97" s="904"/>
      <c r="K97" s="904"/>
      <c r="L97" s="912"/>
      <c r="M97" s="912"/>
      <c r="N97" s="912"/>
      <c r="O97" s="912"/>
      <c r="P97" s="912"/>
      <c r="Q97" s="912"/>
      <c r="R97" s="941"/>
      <c r="S97" s="941"/>
      <c r="T97" s="938"/>
      <c r="U97" s="938">
        <f t="shared" si="15"/>
        <v>0</v>
      </c>
      <c r="V97" s="942"/>
      <c r="W97" s="957"/>
      <c r="X97" s="942">
        <f t="shared" si="16"/>
        <v>0</v>
      </c>
      <c r="Y97" s="957"/>
      <c r="Z97" s="942">
        <f t="shared" si="17"/>
        <v>0</v>
      </c>
      <c r="AA97" s="394"/>
      <c r="AB97" s="394"/>
      <c r="AC97" s="394"/>
    </row>
    <row r="98" spans="1:30">
      <c r="A98" s="726" t="s">
        <v>128</v>
      </c>
      <c r="B98" s="891"/>
      <c r="C98" s="891"/>
      <c r="D98" s="902"/>
      <c r="E98" s="904"/>
      <c r="F98" s="904"/>
      <c r="G98" s="904"/>
      <c r="H98" s="904"/>
      <c r="I98" s="904"/>
      <c r="J98" s="904"/>
      <c r="K98" s="904"/>
      <c r="L98" s="912"/>
      <c r="M98" s="912"/>
      <c r="N98" s="912"/>
      <c r="O98" s="912"/>
      <c r="P98" s="912"/>
      <c r="Q98" s="912"/>
      <c r="R98" s="941"/>
      <c r="S98" s="941"/>
      <c r="T98" s="938"/>
      <c r="U98" s="938">
        <f t="shared" si="15"/>
        <v>0</v>
      </c>
      <c r="V98" s="942"/>
      <c r="W98" s="957"/>
      <c r="X98" s="942">
        <f t="shared" si="16"/>
        <v>0</v>
      </c>
      <c r="Y98" s="957"/>
      <c r="Z98" s="942">
        <f t="shared" si="17"/>
        <v>0</v>
      </c>
      <c r="AA98" s="394"/>
      <c r="AB98" s="394"/>
      <c r="AC98" s="394"/>
    </row>
    <row r="99" spans="1:30">
      <c r="A99" s="726" t="s">
        <v>128</v>
      </c>
      <c r="B99" s="891"/>
      <c r="C99" s="891"/>
      <c r="D99" s="902"/>
      <c r="E99" s="904"/>
      <c r="F99" s="904"/>
      <c r="G99" s="904"/>
      <c r="H99" s="904"/>
      <c r="I99" s="904"/>
      <c r="J99" s="904"/>
      <c r="K99" s="904"/>
      <c r="L99" s="912"/>
      <c r="M99" s="912"/>
      <c r="N99" s="912"/>
      <c r="O99" s="912"/>
      <c r="P99" s="912"/>
      <c r="Q99" s="912"/>
      <c r="R99" s="941"/>
      <c r="S99" s="941"/>
      <c r="T99" s="938"/>
      <c r="U99" s="938">
        <f t="shared" si="15"/>
        <v>0</v>
      </c>
      <c r="V99" s="942"/>
      <c r="W99" s="957"/>
      <c r="X99" s="942">
        <f t="shared" si="16"/>
        <v>0</v>
      </c>
      <c r="Y99" s="957"/>
      <c r="Z99" s="942">
        <f t="shared" si="17"/>
        <v>0</v>
      </c>
      <c r="AA99" s="394"/>
      <c r="AB99" s="394"/>
      <c r="AC99" s="394"/>
    </row>
    <row r="100" spans="1:30">
      <c r="A100" s="726" t="s">
        <v>128</v>
      </c>
      <c r="B100" s="891"/>
      <c r="C100" s="891"/>
      <c r="D100" s="902"/>
      <c r="E100" s="904"/>
      <c r="F100" s="904"/>
      <c r="G100" s="904"/>
      <c r="H100" s="904"/>
      <c r="I100" s="904"/>
      <c r="J100" s="904"/>
      <c r="K100" s="904"/>
      <c r="L100" s="912"/>
      <c r="M100" s="912"/>
      <c r="N100" s="912"/>
      <c r="O100" s="912"/>
      <c r="P100" s="912"/>
      <c r="Q100" s="912"/>
      <c r="R100" s="941"/>
      <c r="S100" s="941"/>
      <c r="T100" s="938"/>
      <c r="U100" s="938">
        <f t="shared" si="15"/>
        <v>0</v>
      </c>
      <c r="V100" s="942"/>
      <c r="W100" s="957"/>
      <c r="X100" s="942">
        <f t="shared" si="16"/>
        <v>0</v>
      </c>
      <c r="Y100" s="957"/>
      <c r="Z100" s="942">
        <f t="shared" si="17"/>
        <v>0</v>
      </c>
      <c r="AA100" s="394"/>
      <c r="AB100" s="394"/>
      <c r="AC100" s="394"/>
    </row>
    <row r="101" spans="1:30">
      <c r="A101" s="726" t="s">
        <v>128</v>
      </c>
      <c r="B101" s="891"/>
      <c r="C101" s="891"/>
      <c r="D101" s="902"/>
      <c r="E101" s="904"/>
      <c r="F101" s="904"/>
      <c r="G101" s="904"/>
      <c r="H101" s="904"/>
      <c r="I101" s="904"/>
      <c r="J101" s="904"/>
      <c r="K101" s="904"/>
      <c r="L101" s="912"/>
      <c r="M101" s="912"/>
      <c r="N101" s="912"/>
      <c r="O101" s="912"/>
      <c r="P101" s="912"/>
      <c r="Q101" s="912"/>
      <c r="R101" s="941"/>
      <c r="S101" s="941"/>
      <c r="T101" s="938"/>
      <c r="U101" s="938">
        <f t="shared" si="15"/>
        <v>0</v>
      </c>
      <c r="V101" s="942"/>
      <c r="W101" s="957"/>
      <c r="X101" s="942">
        <f t="shared" si="16"/>
        <v>0</v>
      </c>
      <c r="Y101" s="957"/>
      <c r="Z101" s="942">
        <f t="shared" si="17"/>
        <v>0</v>
      </c>
      <c r="AA101" s="394"/>
      <c r="AB101" s="394"/>
      <c r="AC101" s="394"/>
    </row>
    <row r="102" spans="1:30">
      <c r="A102" s="726" t="s">
        <v>128</v>
      </c>
      <c r="B102" s="891"/>
      <c r="C102" s="891"/>
      <c r="D102" s="902"/>
      <c r="E102" s="904"/>
      <c r="F102" s="904"/>
      <c r="G102" s="904"/>
      <c r="H102" s="904"/>
      <c r="I102" s="904"/>
      <c r="J102" s="904"/>
      <c r="K102" s="904"/>
      <c r="L102" s="912"/>
      <c r="M102" s="912"/>
      <c r="N102" s="912"/>
      <c r="O102" s="912"/>
      <c r="P102" s="912"/>
      <c r="Q102" s="912"/>
      <c r="R102" s="941"/>
      <c r="S102" s="941"/>
      <c r="T102" s="938"/>
      <c r="U102" s="938">
        <f t="shared" si="15"/>
        <v>0</v>
      </c>
      <c r="V102" s="942"/>
      <c r="W102" s="957"/>
      <c r="X102" s="942">
        <f t="shared" si="16"/>
        <v>0</v>
      </c>
      <c r="Y102" s="957"/>
      <c r="Z102" s="942">
        <f t="shared" si="17"/>
        <v>0</v>
      </c>
      <c r="AA102" s="394"/>
      <c r="AB102" s="394"/>
      <c r="AC102" s="394"/>
    </row>
    <row r="103" spans="1:30">
      <c r="A103" s="726" t="s">
        <v>128</v>
      </c>
      <c r="B103" s="891"/>
      <c r="C103" s="891"/>
      <c r="D103" s="902"/>
      <c r="E103" s="904"/>
      <c r="F103" s="904"/>
      <c r="G103" s="904"/>
      <c r="H103" s="904"/>
      <c r="I103" s="904"/>
      <c r="J103" s="904"/>
      <c r="K103" s="904"/>
      <c r="L103" s="912"/>
      <c r="M103" s="912"/>
      <c r="N103" s="912"/>
      <c r="O103" s="912"/>
      <c r="P103" s="912"/>
      <c r="Q103" s="912"/>
      <c r="R103" s="941"/>
      <c r="S103" s="941"/>
      <c r="T103" s="938"/>
      <c r="U103" s="938">
        <f t="shared" si="15"/>
        <v>0</v>
      </c>
      <c r="V103" s="942"/>
      <c r="W103" s="957"/>
      <c r="X103" s="942">
        <f t="shared" si="16"/>
        <v>0</v>
      </c>
      <c r="Y103" s="957"/>
      <c r="Z103" s="942">
        <f t="shared" si="17"/>
        <v>0</v>
      </c>
      <c r="AA103" s="394"/>
      <c r="AB103" s="394"/>
      <c r="AC103" s="394"/>
    </row>
    <row r="104" spans="1:30">
      <c r="A104" s="726" t="s">
        <v>128</v>
      </c>
      <c r="B104" s="891"/>
      <c r="C104" s="891"/>
      <c r="D104" s="902"/>
      <c r="E104" s="904"/>
      <c r="F104" s="904"/>
      <c r="G104" s="904"/>
      <c r="H104" s="904"/>
      <c r="I104" s="904"/>
      <c r="J104" s="904"/>
      <c r="K104" s="904"/>
      <c r="L104" s="912"/>
      <c r="M104" s="912"/>
      <c r="N104" s="912"/>
      <c r="O104" s="912"/>
      <c r="P104" s="912"/>
      <c r="Q104" s="912"/>
      <c r="R104" s="941"/>
      <c r="S104" s="941"/>
      <c r="T104" s="938"/>
      <c r="U104" s="938">
        <f t="shared" si="15"/>
        <v>0</v>
      </c>
      <c r="V104" s="942"/>
      <c r="W104" s="957"/>
      <c r="X104" s="942">
        <f t="shared" si="16"/>
        <v>0</v>
      </c>
      <c r="Y104" s="957"/>
      <c r="Z104" s="942">
        <f t="shared" si="17"/>
        <v>0</v>
      </c>
      <c r="AA104" s="394"/>
      <c r="AB104" s="394"/>
      <c r="AC104" s="394"/>
    </row>
    <row r="105" spans="1:30">
      <c r="A105" s="726" t="s">
        <v>128</v>
      </c>
      <c r="B105" s="891"/>
      <c r="C105" s="891"/>
      <c r="D105" s="902"/>
      <c r="E105" s="904"/>
      <c r="F105" s="904"/>
      <c r="G105" s="904"/>
      <c r="H105" s="904"/>
      <c r="I105" s="904"/>
      <c r="J105" s="904"/>
      <c r="K105" s="904"/>
      <c r="L105" s="912"/>
      <c r="M105" s="912"/>
      <c r="N105" s="912"/>
      <c r="O105" s="912"/>
      <c r="P105" s="912"/>
      <c r="Q105" s="912"/>
      <c r="R105" s="941"/>
      <c r="S105" s="941"/>
      <c r="T105" s="938"/>
      <c r="U105" s="938">
        <f t="shared" si="15"/>
        <v>0</v>
      </c>
      <c r="V105" s="942"/>
      <c r="W105" s="957"/>
      <c r="X105" s="942">
        <f t="shared" si="16"/>
        <v>0</v>
      </c>
      <c r="Y105" s="957"/>
      <c r="Z105" s="942">
        <f t="shared" si="17"/>
        <v>0</v>
      </c>
      <c r="AA105" s="394"/>
      <c r="AB105" s="394"/>
      <c r="AC105" s="394"/>
    </row>
    <row r="106" spans="1:30">
      <c r="A106" s="726" t="s">
        <v>128</v>
      </c>
      <c r="B106" s="891"/>
      <c r="C106" s="891"/>
      <c r="D106" s="902"/>
      <c r="E106" s="904"/>
      <c r="F106" s="904"/>
      <c r="G106" s="904"/>
      <c r="H106" s="904"/>
      <c r="I106" s="904"/>
      <c r="J106" s="904"/>
      <c r="K106" s="904"/>
      <c r="L106" s="912"/>
      <c r="M106" s="912"/>
      <c r="N106" s="912"/>
      <c r="O106" s="912"/>
      <c r="P106" s="912"/>
      <c r="Q106" s="912"/>
      <c r="R106" s="941"/>
      <c r="S106" s="941"/>
      <c r="T106" s="938"/>
      <c r="U106" s="938">
        <f t="shared" si="15"/>
        <v>0</v>
      </c>
      <c r="V106" s="942"/>
      <c r="W106" s="957"/>
      <c r="X106" s="942">
        <f t="shared" si="16"/>
        <v>0</v>
      </c>
      <c r="Y106" s="957"/>
      <c r="Z106" s="942">
        <f t="shared" si="17"/>
        <v>0</v>
      </c>
      <c r="AA106" s="394"/>
      <c r="AB106" s="394"/>
      <c r="AC106" s="394"/>
    </row>
    <row r="107" spans="1:30" ht="24" thickBot="1">
      <c r="A107" s="726" t="s">
        <v>128</v>
      </c>
      <c r="B107" s="891"/>
      <c r="C107" s="891"/>
      <c r="D107" s="902"/>
      <c r="E107" s="904"/>
      <c r="F107" s="904"/>
      <c r="G107" s="904"/>
      <c r="H107" s="904"/>
      <c r="I107" s="904"/>
      <c r="J107" s="904"/>
      <c r="K107" s="904"/>
      <c r="L107" s="912"/>
      <c r="M107" s="912"/>
      <c r="N107" s="912"/>
      <c r="O107" s="912"/>
      <c r="P107" s="912"/>
      <c r="Q107" s="912"/>
      <c r="R107" s="941"/>
      <c r="S107" s="941"/>
      <c r="T107" s="938"/>
      <c r="U107" s="938">
        <f t="shared" si="15"/>
        <v>0</v>
      </c>
      <c r="V107" s="942"/>
      <c r="W107" s="957"/>
      <c r="X107" s="942">
        <f t="shared" si="16"/>
        <v>0</v>
      </c>
      <c r="Y107" s="957"/>
      <c r="Z107" s="942">
        <f t="shared" si="17"/>
        <v>0</v>
      </c>
      <c r="AA107" s="394"/>
      <c r="AB107" s="394"/>
      <c r="AC107" s="394"/>
    </row>
    <row r="108" spans="1:30" ht="24" thickBot="1">
      <c r="A108" s="726" t="s">
        <v>128</v>
      </c>
      <c r="B108" s="891"/>
      <c r="C108" s="891"/>
      <c r="D108" s="902"/>
      <c r="E108" s="904"/>
      <c r="F108" s="904"/>
      <c r="G108" s="904"/>
      <c r="H108" s="904"/>
      <c r="I108" s="904"/>
      <c r="J108" s="904"/>
      <c r="K108" s="904"/>
      <c r="L108" s="912"/>
      <c r="M108" s="912"/>
      <c r="N108" s="912"/>
      <c r="O108" s="912"/>
      <c r="P108" s="912"/>
      <c r="Q108" s="912"/>
      <c r="R108" s="941"/>
      <c r="S108" s="941"/>
      <c r="T108" s="938"/>
      <c r="U108" s="938">
        <f t="shared" si="15"/>
        <v>0</v>
      </c>
      <c r="V108" s="942"/>
      <c r="W108" s="957"/>
      <c r="X108" s="942">
        <f t="shared" si="16"/>
        <v>0</v>
      </c>
      <c r="Y108" s="957"/>
      <c r="Z108" s="942">
        <f t="shared" si="17"/>
        <v>0</v>
      </c>
      <c r="AA108" s="971" t="s">
        <v>8</v>
      </c>
      <c r="AB108" s="967" t="s">
        <v>197</v>
      </c>
      <c r="AC108" s="398" t="s">
        <v>174</v>
      </c>
    </row>
    <row r="109" spans="1:30" ht="24" thickBot="1">
      <c r="A109" s="726" t="s">
        <v>128</v>
      </c>
      <c r="B109" s="891"/>
      <c r="C109" s="891"/>
      <c r="D109" s="902"/>
      <c r="E109" s="904"/>
      <c r="F109" s="904"/>
      <c r="G109" s="904"/>
      <c r="H109" s="904"/>
      <c r="I109" s="904"/>
      <c r="J109" s="904"/>
      <c r="K109" s="904"/>
      <c r="L109" s="912"/>
      <c r="M109" s="912"/>
      <c r="N109" s="912"/>
      <c r="O109" s="912"/>
      <c r="P109" s="912"/>
      <c r="Q109" s="912"/>
      <c r="R109" s="941"/>
      <c r="S109" s="941"/>
      <c r="T109" s="938"/>
      <c r="U109" s="975">
        <f t="shared" si="15"/>
        <v>0</v>
      </c>
      <c r="V109" s="976"/>
      <c r="W109" s="977"/>
      <c r="X109" s="976">
        <f t="shared" si="16"/>
        <v>0</v>
      </c>
      <c r="Y109" s="977"/>
      <c r="Z109" s="976">
        <f t="shared" si="17"/>
        <v>0</v>
      </c>
      <c r="AA109" s="399">
        <f>'BIG CHAIR'!CL104</f>
        <v>0</v>
      </c>
      <c r="AB109" s="400">
        <f>'Jordan Chair'!AH145</f>
        <v>0</v>
      </c>
      <c r="AC109" s="401">
        <f>X110+AA109+AB109</f>
        <v>0</v>
      </c>
    </row>
    <row r="110" spans="1:30" ht="24" thickBot="1">
      <c r="A110" s="326" t="s">
        <v>129</v>
      </c>
      <c r="B110" s="895"/>
      <c r="C110" s="895"/>
      <c r="D110" s="896"/>
      <c r="E110" s="897">
        <f t="shared" ref="E110:S110" si="18">SUM(E85:E109)</f>
        <v>0</v>
      </c>
      <c r="F110" s="897">
        <f t="shared" si="18"/>
        <v>0</v>
      </c>
      <c r="G110" s="897">
        <f t="shared" si="18"/>
        <v>0</v>
      </c>
      <c r="H110" s="897">
        <f t="shared" si="18"/>
        <v>0</v>
      </c>
      <c r="I110" s="897">
        <f t="shared" si="18"/>
        <v>0</v>
      </c>
      <c r="J110" s="897">
        <f t="shared" si="18"/>
        <v>0</v>
      </c>
      <c r="K110" s="897">
        <f t="shared" si="18"/>
        <v>0</v>
      </c>
      <c r="L110" s="897">
        <f t="shared" si="18"/>
        <v>0</v>
      </c>
      <c r="M110" s="897">
        <f t="shared" si="18"/>
        <v>0</v>
      </c>
      <c r="N110" s="897">
        <f t="shared" si="18"/>
        <v>0</v>
      </c>
      <c r="O110" s="897">
        <f t="shared" si="18"/>
        <v>0</v>
      </c>
      <c r="P110" s="897">
        <f t="shared" si="18"/>
        <v>0</v>
      </c>
      <c r="Q110" s="897">
        <f t="shared" si="18"/>
        <v>0</v>
      </c>
      <c r="R110" s="897">
        <f t="shared" si="18"/>
        <v>0</v>
      </c>
      <c r="S110" s="897">
        <f t="shared" si="18"/>
        <v>0</v>
      </c>
      <c r="T110" s="932"/>
      <c r="U110" s="933">
        <f t="shared" ref="U110:Z110" si="19">SUM(U85:U109)</f>
        <v>0</v>
      </c>
      <c r="V110" s="933">
        <f t="shared" si="19"/>
        <v>0</v>
      </c>
      <c r="W110" s="934"/>
      <c r="X110" s="934">
        <f t="shared" si="19"/>
        <v>0</v>
      </c>
      <c r="Y110" s="934">
        <f t="shared" si="19"/>
        <v>0</v>
      </c>
      <c r="Z110" s="973">
        <f t="shared" si="19"/>
        <v>0</v>
      </c>
      <c r="AA110" s="403"/>
      <c r="AB110" s="403"/>
      <c r="AC110" s="403"/>
      <c r="AD110" s="870"/>
    </row>
    <row r="111" spans="1:30" s="870" customFormat="1" ht="24" thickBot="1">
      <c r="A111" s="286" t="s">
        <v>130</v>
      </c>
      <c r="B111" s="877" t="s">
        <v>68</v>
      </c>
      <c r="C111" s="877" t="s">
        <v>69</v>
      </c>
      <c r="D111" s="878" t="s">
        <v>70</v>
      </c>
      <c r="E111" s="879" t="s">
        <v>71</v>
      </c>
      <c r="F111" s="880" t="s">
        <v>178</v>
      </c>
      <c r="G111" s="880" t="s">
        <v>101</v>
      </c>
      <c r="H111" s="879" t="s">
        <v>193</v>
      </c>
      <c r="I111" s="879" t="s">
        <v>97</v>
      </c>
      <c r="J111" s="879" t="s">
        <v>92</v>
      </c>
      <c r="K111" s="879" t="s">
        <v>194</v>
      </c>
      <c r="L111" s="880" t="s">
        <v>195</v>
      </c>
      <c r="M111" s="880" t="s">
        <v>482</v>
      </c>
      <c r="N111" s="880" t="s">
        <v>94</v>
      </c>
      <c r="O111" s="880" t="s">
        <v>86</v>
      </c>
      <c r="P111" s="880" t="s">
        <v>75</v>
      </c>
      <c r="Q111" s="880" t="s">
        <v>95</v>
      </c>
      <c r="R111" s="782" t="s">
        <v>77</v>
      </c>
      <c r="S111" s="914" t="s">
        <v>53</v>
      </c>
      <c r="T111" s="915"/>
      <c r="U111" s="952" t="s">
        <v>104</v>
      </c>
      <c r="V111" s="953" t="s">
        <v>105</v>
      </c>
      <c r="W111" s="954"/>
      <c r="X111" s="918" t="s">
        <v>106</v>
      </c>
      <c r="Y111" s="917" t="s">
        <v>107</v>
      </c>
      <c r="Z111" s="960" t="s">
        <v>108</v>
      </c>
      <c r="AA111" s="394"/>
      <c r="AB111" s="394"/>
      <c r="AC111" s="394"/>
      <c r="AD111" s="282"/>
    </row>
    <row r="112" spans="1:30" s="282" customFormat="1" ht="18.75" customHeight="1">
      <c r="A112" s="726" t="s">
        <v>131</v>
      </c>
      <c r="B112" s="891"/>
      <c r="C112" s="891"/>
      <c r="D112" s="902"/>
      <c r="E112" s="903"/>
      <c r="F112" s="903"/>
      <c r="G112" s="903"/>
      <c r="H112" s="903"/>
      <c r="I112" s="903"/>
      <c r="J112" s="903"/>
      <c r="K112" s="903"/>
      <c r="L112" s="911"/>
      <c r="M112" s="911"/>
      <c r="N112" s="911"/>
      <c r="O112" s="911"/>
      <c r="P112" s="911"/>
      <c r="Q112" s="911"/>
      <c r="R112" s="937"/>
      <c r="S112" s="937"/>
      <c r="T112" s="938"/>
      <c r="U112" s="955">
        <f t="shared" ref="U112:U136" si="20">SUM(E112:S112)</f>
        <v>0</v>
      </c>
      <c r="V112" s="956"/>
      <c r="W112" s="742"/>
      <c r="X112" s="940">
        <f t="shared" ref="X112:X136" si="21">U112+V112</f>
        <v>0</v>
      </c>
      <c r="Y112" s="742"/>
      <c r="Z112" s="940">
        <f t="shared" ref="Z112:Z136" si="22">X112+Y112</f>
        <v>0</v>
      </c>
      <c r="AA112" s="394"/>
      <c r="AB112" s="394"/>
      <c r="AC112" s="394"/>
      <c r="AD112" s="1"/>
    </row>
    <row r="113" spans="1:30">
      <c r="A113" s="726" t="s">
        <v>131</v>
      </c>
      <c r="B113" s="891"/>
      <c r="C113" s="891"/>
      <c r="D113" s="902"/>
      <c r="E113" s="904"/>
      <c r="F113" s="904"/>
      <c r="G113" s="904"/>
      <c r="H113" s="904"/>
      <c r="I113" s="904"/>
      <c r="J113" s="904"/>
      <c r="K113" s="904"/>
      <c r="L113" s="912"/>
      <c r="M113" s="912"/>
      <c r="N113" s="912"/>
      <c r="O113" s="912"/>
      <c r="P113" s="912"/>
      <c r="Q113" s="912"/>
      <c r="R113" s="941"/>
      <c r="S113" s="941"/>
      <c r="T113" s="938"/>
      <c r="U113" s="938">
        <f t="shared" si="20"/>
        <v>0</v>
      </c>
      <c r="V113" s="942"/>
      <c r="W113" s="957"/>
      <c r="X113" s="942">
        <f t="shared" si="21"/>
        <v>0</v>
      </c>
      <c r="Y113" s="957"/>
      <c r="Z113" s="942">
        <f t="shared" si="22"/>
        <v>0</v>
      </c>
      <c r="AA113" s="394"/>
      <c r="AB113" s="394"/>
      <c r="AC113" s="394"/>
    </row>
    <row r="114" spans="1:30">
      <c r="A114" s="726" t="s">
        <v>131</v>
      </c>
      <c r="B114" s="891"/>
      <c r="C114" s="891"/>
      <c r="D114" s="902"/>
      <c r="E114" s="904"/>
      <c r="F114" s="904"/>
      <c r="G114" s="904"/>
      <c r="H114" s="904"/>
      <c r="I114" s="904"/>
      <c r="J114" s="904"/>
      <c r="K114" s="904"/>
      <c r="L114" s="912"/>
      <c r="M114" s="912"/>
      <c r="N114" s="912"/>
      <c r="O114" s="912"/>
      <c r="P114" s="912"/>
      <c r="Q114" s="912"/>
      <c r="R114" s="941"/>
      <c r="S114" s="941"/>
      <c r="T114" s="938"/>
      <c r="U114" s="938">
        <f t="shared" si="20"/>
        <v>0</v>
      </c>
      <c r="V114" s="942"/>
      <c r="W114" s="957"/>
      <c r="X114" s="942">
        <f t="shared" si="21"/>
        <v>0</v>
      </c>
      <c r="Y114" s="957"/>
      <c r="Z114" s="942">
        <f t="shared" si="22"/>
        <v>0</v>
      </c>
      <c r="AA114" s="394"/>
      <c r="AB114" s="394"/>
      <c r="AC114" s="394"/>
    </row>
    <row r="115" spans="1:30">
      <c r="A115" s="726" t="s">
        <v>131</v>
      </c>
      <c r="B115" s="891"/>
      <c r="C115" s="891"/>
      <c r="D115" s="902"/>
      <c r="E115" s="904"/>
      <c r="F115" s="904"/>
      <c r="G115" s="904"/>
      <c r="H115" s="904"/>
      <c r="I115" s="904"/>
      <c r="J115" s="904"/>
      <c r="K115" s="904"/>
      <c r="L115" s="912"/>
      <c r="M115" s="912"/>
      <c r="N115" s="912"/>
      <c r="O115" s="912"/>
      <c r="P115" s="912"/>
      <c r="Q115" s="912"/>
      <c r="R115" s="912"/>
      <c r="S115" s="941"/>
      <c r="T115" s="938"/>
      <c r="U115" s="938">
        <f t="shared" si="20"/>
        <v>0</v>
      </c>
      <c r="V115" s="942"/>
      <c r="W115" s="957"/>
      <c r="X115" s="942">
        <f t="shared" si="21"/>
        <v>0</v>
      </c>
      <c r="Y115" s="957"/>
      <c r="Z115" s="942">
        <f t="shared" si="22"/>
        <v>0</v>
      </c>
      <c r="AA115" s="394"/>
      <c r="AB115" s="394"/>
      <c r="AC115" s="394"/>
    </row>
    <row r="116" spans="1:30">
      <c r="A116" s="726" t="s">
        <v>131</v>
      </c>
      <c r="B116" s="891"/>
      <c r="C116" s="891"/>
      <c r="D116" s="902"/>
      <c r="E116" s="904"/>
      <c r="F116" s="904"/>
      <c r="G116" s="904"/>
      <c r="H116" s="904"/>
      <c r="I116" s="904"/>
      <c r="J116" s="904"/>
      <c r="K116" s="904"/>
      <c r="L116" s="912"/>
      <c r="M116" s="912"/>
      <c r="N116" s="912"/>
      <c r="O116" s="912"/>
      <c r="P116" s="974"/>
      <c r="Q116" s="912"/>
      <c r="R116" s="941"/>
      <c r="S116" s="941"/>
      <c r="T116" s="938"/>
      <c r="U116" s="938">
        <f t="shared" si="20"/>
        <v>0</v>
      </c>
      <c r="V116" s="942"/>
      <c r="W116" s="957"/>
      <c r="X116" s="942">
        <f t="shared" si="21"/>
        <v>0</v>
      </c>
      <c r="Y116" s="957"/>
      <c r="Z116" s="942">
        <f t="shared" si="22"/>
        <v>0</v>
      </c>
      <c r="AA116" s="394"/>
      <c r="AB116" s="394"/>
      <c r="AC116" s="394"/>
    </row>
    <row r="117" spans="1:30">
      <c r="A117" s="726" t="s">
        <v>131</v>
      </c>
      <c r="B117" s="891"/>
      <c r="C117" s="891"/>
      <c r="D117" s="902"/>
      <c r="E117" s="904"/>
      <c r="F117" s="904"/>
      <c r="G117" s="904"/>
      <c r="H117" s="904"/>
      <c r="I117" s="904"/>
      <c r="J117" s="904"/>
      <c r="K117" s="904"/>
      <c r="L117" s="912"/>
      <c r="M117" s="912"/>
      <c r="N117" s="912"/>
      <c r="O117" s="912"/>
      <c r="P117" s="912"/>
      <c r="Q117" s="912"/>
      <c r="R117" s="941"/>
      <c r="S117" s="941"/>
      <c r="T117" s="938"/>
      <c r="U117" s="938">
        <f t="shared" si="20"/>
        <v>0</v>
      </c>
      <c r="V117" s="942"/>
      <c r="W117" s="957"/>
      <c r="X117" s="942">
        <f t="shared" si="21"/>
        <v>0</v>
      </c>
      <c r="Y117" s="957"/>
      <c r="Z117" s="942">
        <f t="shared" si="22"/>
        <v>0</v>
      </c>
      <c r="AA117" s="394"/>
      <c r="AB117" s="394"/>
      <c r="AC117" s="394"/>
      <c r="AD117" s="870"/>
    </row>
    <row r="118" spans="1:30" s="870" customFormat="1">
      <c r="A118" s="726" t="s">
        <v>131</v>
      </c>
      <c r="B118" s="891"/>
      <c r="C118" s="891"/>
      <c r="D118" s="902"/>
      <c r="E118" s="904"/>
      <c r="F118" s="904"/>
      <c r="G118" s="904"/>
      <c r="H118" s="904"/>
      <c r="I118" s="904"/>
      <c r="J118" s="904"/>
      <c r="K118" s="904"/>
      <c r="L118" s="912"/>
      <c r="M118" s="912"/>
      <c r="N118" s="912"/>
      <c r="O118" s="912"/>
      <c r="P118" s="912"/>
      <c r="Q118" s="912"/>
      <c r="R118" s="941"/>
      <c r="S118" s="941"/>
      <c r="T118" s="938"/>
      <c r="U118" s="938">
        <f t="shared" si="20"/>
        <v>0</v>
      </c>
      <c r="V118" s="942"/>
      <c r="W118" s="957"/>
      <c r="X118" s="942">
        <f t="shared" si="21"/>
        <v>0</v>
      </c>
      <c r="Y118" s="957"/>
      <c r="Z118" s="942">
        <f t="shared" si="22"/>
        <v>0</v>
      </c>
      <c r="AA118" s="394"/>
      <c r="AB118" s="394"/>
      <c r="AC118" s="394"/>
    </row>
    <row r="119" spans="1:30" s="870" customFormat="1">
      <c r="A119" s="726" t="s">
        <v>131</v>
      </c>
      <c r="B119" s="891"/>
      <c r="C119" s="891"/>
      <c r="D119" s="902"/>
      <c r="E119" s="904"/>
      <c r="F119" s="904"/>
      <c r="G119" s="904"/>
      <c r="H119" s="904"/>
      <c r="I119" s="904"/>
      <c r="J119" s="904"/>
      <c r="K119" s="904"/>
      <c r="L119" s="912"/>
      <c r="M119" s="912"/>
      <c r="N119" s="912"/>
      <c r="O119" s="912"/>
      <c r="P119" s="912"/>
      <c r="Q119" s="912"/>
      <c r="R119" s="941"/>
      <c r="S119" s="941"/>
      <c r="T119" s="938"/>
      <c r="U119" s="938">
        <f t="shared" si="20"/>
        <v>0</v>
      </c>
      <c r="V119" s="942"/>
      <c r="W119" s="957"/>
      <c r="X119" s="942">
        <f t="shared" si="21"/>
        <v>0</v>
      </c>
      <c r="Y119" s="957"/>
      <c r="Z119" s="942">
        <f t="shared" si="22"/>
        <v>0</v>
      </c>
      <c r="AA119" s="394"/>
      <c r="AB119" s="394"/>
      <c r="AC119" s="394"/>
      <c r="AD119" s="282"/>
    </row>
    <row r="120" spans="1:30" s="282" customFormat="1" ht="18.75" customHeight="1">
      <c r="A120" s="726" t="s">
        <v>131</v>
      </c>
      <c r="B120" s="891"/>
      <c r="C120" s="891"/>
      <c r="D120" s="902"/>
      <c r="E120" s="904"/>
      <c r="F120" s="904"/>
      <c r="G120" s="904"/>
      <c r="H120" s="904"/>
      <c r="I120" s="904"/>
      <c r="J120" s="904"/>
      <c r="K120" s="904"/>
      <c r="L120" s="912"/>
      <c r="M120" s="912"/>
      <c r="N120" s="912"/>
      <c r="O120" s="912"/>
      <c r="P120" s="912"/>
      <c r="Q120" s="912"/>
      <c r="R120" s="941"/>
      <c r="S120" s="941"/>
      <c r="T120" s="938"/>
      <c r="U120" s="938">
        <f t="shared" si="20"/>
        <v>0</v>
      </c>
      <c r="V120" s="942"/>
      <c r="W120" s="957"/>
      <c r="X120" s="942">
        <f t="shared" si="21"/>
        <v>0</v>
      </c>
      <c r="Y120" s="957"/>
      <c r="Z120" s="942">
        <f t="shared" si="22"/>
        <v>0</v>
      </c>
      <c r="AA120" s="394"/>
      <c r="AB120" s="394"/>
      <c r="AC120" s="394"/>
      <c r="AD120" s="1"/>
    </row>
    <row r="121" spans="1:30">
      <c r="A121" s="726" t="s">
        <v>131</v>
      </c>
      <c r="B121" s="891"/>
      <c r="C121" s="891"/>
      <c r="D121" s="902"/>
      <c r="E121" s="904"/>
      <c r="F121" s="904"/>
      <c r="G121" s="904"/>
      <c r="H121" s="904"/>
      <c r="I121" s="904"/>
      <c r="J121" s="904"/>
      <c r="K121" s="904"/>
      <c r="L121" s="912"/>
      <c r="M121" s="912"/>
      <c r="N121" s="912"/>
      <c r="O121" s="912"/>
      <c r="P121" s="912"/>
      <c r="Q121" s="912"/>
      <c r="R121" s="941"/>
      <c r="S121" s="941"/>
      <c r="T121" s="938"/>
      <c r="U121" s="938">
        <f t="shared" si="20"/>
        <v>0</v>
      </c>
      <c r="V121" s="942"/>
      <c r="W121" s="957"/>
      <c r="X121" s="942">
        <f t="shared" si="21"/>
        <v>0</v>
      </c>
      <c r="Y121" s="957"/>
      <c r="Z121" s="942">
        <f t="shared" si="22"/>
        <v>0</v>
      </c>
      <c r="AA121" s="394"/>
      <c r="AB121" s="394"/>
      <c r="AC121" s="394"/>
    </row>
    <row r="122" spans="1:30">
      <c r="A122" s="726" t="s">
        <v>131</v>
      </c>
      <c r="B122" s="891"/>
      <c r="C122" s="891"/>
      <c r="D122" s="902"/>
      <c r="E122" s="904"/>
      <c r="F122" s="904"/>
      <c r="G122" s="904"/>
      <c r="H122" s="904"/>
      <c r="I122" s="904"/>
      <c r="J122" s="904"/>
      <c r="K122" s="904"/>
      <c r="L122" s="912"/>
      <c r="M122" s="912"/>
      <c r="N122" s="912"/>
      <c r="O122" s="912"/>
      <c r="P122" s="912"/>
      <c r="Q122" s="912"/>
      <c r="R122" s="941"/>
      <c r="S122" s="941"/>
      <c r="T122" s="938"/>
      <c r="U122" s="938">
        <f t="shared" si="20"/>
        <v>0</v>
      </c>
      <c r="V122" s="942"/>
      <c r="W122" s="957"/>
      <c r="X122" s="942">
        <f t="shared" si="21"/>
        <v>0</v>
      </c>
      <c r="Y122" s="957"/>
      <c r="Z122" s="942">
        <f t="shared" si="22"/>
        <v>0</v>
      </c>
      <c r="AA122" s="394"/>
      <c r="AB122" s="394"/>
      <c r="AC122" s="394"/>
    </row>
    <row r="123" spans="1:30">
      <c r="A123" s="726" t="s">
        <v>131</v>
      </c>
      <c r="B123" s="891"/>
      <c r="C123" s="891"/>
      <c r="D123" s="902"/>
      <c r="E123" s="904"/>
      <c r="F123" s="904"/>
      <c r="G123" s="904"/>
      <c r="H123" s="904"/>
      <c r="I123" s="904"/>
      <c r="J123" s="904"/>
      <c r="K123" s="904"/>
      <c r="L123" s="912"/>
      <c r="M123" s="912"/>
      <c r="N123" s="912"/>
      <c r="O123" s="912"/>
      <c r="P123" s="912"/>
      <c r="Q123" s="912"/>
      <c r="R123" s="941"/>
      <c r="S123" s="941"/>
      <c r="T123" s="938"/>
      <c r="U123" s="938">
        <f t="shared" si="20"/>
        <v>0</v>
      </c>
      <c r="V123" s="942"/>
      <c r="W123" s="957"/>
      <c r="X123" s="942">
        <f t="shared" si="21"/>
        <v>0</v>
      </c>
      <c r="Y123" s="957"/>
      <c r="Z123" s="942">
        <f t="shared" si="22"/>
        <v>0</v>
      </c>
      <c r="AA123" s="394"/>
      <c r="AB123" s="394"/>
      <c r="AC123" s="394"/>
    </row>
    <row r="124" spans="1:30">
      <c r="A124" s="726" t="s">
        <v>131</v>
      </c>
      <c r="B124" s="891"/>
      <c r="C124" s="891"/>
      <c r="D124" s="902"/>
      <c r="E124" s="904"/>
      <c r="F124" s="904"/>
      <c r="G124" s="904"/>
      <c r="H124" s="904"/>
      <c r="I124" s="904"/>
      <c r="J124" s="904"/>
      <c r="K124" s="904"/>
      <c r="L124" s="912"/>
      <c r="M124" s="912"/>
      <c r="N124" s="912"/>
      <c r="O124" s="912"/>
      <c r="P124" s="912"/>
      <c r="Q124" s="912"/>
      <c r="R124" s="941"/>
      <c r="S124" s="941"/>
      <c r="T124" s="938"/>
      <c r="U124" s="938">
        <f t="shared" si="20"/>
        <v>0</v>
      </c>
      <c r="V124" s="942"/>
      <c r="W124" s="957"/>
      <c r="X124" s="942">
        <f t="shared" si="21"/>
        <v>0</v>
      </c>
      <c r="Y124" s="957"/>
      <c r="Z124" s="942">
        <f t="shared" si="22"/>
        <v>0</v>
      </c>
      <c r="AA124" s="394"/>
      <c r="AB124" s="394"/>
      <c r="AC124" s="394"/>
    </row>
    <row r="125" spans="1:30">
      <c r="A125" s="726" t="s">
        <v>131</v>
      </c>
      <c r="B125" s="891"/>
      <c r="C125" s="891"/>
      <c r="D125" s="902"/>
      <c r="E125" s="904"/>
      <c r="F125" s="904"/>
      <c r="G125" s="904"/>
      <c r="H125" s="904"/>
      <c r="I125" s="904"/>
      <c r="J125" s="904"/>
      <c r="K125" s="904"/>
      <c r="L125" s="912"/>
      <c r="M125" s="912"/>
      <c r="N125" s="912"/>
      <c r="O125" s="912"/>
      <c r="P125" s="912"/>
      <c r="Q125" s="912"/>
      <c r="R125" s="941"/>
      <c r="S125" s="941"/>
      <c r="T125" s="938"/>
      <c r="U125" s="938">
        <f t="shared" si="20"/>
        <v>0</v>
      </c>
      <c r="V125" s="942"/>
      <c r="W125" s="957"/>
      <c r="X125" s="942">
        <f t="shared" si="21"/>
        <v>0</v>
      </c>
      <c r="Y125" s="957"/>
      <c r="Z125" s="942">
        <f t="shared" si="22"/>
        <v>0</v>
      </c>
      <c r="AA125" s="394"/>
      <c r="AB125" s="394"/>
      <c r="AC125" s="394"/>
      <c r="AD125" s="870"/>
    </row>
    <row r="126" spans="1:30" s="870" customFormat="1">
      <c r="A126" s="726" t="s">
        <v>131</v>
      </c>
      <c r="B126" s="891"/>
      <c r="C126" s="891"/>
      <c r="D126" s="902"/>
      <c r="E126" s="904"/>
      <c r="F126" s="904"/>
      <c r="G126" s="904"/>
      <c r="H126" s="904"/>
      <c r="I126" s="904"/>
      <c r="J126" s="904"/>
      <c r="K126" s="904"/>
      <c r="L126" s="912"/>
      <c r="M126" s="912"/>
      <c r="N126" s="912"/>
      <c r="O126" s="912"/>
      <c r="P126" s="912"/>
      <c r="Q126" s="912"/>
      <c r="R126" s="941"/>
      <c r="S126" s="941"/>
      <c r="T126" s="938"/>
      <c r="U126" s="938">
        <f t="shared" si="20"/>
        <v>0</v>
      </c>
      <c r="V126" s="942"/>
      <c r="W126" s="957"/>
      <c r="X126" s="942">
        <f t="shared" si="21"/>
        <v>0</v>
      </c>
      <c r="Y126" s="957"/>
      <c r="Z126" s="942">
        <f t="shared" si="22"/>
        <v>0</v>
      </c>
      <c r="AA126" s="394"/>
      <c r="AB126" s="394"/>
      <c r="AC126" s="394"/>
    </row>
    <row r="127" spans="1:30" s="870" customFormat="1">
      <c r="A127" s="726" t="s">
        <v>131</v>
      </c>
      <c r="B127" s="891"/>
      <c r="C127" s="891"/>
      <c r="D127" s="902"/>
      <c r="E127" s="904"/>
      <c r="F127" s="904"/>
      <c r="G127" s="904"/>
      <c r="H127" s="904"/>
      <c r="I127" s="904"/>
      <c r="J127" s="904"/>
      <c r="K127" s="904"/>
      <c r="L127" s="912"/>
      <c r="M127" s="912"/>
      <c r="N127" s="912"/>
      <c r="O127" s="912"/>
      <c r="P127" s="912"/>
      <c r="Q127" s="912"/>
      <c r="R127" s="941"/>
      <c r="S127" s="941"/>
      <c r="T127" s="938"/>
      <c r="U127" s="938">
        <f t="shared" si="20"/>
        <v>0</v>
      </c>
      <c r="V127" s="942"/>
      <c r="W127" s="957"/>
      <c r="X127" s="942">
        <f t="shared" si="21"/>
        <v>0</v>
      </c>
      <c r="Y127" s="957"/>
      <c r="Z127" s="942">
        <f t="shared" si="22"/>
        <v>0</v>
      </c>
      <c r="AA127" s="394"/>
      <c r="AB127" s="394"/>
      <c r="AC127" s="394"/>
      <c r="AD127" s="282"/>
    </row>
    <row r="128" spans="1:30" s="282" customFormat="1" ht="18.75" customHeight="1">
      <c r="A128" s="726" t="s">
        <v>131</v>
      </c>
      <c r="B128" s="891"/>
      <c r="C128" s="891"/>
      <c r="D128" s="902"/>
      <c r="E128" s="904"/>
      <c r="F128" s="904"/>
      <c r="G128" s="904"/>
      <c r="H128" s="904"/>
      <c r="I128" s="904"/>
      <c r="J128" s="904"/>
      <c r="K128" s="904"/>
      <c r="L128" s="912"/>
      <c r="M128" s="912"/>
      <c r="N128" s="912"/>
      <c r="O128" s="912"/>
      <c r="P128" s="912"/>
      <c r="Q128" s="912"/>
      <c r="R128" s="941"/>
      <c r="S128" s="941"/>
      <c r="T128" s="938"/>
      <c r="U128" s="938">
        <f t="shared" si="20"/>
        <v>0</v>
      </c>
      <c r="V128" s="942"/>
      <c r="W128" s="957"/>
      <c r="X128" s="942">
        <f t="shared" si="21"/>
        <v>0</v>
      </c>
      <c r="Y128" s="957"/>
      <c r="Z128" s="942">
        <f t="shared" si="22"/>
        <v>0</v>
      </c>
      <c r="AA128" s="394"/>
      <c r="AB128" s="394"/>
      <c r="AC128" s="394"/>
      <c r="AD128" s="1"/>
    </row>
    <row r="129" spans="1:30">
      <c r="A129" s="726" t="s">
        <v>131</v>
      </c>
      <c r="B129" s="891"/>
      <c r="C129" s="891"/>
      <c r="D129" s="902"/>
      <c r="E129" s="904"/>
      <c r="F129" s="904"/>
      <c r="G129" s="904"/>
      <c r="H129" s="904"/>
      <c r="I129" s="904"/>
      <c r="J129" s="904"/>
      <c r="K129" s="904"/>
      <c r="L129" s="912"/>
      <c r="M129" s="912"/>
      <c r="N129" s="912"/>
      <c r="O129" s="912"/>
      <c r="P129" s="912"/>
      <c r="Q129" s="912"/>
      <c r="R129" s="941"/>
      <c r="S129" s="941"/>
      <c r="T129" s="938"/>
      <c r="U129" s="938">
        <f t="shared" si="20"/>
        <v>0</v>
      </c>
      <c r="V129" s="942"/>
      <c r="W129" s="957"/>
      <c r="X129" s="942">
        <f t="shared" si="21"/>
        <v>0</v>
      </c>
      <c r="Y129" s="957"/>
      <c r="Z129" s="942">
        <f t="shared" si="22"/>
        <v>0</v>
      </c>
      <c r="AA129" s="394"/>
      <c r="AB129" s="394"/>
      <c r="AC129" s="394"/>
    </row>
    <row r="130" spans="1:30">
      <c r="A130" s="726" t="s">
        <v>131</v>
      </c>
      <c r="B130" s="891"/>
      <c r="C130" s="891"/>
      <c r="D130" s="902"/>
      <c r="E130" s="904"/>
      <c r="F130" s="904"/>
      <c r="G130" s="904"/>
      <c r="H130" s="904"/>
      <c r="I130" s="904"/>
      <c r="J130" s="904"/>
      <c r="K130" s="904"/>
      <c r="L130" s="912"/>
      <c r="M130" s="912"/>
      <c r="N130" s="912"/>
      <c r="O130" s="912"/>
      <c r="P130" s="912"/>
      <c r="Q130" s="912"/>
      <c r="R130" s="941"/>
      <c r="S130" s="941"/>
      <c r="T130" s="938"/>
      <c r="U130" s="938">
        <f t="shared" si="20"/>
        <v>0</v>
      </c>
      <c r="V130" s="942"/>
      <c r="W130" s="957"/>
      <c r="X130" s="942">
        <f t="shared" si="21"/>
        <v>0</v>
      </c>
      <c r="Y130" s="957"/>
      <c r="Z130" s="942">
        <f t="shared" si="22"/>
        <v>0</v>
      </c>
      <c r="AA130" s="394"/>
      <c r="AB130" s="394"/>
      <c r="AC130" s="394"/>
    </row>
    <row r="131" spans="1:30">
      <c r="A131" s="726" t="s">
        <v>131</v>
      </c>
      <c r="B131" s="891"/>
      <c r="C131" s="891"/>
      <c r="D131" s="902"/>
      <c r="E131" s="904"/>
      <c r="F131" s="904"/>
      <c r="G131" s="904"/>
      <c r="H131" s="904"/>
      <c r="I131" s="904"/>
      <c r="J131" s="904"/>
      <c r="K131" s="904"/>
      <c r="L131" s="912"/>
      <c r="M131" s="912"/>
      <c r="N131" s="912"/>
      <c r="O131" s="912"/>
      <c r="P131" s="912"/>
      <c r="Q131" s="912"/>
      <c r="R131" s="941"/>
      <c r="S131" s="941"/>
      <c r="T131" s="938"/>
      <c r="U131" s="938">
        <f t="shared" si="20"/>
        <v>0</v>
      </c>
      <c r="V131" s="942"/>
      <c r="W131" s="957"/>
      <c r="X131" s="942">
        <f t="shared" si="21"/>
        <v>0</v>
      </c>
      <c r="Y131" s="957"/>
      <c r="Z131" s="942">
        <f t="shared" si="22"/>
        <v>0</v>
      </c>
      <c r="AA131" s="394"/>
      <c r="AB131" s="394"/>
      <c r="AC131" s="394"/>
    </row>
    <row r="132" spans="1:30">
      <c r="A132" s="726" t="s">
        <v>131</v>
      </c>
      <c r="B132" s="891"/>
      <c r="C132" s="891"/>
      <c r="D132" s="902"/>
      <c r="E132" s="904"/>
      <c r="F132" s="904"/>
      <c r="G132" s="904"/>
      <c r="H132" s="904"/>
      <c r="I132" s="904"/>
      <c r="J132" s="904"/>
      <c r="K132" s="904"/>
      <c r="L132" s="912"/>
      <c r="M132" s="912"/>
      <c r="N132" s="912"/>
      <c r="O132" s="912"/>
      <c r="P132" s="912"/>
      <c r="Q132" s="912"/>
      <c r="R132" s="941"/>
      <c r="S132" s="941"/>
      <c r="T132" s="938"/>
      <c r="U132" s="938">
        <f t="shared" si="20"/>
        <v>0</v>
      </c>
      <c r="V132" s="942"/>
      <c r="W132" s="957"/>
      <c r="X132" s="942">
        <f t="shared" si="21"/>
        <v>0</v>
      </c>
      <c r="Y132" s="957"/>
      <c r="Z132" s="942">
        <f t="shared" si="22"/>
        <v>0</v>
      </c>
      <c r="AA132" s="394"/>
      <c r="AB132" s="394"/>
      <c r="AC132" s="394"/>
    </row>
    <row r="133" spans="1:30">
      <c r="A133" s="726" t="s">
        <v>131</v>
      </c>
      <c r="B133" s="891"/>
      <c r="C133" s="891"/>
      <c r="D133" s="902"/>
      <c r="E133" s="904"/>
      <c r="F133" s="904"/>
      <c r="G133" s="904"/>
      <c r="H133" s="904"/>
      <c r="I133" s="904"/>
      <c r="J133" s="904"/>
      <c r="K133" s="904"/>
      <c r="L133" s="912"/>
      <c r="M133" s="912"/>
      <c r="N133" s="912"/>
      <c r="O133" s="912"/>
      <c r="P133" s="912"/>
      <c r="Q133" s="912"/>
      <c r="R133" s="941"/>
      <c r="S133" s="941"/>
      <c r="T133" s="938"/>
      <c r="U133" s="938">
        <f t="shared" si="20"/>
        <v>0</v>
      </c>
      <c r="V133" s="942"/>
      <c r="W133" s="957"/>
      <c r="X133" s="942">
        <f t="shared" si="21"/>
        <v>0</v>
      </c>
      <c r="Y133" s="957"/>
      <c r="Z133" s="942">
        <f t="shared" si="22"/>
        <v>0</v>
      </c>
      <c r="AA133" s="394"/>
      <c r="AB133" s="394"/>
      <c r="AC133" s="394"/>
      <c r="AD133" s="870"/>
    </row>
    <row r="134" spans="1:30" s="870" customFormat="1" ht="24" thickBot="1">
      <c r="A134" s="726" t="s">
        <v>131</v>
      </c>
      <c r="B134" s="891"/>
      <c r="C134" s="891"/>
      <c r="D134" s="902"/>
      <c r="E134" s="904"/>
      <c r="F134" s="904"/>
      <c r="G134" s="904"/>
      <c r="H134" s="904"/>
      <c r="I134" s="904"/>
      <c r="J134" s="904"/>
      <c r="K134" s="904"/>
      <c r="L134" s="912"/>
      <c r="M134" s="912"/>
      <c r="N134" s="912"/>
      <c r="O134" s="912"/>
      <c r="P134" s="912"/>
      <c r="Q134" s="912"/>
      <c r="R134" s="941"/>
      <c r="S134" s="941"/>
      <c r="T134" s="938"/>
      <c r="U134" s="938">
        <f t="shared" si="20"/>
        <v>0</v>
      </c>
      <c r="V134" s="942"/>
      <c r="W134" s="957"/>
      <c r="X134" s="942">
        <f t="shared" si="21"/>
        <v>0</v>
      </c>
      <c r="Y134" s="957"/>
      <c r="Z134" s="942">
        <f t="shared" si="22"/>
        <v>0</v>
      </c>
      <c r="AA134" s="394"/>
      <c r="AB134" s="394"/>
      <c r="AC134" s="394"/>
    </row>
    <row r="135" spans="1:30" s="870" customFormat="1" ht="24" thickBot="1">
      <c r="A135" s="726" t="s">
        <v>131</v>
      </c>
      <c r="B135" s="891"/>
      <c r="C135" s="891"/>
      <c r="D135" s="902"/>
      <c r="E135" s="904"/>
      <c r="F135" s="904"/>
      <c r="G135" s="904"/>
      <c r="H135" s="904"/>
      <c r="I135" s="904"/>
      <c r="J135" s="904"/>
      <c r="K135" s="904"/>
      <c r="L135" s="912"/>
      <c r="M135" s="912"/>
      <c r="N135" s="912"/>
      <c r="O135" s="912"/>
      <c r="P135" s="912"/>
      <c r="Q135" s="912"/>
      <c r="R135" s="941"/>
      <c r="S135" s="941"/>
      <c r="T135" s="938"/>
      <c r="U135" s="938">
        <f t="shared" si="20"/>
        <v>0</v>
      </c>
      <c r="V135" s="942"/>
      <c r="W135" s="957"/>
      <c r="X135" s="942">
        <f t="shared" si="21"/>
        <v>0</v>
      </c>
      <c r="Y135" s="957"/>
      <c r="Z135" s="942">
        <f t="shared" si="22"/>
        <v>0</v>
      </c>
      <c r="AA135" s="971" t="s">
        <v>8</v>
      </c>
      <c r="AB135" s="967" t="s">
        <v>197</v>
      </c>
      <c r="AC135" s="398" t="s">
        <v>174</v>
      </c>
      <c r="AD135" s="282"/>
    </row>
    <row r="136" spans="1:30" s="282" customFormat="1" ht="24" thickBot="1">
      <c r="A136" s="726" t="s">
        <v>131</v>
      </c>
      <c r="B136" s="891"/>
      <c r="C136" s="891"/>
      <c r="D136" s="902"/>
      <c r="E136" s="904"/>
      <c r="F136" s="904"/>
      <c r="G136" s="904"/>
      <c r="H136" s="904"/>
      <c r="I136" s="904"/>
      <c r="J136" s="904"/>
      <c r="K136" s="904"/>
      <c r="L136" s="912"/>
      <c r="M136" s="912"/>
      <c r="N136" s="912"/>
      <c r="O136" s="912"/>
      <c r="P136" s="912"/>
      <c r="Q136" s="912"/>
      <c r="R136" s="941"/>
      <c r="S136" s="941"/>
      <c r="T136" s="938"/>
      <c r="U136" s="975">
        <f t="shared" si="20"/>
        <v>0</v>
      </c>
      <c r="V136" s="976"/>
      <c r="W136" s="977"/>
      <c r="X136" s="976">
        <f t="shared" si="21"/>
        <v>0</v>
      </c>
      <c r="Y136" s="977"/>
      <c r="Z136" s="976">
        <f t="shared" si="22"/>
        <v>0</v>
      </c>
      <c r="AA136" s="399">
        <f>'BIG CHAIR'!CL132</f>
        <v>0</v>
      </c>
      <c r="AB136" s="400">
        <f>'Jordan Chair'!AH172</f>
        <v>300</v>
      </c>
      <c r="AC136" s="401">
        <f>X137+AA136+AB136</f>
        <v>300</v>
      </c>
      <c r="AD136" s="1"/>
    </row>
    <row r="137" spans="1:30" ht="24" thickBot="1">
      <c r="A137" s="326" t="s">
        <v>132</v>
      </c>
      <c r="B137" s="895"/>
      <c r="C137" s="895"/>
      <c r="D137" s="896"/>
      <c r="E137" s="897">
        <f t="shared" ref="E137:S137" si="23">SUM(E112:E136)</f>
        <v>0</v>
      </c>
      <c r="F137" s="897">
        <f t="shared" si="23"/>
        <v>0</v>
      </c>
      <c r="G137" s="897">
        <f t="shared" si="23"/>
        <v>0</v>
      </c>
      <c r="H137" s="897">
        <f t="shared" si="23"/>
        <v>0</v>
      </c>
      <c r="I137" s="897">
        <f t="shared" si="23"/>
        <v>0</v>
      </c>
      <c r="J137" s="897">
        <f t="shared" si="23"/>
        <v>0</v>
      </c>
      <c r="K137" s="897">
        <f t="shared" si="23"/>
        <v>0</v>
      </c>
      <c r="L137" s="897">
        <f t="shared" si="23"/>
        <v>0</v>
      </c>
      <c r="M137" s="897">
        <f t="shared" si="23"/>
        <v>0</v>
      </c>
      <c r="N137" s="897">
        <f t="shared" si="23"/>
        <v>0</v>
      </c>
      <c r="O137" s="897">
        <f t="shared" si="23"/>
        <v>0</v>
      </c>
      <c r="P137" s="897">
        <f t="shared" si="23"/>
        <v>0</v>
      </c>
      <c r="Q137" s="897">
        <f t="shared" si="23"/>
        <v>0</v>
      </c>
      <c r="R137" s="897">
        <f t="shared" si="23"/>
        <v>0</v>
      </c>
      <c r="S137" s="897">
        <f t="shared" si="23"/>
        <v>0</v>
      </c>
      <c r="T137" s="932"/>
      <c r="U137" s="933">
        <f t="shared" ref="U137:Z137" si="24">SUM(U112:U136)</f>
        <v>0</v>
      </c>
      <c r="V137" s="933">
        <f t="shared" si="24"/>
        <v>0</v>
      </c>
      <c r="W137" s="934"/>
      <c r="X137" s="934">
        <f t="shared" si="24"/>
        <v>0</v>
      </c>
      <c r="Y137" s="934">
        <f t="shared" si="24"/>
        <v>0</v>
      </c>
      <c r="Z137" s="973">
        <f t="shared" si="24"/>
        <v>0</v>
      </c>
      <c r="AA137" s="403"/>
      <c r="AB137" s="403"/>
      <c r="AC137" s="403"/>
    </row>
    <row r="138" spans="1:30" ht="24" thickBot="1">
      <c r="A138" s="978"/>
      <c r="B138" s="979"/>
      <c r="C138" s="979"/>
      <c r="D138" s="980"/>
      <c r="E138" s="981"/>
      <c r="F138" s="981"/>
      <c r="G138" s="981"/>
      <c r="H138" s="981"/>
      <c r="I138" s="981"/>
      <c r="J138" s="981"/>
      <c r="K138" s="981"/>
      <c r="L138" s="981"/>
      <c r="M138" s="981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282"/>
      <c r="AB138" s="282"/>
      <c r="AC138" s="282"/>
    </row>
    <row r="139" spans="1:30" ht="24" thickBot="1">
      <c r="A139" s="982" t="s">
        <v>200</v>
      </c>
      <c r="B139" s="877" t="s">
        <v>68</v>
      </c>
      <c r="C139" s="877" t="s">
        <v>69</v>
      </c>
      <c r="D139" s="878" t="s">
        <v>70</v>
      </c>
      <c r="E139" s="901" t="s">
        <v>71</v>
      </c>
      <c r="F139" s="880" t="s">
        <v>178</v>
      </c>
      <c r="G139" s="880" t="s">
        <v>101</v>
      </c>
      <c r="H139" s="879" t="s">
        <v>193</v>
      </c>
      <c r="I139" s="879" t="s">
        <v>97</v>
      </c>
      <c r="J139" s="879" t="s">
        <v>92</v>
      </c>
      <c r="K139" s="879" t="s">
        <v>194</v>
      </c>
      <c r="L139" s="880" t="s">
        <v>195</v>
      </c>
      <c r="M139" s="880" t="s">
        <v>482</v>
      </c>
      <c r="N139" s="880" t="s">
        <v>94</v>
      </c>
      <c r="O139" s="880" t="s">
        <v>86</v>
      </c>
      <c r="P139" s="880" t="s">
        <v>75</v>
      </c>
      <c r="Q139" s="880" t="s">
        <v>95</v>
      </c>
      <c r="R139" s="744" t="s">
        <v>77</v>
      </c>
      <c r="S139" s="936" t="s">
        <v>53</v>
      </c>
      <c r="T139" s="915"/>
      <c r="U139" s="916" t="s">
        <v>104</v>
      </c>
      <c r="V139" s="917" t="s">
        <v>105</v>
      </c>
      <c r="W139" s="917"/>
      <c r="X139" s="918" t="s">
        <v>106</v>
      </c>
      <c r="Y139" s="917" t="s">
        <v>107</v>
      </c>
      <c r="Z139" s="960" t="s">
        <v>108</v>
      </c>
    </row>
    <row r="140" spans="1:30" ht="21">
      <c r="A140" s="430"/>
      <c r="B140" s="431"/>
      <c r="C140" s="431"/>
      <c r="D140" s="432"/>
      <c r="E140" s="889"/>
      <c r="F140" s="889"/>
      <c r="G140" s="889"/>
      <c r="H140" s="889"/>
      <c r="I140" s="889"/>
      <c r="J140" s="889"/>
      <c r="K140" s="889"/>
      <c r="L140" s="909"/>
      <c r="M140" s="909"/>
      <c r="N140" s="909"/>
      <c r="O140" s="909"/>
      <c r="P140" s="909"/>
      <c r="Q140" s="909"/>
      <c r="R140" s="922"/>
      <c r="S140" s="922"/>
      <c r="T140" s="1006"/>
      <c r="U140" s="924">
        <f t="shared" ref="U140:U144" si="25">SUM(E140:S140)</f>
        <v>0</v>
      </c>
      <c r="V140" s="924"/>
      <c r="W140" s="925"/>
      <c r="X140" s="924">
        <f t="shared" ref="X140:X144" si="26">U140+V140</f>
        <v>0</v>
      </c>
      <c r="Y140" s="925"/>
      <c r="Z140" s="924">
        <f t="shared" ref="Z140:Z144" si="27">X140+Y140</f>
        <v>0</v>
      </c>
    </row>
    <row r="141" spans="1:30" ht="21">
      <c r="A141" s="430"/>
      <c r="B141" s="431"/>
      <c r="C141" s="431"/>
      <c r="D141" s="432"/>
      <c r="E141" s="893"/>
      <c r="F141" s="893"/>
      <c r="G141" s="893"/>
      <c r="H141" s="893"/>
      <c r="I141" s="893"/>
      <c r="J141" s="893"/>
      <c r="K141" s="893"/>
      <c r="L141" s="910"/>
      <c r="M141" s="910"/>
      <c r="N141" s="910"/>
      <c r="O141" s="910"/>
      <c r="P141" s="910"/>
      <c r="Q141" s="910"/>
      <c r="R141" s="926"/>
      <c r="S141" s="926"/>
      <c r="T141" s="927"/>
      <c r="U141" s="928">
        <f t="shared" si="25"/>
        <v>0</v>
      </c>
      <c r="V141" s="929"/>
      <c r="W141" s="930"/>
      <c r="X141" s="928">
        <f t="shared" si="26"/>
        <v>0</v>
      </c>
      <c r="Y141" s="930"/>
      <c r="Z141" s="928">
        <f t="shared" si="27"/>
        <v>0</v>
      </c>
      <c r="AD141" s="870"/>
    </row>
    <row r="142" spans="1:30" s="870" customFormat="1" ht="21">
      <c r="A142" s="983"/>
      <c r="B142" s="929"/>
      <c r="C142" s="929"/>
      <c r="D142" s="984"/>
      <c r="E142" s="893"/>
      <c r="F142" s="893"/>
      <c r="G142" s="893"/>
      <c r="H142" s="893"/>
      <c r="I142" s="893"/>
      <c r="J142" s="893"/>
      <c r="K142" s="893"/>
      <c r="L142" s="910"/>
      <c r="M142" s="910"/>
      <c r="N142" s="910"/>
      <c r="O142" s="910"/>
      <c r="P142" s="910"/>
      <c r="Q142" s="910"/>
      <c r="R142" s="926"/>
      <c r="S142" s="926"/>
      <c r="T142" s="927"/>
      <c r="U142" s="928">
        <f t="shared" si="25"/>
        <v>0</v>
      </c>
      <c r="V142" s="929"/>
      <c r="W142" s="930"/>
      <c r="X142" s="928">
        <f t="shared" si="26"/>
        <v>0</v>
      </c>
      <c r="Y142" s="930"/>
      <c r="Z142" s="928">
        <f t="shared" si="27"/>
        <v>0</v>
      </c>
      <c r="AA142" s="1"/>
      <c r="AB142" s="1"/>
      <c r="AC142" s="1"/>
    </row>
    <row r="143" spans="1:30" s="870" customFormat="1" ht="21">
      <c r="A143" s="983"/>
      <c r="B143" s="929"/>
      <c r="C143" s="929"/>
      <c r="D143" s="984"/>
      <c r="E143" s="893"/>
      <c r="F143" s="893"/>
      <c r="G143" s="893"/>
      <c r="H143" s="893"/>
      <c r="I143" s="893"/>
      <c r="J143" s="893"/>
      <c r="K143" s="893"/>
      <c r="L143" s="910"/>
      <c r="M143" s="910"/>
      <c r="N143" s="910"/>
      <c r="O143" s="910"/>
      <c r="P143" s="910"/>
      <c r="Q143" s="910"/>
      <c r="R143" s="926"/>
      <c r="S143" s="926"/>
      <c r="T143" s="927"/>
      <c r="U143" s="928">
        <f t="shared" si="25"/>
        <v>0</v>
      </c>
      <c r="V143" s="929"/>
      <c r="W143" s="930"/>
      <c r="X143" s="928">
        <f t="shared" si="26"/>
        <v>0</v>
      </c>
      <c r="Y143" s="930"/>
      <c r="Z143" s="928">
        <f t="shared" si="27"/>
        <v>0</v>
      </c>
      <c r="AA143" s="394"/>
      <c r="AB143" s="394"/>
      <c r="AC143" s="394"/>
      <c r="AD143" s="1"/>
    </row>
    <row r="144" spans="1:30" ht="21" customHeight="1" thickBot="1">
      <c r="A144" s="983"/>
      <c r="B144" s="929"/>
      <c r="C144" s="929"/>
      <c r="D144" s="984"/>
      <c r="E144" s="893"/>
      <c r="F144" s="893"/>
      <c r="G144" s="893"/>
      <c r="H144" s="893"/>
      <c r="I144" s="893"/>
      <c r="J144" s="893"/>
      <c r="K144" s="893"/>
      <c r="L144" s="910"/>
      <c r="M144" s="910"/>
      <c r="N144" s="910"/>
      <c r="O144" s="910"/>
      <c r="P144" s="910"/>
      <c r="Q144" s="910"/>
      <c r="R144" s="926"/>
      <c r="S144" s="926"/>
      <c r="T144" s="927"/>
      <c r="U144" s="931">
        <f t="shared" si="25"/>
        <v>0</v>
      </c>
      <c r="V144" s="931"/>
      <c r="W144" s="930"/>
      <c r="X144" s="931">
        <f t="shared" si="26"/>
        <v>0</v>
      </c>
      <c r="Y144" s="930"/>
      <c r="Z144" s="931">
        <f t="shared" si="27"/>
        <v>0</v>
      </c>
      <c r="AA144" s="403"/>
      <c r="AB144" s="403"/>
      <c r="AC144" s="403"/>
    </row>
    <row r="145" spans="1:43" ht="24" thickBot="1">
      <c r="A145" s="985" t="s">
        <v>134</v>
      </c>
      <c r="B145" s="895"/>
      <c r="C145" s="895"/>
      <c r="D145" s="896"/>
      <c r="E145" s="986">
        <f t="shared" ref="E145:S145" si="28">SUM(E140:E144)</f>
        <v>0</v>
      </c>
      <c r="F145" s="986">
        <f t="shared" si="28"/>
        <v>0</v>
      </c>
      <c r="G145" s="986">
        <f t="shared" si="28"/>
        <v>0</v>
      </c>
      <c r="H145" s="986">
        <f t="shared" si="28"/>
        <v>0</v>
      </c>
      <c r="I145" s="986">
        <f t="shared" si="28"/>
        <v>0</v>
      </c>
      <c r="J145" s="986">
        <f t="shared" si="28"/>
        <v>0</v>
      </c>
      <c r="K145" s="986">
        <f t="shared" si="28"/>
        <v>0</v>
      </c>
      <c r="L145" s="986">
        <f t="shared" si="28"/>
        <v>0</v>
      </c>
      <c r="M145" s="986">
        <f t="shared" si="28"/>
        <v>0</v>
      </c>
      <c r="N145" s="986">
        <f t="shared" si="28"/>
        <v>0</v>
      </c>
      <c r="O145" s="986">
        <f t="shared" si="28"/>
        <v>0</v>
      </c>
      <c r="P145" s="986">
        <f t="shared" si="28"/>
        <v>0</v>
      </c>
      <c r="Q145" s="986">
        <f t="shared" si="28"/>
        <v>0</v>
      </c>
      <c r="R145" s="986">
        <f t="shared" si="28"/>
        <v>0</v>
      </c>
      <c r="S145" s="986">
        <f t="shared" si="28"/>
        <v>0</v>
      </c>
      <c r="T145" s="1007"/>
      <c r="U145" s="1008">
        <f t="shared" ref="U145:Z145" si="29">SUM(U140:U144)</f>
        <v>0</v>
      </c>
      <c r="V145" s="1009">
        <f t="shared" si="29"/>
        <v>0</v>
      </c>
      <c r="W145" s="1009"/>
      <c r="X145" s="1009">
        <f t="shared" si="29"/>
        <v>0</v>
      </c>
      <c r="Y145" s="1009">
        <f t="shared" si="29"/>
        <v>0</v>
      </c>
      <c r="Z145" s="1025">
        <f t="shared" si="29"/>
        <v>0</v>
      </c>
      <c r="AA145" s="403"/>
      <c r="AB145" s="403"/>
      <c r="AC145" s="403"/>
      <c r="AD145" s="1026"/>
    </row>
    <row r="146" spans="1:43" s="1" customFormat="1" ht="21.75" customHeight="1" thickBot="1">
      <c r="A146" s="978"/>
      <c r="B146" s="979"/>
      <c r="C146" s="979"/>
      <c r="D146" s="980"/>
      <c r="E146" s="981"/>
      <c r="F146" s="981"/>
      <c r="G146" s="981"/>
      <c r="H146" s="981"/>
      <c r="I146" s="981"/>
      <c r="J146" s="981"/>
      <c r="K146" s="981"/>
      <c r="L146" s="981"/>
      <c r="M146" s="981"/>
      <c r="N146" s="981"/>
      <c r="O146" s="981"/>
      <c r="P146" s="981"/>
      <c r="Q146" s="981"/>
      <c r="R146" s="981"/>
      <c r="S146" s="981"/>
      <c r="T146" s="981"/>
      <c r="U146" s="981"/>
      <c r="V146" s="981"/>
      <c r="W146" s="981"/>
      <c r="X146" s="981"/>
      <c r="Y146" s="981"/>
      <c r="Z146" s="981"/>
      <c r="AA146" s="282"/>
      <c r="AB146" s="282"/>
      <c r="AC146" s="282"/>
      <c r="AD146" s="276"/>
      <c r="AE146" s="1026"/>
      <c r="AF146" s="1026"/>
      <c r="AG146" s="1026"/>
      <c r="AH146" s="1026"/>
      <c r="AI146" s="1026"/>
      <c r="AJ146" s="1026"/>
      <c r="AK146" s="1026"/>
      <c r="AL146" s="1026"/>
      <c r="AM146" s="1026"/>
      <c r="AN146" s="1026"/>
      <c r="AO146" s="1026"/>
      <c r="AP146" s="1026"/>
      <c r="AQ146" s="1026"/>
    </row>
    <row r="147" spans="1:43" s="276" customFormat="1" ht="30.75" customHeight="1" thickBot="1">
      <c r="A147" s="3532" t="s">
        <v>135</v>
      </c>
      <c r="B147" s="877" t="s">
        <v>68</v>
      </c>
      <c r="C147" s="877" t="s">
        <v>69</v>
      </c>
      <c r="D147" s="878" t="s">
        <v>70</v>
      </c>
      <c r="E147" s="879" t="s">
        <v>71</v>
      </c>
      <c r="F147" s="880" t="s">
        <v>178</v>
      </c>
      <c r="G147" s="880" t="s">
        <v>101</v>
      </c>
      <c r="H147" s="879" t="s">
        <v>71</v>
      </c>
      <c r="I147" s="879" t="s">
        <v>97</v>
      </c>
      <c r="J147" s="879" t="s">
        <v>92</v>
      </c>
      <c r="K147" s="879" t="s">
        <v>194</v>
      </c>
      <c r="L147" s="880" t="s">
        <v>195</v>
      </c>
      <c r="M147" s="880" t="s">
        <v>482</v>
      </c>
      <c r="N147" s="880" t="s">
        <v>94</v>
      </c>
      <c r="O147" s="880" t="s">
        <v>86</v>
      </c>
      <c r="P147" s="880" t="s">
        <v>75</v>
      </c>
      <c r="Q147" s="880" t="s">
        <v>95</v>
      </c>
      <c r="R147" s="744" t="s">
        <v>77</v>
      </c>
      <c r="S147" s="914" t="s">
        <v>53</v>
      </c>
      <c r="T147" s="915"/>
      <c r="U147" s="916" t="s">
        <v>104</v>
      </c>
      <c r="V147" s="917" t="s">
        <v>105</v>
      </c>
      <c r="W147" s="917"/>
      <c r="X147" s="918" t="s">
        <v>106</v>
      </c>
      <c r="Y147" s="917" t="s">
        <v>107</v>
      </c>
      <c r="Z147" s="960" t="s">
        <v>108</v>
      </c>
      <c r="AA147" s="1"/>
      <c r="AB147" s="1"/>
      <c r="AC147" s="1"/>
      <c r="AD147" s="871"/>
    </row>
    <row r="148" spans="1:43" s="871" customFormat="1" ht="21">
      <c r="A148" s="987"/>
      <c r="B148" s="538"/>
      <c r="C148" s="539"/>
      <c r="D148" s="988"/>
      <c r="E148" s="889"/>
      <c r="F148" s="889"/>
      <c r="G148" s="889"/>
      <c r="H148" s="889"/>
      <c r="I148" s="889"/>
      <c r="J148" s="889"/>
      <c r="K148" s="889"/>
      <c r="L148" s="909"/>
      <c r="M148" s="909"/>
      <c r="N148" s="909"/>
      <c r="O148" s="909"/>
      <c r="P148" s="909"/>
      <c r="Q148" s="909"/>
      <c r="R148" s="922"/>
      <c r="S148" s="922"/>
      <c r="T148" s="1006"/>
      <c r="U148" s="924">
        <f t="shared" ref="U148:U152" si="30">SUM(E148:S148)</f>
        <v>0</v>
      </c>
      <c r="V148" s="924"/>
      <c r="W148" s="925"/>
      <c r="X148" s="924">
        <f t="shared" ref="X148:X152" si="31">U148+V148</f>
        <v>0</v>
      </c>
      <c r="Y148" s="925"/>
      <c r="Z148" s="924">
        <f t="shared" ref="Z148:Z152" si="32">X148+Y148</f>
        <v>0</v>
      </c>
      <c r="AA148" s="1"/>
      <c r="AB148" s="1"/>
      <c r="AC148" s="1"/>
      <c r="AD148" s="872"/>
    </row>
    <row r="149" spans="1:43" s="872" customFormat="1" ht="21">
      <c r="A149" s="983"/>
      <c r="B149" s="929"/>
      <c r="C149" s="929"/>
      <c r="D149" s="984"/>
      <c r="E149" s="893"/>
      <c r="F149" s="893"/>
      <c r="G149" s="893"/>
      <c r="H149" s="893"/>
      <c r="I149" s="893"/>
      <c r="J149" s="893"/>
      <c r="K149" s="893"/>
      <c r="L149" s="910"/>
      <c r="M149" s="910"/>
      <c r="N149" s="910"/>
      <c r="O149" s="910"/>
      <c r="P149" s="910"/>
      <c r="Q149" s="910"/>
      <c r="R149" s="926"/>
      <c r="S149" s="926"/>
      <c r="T149" s="927"/>
      <c r="U149" s="928">
        <f t="shared" si="30"/>
        <v>0</v>
      </c>
      <c r="V149" s="929"/>
      <c r="W149" s="930"/>
      <c r="X149" s="928">
        <f t="shared" si="31"/>
        <v>0</v>
      </c>
      <c r="Y149" s="930"/>
      <c r="Z149" s="928">
        <f t="shared" si="32"/>
        <v>0</v>
      </c>
      <c r="AA149" s="1"/>
      <c r="AB149" s="1"/>
      <c r="AC149" s="1"/>
      <c r="AD149" s="871"/>
    </row>
    <row r="150" spans="1:43" s="871" customFormat="1" ht="21">
      <c r="A150" s="983"/>
      <c r="B150" s="929"/>
      <c r="C150" s="929"/>
      <c r="D150" s="984"/>
      <c r="E150" s="893"/>
      <c r="F150" s="893"/>
      <c r="G150" s="893"/>
      <c r="H150" s="893"/>
      <c r="I150" s="893"/>
      <c r="J150" s="893"/>
      <c r="K150" s="893"/>
      <c r="L150" s="910"/>
      <c r="M150" s="910"/>
      <c r="N150" s="910"/>
      <c r="O150" s="910"/>
      <c r="P150" s="910"/>
      <c r="Q150" s="910"/>
      <c r="R150" s="926"/>
      <c r="S150" s="926"/>
      <c r="T150" s="927"/>
      <c r="U150" s="928">
        <f t="shared" si="30"/>
        <v>0</v>
      </c>
      <c r="V150" s="929"/>
      <c r="W150" s="930"/>
      <c r="X150" s="928">
        <f t="shared" si="31"/>
        <v>0</v>
      </c>
      <c r="Y150" s="930"/>
      <c r="Z150" s="928">
        <f t="shared" si="32"/>
        <v>0</v>
      </c>
      <c r="AA150" s="1"/>
      <c r="AB150" s="1"/>
      <c r="AC150" s="1"/>
      <c r="AD150" s="872"/>
    </row>
    <row r="151" spans="1:43" s="872" customFormat="1" ht="21">
      <c r="A151" s="983"/>
      <c r="B151" s="929"/>
      <c r="C151" s="929"/>
      <c r="D151" s="984"/>
      <c r="E151" s="893"/>
      <c r="F151" s="893"/>
      <c r="G151" s="893"/>
      <c r="H151" s="893"/>
      <c r="I151" s="893"/>
      <c r="J151" s="893"/>
      <c r="K151" s="893"/>
      <c r="L151" s="910"/>
      <c r="M151" s="910"/>
      <c r="N151" s="910"/>
      <c r="O151" s="910"/>
      <c r="P151" s="910"/>
      <c r="Q151" s="910"/>
      <c r="R151" s="926"/>
      <c r="S151" s="926"/>
      <c r="T151" s="927"/>
      <c r="U151" s="928">
        <f t="shared" si="30"/>
        <v>0</v>
      </c>
      <c r="V151" s="929"/>
      <c r="W151" s="930"/>
      <c r="X151" s="928">
        <f t="shared" si="31"/>
        <v>0</v>
      </c>
      <c r="Y151" s="930"/>
      <c r="Z151" s="928">
        <f t="shared" si="32"/>
        <v>0</v>
      </c>
      <c r="AA151" s="394"/>
      <c r="AB151" s="394"/>
      <c r="AC151" s="394"/>
      <c r="AD151" s="871"/>
    </row>
    <row r="152" spans="1:43" s="871" customFormat="1" ht="21.75" thickBot="1">
      <c r="A152" s="983"/>
      <c r="B152" s="929"/>
      <c r="C152" s="929"/>
      <c r="D152" s="984"/>
      <c r="E152" s="893"/>
      <c r="F152" s="893"/>
      <c r="G152" s="893"/>
      <c r="H152" s="893"/>
      <c r="I152" s="893"/>
      <c r="J152" s="893"/>
      <c r="K152" s="893"/>
      <c r="L152" s="910"/>
      <c r="M152" s="910"/>
      <c r="N152" s="910"/>
      <c r="O152" s="910"/>
      <c r="P152" s="910"/>
      <c r="Q152" s="910"/>
      <c r="R152" s="926"/>
      <c r="S152" s="926"/>
      <c r="T152" s="927"/>
      <c r="U152" s="931">
        <f t="shared" si="30"/>
        <v>0</v>
      </c>
      <c r="V152" s="931"/>
      <c r="W152" s="930"/>
      <c r="X152" s="931">
        <f t="shared" si="31"/>
        <v>0</v>
      </c>
      <c r="Y152" s="930"/>
      <c r="Z152" s="931">
        <f t="shared" si="32"/>
        <v>0</v>
      </c>
      <c r="AA152" s="403"/>
      <c r="AB152" s="403"/>
      <c r="AC152" s="403"/>
    </row>
    <row r="153" spans="1:43" s="871" customFormat="1" ht="24" thickBot="1">
      <c r="A153" s="985" t="s">
        <v>134</v>
      </c>
      <c r="B153" s="895"/>
      <c r="C153" s="895"/>
      <c r="D153" s="896"/>
      <c r="E153" s="986">
        <f t="shared" ref="E153:S153" si="33">SUM(E148:E152)</f>
        <v>0</v>
      </c>
      <c r="F153" s="986">
        <f t="shared" si="33"/>
        <v>0</v>
      </c>
      <c r="G153" s="986">
        <f t="shared" si="33"/>
        <v>0</v>
      </c>
      <c r="H153" s="986">
        <f t="shared" si="33"/>
        <v>0</v>
      </c>
      <c r="I153" s="986">
        <f t="shared" si="33"/>
        <v>0</v>
      </c>
      <c r="J153" s="986">
        <f t="shared" si="33"/>
        <v>0</v>
      </c>
      <c r="K153" s="986">
        <f t="shared" si="33"/>
        <v>0</v>
      </c>
      <c r="L153" s="986">
        <f t="shared" si="33"/>
        <v>0</v>
      </c>
      <c r="M153" s="986">
        <f t="shared" si="33"/>
        <v>0</v>
      </c>
      <c r="N153" s="986">
        <f t="shared" si="33"/>
        <v>0</v>
      </c>
      <c r="O153" s="986">
        <f t="shared" si="33"/>
        <v>0</v>
      </c>
      <c r="P153" s="986">
        <f t="shared" si="33"/>
        <v>0</v>
      </c>
      <c r="Q153" s="986">
        <f t="shared" si="33"/>
        <v>0</v>
      </c>
      <c r="R153" s="986">
        <f t="shared" si="33"/>
        <v>0</v>
      </c>
      <c r="S153" s="986">
        <f t="shared" si="33"/>
        <v>0</v>
      </c>
      <c r="T153" s="1007"/>
      <c r="U153" s="1008">
        <f t="shared" ref="U153:Z153" si="34">SUM(U148:U152)</f>
        <v>0</v>
      </c>
      <c r="V153" s="1009">
        <f t="shared" si="34"/>
        <v>0</v>
      </c>
      <c r="W153" s="1009"/>
      <c r="X153" s="1009">
        <f t="shared" si="34"/>
        <v>0</v>
      </c>
      <c r="Y153" s="1009">
        <f t="shared" si="34"/>
        <v>0</v>
      </c>
      <c r="Z153" s="1025">
        <f t="shared" si="34"/>
        <v>0</v>
      </c>
      <c r="AA153" s="403"/>
      <c r="AB153" s="403"/>
      <c r="AC153" s="403"/>
      <c r="AD153" s="872"/>
    </row>
    <row r="154" spans="1:43" s="872" customFormat="1" ht="24" thickBot="1">
      <c r="A154" s="978"/>
      <c r="B154" s="979"/>
      <c r="C154" s="979"/>
      <c r="D154" s="980"/>
      <c r="E154" s="981"/>
      <c r="F154" s="981"/>
      <c r="G154" s="981"/>
      <c r="H154" s="981"/>
      <c r="I154" s="981"/>
      <c r="J154" s="981"/>
      <c r="K154" s="981"/>
      <c r="L154" s="981"/>
      <c r="M154" s="981"/>
      <c r="N154" s="981"/>
      <c r="O154" s="981"/>
      <c r="P154" s="981"/>
      <c r="Q154" s="981"/>
      <c r="R154" s="981"/>
      <c r="S154" s="981"/>
      <c r="T154" s="981"/>
      <c r="U154" s="981"/>
      <c r="V154" s="981"/>
      <c r="W154" s="981"/>
      <c r="X154" s="981"/>
      <c r="Y154" s="981"/>
      <c r="Z154" s="981"/>
      <c r="AA154" s="282"/>
      <c r="AB154" s="282"/>
      <c r="AC154" s="282"/>
      <c r="AD154" s="871"/>
    </row>
    <row r="155" spans="1:43" s="871" customFormat="1" ht="24" thickBot="1">
      <c r="A155" s="989" t="s">
        <v>140</v>
      </c>
      <c r="B155" s="877" t="s">
        <v>68</v>
      </c>
      <c r="C155" s="877" t="s">
        <v>69</v>
      </c>
      <c r="D155" s="878" t="s">
        <v>70</v>
      </c>
      <c r="E155" s="879" t="s">
        <v>71</v>
      </c>
      <c r="F155" s="880" t="s">
        <v>178</v>
      </c>
      <c r="G155" s="880" t="s">
        <v>101</v>
      </c>
      <c r="H155" s="879" t="s">
        <v>71</v>
      </c>
      <c r="I155" s="879" t="s">
        <v>97</v>
      </c>
      <c r="J155" s="879" t="s">
        <v>92</v>
      </c>
      <c r="K155" s="879" t="s">
        <v>194</v>
      </c>
      <c r="L155" s="880" t="s">
        <v>195</v>
      </c>
      <c r="M155" s="880" t="s">
        <v>482</v>
      </c>
      <c r="N155" s="880" t="s">
        <v>94</v>
      </c>
      <c r="O155" s="880" t="s">
        <v>86</v>
      </c>
      <c r="P155" s="880" t="s">
        <v>75</v>
      </c>
      <c r="Q155" s="880" t="s">
        <v>95</v>
      </c>
      <c r="R155" s="744" t="s">
        <v>77</v>
      </c>
      <c r="S155" s="914" t="s">
        <v>53</v>
      </c>
      <c r="T155" s="915"/>
      <c r="U155" s="916" t="s">
        <v>104</v>
      </c>
      <c r="V155" s="917" t="s">
        <v>105</v>
      </c>
      <c r="W155" s="917"/>
      <c r="X155" s="918" t="s">
        <v>106</v>
      </c>
      <c r="Y155" s="917" t="s">
        <v>107</v>
      </c>
      <c r="Z155" s="960" t="s">
        <v>108</v>
      </c>
      <c r="AA155" s="1"/>
      <c r="AB155" s="1"/>
      <c r="AC155" s="1"/>
      <c r="AD155" s="872"/>
    </row>
    <row r="156" spans="1:43" s="872" customFormat="1" ht="21">
      <c r="A156" s="445"/>
      <c r="B156" s="963"/>
      <c r="C156" s="963"/>
      <c r="D156" s="990"/>
      <c r="E156" s="889"/>
      <c r="F156" s="889"/>
      <c r="G156" s="889"/>
      <c r="H156" s="889"/>
      <c r="I156" s="889"/>
      <c r="J156" s="889"/>
      <c r="K156" s="889"/>
      <c r="L156" s="909"/>
      <c r="M156" s="909"/>
      <c r="N156" s="909"/>
      <c r="O156" s="909"/>
      <c r="P156" s="909"/>
      <c r="Q156" s="909"/>
      <c r="R156" s="922"/>
      <c r="S156" s="922"/>
      <c r="T156" s="1006"/>
      <c r="U156" s="924">
        <f t="shared" ref="U156:U160" si="35">SUM(E156:S156)</f>
        <v>0</v>
      </c>
      <c r="V156" s="924"/>
      <c r="W156" s="925"/>
      <c r="X156" s="924">
        <f t="shared" ref="X156:X160" si="36">U156+V156</f>
        <v>0</v>
      </c>
      <c r="Y156" s="925">
        <v>0</v>
      </c>
      <c r="Z156" s="924">
        <f t="shared" ref="Z156:Z160" si="37">X156+Y156</f>
        <v>0</v>
      </c>
      <c r="AA156" s="1"/>
      <c r="AB156" s="1"/>
      <c r="AC156" s="1"/>
      <c r="AD156" s="871"/>
    </row>
    <row r="157" spans="1:43" s="871" customFormat="1" ht="21">
      <c r="A157" s="983"/>
      <c r="B157" s="929"/>
      <c r="C157" s="929"/>
      <c r="D157" s="984"/>
      <c r="E157" s="893"/>
      <c r="F157" s="893"/>
      <c r="G157" s="893"/>
      <c r="H157" s="893"/>
      <c r="I157" s="893"/>
      <c r="J157" s="893"/>
      <c r="K157" s="893"/>
      <c r="L157" s="910"/>
      <c r="M157" s="910"/>
      <c r="N157" s="910"/>
      <c r="O157" s="910"/>
      <c r="P157" s="910"/>
      <c r="Q157" s="910"/>
      <c r="R157" s="926"/>
      <c r="S157" s="926"/>
      <c r="T157" s="927"/>
      <c r="U157" s="928">
        <f t="shared" si="35"/>
        <v>0</v>
      </c>
      <c r="V157" s="929"/>
      <c r="W157" s="930"/>
      <c r="X157" s="928">
        <f t="shared" si="36"/>
        <v>0</v>
      </c>
      <c r="Y157" s="930"/>
      <c r="Z157" s="928">
        <f t="shared" si="37"/>
        <v>0</v>
      </c>
      <c r="AA157" s="1"/>
      <c r="AB157" s="1"/>
      <c r="AC157" s="1"/>
      <c r="AD157" s="872"/>
    </row>
    <row r="158" spans="1:43" s="872" customFormat="1" ht="21">
      <c r="A158" s="983"/>
      <c r="B158" s="929"/>
      <c r="C158" s="929"/>
      <c r="D158" s="984"/>
      <c r="E158" s="893"/>
      <c r="F158" s="893"/>
      <c r="G158" s="893"/>
      <c r="H158" s="893"/>
      <c r="I158" s="893"/>
      <c r="J158" s="893"/>
      <c r="K158" s="893"/>
      <c r="L158" s="910"/>
      <c r="M158" s="910"/>
      <c r="N158" s="910"/>
      <c r="O158" s="910"/>
      <c r="P158" s="910"/>
      <c r="Q158" s="910"/>
      <c r="R158" s="926"/>
      <c r="S158" s="926"/>
      <c r="T158" s="927"/>
      <c r="U158" s="928">
        <f t="shared" si="35"/>
        <v>0</v>
      </c>
      <c r="V158" s="929"/>
      <c r="W158" s="930"/>
      <c r="X158" s="928">
        <f t="shared" si="36"/>
        <v>0</v>
      </c>
      <c r="Y158" s="930"/>
      <c r="Z158" s="928">
        <f t="shared" si="37"/>
        <v>0</v>
      </c>
      <c r="AA158" s="1"/>
      <c r="AB158" s="1"/>
      <c r="AC158" s="1"/>
      <c r="AD158" s="871"/>
    </row>
    <row r="159" spans="1:43" s="871" customFormat="1" ht="21">
      <c r="A159" s="983"/>
      <c r="B159" s="929"/>
      <c r="C159" s="929"/>
      <c r="D159" s="984"/>
      <c r="E159" s="893"/>
      <c r="F159" s="893"/>
      <c r="G159" s="893"/>
      <c r="H159" s="893"/>
      <c r="I159" s="893"/>
      <c r="J159" s="893"/>
      <c r="K159" s="893"/>
      <c r="L159" s="910"/>
      <c r="M159" s="910"/>
      <c r="N159" s="910"/>
      <c r="O159" s="910"/>
      <c r="P159" s="910"/>
      <c r="Q159" s="910"/>
      <c r="R159" s="926"/>
      <c r="S159" s="926"/>
      <c r="T159" s="927"/>
      <c r="U159" s="928">
        <f t="shared" si="35"/>
        <v>0</v>
      </c>
      <c r="V159" s="929"/>
      <c r="W159" s="930"/>
      <c r="X159" s="928">
        <f t="shared" si="36"/>
        <v>0</v>
      </c>
      <c r="Y159" s="930"/>
      <c r="Z159" s="928">
        <f t="shared" si="37"/>
        <v>0</v>
      </c>
      <c r="AA159" s="394"/>
      <c r="AB159" s="394"/>
      <c r="AC159" s="394"/>
      <c r="AD159" s="872"/>
    </row>
    <row r="160" spans="1:43" s="872" customFormat="1" ht="21.75" thickBot="1">
      <c r="A160" s="983"/>
      <c r="B160" s="929"/>
      <c r="C160" s="929"/>
      <c r="D160" s="984"/>
      <c r="E160" s="893"/>
      <c r="F160" s="893"/>
      <c r="G160" s="893"/>
      <c r="H160" s="893"/>
      <c r="I160" s="893"/>
      <c r="J160" s="893"/>
      <c r="K160" s="893"/>
      <c r="L160" s="910"/>
      <c r="M160" s="910"/>
      <c r="N160" s="910"/>
      <c r="O160" s="910"/>
      <c r="P160" s="910"/>
      <c r="Q160" s="910"/>
      <c r="R160" s="926"/>
      <c r="S160" s="926"/>
      <c r="T160" s="927"/>
      <c r="U160" s="931">
        <f t="shared" si="35"/>
        <v>0</v>
      </c>
      <c r="V160" s="931"/>
      <c r="W160" s="930"/>
      <c r="X160" s="931">
        <f t="shared" si="36"/>
        <v>0</v>
      </c>
      <c r="Y160" s="930"/>
      <c r="Z160" s="931">
        <f t="shared" si="37"/>
        <v>0</v>
      </c>
      <c r="AA160" s="403"/>
      <c r="AB160" s="403"/>
      <c r="AC160" s="403"/>
    </row>
    <row r="161" spans="1:30" s="872" customFormat="1" ht="24" thickBot="1">
      <c r="A161" s="985" t="s">
        <v>134</v>
      </c>
      <c r="B161" s="895"/>
      <c r="C161" s="895"/>
      <c r="D161" s="896"/>
      <c r="E161" s="986">
        <f t="shared" ref="E161:S161" si="38">SUM(E156:E160)</f>
        <v>0</v>
      </c>
      <c r="F161" s="986">
        <f t="shared" si="38"/>
        <v>0</v>
      </c>
      <c r="G161" s="986">
        <f t="shared" si="38"/>
        <v>0</v>
      </c>
      <c r="H161" s="986">
        <f t="shared" si="38"/>
        <v>0</v>
      </c>
      <c r="I161" s="986">
        <f t="shared" si="38"/>
        <v>0</v>
      </c>
      <c r="J161" s="986">
        <f t="shared" si="38"/>
        <v>0</v>
      </c>
      <c r="K161" s="986">
        <f t="shared" si="38"/>
        <v>0</v>
      </c>
      <c r="L161" s="986">
        <f t="shared" si="38"/>
        <v>0</v>
      </c>
      <c r="M161" s="986">
        <f t="shared" si="38"/>
        <v>0</v>
      </c>
      <c r="N161" s="986">
        <f t="shared" si="38"/>
        <v>0</v>
      </c>
      <c r="O161" s="986">
        <f t="shared" si="38"/>
        <v>0</v>
      </c>
      <c r="P161" s="986">
        <f t="shared" si="38"/>
        <v>0</v>
      </c>
      <c r="Q161" s="986">
        <f t="shared" si="38"/>
        <v>0</v>
      </c>
      <c r="R161" s="986">
        <f t="shared" si="38"/>
        <v>0</v>
      </c>
      <c r="S161" s="986">
        <f t="shared" si="38"/>
        <v>0</v>
      </c>
      <c r="T161" s="1007"/>
      <c r="U161" s="1008">
        <f t="shared" ref="U161:Z161" si="39">SUM(U156:U160)</f>
        <v>0</v>
      </c>
      <c r="V161" s="1009">
        <f t="shared" si="39"/>
        <v>0</v>
      </c>
      <c r="W161" s="1009"/>
      <c r="X161" s="1009">
        <f t="shared" si="39"/>
        <v>0</v>
      </c>
      <c r="Y161" s="1009">
        <f t="shared" si="39"/>
        <v>0</v>
      </c>
      <c r="Z161" s="1025">
        <f t="shared" si="39"/>
        <v>0</v>
      </c>
      <c r="AA161" s="403"/>
      <c r="AB161" s="403"/>
      <c r="AC161" s="403"/>
      <c r="AD161" s="871"/>
    </row>
    <row r="162" spans="1:30" s="871" customFormat="1" ht="24" thickBot="1">
      <c r="A162" s="978"/>
      <c r="B162" s="979"/>
      <c r="C162" s="979"/>
      <c r="D162" s="980"/>
      <c r="E162" s="981"/>
      <c r="F162" s="981"/>
      <c r="G162" s="981"/>
      <c r="H162" s="981"/>
      <c r="I162" s="981"/>
      <c r="J162" s="981"/>
      <c r="K162" s="981"/>
      <c r="L162" s="981"/>
      <c r="M162" s="981"/>
      <c r="N162" s="981"/>
      <c r="O162" s="981"/>
      <c r="P162" s="981"/>
      <c r="Q162" s="981"/>
      <c r="R162" s="981"/>
      <c r="S162" s="981"/>
      <c r="T162" s="981"/>
      <c r="U162" s="981"/>
      <c r="V162" s="981"/>
      <c r="W162" s="981"/>
      <c r="X162" s="981"/>
      <c r="Y162" s="981"/>
      <c r="Z162" s="981"/>
      <c r="AA162" s="282"/>
      <c r="AB162" s="282"/>
      <c r="AC162" s="282"/>
      <c r="AD162" s="872"/>
    </row>
    <row r="163" spans="1:30" s="872" customFormat="1" ht="24" thickBot="1">
      <c r="A163" s="289" t="s">
        <v>143</v>
      </c>
      <c r="B163" s="877" t="s">
        <v>68</v>
      </c>
      <c r="C163" s="877" t="s">
        <v>69</v>
      </c>
      <c r="D163" s="878" t="s">
        <v>70</v>
      </c>
      <c r="E163" s="879" t="s">
        <v>71</v>
      </c>
      <c r="F163" s="880" t="s">
        <v>178</v>
      </c>
      <c r="G163" s="880" t="s">
        <v>399</v>
      </c>
      <c r="H163" s="879" t="s">
        <v>71</v>
      </c>
      <c r="I163" s="879" t="s">
        <v>97</v>
      </c>
      <c r="J163" s="879" t="s">
        <v>92</v>
      </c>
      <c r="K163" s="879" t="s">
        <v>194</v>
      </c>
      <c r="L163" s="880" t="s">
        <v>195</v>
      </c>
      <c r="M163" s="880" t="s">
        <v>482</v>
      </c>
      <c r="N163" s="880" t="s">
        <v>94</v>
      </c>
      <c r="O163" s="880" t="s">
        <v>86</v>
      </c>
      <c r="P163" s="880" t="s">
        <v>75</v>
      </c>
      <c r="Q163" s="880" t="s">
        <v>95</v>
      </c>
      <c r="R163" s="744" t="s">
        <v>77</v>
      </c>
      <c r="S163" s="914" t="s">
        <v>53</v>
      </c>
      <c r="T163" s="915"/>
      <c r="U163" s="916" t="s">
        <v>104</v>
      </c>
      <c r="V163" s="917" t="s">
        <v>105</v>
      </c>
      <c r="W163" s="917"/>
      <c r="X163" s="918" t="s">
        <v>106</v>
      </c>
      <c r="Y163" s="917" t="s">
        <v>107</v>
      </c>
      <c r="Z163" s="960" t="s">
        <v>108</v>
      </c>
      <c r="AA163" s="1"/>
      <c r="AB163" s="1"/>
      <c r="AC163" s="1"/>
      <c r="AD163" s="871"/>
    </row>
    <row r="164" spans="1:30" s="871" customFormat="1" ht="21">
      <c r="A164" s="445"/>
      <c r="B164" s="323"/>
      <c r="C164" s="323"/>
      <c r="D164" s="324"/>
      <c r="E164" s="889"/>
      <c r="F164" s="889"/>
      <c r="G164" s="889"/>
      <c r="H164" s="889"/>
      <c r="I164" s="889"/>
      <c r="J164" s="889"/>
      <c r="K164" s="889"/>
      <c r="L164" s="909"/>
      <c r="M164" s="909"/>
      <c r="N164" s="909"/>
      <c r="O164" s="909"/>
      <c r="P164" s="909"/>
      <c r="Q164" s="909"/>
      <c r="R164" s="922"/>
      <c r="S164" s="922"/>
      <c r="T164" s="1006"/>
      <c r="U164" s="924">
        <f t="shared" ref="U164:U168" si="40">SUM(E164:S164)</f>
        <v>0</v>
      </c>
      <c r="V164" s="924"/>
      <c r="W164" s="925"/>
      <c r="X164" s="924">
        <f t="shared" ref="X164:X168" si="41">U164+V164</f>
        <v>0</v>
      </c>
      <c r="Y164" s="925"/>
      <c r="Z164" s="924">
        <f t="shared" ref="Z164:Z168" si="42">X164+Y164</f>
        <v>0</v>
      </c>
      <c r="AA164" s="1"/>
      <c r="AB164" s="1"/>
      <c r="AC164" s="1"/>
      <c r="AD164" s="872"/>
    </row>
    <row r="165" spans="1:30" s="872" customFormat="1" ht="21">
      <c r="A165" s="983"/>
      <c r="B165" s="929"/>
      <c r="C165" s="929"/>
      <c r="D165" s="984"/>
      <c r="E165" s="893"/>
      <c r="F165" s="893"/>
      <c r="G165" s="893"/>
      <c r="H165" s="893"/>
      <c r="I165" s="893"/>
      <c r="J165" s="893"/>
      <c r="K165" s="893"/>
      <c r="L165" s="910"/>
      <c r="M165" s="910"/>
      <c r="N165" s="910"/>
      <c r="O165" s="910"/>
      <c r="P165" s="910"/>
      <c r="Q165" s="910"/>
      <c r="R165" s="926"/>
      <c r="S165" s="926"/>
      <c r="T165" s="927"/>
      <c r="U165" s="928">
        <f t="shared" si="40"/>
        <v>0</v>
      </c>
      <c r="V165" s="929"/>
      <c r="W165" s="930"/>
      <c r="X165" s="928">
        <f t="shared" si="41"/>
        <v>0</v>
      </c>
      <c r="Y165" s="930"/>
      <c r="Z165" s="928">
        <f t="shared" si="42"/>
        <v>0</v>
      </c>
      <c r="AA165" s="1"/>
      <c r="AB165" s="1"/>
      <c r="AC165" s="1"/>
      <c r="AD165" s="871"/>
    </row>
    <row r="166" spans="1:30" s="871" customFormat="1" ht="21">
      <c r="A166" s="983"/>
      <c r="B166" s="929"/>
      <c r="C166" s="929"/>
      <c r="D166" s="984"/>
      <c r="E166" s="893"/>
      <c r="F166" s="893"/>
      <c r="G166" s="893"/>
      <c r="H166" s="893"/>
      <c r="I166" s="893"/>
      <c r="J166" s="893"/>
      <c r="K166" s="893"/>
      <c r="L166" s="910"/>
      <c r="M166" s="910"/>
      <c r="N166" s="910"/>
      <c r="O166" s="910"/>
      <c r="P166" s="910"/>
      <c r="Q166" s="910"/>
      <c r="R166" s="926"/>
      <c r="S166" s="926"/>
      <c r="T166" s="927"/>
      <c r="U166" s="928">
        <f t="shared" si="40"/>
        <v>0</v>
      </c>
      <c r="V166" s="929"/>
      <c r="W166" s="930"/>
      <c r="X166" s="928">
        <f t="shared" si="41"/>
        <v>0</v>
      </c>
      <c r="Y166" s="930"/>
      <c r="Z166" s="928">
        <f t="shared" si="42"/>
        <v>0</v>
      </c>
      <c r="AA166" s="1"/>
      <c r="AB166" s="1"/>
      <c r="AC166" s="1"/>
      <c r="AD166" s="872"/>
    </row>
    <row r="167" spans="1:30" s="872" customFormat="1" ht="21">
      <c r="A167" s="983"/>
      <c r="B167" s="929"/>
      <c r="C167" s="929"/>
      <c r="D167" s="984"/>
      <c r="E167" s="893"/>
      <c r="F167" s="893"/>
      <c r="G167" s="893"/>
      <c r="H167" s="893"/>
      <c r="I167" s="893"/>
      <c r="J167" s="893"/>
      <c r="K167" s="893"/>
      <c r="L167" s="910"/>
      <c r="M167" s="910"/>
      <c r="N167" s="910"/>
      <c r="O167" s="910"/>
      <c r="P167" s="910"/>
      <c r="Q167" s="910"/>
      <c r="R167" s="926"/>
      <c r="S167" s="926"/>
      <c r="T167" s="927"/>
      <c r="U167" s="928">
        <f t="shared" si="40"/>
        <v>0</v>
      </c>
      <c r="V167" s="929"/>
      <c r="W167" s="930"/>
      <c r="X167" s="928">
        <f t="shared" si="41"/>
        <v>0</v>
      </c>
      <c r="Y167" s="930"/>
      <c r="Z167" s="928">
        <f t="shared" si="42"/>
        <v>0</v>
      </c>
      <c r="AA167" s="394"/>
      <c r="AB167" s="394"/>
      <c r="AC167" s="394"/>
      <c r="AD167" s="871"/>
    </row>
    <row r="168" spans="1:30" s="871" customFormat="1" ht="21.75" thickBot="1">
      <c r="A168" s="983"/>
      <c r="B168" s="929"/>
      <c r="C168" s="929"/>
      <c r="D168" s="984"/>
      <c r="E168" s="893"/>
      <c r="F168" s="893"/>
      <c r="G168" s="893"/>
      <c r="H168" s="893"/>
      <c r="I168" s="893"/>
      <c r="J168" s="893"/>
      <c r="K168" s="893"/>
      <c r="L168" s="910"/>
      <c r="M168" s="910"/>
      <c r="N168" s="910"/>
      <c r="O168" s="910"/>
      <c r="P168" s="910"/>
      <c r="Q168" s="910"/>
      <c r="R168" s="926"/>
      <c r="S168" s="926"/>
      <c r="T168" s="927"/>
      <c r="U168" s="931">
        <f t="shared" si="40"/>
        <v>0</v>
      </c>
      <c r="V168" s="931"/>
      <c r="W168" s="930"/>
      <c r="X168" s="931">
        <f t="shared" si="41"/>
        <v>0</v>
      </c>
      <c r="Y168" s="930"/>
      <c r="Z168" s="931">
        <f t="shared" si="42"/>
        <v>0</v>
      </c>
      <c r="AA168" s="403"/>
      <c r="AB168" s="403"/>
      <c r="AC168" s="403"/>
      <c r="AD168" s="872"/>
    </row>
    <row r="169" spans="1:30" s="872" customFormat="1" ht="24" thickBot="1">
      <c r="A169" s="985" t="s">
        <v>134</v>
      </c>
      <c r="B169" s="895"/>
      <c r="C169" s="895"/>
      <c r="D169" s="896"/>
      <c r="E169" s="897">
        <f t="shared" ref="E169:S169" si="43">SUM(E164:E168)</f>
        <v>0</v>
      </c>
      <c r="F169" s="897">
        <f t="shared" si="43"/>
        <v>0</v>
      </c>
      <c r="G169" s="897">
        <f t="shared" si="43"/>
        <v>0</v>
      </c>
      <c r="H169" s="897">
        <f t="shared" si="43"/>
        <v>0</v>
      </c>
      <c r="I169" s="897">
        <f t="shared" si="43"/>
        <v>0</v>
      </c>
      <c r="J169" s="897">
        <f t="shared" si="43"/>
        <v>0</v>
      </c>
      <c r="K169" s="897">
        <f t="shared" si="43"/>
        <v>0</v>
      </c>
      <c r="L169" s="897">
        <f t="shared" si="43"/>
        <v>0</v>
      </c>
      <c r="M169" s="897">
        <f t="shared" si="43"/>
        <v>0</v>
      </c>
      <c r="N169" s="897">
        <f t="shared" si="43"/>
        <v>0</v>
      </c>
      <c r="O169" s="897">
        <f t="shared" si="43"/>
        <v>0</v>
      </c>
      <c r="P169" s="897">
        <f t="shared" si="43"/>
        <v>0</v>
      </c>
      <c r="Q169" s="897">
        <f t="shared" si="43"/>
        <v>0</v>
      </c>
      <c r="R169" s="897">
        <f t="shared" si="43"/>
        <v>0</v>
      </c>
      <c r="S169" s="935">
        <f t="shared" si="43"/>
        <v>0</v>
      </c>
      <c r="T169" s="932"/>
      <c r="U169" s="933">
        <f t="shared" ref="U169:Z169" si="44">SUM(U164:U168)</f>
        <v>0</v>
      </c>
      <c r="V169" s="934">
        <f t="shared" si="44"/>
        <v>0</v>
      </c>
      <c r="W169" s="934"/>
      <c r="X169" s="934">
        <f t="shared" si="44"/>
        <v>0</v>
      </c>
      <c r="Y169" s="934">
        <f t="shared" si="44"/>
        <v>0</v>
      </c>
      <c r="Z169" s="973">
        <f t="shared" si="44"/>
        <v>0</v>
      </c>
      <c r="AA169" s="403"/>
      <c r="AB169" s="403"/>
      <c r="AC169" s="403"/>
    </row>
    <row r="170" spans="1:30" s="872" customFormat="1" ht="24" thickBot="1">
      <c r="A170" s="978"/>
      <c r="B170" s="979"/>
      <c r="C170" s="979"/>
      <c r="D170" s="980"/>
      <c r="E170" s="981"/>
      <c r="F170" s="981"/>
      <c r="G170" s="981"/>
      <c r="H170" s="981"/>
      <c r="I170" s="981"/>
      <c r="J170" s="981"/>
      <c r="K170" s="981"/>
      <c r="L170" s="981"/>
      <c r="M170" s="981"/>
      <c r="N170" s="981"/>
      <c r="O170" s="981"/>
      <c r="P170" s="981"/>
      <c r="Q170" s="981"/>
      <c r="R170" s="981"/>
      <c r="S170" s="981"/>
      <c r="T170" s="981"/>
      <c r="U170" s="981"/>
      <c r="V170" s="981"/>
      <c r="W170" s="981"/>
      <c r="X170" s="981"/>
      <c r="Y170" s="981"/>
      <c r="Z170" s="981"/>
      <c r="AA170" s="1"/>
      <c r="AB170" s="152"/>
      <c r="AC170" s="1"/>
    </row>
    <row r="171" spans="1:30" s="872" customFormat="1" ht="24" thickBot="1">
      <c r="A171" s="991" t="s">
        <v>151</v>
      </c>
      <c r="B171" s="992"/>
      <c r="C171" s="992"/>
      <c r="D171" s="991"/>
      <c r="E171" s="993">
        <f>E4+E27+E56+E83+E110+E137+E145+E153+E161+E169</f>
        <v>0</v>
      </c>
      <c r="F171" s="993">
        <f t="shared" ref="F171:S171" si="45">F4+F27+F56+F83+F110+F137+F145+F153+F161+F169</f>
        <v>552</v>
      </c>
      <c r="G171" s="993">
        <f t="shared" si="45"/>
        <v>660</v>
      </c>
      <c r="H171" s="993">
        <f t="shared" si="45"/>
        <v>0</v>
      </c>
      <c r="I171" s="993">
        <f t="shared" si="45"/>
        <v>804</v>
      </c>
      <c r="J171" s="993">
        <f t="shared" si="45"/>
        <v>276</v>
      </c>
      <c r="K171" s="993">
        <f t="shared" si="45"/>
        <v>0</v>
      </c>
      <c r="L171" s="993">
        <f t="shared" si="45"/>
        <v>264</v>
      </c>
      <c r="M171" s="993">
        <f t="shared" si="45"/>
        <v>696</v>
      </c>
      <c r="N171" s="993">
        <f t="shared" si="45"/>
        <v>360</v>
      </c>
      <c r="O171" s="993">
        <f t="shared" si="45"/>
        <v>444</v>
      </c>
      <c r="P171" s="993">
        <f t="shared" si="45"/>
        <v>0</v>
      </c>
      <c r="Q171" s="993">
        <f t="shared" si="45"/>
        <v>0</v>
      </c>
      <c r="R171" s="993">
        <f t="shared" si="45"/>
        <v>0</v>
      </c>
      <c r="S171" s="993">
        <f t="shared" si="45"/>
        <v>396</v>
      </c>
      <c r="T171" s="993"/>
      <c r="U171" s="993">
        <f t="shared" ref="U171:Z171" si="46">U4+U27+U56+U83+U110+U137+U145+U153+U161+U169</f>
        <v>4452</v>
      </c>
      <c r="V171" s="993">
        <f t="shared" si="46"/>
        <v>17</v>
      </c>
      <c r="W171" s="993">
        <f t="shared" si="46"/>
        <v>0</v>
      </c>
      <c r="X171" s="993">
        <f t="shared" si="46"/>
        <v>4469</v>
      </c>
      <c r="Y171" s="993">
        <f t="shared" si="46"/>
        <v>107</v>
      </c>
      <c r="Z171" s="993">
        <f t="shared" si="46"/>
        <v>4576</v>
      </c>
      <c r="AA171" s="1"/>
      <c r="AB171" s="1"/>
      <c r="AC171" s="1"/>
      <c r="AD171" s="871"/>
    </row>
    <row r="172" spans="1:30" s="871" customFormat="1" ht="24" thickBot="1">
      <c r="A172" s="3533" t="s">
        <v>146</v>
      </c>
      <c r="B172" s="992"/>
      <c r="C172" s="992"/>
      <c r="D172" s="3533"/>
      <c r="E172" s="995">
        <f>E171/16</f>
        <v>0</v>
      </c>
      <c r="F172" s="995">
        <f t="shared" ref="F172:S172" si="47">F171/16</f>
        <v>34.5</v>
      </c>
      <c r="G172" s="995">
        <f t="shared" si="47"/>
        <v>41.25</v>
      </c>
      <c r="H172" s="995">
        <f t="shared" si="47"/>
        <v>0</v>
      </c>
      <c r="I172" s="995">
        <f t="shared" si="47"/>
        <v>50.25</v>
      </c>
      <c r="J172" s="995">
        <f t="shared" si="47"/>
        <v>17.25</v>
      </c>
      <c r="K172" s="995">
        <f t="shared" si="47"/>
        <v>0</v>
      </c>
      <c r="L172" s="995">
        <f t="shared" si="47"/>
        <v>16.5</v>
      </c>
      <c r="M172" s="995">
        <f t="shared" si="47"/>
        <v>43.5</v>
      </c>
      <c r="N172" s="995">
        <f t="shared" si="47"/>
        <v>22.5</v>
      </c>
      <c r="O172" s="995">
        <f t="shared" si="47"/>
        <v>27.75</v>
      </c>
      <c r="P172" s="995">
        <f t="shared" si="47"/>
        <v>0</v>
      </c>
      <c r="Q172" s="995">
        <f t="shared" si="47"/>
        <v>0</v>
      </c>
      <c r="R172" s="995">
        <f t="shared" si="47"/>
        <v>0</v>
      </c>
      <c r="S172" s="995">
        <f t="shared" si="47"/>
        <v>24.75</v>
      </c>
      <c r="T172" s="76"/>
      <c r="U172" s="995">
        <f t="shared" ref="U172:Z172" si="48">U171/12</f>
        <v>371</v>
      </c>
      <c r="V172" s="1011">
        <f t="shared" si="48"/>
        <v>1.4166666666666667</v>
      </c>
      <c r="W172" s="1011">
        <f t="shared" si="48"/>
        <v>0</v>
      </c>
      <c r="X172" s="1012">
        <f t="shared" si="48"/>
        <v>372.41666666666669</v>
      </c>
      <c r="Y172" s="1012">
        <f t="shared" si="48"/>
        <v>8.9166666666666661</v>
      </c>
      <c r="Z172" s="1027">
        <f t="shared" si="48"/>
        <v>381.33333333333331</v>
      </c>
      <c r="AA172" s="1026"/>
      <c r="AB172" s="1026"/>
      <c r="AC172" s="1026"/>
      <c r="AD172" s="872"/>
    </row>
    <row r="173" spans="1:30" s="872" customFormat="1" ht="24" thickBot="1">
      <c r="A173" s="3851" t="s">
        <v>201</v>
      </c>
      <c r="B173" s="3851"/>
      <c r="C173" s="3851"/>
      <c r="D173" s="3851"/>
      <c r="E173" s="3852"/>
      <c r="F173" s="3852"/>
      <c r="G173" s="3852"/>
      <c r="H173" s="3852"/>
      <c r="I173" s="3852"/>
      <c r="J173" s="3852"/>
      <c r="K173" s="3852"/>
      <c r="L173" s="3852"/>
      <c r="M173" s="3852"/>
      <c r="N173" s="3852"/>
      <c r="O173" s="3852"/>
      <c r="P173" s="3852"/>
      <c r="Q173" s="3852"/>
      <c r="R173" s="3852"/>
      <c r="S173" s="3852"/>
      <c r="T173" s="3851"/>
      <c r="U173" s="3852"/>
      <c r="V173" s="3852"/>
      <c r="W173" s="3852"/>
      <c r="X173" s="3852"/>
      <c r="Y173" s="3852"/>
      <c r="Z173" s="3852"/>
      <c r="AA173" s="276"/>
      <c r="AB173" s="276"/>
      <c r="AC173" s="276"/>
      <c r="AD173" s="871"/>
    </row>
    <row r="174" spans="1:30" s="871" customFormat="1" ht="24" thickBot="1">
      <c r="A174" s="3593" t="s">
        <v>148</v>
      </c>
      <c r="B174" s="3594" t="s">
        <v>68</v>
      </c>
      <c r="C174" s="3594" t="s">
        <v>69</v>
      </c>
      <c r="D174" s="999" t="s">
        <v>70</v>
      </c>
      <c r="E174" s="901" t="s">
        <v>71</v>
      </c>
      <c r="F174" s="880" t="s">
        <v>497</v>
      </c>
      <c r="G174" s="880" t="s">
        <v>399</v>
      </c>
      <c r="H174" s="879" t="s">
        <v>193</v>
      </c>
      <c r="I174" s="879" t="s">
        <v>97</v>
      </c>
      <c r="J174" s="879" t="s">
        <v>92</v>
      </c>
      <c r="K174" s="879" t="s">
        <v>194</v>
      </c>
      <c r="L174" s="880" t="s">
        <v>195</v>
      </c>
      <c r="M174" s="880" t="s">
        <v>482</v>
      </c>
      <c r="N174" s="880" t="s">
        <v>94</v>
      </c>
      <c r="O174" s="880" t="s">
        <v>86</v>
      </c>
      <c r="P174" s="880" t="s">
        <v>75</v>
      </c>
      <c r="Q174" s="914" t="s">
        <v>261</v>
      </c>
      <c r="R174" s="1013" t="s">
        <v>77</v>
      </c>
      <c r="S174" s="1014" t="s">
        <v>53</v>
      </c>
      <c r="T174" s="1015"/>
      <c r="U174" s="1016" t="s">
        <v>104</v>
      </c>
      <c r="V174" s="1017" t="s">
        <v>105</v>
      </c>
      <c r="W174" s="1017"/>
      <c r="X174" s="1018" t="s">
        <v>106</v>
      </c>
      <c r="Y174" s="1017" t="s">
        <v>107</v>
      </c>
      <c r="Z174" s="1028" t="s">
        <v>108</v>
      </c>
      <c r="AD174" s="872"/>
    </row>
    <row r="175" spans="1:30" s="872" customFormat="1" ht="21">
      <c r="A175" s="537" t="s">
        <v>619</v>
      </c>
      <c r="B175" s="3595"/>
      <c r="C175" s="3596"/>
      <c r="D175" s="3592">
        <v>46116</v>
      </c>
      <c r="E175" s="889"/>
      <c r="F175" s="889"/>
      <c r="G175" s="889"/>
      <c r="H175" s="889"/>
      <c r="I175" s="889"/>
      <c r="J175" s="889">
        <f>1*12</f>
        <v>12</v>
      </c>
      <c r="K175" s="889"/>
      <c r="L175" s="909"/>
      <c r="M175" s="909"/>
      <c r="N175" s="909"/>
      <c r="O175" s="909">
        <f>1*12</f>
        <v>12</v>
      </c>
      <c r="P175" s="909"/>
      <c r="Q175" s="909"/>
      <c r="R175" s="922"/>
      <c r="S175" s="922"/>
      <c r="T175" s="1021"/>
      <c r="U175" s="1207">
        <f t="shared" ref="U175:U243" si="49">SUM(E175:S175)</f>
        <v>24</v>
      </c>
      <c r="V175" s="1208"/>
      <c r="W175" s="1023"/>
      <c r="X175" s="1207">
        <f t="shared" ref="X175:X243" si="50">U175+V175</f>
        <v>24</v>
      </c>
      <c r="Y175" s="1023"/>
      <c r="Z175" s="1207">
        <f t="shared" ref="Z175:Z243" si="51">X175+Y175</f>
        <v>24</v>
      </c>
      <c r="AD175" s="871"/>
    </row>
    <row r="176" spans="1:30" s="871" customFormat="1" ht="21">
      <c r="A176" s="561" t="s">
        <v>619</v>
      </c>
      <c r="B176" s="552"/>
      <c r="C176" s="553"/>
      <c r="D176" s="555">
        <v>46130</v>
      </c>
      <c r="E176" s="945"/>
      <c r="F176" s="904"/>
      <c r="G176" s="904"/>
      <c r="H176" s="904"/>
      <c r="I176" s="904"/>
      <c r="J176" s="904">
        <f>1*12</f>
        <v>12</v>
      </c>
      <c r="K176" s="904"/>
      <c r="L176" s="912"/>
      <c r="M176" s="912"/>
      <c r="N176" s="912"/>
      <c r="O176" s="912">
        <f>1*12</f>
        <v>12</v>
      </c>
      <c r="P176" s="912"/>
      <c r="Q176" s="912"/>
      <c r="R176" s="941"/>
      <c r="S176" s="969"/>
      <c r="T176" s="938"/>
      <c r="U176" s="944">
        <f t="shared" si="49"/>
        <v>24</v>
      </c>
      <c r="V176" s="942"/>
      <c r="W176" s="957"/>
      <c r="X176" s="944">
        <f t="shared" si="50"/>
        <v>24</v>
      </c>
      <c r="Y176" s="957"/>
      <c r="Z176" s="944">
        <f t="shared" si="51"/>
        <v>24</v>
      </c>
      <c r="AD176" s="872"/>
    </row>
    <row r="177" spans="1:30" s="871" customFormat="1" ht="21">
      <c r="A177" s="547" t="s">
        <v>653</v>
      </c>
      <c r="B177" s="545"/>
      <c r="C177" s="539"/>
      <c r="D177" s="544">
        <v>46130</v>
      </c>
      <c r="E177" s="1000"/>
      <c r="F177" s="1001"/>
      <c r="G177" s="1001"/>
      <c r="H177" s="1001"/>
      <c r="I177" s="1001">
        <f>2*12</f>
        <v>24</v>
      </c>
      <c r="J177" s="1001"/>
      <c r="K177" s="1001"/>
      <c r="L177" s="1005"/>
      <c r="M177" s="1005"/>
      <c r="N177" s="1005"/>
      <c r="O177" s="1005"/>
      <c r="P177" s="1005"/>
      <c r="Q177" s="1005"/>
      <c r="R177" s="1019"/>
      <c r="S177" s="1020"/>
      <c r="T177" s="1021"/>
      <c r="U177" s="944">
        <f t="shared" ref="U177:U178" si="52">SUM(E177:S177)</f>
        <v>24</v>
      </c>
      <c r="V177" s="1022"/>
      <c r="W177" s="1023"/>
      <c r="X177" s="1024">
        <f t="shared" si="50"/>
        <v>24</v>
      </c>
      <c r="Y177" s="1023"/>
      <c r="Z177" s="1024">
        <f t="shared" si="51"/>
        <v>24</v>
      </c>
      <c r="AD177" s="872"/>
    </row>
    <row r="178" spans="1:30" s="872" customFormat="1" ht="21">
      <c r="A178" s="547" t="s">
        <v>661</v>
      </c>
      <c r="B178" s="563"/>
      <c r="C178" s="553"/>
      <c r="D178" s="544">
        <v>46133</v>
      </c>
      <c r="E178" s="945"/>
      <c r="F178" s="904"/>
      <c r="G178" s="904"/>
      <c r="H178" s="904"/>
      <c r="I178" s="904"/>
      <c r="J178" s="904">
        <f>1*12</f>
        <v>12</v>
      </c>
      <c r="K178" s="904"/>
      <c r="L178" s="912"/>
      <c r="M178" s="912"/>
      <c r="N178" s="912"/>
      <c r="O178" s="912">
        <f>1*12</f>
        <v>12</v>
      </c>
      <c r="P178" s="912"/>
      <c r="Q178" s="912"/>
      <c r="R178" s="941"/>
      <c r="S178" s="969"/>
      <c r="T178" s="938"/>
      <c r="U178" s="944">
        <f t="shared" si="52"/>
        <v>24</v>
      </c>
      <c r="V178" s="942"/>
      <c r="W178" s="957"/>
      <c r="X178" s="944">
        <f t="shared" si="50"/>
        <v>24</v>
      </c>
      <c r="Y178" s="957"/>
      <c r="Z178" s="944">
        <f t="shared" si="51"/>
        <v>24</v>
      </c>
      <c r="AD178" s="871"/>
    </row>
    <row r="179" spans="1:30" s="871" customFormat="1" ht="21">
      <c r="A179" s="551" t="s">
        <v>623</v>
      </c>
      <c r="B179" s="545"/>
      <c r="C179" s="539"/>
      <c r="D179" s="544">
        <v>46133</v>
      </c>
      <c r="E179" s="1000"/>
      <c r="F179" s="1001"/>
      <c r="G179" s="1001"/>
      <c r="H179" s="1001"/>
      <c r="I179" s="1001">
        <f>2*12</f>
        <v>24</v>
      </c>
      <c r="J179" s="1001"/>
      <c r="K179" s="1001"/>
      <c r="L179" s="1005"/>
      <c r="M179" s="1005"/>
      <c r="N179" s="1005"/>
      <c r="O179" s="1005"/>
      <c r="P179" s="1005"/>
      <c r="Q179" s="1005"/>
      <c r="R179" s="1019"/>
      <c r="S179" s="1020"/>
      <c r="T179" s="1021"/>
      <c r="U179" s="944">
        <f t="shared" si="49"/>
        <v>24</v>
      </c>
      <c r="V179" s="1022"/>
      <c r="W179" s="1023"/>
      <c r="X179" s="1024">
        <f t="shared" si="50"/>
        <v>24</v>
      </c>
      <c r="Y179" s="1023"/>
      <c r="Z179" s="1024">
        <f t="shared" si="51"/>
        <v>24</v>
      </c>
      <c r="AD179" s="872"/>
    </row>
    <row r="180" spans="1:30" s="872" customFormat="1" ht="21">
      <c r="A180" s="561" t="s">
        <v>665</v>
      </c>
      <c r="B180" s="796"/>
      <c r="C180" s="797"/>
      <c r="D180" s="544">
        <v>46134</v>
      </c>
      <c r="E180" s="904"/>
      <c r="F180" s="904"/>
      <c r="G180" s="904"/>
      <c r="H180" s="904"/>
      <c r="I180" s="904"/>
      <c r="J180" s="904"/>
      <c r="K180" s="904"/>
      <c r="L180" s="912"/>
      <c r="M180" s="912">
        <f>3*12</f>
        <v>36</v>
      </c>
      <c r="N180" s="912"/>
      <c r="O180" s="912"/>
      <c r="P180" s="912"/>
      <c r="Q180" s="912"/>
      <c r="R180" s="941"/>
      <c r="S180" s="969"/>
      <c r="T180" s="938"/>
      <c r="U180" s="944">
        <f t="shared" si="49"/>
        <v>36</v>
      </c>
      <c r="V180" s="942"/>
      <c r="W180" s="957"/>
      <c r="X180" s="944">
        <f t="shared" si="50"/>
        <v>36</v>
      </c>
      <c r="Y180" s="957"/>
      <c r="Z180" s="944">
        <f t="shared" si="51"/>
        <v>36</v>
      </c>
      <c r="AA180" s="871"/>
      <c r="AB180" s="871"/>
      <c r="AC180" s="871"/>
      <c r="AD180" s="871"/>
    </row>
    <row r="181" spans="1:30" s="872" customFormat="1" ht="21">
      <c r="A181" s="547" t="s">
        <v>621</v>
      </c>
      <c r="B181" s="545"/>
      <c r="C181" s="539"/>
      <c r="D181" s="544">
        <v>46134</v>
      </c>
      <c r="E181" s="1002"/>
      <c r="F181" s="1003"/>
      <c r="G181" s="1001"/>
      <c r="H181" s="1001"/>
      <c r="I181" s="1001">
        <f>2*12</f>
        <v>24</v>
      </c>
      <c r="J181" s="1001"/>
      <c r="K181" s="1001"/>
      <c r="L181" s="1005"/>
      <c r="M181" s="1005">
        <f>1*12</f>
        <v>12</v>
      </c>
      <c r="N181" s="1005"/>
      <c r="O181" s="1005"/>
      <c r="P181" s="1005"/>
      <c r="Q181" s="1005"/>
      <c r="R181" s="1019"/>
      <c r="S181" s="1020">
        <f>3*12</f>
        <v>36</v>
      </c>
      <c r="T181" s="1021"/>
      <c r="U181" s="1024">
        <f t="shared" si="49"/>
        <v>72</v>
      </c>
      <c r="V181" s="1022"/>
      <c r="W181" s="1023"/>
      <c r="X181" s="1024">
        <f t="shared" si="50"/>
        <v>72</v>
      </c>
      <c r="Y181" s="1023"/>
      <c r="Z181" s="1024">
        <f t="shared" si="51"/>
        <v>72</v>
      </c>
      <c r="AA181" s="871"/>
      <c r="AB181" s="871"/>
      <c r="AC181" s="871"/>
      <c r="AD181" s="871"/>
    </row>
    <row r="182" spans="1:30" s="871" customFormat="1" ht="21">
      <c r="A182" s="537" t="s">
        <v>668</v>
      </c>
      <c r="B182" s="552"/>
      <c r="C182" s="553"/>
      <c r="D182" s="544">
        <v>46135</v>
      </c>
      <c r="E182" s="1002"/>
      <c r="F182" s="1003"/>
      <c r="G182" s="1001"/>
      <c r="H182" s="1001"/>
      <c r="I182" s="1001">
        <f>2*12</f>
        <v>24</v>
      </c>
      <c r="J182" s="1001"/>
      <c r="K182" s="1001"/>
      <c r="L182" s="1005"/>
      <c r="M182" s="1005">
        <f>2*12</f>
        <v>24</v>
      </c>
      <c r="N182" s="1005"/>
      <c r="O182" s="1005"/>
      <c r="P182" s="1005"/>
      <c r="Q182" s="1005"/>
      <c r="R182" s="1019"/>
      <c r="S182" s="1020"/>
      <c r="T182" s="1021"/>
      <c r="U182" s="1024">
        <f t="shared" ref="U182" si="53">SUM(E182:S182)</f>
        <v>48</v>
      </c>
      <c r="V182" s="1022"/>
      <c r="W182" s="1023"/>
      <c r="X182" s="1024">
        <f t="shared" si="50"/>
        <v>48</v>
      </c>
      <c r="Y182" s="1023"/>
      <c r="Z182" s="1024">
        <f t="shared" si="51"/>
        <v>48</v>
      </c>
      <c r="AA182" s="872"/>
      <c r="AB182" s="872"/>
      <c r="AC182" s="872"/>
      <c r="AD182" s="872"/>
    </row>
    <row r="183" spans="1:30" s="872" customFormat="1" ht="21" customHeight="1">
      <c r="A183" s="551" t="s">
        <v>627</v>
      </c>
      <c r="B183" s="552"/>
      <c r="C183" s="553"/>
      <c r="D183" s="544">
        <v>46136</v>
      </c>
      <c r="E183" s="1001"/>
      <c r="F183" s="1001"/>
      <c r="G183" s="1001"/>
      <c r="H183" s="1001"/>
      <c r="I183" s="1001">
        <f>3*12</f>
        <v>36</v>
      </c>
      <c r="J183" s="1001"/>
      <c r="K183" s="1001"/>
      <c r="L183" s="1005">
        <f>3*12</f>
        <v>36</v>
      </c>
      <c r="M183" s="1005">
        <f>3*12</f>
        <v>36</v>
      </c>
      <c r="N183" s="1005">
        <f>3*12</f>
        <v>36</v>
      </c>
      <c r="O183" s="1005"/>
      <c r="P183" s="1005"/>
      <c r="Q183" s="1005"/>
      <c r="R183" s="1019"/>
      <c r="S183" s="1020"/>
      <c r="T183" s="1021"/>
      <c r="U183" s="1024">
        <f t="shared" si="49"/>
        <v>144</v>
      </c>
      <c r="V183" s="1022"/>
      <c r="W183" s="1023"/>
      <c r="X183" s="1024">
        <f t="shared" si="50"/>
        <v>144</v>
      </c>
      <c r="Y183" s="1023"/>
      <c r="Z183" s="1024">
        <f t="shared" si="51"/>
        <v>144</v>
      </c>
      <c r="AA183" s="871"/>
      <c r="AB183" s="871"/>
      <c r="AC183" s="871"/>
    </row>
    <row r="184" spans="1:30" s="872" customFormat="1" ht="21">
      <c r="A184" s="537" t="s">
        <v>629</v>
      </c>
      <c r="B184" s="552"/>
      <c r="C184" s="553"/>
      <c r="D184" s="544">
        <v>46138</v>
      </c>
      <c r="E184" s="904"/>
      <c r="F184" s="904"/>
      <c r="G184" s="904"/>
      <c r="H184" s="904"/>
      <c r="I184" s="904"/>
      <c r="J184" s="904"/>
      <c r="K184" s="904"/>
      <c r="L184" s="912"/>
      <c r="M184" s="912"/>
      <c r="N184" s="912"/>
      <c r="O184" s="912"/>
      <c r="P184" s="912"/>
      <c r="Q184" s="912"/>
      <c r="R184" s="941"/>
      <c r="S184" s="969">
        <f>4*12</f>
        <v>48</v>
      </c>
      <c r="T184" s="938"/>
      <c r="U184" s="944">
        <f t="shared" si="49"/>
        <v>48</v>
      </c>
      <c r="V184" s="942"/>
      <c r="W184" s="957"/>
      <c r="X184" s="944">
        <f t="shared" si="50"/>
        <v>48</v>
      </c>
      <c r="Y184" s="957"/>
      <c r="Z184" s="944">
        <f t="shared" si="51"/>
        <v>48</v>
      </c>
      <c r="AD184" s="871"/>
    </row>
    <row r="185" spans="1:30" s="871" customFormat="1" ht="21">
      <c r="A185" s="547" t="s">
        <v>677</v>
      </c>
      <c r="B185" s="552"/>
      <c r="C185" s="553"/>
      <c r="D185" s="544">
        <v>46138</v>
      </c>
      <c r="E185" s="1001"/>
      <c r="F185" s="1001"/>
      <c r="G185" s="1001"/>
      <c r="H185" s="1001"/>
      <c r="I185" s="1001"/>
      <c r="J185" s="1001"/>
      <c r="K185" s="1001"/>
      <c r="L185" s="1005"/>
      <c r="M185" s="1005">
        <f>1*12</f>
        <v>12</v>
      </c>
      <c r="N185" s="1005">
        <f>1*12</f>
        <v>12</v>
      </c>
      <c r="O185" s="1005"/>
      <c r="P185" s="1005"/>
      <c r="Q185" s="1005"/>
      <c r="R185" s="1019"/>
      <c r="S185" s="1020"/>
      <c r="T185" s="1021"/>
      <c r="U185" s="1024">
        <f t="shared" si="49"/>
        <v>24</v>
      </c>
      <c r="V185" s="1022"/>
      <c r="W185" s="1023"/>
      <c r="X185" s="1024">
        <f t="shared" si="50"/>
        <v>24</v>
      </c>
      <c r="Y185" s="1023"/>
      <c r="Z185" s="1024">
        <f t="shared" si="51"/>
        <v>24</v>
      </c>
      <c r="AD185" s="872"/>
    </row>
    <row r="186" spans="1:30" s="872" customFormat="1" ht="21">
      <c r="A186" s="547" t="s">
        <v>682</v>
      </c>
      <c r="B186" s="552"/>
      <c r="C186" s="553"/>
      <c r="D186" s="555">
        <v>46140</v>
      </c>
      <c r="E186" s="904"/>
      <c r="F186" s="904"/>
      <c r="G186" s="904"/>
      <c r="H186" s="904"/>
      <c r="I186" s="904">
        <f>2*12</f>
        <v>24</v>
      </c>
      <c r="J186" s="904"/>
      <c r="K186" s="904"/>
      <c r="L186" s="912"/>
      <c r="M186" s="912">
        <f>2*12</f>
        <v>24</v>
      </c>
      <c r="N186" s="912"/>
      <c r="O186" s="912"/>
      <c r="P186" s="912"/>
      <c r="Q186" s="912"/>
      <c r="R186" s="941"/>
      <c r="S186" s="969"/>
      <c r="T186" s="938"/>
      <c r="U186" s="944">
        <f t="shared" si="49"/>
        <v>48</v>
      </c>
      <c r="V186" s="942"/>
      <c r="W186" s="957"/>
      <c r="X186" s="944">
        <f t="shared" si="50"/>
        <v>48</v>
      </c>
      <c r="Y186" s="957"/>
      <c r="Z186" s="944">
        <f t="shared" si="51"/>
        <v>48</v>
      </c>
      <c r="AD186" s="871"/>
    </row>
    <row r="187" spans="1:30" s="871" customFormat="1" ht="21">
      <c r="A187" s="547" t="s">
        <v>683</v>
      </c>
      <c r="B187" s="550"/>
      <c r="C187" s="549"/>
      <c r="D187" s="544">
        <v>46140</v>
      </c>
      <c r="E187" s="904"/>
      <c r="F187" s="904"/>
      <c r="G187" s="904"/>
      <c r="H187" s="904"/>
      <c r="I187" s="904">
        <f>1*12</f>
        <v>12</v>
      </c>
      <c r="J187" s="904"/>
      <c r="K187" s="904"/>
      <c r="L187" s="912"/>
      <c r="M187" s="912">
        <f>1*12</f>
        <v>12</v>
      </c>
      <c r="N187" s="912"/>
      <c r="O187" s="912"/>
      <c r="P187" s="912"/>
      <c r="Q187" s="912"/>
      <c r="R187" s="941"/>
      <c r="S187" s="969"/>
      <c r="T187" s="938"/>
      <c r="U187" s="944">
        <f t="shared" ref="U187" si="54">SUM(E187:S187)</f>
        <v>24</v>
      </c>
      <c r="V187" s="942"/>
      <c r="W187" s="957"/>
      <c r="X187" s="944">
        <f t="shared" si="50"/>
        <v>24</v>
      </c>
      <c r="Y187" s="957"/>
      <c r="Z187" s="944">
        <f t="shared" si="51"/>
        <v>24</v>
      </c>
      <c r="AD187" s="872"/>
    </row>
    <row r="188" spans="1:30" s="872" customFormat="1" ht="21">
      <c r="A188" s="547" t="s">
        <v>685</v>
      </c>
      <c r="B188" s="563"/>
      <c r="C188" s="553"/>
      <c r="D188" s="544">
        <v>46141</v>
      </c>
      <c r="E188" s="1001"/>
      <c r="F188" s="1001"/>
      <c r="G188" s="1001"/>
      <c r="H188" s="1001"/>
      <c r="I188" s="1001"/>
      <c r="J188" s="1001"/>
      <c r="K188" s="1001"/>
      <c r="L188" s="1005"/>
      <c r="M188" s="1005"/>
      <c r="N188" s="1005"/>
      <c r="O188" s="1005"/>
      <c r="P188" s="1005"/>
      <c r="Q188" s="1005"/>
      <c r="R188" s="1019"/>
      <c r="S188" s="1020">
        <f>6*12</f>
        <v>72</v>
      </c>
      <c r="T188" s="1021"/>
      <c r="U188" s="1024">
        <f t="shared" si="49"/>
        <v>72</v>
      </c>
      <c r="V188" s="1022"/>
      <c r="W188" s="1023"/>
      <c r="X188" s="1024">
        <f t="shared" si="50"/>
        <v>72</v>
      </c>
      <c r="Y188" s="1023"/>
      <c r="Z188" s="1024">
        <f t="shared" si="51"/>
        <v>72</v>
      </c>
      <c r="AD188" s="1"/>
    </row>
    <row r="189" spans="1:30" ht="21">
      <c r="A189" s="537" t="s">
        <v>687</v>
      </c>
      <c r="B189" s="552"/>
      <c r="C189" s="553"/>
      <c r="D189" s="544">
        <v>46141</v>
      </c>
      <c r="E189" s="794"/>
      <c r="F189" s="904"/>
      <c r="G189" s="904"/>
      <c r="H189" s="904"/>
      <c r="I189" s="904">
        <f>1*12</f>
        <v>12</v>
      </c>
      <c r="J189" s="904"/>
      <c r="K189" s="904"/>
      <c r="L189" s="912"/>
      <c r="M189" s="912"/>
      <c r="N189" s="912"/>
      <c r="O189" s="912"/>
      <c r="P189" s="912"/>
      <c r="Q189" s="912"/>
      <c r="R189" s="941"/>
      <c r="S189" s="969"/>
      <c r="T189" s="938"/>
      <c r="U189" s="944">
        <f t="shared" si="49"/>
        <v>12</v>
      </c>
      <c r="V189" s="942"/>
      <c r="W189" s="957"/>
      <c r="X189" s="944">
        <f t="shared" si="50"/>
        <v>12</v>
      </c>
      <c r="Y189" s="957"/>
      <c r="Z189" s="944">
        <f t="shared" si="51"/>
        <v>12</v>
      </c>
      <c r="AA189" s="872"/>
      <c r="AB189" s="872"/>
      <c r="AC189" s="872"/>
      <c r="AD189" s="872"/>
    </row>
    <row r="190" spans="1:30" s="872" customFormat="1" ht="21">
      <c r="A190" s="537" t="s">
        <v>659</v>
      </c>
      <c r="B190" s="550"/>
      <c r="C190" s="549"/>
      <c r="D190" s="544">
        <v>46142</v>
      </c>
      <c r="E190" s="1001"/>
      <c r="F190" s="1001"/>
      <c r="G190" s="1001"/>
      <c r="H190" s="1001"/>
      <c r="I190" s="1001">
        <f>4*12</f>
        <v>48</v>
      </c>
      <c r="J190" s="1001"/>
      <c r="K190" s="1001"/>
      <c r="L190" s="1005"/>
      <c r="M190" s="1005"/>
      <c r="N190" s="1005"/>
      <c r="O190" s="1005"/>
      <c r="P190" s="1005"/>
      <c r="Q190" s="1005"/>
      <c r="R190" s="1019"/>
      <c r="S190" s="1020">
        <f>4*12</f>
        <v>48</v>
      </c>
      <c r="T190" s="1021"/>
      <c r="U190" s="1024">
        <f t="shared" si="49"/>
        <v>96</v>
      </c>
      <c r="V190" s="1022"/>
      <c r="W190" s="1023"/>
      <c r="X190" s="1024">
        <f t="shared" si="50"/>
        <v>96</v>
      </c>
      <c r="Y190" s="1023"/>
      <c r="Z190" s="1024">
        <f t="shared" si="51"/>
        <v>96</v>
      </c>
    </row>
    <row r="191" spans="1:30" s="872" customFormat="1" ht="21">
      <c r="A191" s="551" t="s">
        <v>619</v>
      </c>
      <c r="B191" s="538"/>
      <c r="C191" s="539"/>
      <c r="D191" s="544">
        <v>46142</v>
      </c>
      <c r="E191" s="904"/>
      <c r="F191" s="904"/>
      <c r="G191" s="904"/>
      <c r="H191" s="904"/>
      <c r="I191" s="904"/>
      <c r="J191" s="904"/>
      <c r="K191" s="904"/>
      <c r="L191" s="912"/>
      <c r="M191" s="912">
        <f>3*12</f>
        <v>36</v>
      </c>
      <c r="N191" s="912"/>
      <c r="O191" s="912"/>
      <c r="P191" s="912"/>
      <c r="Q191" s="912"/>
      <c r="R191" s="941"/>
      <c r="S191" s="969"/>
      <c r="T191" s="938"/>
      <c r="U191" s="944">
        <f t="shared" si="49"/>
        <v>36</v>
      </c>
      <c r="V191" s="942"/>
      <c r="W191" s="957"/>
      <c r="X191" s="944">
        <f t="shared" si="50"/>
        <v>36</v>
      </c>
      <c r="Y191" s="957"/>
      <c r="Z191" s="944">
        <f t="shared" si="51"/>
        <v>36</v>
      </c>
      <c r="AA191" s="871"/>
      <c r="AB191" s="871"/>
      <c r="AC191" s="871"/>
      <c r="AD191" s="871"/>
    </row>
    <row r="192" spans="1:30" s="871" customFormat="1" ht="21">
      <c r="A192" s="561"/>
      <c r="B192" s="550"/>
      <c r="C192" s="549"/>
      <c r="D192" s="544"/>
      <c r="E192" s="904"/>
      <c r="F192" s="904"/>
      <c r="G192" s="904"/>
      <c r="H192" s="904"/>
      <c r="I192" s="904"/>
      <c r="J192" s="904"/>
      <c r="K192" s="904"/>
      <c r="L192" s="912"/>
      <c r="M192" s="912"/>
      <c r="N192" s="912"/>
      <c r="O192" s="912"/>
      <c r="P192" s="912"/>
      <c r="Q192" s="912"/>
      <c r="R192" s="941"/>
      <c r="S192" s="969"/>
      <c r="T192" s="938"/>
      <c r="U192" s="944">
        <f t="shared" si="49"/>
        <v>0</v>
      </c>
      <c r="V192" s="942"/>
      <c r="W192" s="957"/>
      <c r="X192" s="944">
        <f t="shared" si="50"/>
        <v>0</v>
      </c>
      <c r="Y192" s="957"/>
      <c r="Z192" s="944">
        <f t="shared" si="51"/>
        <v>0</v>
      </c>
      <c r="AA192" s="872"/>
      <c r="AB192" s="872"/>
      <c r="AC192" s="872"/>
      <c r="AD192" s="872"/>
    </row>
    <row r="193" spans="1:30" s="872" customFormat="1" ht="21">
      <c r="A193" s="537"/>
      <c r="B193" s="550"/>
      <c r="C193" s="549"/>
      <c r="D193" s="544"/>
      <c r="E193" s="904"/>
      <c r="F193" s="904"/>
      <c r="G193" s="904"/>
      <c r="H193" s="904"/>
      <c r="I193" s="904"/>
      <c r="J193" s="904"/>
      <c r="K193" s="904"/>
      <c r="L193" s="912"/>
      <c r="M193" s="912"/>
      <c r="N193" s="912"/>
      <c r="O193" s="912"/>
      <c r="P193" s="912"/>
      <c r="Q193" s="912"/>
      <c r="R193" s="941"/>
      <c r="S193" s="969"/>
      <c r="T193" s="938"/>
      <c r="U193" s="944">
        <f t="shared" si="49"/>
        <v>0</v>
      </c>
      <c r="V193" s="942"/>
      <c r="W193" s="957"/>
      <c r="X193" s="944">
        <f t="shared" si="50"/>
        <v>0</v>
      </c>
      <c r="Y193" s="957"/>
      <c r="Z193" s="944">
        <f t="shared" si="51"/>
        <v>0</v>
      </c>
      <c r="AA193" s="871"/>
      <c r="AB193" s="871"/>
      <c r="AC193" s="871"/>
    </row>
    <row r="194" spans="1:30" s="872" customFormat="1" ht="21">
      <c r="A194" s="537"/>
      <c r="B194" s="550"/>
      <c r="C194" s="549"/>
      <c r="D194" s="544"/>
      <c r="E194" s="1001"/>
      <c r="F194" s="1001"/>
      <c r="G194" s="1001"/>
      <c r="H194" s="1001"/>
      <c r="I194" s="1001"/>
      <c r="J194" s="1001"/>
      <c r="K194" s="1001"/>
      <c r="L194" s="1005"/>
      <c r="M194" s="1005"/>
      <c r="N194" s="1005"/>
      <c r="O194" s="1005"/>
      <c r="P194" s="1005"/>
      <c r="Q194" s="1005"/>
      <c r="R194" s="1019"/>
      <c r="S194" s="1020"/>
      <c r="T194" s="1021"/>
      <c r="U194" s="1024">
        <f t="shared" si="49"/>
        <v>0</v>
      </c>
      <c r="V194" s="1022"/>
      <c r="W194" s="1023"/>
      <c r="X194" s="1024">
        <f t="shared" si="50"/>
        <v>0</v>
      </c>
      <c r="Y194" s="1023"/>
      <c r="Z194" s="1024">
        <f t="shared" si="51"/>
        <v>0</v>
      </c>
    </row>
    <row r="195" spans="1:30" s="872" customFormat="1" ht="21">
      <c r="A195" s="551"/>
      <c r="B195" s="550"/>
      <c r="C195" s="549"/>
      <c r="D195" s="544"/>
      <c r="E195" s="904"/>
      <c r="F195" s="904"/>
      <c r="G195" s="904"/>
      <c r="H195" s="904"/>
      <c r="I195" s="904"/>
      <c r="J195" s="904"/>
      <c r="K195" s="904"/>
      <c r="L195" s="912"/>
      <c r="M195" s="912"/>
      <c r="N195" s="912"/>
      <c r="O195" s="912"/>
      <c r="P195" s="912"/>
      <c r="Q195" s="912"/>
      <c r="R195" s="941"/>
      <c r="S195" s="969"/>
      <c r="T195" s="938"/>
      <c r="U195" s="944">
        <f t="shared" si="49"/>
        <v>0</v>
      </c>
      <c r="V195" s="942"/>
      <c r="W195" s="957"/>
      <c r="X195" s="944">
        <f t="shared" si="50"/>
        <v>0</v>
      </c>
      <c r="Y195" s="957"/>
      <c r="Z195" s="944">
        <f t="shared" si="51"/>
        <v>0</v>
      </c>
    </row>
    <row r="196" spans="1:30" s="872" customFormat="1" ht="21">
      <c r="A196" s="551"/>
      <c r="B196" s="550"/>
      <c r="C196" s="549"/>
      <c r="D196" s="544"/>
      <c r="E196" s="1001"/>
      <c r="F196" s="1001"/>
      <c r="G196" s="1001"/>
      <c r="H196" s="1001"/>
      <c r="I196" s="1001"/>
      <c r="J196" s="1001"/>
      <c r="K196" s="1001"/>
      <c r="L196" s="1005"/>
      <c r="M196" s="1005"/>
      <c r="N196" s="1005"/>
      <c r="O196" s="1005"/>
      <c r="P196" s="1005"/>
      <c r="Q196" s="1005"/>
      <c r="R196" s="1019"/>
      <c r="S196" s="1020"/>
      <c r="T196" s="1021"/>
      <c r="U196" s="1024">
        <f t="shared" si="49"/>
        <v>0</v>
      </c>
      <c r="V196" s="1022"/>
      <c r="W196" s="1023"/>
      <c r="X196" s="1024">
        <f t="shared" si="50"/>
        <v>0</v>
      </c>
      <c r="Y196" s="1023"/>
      <c r="Z196" s="1024">
        <f t="shared" si="51"/>
        <v>0</v>
      </c>
      <c r="AA196" s="871"/>
      <c r="AB196" s="871"/>
      <c r="AC196" s="871"/>
      <c r="AD196" s="1"/>
    </row>
    <row r="197" spans="1:30" ht="21" customHeight="1">
      <c r="A197" s="537"/>
      <c r="B197" s="550"/>
      <c r="C197" s="549"/>
      <c r="D197" s="544"/>
      <c r="E197" s="945"/>
      <c r="F197" s="904"/>
      <c r="G197" s="904"/>
      <c r="H197" s="904"/>
      <c r="I197" s="904"/>
      <c r="J197" s="904"/>
      <c r="K197" s="904"/>
      <c r="L197" s="912"/>
      <c r="M197" s="912"/>
      <c r="N197" s="912"/>
      <c r="O197" s="912"/>
      <c r="P197" s="912"/>
      <c r="Q197" s="912"/>
      <c r="R197" s="941"/>
      <c r="S197" s="969"/>
      <c r="T197" s="938"/>
      <c r="U197" s="944">
        <f t="shared" si="49"/>
        <v>0</v>
      </c>
      <c r="V197" s="942"/>
      <c r="W197" s="957"/>
      <c r="X197" s="944">
        <f t="shared" si="50"/>
        <v>0</v>
      </c>
      <c r="Y197" s="957"/>
      <c r="Z197" s="944">
        <f t="shared" si="51"/>
        <v>0</v>
      </c>
      <c r="AA197" s="872"/>
      <c r="AB197" s="872"/>
      <c r="AC197" s="872"/>
      <c r="AD197" s="870"/>
    </row>
    <row r="198" spans="1:30" s="870" customFormat="1" ht="21">
      <c r="A198" s="551"/>
      <c r="B198" s="550"/>
      <c r="C198" s="549"/>
      <c r="D198" s="544"/>
      <c r="E198" s="904"/>
      <c r="F198" s="904"/>
      <c r="G198" s="904"/>
      <c r="H198" s="904"/>
      <c r="I198" s="904"/>
      <c r="J198" s="904"/>
      <c r="K198" s="904"/>
      <c r="L198" s="912"/>
      <c r="M198" s="912"/>
      <c r="N198" s="912"/>
      <c r="O198" s="912"/>
      <c r="P198" s="912"/>
      <c r="Q198" s="912"/>
      <c r="R198" s="941"/>
      <c r="S198" s="969"/>
      <c r="T198" s="938"/>
      <c r="U198" s="944">
        <f t="shared" si="49"/>
        <v>0</v>
      </c>
      <c r="V198" s="942"/>
      <c r="W198" s="957"/>
      <c r="X198" s="944">
        <f t="shared" si="50"/>
        <v>0</v>
      </c>
      <c r="Y198" s="957"/>
      <c r="Z198" s="944">
        <f t="shared" si="51"/>
        <v>0</v>
      </c>
      <c r="AA198" s="872"/>
      <c r="AB198" s="872"/>
      <c r="AC198" s="872"/>
      <c r="AD198" s="1"/>
    </row>
    <row r="199" spans="1:30" ht="21">
      <c r="A199" s="537"/>
      <c r="B199" s="550"/>
      <c r="C199" s="549"/>
      <c r="D199" s="544"/>
      <c r="E199" s="1001"/>
      <c r="F199" s="1001"/>
      <c r="G199" s="1001"/>
      <c r="H199" s="1001"/>
      <c r="I199" s="1001"/>
      <c r="J199" s="1001"/>
      <c r="K199" s="1001"/>
      <c r="L199" s="1005"/>
      <c r="M199" s="1005"/>
      <c r="N199" s="1005"/>
      <c r="O199" s="1005"/>
      <c r="P199" s="1005"/>
      <c r="Q199" s="1005"/>
      <c r="R199" s="1019"/>
      <c r="S199" s="1020"/>
      <c r="T199" s="1021"/>
      <c r="U199" s="1024">
        <f t="shared" si="49"/>
        <v>0</v>
      </c>
      <c r="V199" s="1022"/>
      <c r="W199" s="1023"/>
      <c r="X199" s="1024">
        <f t="shared" si="50"/>
        <v>0</v>
      </c>
      <c r="Y199" s="1023"/>
      <c r="Z199" s="1024">
        <f t="shared" si="51"/>
        <v>0</v>
      </c>
      <c r="AA199" s="872"/>
      <c r="AB199" s="872"/>
      <c r="AC199" s="872"/>
      <c r="AD199" s="282"/>
    </row>
    <row r="200" spans="1:30" s="282" customFormat="1" ht="18.75" customHeight="1">
      <c r="A200" s="537"/>
      <c r="B200" s="554"/>
      <c r="C200" s="817"/>
      <c r="D200" s="544"/>
      <c r="E200" s="904"/>
      <c r="F200" s="904"/>
      <c r="G200" s="904"/>
      <c r="H200" s="904"/>
      <c r="I200" s="904"/>
      <c r="J200" s="904"/>
      <c r="K200" s="904"/>
      <c r="L200" s="912"/>
      <c r="M200" s="912"/>
      <c r="N200" s="912"/>
      <c r="O200" s="912"/>
      <c r="P200" s="912"/>
      <c r="Q200" s="912"/>
      <c r="R200" s="941"/>
      <c r="S200" s="969"/>
      <c r="T200" s="938"/>
      <c r="U200" s="944">
        <f t="shared" si="49"/>
        <v>0</v>
      </c>
      <c r="V200" s="942"/>
      <c r="W200" s="957"/>
      <c r="X200" s="944">
        <f t="shared" si="50"/>
        <v>0</v>
      </c>
      <c r="Y200" s="957"/>
      <c r="Z200" s="944">
        <f t="shared" si="51"/>
        <v>0</v>
      </c>
      <c r="AA200" s="871"/>
      <c r="AB200" s="871"/>
      <c r="AC200" s="871"/>
      <c r="AD200" s="1"/>
    </row>
    <row r="201" spans="1:30" ht="21">
      <c r="A201" s="551"/>
      <c r="B201" s="552"/>
      <c r="C201" s="553"/>
      <c r="D201" s="544"/>
      <c r="E201" s="904"/>
      <c r="F201" s="904"/>
      <c r="G201" s="904"/>
      <c r="H201" s="904"/>
      <c r="I201" s="904"/>
      <c r="J201" s="904"/>
      <c r="K201" s="904"/>
      <c r="L201" s="912"/>
      <c r="M201" s="912"/>
      <c r="N201" s="912"/>
      <c r="O201" s="912"/>
      <c r="P201" s="912"/>
      <c r="Q201" s="912"/>
      <c r="R201" s="941"/>
      <c r="S201" s="969"/>
      <c r="T201" s="938"/>
      <c r="U201" s="944">
        <f t="shared" si="49"/>
        <v>0</v>
      </c>
      <c r="V201" s="942"/>
      <c r="W201" s="957"/>
      <c r="X201" s="944">
        <f t="shared" si="50"/>
        <v>0</v>
      </c>
      <c r="Y201" s="957"/>
      <c r="Z201" s="944">
        <f t="shared" si="51"/>
        <v>0</v>
      </c>
      <c r="AA201" s="872"/>
      <c r="AB201" s="872"/>
      <c r="AC201" s="872"/>
    </row>
    <row r="202" spans="1:30" ht="21">
      <c r="A202" s="551"/>
      <c r="B202" s="538"/>
      <c r="C202" s="539"/>
      <c r="D202" s="544"/>
      <c r="E202" s="1029"/>
      <c r="F202" s="904"/>
      <c r="G202" s="904"/>
      <c r="H202" s="904"/>
      <c r="I202" s="904"/>
      <c r="J202" s="904"/>
      <c r="K202" s="904"/>
      <c r="L202" s="912"/>
      <c r="M202" s="912"/>
      <c r="N202" s="912"/>
      <c r="O202" s="912"/>
      <c r="P202" s="912"/>
      <c r="Q202" s="912"/>
      <c r="R202" s="941"/>
      <c r="S202" s="969"/>
      <c r="T202" s="938"/>
      <c r="U202" s="944">
        <f t="shared" si="49"/>
        <v>0</v>
      </c>
      <c r="V202" s="942"/>
      <c r="W202" s="957"/>
      <c r="X202" s="944">
        <f t="shared" si="50"/>
        <v>0</v>
      </c>
      <c r="Y202" s="957"/>
      <c r="Z202" s="944">
        <f t="shared" si="51"/>
        <v>0</v>
      </c>
      <c r="AA202" s="871"/>
      <c r="AB202" s="871"/>
      <c r="AC202" s="871"/>
      <c r="AD202" s="870"/>
    </row>
    <row r="203" spans="1:30" s="870" customFormat="1" ht="21">
      <c r="A203" s="537"/>
      <c r="B203" s="545"/>
      <c r="C203" s="539"/>
      <c r="D203" s="555"/>
      <c r="E203" s="1001"/>
      <c r="F203" s="1001"/>
      <c r="G203" s="1001"/>
      <c r="H203" s="1001"/>
      <c r="I203" s="1001"/>
      <c r="J203" s="1001"/>
      <c r="K203" s="1001"/>
      <c r="L203" s="1005"/>
      <c r="M203" s="1005"/>
      <c r="N203" s="1005"/>
      <c r="O203" s="1005"/>
      <c r="P203" s="1005"/>
      <c r="Q203" s="1005"/>
      <c r="R203" s="1019"/>
      <c r="S203" s="1020"/>
      <c r="T203" s="1021"/>
      <c r="U203" s="1024">
        <f t="shared" si="49"/>
        <v>0</v>
      </c>
      <c r="V203" s="1022"/>
      <c r="W203" s="1023"/>
      <c r="X203" s="1024">
        <f t="shared" si="50"/>
        <v>0</v>
      </c>
      <c r="Y203" s="1023"/>
      <c r="Z203" s="1024">
        <f t="shared" si="51"/>
        <v>0</v>
      </c>
      <c r="AA203" s="872"/>
      <c r="AB203" s="872"/>
      <c r="AC203" s="872"/>
      <c r="AD203" s="1"/>
    </row>
    <row r="204" spans="1:30" s="1" customFormat="1" ht="21">
      <c r="A204" s="551"/>
      <c r="B204" s="563"/>
      <c r="C204" s="553"/>
      <c r="D204" s="544"/>
      <c r="E204" s="904"/>
      <c r="F204" s="904"/>
      <c r="G204" s="904"/>
      <c r="H204" s="904"/>
      <c r="I204" s="904"/>
      <c r="J204" s="904"/>
      <c r="K204" s="904"/>
      <c r="L204" s="1005"/>
      <c r="M204" s="1005"/>
      <c r="N204" s="1005"/>
      <c r="O204" s="1005"/>
      <c r="P204" s="1005"/>
      <c r="Q204" s="1005"/>
      <c r="R204" s="1019"/>
      <c r="S204" s="1020"/>
      <c r="T204" s="938"/>
      <c r="U204" s="944">
        <f t="shared" si="49"/>
        <v>0</v>
      </c>
      <c r="V204" s="942"/>
      <c r="W204" s="957"/>
      <c r="X204" s="944">
        <f t="shared" si="50"/>
        <v>0</v>
      </c>
      <c r="Y204" s="957"/>
      <c r="Z204" s="944">
        <f t="shared" si="51"/>
        <v>0</v>
      </c>
      <c r="AA204" s="871"/>
      <c r="AB204" s="871"/>
      <c r="AC204" s="871"/>
    </row>
    <row r="205" spans="1:30" ht="21" customHeight="1">
      <c r="A205" s="537"/>
      <c r="B205" s="538"/>
      <c r="C205" s="539"/>
      <c r="D205" s="555"/>
      <c r="E205" s="1004"/>
      <c r="F205" s="1001"/>
      <c r="G205" s="1001"/>
      <c r="H205" s="1001"/>
      <c r="I205" s="1001"/>
      <c r="J205" s="1001"/>
      <c r="K205" s="1001"/>
      <c r="L205" s="1005"/>
      <c r="M205" s="1005"/>
      <c r="N205" s="1005"/>
      <c r="O205" s="1005"/>
      <c r="P205" s="1005"/>
      <c r="Q205" s="1005"/>
      <c r="R205" s="1019"/>
      <c r="S205" s="1020"/>
      <c r="T205" s="1021"/>
      <c r="U205" s="1024">
        <f t="shared" si="49"/>
        <v>0</v>
      </c>
      <c r="V205" s="1022"/>
      <c r="W205" s="1023"/>
      <c r="X205" s="1024">
        <f t="shared" si="50"/>
        <v>0</v>
      </c>
      <c r="Y205" s="1023"/>
      <c r="Z205" s="1024">
        <f t="shared" si="51"/>
        <v>0</v>
      </c>
      <c r="AA205" s="872"/>
      <c r="AB205" s="872"/>
      <c r="AC205" s="872"/>
    </row>
    <row r="206" spans="1:30" ht="21">
      <c r="A206" s="1111"/>
      <c r="B206" s="552"/>
      <c r="C206" s="553"/>
      <c r="D206" s="544"/>
      <c r="E206" s="904"/>
      <c r="F206" s="904"/>
      <c r="G206" s="904"/>
      <c r="H206" s="904"/>
      <c r="I206" s="904"/>
      <c r="J206" s="904"/>
      <c r="K206" s="904"/>
      <c r="L206" s="912"/>
      <c r="M206" s="912"/>
      <c r="N206" s="912"/>
      <c r="O206" s="912"/>
      <c r="P206" s="912"/>
      <c r="Q206" s="912"/>
      <c r="R206" s="941"/>
      <c r="S206" s="969"/>
      <c r="T206" s="938"/>
      <c r="U206" s="944">
        <f t="shared" si="49"/>
        <v>0</v>
      </c>
      <c r="V206" s="942"/>
      <c r="W206" s="957"/>
      <c r="X206" s="944">
        <f t="shared" si="50"/>
        <v>0</v>
      </c>
      <c r="Y206" s="957"/>
      <c r="Z206" s="944">
        <f t="shared" si="51"/>
        <v>0</v>
      </c>
      <c r="AA206" s="871"/>
      <c r="AB206" s="871"/>
      <c r="AC206" s="871"/>
    </row>
    <row r="207" spans="1:30" ht="21">
      <c r="A207" s="551"/>
      <c r="B207" s="552"/>
      <c r="C207" s="553"/>
      <c r="D207" s="544"/>
      <c r="E207" s="1001"/>
      <c r="F207" s="1001"/>
      <c r="G207" s="1001"/>
      <c r="H207" s="1001"/>
      <c r="I207" s="1001"/>
      <c r="J207" s="1001"/>
      <c r="K207" s="1001"/>
      <c r="L207" s="1005"/>
      <c r="M207" s="1005"/>
      <c r="N207" s="1005"/>
      <c r="O207" s="1005"/>
      <c r="P207" s="1005"/>
      <c r="Q207" s="1005"/>
      <c r="R207" s="1019"/>
      <c r="S207" s="1020"/>
      <c r="T207" s="1021"/>
      <c r="U207" s="1024">
        <f t="shared" si="49"/>
        <v>0</v>
      </c>
      <c r="V207" s="1022"/>
      <c r="W207" s="1023"/>
      <c r="X207" s="1024">
        <f t="shared" si="50"/>
        <v>0</v>
      </c>
      <c r="Y207" s="1023"/>
      <c r="Z207" s="1024">
        <f t="shared" si="51"/>
        <v>0</v>
      </c>
      <c r="AA207" s="871"/>
      <c r="AB207" s="871"/>
      <c r="AC207" s="871"/>
    </row>
    <row r="208" spans="1:30" ht="21">
      <c r="A208" s="547"/>
      <c r="B208" s="552"/>
      <c r="C208" s="553"/>
      <c r="D208" s="544"/>
      <c r="E208" s="904"/>
      <c r="F208" s="904"/>
      <c r="G208" s="904"/>
      <c r="H208" s="904"/>
      <c r="I208" s="904"/>
      <c r="J208" s="904"/>
      <c r="K208" s="904"/>
      <c r="L208" s="912"/>
      <c r="M208" s="912"/>
      <c r="N208" s="912"/>
      <c r="O208" s="912"/>
      <c r="P208" s="912"/>
      <c r="Q208" s="912"/>
      <c r="R208" s="941"/>
      <c r="S208" s="969"/>
      <c r="T208" s="938"/>
      <c r="U208" s="944">
        <f t="shared" si="49"/>
        <v>0</v>
      </c>
      <c r="V208" s="942"/>
      <c r="W208" s="957"/>
      <c r="X208" s="944">
        <f t="shared" si="50"/>
        <v>0</v>
      </c>
      <c r="Y208" s="957"/>
      <c r="Z208" s="944">
        <f t="shared" si="51"/>
        <v>0</v>
      </c>
      <c r="AA208" s="872"/>
      <c r="AB208" s="872"/>
      <c r="AC208" s="872"/>
    </row>
    <row r="209" spans="1:29" ht="21">
      <c r="A209" s="537"/>
      <c r="B209" s="550"/>
      <c r="C209" s="549"/>
      <c r="D209" s="544"/>
      <c r="E209" s="1001"/>
      <c r="F209" s="1001"/>
      <c r="G209" s="1001"/>
      <c r="H209" s="1001"/>
      <c r="I209" s="1001"/>
      <c r="J209" s="1001"/>
      <c r="K209" s="1001"/>
      <c r="L209" s="1005"/>
      <c r="M209" s="1005"/>
      <c r="N209" s="1005"/>
      <c r="O209" s="1005"/>
      <c r="P209" s="1005"/>
      <c r="Q209" s="1005"/>
      <c r="R209" s="1019"/>
      <c r="S209" s="1020"/>
      <c r="T209" s="1021"/>
      <c r="U209" s="1024">
        <f t="shared" si="49"/>
        <v>0</v>
      </c>
      <c r="V209" s="1022"/>
      <c r="W209" s="1023"/>
      <c r="X209" s="1024">
        <f t="shared" si="50"/>
        <v>0</v>
      </c>
      <c r="Y209" s="1023"/>
      <c r="Z209" s="1024">
        <f t="shared" si="51"/>
        <v>0</v>
      </c>
      <c r="AA209" s="872"/>
      <c r="AB209" s="872"/>
      <c r="AC209" s="872"/>
    </row>
    <row r="210" spans="1:29" ht="19.5" customHeight="1">
      <c r="A210" s="551"/>
      <c r="B210" s="552"/>
      <c r="C210" s="553"/>
      <c r="D210" s="544"/>
      <c r="E210" s="1001"/>
      <c r="F210" s="1001"/>
      <c r="G210" s="1001"/>
      <c r="H210" s="1001"/>
      <c r="I210" s="1001"/>
      <c r="J210" s="1001"/>
      <c r="K210" s="1001"/>
      <c r="L210" s="1005"/>
      <c r="M210" s="1005"/>
      <c r="N210" s="1005"/>
      <c r="O210" s="1005"/>
      <c r="P210" s="1005"/>
      <c r="Q210" s="1005"/>
      <c r="R210" s="1019"/>
      <c r="S210" s="1020"/>
      <c r="T210" s="1021"/>
      <c r="U210" s="1024">
        <f t="shared" si="49"/>
        <v>0</v>
      </c>
      <c r="V210" s="1022"/>
      <c r="W210" s="1023"/>
      <c r="X210" s="1024">
        <f t="shared" si="50"/>
        <v>0</v>
      </c>
      <c r="Y210" s="1023"/>
      <c r="Z210" s="1024">
        <f t="shared" si="51"/>
        <v>0</v>
      </c>
      <c r="AA210" s="871"/>
      <c r="AB210" s="871"/>
      <c r="AC210" s="871"/>
    </row>
    <row r="211" spans="1:29" ht="21">
      <c r="A211" s="561"/>
      <c r="B211" s="538"/>
      <c r="C211" s="539"/>
      <c r="D211" s="544"/>
      <c r="E211" s="904"/>
      <c r="F211" s="904"/>
      <c r="G211" s="904"/>
      <c r="H211" s="904"/>
      <c r="I211" s="904"/>
      <c r="J211" s="904"/>
      <c r="K211" s="904"/>
      <c r="L211" s="912"/>
      <c r="M211" s="912"/>
      <c r="N211" s="912"/>
      <c r="O211" s="912"/>
      <c r="P211" s="912"/>
      <c r="Q211" s="912"/>
      <c r="R211" s="941"/>
      <c r="S211" s="969"/>
      <c r="T211" s="938"/>
      <c r="U211" s="944">
        <f t="shared" si="49"/>
        <v>0</v>
      </c>
      <c r="V211" s="942"/>
      <c r="W211" s="957"/>
      <c r="X211" s="944">
        <f t="shared" si="50"/>
        <v>0</v>
      </c>
      <c r="Y211" s="957"/>
      <c r="Z211" s="944">
        <f t="shared" si="51"/>
        <v>0</v>
      </c>
      <c r="AA211" s="872"/>
      <c r="AB211" s="872"/>
      <c r="AC211" s="872"/>
    </row>
    <row r="212" spans="1:29" ht="21">
      <c r="A212" s="551"/>
      <c r="B212" s="563"/>
      <c r="C212" s="553"/>
      <c r="D212" s="544"/>
      <c r="E212" s="904"/>
      <c r="F212" s="904"/>
      <c r="G212" s="904"/>
      <c r="H212" s="904"/>
      <c r="I212" s="904"/>
      <c r="J212" s="904"/>
      <c r="K212" s="904"/>
      <c r="L212" s="912"/>
      <c r="M212" s="912"/>
      <c r="N212" s="912"/>
      <c r="O212" s="912"/>
      <c r="P212" s="912"/>
      <c r="Q212" s="912"/>
      <c r="R212" s="941"/>
      <c r="S212" s="969"/>
      <c r="T212" s="938"/>
      <c r="U212" s="944">
        <f t="shared" si="49"/>
        <v>0</v>
      </c>
      <c r="V212" s="942"/>
      <c r="W212" s="957"/>
      <c r="X212" s="944">
        <f t="shared" si="50"/>
        <v>0</v>
      </c>
      <c r="Y212" s="957"/>
      <c r="Z212" s="944">
        <f t="shared" si="51"/>
        <v>0</v>
      </c>
      <c r="AA212" s="871"/>
      <c r="AB212" s="871"/>
      <c r="AC212" s="871"/>
    </row>
    <row r="213" spans="1:29" ht="21">
      <c r="A213" s="551"/>
      <c r="B213" s="552"/>
      <c r="C213" s="553"/>
      <c r="D213" s="544"/>
      <c r="E213" s="1001"/>
      <c r="F213" s="1001"/>
      <c r="G213" s="1001"/>
      <c r="H213" s="1001"/>
      <c r="I213" s="1001"/>
      <c r="J213" s="1001"/>
      <c r="K213" s="1001"/>
      <c r="L213" s="1005"/>
      <c r="M213" s="1005"/>
      <c r="N213" s="1005"/>
      <c r="O213" s="1005"/>
      <c r="P213" s="1005"/>
      <c r="Q213" s="1005"/>
      <c r="R213" s="1019"/>
      <c r="S213" s="1020"/>
      <c r="T213" s="1021"/>
      <c r="U213" s="1024">
        <f t="shared" si="49"/>
        <v>0</v>
      </c>
      <c r="V213" s="1022"/>
      <c r="W213" s="1023"/>
      <c r="X213" s="1024">
        <f t="shared" si="50"/>
        <v>0</v>
      </c>
      <c r="Y213" s="1023"/>
      <c r="Z213" s="1024">
        <f t="shared" si="51"/>
        <v>0</v>
      </c>
      <c r="AA213" s="872"/>
      <c r="AB213" s="872"/>
      <c r="AC213" s="872"/>
    </row>
    <row r="214" spans="1:29" ht="21">
      <c r="A214" s="551"/>
      <c r="B214" s="552"/>
      <c r="C214" s="553"/>
      <c r="D214" s="544"/>
      <c r="E214" s="904"/>
      <c r="F214" s="904"/>
      <c r="G214" s="904"/>
      <c r="H214" s="904"/>
      <c r="I214" s="904"/>
      <c r="J214" s="904"/>
      <c r="K214" s="904"/>
      <c r="L214" s="912"/>
      <c r="M214" s="912"/>
      <c r="N214" s="912"/>
      <c r="O214" s="912"/>
      <c r="P214" s="912"/>
      <c r="Q214" s="912"/>
      <c r="R214" s="941"/>
      <c r="S214" s="969"/>
      <c r="T214" s="938"/>
      <c r="U214" s="944">
        <f t="shared" si="49"/>
        <v>0</v>
      </c>
      <c r="V214" s="942"/>
      <c r="W214" s="957"/>
      <c r="X214" s="944">
        <f t="shared" si="50"/>
        <v>0</v>
      </c>
      <c r="Y214" s="957"/>
      <c r="Z214" s="944">
        <f t="shared" si="51"/>
        <v>0</v>
      </c>
      <c r="AA214" s="872"/>
      <c r="AB214" s="872"/>
      <c r="AC214" s="872"/>
    </row>
    <row r="215" spans="1:29" ht="21">
      <c r="A215" s="551"/>
      <c r="B215" s="552"/>
      <c r="C215" s="553"/>
      <c r="D215" s="544"/>
      <c r="E215" s="1001"/>
      <c r="F215" s="1001"/>
      <c r="G215" s="1001"/>
      <c r="H215" s="1001"/>
      <c r="I215" s="1001"/>
      <c r="J215" s="1001"/>
      <c r="K215" s="1001"/>
      <c r="L215" s="1005"/>
      <c r="M215" s="1005"/>
      <c r="N215" s="1005"/>
      <c r="O215" s="1005"/>
      <c r="P215" s="1005"/>
      <c r="Q215" s="1005"/>
      <c r="R215" s="1019"/>
      <c r="S215" s="1020"/>
      <c r="T215" s="1021"/>
      <c r="U215" s="1024">
        <f t="shared" si="49"/>
        <v>0</v>
      </c>
      <c r="V215" s="1022"/>
      <c r="W215" s="1023"/>
      <c r="X215" s="1024">
        <f t="shared" si="50"/>
        <v>0</v>
      </c>
      <c r="Y215" s="1023"/>
      <c r="Z215" s="1024">
        <f t="shared" si="51"/>
        <v>0</v>
      </c>
      <c r="AA215" s="872"/>
      <c r="AB215" s="872"/>
      <c r="AC215" s="872"/>
    </row>
    <row r="216" spans="1:29" ht="21">
      <c r="A216" s="537"/>
      <c r="B216" s="538"/>
      <c r="C216" s="539"/>
      <c r="D216" s="544"/>
      <c r="E216" s="904"/>
      <c r="F216" s="904"/>
      <c r="G216" s="904"/>
      <c r="H216" s="904"/>
      <c r="I216" s="904"/>
      <c r="J216" s="904"/>
      <c r="K216" s="904"/>
      <c r="L216" s="912"/>
      <c r="M216" s="912"/>
      <c r="N216" s="912"/>
      <c r="O216" s="912"/>
      <c r="P216" s="912"/>
      <c r="Q216" s="912"/>
      <c r="R216" s="941"/>
      <c r="S216" s="969"/>
      <c r="T216" s="938"/>
      <c r="U216" s="944">
        <f t="shared" si="49"/>
        <v>0</v>
      </c>
      <c r="V216" s="942"/>
      <c r="W216" s="957"/>
      <c r="X216" s="944">
        <f t="shared" si="50"/>
        <v>0</v>
      </c>
      <c r="Y216" s="957"/>
      <c r="Z216" s="944">
        <f t="shared" si="51"/>
        <v>0</v>
      </c>
      <c r="AA216" s="871"/>
      <c r="AB216" s="871"/>
      <c r="AC216" s="871"/>
    </row>
    <row r="217" spans="1:29" ht="21">
      <c r="A217" s="551"/>
      <c r="B217" s="552"/>
      <c r="C217" s="553"/>
      <c r="D217" s="544"/>
      <c r="E217" s="904"/>
      <c r="F217" s="904"/>
      <c r="G217" s="904"/>
      <c r="H217" s="904"/>
      <c r="I217" s="904"/>
      <c r="J217" s="904"/>
      <c r="K217" s="904"/>
      <c r="L217" s="912"/>
      <c r="M217" s="912"/>
      <c r="N217" s="912"/>
      <c r="O217" s="912"/>
      <c r="P217" s="912"/>
      <c r="Q217" s="912"/>
      <c r="R217" s="941"/>
      <c r="S217" s="969"/>
      <c r="T217" s="938"/>
      <c r="U217" s="944">
        <f t="shared" si="49"/>
        <v>0</v>
      </c>
      <c r="V217" s="942"/>
      <c r="W217" s="957"/>
      <c r="X217" s="944">
        <f t="shared" si="50"/>
        <v>0</v>
      </c>
      <c r="Y217" s="957"/>
      <c r="Z217" s="944">
        <f t="shared" si="51"/>
        <v>0</v>
      </c>
      <c r="AA217" s="872"/>
      <c r="AB217" s="872"/>
      <c r="AC217" s="872"/>
    </row>
    <row r="218" spans="1:29" ht="21">
      <c r="A218" s="551"/>
      <c r="B218" s="552"/>
      <c r="C218" s="553"/>
      <c r="D218" s="544"/>
      <c r="E218" s="904"/>
      <c r="F218" s="904"/>
      <c r="G218" s="904"/>
      <c r="H218" s="904"/>
      <c r="I218" s="904"/>
      <c r="J218" s="904"/>
      <c r="K218" s="904"/>
      <c r="L218" s="912"/>
      <c r="M218" s="912"/>
      <c r="N218" s="912"/>
      <c r="O218" s="912"/>
      <c r="P218" s="912"/>
      <c r="Q218" s="912"/>
      <c r="R218" s="941"/>
      <c r="S218" s="969"/>
      <c r="T218" s="938"/>
      <c r="U218" s="944">
        <f t="shared" si="49"/>
        <v>0</v>
      </c>
      <c r="V218" s="942"/>
      <c r="W218" s="957"/>
      <c r="X218" s="944">
        <f t="shared" si="50"/>
        <v>0</v>
      </c>
      <c r="Y218" s="957"/>
      <c r="Z218" s="944">
        <f t="shared" si="51"/>
        <v>0</v>
      </c>
      <c r="AA218" s="872"/>
      <c r="AB218" s="872"/>
      <c r="AC218" s="872"/>
    </row>
    <row r="219" spans="1:29" ht="21">
      <c r="A219" s="537"/>
      <c r="B219" s="550"/>
      <c r="C219" s="549"/>
      <c r="D219" s="544"/>
      <c r="E219" s="1001"/>
      <c r="F219" s="1001"/>
      <c r="G219" s="1001"/>
      <c r="H219" s="1001"/>
      <c r="I219" s="1001"/>
      <c r="J219" s="1001"/>
      <c r="K219" s="1001"/>
      <c r="L219" s="1005"/>
      <c r="M219" s="1005"/>
      <c r="N219" s="1005"/>
      <c r="O219" s="1005"/>
      <c r="P219" s="1005"/>
      <c r="Q219" s="1005"/>
      <c r="R219" s="1019"/>
      <c r="S219" s="1020"/>
      <c r="T219" s="1021"/>
      <c r="U219" s="1024">
        <f t="shared" si="49"/>
        <v>0</v>
      </c>
      <c r="V219" s="1022"/>
      <c r="W219" s="1023"/>
      <c r="X219" s="1024">
        <f t="shared" si="50"/>
        <v>0</v>
      </c>
      <c r="Y219" s="1023"/>
      <c r="Z219" s="1024">
        <f t="shared" si="51"/>
        <v>0</v>
      </c>
      <c r="AA219" s="872"/>
      <c r="AB219" s="872"/>
      <c r="AC219" s="872"/>
    </row>
    <row r="220" spans="1:29" ht="21">
      <c r="A220" s="551"/>
      <c r="B220" s="552"/>
      <c r="C220" s="553"/>
      <c r="D220" s="544"/>
      <c r="E220" s="904"/>
      <c r="F220" s="904"/>
      <c r="G220" s="904"/>
      <c r="H220" s="904"/>
      <c r="I220" s="904"/>
      <c r="J220" s="904"/>
      <c r="K220" s="904"/>
      <c r="L220" s="912"/>
      <c r="M220" s="912"/>
      <c r="N220" s="912"/>
      <c r="O220" s="912"/>
      <c r="P220" s="912"/>
      <c r="Q220" s="912"/>
      <c r="R220" s="941"/>
      <c r="S220" s="969"/>
      <c r="T220" s="938"/>
      <c r="U220" s="944">
        <f t="shared" si="49"/>
        <v>0</v>
      </c>
      <c r="V220" s="942"/>
      <c r="W220" s="957"/>
      <c r="X220" s="944">
        <f t="shared" si="50"/>
        <v>0</v>
      </c>
      <c r="Y220" s="957"/>
      <c r="Z220" s="944">
        <f t="shared" si="51"/>
        <v>0</v>
      </c>
      <c r="AA220" s="872"/>
      <c r="AB220" s="872"/>
      <c r="AC220" s="872"/>
    </row>
    <row r="221" spans="1:29" ht="21">
      <c r="A221" s="537"/>
      <c r="B221" s="550"/>
      <c r="C221" s="549"/>
      <c r="D221" s="544"/>
      <c r="E221" s="904"/>
      <c r="F221" s="904"/>
      <c r="G221" s="904"/>
      <c r="H221" s="904"/>
      <c r="I221" s="904"/>
      <c r="J221" s="904"/>
      <c r="K221" s="904"/>
      <c r="L221" s="912"/>
      <c r="M221" s="912"/>
      <c r="N221" s="912"/>
      <c r="O221" s="912"/>
      <c r="P221" s="912"/>
      <c r="Q221" s="912"/>
      <c r="R221" s="941"/>
      <c r="S221" s="969"/>
      <c r="T221" s="938"/>
      <c r="U221" s="944">
        <f t="shared" si="49"/>
        <v>0</v>
      </c>
      <c r="V221" s="942"/>
      <c r="W221" s="957"/>
      <c r="X221" s="944">
        <f t="shared" si="50"/>
        <v>0</v>
      </c>
      <c r="Y221" s="957"/>
      <c r="Z221" s="944">
        <f t="shared" si="51"/>
        <v>0</v>
      </c>
      <c r="AA221" s="872"/>
      <c r="AB221" s="872"/>
      <c r="AC221" s="872"/>
    </row>
    <row r="222" spans="1:29" ht="21">
      <c r="A222" s="551"/>
      <c r="B222" s="552"/>
      <c r="C222" s="553"/>
      <c r="D222" s="544"/>
      <c r="E222" s="904"/>
      <c r="F222" s="904"/>
      <c r="G222" s="904"/>
      <c r="H222" s="904"/>
      <c r="I222" s="904"/>
      <c r="J222" s="904"/>
      <c r="K222" s="904"/>
      <c r="L222" s="912"/>
      <c r="M222" s="912"/>
      <c r="N222" s="912"/>
      <c r="O222" s="912"/>
      <c r="P222" s="912"/>
      <c r="Q222" s="912"/>
      <c r="R222" s="941"/>
      <c r="S222" s="969"/>
      <c r="T222" s="938"/>
      <c r="U222" s="944">
        <f t="shared" si="49"/>
        <v>0</v>
      </c>
      <c r="V222" s="942"/>
      <c r="W222" s="957"/>
      <c r="X222" s="944">
        <f t="shared" si="50"/>
        <v>0</v>
      </c>
      <c r="Y222" s="957"/>
      <c r="Z222" s="944">
        <f t="shared" si="51"/>
        <v>0</v>
      </c>
      <c r="AA222" s="872"/>
      <c r="AB222" s="872"/>
      <c r="AC222" s="872"/>
    </row>
    <row r="223" spans="1:29" ht="21">
      <c r="A223" s="551"/>
      <c r="B223" s="552"/>
      <c r="C223" s="553"/>
      <c r="D223" s="544"/>
      <c r="E223" s="904"/>
      <c r="F223" s="904"/>
      <c r="G223" s="904"/>
      <c r="H223" s="904"/>
      <c r="I223" s="904"/>
      <c r="J223" s="904"/>
      <c r="K223" s="904"/>
      <c r="L223" s="912"/>
      <c r="M223" s="912"/>
      <c r="N223" s="912"/>
      <c r="O223" s="912"/>
      <c r="P223" s="912"/>
      <c r="Q223" s="912"/>
      <c r="R223" s="941"/>
      <c r="S223" s="969"/>
      <c r="T223" s="938"/>
      <c r="U223" s="944">
        <f t="shared" si="49"/>
        <v>0</v>
      </c>
      <c r="V223" s="942"/>
      <c r="W223" s="957"/>
      <c r="X223" s="944">
        <f t="shared" si="50"/>
        <v>0</v>
      </c>
      <c r="Y223" s="957"/>
      <c r="Z223" s="944">
        <f t="shared" si="51"/>
        <v>0</v>
      </c>
      <c r="AA223" s="872"/>
      <c r="AB223" s="872"/>
      <c r="AC223" s="872"/>
    </row>
    <row r="224" spans="1:29" ht="21">
      <c r="A224" s="551"/>
      <c r="B224" s="552"/>
      <c r="C224" s="553"/>
      <c r="D224" s="544"/>
      <c r="E224" s="904"/>
      <c r="F224" s="904"/>
      <c r="G224" s="904"/>
      <c r="H224" s="904"/>
      <c r="I224" s="904"/>
      <c r="J224" s="904"/>
      <c r="K224" s="904"/>
      <c r="L224" s="912"/>
      <c r="M224" s="912"/>
      <c r="N224" s="912"/>
      <c r="O224" s="912"/>
      <c r="P224" s="912"/>
      <c r="Q224" s="912"/>
      <c r="R224" s="941"/>
      <c r="S224" s="969"/>
      <c r="T224" s="938"/>
      <c r="U224" s="944">
        <f t="shared" si="49"/>
        <v>0</v>
      </c>
      <c r="V224" s="942"/>
      <c r="W224" s="957"/>
      <c r="X224" s="944">
        <f t="shared" si="50"/>
        <v>0</v>
      </c>
      <c r="Y224" s="957"/>
      <c r="Z224" s="944">
        <f t="shared" si="51"/>
        <v>0</v>
      </c>
      <c r="AA224" s="872"/>
      <c r="AB224" s="872"/>
      <c r="AC224" s="872"/>
    </row>
    <row r="225" spans="1:29" ht="21">
      <c r="A225" s="551"/>
      <c r="B225" s="552"/>
      <c r="C225" s="553"/>
      <c r="D225" s="544"/>
      <c r="E225" s="904"/>
      <c r="F225" s="904"/>
      <c r="G225" s="904"/>
      <c r="H225" s="904"/>
      <c r="I225" s="904"/>
      <c r="J225" s="904"/>
      <c r="K225" s="904"/>
      <c r="L225" s="912"/>
      <c r="M225" s="912"/>
      <c r="N225" s="912"/>
      <c r="O225" s="912"/>
      <c r="P225" s="912"/>
      <c r="Q225" s="912"/>
      <c r="R225" s="941"/>
      <c r="S225" s="969"/>
      <c r="T225" s="938"/>
      <c r="U225" s="944">
        <f t="shared" si="49"/>
        <v>0</v>
      </c>
      <c r="V225" s="942"/>
      <c r="W225" s="957"/>
      <c r="X225" s="944">
        <f t="shared" si="50"/>
        <v>0</v>
      </c>
      <c r="Y225" s="957"/>
      <c r="Z225" s="944">
        <f t="shared" si="51"/>
        <v>0</v>
      </c>
      <c r="AA225" s="872"/>
      <c r="AB225" s="872"/>
      <c r="AC225" s="872"/>
    </row>
    <row r="226" spans="1:29" ht="21">
      <c r="A226" s="551"/>
      <c r="B226" s="552"/>
      <c r="C226" s="553"/>
      <c r="D226" s="544"/>
      <c r="E226" s="904"/>
      <c r="F226" s="904"/>
      <c r="G226" s="904"/>
      <c r="H226" s="904"/>
      <c r="I226" s="904"/>
      <c r="J226" s="904"/>
      <c r="K226" s="904"/>
      <c r="L226" s="912"/>
      <c r="M226" s="912"/>
      <c r="N226" s="912"/>
      <c r="O226" s="912"/>
      <c r="P226" s="912"/>
      <c r="Q226" s="912"/>
      <c r="R226" s="941"/>
      <c r="S226" s="969"/>
      <c r="T226" s="938"/>
      <c r="U226" s="942">
        <f t="shared" si="49"/>
        <v>0</v>
      </c>
      <c r="V226" s="942"/>
      <c r="W226" s="957"/>
      <c r="X226" s="942">
        <f t="shared" si="50"/>
        <v>0</v>
      </c>
      <c r="Y226" s="957"/>
      <c r="Z226" s="942">
        <f t="shared" si="51"/>
        <v>0</v>
      </c>
      <c r="AA226" s="872"/>
      <c r="AB226" s="872"/>
      <c r="AC226" s="872"/>
    </row>
    <row r="227" spans="1:29" ht="21">
      <c r="A227" s="551"/>
      <c r="B227" s="552"/>
      <c r="C227" s="553"/>
      <c r="D227" s="544"/>
      <c r="E227" s="912"/>
      <c r="F227" s="912"/>
      <c r="G227" s="912"/>
      <c r="H227" s="912"/>
      <c r="I227" s="912"/>
      <c r="J227" s="912"/>
      <c r="K227" s="912"/>
      <c r="L227" s="912"/>
      <c r="M227" s="912"/>
      <c r="N227" s="912"/>
      <c r="O227" s="912"/>
      <c r="P227" s="912"/>
      <c r="Q227" s="912"/>
      <c r="R227" s="912"/>
      <c r="S227" s="912"/>
      <c r="T227" s="912"/>
      <c r="U227" s="912">
        <f t="shared" si="49"/>
        <v>0</v>
      </c>
      <c r="V227" s="912"/>
      <c r="W227" s="912"/>
      <c r="X227" s="912">
        <f t="shared" si="50"/>
        <v>0</v>
      </c>
      <c r="Y227" s="912"/>
      <c r="Z227" s="912">
        <f t="shared" si="51"/>
        <v>0</v>
      </c>
      <c r="AA227" s="872"/>
      <c r="AB227" s="872"/>
      <c r="AC227" s="872"/>
    </row>
    <row r="228" spans="1:29" ht="21">
      <c r="A228" s="551"/>
      <c r="B228" s="552"/>
      <c r="C228" s="553"/>
      <c r="D228" s="544"/>
      <c r="E228" s="912"/>
      <c r="F228" s="912"/>
      <c r="G228" s="912"/>
      <c r="H228" s="912"/>
      <c r="I228" s="912"/>
      <c r="J228" s="912"/>
      <c r="K228" s="912"/>
      <c r="L228" s="912"/>
      <c r="M228" s="912"/>
      <c r="N228" s="912"/>
      <c r="O228" s="912"/>
      <c r="P228" s="912"/>
      <c r="Q228" s="912"/>
      <c r="R228" s="912"/>
      <c r="S228" s="912"/>
      <c r="T228" s="912"/>
      <c r="U228" s="912">
        <f t="shared" si="49"/>
        <v>0</v>
      </c>
      <c r="V228" s="912"/>
      <c r="W228" s="912"/>
      <c r="X228" s="912">
        <f t="shared" si="50"/>
        <v>0</v>
      </c>
      <c r="Y228" s="912"/>
      <c r="Z228" s="912">
        <f t="shared" si="51"/>
        <v>0</v>
      </c>
      <c r="AA228" s="872"/>
      <c r="AB228" s="872"/>
      <c r="AC228" s="872"/>
    </row>
    <row r="229" spans="1:29" ht="21">
      <c r="A229" s="537"/>
      <c r="B229" s="550"/>
      <c r="C229" s="549"/>
      <c r="D229" s="544"/>
      <c r="E229" s="912"/>
      <c r="F229" s="912"/>
      <c r="G229" s="912"/>
      <c r="H229" s="912"/>
      <c r="I229" s="912"/>
      <c r="J229" s="912"/>
      <c r="K229" s="912"/>
      <c r="L229" s="912"/>
      <c r="M229" s="912"/>
      <c r="N229" s="912"/>
      <c r="O229" s="912"/>
      <c r="P229" s="912"/>
      <c r="Q229" s="912"/>
      <c r="R229" s="912"/>
      <c r="S229" s="912"/>
      <c r="T229" s="912"/>
      <c r="U229" s="912">
        <f t="shared" si="49"/>
        <v>0</v>
      </c>
      <c r="V229" s="912"/>
      <c r="W229" s="912"/>
      <c r="X229" s="912">
        <f t="shared" si="50"/>
        <v>0</v>
      </c>
      <c r="Y229" s="912"/>
      <c r="Z229" s="912">
        <f t="shared" si="51"/>
        <v>0</v>
      </c>
      <c r="AA229" s="872"/>
      <c r="AB229" s="872"/>
      <c r="AC229" s="872"/>
    </row>
    <row r="230" spans="1:29" ht="21">
      <c r="A230" s="537"/>
      <c r="B230" s="550"/>
      <c r="C230" s="549"/>
      <c r="D230" s="544"/>
      <c r="E230" s="912"/>
      <c r="F230" s="912"/>
      <c r="G230" s="912"/>
      <c r="H230" s="912"/>
      <c r="I230" s="912"/>
      <c r="J230" s="912"/>
      <c r="K230" s="912"/>
      <c r="L230" s="912"/>
      <c r="M230" s="912"/>
      <c r="N230" s="912"/>
      <c r="O230" s="912"/>
      <c r="P230" s="912"/>
      <c r="Q230" s="912"/>
      <c r="R230" s="912"/>
      <c r="S230" s="912"/>
      <c r="T230" s="912"/>
      <c r="U230" s="912">
        <f t="shared" si="49"/>
        <v>0</v>
      </c>
      <c r="V230" s="912"/>
      <c r="W230" s="912"/>
      <c r="X230" s="912">
        <f t="shared" si="50"/>
        <v>0</v>
      </c>
      <c r="Y230" s="912"/>
      <c r="Z230" s="912">
        <f t="shared" si="51"/>
        <v>0</v>
      </c>
      <c r="AA230" s="872"/>
      <c r="AB230" s="872"/>
      <c r="AC230" s="872"/>
    </row>
    <row r="231" spans="1:29" ht="21">
      <c r="A231" s="537"/>
      <c r="B231" s="550"/>
      <c r="C231" s="549"/>
      <c r="D231" s="544"/>
      <c r="E231" s="912"/>
      <c r="F231" s="912"/>
      <c r="G231" s="912"/>
      <c r="H231" s="912"/>
      <c r="I231" s="912"/>
      <c r="J231" s="912"/>
      <c r="K231" s="912"/>
      <c r="L231" s="912"/>
      <c r="M231" s="912"/>
      <c r="N231" s="912"/>
      <c r="O231" s="912"/>
      <c r="P231" s="912"/>
      <c r="Q231" s="912"/>
      <c r="R231" s="912"/>
      <c r="S231" s="912"/>
      <c r="T231" s="912"/>
      <c r="U231" s="912">
        <f t="shared" si="49"/>
        <v>0</v>
      </c>
      <c r="V231" s="912"/>
      <c r="W231" s="912"/>
      <c r="X231" s="912">
        <f t="shared" si="50"/>
        <v>0</v>
      </c>
      <c r="Y231" s="912"/>
      <c r="Z231" s="912">
        <f t="shared" si="51"/>
        <v>0</v>
      </c>
      <c r="AA231" s="872"/>
      <c r="AB231" s="872"/>
      <c r="AC231" s="872"/>
    </row>
    <row r="232" spans="1:29" ht="21">
      <c r="A232" s="537"/>
      <c r="B232" s="550"/>
      <c r="C232" s="549"/>
      <c r="D232" s="544"/>
      <c r="E232" s="912"/>
      <c r="F232" s="912"/>
      <c r="G232" s="912"/>
      <c r="H232" s="912"/>
      <c r="I232" s="912"/>
      <c r="J232" s="912"/>
      <c r="K232" s="912"/>
      <c r="L232" s="912"/>
      <c r="M232" s="912"/>
      <c r="N232" s="912"/>
      <c r="O232" s="912"/>
      <c r="P232" s="912"/>
      <c r="Q232" s="912"/>
      <c r="R232" s="912"/>
      <c r="S232" s="912"/>
      <c r="T232" s="912"/>
      <c r="U232" s="912">
        <f t="shared" ref="U232:U237" si="55">SUM(E232:S232)</f>
        <v>0</v>
      </c>
      <c r="V232" s="912"/>
      <c r="W232" s="912"/>
      <c r="X232" s="912">
        <f t="shared" si="50"/>
        <v>0</v>
      </c>
      <c r="Y232" s="912"/>
      <c r="Z232" s="912">
        <f t="shared" si="51"/>
        <v>0</v>
      </c>
      <c r="AA232" s="872"/>
      <c r="AB232" s="872"/>
      <c r="AC232" s="872"/>
    </row>
    <row r="233" spans="1:29" ht="21">
      <c r="A233" s="537"/>
      <c r="B233" s="550"/>
      <c r="C233" s="549"/>
      <c r="D233" s="544"/>
      <c r="E233" s="912"/>
      <c r="F233" s="912"/>
      <c r="G233" s="912"/>
      <c r="H233" s="912"/>
      <c r="I233" s="912"/>
      <c r="J233" s="912"/>
      <c r="K233" s="912"/>
      <c r="L233" s="912"/>
      <c r="M233" s="912"/>
      <c r="N233" s="912"/>
      <c r="O233" s="912"/>
      <c r="P233" s="912"/>
      <c r="Q233" s="912"/>
      <c r="R233" s="912"/>
      <c r="S233" s="912"/>
      <c r="T233" s="912"/>
      <c r="U233" s="912">
        <f t="shared" ref="U233:U236" si="56">SUM(E233:S233)</f>
        <v>0</v>
      </c>
      <c r="V233" s="912"/>
      <c r="W233" s="912"/>
      <c r="X233" s="912">
        <f t="shared" si="50"/>
        <v>0</v>
      </c>
      <c r="Y233" s="912"/>
      <c r="Z233" s="912">
        <f t="shared" si="51"/>
        <v>0</v>
      </c>
      <c r="AA233" s="872"/>
      <c r="AB233" s="872"/>
      <c r="AC233" s="872"/>
    </row>
    <row r="234" spans="1:29" ht="21">
      <c r="A234" s="537"/>
      <c r="B234" s="550"/>
      <c r="C234" s="549"/>
      <c r="D234" s="544"/>
      <c r="E234" s="912"/>
      <c r="F234" s="912"/>
      <c r="G234" s="912"/>
      <c r="H234" s="912"/>
      <c r="I234" s="912"/>
      <c r="J234" s="912"/>
      <c r="K234" s="912"/>
      <c r="L234" s="912"/>
      <c r="M234" s="912"/>
      <c r="N234" s="912"/>
      <c r="O234" s="912"/>
      <c r="P234" s="912"/>
      <c r="Q234" s="912"/>
      <c r="R234" s="912"/>
      <c r="S234" s="912"/>
      <c r="T234" s="912"/>
      <c r="U234" s="912">
        <f t="shared" si="56"/>
        <v>0</v>
      </c>
      <c r="V234" s="912"/>
      <c r="W234" s="912"/>
      <c r="X234" s="912">
        <f t="shared" si="50"/>
        <v>0</v>
      </c>
      <c r="Y234" s="912"/>
      <c r="Z234" s="912">
        <f t="shared" si="51"/>
        <v>0</v>
      </c>
      <c r="AA234" s="872"/>
      <c r="AB234" s="872"/>
      <c r="AC234" s="872"/>
    </row>
    <row r="235" spans="1:29" ht="21">
      <c r="A235" s="537"/>
      <c r="B235" s="550"/>
      <c r="C235" s="549"/>
      <c r="D235" s="544"/>
      <c r="E235" s="912"/>
      <c r="F235" s="912"/>
      <c r="G235" s="912"/>
      <c r="H235" s="912"/>
      <c r="I235" s="912"/>
      <c r="J235" s="912"/>
      <c r="K235" s="912"/>
      <c r="L235" s="912"/>
      <c r="M235" s="912"/>
      <c r="N235" s="912"/>
      <c r="O235" s="912"/>
      <c r="P235" s="912"/>
      <c r="Q235" s="912"/>
      <c r="R235" s="912"/>
      <c r="S235" s="912"/>
      <c r="T235" s="912"/>
      <c r="U235" s="912">
        <f t="shared" si="56"/>
        <v>0</v>
      </c>
      <c r="V235" s="912"/>
      <c r="W235" s="912"/>
      <c r="X235" s="912">
        <f t="shared" si="50"/>
        <v>0</v>
      </c>
      <c r="Y235" s="912"/>
      <c r="Z235" s="912">
        <f t="shared" si="51"/>
        <v>0</v>
      </c>
      <c r="AA235" s="872"/>
      <c r="AB235" s="872"/>
      <c r="AC235" s="872"/>
    </row>
    <row r="236" spans="1:29" ht="21">
      <c r="A236" s="537"/>
      <c r="B236" s="550"/>
      <c r="C236" s="549"/>
      <c r="D236" s="544"/>
      <c r="E236" s="912"/>
      <c r="F236" s="912"/>
      <c r="G236" s="912"/>
      <c r="H236" s="912"/>
      <c r="I236" s="912"/>
      <c r="J236" s="912"/>
      <c r="K236" s="912"/>
      <c r="L236" s="912"/>
      <c r="M236" s="912"/>
      <c r="N236" s="912"/>
      <c r="O236" s="912"/>
      <c r="P236" s="912"/>
      <c r="Q236" s="912"/>
      <c r="R236" s="912"/>
      <c r="S236" s="912"/>
      <c r="T236" s="912"/>
      <c r="U236" s="912">
        <f t="shared" si="56"/>
        <v>0</v>
      </c>
      <c r="V236" s="912"/>
      <c r="W236" s="912"/>
      <c r="X236" s="912">
        <f t="shared" si="50"/>
        <v>0</v>
      </c>
      <c r="Y236" s="912"/>
      <c r="Z236" s="912">
        <f t="shared" si="51"/>
        <v>0</v>
      </c>
      <c r="AA236" s="872"/>
      <c r="AB236" s="872"/>
      <c r="AC236" s="872"/>
    </row>
    <row r="237" spans="1:29" ht="21">
      <c r="A237" s="537"/>
      <c r="B237" s="550"/>
      <c r="C237" s="549"/>
      <c r="D237" s="544"/>
      <c r="E237" s="912"/>
      <c r="F237" s="912"/>
      <c r="G237" s="912"/>
      <c r="H237" s="912"/>
      <c r="I237" s="912"/>
      <c r="J237" s="912"/>
      <c r="K237" s="912"/>
      <c r="L237" s="912"/>
      <c r="M237" s="912"/>
      <c r="N237" s="912"/>
      <c r="O237" s="912"/>
      <c r="P237" s="912"/>
      <c r="Q237" s="912"/>
      <c r="R237" s="912"/>
      <c r="S237" s="912"/>
      <c r="T237" s="912"/>
      <c r="U237" s="912">
        <f t="shared" si="55"/>
        <v>0</v>
      </c>
      <c r="V237" s="912"/>
      <c r="W237" s="912"/>
      <c r="X237" s="912">
        <f t="shared" si="50"/>
        <v>0</v>
      </c>
      <c r="Y237" s="912"/>
      <c r="Z237" s="912">
        <f t="shared" si="51"/>
        <v>0</v>
      </c>
      <c r="AA237" s="872"/>
      <c r="AB237" s="872"/>
      <c r="AC237" s="872"/>
    </row>
    <row r="238" spans="1:29" ht="21">
      <c r="A238" s="537"/>
      <c r="B238" s="550"/>
      <c r="C238" s="549"/>
      <c r="D238" s="544"/>
      <c r="E238" s="912"/>
      <c r="F238" s="912"/>
      <c r="G238" s="912"/>
      <c r="H238" s="912"/>
      <c r="I238" s="912"/>
      <c r="J238" s="912"/>
      <c r="K238" s="912"/>
      <c r="L238" s="912"/>
      <c r="M238" s="912"/>
      <c r="N238" s="912"/>
      <c r="O238" s="912"/>
      <c r="P238" s="912"/>
      <c r="Q238" s="912"/>
      <c r="R238" s="912"/>
      <c r="S238" s="912"/>
      <c r="T238" s="912"/>
      <c r="U238" s="912">
        <f t="shared" si="49"/>
        <v>0</v>
      </c>
      <c r="V238" s="912"/>
      <c r="W238" s="912"/>
      <c r="X238" s="912">
        <f t="shared" si="50"/>
        <v>0</v>
      </c>
      <c r="Y238" s="912"/>
      <c r="Z238" s="912">
        <f t="shared" si="51"/>
        <v>0</v>
      </c>
      <c r="AA238" s="872"/>
      <c r="AB238" s="872"/>
      <c r="AC238" s="872"/>
    </row>
    <row r="239" spans="1:29">
      <c r="A239" s="1209"/>
      <c r="B239" s="1210"/>
      <c r="C239" s="1211"/>
      <c r="D239" s="1212"/>
      <c r="E239" s="912"/>
      <c r="F239" s="912"/>
      <c r="G239" s="912"/>
      <c r="H239" s="912"/>
      <c r="I239" s="912"/>
      <c r="J239" s="912"/>
      <c r="K239" s="912"/>
      <c r="L239" s="912"/>
      <c r="M239" s="912"/>
      <c r="N239" s="912"/>
      <c r="O239" s="912"/>
      <c r="P239" s="912"/>
      <c r="Q239" s="912"/>
      <c r="R239" s="912"/>
      <c r="S239" s="912"/>
      <c r="T239" s="912"/>
      <c r="U239" s="912">
        <f t="shared" si="49"/>
        <v>0</v>
      </c>
      <c r="V239" s="912"/>
      <c r="W239" s="912"/>
      <c r="X239" s="912">
        <f t="shared" si="50"/>
        <v>0</v>
      </c>
      <c r="Y239" s="912"/>
      <c r="Z239" s="912">
        <f t="shared" si="51"/>
        <v>0</v>
      </c>
      <c r="AA239" s="872"/>
      <c r="AB239" s="872"/>
      <c r="AC239" s="872"/>
    </row>
    <row r="240" spans="1:29">
      <c r="A240" s="1209"/>
      <c r="B240" s="1210"/>
      <c r="C240" s="1211"/>
      <c r="D240" s="1212"/>
      <c r="E240" s="912"/>
      <c r="F240" s="912"/>
      <c r="G240" s="912"/>
      <c r="H240" s="912"/>
      <c r="I240" s="912"/>
      <c r="J240" s="912"/>
      <c r="K240" s="912"/>
      <c r="L240" s="912"/>
      <c r="M240" s="912"/>
      <c r="N240" s="912"/>
      <c r="O240" s="912"/>
      <c r="P240" s="912"/>
      <c r="Q240" s="912"/>
      <c r="R240" s="912"/>
      <c r="S240" s="912"/>
      <c r="T240" s="912"/>
      <c r="U240" s="912">
        <f t="shared" ref="U240:U242" si="57">SUM(E240:S240)</f>
        <v>0</v>
      </c>
      <c r="V240" s="912"/>
      <c r="W240" s="912"/>
      <c r="X240" s="912">
        <f t="shared" si="50"/>
        <v>0</v>
      </c>
      <c r="Y240" s="912"/>
      <c r="Z240" s="912">
        <f t="shared" si="51"/>
        <v>0</v>
      </c>
      <c r="AA240" s="872"/>
      <c r="AB240" s="872"/>
      <c r="AC240" s="872"/>
    </row>
    <row r="241" spans="1:66">
      <c r="A241" s="1209"/>
      <c r="B241" s="1210"/>
      <c r="C241" s="1211"/>
      <c r="D241" s="1212"/>
      <c r="E241" s="912"/>
      <c r="F241" s="912"/>
      <c r="G241" s="912"/>
      <c r="H241" s="912"/>
      <c r="I241" s="912"/>
      <c r="J241" s="912"/>
      <c r="K241" s="912"/>
      <c r="L241" s="912"/>
      <c r="M241" s="912"/>
      <c r="N241" s="912"/>
      <c r="O241" s="912"/>
      <c r="P241" s="912"/>
      <c r="Q241" s="912"/>
      <c r="R241" s="912"/>
      <c r="S241" s="912"/>
      <c r="T241" s="912"/>
      <c r="U241" s="912">
        <f t="shared" si="57"/>
        <v>0</v>
      </c>
      <c r="V241" s="912"/>
      <c r="W241" s="912"/>
      <c r="X241" s="912">
        <f t="shared" si="50"/>
        <v>0</v>
      </c>
      <c r="Y241" s="912"/>
      <c r="Z241" s="912">
        <f t="shared" si="51"/>
        <v>0</v>
      </c>
    </row>
    <row r="242" spans="1:66">
      <c r="A242" s="1209"/>
      <c r="B242" s="1210"/>
      <c r="C242" s="1211"/>
      <c r="D242" s="1212"/>
      <c r="E242" s="912"/>
      <c r="F242" s="912"/>
      <c r="G242" s="912"/>
      <c r="H242" s="912"/>
      <c r="I242" s="912"/>
      <c r="J242" s="912"/>
      <c r="K242" s="912"/>
      <c r="L242" s="912"/>
      <c r="M242" s="912"/>
      <c r="N242" s="912"/>
      <c r="O242" s="912"/>
      <c r="P242" s="912"/>
      <c r="Q242" s="912"/>
      <c r="R242" s="912"/>
      <c r="S242" s="912"/>
      <c r="T242" s="912"/>
      <c r="U242" s="912">
        <f t="shared" si="57"/>
        <v>0</v>
      </c>
      <c r="V242" s="912"/>
      <c r="W242" s="912"/>
      <c r="X242" s="912">
        <f t="shared" si="50"/>
        <v>0</v>
      </c>
      <c r="Y242" s="912"/>
      <c r="Z242" s="912">
        <f t="shared" si="51"/>
        <v>0</v>
      </c>
    </row>
    <row r="243" spans="1:66" ht="24" thickBot="1">
      <c r="A243" s="1213"/>
      <c r="B243" s="1214"/>
      <c r="C243" s="1215"/>
      <c r="D243" s="1216"/>
      <c r="E243" s="912"/>
      <c r="F243" s="912"/>
      <c r="G243" s="912"/>
      <c r="H243" s="912"/>
      <c r="I243" s="912"/>
      <c r="J243" s="912"/>
      <c r="K243" s="912"/>
      <c r="L243" s="912"/>
      <c r="M243" s="912"/>
      <c r="N243" s="912"/>
      <c r="O243" s="912"/>
      <c r="P243" s="912"/>
      <c r="Q243" s="912"/>
      <c r="R243" s="912"/>
      <c r="S243" s="912"/>
      <c r="T243" s="912"/>
      <c r="U243" s="912">
        <f t="shared" si="49"/>
        <v>0</v>
      </c>
      <c r="V243" s="912"/>
      <c r="W243" s="912"/>
      <c r="X243" s="912">
        <f t="shared" si="50"/>
        <v>0</v>
      </c>
      <c r="Y243" s="912"/>
      <c r="Z243" s="912">
        <f t="shared" si="51"/>
        <v>0</v>
      </c>
      <c r="AA243" s="403"/>
      <c r="AB243" s="403"/>
      <c r="AC243" s="403"/>
    </row>
    <row r="244" spans="1:66" ht="24" thickBot="1">
      <c r="A244" s="991" t="s">
        <v>151</v>
      </c>
      <c r="B244" s="992"/>
      <c r="C244" s="992"/>
      <c r="D244" s="1031"/>
      <c r="E244" s="993">
        <f t="shared" ref="E244:Z244" si="58">SUM(E175:E243)</f>
        <v>0</v>
      </c>
      <c r="F244" s="993">
        <f t="shared" si="58"/>
        <v>0</v>
      </c>
      <c r="G244" s="993">
        <f t="shared" si="58"/>
        <v>0</v>
      </c>
      <c r="H244" s="993">
        <f t="shared" si="58"/>
        <v>0</v>
      </c>
      <c r="I244" s="993">
        <f t="shared" si="58"/>
        <v>228</v>
      </c>
      <c r="J244" s="993">
        <f t="shared" si="58"/>
        <v>36</v>
      </c>
      <c r="K244" s="993">
        <f t="shared" si="58"/>
        <v>0</v>
      </c>
      <c r="L244" s="993">
        <f t="shared" si="58"/>
        <v>36</v>
      </c>
      <c r="M244" s="993">
        <f t="shared" si="58"/>
        <v>192</v>
      </c>
      <c r="N244" s="993">
        <f t="shared" si="58"/>
        <v>48</v>
      </c>
      <c r="O244" s="993">
        <f t="shared" si="58"/>
        <v>36</v>
      </c>
      <c r="P244" s="993">
        <f t="shared" si="58"/>
        <v>0</v>
      </c>
      <c r="Q244" s="993">
        <f t="shared" si="58"/>
        <v>0</v>
      </c>
      <c r="R244" s="993">
        <f t="shared" si="58"/>
        <v>0</v>
      </c>
      <c r="S244" s="993">
        <f t="shared" si="58"/>
        <v>204</v>
      </c>
      <c r="T244" s="993">
        <f t="shared" si="58"/>
        <v>0</v>
      </c>
      <c r="U244" s="993">
        <f t="shared" si="58"/>
        <v>780</v>
      </c>
      <c r="V244" s="993">
        <f t="shared" si="58"/>
        <v>0</v>
      </c>
      <c r="W244" s="993">
        <f t="shared" si="58"/>
        <v>0</v>
      </c>
      <c r="X244" s="993">
        <f t="shared" si="58"/>
        <v>780</v>
      </c>
      <c r="Y244" s="993">
        <f t="shared" si="58"/>
        <v>0</v>
      </c>
      <c r="Z244" s="993">
        <f t="shared" si="58"/>
        <v>780</v>
      </c>
      <c r="AA244" s="282"/>
      <c r="AB244" s="282"/>
      <c r="AC244" s="282"/>
    </row>
    <row r="245" spans="1:66" ht="24" thickBot="1">
      <c r="A245" s="3533" t="s">
        <v>146</v>
      </c>
      <c r="B245" s="992"/>
      <c r="C245" s="992"/>
      <c r="D245" s="1032"/>
      <c r="E245" s="993">
        <f>E244/16</f>
        <v>0</v>
      </c>
      <c r="F245" s="993">
        <f t="shared" ref="F245:Z245" si="59">F244/16</f>
        <v>0</v>
      </c>
      <c r="G245" s="993">
        <f t="shared" si="59"/>
        <v>0</v>
      </c>
      <c r="H245" s="993">
        <f t="shared" si="59"/>
        <v>0</v>
      </c>
      <c r="I245" s="993">
        <f t="shared" si="59"/>
        <v>14.25</v>
      </c>
      <c r="J245" s="993">
        <f t="shared" si="59"/>
        <v>2.25</v>
      </c>
      <c r="K245" s="993">
        <f t="shared" si="59"/>
        <v>0</v>
      </c>
      <c r="L245" s="993">
        <f t="shared" si="59"/>
        <v>2.25</v>
      </c>
      <c r="M245" s="993">
        <f t="shared" si="59"/>
        <v>12</v>
      </c>
      <c r="N245" s="993">
        <f t="shared" si="59"/>
        <v>3</v>
      </c>
      <c r="O245" s="993">
        <f t="shared" si="59"/>
        <v>2.25</v>
      </c>
      <c r="P245" s="993">
        <f t="shared" si="59"/>
        <v>0</v>
      </c>
      <c r="Q245" s="993">
        <f t="shared" si="59"/>
        <v>0</v>
      </c>
      <c r="R245" s="993">
        <f t="shared" si="59"/>
        <v>0</v>
      </c>
      <c r="S245" s="993">
        <f t="shared" si="59"/>
        <v>12.75</v>
      </c>
      <c r="T245" s="993">
        <f t="shared" si="59"/>
        <v>0</v>
      </c>
      <c r="U245" s="993">
        <f t="shared" si="59"/>
        <v>48.75</v>
      </c>
      <c r="V245" s="993">
        <f t="shared" si="59"/>
        <v>0</v>
      </c>
      <c r="W245" s="993">
        <f t="shared" si="59"/>
        <v>0</v>
      </c>
      <c r="X245" s="993">
        <f t="shared" si="59"/>
        <v>48.75</v>
      </c>
      <c r="Y245" s="993">
        <f t="shared" si="59"/>
        <v>0</v>
      </c>
      <c r="Z245" s="993">
        <f t="shared" si="59"/>
        <v>48.75</v>
      </c>
    </row>
    <row r="246" spans="1:66" ht="24" thickBot="1">
      <c r="A246" s="1033"/>
      <c r="B246" s="1034"/>
      <c r="C246" s="1034"/>
      <c r="D246" s="1035"/>
      <c r="E246" s="1036"/>
      <c r="F246" s="1036"/>
      <c r="G246" s="1036"/>
      <c r="H246" s="1036"/>
      <c r="I246" s="1036"/>
      <c r="J246" s="1036"/>
      <c r="K246" s="1036"/>
      <c r="L246" s="1036"/>
      <c r="M246" s="1036"/>
      <c r="N246" s="1036"/>
      <c r="O246" s="1036"/>
      <c r="P246" s="1036"/>
      <c r="Q246" s="1036"/>
      <c r="R246" s="1036"/>
      <c r="S246" s="1036"/>
      <c r="T246" s="1036"/>
      <c r="U246" s="1036"/>
      <c r="V246" s="1036"/>
      <c r="W246" s="1036"/>
      <c r="X246" s="1036"/>
      <c r="Y246" s="1036"/>
      <c r="Z246" s="1036"/>
      <c r="AA246" s="394"/>
      <c r="AB246" s="394"/>
      <c r="AC246" s="394"/>
    </row>
    <row r="247" spans="1:66" ht="24" thickBot="1">
      <c r="A247" s="1037" t="s">
        <v>202</v>
      </c>
      <c r="B247" s="877" t="s">
        <v>68</v>
      </c>
      <c r="C247" s="877" t="s">
        <v>69</v>
      </c>
      <c r="D247" s="878" t="s">
        <v>70</v>
      </c>
      <c r="E247" s="901" t="s">
        <v>71</v>
      </c>
      <c r="F247" s="880" t="s">
        <v>178</v>
      </c>
      <c r="G247" s="880" t="s">
        <v>101</v>
      </c>
      <c r="H247" s="879" t="s">
        <v>193</v>
      </c>
      <c r="I247" s="879" t="s">
        <v>97</v>
      </c>
      <c r="J247" s="879" t="s">
        <v>92</v>
      </c>
      <c r="K247" s="879" t="s">
        <v>194</v>
      </c>
      <c r="L247" s="880" t="s">
        <v>195</v>
      </c>
      <c r="M247" s="880" t="s">
        <v>196</v>
      </c>
      <c r="N247" s="880" t="s">
        <v>94</v>
      </c>
      <c r="O247" s="880" t="s">
        <v>86</v>
      </c>
      <c r="P247" s="880" t="s">
        <v>75</v>
      </c>
      <c r="Q247" s="914" t="s">
        <v>95</v>
      </c>
      <c r="R247" s="1013" t="s">
        <v>77</v>
      </c>
      <c r="S247" s="1014" t="s">
        <v>53</v>
      </c>
      <c r="T247" s="915"/>
      <c r="U247" s="916" t="s">
        <v>104</v>
      </c>
      <c r="V247" s="917" t="s">
        <v>105</v>
      </c>
      <c r="W247" s="917"/>
      <c r="X247" s="918" t="s">
        <v>106</v>
      </c>
      <c r="Y247" s="917" t="s">
        <v>107</v>
      </c>
      <c r="Z247" s="960" t="s">
        <v>108</v>
      </c>
      <c r="AA247" s="403"/>
      <c r="AB247" s="403"/>
      <c r="AC247" s="403"/>
    </row>
    <row r="248" spans="1:66">
      <c r="A248" s="1038"/>
      <c r="B248" s="1039"/>
      <c r="C248" s="1039"/>
      <c r="D248" s="990"/>
      <c r="E248" s="889"/>
      <c r="F248" s="889"/>
      <c r="G248" s="889"/>
      <c r="H248" s="889"/>
      <c r="I248" s="889"/>
      <c r="J248" s="889"/>
      <c r="K248" s="889"/>
      <c r="L248" s="909"/>
      <c r="M248" s="909"/>
      <c r="N248" s="909"/>
      <c r="O248" s="909"/>
      <c r="P248" s="909"/>
      <c r="Q248" s="909"/>
      <c r="R248" s="922"/>
      <c r="S248" s="922"/>
      <c r="T248" s="1006"/>
      <c r="U248" s="1051">
        <f t="shared" ref="U248:U249" si="60">SUM(E248:S248)</f>
        <v>0</v>
      </c>
      <c r="V248" s="924"/>
      <c r="W248" s="925"/>
      <c r="X248" s="924">
        <f>U248+V248</f>
        <v>0</v>
      </c>
      <c r="Y248" s="925"/>
      <c r="Z248" s="924">
        <f>X248+Y248</f>
        <v>0</v>
      </c>
    </row>
    <row r="249" spans="1:66" ht="24" thickBot="1">
      <c r="A249" s="983"/>
      <c r="B249" s="1040"/>
      <c r="C249" s="1040"/>
      <c r="D249" s="984"/>
      <c r="E249" s="893"/>
      <c r="F249" s="893"/>
      <c r="G249" s="893"/>
      <c r="H249" s="893"/>
      <c r="I249" s="893"/>
      <c r="J249" s="893"/>
      <c r="K249" s="893"/>
      <c r="L249" s="910"/>
      <c r="M249" s="910"/>
      <c r="N249" s="910"/>
      <c r="O249" s="910"/>
      <c r="P249" s="910"/>
      <c r="Q249" s="910"/>
      <c r="R249" s="926"/>
      <c r="S249" s="926"/>
      <c r="T249" s="927"/>
      <c r="U249" s="1052">
        <f t="shared" si="60"/>
        <v>0</v>
      </c>
      <c r="V249" s="929"/>
      <c r="W249" s="930"/>
      <c r="X249" s="929">
        <f>U249+V249</f>
        <v>0</v>
      </c>
      <c r="Y249" s="930"/>
      <c r="Z249" s="929">
        <f>X249+Y249</f>
        <v>0</v>
      </c>
    </row>
    <row r="250" spans="1:66" ht="24" thickBot="1">
      <c r="A250" s="985" t="s">
        <v>134</v>
      </c>
      <c r="B250" s="895"/>
      <c r="C250" s="895"/>
      <c r="D250" s="896"/>
      <c r="E250" s="897">
        <f t="shared" ref="E250:S250" si="61">SUM(E248:E249)</f>
        <v>0</v>
      </c>
      <c r="F250" s="897">
        <f t="shared" si="61"/>
        <v>0</v>
      </c>
      <c r="G250" s="897">
        <f t="shared" si="61"/>
        <v>0</v>
      </c>
      <c r="H250" s="897">
        <f t="shared" si="61"/>
        <v>0</v>
      </c>
      <c r="I250" s="897">
        <f t="shared" si="61"/>
        <v>0</v>
      </c>
      <c r="J250" s="897">
        <f t="shared" si="61"/>
        <v>0</v>
      </c>
      <c r="K250" s="897">
        <f t="shared" si="61"/>
        <v>0</v>
      </c>
      <c r="L250" s="897">
        <f t="shared" si="61"/>
        <v>0</v>
      </c>
      <c r="M250" s="897">
        <f t="shared" si="61"/>
        <v>0</v>
      </c>
      <c r="N250" s="897">
        <f t="shared" si="61"/>
        <v>0</v>
      </c>
      <c r="O250" s="897">
        <f t="shared" si="61"/>
        <v>0</v>
      </c>
      <c r="P250" s="897">
        <f t="shared" si="61"/>
        <v>0</v>
      </c>
      <c r="Q250" s="897">
        <f t="shared" si="61"/>
        <v>0</v>
      </c>
      <c r="R250" s="897">
        <f t="shared" si="61"/>
        <v>0</v>
      </c>
      <c r="S250" s="935">
        <f t="shared" si="61"/>
        <v>0</v>
      </c>
      <c r="T250" s="932"/>
      <c r="U250" s="951">
        <f t="shared" ref="U250:Z250" si="62">SUM(U248:U249)</f>
        <v>0</v>
      </c>
      <c r="V250" s="951">
        <f t="shared" si="62"/>
        <v>0</v>
      </c>
      <c r="W250" s="1053"/>
      <c r="X250" s="951">
        <f t="shared" si="62"/>
        <v>0</v>
      </c>
      <c r="Y250" s="1053">
        <f t="shared" si="62"/>
        <v>0</v>
      </c>
      <c r="Z250" s="951">
        <f t="shared" si="62"/>
        <v>0</v>
      </c>
    </row>
    <row r="251" spans="1:66" ht="24" thickBot="1">
      <c r="A251" s="1041"/>
      <c r="B251" s="1042"/>
      <c r="C251" s="1042"/>
      <c r="D251" s="1043"/>
      <c r="E251" s="1044"/>
      <c r="F251" s="1044"/>
      <c r="G251" s="1044"/>
      <c r="H251" s="1044"/>
      <c r="I251" s="1044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54"/>
      <c r="U251" s="1054"/>
      <c r="V251" s="1044"/>
      <c r="W251" s="1044"/>
      <c r="X251" s="1054"/>
      <c r="Y251" s="1044"/>
      <c r="Z251" s="1054"/>
    </row>
    <row r="252" spans="1:66" ht="24" thickBot="1">
      <c r="A252" s="991" t="s">
        <v>203</v>
      </c>
      <c r="B252" s="875"/>
      <c r="C252" s="875"/>
      <c r="D252" s="1045"/>
      <c r="E252" s="993">
        <f t="shared" ref="E252:S252" si="63">E171-E244+E250</f>
        <v>0</v>
      </c>
      <c r="F252" s="14">
        <f t="shared" si="63"/>
        <v>552</v>
      </c>
      <c r="G252" s="14">
        <f t="shared" si="63"/>
        <v>660</v>
      </c>
      <c r="H252" s="993">
        <f t="shared" si="63"/>
        <v>0</v>
      </c>
      <c r="I252" s="993">
        <f t="shared" si="63"/>
        <v>576</v>
      </c>
      <c r="J252" s="993">
        <f t="shared" si="63"/>
        <v>240</v>
      </c>
      <c r="K252" s="993">
        <f t="shared" si="63"/>
        <v>0</v>
      </c>
      <c r="L252" s="14">
        <f t="shared" si="63"/>
        <v>228</v>
      </c>
      <c r="M252" s="14">
        <f t="shared" si="63"/>
        <v>504</v>
      </c>
      <c r="N252" s="14">
        <f t="shared" si="63"/>
        <v>312</v>
      </c>
      <c r="O252" s="14">
        <f t="shared" si="63"/>
        <v>408</v>
      </c>
      <c r="P252" s="14">
        <f t="shared" si="63"/>
        <v>0</v>
      </c>
      <c r="Q252" s="14">
        <f t="shared" si="63"/>
        <v>0</v>
      </c>
      <c r="R252" s="14">
        <f t="shared" si="63"/>
        <v>0</v>
      </c>
      <c r="S252" s="1047">
        <f t="shared" si="63"/>
        <v>192</v>
      </c>
      <c r="T252" s="1055"/>
      <c r="U252" s="1056">
        <f>U171-U244+U250</f>
        <v>3672</v>
      </c>
      <c r="V252" s="3853">
        <f>V171-V244+V250</f>
        <v>17</v>
      </c>
      <c r="W252" s="3854"/>
      <c r="X252" s="1057">
        <f>X171-X244+X250</f>
        <v>3689</v>
      </c>
      <c r="Y252" s="1057">
        <f>Y171-Y244+Y250</f>
        <v>107</v>
      </c>
      <c r="Z252" s="1060">
        <f>Z171-Z244+Z250</f>
        <v>3796</v>
      </c>
    </row>
    <row r="253" spans="1:66" ht="24" thickBot="1">
      <c r="A253" s="3533" t="s">
        <v>146</v>
      </c>
      <c r="B253" s="875"/>
      <c r="C253" s="875"/>
      <c r="D253" s="3534"/>
      <c r="E253" s="995">
        <f>E252/16</f>
        <v>0</v>
      </c>
      <c r="F253" s="995">
        <f t="shared" ref="F253:S253" si="64">F252/16</f>
        <v>34.5</v>
      </c>
      <c r="G253" s="995">
        <f t="shared" si="64"/>
        <v>41.25</v>
      </c>
      <c r="H253" s="995">
        <f t="shared" si="64"/>
        <v>0</v>
      </c>
      <c r="I253" s="995">
        <f t="shared" si="64"/>
        <v>36</v>
      </c>
      <c r="J253" s="995">
        <f t="shared" si="64"/>
        <v>15</v>
      </c>
      <c r="K253" s="995">
        <f t="shared" si="64"/>
        <v>0</v>
      </c>
      <c r="L253" s="995">
        <f t="shared" si="64"/>
        <v>14.25</v>
      </c>
      <c r="M253" s="995">
        <f t="shared" si="64"/>
        <v>31.5</v>
      </c>
      <c r="N253" s="995">
        <f t="shared" si="64"/>
        <v>19.5</v>
      </c>
      <c r="O253" s="995">
        <f t="shared" si="64"/>
        <v>25.5</v>
      </c>
      <c r="P253" s="995">
        <f t="shared" si="64"/>
        <v>0</v>
      </c>
      <c r="Q253" s="995">
        <f t="shared" si="64"/>
        <v>0</v>
      </c>
      <c r="R253" s="995">
        <f t="shared" si="64"/>
        <v>0</v>
      </c>
      <c r="S253" s="995">
        <f t="shared" si="64"/>
        <v>12</v>
      </c>
      <c r="T253" s="246"/>
      <c r="U253" s="993">
        <f>SUM(E253:S253)</f>
        <v>229.5</v>
      </c>
      <c r="V253" s="3855">
        <f t="shared" ref="V253:Z253" si="65">V252/12</f>
        <v>1.4166666666666667</v>
      </c>
      <c r="W253" s="3856"/>
      <c r="X253" s="1058">
        <f t="shared" si="65"/>
        <v>307.41666666666669</v>
      </c>
      <c r="Y253" s="1058">
        <f t="shared" si="65"/>
        <v>8.9166666666666661</v>
      </c>
      <c r="Z253" s="1061">
        <f t="shared" si="65"/>
        <v>316.33333333333331</v>
      </c>
    </row>
    <row r="254" spans="1:66" ht="24" thickBot="1">
      <c r="A254" s="3533" t="s">
        <v>156</v>
      </c>
      <c r="B254" s="875"/>
      <c r="C254" s="875"/>
      <c r="D254" s="3534"/>
      <c r="E254" s="3837">
        <f>SUM(E253:S253)</f>
        <v>229.5</v>
      </c>
      <c r="F254" s="3838"/>
      <c r="G254" s="3838"/>
      <c r="H254" s="3838"/>
      <c r="I254" s="3838"/>
      <c r="J254" s="3838"/>
      <c r="K254" s="3838"/>
      <c r="L254" s="3838"/>
      <c r="M254" s="3838"/>
      <c r="N254" s="3838"/>
      <c r="O254" s="3838"/>
      <c r="P254" s="3838"/>
      <c r="Q254" s="3838"/>
      <c r="R254" s="3838"/>
      <c r="S254" s="3839"/>
      <c r="T254" s="6"/>
      <c r="U254" s="3837">
        <f>SUM(U253:Z253)</f>
        <v>863.58333333333326</v>
      </c>
      <c r="V254" s="3838"/>
      <c r="W254" s="3838"/>
      <c r="X254" s="3838"/>
      <c r="Y254" s="3838"/>
      <c r="Z254" s="3839"/>
    </row>
    <row r="255" spans="1:66" ht="21.75" thickBot="1">
      <c r="A255" s="3840" t="s">
        <v>157</v>
      </c>
      <c r="B255" s="3841"/>
      <c r="C255" s="3841"/>
      <c r="D255" s="3841"/>
      <c r="E255" s="3842">
        <f>SUM(E252:S252)</f>
        <v>3672</v>
      </c>
      <c r="F255" s="3843"/>
      <c r="G255" s="3843"/>
      <c r="H255" s="3843"/>
      <c r="I255" s="3843"/>
      <c r="J255" s="3843"/>
      <c r="K255" s="3843"/>
      <c r="L255" s="3843"/>
      <c r="M255" s="3843"/>
      <c r="N255" s="3843"/>
      <c r="O255" s="3843"/>
      <c r="P255" s="3843"/>
      <c r="Q255" s="3843"/>
      <c r="R255" s="3843"/>
      <c r="S255" s="3844"/>
      <c r="T255" s="174"/>
      <c r="U255" s="3845">
        <f>SUM(U252:Z252)</f>
        <v>11281</v>
      </c>
      <c r="V255" s="3846"/>
      <c r="W255" s="3846"/>
      <c r="X255" s="3846"/>
      <c r="Y255" s="3846"/>
      <c r="Z255" s="3847"/>
    </row>
    <row r="256" spans="1:66">
      <c r="BI256">
        <f>3*16</f>
        <v>48</v>
      </c>
      <c r="BJ256">
        <f>3*16</f>
        <v>48</v>
      </c>
      <c r="BK256">
        <f>3*16</f>
        <v>48</v>
      </c>
      <c r="BN256">
        <f>3*16</f>
        <v>48</v>
      </c>
    </row>
    <row r="257" spans="1:26" ht="24" thickBot="1">
      <c r="A257" s="561"/>
      <c r="D257" s="3224"/>
    </row>
    <row r="258" spans="1:26" ht="27.75" thickBot="1">
      <c r="E258" s="3826"/>
      <c r="F258" s="3826"/>
      <c r="G258" s="3826"/>
      <c r="H258" s="3826"/>
      <c r="I258" s="3826"/>
      <c r="J258" s="3826"/>
      <c r="K258" s="3826"/>
      <c r="L258" s="3826"/>
      <c r="M258" s="3826"/>
      <c r="N258" s="3826"/>
      <c r="O258" s="3826"/>
      <c r="P258" s="3819" t="s">
        <v>158</v>
      </c>
      <c r="Q258" s="3820"/>
      <c r="R258" s="3820"/>
      <c r="S258" s="3820"/>
      <c r="T258" s="3821"/>
      <c r="U258" s="3832">
        <f>'BIG CHAIR'!CI325</f>
        <v>0</v>
      </c>
      <c r="V258" s="3833"/>
      <c r="W258" s="873"/>
      <c r="X258" s="1"/>
      <c r="Y258" s="1"/>
      <c r="Z258" s="1"/>
    </row>
    <row r="259" spans="1:26" ht="27.75" thickBot="1">
      <c r="E259" s="3826"/>
      <c r="F259" s="3826"/>
      <c r="G259" s="3826"/>
      <c r="H259" s="3826"/>
      <c r="I259" s="3826"/>
      <c r="J259" s="3826"/>
      <c r="K259" s="3826"/>
      <c r="L259" s="3826"/>
      <c r="M259" s="3826"/>
      <c r="N259" s="3826"/>
      <c r="O259" s="3826"/>
      <c r="P259" s="3834" t="s">
        <v>159</v>
      </c>
      <c r="Q259" s="3835"/>
      <c r="R259" s="3835"/>
      <c r="S259" s="3835"/>
      <c r="T259" s="3836"/>
      <c r="U259" s="3822">
        <f>'Jordan Chair'!AE250</f>
        <v>2412</v>
      </c>
      <c r="V259" s="3823"/>
      <c r="W259" s="873"/>
    </row>
    <row r="260" spans="1:26" ht="27.75" thickBot="1">
      <c r="E260" s="3826"/>
      <c r="F260" s="3826"/>
      <c r="G260" s="3826"/>
      <c r="H260" s="3826"/>
      <c r="I260" s="3826"/>
      <c r="J260" s="3826"/>
      <c r="K260" s="3826"/>
      <c r="L260" s="3826"/>
      <c r="M260" s="3826"/>
      <c r="N260" s="3826"/>
      <c r="O260" s="3826"/>
      <c r="P260" s="3819" t="s">
        <v>160</v>
      </c>
      <c r="Q260" s="3820"/>
      <c r="R260" s="3820"/>
      <c r="S260" s="3820"/>
      <c r="T260" s="3821"/>
      <c r="U260" s="3827">
        <f>'BIG CHAIR'!CJ325</f>
        <v>0</v>
      </c>
      <c r="V260" s="3828"/>
      <c r="W260" s="873"/>
    </row>
    <row r="261" spans="1:26" ht="27.75" thickBot="1">
      <c r="E261" s="3826"/>
      <c r="F261" s="3826"/>
      <c r="G261" s="3826"/>
      <c r="H261" s="3826"/>
      <c r="I261" s="3826"/>
      <c r="J261" s="3826"/>
      <c r="K261" s="3826"/>
      <c r="L261" s="3826"/>
      <c r="M261" s="3826"/>
      <c r="N261" s="3826"/>
      <c r="O261" s="3826"/>
      <c r="P261" s="3819" t="s">
        <v>161</v>
      </c>
      <c r="Q261" s="3820"/>
      <c r="R261" s="3820"/>
      <c r="S261" s="3820"/>
      <c r="T261" s="3821"/>
      <c r="U261" s="3822">
        <f>'Jordan Chair'!AF250</f>
        <v>3</v>
      </c>
      <c r="V261" s="3823"/>
      <c r="W261" s="873"/>
    </row>
    <row r="262" spans="1:26" ht="27.75" thickBot="1">
      <c r="E262" s="3826"/>
      <c r="F262" s="3826"/>
      <c r="G262" s="3826"/>
      <c r="H262" s="3826"/>
      <c r="I262" s="3826"/>
      <c r="J262" s="3826"/>
      <c r="K262" s="3826"/>
      <c r="L262" s="3826"/>
      <c r="M262" s="3826"/>
      <c r="N262" s="3826"/>
      <c r="O262" s="3826"/>
      <c r="P262" s="3819" t="s">
        <v>162</v>
      </c>
      <c r="Q262" s="3820"/>
      <c r="R262" s="3820"/>
      <c r="S262" s="3820"/>
      <c r="T262" s="3821"/>
      <c r="U262" s="3827">
        <f>U252</f>
        <v>3672</v>
      </c>
      <c r="V262" s="3828"/>
      <c r="W262" s="873"/>
    </row>
    <row r="263" spans="1:26" ht="27.75" thickBot="1">
      <c r="E263" s="3826"/>
      <c r="F263" s="3826"/>
      <c r="G263" s="3826"/>
      <c r="H263" s="3826"/>
      <c r="I263" s="3826"/>
      <c r="J263" s="3826"/>
      <c r="K263" s="3826"/>
      <c r="L263" s="3826"/>
      <c r="M263" s="3826"/>
      <c r="N263" s="3826"/>
      <c r="O263" s="3826"/>
      <c r="P263" s="3829" t="s">
        <v>163</v>
      </c>
      <c r="Q263" s="3830"/>
      <c r="R263" s="3830"/>
      <c r="S263" s="3830"/>
      <c r="T263" s="3831"/>
      <c r="U263" s="3822">
        <f>V252</f>
        <v>17</v>
      </c>
      <c r="V263" s="3823"/>
      <c r="W263" s="873"/>
    </row>
    <row r="264" spans="1:26" ht="26.25" thickTop="1" thickBot="1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814"/>
      <c r="Q264" s="3815"/>
      <c r="R264" s="3815"/>
      <c r="S264" s="3815"/>
      <c r="T264" s="3816"/>
      <c r="U264" s="3817"/>
      <c r="V264" s="3818"/>
      <c r="W264" s="1062"/>
    </row>
    <row r="265" spans="1:26" ht="25.5" thickBot="1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819" t="s">
        <v>164</v>
      </c>
      <c r="Q265" s="3820"/>
      <c r="R265" s="3820"/>
      <c r="S265" s="3820"/>
      <c r="T265" s="3821"/>
      <c r="U265" s="3822">
        <f>SUM(U258:V263)</f>
        <v>6104</v>
      </c>
      <c r="V265" s="3823"/>
      <c r="W265" s="873"/>
    </row>
    <row r="266" spans="1:26" ht="25.5" thickBot="1">
      <c r="P266" s="3819" t="s">
        <v>165</v>
      </c>
      <c r="Q266" s="3820"/>
      <c r="R266" s="3820"/>
      <c r="S266" s="3820"/>
      <c r="T266" s="3821"/>
      <c r="U266" s="3824">
        <f>U253+'BIG CHAIR'!CI326+'Jordan Chair'!AE251</f>
        <v>430.5</v>
      </c>
      <c r="V266" s="3825"/>
      <c r="W266" s="873"/>
    </row>
  </sheetData>
  <mergeCells count="34">
    <mergeCell ref="E254:S254"/>
    <mergeCell ref="U254:Z254"/>
    <mergeCell ref="Q1:R1"/>
    <mergeCell ref="E2:S2"/>
    <mergeCell ref="A173:Z173"/>
    <mergeCell ref="V252:W252"/>
    <mergeCell ref="V253:W253"/>
    <mergeCell ref="A255:D255"/>
    <mergeCell ref="E255:S255"/>
    <mergeCell ref="U255:Z255"/>
    <mergeCell ref="E258:O258"/>
    <mergeCell ref="P258:T258"/>
    <mergeCell ref="U258:V258"/>
    <mergeCell ref="E259:O259"/>
    <mergeCell ref="P259:T259"/>
    <mergeCell ref="U259:V259"/>
    <mergeCell ref="E260:O260"/>
    <mergeCell ref="P260:T260"/>
    <mergeCell ref="U260:V260"/>
    <mergeCell ref="E261:O261"/>
    <mergeCell ref="P261:T261"/>
    <mergeCell ref="U261:V261"/>
    <mergeCell ref="E262:O262"/>
    <mergeCell ref="P262:T262"/>
    <mergeCell ref="U262:V262"/>
    <mergeCell ref="P266:T266"/>
    <mergeCell ref="U266:V266"/>
    <mergeCell ref="E263:O263"/>
    <mergeCell ref="P263:T263"/>
    <mergeCell ref="U263:V263"/>
    <mergeCell ref="P264:T264"/>
    <mergeCell ref="U264:V264"/>
    <mergeCell ref="P265:T265"/>
    <mergeCell ref="U265:V265"/>
  </mergeCells>
  <pageMargins left="0.7" right="0.7" top="0.75" bottom="0.75" header="0.3" footer="0.3"/>
  <pageSetup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384"/>
  <sheetViews>
    <sheetView topLeftCell="A281" workbookViewId="0">
      <selection activeCell="A296" sqref="A296"/>
    </sheetView>
  </sheetViews>
  <sheetFormatPr defaultColWidth="9" defaultRowHeight="15"/>
  <cols>
    <col min="1" max="1" width="53.7109375" customWidth="1"/>
    <col min="2" max="2" width="16.28515625" style="276" bestFit="1" customWidth="1"/>
    <col min="3" max="3" width="14.140625" style="276" customWidth="1"/>
    <col min="4" max="4" width="21.85546875" customWidth="1"/>
    <col min="5" max="5" width="15.7109375" customWidth="1"/>
    <col min="6" max="7" width="11.5703125" customWidth="1"/>
    <col min="8" max="8" width="12.7109375" bestFit="1" customWidth="1"/>
    <col min="9" max="9" width="13" bestFit="1" customWidth="1"/>
    <col min="10" max="10" width="15" customWidth="1"/>
    <col min="11" max="11" width="22" customWidth="1"/>
    <col min="12" max="12" width="19.85546875" customWidth="1"/>
    <col min="13" max="13" width="1.42578125" customWidth="1"/>
    <col min="14" max="15" width="13.7109375" customWidth="1"/>
    <col min="16" max="16" width="24.28515625" bestFit="1" customWidth="1"/>
    <col min="17" max="20" width="11.5703125" customWidth="1"/>
    <col min="21" max="21" width="15" customWidth="1"/>
    <col min="22" max="22" width="1.5703125" customWidth="1"/>
    <col min="23" max="25" width="11.5703125" customWidth="1"/>
    <col min="26" max="26" width="14.5703125" customWidth="1"/>
    <col min="27" max="27" width="11.5703125" customWidth="1"/>
    <col min="28" max="28" width="13.7109375" customWidth="1"/>
    <col min="29" max="29" width="13.7109375" bestFit="1" customWidth="1"/>
    <col min="30" max="30" width="11.5703125" customWidth="1"/>
    <col min="31" max="31" width="2" customWidth="1"/>
    <col min="32" max="32" width="13.7109375" customWidth="1"/>
    <col min="33" max="33" width="11.5703125" customWidth="1"/>
    <col min="34" max="34" width="8.5703125" customWidth="1"/>
    <col min="35" max="35" width="13.7109375" customWidth="1"/>
    <col min="36" max="36" width="11.5703125" customWidth="1"/>
    <col min="37" max="37" width="13.7109375" customWidth="1"/>
    <col min="38" max="256" width="10" customWidth="1"/>
  </cols>
  <sheetData>
    <row r="1" spans="1:40" ht="27" thickBot="1">
      <c r="A1" s="285" t="s">
        <v>224</v>
      </c>
      <c r="B1" s="285"/>
      <c r="C1" s="285"/>
      <c r="D1" s="285"/>
      <c r="E1" s="285"/>
      <c r="F1" s="285"/>
      <c r="G1" s="285"/>
      <c r="H1" s="285"/>
      <c r="I1" s="335">
        <f>'BIG CHAIR'!H1</f>
        <v>1</v>
      </c>
      <c r="J1" s="335">
        <v>4</v>
      </c>
      <c r="K1" s="335">
        <v>2026</v>
      </c>
      <c r="L1" s="1079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</row>
    <row r="2" spans="1:40" ht="24" thickBot="1">
      <c r="A2" s="3888" t="s">
        <v>4</v>
      </c>
      <c r="B2" s="3889"/>
      <c r="C2" s="3889"/>
      <c r="D2" s="3896"/>
      <c r="E2" s="3891" t="s">
        <v>563</v>
      </c>
      <c r="F2" s="3892"/>
      <c r="G2" s="3892"/>
      <c r="H2" s="3892"/>
      <c r="I2" s="3892"/>
      <c r="J2" s="3892"/>
      <c r="K2" s="3892"/>
      <c r="L2" s="3904"/>
      <c r="M2" s="336"/>
      <c r="N2" s="3891" t="s">
        <v>563</v>
      </c>
      <c r="O2" s="3892"/>
      <c r="P2" s="3892"/>
      <c r="Q2" s="3892"/>
      <c r="R2" s="3892"/>
      <c r="S2" s="3892"/>
      <c r="T2" s="3892"/>
      <c r="U2" s="3904"/>
      <c r="V2" s="364"/>
      <c r="W2" s="3893"/>
      <c r="X2" s="3894"/>
      <c r="Y2" s="3894"/>
      <c r="Z2" s="3894"/>
      <c r="AA2" s="3894"/>
      <c r="AB2" s="3894"/>
      <c r="AC2" s="3894"/>
      <c r="AD2" s="3895"/>
      <c r="AE2" s="364"/>
      <c r="AF2" s="3893"/>
      <c r="AG2" s="3894"/>
      <c r="AH2" s="3894"/>
      <c r="AI2" s="3894"/>
      <c r="AJ2" s="3894"/>
      <c r="AK2" s="3895"/>
    </row>
    <row r="3" spans="1:40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3519" t="s">
        <v>96</v>
      </c>
      <c r="F3" s="3517" t="s">
        <v>527</v>
      </c>
      <c r="G3" s="744" t="s">
        <v>228</v>
      </c>
      <c r="H3" s="744" t="s">
        <v>149</v>
      </c>
      <c r="I3" s="744" t="s">
        <v>470</v>
      </c>
      <c r="J3" s="3517" t="s">
        <v>92</v>
      </c>
      <c r="K3" s="3518" t="s">
        <v>479</v>
      </c>
      <c r="L3" s="3516" t="s">
        <v>123</v>
      </c>
      <c r="M3" s="79"/>
      <c r="N3" s="80" t="s">
        <v>71</v>
      </c>
      <c r="O3" s="49" t="s">
        <v>53</v>
      </c>
      <c r="P3" s="49" t="s">
        <v>569</v>
      </c>
      <c r="Q3" s="49" t="s">
        <v>74</v>
      </c>
      <c r="R3" s="49" t="s">
        <v>75</v>
      </c>
      <c r="S3" s="49" t="s">
        <v>94</v>
      </c>
      <c r="T3" s="126" t="s">
        <v>77</v>
      </c>
      <c r="U3" s="171" t="s">
        <v>101</v>
      </c>
      <c r="V3" s="79"/>
      <c r="W3" s="764" t="s">
        <v>482</v>
      </c>
      <c r="X3" s="765" t="s">
        <v>476</v>
      </c>
      <c r="Y3" s="765" t="e">
        <f>#REF!</f>
        <v>#REF!</v>
      </c>
      <c r="Z3" s="49" t="s">
        <v>575</v>
      </c>
      <c r="AA3" s="765" t="e">
        <f>#REF!</f>
        <v>#REF!</v>
      </c>
      <c r="AB3" s="765" t="e">
        <f>#REF!</f>
        <v>#REF!</v>
      </c>
      <c r="AC3" s="765" t="e">
        <f>#REF!</f>
        <v>#REF!</v>
      </c>
      <c r="AD3" s="772" t="e">
        <f>#REF!</f>
        <v>#REF!</v>
      </c>
      <c r="AE3" s="370"/>
      <c r="AF3" s="371" t="s">
        <v>172</v>
      </c>
      <c r="AG3" s="372" t="s">
        <v>80</v>
      </c>
      <c r="AH3" s="385"/>
      <c r="AI3" s="386" t="s">
        <v>106</v>
      </c>
      <c r="AJ3" s="385" t="s">
        <v>173</v>
      </c>
      <c r="AK3" s="371" t="s">
        <v>108</v>
      </c>
    </row>
    <row r="4" spans="1:40" s="276" customFormat="1" ht="21" thickBot="1">
      <c r="A4" s="289" t="str">
        <f>'Tea Table'!A4</f>
        <v xml:space="preserve">Opening Stock as on </v>
      </c>
      <c r="B4" s="1064" t="s">
        <v>471</v>
      </c>
      <c r="C4" s="290"/>
      <c r="D4" s="1065"/>
      <c r="E4" s="340">
        <f>6*20</f>
        <v>120</v>
      </c>
      <c r="F4" s="293"/>
      <c r="G4" s="293"/>
      <c r="H4" s="293"/>
      <c r="I4" s="337"/>
      <c r="J4" s="337"/>
      <c r="K4" s="338">
        <f>90*20</f>
        <v>1800</v>
      </c>
      <c r="L4" s="338">
        <f>17*20</f>
        <v>340</v>
      </c>
      <c r="M4" s="339"/>
      <c r="N4" s="340"/>
      <c r="O4" s="293"/>
      <c r="P4" s="337">
        <f>6*20</f>
        <v>120</v>
      </c>
      <c r="Q4" s="337"/>
      <c r="R4" s="337">
        <f>72*20</f>
        <v>1440</v>
      </c>
      <c r="S4" s="337"/>
      <c r="T4" s="365"/>
      <c r="U4" s="338"/>
      <c r="V4" s="339"/>
      <c r="W4" s="366">
        <f>5*20</f>
        <v>100</v>
      </c>
      <c r="X4" s="293"/>
      <c r="Y4" s="293"/>
      <c r="Z4" s="337"/>
      <c r="AA4" s="337"/>
      <c r="AB4" s="337"/>
      <c r="AC4" s="293"/>
      <c r="AD4" s="338"/>
      <c r="AE4" s="339"/>
      <c r="AF4" s="373">
        <f>SUM(E4:AD4)</f>
        <v>3920</v>
      </c>
      <c r="AG4" s="374"/>
      <c r="AH4" s="373"/>
      <c r="AI4" s="387">
        <f>AF4+AG4</f>
        <v>3920</v>
      </c>
      <c r="AJ4" s="388"/>
      <c r="AK4" s="389">
        <f>AI4+AJ4</f>
        <v>3920</v>
      </c>
    </row>
    <row r="5" spans="1:40" s="283" customFormat="1" ht="21" thickBot="1">
      <c r="A5" s="294" t="s">
        <v>110</v>
      </c>
      <c r="B5" s="299"/>
      <c r="C5" s="299"/>
      <c r="D5" s="1066"/>
      <c r="E5" s="1067"/>
      <c r="F5" s="1068"/>
      <c r="G5" s="1068"/>
      <c r="H5" s="1069"/>
      <c r="I5" s="1069"/>
      <c r="J5" s="1068"/>
      <c r="K5" s="1080"/>
      <c r="L5" s="1081"/>
      <c r="M5" s="1082"/>
      <c r="N5" s="343"/>
      <c r="O5" s="298"/>
      <c r="P5" s="298"/>
      <c r="Q5" s="298"/>
      <c r="R5" s="298"/>
      <c r="S5" s="298"/>
      <c r="T5" s="298"/>
      <c r="U5" s="367"/>
      <c r="V5" s="355"/>
      <c r="W5" s="325"/>
      <c r="X5" s="297"/>
      <c r="Y5" s="297"/>
      <c r="Z5" s="298"/>
      <c r="AA5" s="298"/>
      <c r="AB5" s="298"/>
      <c r="AC5" s="297"/>
      <c r="AD5" s="375"/>
      <c r="AE5" s="355"/>
      <c r="AF5" s="376">
        <f>SUM(E5:AD5)</f>
        <v>0</v>
      </c>
      <c r="AG5" s="377"/>
      <c r="AH5" s="390"/>
      <c r="AI5" s="391">
        <f>AF5+AG5</f>
        <v>0</v>
      </c>
      <c r="AJ5" s="392"/>
      <c r="AK5" s="393">
        <f>AI5+AJ5</f>
        <v>0</v>
      </c>
      <c r="AL5" s="394"/>
      <c r="AM5" s="54"/>
      <c r="AN5" s="394"/>
    </row>
    <row r="6" spans="1:40" s="283" customFormat="1" ht="21" thickBot="1">
      <c r="A6" s="294" t="s">
        <v>110</v>
      </c>
      <c r="B6" s="299"/>
      <c r="C6" s="299"/>
      <c r="D6" s="1066"/>
      <c r="E6" s="457"/>
      <c r="F6" s="458"/>
      <c r="G6" s="458"/>
      <c r="H6" s="459"/>
      <c r="I6" s="459"/>
      <c r="J6" s="458"/>
      <c r="K6" s="1083"/>
      <c r="L6" s="761"/>
      <c r="M6" s="1082"/>
      <c r="N6" s="343"/>
      <c r="O6" s="298"/>
      <c r="P6" s="298"/>
      <c r="Q6" s="298"/>
      <c r="R6" s="298"/>
      <c r="S6" s="298"/>
      <c r="T6" s="298"/>
      <c r="U6" s="367"/>
      <c r="V6" s="355"/>
      <c r="W6" s="325"/>
      <c r="X6" s="297"/>
      <c r="Y6" s="297"/>
      <c r="Z6" s="298"/>
      <c r="AA6" s="298"/>
      <c r="AB6" s="298"/>
      <c r="AC6" s="297"/>
      <c r="AD6" s="375"/>
      <c r="AE6" s="355"/>
      <c r="AF6" s="376">
        <f t="shared" ref="AF6:AF32" si="0">SUM(E6:AD6)</f>
        <v>0</v>
      </c>
      <c r="AG6" s="377"/>
      <c r="AH6" s="390"/>
      <c r="AI6" s="391">
        <f t="shared" ref="AI6:AI34" si="1">AF6+AG6</f>
        <v>0</v>
      </c>
      <c r="AJ6" s="392"/>
      <c r="AK6" s="393">
        <f t="shared" ref="AK6:AK34" si="2">AI6+AJ6</f>
        <v>0</v>
      </c>
      <c r="AL6" s="394"/>
      <c r="AM6" s="54"/>
      <c r="AN6" s="394"/>
    </row>
    <row r="7" spans="1:40" s="283" customFormat="1" ht="21" thickBot="1">
      <c r="A7" s="294" t="s">
        <v>110</v>
      </c>
      <c r="B7" s="299"/>
      <c r="C7" s="299"/>
      <c r="D7" s="1066"/>
      <c r="E7" s="457"/>
      <c r="F7" s="458"/>
      <c r="G7" s="458"/>
      <c r="H7" s="459"/>
      <c r="I7" s="459"/>
      <c r="J7" s="458"/>
      <c r="K7" s="1083"/>
      <c r="L7" s="761"/>
      <c r="M7" s="1082"/>
      <c r="N7" s="343"/>
      <c r="O7" s="298"/>
      <c r="P7" s="298"/>
      <c r="Q7" s="298"/>
      <c r="R7" s="298"/>
      <c r="S7" s="298"/>
      <c r="T7" s="298"/>
      <c r="U7" s="367"/>
      <c r="V7" s="355"/>
      <c r="W7" s="325"/>
      <c r="X7" s="297"/>
      <c r="Y7" s="297"/>
      <c r="Z7" s="298"/>
      <c r="AA7" s="298"/>
      <c r="AB7" s="298"/>
      <c r="AC7" s="297"/>
      <c r="AD7" s="375"/>
      <c r="AE7" s="355"/>
      <c r="AF7" s="376">
        <f t="shared" si="0"/>
        <v>0</v>
      </c>
      <c r="AG7" s="377"/>
      <c r="AH7" s="390"/>
      <c r="AI7" s="391">
        <f t="shared" si="1"/>
        <v>0</v>
      </c>
      <c r="AJ7" s="392"/>
      <c r="AK7" s="393">
        <f t="shared" si="2"/>
        <v>0</v>
      </c>
      <c r="AL7" s="394"/>
      <c r="AM7" s="54"/>
      <c r="AN7" s="394"/>
    </row>
    <row r="8" spans="1:40" s="283" customFormat="1" ht="21" thickBot="1">
      <c r="A8" s="294" t="s">
        <v>110</v>
      </c>
      <c r="B8" s="299"/>
      <c r="C8" s="299"/>
      <c r="D8" s="1066"/>
      <c r="E8" s="457"/>
      <c r="F8" s="458"/>
      <c r="G8" s="458"/>
      <c r="H8" s="459"/>
      <c r="I8" s="459"/>
      <c r="J8" s="458"/>
      <c r="K8" s="1083"/>
      <c r="L8" s="761"/>
      <c r="M8" s="1082"/>
      <c r="N8" s="343"/>
      <c r="O8" s="298"/>
      <c r="P8" s="298"/>
      <c r="Q8" s="298"/>
      <c r="R8" s="298"/>
      <c r="S8" s="298"/>
      <c r="T8" s="298"/>
      <c r="U8" s="367"/>
      <c r="V8" s="355"/>
      <c r="W8" s="325"/>
      <c r="X8" s="297"/>
      <c r="Y8" s="297"/>
      <c r="Z8" s="298"/>
      <c r="AA8" s="298"/>
      <c r="AB8" s="298"/>
      <c r="AC8" s="297"/>
      <c r="AD8" s="375"/>
      <c r="AE8" s="355"/>
      <c r="AF8" s="376">
        <f t="shared" si="0"/>
        <v>0</v>
      </c>
      <c r="AG8" s="377"/>
      <c r="AH8" s="390"/>
      <c r="AI8" s="391">
        <f t="shared" si="1"/>
        <v>0</v>
      </c>
      <c r="AJ8" s="392"/>
      <c r="AK8" s="393">
        <f t="shared" si="2"/>
        <v>0</v>
      </c>
      <c r="AL8" s="394"/>
      <c r="AM8" s="54"/>
      <c r="AN8" s="394"/>
    </row>
    <row r="9" spans="1:40" s="283" customFormat="1" ht="21" thickBot="1">
      <c r="A9" s="294" t="s">
        <v>110</v>
      </c>
      <c r="B9" s="299"/>
      <c r="C9" s="299"/>
      <c r="D9" s="1066"/>
      <c r="E9" s="457"/>
      <c r="F9" s="458"/>
      <c r="G9" s="458"/>
      <c r="H9" s="459"/>
      <c r="I9" s="459"/>
      <c r="J9" s="458"/>
      <c r="K9" s="1083"/>
      <c r="L9" s="761"/>
      <c r="M9" s="1082"/>
      <c r="N9" s="343"/>
      <c r="O9" s="298"/>
      <c r="P9" s="298"/>
      <c r="Q9" s="298"/>
      <c r="R9" s="298"/>
      <c r="S9" s="298"/>
      <c r="T9" s="298"/>
      <c r="U9" s="367"/>
      <c r="V9" s="355"/>
      <c r="W9" s="325"/>
      <c r="X9" s="297"/>
      <c r="Y9" s="297"/>
      <c r="Z9" s="298"/>
      <c r="AA9" s="298"/>
      <c r="AB9" s="298"/>
      <c r="AC9" s="297"/>
      <c r="AD9" s="375"/>
      <c r="AE9" s="355"/>
      <c r="AF9" s="376">
        <f t="shared" si="0"/>
        <v>0</v>
      </c>
      <c r="AG9" s="377"/>
      <c r="AH9" s="390"/>
      <c r="AI9" s="391">
        <f t="shared" si="1"/>
        <v>0</v>
      </c>
      <c r="AJ9" s="392"/>
      <c r="AK9" s="393">
        <f t="shared" si="2"/>
        <v>0</v>
      </c>
      <c r="AL9" s="394"/>
      <c r="AM9" s="54"/>
      <c r="AN9" s="394"/>
    </row>
    <row r="10" spans="1:40" s="283" customFormat="1" ht="21" thickBot="1">
      <c r="A10" s="294" t="s">
        <v>110</v>
      </c>
      <c r="B10" s="299"/>
      <c r="C10" s="299"/>
      <c r="D10" s="1066"/>
      <c r="E10" s="457"/>
      <c r="F10" s="458"/>
      <c r="G10" s="458"/>
      <c r="H10" s="459"/>
      <c r="I10" s="459"/>
      <c r="J10" s="458"/>
      <c r="K10" s="1083"/>
      <c r="L10" s="761"/>
      <c r="M10" s="1082"/>
      <c r="N10" s="343"/>
      <c r="O10" s="298"/>
      <c r="P10" s="298"/>
      <c r="Q10" s="298"/>
      <c r="R10" s="298"/>
      <c r="S10" s="298"/>
      <c r="T10" s="298"/>
      <c r="U10" s="367"/>
      <c r="V10" s="355"/>
      <c r="W10" s="325"/>
      <c r="X10" s="297"/>
      <c r="Y10" s="297"/>
      <c r="Z10" s="298"/>
      <c r="AA10" s="298"/>
      <c r="AB10" s="298"/>
      <c r="AC10" s="297"/>
      <c r="AD10" s="375"/>
      <c r="AE10" s="355"/>
      <c r="AF10" s="376">
        <f t="shared" si="0"/>
        <v>0</v>
      </c>
      <c r="AG10" s="377"/>
      <c r="AH10" s="390"/>
      <c r="AI10" s="391">
        <f t="shared" si="1"/>
        <v>0</v>
      </c>
      <c r="AJ10" s="392"/>
      <c r="AK10" s="393">
        <f t="shared" si="2"/>
        <v>0</v>
      </c>
      <c r="AL10" s="394"/>
      <c r="AM10" s="54"/>
      <c r="AN10" s="394"/>
    </row>
    <row r="11" spans="1:40" s="283" customFormat="1" ht="21" thickBot="1">
      <c r="A11" s="294" t="s">
        <v>110</v>
      </c>
      <c r="B11" s="299"/>
      <c r="C11" s="299"/>
      <c r="D11" s="1066"/>
      <c r="E11" s="457"/>
      <c r="F11" s="458"/>
      <c r="G11" s="458"/>
      <c r="H11" s="459"/>
      <c r="I11" s="459"/>
      <c r="J11" s="458"/>
      <c r="K11" s="1083"/>
      <c r="L11" s="761"/>
      <c r="M11" s="1082"/>
      <c r="N11" s="343"/>
      <c r="O11" s="298"/>
      <c r="P11" s="298"/>
      <c r="Q11" s="298"/>
      <c r="R11" s="298"/>
      <c r="S11" s="298"/>
      <c r="T11" s="298"/>
      <c r="U11" s="367"/>
      <c r="V11" s="355"/>
      <c r="W11" s="325"/>
      <c r="X11" s="297"/>
      <c r="Y11" s="297"/>
      <c r="Z11" s="298"/>
      <c r="AA11" s="298"/>
      <c r="AB11" s="298"/>
      <c r="AC11" s="297"/>
      <c r="AD11" s="375"/>
      <c r="AE11" s="355"/>
      <c r="AF11" s="376">
        <f t="shared" si="0"/>
        <v>0</v>
      </c>
      <c r="AG11" s="377"/>
      <c r="AH11" s="390"/>
      <c r="AI11" s="391">
        <f t="shared" si="1"/>
        <v>0</v>
      </c>
      <c r="AJ11" s="392"/>
      <c r="AK11" s="393">
        <f t="shared" si="2"/>
        <v>0</v>
      </c>
      <c r="AL11" s="394"/>
      <c r="AM11" s="54"/>
      <c r="AN11" s="394"/>
    </row>
    <row r="12" spans="1:40" s="283" customFormat="1" ht="21" thickBot="1">
      <c r="A12" s="294" t="s">
        <v>110</v>
      </c>
      <c r="B12" s="299"/>
      <c r="C12" s="299"/>
      <c r="D12" s="1066"/>
      <c r="E12" s="457"/>
      <c r="F12" s="458"/>
      <c r="G12" s="458"/>
      <c r="H12" s="459"/>
      <c r="I12" s="459"/>
      <c r="J12" s="458"/>
      <c r="K12" s="1083"/>
      <c r="L12" s="761"/>
      <c r="M12" s="1082"/>
      <c r="N12" s="343"/>
      <c r="O12" s="298"/>
      <c r="P12" s="298"/>
      <c r="Q12" s="298"/>
      <c r="R12" s="298"/>
      <c r="S12" s="298"/>
      <c r="T12" s="298"/>
      <c r="U12" s="367"/>
      <c r="V12" s="355"/>
      <c r="W12" s="325"/>
      <c r="X12" s="297"/>
      <c r="Y12" s="297"/>
      <c r="Z12" s="298"/>
      <c r="AA12" s="298"/>
      <c r="AB12" s="298"/>
      <c r="AC12" s="297"/>
      <c r="AD12" s="375"/>
      <c r="AE12" s="355"/>
      <c r="AF12" s="376">
        <f t="shared" si="0"/>
        <v>0</v>
      </c>
      <c r="AG12" s="377"/>
      <c r="AH12" s="390"/>
      <c r="AI12" s="391">
        <f t="shared" si="1"/>
        <v>0</v>
      </c>
      <c r="AJ12" s="392"/>
      <c r="AK12" s="393">
        <f t="shared" si="2"/>
        <v>0</v>
      </c>
      <c r="AL12" s="394"/>
      <c r="AM12" s="54"/>
      <c r="AN12" s="394"/>
    </row>
    <row r="13" spans="1:40" s="283" customFormat="1" ht="21" thickBot="1">
      <c r="A13" s="294" t="s">
        <v>110</v>
      </c>
      <c r="B13" s="299"/>
      <c r="C13" s="299"/>
      <c r="D13" s="1066"/>
      <c r="E13" s="457"/>
      <c r="F13" s="458"/>
      <c r="G13" s="458"/>
      <c r="H13" s="459"/>
      <c r="I13" s="459"/>
      <c r="J13" s="458"/>
      <c r="K13" s="1083"/>
      <c r="L13" s="761"/>
      <c r="M13" s="1082"/>
      <c r="N13" s="343"/>
      <c r="O13" s="298"/>
      <c r="P13" s="298"/>
      <c r="Q13" s="298"/>
      <c r="R13" s="298"/>
      <c r="S13" s="298"/>
      <c r="T13" s="298"/>
      <c r="U13" s="367"/>
      <c r="V13" s="355"/>
      <c r="W13" s="325"/>
      <c r="X13" s="297"/>
      <c r="Y13" s="297"/>
      <c r="Z13" s="298"/>
      <c r="AA13" s="298"/>
      <c r="AB13" s="298"/>
      <c r="AC13" s="297"/>
      <c r="AD13" s="375"/>
      <c r="AE13" s="355"/>
      <c r="AF13" s="376">
        <f t="shared" si="0"/>
        <v>0</v>
      </c>
      <c r="AG13" s="377"/>
      <c r="AH13" s="390"/>
      <c r="AI13" s="391">
        <f t="shared" si="1"/>
        <v>0</v>
      </c>
      <c r="AJ13" s="392"/>
      <c r="AK13" s="393">
        <f t="shared" si="2"/>
        <v>0</v>
      </c>
      <c r="AL13" s="394"/>
      <c r="AM13" s="54"/>
      <c r="AN13" s="394"/>
    </row>
    <row r="14" spans="1:40" s="283" customFormat="1" ht="21" thickBot="1">
      <c r="A14" s="294" t="s">
        <v>110</v>
      </c>
      <c r="B14" s="299"/>
      <c r="C14" s="299"/>
      <c r="D14" s="1066"/>
      <c r="E14" s="457"/>
      <c r="F14" s="458"/>
      <c r="G14" s="458"/>
      <c r="H14" s="459"/>
      <c r="I14" s="459"/>
      <c r="J14" s="458"/>
      <c r="K14" s="1083"/>
      <c r="L14" s="761"/>
      <c r="M14" s="1082"/>
      <c r="N14" s="343"/>
      <c r="O14" s="298"/>
      <c r="P14" s="298"/>
      <c r="Q14" s="298"/>
      <c r="R14" s="298"/>
      <c r="S14" s="298"/>
      <c r="T14" s="298"/>
      <c r="U14" s="367"/>
      <c r="V14" s="355"/>
      <c r="W14" s="325"/>
      <c r="X14" s="297"/>
      <c r="Y14" s="297"/>
      <c r="Z14" s="298"/>
      <c r="AA14" s="298"/>
      <c r="AB14" s="298"/>
      <c r="AC14" s="297"/>
      <c r="AD14" s="375"/>
      <c r="AE14" s="355"/>
      <c r="AF14" s="376">
        <f t="shared" si="0"/>
        <v>0</v>
      </c>
      <c r="AG14" s="377"/>
      <c r="AH14" s="390"/>
      <c r="AI14" s="391">
        <f t="shared" si="1"/>
        <v>0</v>
      </c>
      <c r="AJ14" s="392"/>
      <c r="AK14" s="393">
        <f t="shared" si="2"/>
        <v>0</v>
      </c>
      <c r="AL14" s="394"/>
      <c r="AM14" s="54"/>
      <c r="AN14" s="394"/>
    </row>
    <row r="15" spans="1:40" s="283" customFormat="1" ht="21" thickBot="1">
      <c r="A15" s="294" t="s">
        <v>110</v>
      </c>
      <c r="B15" s="299"/>
      <c r="C15" s="299"/>
      <c r="D15" s="1066"/>
      <c r="E15" s="457"/>
      <c r="F15" s="458"/>
      <c r="G15" s="458"/>
      <c r="H15" s="459"/>
      <c r="I15" s="459"/>
      <c r="J15" s="458"/>
      <c r="K15" s="1083"/>
      <c r="L15" s="761"/>
      <c r="M15" s="1082"/>
      <c r="N15" s="343"/>
      <c r="O15" s="298"/>
      <c r="P15" s="298"/>
      <c r="Q15" s="298"/>
      <c r="R15" s="298"/>
      <c r="S15" s="298"/>
      <c r="T15" s="298"/>
      <c r="U15" s="367"/>
      <c r="V15" s="355"/>
      <c r="W15" s="325"/>
      <c r="X15" s="297"/>
      <c r="Y15" s="297"/>
      <c r="Z15" s="298"/>
      <c r="AA15" s="298"/>
      <c r="AB15" s="298"/>
      <c r="AC15" s="297"/>
      <c r="AD15" s="375"/>
      <c r="AE15" s="355"/>
      <c r="AF15" s="376">
        <f t="shared" si="0"/>
        <v>0</v>
      </c>
      <c r="AG15" s="377"/>
      <c r="AH15" s="390"/>
      <c r="AI15" s="391">
        <f t="shared" si="1"/>
        <v>0</v>
      </c>
      <c r="AJ15" s="392"/>
      <c r="AK15" s="393">
        <f t="shared" si="2"/>
        <v>0</v>
      </c>
      <c r="AL15" s="394"/>
      <c r="AM15" s="54"/>
      <c r="AN15" s="394"/>
    </row>
    <row r="16" spans="1:40" s="283" customFormat="1" ht="21" thickBot="1">
      <c r="A16" s="294" t="s">
        <v>110</v>
      </c>
      <c r="B16" s="299"/>
      <c r="C16" s="299"/>
      <c r="D16" s="1070"/>
      <c r="E16" s="457"/>
      <c r="F16" s="458"/>
      <c r="G16" s="458"/>
      <c r="H16" s="459"/>
      <c r="I16" s="459"/>
      <c r="J16" s="458"/>
      <c r="K16" s="1084"/>
      <c r="L16" s="761"/>
      <c r="M16" s="1082"/>
      <c r="N16" s="343"/>
      <c r="O16" s="298"/>
      <c r="P16" s="298"/>
      <c r="Q16" s="298"/>
      <c r="R16" s="298"/>
      <c r="S16" s="298"/>
      <c r="T16" s="298"/>
      <c r="U16" s="367"/>
      <c r="V16" s="355"/>
      <c r="W16" s="325"/>
      <c r="X16" s="297"/>
      <c r="Y16" s="297"/>
      <c r="Z16" s="298"/>
      <c r="AA16" s="298"/>
      <c r="AB16" s="298"/>
      <c r="AC16" s="297"/>
      <c r="AD16" s="375"/>
      <c r="AE16" s="355"/>
      <c r="AF16" s="376">
        <f t="shared" si="0"/>
        <v>0</v>
      </c>
      <c r="AG16" s="377"/>
      <c r="AH16" s="390"/>
      <c r="AI16" s="391">
        <f t="shared" si="1"/>
        <v>0</v>
      </c>
      <c r="AJ16" s="392"/>
      <c r="AK16" s="393">
        <f t="shared" si="2"/>
        <v>0</v>
      </c>
      <c r="AL16" s="394"/>
      <c r="AM16" s="54"/>
      <c r="AN16" s="394"/>
    </row>
    <row r="17" spans="1:40" s="283" customFormat="1" ht="21" thickBot="1">
      <c r="A17" s="294" t="s">
        <v>110</v>
      </c>
      <c r="B17" s="299"/>
      <c r="C17" s="299"/>
      <c r="D17" s="1070"/>
      <c r="E17" s="457"/>
      <c r="F17" s="458"/>
      <c r="G17" s="458"/>
      <c r="H17" s="459"/>
      <c r="I17" s="459"/>
      <c r="J17" s="458"/>
      <c r="K17" s="1084"/>
      <c r="L17" s="761"/>
      <c r="M17" s="1082"/>
      <c r="N17" s="343"/>
      <c r="O17" s="298"/>
      <c r="P17" s="298"/>
      <c r="Q17" s="298"/>
      <c r="R17" s="298"/>
      <c r="S17" s="298"/>
      <c r="T17" s="298"/>
      <c r="U17" s="367"/>
      <c r="V17" s="355"/>
      <c r="W17" s="325"/>
      <c r="X17" s="297"/>
      <c r="Y17" s="297"/>
      <c r="Z17" s="298"/>
      <c r="AA17" s="298"/>
      <c r="AB17" s="298"/>
      <c r="AC17" s="297"/>
      <c r="AD17" s="375"/>
      <c r="AE17" s="355"/>
      <c r="AF17" s="376">
        <f t="shared" si="0"/>
        <v>0</v>
      </c>
      <c r="AG17" s="377"/>
      <c r="AH17" s="390"/>
      <c r="AI17" s="391">
        <f t="shared" si="1"/>
        <v>0</v>
      </c>
      <c r="AJ17" s="392"/>
      <c r="AK17" s="393">
        <f t="shared" si="2"/>
        <v>0</v>
      </c>
      <c r="AL17" s="394"/>
      <c r="AM17" s="54"/>
      <c r="AN17" s="394"/>
    </row>
    <row r="18" spans="1:40" s="283" customFormat="1" ht="21" thickBot="1">
      <c r="A18" s="294" t="s">
        <v>110</v>
      </c>
      <c r="B18" s="299"/>
      <c r="C18" s="299"/>
      <c r="D18" s="1070"/>
      <c r="E18" s="457"/>
      <c r="F18" s="458"/>
      <c r="G18" s="458"/>
      <c r="H18" s="459"/>
      <c r="I18" s="459"/>
      <c r="J18" s="458"/>
      <c r="K18" s="1085"/>
      <c r="L18" s="761"/>
      <c r="M18" s="1082"/>
      <c r="N18" s="343"/>
      <c r="O18" s="298"/>
      <c r="P18" s="298"/>
      <c r="Q18" s="298"/>
      <c r="R18" s="298"/>
      <c r="S18" s="298"/>
      <c r="T18" s="298"/>
      <c r="U18" s="367"/>
      <c r="V18" s="355"/>
      <c r="W18" s="325"/>
      <c r="X18" s="297"/>
      <c r="Y18" s="297"/>
      <c r="Z18" s="298"/>
      <c r="AA18" s="298"/>
      <c r="AB18" s="298"/>
      <c r="AC18" s="297"/>
      <c r="AD18" s="375"/>
      <c r="AE18" s="355"/>
      <c r="AF18" s="376">
        <f t="shared" si="0"/>
        <v>0</v>
      </c>
      <c r="AG18" s="377"/>
      <c r="AH18" s="390"/>
      <c r="AI18" s="391">
        <f t="shared" si="1"/>
        <v>0</v>
      </c>
      <c r="AJ18" s="392"/>
      <c r="AK18" s="393">
        <f t="shared" si="2"/>
        <v>0</v>
      </c>
      <c r="AL18" s="394"/>
      <c r="AM18" s="54"/>
      <c r="AN18" s="394"/>
    </row>
    <row r="19" spans="1:40" s="283" customFormat="1" ht="21" thickBot="1">
      <c r="A19" s="294" t="s">
        <v>110</v>
      </c>
      <c r="B19" s="299"/>
      <c r="C19" s="299"/>
      <c r="D19" s="1070"/>
      <c r="E19" s="457"/>
      <c r="F19" s="458"/>
      <c r="G19" s="458"/>
      <c r="H19" s="459"/>
      <c r="I19" s="459"/>
      <c r="J19" s="458"/>
      <c r="K19" s="1085"/>
      <c r="L19" s="761"/>
      <c r="M19" s="1082"/>
      <c r="N19" s="343"/>
      <c r="O19" s="298"/>
      <c r="P19" s="298"/>
      <c r="Q19" s="298"/>
      <c r="R19" s="298"/>
      <c r="S19" s="298"/>
      <c r="T19" s="298"/>
      <c r="U19" s="367"/>
      <c r="V19" s="355"/>
      <c r="W19" s="325"/>
      <c r="X19" s="297"/>
      <c r="Y19" s="297"/>
      <c r="Z19" s="298"/>
      <c r="AA19" s="298"/>
      <c r="AB19" s="298"/>
      <c r="AC19" s="297"/>
      <c r="AD19" s="375"/>
      <c r="AE19" s="355"/>
      <c r="AF19" s="376">
        <f t="shared" si="0"/>
        <v>0</v>
      </c>
      <c r="AG19" s="377"/>
      <c r="AH19" s="390"/>
      <c r="AI19" s="391">
        <f t="shared" si="1"/>
        <v>0</v>
      </c>
      <c r="AJ19" s="392"/>
      <c r="AK19" s="393">
        <f t="shared" si="2"/>
        <v>0</v>
      </c>
      <c r="AL19" s="394"/>
      <c r="AM19" s="54"/>
      <c r="AN19" s="394"/>
    </row>
    <row r="20" spans="1:40" s="283" customFormat="1" ht="21" thickBot="1">
      <c r="A20" s="294" t="s">
        <v>110</v>
      </c>
      <c r="B20" s="299"/>
      <c r="C20" s="299"/>
      <c r="D20" s="1070"/>
      <c r="E20" s="457"/>
      <c r="F20" s="458"/>
      <c r="G20" s="458"/>
      <c r="H20" s="459"/>
      <c r="I20" s="459"/>
      <c r="J20" s="458"/>
      <c r="K20" s="1085"/>
      <c r="L20" s="761"/>
      <c r="M20" s="1082"/>
      <c r="N20" s="343"/>
      <c r="O20" s="298"/>
      <c r="P20" s="298"/>
      <c r="Q20" s="298"/>
      <c r="R20" s="298"/>
      <c r="S20" s="298"/>
      <c r="T20" s="298"/>
      <c r="U20" s="367"/>
      <c r="V20" s="355"/>
      <c r="W20" s="325"/>
      <c r="X20" s="297"/>
      <c r="Y20" s="297"/>
      <c r="Z20" s="298"/>
      <c r="AA20" s="298"/>
      <c r="AB20" s="298"/>
      <c r="AC20" s="297"/>
      <c r="AD20" s="375"/>
      <c r="AE20" s="355"/>
      <c r="AF20" s="376">
        <f t="shared" si="0"/>
        <v>0</v>
      </c>
      <c r="AG20" s="377"/>
      <c r="AH20" s="390"/>
      <c r="AI20" s="391">
        <f t="shared" si="1"/>
        <v>0</v>
      </c>
      <c r="AJ20" s="392"/>
      <c r="AK20" s="393">
        <f t="shared" si="2"/>
        <v>0</v>
      </c>
      <c r="AL20" s="394"/>
      <c r="AM20" s="54"/>
      <c r="AN20" s="394"/>
    </row>
    <row r="21" spans="1:40" s="283" customFormat="1" ht="21" thickBot="1">
      <c r="A21" s="294" t="s">
        <v>110</v>
      </c>
      <c r="B21" s="299"/>
      <c r="C21" s="299"/>
      <c r="D21" s="1070"/>
      <c r="E21" s="457"/>
      <c r="F21" s="458"/>
      <c r="G21" s="458"/>
      <c r="H21" s="459"/>
      <c r="I21" s="459"/>
      <c r="J21" s="458"/>
      <c r="K21" s="1085"/>
      <c r="L21" s="761"/>
      <c r="M21" s="1082"/>
      <c r="N21" s="343"/>
      <c r="O21" s="298"/>
      <c r="P21" s="298"/>
      <c r="Q21" s="298"/>
      <c r="R21" s="298"/>
      <c r="S21" s="298"/>
      <c r="T21" s="298"/>
      <c r="U21" s="367"/>
      <c r="V21" s="355"/>
      <c r="W21" s="325"/>
      <c r="X21" s="297"/>
      <c r="Y21" s="297"/>
      <c r="Z21" s="298"/>
      <c r="AA21" s="298"/>
      <c r="AB21" s="298"/>
      <c r="AC21" s="297"/>
      <c r="AD21" s="375"/>
      <c r="AE21" s="355"/>
      <c r="AF21" s="376">
        <f t="shared" si="0"/>
        <v>0</v>
      </c>
      <c r="AG21" s="377"/>
      <c r="AH21" s="390"/>
      <c r="AI21" s="391">
        <f t="shared" si="1"/>
        <v>0</v>
      </c>
      <c r="AJ21" s="392"/>
      <c r="AK21" s="393">
        <f t="shared" si="2"/>
        <v>0</v>
      </c>
      <c r="AL21" s="394"/>
      <c r="AM21" s="54"/>
      <c r="AN21" s="394"/>
    </row>
    <row r="22" spans="1:40" s="283" customFormat="1" ht="21" thickBot="1">
      <c r="A22" s="294" t="s">
        <v>110</v>
      </c>
      <c r="B22" s="299"/>
      <c r="C22" s="299"/>
      <c r="D22" s="1070"/>
      <c r="E22" s="457"/>
      <c r="F22" s="458"/>
      <c r="G22" s="458"/>
      <c r="H22" s="459"/>
      <c r="I22" s="459"/>
      <c r="J22" s="458"/>
      <c r="K22" s="1085"/>
      <c r="L22" s="761"/>
      <c r="M22" s="1082"/>
      <c r="N22" s="343"/>
      <c r="O22" s="298"/>
      <c r="P22" s="298"/>
      <c r="Q22" s="298"/>
      <c r="R22" s="298"/>
      <c r="S22" s="298"/>
      <c r="T22" s="298"/>
      <c r="U22" s="367"/>
      <c r="V22" s="355"/>
      <c r="W22" s="325"/>
      <c r="X22" s="297"/>
      <c r="Y22" s="297"/>
      <c r="Z22" s="298"/>
      <c r="AA22" s="298"/>
      <c r="AB22" s="298"/>
      <c r="AC22" s="297"/>
      <c r="AD22" s="375"/>
      <c r="AE22" s="355"/>
      <c r="AF22" s="376">
        <f t="shared" si="0"/>
        <v>0</v>
      </c>
      <c r="AG22" s="377"/>
      <c r="AH22" s="390"/>
      <c r="AI22" s="391">
        <f t="shared" si="1"/>
        <v>0</v>
      </c>
      <c r="AJ22" s="392"/>
      <c r="AK22" s="393">
        <f t="shared" si="2"/>
        <v>0</v>
      </c>
      <c r="AL22" s="394"/>
      <c r="AM22" s="54"/>
      <c r="AN22" s="394"/>
    </row>
    <row r="23" spans="1:40" s="283" customFormat="1" ht="21" thickBot="1">
      <c r="A23" s="294" t="s">
        <v>110</v>
      </c>
      <c r="B23" s="299"/>
      <c r="C23" s="299"/>
      <c r="D23" s="1070"/>
      <c r="E23" s="457"/>
      <c r="F23" s="458"/>
      <c r="G23" s="458"/>
      <c r="H23" s="459"/>
      <c r="I23" s="459"/>
      <c r="J23" s="458"/>
      <c r="K23" s="1085"/>
      <c r="L23" s="761"/>
      <c r="M23" s="1082"/>
      <c r="N23" s="343"/>
      <c r="O23" s="298"/>
      <c r="P23" s="298"/>
      <c r="Q23" s="298"/>
      <c r="R23" s="298"/>
      <c r="S23" s="298"/>
      <c r="T23" s="298"/>
      <c r="U23" s="367"/>
      <c r="V23" s="355"/>
      <c r="W23" s="325"/>
      <c r="X23" s="297"/>
      <c r="Y23" s="297"/>
      <c r="Z23" s="298"/>
      <c r="AA23" s="298"/>
      <c r="AB23" s="298"/>
      <c r="AC23" s="297"/>
      <c r="AD23" s="375"/>
      <c r="AE23" s="355"/>
      <c r="AF23" s="376">
        <f t="shared" si="0"/>
        <v>0</v>
      </c>
      <c r="AG23" s="377"/>
      <c r="AH23" s="390"/>
      <c r="AI23" s="391">
        <f t="shared" si="1"/>
        <v>0</v>
      </c>
      <c r="AJ23" s="392"/>
      <c r="AK23" s="393">
        <f t="shared" si="2"/>
        <v>0</v>
      </c>
      <c r="AL23" s="394"/>
      <c r="AM23" s="54"/>
      <c r="AN23" s="394"/>
    </row>
    <row r="24" spans="1:40" s="283" customFormat="1" ht="21" thickBot="1">
      <c r="A24" s="294" t="s">
        <v>110</v>
      </c>
      <c r="B24" s="299"/>
      <c r="C24" s="299"/>
      <c r="D24" s="1070"/>
      <c r="E24" s="457"/>
      <c r="F24" s="458"/>
      <c r="G24" s="458"/>
      <c r="H24" s="459"/>
      <c r="I24" s="459"/>
      <c r="J24" s="458"/>
      <c r="K24" s="3473"/>
      <c r="L24" s="761"/>
      <c r="M24" s="1082"/>
      <c r="N24" s="343"/>
      <c r="O24" s="298"/>
      <c r="P24" s="298"/>
      <c r="Q24" s="298"/>
      <c r="R24" s="298"/>
      <c r="S24" s="298"/>
      <c r="T24" s="298"/>
      <c r="U24" s="367"/>
      <c r="V24" s="355"/>
      <c r="W24" s="325"/>
      <c r="X24" s="297"/>
      <c r="Y24" s="297"/>
      <c r="Z24" s="298"/>
      <c r="AA24" s="298"/>
      <c r="AB24" s="298"/>
      <c r="AC24" s="297"/>
      <c r="AD24" s="375"/>
      <c r="AE24" s="355"/>
      <c r="AF24" s="376">
        <f t="shared" si="0"/>
        <v>0</v>
      </c>
      <c r="AG24" s="377"/>
      <c r="AH24" s="390"/>
      <c r="AI24" s="391">
        <f t="shared" si="1"/>
        <v>0</v>
      </c>
      <c r="AJ24" s="392"/>
      <c r="AK24" s="393">
        <f t="shared" si="2"/>
        <v>0</v>
      </c>
      <c r="AL24" s="394"/>
      <c r="AM24" s="54"/>
      <c r="AN24" s="394"/>
    </row>
    <row r="25" spans="1:40" s="283" customFormat="1" ht="21" thickBot="1">
      <c r="A25" s="294" t="s">
        <v>110</v>
      </c>
      <c r="B25" s="299"/>
      <c r="C25" s="299"/>
      <c r="D25" s="1070"/>
      <c r="E25" s="457"/>
      <c r="F25" s="458"/>
      <c r="G25" s="458"/>
      <c r="H25" s="459"/>
      <c r="I25" s="459"/>
      <c r="J25" s="458"/>
      <c r="K25" s="1085"/>
      <c r="L25" s="761"/>
      <c r="M25" s="1082"/>
      <c r="N25" s="343"/>
      <c r="O25" s="298"/>
      <c r="P25" s="298"/>
      <c r="Q25" s="298"/>
      <c r="R25" s="298"/>
      <c r="S25" s="298"/>
      <c r="T25" s="298"/>
      <c r="U25" s="367"/>
      <c r="V25" s="355"/>
      <c r="W25" s="325"/>
      <c r="X25" s="297"/>
      <c r="Y25" s="297"/>
      <c r="Z25" s="298"/>
      <c r="AA25" s="298"/>
      <c r="AB25" s="298"/>
      <c r="AC25" s="297"/>
      <c r="AD25" s="375"/>
      <c r="AE25" s="355"/>
      <c r="AF25" s="376">
        <f t="shared" si="0"/>
        <v>0</v>
      </c>
      <c r="AG25" s="377"/>
      <c r="AH25" s="390"/>
      <c r="AI25" s="391">
        <f t="shared" si="1"/>
        <v>0</v>
      </c>
      <c r="AJ25" s="392"/>
      <c r="AK25" s="393">
        <f t="shared" si="2"/>
        <v>0</v>
      </c>
      <c r="AL25" s="394"/>
      <c r="AM25" s="54"/>
      <c r="AN25" s="394"/>
    </row>
    <row r="26" spans="1:40" s="283" customFormat="1" ht="21" thickBot="1">
      <c r="A26" s="294" t="s">
        <v>110</v>
      </c>
      <c r="B26" s="299"/>
      <c r="C26" s="299"/>
      <c r="D26" s="1070"/>
      <c r="E26" s="457"/>
      <c r="F26" s="458"/>
      <c r="G26" s="458"/>
      <c r="H26" s="459"/>
      <c r="I26" s="459"/>
      <c r="J26" s="458"/>
      <c r="K26" s="1085"/>
      <c r="L26" s="761"/>
      <c r="M26" s="1082"/>
      <c r="N26" s="343"/>
      <c r="O26" s="298"/>
      <c r="P26" s="298"/>
      <c r="Q26" s="298"/>
      <c r="R26" s="298"/>
      <c r="S26" s="298"/>
      <c r="T26" s="298"/>
      <c r="U26" s="367"/>
      <c r="V26" s="355"/>
      <c r="W26" s="325"/>
      <c r="X26" s="297"/>
      <c r="Y26" s="297"/>
      <c r="Z26" s="298"/>
      <c r="AA26" s="298"/>
      <c r="AB26" s="298"/>
      <c r="AC26" s="297"/>
      <c r="AD26" s="375"/>
      <c r="AE26" s="355"/>
      <c r="AF26" s="376">
        <f t="shared" si="0"/>
        <v>0</v>
      </c>
      <c r="AG26" s="377"/>
      <c r="AH26" s="390"/>
      <c r="AI26" s="391">
        <f t="shared" si="1"/>
        <v>0</v>
      </c>
      <c r="AJ26" s="392"/>
      <c r="AK26" s="393">
        <f t="shared" si="2"/>
        <v>0</v>
      </c>
      <c r="AL26" s="394"/>
      <c r="AM26" s="54"/>
      <c r="AN26" s="394"/>
    </row>
    <row r="27" spans="1:40" s="283" customFormat="1" ht="21" thickBot="1">
      <c r="A27" s="294" t="s">
        <v>110</v>
      </c>
      <c r="B27" s="299"/>
      <c r="C27" s="299"/>
      <c r="D27" s="1070"/>
      <c r="E27" s="457"/>
      <c r="F27" s="458"/>
      <c r="G27" s="458"/>
      <c r="H27" s="459"/>
      <c r="I27" s="459"/>
      <c r="J27" s="458"/>
      <c r="K27" s="1085"/>
      <c r="L27" s="761"/>
      <c r="M27" s="1082"/>
      <c r="N27" s="343"/>
      <c r="O27" s="298"/>
      <c r="P27" s="298"/>
      <c r="Q27" s="298"/>
      <c r="R27" s="298"/>
      <c r="S27" s="298"/>
      <c r="T27" s="298"/>
      <c r="U27" s="367"/>
      <c r="V27" s="355"/>
      <c r="W27" s="325"/>
      <c r="X27" s="297"/>
      <c r="Y27" s="297"/>
      <c r="Z27" s="298"/>
      <c r="AA27" s="298"/>
      <c r="AB27" s="298"/>
      <c r="AC27" s="297"/>
      <c r="AD27" s="375"/>
      <c r="AE27" s="355"/>
      <c r="AF27" s="376">
        <f t="shared" si="0"/>
        <v>0</v>
      </c>
      <c r="AG27" s="377"/>
      <c r="AH27" s="390"/>
      <c r="AI27" s="391">
        <f t="shared" si="1"/>
        <v>0</v>
      </c>
      <c r="AJ27" s="392"/>
      <c r="AK27" s="393">
        <f t="shared" si="2"/>
        <v>0</v>
      </c>
      <c r="AL27" s="394"/>
      <c r="AM27" s="54"/>
      <c r="AN27" s="394"/>
    </row>
    <row r="28" spans="1:40" s="283" customFormat="1" ht="21" thickBot="1">
      <c r="A28" s="294" t="s">
        <v>110</v>
      </c>
      <c r="B28" s="299"/>
      <c r="C28" s="299"/>
      <c r="D28" s="1070"/>
      <c r="E28" s="457"/>
      <c r="F28" s="458"/>
      <c r="G28" s="458"/>
      <c r="H28" s="459"/>
      <c r="I28" s="459"/>
      <c r="J28" s="458"/>
      <c r="K28" s="1085"/>
      <c r="L28" s="761"/>
      <c r="M28" s="1082"/>
      <c r="N28" s="343"/>
      <c r="O28" s="298"/>
      <c r="P28" s="298"/>
      <c r="Q28" s="298"/>
      <c r="R28" s="298"/>
      <c r="S28" s="298"/>
      <c r="T28" s="298"/>
      <c r="U28" s="367"/>
      <c r="V28" s="355"/>
      <c r="W28" s="325"/>
      <c r="X28" s="297"/>
      <c r="Y28" s="297"/>
      <c r="Z28" s="298"/>
      <c r="AA28" s="298"/>
      <c r="AB28" s="298"/>
      <c r="AC28" s="297"/>
      <c r="AD28" s="375"/>
      <c r="AE28" s="355"/>
      <c r="AF28" s="376">
        <f t="shared" si="0"/>
        <v>0</v>
      </c>
      <c r="AG28" s="377"/>
      <c r="AH28" s="390"/>
      <c r="AI28" s="391">
        <f t="shared" si="1"/>
        <v>0</v>
      </c>
      <c r="AJ28" s="392"/>
      <c r="AK28" s="393">
        <f t="shared" si="2"/>
        <v>0</v>
      </c>
      <c r="AL28" s="394"/>
      <c r="AM28" s="54"/>
      <c r="AN28" s="394"/>
    </row>
    <row r="29" spans="1:40" s="283" customFormat="1" ht="21" thickBot="1">
      <c r="A29" s="294" t="s">
        <v>110</v>
      </c>
      <c r="B29" s="299"/>
      <c r="C29" s="299"/>
      <c r="D29" s="1070"/>
      <c r="E29" s="457"/>
      <c r="F29" s="458"/>
      <c r="G29" s="458"/>
      <c r="H29" s="459"/>
      <c r="I29" s="459"/>
      <c r="J29" s="458"/>
      <c r="K29" s="1085"/>
      <c r="L29" s="761"/>
      <c r="M29" s="1082"/>
      <c r="N29" s="343"/>
      <c r="O29" s="298"/>
      <c r="P29" s="298"/>
      <c r="Q29" s="298"/>
      <c r="R29" s="298"/>
      <c r="S29" s="298"/>
      <c r="T29" s="298"/>
      <c r="U29" s="367"/>
      <c r="V29" s="355"/>
      <c r="W29" s="325"/>
      <c r="X29" s="297"/>
      <c r="Y29" s="297"/>
      <c r="Z29" s="298"/>
      <c r="AA29" s="298"/>
      <c r="AB29" s="298"/>
      <c r="AC29" s="297"/>
      <c r="AD29" s="375"/>
      <c r="AE29" s="355"/>
      <c r="AF29" s="376">
        <f t="shared" si="0"/>
        <v>0</v>
      </c>
      <c r="AG29" s="377"/>
      <c r="AH29" s="390"/>
      <c r="AI29" s="391">
        <f t="shared" si="1"/>
        <v>0</v>
      </c>
      <c r="AJ29" s="392"/>
      <c r="AK29" s="393">
        <f t="shared" si="2"/>
        <v>0</v>
      </c>
      <c r="AL29" s="394"/>
      <c r="AM29" s="54"/>
      <c r="AN29" s="394"/>
    </row>
    <row r="30" spans="1:40" s="283" customFormat="1" ht="21" thickBot="1">
      <c r="A30" s="294" t="s">
        <v>110</v>
      </c>
      <c r="B30" s="299"/>
      <c r="C30" s="299"/>
      <c r="D30" s="1070"/>
      <c r="E30" s="457"/>
      <c r="F30" s="458"/>
      <c r="G30" s="458"/>
      <c r="H30" s="459"/>
      <c r="I30" s="459"/>
      <c r="J30" s="458"/>
      <c r="K30" s="1085"/>
      <c r="L30" s="761"/>
      <c r="M30" s="1082"/>
      <c r="N30" s="343"/>
      <c r="O30" s="298"/>
      <c r="P30" s="298"/>
      <c r="Q30" s="298"/>
      <c r="R30" s="298"/>
      <c r="S30" s="298"/>
      <c r="T30" s="298"/>
      <c r="U30" s="367"/>
      <c r="V30" s="355"/>
      <c r="W30" s="325"/>
      <c r="X30" s="297"/>
      <c r="Y30" s="297"/>
      <c r="Z30" s="298"/>
      <c r="AA30" s="298"/>
      <c r="AB30" s="298"/>
      <c r="AC30" s="297"/>
      <c r="AD30" s="375"/>
      <c r="AE30" s="355"/>
      <c r="AF30" s="376">
        <f t="shared" si="0"/>
        <v>0</v>
      </c>
      <c r="AG30" s="377"/>
      <c r="AH30" s="390"/>
      <c r="AI30" s="391">
        <f t="shared" si="1"/>
        <v>0</v>
      </c>
      <c r="AJ30" s="392"/>
      <c r="AK30" s="393">
        <f t="shared" si="2"/>
        <v>0</v>
      </c>
      <c r="AL30" s="394"/>
      <c r="AM30" s="54"/>
      <c r="AN30" s="394"/>
    </row>
    <row r="31" spans="1:40" s="283" customFormat="1" ht="21" thickBot="1">
      <c r="A31" s="294" t="s">
        <v>110</v>
      </c>
      <c r="B31" s="299"/>
      <c r="C31" s="299"/>
      <c r="D31" s="1070"/>
      <c r="E31" s="457"/>
      <c r="F31" s="458"/>
      <c r="G31" s="458"/>
      <c r="H31" s="459"/>
      <c r="I31" s="459"/>
      <c r="J31" s="458"/>
      <c r="K31" s="1085"/>
      <c r="L31" s="761"/>
      <c r="M31" s="1082"/>
      <c r="N31" s="343"/>
      <c r="O31" s="298"/>
      <c r="P31" s="298"/>
      <c r="Q31" s="298"/>
      <c r="R31" s="298"/>
      <c r="S31" s="298"/>
      <c r="T31" s="298"/>
      <c r="U31" s="367"/>
      <c r="V31" s="355"/>
      <c r="W31" s="325"/>
      <c r="X31" s="297"/>
      <c r="Y31" s="297"/>
      <c r="Z31" s="298"/>
      <c r="AA31" s="298"/>
      <c r="AB31" s="298"/>
      <c r="AC31" s="297"/>
      <c r="AD31" s="375"/>
      <c r="AE31" s="355"/>
      <c r="AF31" s="376">
        <f t="shared" si="0"/>
        <v>0</v>
      </c>
      <c r="AG31" s="377"/>
      <c r="AH31" s="390"/>
      <c r="AI31" s="391">
        <f t="shared" si="1"/>
        <v>0</v>
      </c>
      <c r="AJ31" s="392"/>
      <c r="AK31" s="393">
        <f t="shared" si="2"/>
        <v>0</v>
      </c>
      <c r="AL31" s="396" t="s">
        <v>8</v>
      </c>
      <c r="AM31" s="397" t="s">
        <v>23</v>
      </c>
      <c r="AN31" s="398" t="s">
        <v>174</v>
      </c>
    </row>
    <row r="32" spans="1:40" s="284" customFormat="1" ht="21" thickBot="1">
      <c r="A32" s="294" t="s">
        <v>110</v>
      </c>
      <c r="B32" s="299"/>
      <c r="C32" s="299"/>
      <c r="D32" s="1070"/>
      <c r="E32" s="457"/>
      <c r="F32" s="458"/>
      <c r="G32" s="458"/>
      <c r="H32" s="459"/>
      <c r="I32" s="459"/>
      <c r="J32" s="458"/>
      <c r="K32" s="1085"/>
      <c r="L32" s="761"/>
      <c r="M32" s="1082"/>
      <c r="N32" s="343"/>
      <c r="O32" s="298"/>
      <c r="P32" s="298"/>
      <c r="Q32" s="298"/>
      <c r="R32" s="298"/>
      <c r="S32" s="298"/>
      <c r="T32" s="298"/>
      <c r="U32" s="367"/>
      <c r="V32" s="355"/>
      <c r="W32" s="325"/>
      <c r="X32" s="297"/>
      <c r="Y32" s="297"/>
      <c r="Z32" s="298"/>
      <c r="AA32" s="298"/>
      <c r="AB32" s="298"/>
      <c r="AC32" s="297"/>
      <c r="AD32" s="375"/>
      <c r="AE32" s="355"/>
      <c r="AF32" s="376">
        <f t="shared" si="0"/>
        <v>0</v>
      </c>
      <c r="AG32" s="377"/>
      <c r="AH32" s="390"/>
      <c r="AI32" s="391">
        <f t="shared" si="1"/>
        <v>0</v>
      </c>
      <c r="AJ32" s="392"/>
      <c r="AK32" s="393">
        <f t="shared" si="2"/>
        <v>0</v>
      </c>
      <c r="AL32" s="399">
        <f>'BIG CHAIR'!CL36</f>
        <v>0</v>
      </c>
      <c r="AM32" s="400">
        <f>'Tea Table'!X29</f>
        <v>0</v>
      </c>
      <c r="AN32" s="401">
        <f>AI35+AL32+AM32</f>
        <v>0</v>
      </c>
    </row>
    <row r="33" spans="1:40" s="284" customFormat="1" ht="21" thickBot="1">
      <c r="A33" s="294" t="s">
        <v>110</v>
      </c>
      <c r="B33" s="299"/>
      <c r="C33" s="299"/>
      <c r="D33" s="1070"/>
      <c r="E33" s="457"/>
      <c r="F33" s="458"/>
      <c r="G33" s="458"/>
      <c r="H33" s="459"/>
      <c r="I33" s="459"/>
      <c r="J33" s="458"/>
      <c r="K33" s="1085"/>
      <c r="L33" s="761"/>
      <c r="M33" s="1082"/>
      <c r="N33" s="343"/>
      <c r="O33" s="298"/>
      <c r="P33" s="298"/>
      <c r="Q33" s="298"/>
      <c r="R33" s="298"/>
      <c r="S33" s="298"/>
      <c r="T33" s="298"/>
      <c r="U33" s="367"/>
      <c r="V33" s="355"/>
      <c r="W33" s="325"/>
      <c r="X33" s="297"/>
      <c r="Y33" s="297"/>
      <c r="Z33" s="298"/>
      <c r="AA33" s="298"/>
      <c r="AB33" s="298"/>
      <c r="AC33" s="297"/>
      <c r="AD33" s="375"/>
      <c r="AE33" s="355"/>
      <c r="AF33" s="376">
        <f t="shared" ref="AF33:AF34" si="3">SUM(E33:AD33)</f>
        <v>0</v>
      </c>
      <c r="AG33" s="377"/>
      <c r="AH33" s="390"/>
      <c r="AI33" s="391">
        <f t="shared" si="1"/>
        <v>0</v>
      </c>
      <c r="AJ33" s="392"/>
      <c r="AK33" s="393">
        <f t="shared" si="2"/>
        <v>0</v>
      </c>
      <c r="AL33" s="403"/>
      <c r="AM33" s="403"/>
      <c r="AN33" s="403"/>
    </row>
    <row r="34" spans="1:40" s="282" customFormat="1" ht="21" thickBot="1">
      <c r="A34" s="294" t="s">
        <v>110</v>
      </c>
      <c r="B34" s="299"/>
      <c r="C34" s="299"/>
      <c r="D34" s="462"/>
      <c r="E34" s="325"/>
      <c r="F34" s="297"/>
      <c r="G34" s="297"/>
      <c r="H34" s="298"/>
      <c r="I34" s="298"/>
      <c r="J34" s="297"/>
      <c r="K34" s="1086"/>
      <c r="L34" s="367"/>
      <c r="M34" s="1082"/>
      <c r="N34" s="343"/>
      <c r="O34" s="298"/>
      <c r="P34" s="298"/>
      <c r="Q34" s="298"/>
      <c r="R34" s="298"/>
      <c r="S34" s="298"/>
      <c r="T34" s="298"/>
      <c r="U34" s="367"/>
      <c r="V34" s="355"/>
      <c r="W34" s="325"/>
      <c r="X34" s="297"/>
      <c r="Y34" s="297"/>
      <c r="Z34" s="298"/>
      <c r="AA34" s="298"/>
      <c r="AB34" s="298"/>
      <c r="AC34" s="297"/>
      <c r="AD34" s="375"/>
      <c r="AE34" s="355"/>
      <c r="AF34" s="376">
        <f t="shared" si="3"/>
        <v>0</v>
      </c>
      <c r="AG34" s="377"/>
      <c r="AH34" s="390"/>
      <c r="AI34" s="391">
        <f t="shared" si="1"/>
        <v>0</v>
      </c>
      <c r="AJ34" s="392"/>
      <c r="AK34" s="395">
        <f t="shared" si="2"/>
        <v>0</v>
      </c>
    </row>
    <row r="35" spans="1:40" s="234" customFormat="1" ht="19.5" thickBot="1">
      <c r="A35" s="302" t="s">
        <v>175</v>
      </c>
      <c r="B35" s="303"/>
      <c r="C35" s="303"/>
      <c r="D35" s="1071"/>
      <c r="E35" s="305">
        <f t="shared" ref="E35:AK35" si="4">SUM(E5:E34)</f>
        <v>0</v>
      </c>
      <c r="F35" s="1072">
        <f t="shared" si="4"/>
        <v>0</v>
      </c>
      <c r="G35" s="1072">
        <f t="shared" si="4"/>
        <v>0</v>
      </c>
      <c r="H35" s="1072">
        <f t="shared" si="4"/>
        <v>0</v>
      </c>
      <c r="I35" s="1072">
        <f t="shared" si="4"/>
        <v>0</v>
      </c>
      <c r="J35" s="1072">
        <f t="shared" si="4"/>
        <v>0</v>
      </c>
      <c r="K35" s="1072">
        <f t="shared" si="4"/>
        <v>0</v>
      </c>
      <c r="L35" s="1087">
        <f t="shared" si="4"/>
        <v>0</v>
      </c>
      <c r="M35" s="1088">
        <f t="shared" si="4"/>
        <v>0</v>
      </c>
      <c r="N35" s="305">
        <f t="shared" si="4"/>
        <v>0</v>
      </c>
      <c r="O35" s="305">
        <f t="shared" si="4"/>
        <v>0</v>
      </c>
      <c r="P35" s="305">
        <f t="shared" si="4"/>
        <v>0</v>
      </c>
      <c r="Q35" s="305">
        <f t="shared" si="4"/>
        <v>0</v>
      </c>
      <c r="R35" s="305">
        <f t="shared" si="4"/>
        <v>0</v>
      </c>
      <c r="S35" s="305">
        <f t="shared" si="4"/>
        <v>0</v>
      </c>
      <c r="T35" s="305">
        <f t="shared" si="4"/>
        <v>0</v>
      </c>
      <c r="U35" s="812">
        <f t="shared" si="4"/>
        <v>0</v>
      </c>
      <c r="V35" s="305">
        <f t="shared" si="4"/>
        <v>0</v>
      </c>
      <c r="W35" s="305">
        <f t="shared" si="4"/>
        <v>0</v>
      </c>
      <c r="X35" s="305">
        <f t="shared" si="4"/>
        <v>0</v>
      </c>
      <c r="Y35" s="305">
        <f t="shared" si="4"/>
        <v>0</v>
      </c>
      <c r="Z35" s="305">
        <f t="shared" si="4"/>
        <v>0</v>
      </c>
      <c r="AA35" s="305">
        <f t="shared" si="4"/>
        <v>0</v>
      </c>
      <c r="AB35" s="305">
        <f t="shared" si="4"/>
        <v>0</v>
      </c>
      <c r="AC35" s="305">
        <f t="shared" si="4"/>
        <v>0</v>
      </c>
      <c r="AD35" s="305">
        <f t="shared" si="4"/>
        <v>0</v>
      </c>
      <c r="AE35" s="305">
        <f t="shared" si="4"/>
        <v>0</v>
      </c>
      <c r="AF35" s="305">
        <f t="shared" si="4"/>
        <v>0</v>
      </c>
      <c r="AG35" s="305">
        <f t="shared" si="4"/>
        <v>0</v>
      </c>
      <c r="AH35" s="305">
        <f t="shared" si="4"/>
        <v>0</v>
      </c>
      <c r="AI35" s="305">
        <f t="shared" si="4"/>
        <v>0</v>
      </c>
      <c r="AJ35" s="305">
        <f t="shared" si="4"/>
        <v>0</v>
      </c>
      <c r="AK35" s="305">
        <f t="shared" si="4"/>
        <v>0</v>
      </c>
    </row>
    <row r="36" spans="1:40" s="234" customFormat="1" ht="19.5" thickBot="1">
      <c r="A36" s="306"/>
      <c r="B36" s="307"/>
      <c r="C36" s="307"/>
      <c r="D36" s="308"/>
      <c r="E36" s="309"/>
      <c r="F36" s="309"/>
      <c r="G36" s="309"/>
      <c r="H36" s="309"/>
      <c r="I36" s="309"/>
      <c r="J36" s="309"/>
      <c r="K36" s="309"/>
      <c r="L36" s="309"/>
      <c r="M36" s="346"/>
      <c r="N36" s="347"/>
      <c r="O36" s="347"/>
      <c r="P36" s="347"/>
      <c r="Q36" s="347"/>
      <c r="R36" s="347"/>
      <c r="S36" s="347"/>
      <c r="T36" s="347"/>
      <c r="U36" s="347"/>
      <c r="V36" s="346"/>
      <c r="W36" s="347"/>
      <c r="X36" s="347"/>
      <c r="Y36" s="347"/>
      <c r="Z36" s="347"/>
      <c r="AA36" s="347"/>
      <c r="AB36" s="347"/>
      <c r="AC36" s="347"/>
      <c r="AD36" s="347"/>
      <c r="AE36" s="346"/>
      <c r="AF36" s="347"/>
      <c r="AG36" s="347"/>
      <c r="AH36" s="347"/>
      <c r="AI36" s="347"/>
      <c r="AJ36" s="347"/>
      <c r="AK36" s="402"/>
    </row>
    <row r="37" spans="1:40" s="234" customFormat="1" ht="24" thickBot="1">
      <c r="A37" s="286" t="s">
        <v>117</v>
      </c>
      <c r="B37" s="287" t="s">
        <v>68</v>
      </c>
      <c r="C37" s="287" t="s">
        <v>69</v>
      </c>
      <c r="D37" s="3550" t="s">
        <v>70</v>
      </c>
      <c r="E37" s="743" t="s">
        <v>96</v>
      </c>
      <c r="F37" s="744" t="s">
        <v>124</v>
      </c>
      <c r="G37" s="744" t="s">
        <v>228</v>
      </c>
      <c r="H37" s="744" t="s">
        <v>149</v>
      </c>
      <c r="I37" s="744" t="s">
        <v>470</v>
      </c>
      <c r="J37" s="744" t="s">
        <v>92</v>
      </c>
      <c r="K37" s="50" t="s">
        <v>479</v>
      </c>
      <c r="L37" s="783" t="s">
        <v>123</v>
      </c>
      <c r="M37" s="1089"/>
      <c r="N37" s="80" t="s">
        <v>71</v>
      </c>
      <c r="O37" s="49" t="s">
        <v>53</v>
      </c>
      <c r="P37" s="49" t="s">
        <v>118</v>
      </c>
      <c r="Q37" s="49" t="s">
        <v>74</v>
      </c>
      <c r="R37" s="49" t="s">
        <v>75</v>
      </c>
      <c r="S37" s="49" t="s">
        <v>94</v>
      </c>
      <c r="T37" s="126" t="s">
        <v>77</v>
      </c>
      <c r="U37" s="171" t="s">
        <v>101</v>
      </c>
      <c r="V37" s="79"/>
      <c r="W37" s="80" t="s">
        <v>482</v>
      </c>
      <c r="X37" s="49" t="s">
        <v>96</v>
      </c>
      <c r="Y37" s="49" t="s">
        <v>118</v>
      </c>
      <c r="Z37" s="49" t="s">
        <v>231</v>
      </c>
      <c r="AA37" s="49" t="s">
        <v>75</v>
      </c>
      <c r="AB37" s="49" t="s">
        <v>53</v>
      </c>
      <c r="AC37" s="126" t="s">
        <v>230</v>
      </c>
      <c r="AD37" s="171" t="s">
        <v>95</v>
      </c>
      <c r="AE37" s="370"/>
      <c r="AF37" s="371" t="s">
        <v>172</v>
      </c>
      <c r="AG37" s="372" t="s">
        <v>80</v>
      </c>
      <c r="AH37" s="385"/>
      <c r="AI37" s="386" t="s">
        <v>106</v>
      </c>
      <c r="AJ37" s="385" t="s">
        <v>173</v>
      </c>
      <c r="AK37" s="371" t="s">
        <v>108</v>
      </c>
    </row>
    <row r="38" spans="1:40" s="234" customFormat="1" ht="20.25">
      <c r="A38" s="316" t="s">
        <v>120</v>
      </c>
      <c r="B38" s="299"/>
      <c r="C38" s="299"/>
      <c r="D38" s="1066"/>
      <c r="E38" s="1067"/>
      <c r="F38" s="1068"/>
      <c r="G38" s="1068"/>
      <c r="H38" s="1069"/>
      <c r="I38" s="1069"/>
      <c r="J38" s="1068"/>
      <c r="K38" s="1080"/>
      <c r="L38" s="351"/>
      <c r="M38" s="352"/>
      <c r="N38" s="353"/>
      <c r="O38" s="321"/>
      <c r="P38" s="321"/>
      <c r="Q38" s="321"/>
      <c r="R38" s="321"/>
      <c r="S38" s="321"/>
      <c r="T38" s="321"/>
      <c r="U38" s="351"/>
      <c r="V38" s="352"/>
      <c r="W38" s="319"/>
      <c r="X38" s="320"/>
      <c r="Y38" s="320"/>
      <c r="Z38" s="321"/>
      <c r="AA38" s="321"/>
      <c r="AB38" s="321"/>
      <c r="AC38" s="320"/>
      <c r="AD38" s="380"/>
      <c r="AE38" s="352"/>
      <c r="AF38" s="376">
        <f>SUM(E38:AD38)</f>
        <v>0</v>
      </c>
      <c r="AG38" s="381"/>
      <c r="AH38" s="408"/>
      <c r="AI38" s="409">
        <f>AF38+AG38</f>
        <v>0</v>
      </c>
      <c r="AJ38" s="410"/>
      <c r="AK38" s="411">
        <f>AI38+AJ38</f>
        <v>0</v>
      </c>
    </row>
    <row r="39" spans="1:40" s="234" customFormat="1" ht="20.25">
      <c r="A39" s="316" t="s">
        <v>120</v>
      </c>
      <c r="B39" s="317"/>
      <c r="C39" s="317"/>
      <c r="D39" s="1074"/>
      <c r="E39" s="319"/>
      <c r="F39" s="320"/>
      <c r="G39" s="320"/>
      <c r="H39" s="321"/>
      <c r="I39" s="321"/>
      <c r="J39" s="320"/>
      <c r="K39" s="321"/>
      <c r="L39" s="351"/>
      <c r="M39" s="352"/>
      <c r="N39" s="353"/>
      <c r="O39" s="320"/>
      <c r="P39" s="320"/>
      <c r="Q39" s="321"/>
      <c r="R39" s="321"/>
      <c r="S39" s="321"/>
      <c r="T39" s="320"/>
      <c r="U39" s="351"/>
      <c r="V39" s="352"/>
      <c r="W39" s="353"/>
      <c r="X39" s="321"/>
      <c r="Y39" s="321"/>
      <c r="Z39" s="321"/>
      <c r="AA39" s="321"/>
      <c r="AB39" s="321"/>
      <c r="AC39" s="321"/>
      <c r="AD39" s="380"/>
      <c r="AE39" s="352"/>
      <c r="AF39" s="376">
        <f t="shared" ref="AF39:AF70" si="5">SUM(E39:AD39)</f>
        <v>0</v>
      </c>
      <c r="AG39" s="381"/>
      <c r="AH39" s="408"/>
      <c r="AI39" s="409">
        <f>AF39+AG39</f>
        <v>0</v>
      </c>
      <c r="AJ39" s="410"/>
      <c r="AK39" s="411">
        <f>AI39+AJ39</f>
        <v>0</v>
      </c>
    </row>
    <row r="40" spans="1:40" s="234" customFormat="1" ht="20.25">
      <c r="A40" s="316" t="s">
        <v>120</v>
      </c>
      <c r="B40" s="295"/>
      <c r="C40" s="295"/>
      <c r="D40" s="1074"/>
      <c r="E40" s="319"/>
      <c r="F40" s="320"/>
      <c r="G40" s="320"/>
      <c r="H40" s="321"/>
      <c r="I40" s="321"/>
      <c r="J40" s="320"/>
      <c r="K40" s="1090"/>
      <c r="L40" s="351"/>
      <c r="M40" s="352"/>
      <c r="N40" s="353"/>
      <c r="O40" s="321"/>
      <c r="P40" s="321"/>
      <c r="Q40" s="321"/>
      <c r="R40" s="321"/>
      <c r="S40" s="321"/>
      <c r="T40" s="321"/>
      <c r="U40" s="351"/>
      <c r="V40" s="352"/>
      <c r="W40" s="319"/>
      <c r="X40" s="320"/>
      <c r="Y40" s="320"/>
      <c r="Z40" s="321"/>
      <c r="AA40" s="321"/>
      <c r="AB40" s="321"/>
      <c r="AC40" s="320"/>
      <c r="AD40" s="380"/>
      <c r="AE40" s="352"/>
      <c r="AF40" s="376">
        <f t="shared" si="5"/>
        <v>0</v>
      </c>
      <c r="AG40" s="381"/>
      <c r="AH40" s="408"/>
      <c r="AI40" s="409">
        <f>AF40+AG40</f>
        <v>0</v>
      </c>
      <c r="AJ40" s="410"/>
      <c r="AK40" s="411">
        <f>AI40+AJ40</f>
        <v>0</v>
      </c>
    </row>
    <row r="41" spans="1:40" s="234" customFormat="1" ht="20.25">
      <c r="A41" s="316" t="s">
        <v>120</v>
      </c>
      <c r="B41" s="317"/>
      <c r="C41" s="295"/>
      <c r="D41" s="1074"/>
      <c r="E41" s="319"/>
      <c r="F41" s="320"/>
      <c r="G41" s="320"/>
      <c r="H41" s="321"/>
      <c r="I41" s="321"/>
      <c r="J41" s="320"/>
      <c r="K41" s="1091"/>
      <c r="L41" s="351"/>
      <c r="M41" s="352"/>
      <c r="N41" s="353"/>
      <c r="O41" s="321"/>
      <c r="P41" s="321"/>
      <c r="Q41" s="321"/>
      <c r="R41" s="321"/>
      <c r="S41" s="321"/>
      <c r="T41" s="321"/>
      <c r="U41" s="351"/>
      <c r="V41" s="352"/>
      <c r="W41" s="319"/>
      <c r="X41" s="320"/>
      <c r="Y41" s="320"/>
      <c r="Z41" s="321"/>
      <c r="AA41" s="321"/>
      <c r="AB41" s="321"/>
      <c r="AC41" s="320"/>
      <c r="AD41" s="380"/>
      <c r="AE41" s="352"/>
      <c r="AF41" s="376">
        <f t="shared" si="5"/>
        <v>0</v>
      </c>
      <c r="AG41" s="381"/>
      <c r="AH41" s="408"/>
      <c r="AI41" s="409">
        <f>AF41+AG41</f>
        <v>0</v>
      </c>
      <c r="AJ41" s="410"/>
      <c r="AK41" s="411">
        <f>AI41+AJ41</f>
        <v>0</v>
      </c>
    </row>
    <row r="42" spans="1:40" s="234" customFormat="1" ht="20.25">
      <c r="A42" s="316" t="s">
        <v>120</v>
      </c>
      <c r="B42" s="295"/>
      <c r="C42" s="295"/>
      <c r="D42" s="1074"/>
      <c r="E42" s="319"/>
      <c r="F42" s="320"/>
      <c r="G42" s="320"/>
      <c r="H42" s="321"/>
      <c r="I42" s="321"/>
      <c r="J42" s="320"/>
      <c r="K42" s="1090"/>
      <c r="L42" s="351"/>
      <c r="M42" s="352"/>
      <c r="N42" s="353"/>
      <c r="O42" s="321"/>
      <c r="P42" s="321"/>
      <c r="Q42" s="321"/>
      <c r="R42" s="321"/>
      <c r="S42" s="321"/>
      <c r="T42" s="321"/>
      <c r="U42" s="351"/>
      <c r="V42" s="352"/>
      <c r="W42" s="319"/>
      <c r="X42" s="320"/>
      <c r="Y42" s="320"/>
      <c r="Z42" s="321"/>
      <c r="AA42" s="321"/>
      <c r="AB42" s="321"/>
      <c r="AC42" s="320"/>
      <c r="AD42" s="380"/>
      <c r="AE42" s="352"/>
      <c r="AF42" s="376">
        <f t="shared" si="5"/>
        <v>0</v>
      </c>
      <c r="AG42" s="381"/>
      <c r="AH42" s="408"/>
      <c r="AI42" s="409">
        <f>AF42+AG42</f>
        <v>0</v>
      </c>
      <c r="AJ42" s="410"/>
      <c r="AK42" s="411">
        <f>AI42+AJ42</f>
        <v>0</v>
      </c>
    </row>
    <row r="43" spans="1:40" s="234" customFormat="1" ht="20.25">
      <c r="A43" s="316" t="s">
        <v>120</v>
      </c>
      <c r="B43" s="295"/>
      <c r="C43" s="295"/>
      <c r="D43" s="1074"/>
      <c r="E43" s="319"/>
      <c r="F43" s="320"/>
      <c r="G43" s="320"/>
      <c r="H43" s="321"/>
      <c r="I43" s="321"/>
      <c r="J43" s="320"/>
      <c r="K43" s="1090"/>
      <c r="L43" s="351"/>
      <c r="M43" s="352"/>
      <c r="N43" s="353"/>
      <c r="O43" s="321"/>
      <c r="P43" s="321"/>
      <c r="Q43" s="321"/>
      <c r="R43" s="321"/>
      <c r="S43" s="321"/>
      <c r="T43" s="321"/>
      <c r="U43" s="351"/>
      <c r="V43" s="352"/>
      <c r="W43" s="319"/>
      <c r="X43" s="320"/>
      <c r="Y43" s="320"/>
      <c r="Z43" s="321"/>
      <c r="AA43" s="321"/>
      <c r="AB43" s="321"/>
      <c r="AC43" s="320"/>
      <c r="AD43" s="380"/>
      <c r="AE43" s="352"/>
      <c r="AF43" s="376">
        <f t="shared" si="5"/>
        <v>0</v>
      </c>
      <c r="AG43" s="381"/>
      <c r="AH43" s="408"/>
      <c r="AI43" s="409">
        <f t="shared" ref="AI43:AI70" si="6">AF43+AG43</f>
        <v>0</v>
      </c>
      <c r="AJ43" s="410"/>
      <c r="AK43" s="411">
        <f t="shared" ref="AK43:AK70" si="7">AI43+AJ43</f>
        <v>0</v>
      </c>
    </row>
    <row r="44" spans="1:40" s="234" customFormat="1" ht="20.25">
      <c r="A44" s="316" t="s">
        <v>120</v>
      </c>
      <c r="B44" s="295"/>
      <c r="C44" s="295"/>
      <c r="D44" s="1074"/>
      <c r="E44" s="319"/>
      <c r="F44" s="320"/>
      <c r="G44" s="320"/>
      <c r="H44" s="321"/>
      <c r="I44" s="321"/>
      <c r="J44" s="320"/>
      <c r="K44" s="1090"/>
      <c r="L44" s="351"/>
      <c r="M44" s="352"/>
      <c r="N44" s="353"/>
      <c r="O44" s="321"/>
      <c r="P44" s="321"/>
      <c r="Q44" s="321"/>
      <c r="R44" s="321"/>
      <c r="S44" s="321"/>
      <c r="T44" s="321"/>
      <c r="U44" s="351"/>
      <c r="V44" s="352"/>
      <c r="W44" s="319"/>
      <c r="X44" s="320"/>
      <c r="Y44" s="320"/>
      <c r="Z44" s="321"/>
      <c r="AA44" s="321"/>
      <c r="AB44" s="321"/>
      <c r="AC44" s="320"/>
      <c r="AD44" s="380"/>
      <c r="AE44" s="352"/>
      <c r="AF44" s="376">
        <f t="shared" si="5"/>
        <v>0</v>
      </c>
      <c r="AG44" s="381"/>
      <c r="AH44" s="408"/>
      <c r="AI44" s="409">
        <f t="shared" si="6"/>
        <v>0</v>
      </c>
      <c r="AJ44" s="410"/>
      <c r="AK44" s="411">
        <f t="shared" si="7"/>
        <v>0</v>
      </c>
    </row>
    <row r="45" spans="1:40" s="234" customFormat="1" ht="20.25">
      <c r="A45" s="316" t="s">
        <v>120</v>
      </c>
      <c r="B45" s="295"/>
      <c r="C45" s="295"/>
      <c r="D45" s="1074"/>
      <c r="E45" s="319"/>
      <c r="F45" s="320"/>
      <c r="G45" s="320"/>
      <c r="H45" s="321"/>
      <c r="I45" s="321"/>
      <c r="J45" s="320"/>
      <c r="K45" s="1090"/>
      <c r="L45" s="351"/>
      <c r="M45" s="352"/>
      <c r="N45" s="353"/>
      <c r="O45" s="321"/>
      <c r="P45" s="321"/>
      <c r="Q45" s="321"/>
      <c r="R45" s="321"/>
      <c r="S45" s="321"/>
      <c r="T45" s="321"/>
      <c r="U45" s="351"/>
      <c r="V45" s="352"/>
      <c r="W45" s="319"/>
      <c r="X45" s="320"/>
      <c r="Y45" s="320"/>
      <c r="Z45" s="321"/>
      <c r="AA45" s="321"/>
      <c r="AB45" s="321"/>
      <c r="AC45" s="320"/>
      <c r="AD45" s="380"/>
      <c r="AE45" s="352"/>
      <c r="AF45" s="376">
        <f t="shared" si="5"/>
        <v>0</v>
      </c>
      <c r="AG45" s="381"/>
      <c r="AH45" s="408"/>
      <c r="AI45" s="409">
        <f t="shared" si="6"/>
        <v>0</v>
      </c>
      <c r="AJ45" s="410"/>
      <c r="AK45" s="411">
        <f t="shared" si="7"/>
        <v>0</v>
      </c>
    </row>
    <row r="46" spans="1:40" s="234" customFormat="1" ht="20.25">
      <c r="A46" s="316" t="s">
        <v>120</v>
      </c>
      <c r="B46" s="295"/>
      <c r="C46" s="295"/>
      <c r="D46" s="1075"/>
      <c r="E46" s="319"/>
      <c r="F46" s="320"/>
      <c r="G46" s="320"/>
      <c r="H46" s="321"/>
      <c r="I46" s="321"/>
      <c r="J46" s="320"/>
      <c r="K46" s="1090"/>
      <c r="L46" s="351"/>
      <c r="M46" s="352"/>
      <c r="N46" s="353"/>
      <c r="O46" s="321"/>
      <c r="P46" s="321"/>
      <c r="Q46" s="321"/>
      <c r="R46" s="321"/>
      <c r="S46" s="321"/>
      <c r="T46" s="321"/>
      <c r="U46" s="351"/>
      <c r="V46" s="352"/>
      <c r="W46" s="319"/>
      <c r="X46" s="320"/>
      <c r="Y46" s="320"/>
      <c r="Z46" s="321"/>
      <c r="AA46" s="321"/>
      <c r="AB46" s="321"/>
      <c r="AC46" s="320"/>
      <c r="AD46" s="380"/>
      <c r="AE46" s="352"/>
      <c r="AF46" s="376">
        <f t="shared" si="5"/>
        <v>0</v>
      </c>
      <c r="AG46" s="381"/>
      <c r="AH46" s="408"/>
      <c r="AI46" s="409">
        <f t="shared" si="6"/>
        <v>0</v>
      </c>
      <c r="AJ46" s="410"/>
      <c r="AK46" s="411">
        <f t="shared" si="7"/>
        <v>0</v>
      </c>
    </row>
    <row r="47" spans="1:40" s="234" customFormat="1" ht="20.25">
      <c r="A47" s="316" t="s">
        <v>120</v>
      </c>
      <c r="B47" s="295"/>
      <c r="C47" s="295"/>
      <c r="D47" s="1075"/>
      <c r="E47" s="319"/>
      <c r="F47" s="320"/>
      <c r="G47" s="320"/>
      <c r="H47" s="321"/>
      <c r="I47" s="321"/>
      <c r="J47" s="320"/>
      <c r="K47" s="1090"/>
      <c r="L47" s="351"/>
      <c r="M47" s="352"/>
      <c r="N47" s="353"/>
      <c r="O47" s="321"/>
      <c r="P47" s="321"/>
      <c r="Q47" s="321"/>
      <c r="R47" s="321"/>
      <c r="S47" s="321"/>
      <c r="T47" s="321"/>
      <c r="U47" s="351"/>
      <c r="V47" s="352"/>
      <c r="W47" s="319"/>
      <c r="X47" s="320"/>
      <c r="Y47" s="320"/>
      <c r="Z47" s="321"/>
      <c r="AA47" s="321"/>
      <c r="AB47" s="321"/>
      <c r="AC47" s="320"/>
      <c r="AD47" s="380"/>
      <c r="AE47" s="352"/>
      <c r="AF47" s="376">
        <f t="shared" si="5"/>
        <v>0</v>
      </c>
      <c r="AG47" s="381"/>
      <c r="AH47" s="408"/>
      <c r="AI47" s="409">
        <f t="shared" si="6"/>
        <v>0</v>
      </c>
      <c r="AJ47" s="410"/>
      <c r="AK47" s="411">
        <f t="shared" si="7"/>
        <v>0</v>
      </c>
    </row>
    <row r="48" spans="1:40" s="234" customFormat="1" ht="20.25">
      <c r="A48" s="316" t="s">
        <v>120</v>
      </c>
      <c r="B48" s="295"/>
      <c r="C48" s="295"/>
      <c r="D48" s="1075"/>
      <c r="E48" s="319"/>
      <c r="F48" s="320"/>
      <c r="G48" s="320"/>
      <c r="H48" s="321"/>
      <c r="I48" s="321"/>
      <c r="J48" s="320"/>
      <c r="K48" s="1090"/>
      <c r="L48" s="351"/>
      <c r="M48" s="352"/>
      <c r="N48" s="353"/>
      <c r="O48" s="321"/>
      <c r="P48" s="321"/>
      <c r="Q48" s="321"/>
      <c r="R48" s="321"/>
      <c r="S48" s="321"/>
      <c r="T48" s="321"/>
      <c r="U48" s="351"/>
      <c r="V48" s="352"/>
      <c r="W48" s="319"/>
      <c r="X48" s="320"/>
      <c r="Y48" s="320"/>
      <c r="Z48" s="321"/>
      <c r="AA48" s="321"/>
      <c r="AB48" s="321"/>
      <c r="AC48" s="320"/>
      <c r="AD48" s="380"/>
      <c r="AE48" s="352"/>
      <c r="AF48" s="376">
        <f t="shared" si="5"/>
        <v>0</v>
      </c>
      <c r="AG48" s="381"/>
      <c r="AH48" s="408"/>
      <c r="AI48" s="409">
        <f t="shared" si="6"/>
        <v>0</v>
      </c>
      <c r="AJ48" s="410"/>
      <c r="AK48" s="411">
        <f t="shared" si="7"/>
        <v>0</v>
      </c>
    </row>
    <row r="49" spans="1:37" s="234" customFormat="1" ht="20.25">
      <c r="A49" s="316" t="s">
        <v>120</v>
      </c>
      <c r="B49" s="295"/>
      <c r="C49" s="295"/>
      <c r="D49" s="1075"/>
      <c r="E49" s="319"/>
      <c r="F49" s="320"/>
      <c r="G49" s="320"/>
      <c r="H49" s="321"/>
      <c r="I49" s="321"/>
      <c r="J49" s="320"/>
      <c r="K49" s="1090"/>
      <c r="L49" s="351"/>
      <c r="M49" s="352"/>
      <c r="N49" s="353"/>
      <c r="O49" s="321"/>
      <c r="P49" s="321"/>
      <c r="Q49" s="321"/>
      <c r="R49" s="321"/>
      <c r="S49" s="321"/>
      <c r="T49" s="321"/>
      <c r="U49" s="351"/>
      <c r="V49" s="352"/>
      <c r="W49" s="319"/>
      <c r="X49" s="320"/>
      <c r="Y49" s="320"/>
      <c r="Z49" s="321"/>
      <c r="AA49" s="321"/>
      <c r="AB49" s="321"/>
      <c r="AC49" s="320"/>
      <c r="AD49" s="380"/>
      <c r="AE49" s="352"/>
      <c r="AF49" s="376">
        <f t="shared" si="5"/>
        <v>0</v>
      </c>
      <c r="AG49" s="381"/>
      <c r="AH49" s="408"/>
      <c r="AI49" s="409">
        <f t="shared" si="6"/>
        <v>0</v>
      </c>
      <c r="AJ49" s="410"/>
      <c r="AK49" s="411">
        <f t="shared" si="7"/>
        <v>0</v>
      </c>
    </row>
    <row r="50" spans="1:37" s="234" customFormat="1" ht="20.25">
      <c r="A50" s="316" t="s">
        <v>120</v>
      </c>
      <c r="B50" s="295"/>
      <c r="C50" s="295"/>
      <c r="D50" s="1075"/>
      <c r="E50" s="319"/>
      <c r="F50" s="320"/>
      <c r="G50" s="320"/>
      <c r="H50" s="321"/>
      <c r="I50" s="321"/>
      <c r="J50" s="320"/>
      <c r="K50" s="1090"/>
      <c r="L50" s="351"/>
      <c r="M50" s="352"/>
      <c r="N50" s="353"/>
      <c r="O50" s="321"/>
      <c r="P50" s="321"/>
      <c r="Q50" s="321"/>
      <c r="R50" s="321"/>
      <c r="S50" s="321"/>
      <c r="T50" s="321"/>
      <c r="U50" s="351"/>
      <c r="V50" s="352"/>
      <c r="W50" s="319"/>
      <c r="X50" s="320"/>
      <c r="Y50" s="320"/>
      <c r="Z50" s="321"/>
      <c r="AA50" s="321"/>
      <c r="AB50" s="321"/>
      <c r="AC50" s="320"/>
      <c r="AD50" s="380"/>
      <c r="AE50" s="352"/>
      <c r="AF50" s="376">
        <f t="shared" si="5"/>
        <v>0</v>
      </c>
      <c r="AG50" s="381"/>
      <c r="AH50" s="408"/>
      <c r="AI50" s="409">
        <f t="shared" si="6"/>
        <v>0</v>
      </c>
      <c r="AJ50" s="410"/>
      <c r="AK50" s="411">
        <f t="shared" si="7"/>
        <v>0</v>
      </c>
    </row>
    <row r="51" spans="1:37" s="234" customFormat="1" ht="20.25">
      <c r="A51" s="316" t="s">
        <v>120</v>
      </c>
      <c r="B51" s="295"/>
      <c r="C51" s="295"/>
      <c r="D51" s="1075"/>
      <c r="E51" s="319"/>
      <c r="F51" s="320"/>
      <c r="G51" s="320"/>
      <c r="H51" s="321"/>
      <c r="I51" s="321"/>
      <c r="J51" s="320"/>
      <c r="K51" s="1090"/>
      <c r="L51" s="351"/>
      <c r="M51" s="352"/>
      <c r="N51" s="353"/>
      <c r="O51" s="321"/>
      <c r="P51" s="321"/>
      <c r="Q51" s="321"/>
      <c r="R51" s="321"/>
      <c r="S51" s="321"/>
      <c r="T51" s="321"/>
      <c r="U51" s="351"/>
      <c r="V51" s="352"/>
      <c r="W51" s="319"/>
      <c r="X51" s="320"/>
      <c r="Y51" s="320"/>
      <c r="Z51" s="321"/>
      <c r="AA51" s="321"/>
      <c r="AB51" s="321"/>
      <c r="AC51" s="320"/>
      <c r="AD51" s="380"/>
      <c r="AE51" s="352"/>
      <c r="AF51" s="376">
        <f t="shared" si="5"/>
        <v>0</v>
      </c>
      <c r="AG51" s="381"/>
      <c r="AH51" s="408"/>
      <c r="AI51" s="409">
        <f t="shared" si="6"/>
        <v>0</v>
      </c>
      <c r="AJ51" s="410"/>
      <c r="AK51" s="411">
        <f t="shared" si="7"/>
        <v>0</v>
      </c>
    </row>
    <row r="52" spans="1:37" s="234" customFormat="1" ht="20.25">
      <c r="A52" s="316" t="s">
        <v>120</v>
      </c>
      <c r="B52" s="295"/>
      <c r="C52" s="295"/>
      <c r="D52" s="1075"/>
      <c r="E52" s="319"/>
      <c r="F52" s="320"/>
      <c r="G52" s="320"/>
      <c r="H52" s="321"/>
      <c r="I52" s="321"/>
      <c r="J52" s="320"/>
      <c r="K52" s="1090"/>
      <c r="L52" s="351"/>
      <c r="M52" s="352"/>
      <c r="N52" s="353"/>
      <c r="O52" s="321"/>
      <c r="P52" s="321"/>
      <c r="Q52" s="321"/>
      <c r="R52" s="321"/>
      <c r="S52" s="321"/>
      <c r="T52" s="321"/>
      <c r="U52" s="351"/>
      <c r="V52" s="352"/>
      <c r="W52" s="319"/>
      <c r="X52" s="320"/>
      <c r="Y52" s="320"/>
      <c r="Z52" s="321"/>
      <c r="AA52" s="321"/>
      <c r="AB52" s="321"/>
      <c r="AC52" s="320"/>
      <c r="AD52" s="380"/>
      <c r="AE52" s="352"/>
      <c r="AF52" s="376">
        <f t="shared" si="5"/>
        <v>0</v>
      </c>
      <c r="AG52" s="381"/>
      <c r="AH52" s="408"/>
      <c r="AI52" s="409">
        <f t="shared" si="6"/>
        <v>0</v>
      </c>
      <c r="AJ52" s="410"/>
      <c r="AK52" s="411">
        <f t="shared" si="7"/>
        <v>0</v>
      </c>
    </row>
    <row r="53" spans="1:37" s="234" customFormat="1" ht="20.25">
      <c r="A53" s="316" t="s">
        <v>120</v>
      </c>
      <c r="B53" s="295"/>
      <c r="C53" s="295"/>
      <c r="D53" s="1075"/>
      <c r="E53" s="319"/>
      <c r="F53" s="320"/>
      <c r="G53" s="320"/>
      <c r="H53" s="321"/>
      <c r="I53" s="321"/>
      <c r="J53" s="320"/>
      <c r="K53" s="1090"/>
      <c r="L53" s="351"/>
      <c r="M53" s="352"/>
      <c r="N53" s="353"/>
      <c r="O53" s="321"/>
      <c r="P53" s="321"/>
      <c r="Q53" s="321"/>
      <c r="R53" s="321"/>
      <c r="S53" s="321"/>
      <c r="T53" s="321"/>
      <c r="U53" s="351"/>
      <c r="V53" s="352"/>
      <c r="W53" s="319"/>
      <c r="X53" s="320"/>
      <c r="Y53" s="320"/>
      <c r="Z53" s="321"/>
      <c r="AA53" s="321"/>
      <c r="AB53" s="321"/>
      <c r="AC53" s="320"/>
      <c r="AD53" s="380"/>
      <c r="AE53" s="352"/>
      <c r="AF53" s="376">
        <f t="shared" si="5"/>
        <v>0</v>
      </c>
      <c r="AG53" s="381"/>
      <c r="AH53" s="408"/>
      <c r="AI53" s="409">
        <f t="shared" si="6"/>
        <v>0</v>
      </c>
      <c r="AJ53" s="410"/>
      <c r="AK53" s="411">
        <f t="shared" si="7"/>
        <v>0</v>
      </c>
    </row>
    <row r="54" spans="1:37" s="234" customFormat="1" ht="20.25">
      <c r="A54" s="316" t="s">
        <v>120</v>
      </c>
      <c r="B54" s="295"/>
      <c r="C54" s="295"/>
      <c r="D54" s="1075"/>
      <c r="E54" s="319"/>
      <c r="F54" s="320"/>
      <c r="G54" s="320"/>
      <c r="H54" s="321"/>
      <c r="I54" s="321"/>
      <c r="J54" s="320"/>
      <c r="K54" s="1090"/>
      <c r="L54" s="351"/>
      <c r="M54" s="352"/>
      <c r="N54" s="353"/>
      <c r="O54" s="321"/>
      <c r="P54" s="321"/>
      <c r="Q54" s="321"/>
      <c r="R54" s="321"/>
      <c r="S54" s="321"/>
      <c r="T54" s="321"/>
      <c r="U54" s="351"/>
      <c r="V54" s="352"/>
      <c r="W54" s="319"/>
      <c r="X54" s="320"/>
      <c r="Y54" s="320"/>
      <c r="Z54" s="321"/>
      <c r="AA54" s="321"/>
      <c r="AB54" s="321"/>
      <c r="AC54" s="320"/>
      <c r="AD54" s="380"/>
      <c r="AE54" s="352"/>
      <c r="AF54" s="376">
        <f t="shared" si="5"/>
        <v>0</v>
      </c>
      <c r="AG54" s="381"/>
      <c r="AH54" s="408"/>
      <c r="AI54" s="409">
        <f t="shared" si="6"/>
        <v>0</v>
      </c>
      <c r="AJ54" s="410"/>
      <c r="AK54" s="411">
        <f t="shared" si="7"/>
        <v>0</v>
      </c>
    </row>
    <row r="55" spans="1:37" s="234" customFormat="1" ht="20.25">
      <c r="A55" s="316" t="s">
        <v>120</v>
      </c>
      <c r="B55" s="295"/>
      <c r="C55" s="295"/>
      <c r="D55" s="1075"/>
      <c r="E55" s="319"/>
      <c r="F55" s="320"/>
      <c r="G55" s="320"/>
      <c r="H55" s="321"/>
      <c r="I55" s="321"/>
      <c r="J55" s="320"/>
      <c r="K55" s="1090"/>
      <c r="L55" s="351"/>
      <c r="M55" s="352"/>
      <c r="N55" s="353"/>
      <c r="O55" s="321"/>
      <c r="P55" s="321"/>
      <c r="Q55" s="321"/>
      <c r="R55" s="321"/>
      <c r="S55" s="321"/>
      <c r="T55" s="321"/>
      <c r="U55" s="351"/>
      <c r="V55" s="352"/>
      <c r="W55" s="319"/>
      <c r="X55" s="320"/>
      <c r="Y55" s="320"/>
      <c r="Z55" s="321"/>
      <c r="AA55" s="321"/>
      <c r="AB55" s="321"/>
      <c r="AC55" s="320"/>
      <c r="AD55" s="380"/>
      <c r="AE55" s="352"/>
      <c r="AF55" s="376">
        <f t="shared" si="5"/>
        <v>0</v>
      </c>
      <c r="AG55" s="381"/>
      <c r="AH55" s="408"/>
      <c r="AI55" s="409">
        <f t="shared" si="6"/>
        <v>0</v>
      </c>
      <c r="AJ55" s="410"/>
      <c r="AK55" s="411">
        <f t="shared" si="7"/>
        <v>0</v>
      </c>
    </row>
    <row r="56" spans="1:37" s="234" customFormat="1" ht="20.25">
      <c r="A56" s="316" t="s">
        <v>120</v>
      </c>
      <c r="B56" s="295"/>
      <c r="C56" s="295"/>
      <c r="D56" s="1075"/>
      <c r="E56" s="319"/>
      <c r="F56" s="320"/>
      <c r="G56" s="320"/>
      <c r="H56" s="321"/>
      <c r="I56" s="321"/>
      <c r="J56" s="320"/>
      <c r="K56" s="842"/>
      <c r="L56" s="351"/>
      <c r="M56" s="352"/>
      <c r="N56" s="353"/>
      <c r="O56" s="321"/>
      <c r="P56" s="321"/>
      <c r="Q56" s="321"/>
      <c r="R56" s="321"/>
      <c r="S56" s="321"/>
      <c r="T56" s="321"/>
      <c r="U56" s="351"/>
      <c r="V56" s="352"/>
      <c r="W56" s="319"/>
      <c r="X56" s="320"/>
      <c r="Y56" s="320"/>
      <c r="Z56" s="321"/>
      <c r="AA56" s="321"/>
      <c r="AB56" s="321"/>
      <c r="AC56" s="320"/>
      <c r="AD56" s="380"/>
      <c r="AE56" s="352"/>
      <c r="AF56" s="376">
        <f t="shared" si="5"/>
        <v>0</v>
      </c>
      <c r="AG56" s="381"/>
      <c r="AH56" s="408"/>
      <c r="AI56" s="409">
        <f t="shared" si="6"/>
        <v>0</v>
      </c>
      <c r="AJ56" s="410"/>
      <c r="AK56" s="411">
        <f t="shared" si="7"/>
        <v>0</v>
      </c>
    </row>
    <row r="57" spans="1:37" s="234" customFormat="1" ht="20.25">
      <c r="A57" s="316" t="s">
        <v>120</v>
      </c>
      <c r="B57" s="295"/>
      <c r="C57" s="295"/>
      <c r="D57" s="1075"/>
      <c r="E57" s="319"/>
      <c r="F57" s="1076"/>
      <c r="G57" s="320"/>
      <c r="H57" s="321"/>
      <c r="I57" s="321"/>
      <c r="J57" s="320"/>
      <c r="K57" s="842"/>
      <c r="L57" s="351"/>
      <c r="M57" s="352"/>
      <c r="N57" s="353"/>
      <c r="O57" s="321"/>
      <c r="P57" s="321"/>
      <c r="Q57" s="321"/>
      <c r="R57" s="321"/>
      <c r="S57" s="321"/>
      <c r="T57" s="321"/>
      <c r="U57" s="351"/>
      <c r="V57" s="352"/>
      <c r="W57" s="319"/>
      <c r="X57" s="320"/>
      <c r="Y57" s="320"/>
      <c r="Z57" s="321"/>
      <c r="AA57" s="321"/>
      <c r="AB57" s="321"/>
      <c r="AC57" s="320"/>
      <c r="AD57" s="380"/>
      <c r="AE57" s="352"/>
      <c r="AF57" s="376">
        <f t="shared" si="5"/>
        <v>0</v>
      </c>
      <c r="AG57" s="381"/>
      <c r="AH57" s="408"/>
      <c r="AI57" s="409">
        <f t="shared" si="6"/>
        <v>0</v>
      </c>
      <c r="AJ57" s="410"/>
      <c r="AK57" s="411">
        <f t="shared" si="7"/>
        <v>0</v>
      </c>
    </row>
    <row r="58" spans="1:37" s="234" customFormat="1" ht="20.25">
      <c r="A58" s="316" t="s">
        <v>120</v>
      </c>
      <c r="B58" s="295"/>
      <c r="C58" s="295"/>
      <c r="D58" s="1075"/>
      <c r="E58" s="319"/>
      <c r="F58" s="320"/>
      <c r="G58" s="320"/>
      <c r="H58" s="321"/>
      <c r="I58" s="321"/>
      <c r="J58" s="320"/>
      <c r="K58" s="842"/>
      <c r="L58" s="351"/>
      <c r="M58" s="352"/>
      <c r="N58" s="353"/>
      <c r="O58" s="321"/>
      <c r="P58" s="321"/>
      <c r="Q58" s="321"/>
      <c r="R58" s="321"/>
      <c r="S58" s="321"/>
      <c r="T58" s="321"/>
      <c r="U58" s="351"/>
      <c r="V58" s="352"/>
      <c r="W58" s="319"/>
      <c r="X58" s="320"/>
      <c r="Y58" s="320"/>
      <c r="Z58" s="321"/>
      <c r="AA58" s="321"/>
      <c r="AB58" s="321"/>
      <c r="AC58" s="320"/>
      <c r="AD58" s="380"/>
      <c r="AE58" s="352"/>
      <c r="AF58" s="376">
        <f t="shared" si="5"/>
        <v>0</v>
      </c>
      <c r="AG58" s="381"/>
      <c r="AH58" s="408"/>
      <c r="AI58" s="409">
        <f t="shared" si="6"/>
        <v>0</v>
      </c>
      <c r="AJ58" s="410"/>
      <c r="AK58" s="411">
        <f t="shared" si="7"/>
        <v>0</v>
      </c>
    </row>
    <row r="59" spans="1:37" s="234" customFormat="1" ht="20.25">
      <c r="A59" s="316" t="s">
        <v>120</v>
      </c>
      <c r="B59" s="295"/>
      <c r="C59" s="295"/>
      <c r="D59" s="1075"/>
      <c r="E59" s="319"/>
      <c r="F59" s="320"/>
      <c r="G59" s="320"/>
      <c r="H59" s="321"/>
      <c r="I59" s="321"/>
      <c r="J59" s="320"/>
      <c r="K59" s="842"/>
      <c r="L59" s="351"/>
      <c r="M59" s="352"/>
      <c r="N59" s="353"/>
      <c r="O59" s="321"/>
      <c r="P59" s="321"/>
      <c r="Q59" s="321"/>
      <c r="R59" s="321"/>
      <c r="S59" s="321"/>
      <c r="T59" s="321"/>
      <c r="U59" s="351"/>
      <c r="V59" s="352"/>
      <c r="W59" s="319"/>
      <c r="X59" s="320"/>
      <c r="Y59" s="320"/>
      <c r="Z59" s="321"/>
      <c r="AA59" s="321"/>
      <c r="AB59" s="321"/>
      <c r="AC59" s="320"/>
      <c r="AD59" s="380"/>
      <c r="AE59" s="352"/>
      <c r="AF59" s="376">
        <f t="shared" si="5"/>
        <v>0</v>
      </c>
      <c r="AG59" s="381"/>
      <c r="AH59" s="408"/>
      <c r="AI59" s="409">
        <f t="shared" si="6"/>
        <v>0</v>
      </c>
      <c r="AJ59" s="410"/>
      <c r="AK59" s="411">
        <f t="shared" si="7"/>
        <v>0</v>
      </c>
    </row>
    <row r="60" spans="1:37" s="234" customFormat="1" ht="20.25">
      <c r="A60" s="316" t="s">
        <v>120</v>
      </c>
      <c r="B60" s="295"/>
      <c r="C60" s="295"/>
      <c r="D60" s="1075"/>
      <c r="E60" s="319"/>
      <c r="F60" s="320"/>
      <c r="G60" s="320"/>
      <c r="H60" s="321"/>
      <c r="I60" s="321"/>
      <c r="J60" s="320"/>
      <c r="K60" s="842"/>
      <c r="L60" s="351"/>
      <c r="M60" s="352"/>
      <c r="N60" s="353"/>
      <c r="O60" s="321"/>
      <c r="P60" s="321"/>
      <c r="Q60" s="321"/>
      <c r="R60" s="321"/>
      <c r="S60" s="321"/>
      <c r="T60" s="321"/>
      <c r="U60" s="351"/>
      <c r="V60" s="352"/>
      <c r="W60" s="319"/>
      <c r="X60" s="320"/>
      <c r="Y60" s="320"/>
      <c r="Z60" s="321"/>
      <c r="AA60" s="321"/>
      <c r="AB60" s="321"/>
      <c r="AC60" s="320"/>
      <c r="AD60" s="380"/>
      <c r="AE60" s="352"/>
      <c r="AF60" s="376">
        <f t="shared" si="5"/>
        <v>0</v>
      </c>
      <c r="AG60" s="381"/>
      <c r="AH60" s="408"/>
      <c r="AI60" s="409">
        <f t="shared" si="6"/>
        <v>0</v>
      </c>
      <c r="AJ60" s="410"/>
      <c r="AK60" s="411">
        <f t="shared" si="7"/>
        <v>0</v>
      </c>
    </row>
    <row r="61" spans="1:37" s="234" customFormat="1" ht="20.25">
      <c r="A61" s="316" t="s">
        <v>120</v>
      </c>
      <c r="B61" s="295"/>
      <c r="C61" s="295"/>
      <c r="D61" s="1075"/>
      <c r="E61" s="319"/>
      <c r="F61" s="320"/>
      <c r="G61" s="320"/>
      <c r="H61" s="321"/>
      <c r="I61" s="321"/>
      <c r="J61" s="320"/>
      <c r="K61" s="842"/>
      <c r="L61" s="351"/>
      <c r="M61" s="352"/>
      <c r="N61" s="353"/>
      <c r="O61" s="321"/>
      <c r="P61" s="321"/>
      <c r="Q61" s="321"/>
      <c r="R61" s="321"/>
      <c r="S61" s="321"/>
      <c r="T61" s="321"/>
      <c r="U61" s="351"/>
      <c r="V61" s="352"/>
      <c r="W61" s="319"/>
      <c r="X61" s="320"/>
      <c r="Y61" s="320"/>
      <c r="Z61" s="321"/>
      <c r="AA61" s="321"/>
      <c r="AB61" s="321"/>
      <c r="AC61" s="320"/>
      <c r="AD61" s="380"/>
      <c r="AE61" s="352"/>
      <c r="AF61" s="376">
        <f t="shared" si="5"/>
        <v>0</v>
      </c>
      <c r="AG61" s="381"/>
      <c r="AH61" s="408"/>
      <c r="AI61" s="409">
        <f t="shared" si="6"/>
        <v>0</v>
      </c>
      <c r="AJ61" s="410"/>
      <c r="AK61" s="411">
        <f t="shared" si="7"/>
        <v>0</v>
      </c>
    </row>
    <row r="62" spans="1:37" s="234" customFormat="1" ht="20.25">
      <c r="A62" s="316" t="s">
        <v>120</v>
      </c>
      <c r="B62" s="295"/>
      <c r="C62" s="295"/>
      <c r="D62" s="1075"/>
      <c r="E62" s="319"/>
      <c r="F62" s="320"/>
      <c r="G62" s="320"/>
      <c r="H62" s="321"/>
      <c r="I62" s="321"/>
      <c r="J62" s="320"/>
      <c r="K62" s="842"/>
      <c r="L62" s="351"/>
      <c r="M62" s="352"/>
      <c r="N62" s="353"/>
      <c r="O62" s="321"/>
      <c r="P62" s="321"/>
      <c r="Q62" s="321"/>
      <c r="R62" s="321"/>
      <c r="S62" s="321"/>
      <c r="T62" s="321"/>
      <c r="U62" s="351"/>
      <c r="V62" s="352"/>
      <c r="W62" s="319"/>
      <c r="X62" s="320"/>
      <c r="Y62" s="320"/>
      <c r="Z62" s="321"/>
      <c r="AA62" s="321"/>
      <c r="AB62" s="321"/>
      <c r="AC62" s="320"/>
      <c r="AD62" s="380"/>
      <c r="AE62" s="352"/>
      <c r="AF62" s="376">
        <f t="shared" si="5"/>
        <v>0</v>
      </c>
      <c r="AG62" s="381"/>
      <c r="AH62" s="408"/>
      <c r="AI62" s="409">
        <f t="shared" si="6"/>
        <v>0</v>
      </c>
      <c r="AJ62" s="410"/>
      <c r="AK62" s="411">
        <f t="shared" si="7"/>
        <v>0</v>
      </c>
    </row>
    <row r="63" spans="1:37" s="234" customFormat="1" ht="20.25">
      <c r="A63" s="316" t="s">
        <v>120</v>
      </c>
      <c r="B63" s="295"/>
      <c r="C63" s="295"/>
      <c r="D63" s="1075"/>
      <c r="E63" s="319"/>
      <c r="F63" s="320"/>
      <c r="G63" s="320"/>
      <c r="H63" s="321"/>
      <c r="I63" s="321"/>
      <c r="J63" s="320"/>
      <c r="K63" s="842"/>
      <c r="L63" s="351"/>
      <c r="M63" s="352"/>
      <c r="N63" s="353"/>
      <c r="O63" s="321"/>
      <c r="P63" s="321"/>
      <c r="Q63" s="321"/>
      <c r="R63" s="321"/>
      <c r="S63" s="321"/>
      <c r="T63" s="321"/>
      <c r="U63" s="351"/>
      <c r="V63" s="352"/>
      <c r="W63" s="319"/>
      <c r="X63" s="320"/>
      <c r="Y63" s="320"/>
      <c r="Z63" s="321"/>
      <c r="AA63" s="321"/>
      <c r="AB63" s="321"/>
      <c r="AC63" s="320"/>
      <c r="AD63" s="380"/>
      <c r="AE63" s="352"/>
      <c r="AF63" s="376">
        <f t="shared" si="5"/>
        <v>0</v>
      </c>
      <c r="AG63" s="381"/>
      <c r="AH63" s="408"/>
      <c r="AI63" s="409">
        <f t="shared" si="6"/>
        <v>0</v>
      </c>
      <c r="AJ63" s="410"/>
      <c r="AK63" s="411">
        <f t="shared" si="7"/>
        <v>0</v>
      </c>
    </row>
    <row r="64" spans="1:37" s="234" customFormat="1" ht="20.25">
      <c r="A64" s="316" t="s">
        <v>120</v>
      </c>
      <c r="B64" s="295"/>
      <c r="C64" s="295"/>
      <c r="D64" s="1075"/>
      <c r="E64" s="319"/>
      <c r="F64" s="320"/>
      <c r="G64" s="320"/>
      <c r="H64" s="321"/>
      <c r="I64" s="321"/>
      <c r="J64" s="320"/>
      <c r="K64" s="842"/>
      <c r="L64" s="351"/>
      <c r="M64" s="352"/>
      <c r="N64" s="353"/>
      <c r="O64" s="321"/>
      <c r="P64" s="321"/>
      <c r="Q64" s="321"/>
      <c r="R64" s="321"/>
      <c r="S64" s="321"/>
      <c r="T64" s="321"/>
      <c r="U64" s="351"/>
      <c r="V64" s="352"/>
      <c r="W64" s="319"/>
      <c r="X64" s="320"/>
      <c r="Y64" s="320"/>
      <c r="Z64" s="321"/>
      <c r="AA64" s="321"/>
      <c r="AB64" s="321"/>
      <c r="AC64" s="320"/>
      <c r="AD64" s="380"/>
      <c r="AE64" s="352"/>
      <c r="AF64" s="376">
        <f t="shared" si="5"/>
        <v>0</v>
      </c>
      <c r="AG64" s="381"/>
      <c r="AH64" s="408"/>
      <c r="AI64" s="409">
        <f t="shared" si="6"/>
        <v>0</v>
      </c>
      <c r="AJ64" s="410"/>
      <c r="AK64" s="411">
        <f t="shared" si="7"/>
        <v>0</v>
      </c>
    </row>
    <row r="65" spans="1:40" s="234" customFormat="1" ht="20.25">
      <c r="A65" s="316" t="s">
        <v>120</v>
      </c>
      <c r="B65" s="295"/>
      <c r="C65" s="295"/>
      <c r="D65" s="1075"/>
      <c r="E65" s="319"/>
      <c r="F65" s="320"/>
      <c r="G65" s="320"/>
      <c r="H65" s="321"/>
      <c r="I65" s="321"/>
      <c r="J65" s="320"/>
      <c r="K65" s="842"/>
      <c r="L65" s="351"/>
      <c r="M65" s="352"/>
      <c r="N65" s="353"/>
      <c r="O65" s="321"/>
      <c r="P65" s="321"/>
      <c r="Q65" s="321"/>
      <c r="R65" s="321"/>
      <c r="S65" s="321"/>
      <c r="T65" s="321"/>
      <c r="U65" s="351"/>
      <c r="V65" s="352"/>
      <c r="W65" s="319"/>
      <c r="X65" s="320"/>
      <c r="Y65" s="320"/>
      <c r="Z65" s="321"/>
      <c r="AA65" s="321"/>
      <c r="AB65" s="321"/>
      <c r="AC65" s="320"/>
      <c r="AD65" s="380"/>
      <c r="AE65" s="352"/>
      <c r="AF65" s="376">
        <f t="shared" si="5"/>
        <v>0</v>
      </c>
      <c r="AG65" s="381"/>
      <c r="AH65" s="408"/>
      <c r="AI65" s="409">
        <f t="shared" si="6"/>
        <v>0</v>
      </c>
      <c r="AJ65" s="410"/>
      <c r="AK65" s="411">
        <f t="shared" si="7"/>
        <v>0</v>
      </c>
    </row>
    <row r="66" spans="1:40" s="234" customFormat="1" ht="21" thickBot="1">
      <c r="A66" s="316" t="s">
        <v>120</v>
      </c>
      <c r="B66" s="295"/>
      <c r="C66" s="295"/>
      <c r="D66" s="1075"/>
      <c r="E66" s="319"/>
      <c r="F66" s="320"/>
      <c r="G66" s="320"/>
      <c r="H66" s="321"/>
      <c r="I66" s="321"/>
      <c r="J66" s="320"/>
      <c r="K66" s="842"/>
      <c r="L66" s="351"/>
      <c r="M66" s="352"/>
      <c r="N66" s="353"/>
      <c r="O66" s="321"/>
      <c r="P66" s="321"/>
      <c r="Q66" s="321"/>
      <c r="R66" s="321"/>
      <c r="S66" s="321"/>
      <c r="T66" s="321"/>
      <c r="U66" s="351"/>
      <c r="V66" s="352"/>
      <c r="W66" s="319"/>
      <c r="X66" s="320"/>
      <c r="Y66" s="320"/>
      <c r="Z66" s="321"/>
      <c r="AA66" s="321"/>
      <c r="AB66" s="321"/>
      <c r="AC66" s="320"/>
      <c r="AD66" s="380"/>
      <c r="AE66" s="352"/>
      <c r="AF66" s="376">
        <f t="shared" si="5"/>
        <v>0</v>
      </c>
      <c r="AG66" s="381"/>
      <c r="AH66" s="408"/>
      <c r="AI66" s="409">
        <f t="shared" si="6"/>
        <v>0</v>
      </c>
      <c r="AJ66" s="410"/>
      <c r="AK66" s="411">
        <f t="shared" si="7"/>
        <v>0</v>
      </c>
    </row>
    <row r="67" spans="1:40" s="283" customFormat="1" ht="21" thickBot="1">
      <c r="A67" s="316" t="s">
        <v>120</v>
      </c>
      <c r="B67" s="295"/>
      <c r="C67" s="295"/>
      <c r="D67" s="1075"/>
      <c r="E67" s="319"/>
      <c r="F67" s="320"/>
      <c r="G67" s="320"/>
      <c r="H67" s="321"/>
      <c r="I67" s="321"/>
      <c r="J67" s="320"/>
      <c r="K67" s="842"/>
      <c r="L67" s="351"/>
      <c r="M67" s="352"/>
      <c r="N67" s="353"/>
      <c r="O67" s="321"/>
      <c r="P67" s="321"/>
      <c r="Q67" s="321"/>
      <c r="R67" s="321"/>
      <c r="S67" s="321"/>
      <c r="T67" s="321"/>
      <c r="U67" s="351"/>
      <c r="V67" s="352"/>
      <c r="W67" s="319"/>
      <c r="X67" s="320"/>
      <c r="Y67" s="320"/>
      <c r="Z67" s="321"/>
      <c r="AA67" s="321"/>
      <c r="AB67" s="321"/>
      <c r="AC67" s="320"/>
      <c r="AD67" s="380"/>
      <c r="AE67" s="352"/>
      <c r="AF67" s="376">
        <f t="shared" si="5"/>
        <v>0</v>
      </c>
      <c r="AG67" s="381"/>
      <c r="AH67" s="408"/>
      <c r="AI67" s="409">
        <f t="shared" si="6"/>
        <v>0</v>
      </c>
      <c r="AJ67" s="410"/>
      <c r="AK67" s="411">
        <f t="shared" si="7"/>
        <v>0</v>
      </c>
      <c r="AL67" s="414" t="s">
        <v>8</v>
      </c>
      <c r="AM67" s="397" t="s">
        <v>23</v>
      </c>
      <c r="AN67" s="415" t="s">
        <v>174</v>
      </c>
    </row>
    <row r="68" spans="1:40" s="284" customFormat="1" ht="21" thickBot="1">
      <c r="A68" s="316" t="s">
        <v>120</v>
      </c>
      <c r="B68" s="295"/>
      <c r="C68" s="295"/>
      <c r="D68" s="1075"/>
      <c r="E68" s="319"/>
      <c r="F68" s="320"/>
      <c r="G68" s="320"/>
      <c r="H68" s="321"/>
      <c r="I68" s="321"/>
      <c r="J68" s="320"/>
      <c r="K68" s="842"/>
      <c r="L68" s="351"/>
      <c r="M68" s="352"/>
      <c r="N68" s="353"/>
      <c r="O68" s="321"/>
      <c r="P68" s="321"/>
      <c r="Q68" s="321"/>
      <c r="R68" s="321"/>
      <c r="S68" s="321"/>
      <c r="T68" s="321"/>
      <c r="U68" s="351"/>
      <c r="V68" s="352"/>
      <c r="W68" s="319"/>
      <c r="X68" s="320"/>
      <c r="Y68" s="320"/>
      <c r="Z68" s="321"/>
      <c r="AA68" s="321"/>
      <c r="AB68" s="321"/>
      <c r="AC68" s="320"/>
      <c r="AD68" s="380"/>
      <c r="AE68" s="352"/>
      <c r="AF68" s="376">
        <f t="shared" si="5"/>
        <v>0</v>
      </c>
      <c r="AG68" s="381"/>
      <c r="AH68" s="408"/>
      <c r="AI68" s="409">
        <f t="shared" si="6"/>
        <v>0</v>
      </c>
      <c r="AJ68" s="410"/>
      <c r="AK68" s="411">
        <f t="shared" si="7"/>
        <v>0</v>
      </c>
      <c r="AL68" s="399">
        <f>'BIG CHAIR'!CL77</f>
        <v>14560</v>
      </c>
      <c r="AM68" s="400">
        <f>'Tea Table'!X85</f>
        <v>0</v>
      </c>
      <c r="AN68" s="401">
        <f>AI71+AL68+AM68</f>
        <v>14560</v>
      </c>
    </row>
    <row r="69" spans="1:40" s="284" customFormat="1" ht="20.25">
      <c r="A69" s="316" t="s">
        <v>120</v>
      </c>
      <c r="B69" s="295"/>
      <c r="C69" s="295"/>
      <c r="D69" s="1077"/>
      <c r="E69" s="319"/>
      <c r="F69" s="320"/>
      <c r="G69" s="320"/>
      <c r="H69" s="321"/>
      <c r="I69" s="321"/>
      <c r="J69" s="320"/>
      <c r="K69" s="842"/>
      <c r="L69" s="351"/>
      <c r="M69" s="352"/>
      <c r="N69" s="353"/>
      <c r="O69" s="321"/>
      <c r="P69" s="321"/>
      <c r="Q69" s="321"/>
      <c r="R69" s="321"/>
      <c r="S69" s="321"/>
      <c r="T69" s="321"/>
      <c r="U69" s="351"/>
      <c r="V69" s="352"/>
      <c r="W69" s="319"/>
      <c r="X69" s="320"/>
      <c r="Y69" s="320"/>
      <c r="Z69" s="321"/>
      <c r="AA69" s="321"/>
      <c r="AB69" s="321"/>
      <c r="AC69" s="320"/>
      <c r="AD69" s="380"/>
      <c r="AE69" s="352"/>
      <c r="AF69" s="376">
        <f t="shared" si="5"/>
        <v>0</v>
      </c>
      <c r="AG69" s="381"/>
      <c r="AH69" s="408"/>
      <c r="AI69" s="409">
        <f t="shared" si="6"/>
        <v>0</v>
      </c>
      <c r="AJ69" s="410"/>
      <c r="AK69" s="411">
        <f t="shared" si="7"/>
        <v>0</v>
      </c>
      <c r="AL69" s="403"/>
      <c r="AM69" s="403"/>
      <c r="AN69" s="403"/>
    </row>
    <row r="70" spans="1:40" s="282" customFormat="1" ht="21" thickBot="1">
      <c r="A70" s="322"/>
      <c r="B70" s="323"/>
      <c r="C70" s="323"/>
      <c r="D70" s="1078"/>
      <c r="E70" s="325"/>
      <c r="F70" s="297"/>
      <c r="G70" s="297"/>
      <c r="H70" s="298"/>
      <c r="I70" s="298"/>
      <c r="J70" s="297"/>
      <c r="K70" s="1086"/>
      <c r="L70" s="367"/>
      <c r="M70" s="355"/>
      <c r="N70" s="343"/>
      <c r="O70" s="298"/>
      <c r="P70" s="298"/>
      <c r="Q70" s="298"/>
      <c r="R70" s="298"/>
      <c r="S70" s="298"/>
      <c r="T70" s="298"/>
      <c r="U70" s="367"/>
      <c r="V70" s="355"/>
      <c r="W70" s="325"/>
      <c r="X70" s="297"/>
      <c r="Y70" s="297"/>
      <c r="Z70" s="298"/>
      <c r="AA70" s="298"/>
      <c r="AB70" s="298"/>
      <c r="AC70" s="297"/>
      <c r="AD70" s="375"/>
      <c r="AE70" s="355"/>
      <c r="AF70" s="376">
        <f t="shared" si="5"/>
        <v>0</v>
      </c>
      <c r="AG70" s="377"/>
      <c r="AH70" s="390"/>
      <c r="AI70" s="391">
        <f t="shared" si="6"/>
        <v>0</v>
      </c>
      <c r="AJ70" s="412"/>
      <c r="AK70" s="413">
        <f t="shared" si="7"/>
        <v>0</v>
      </c>
    </row>
    <row r="71" spans="1:40" s="234" customFormat="1" ht="19.5" thickBot="1">
      <c r="A71" s="326" t="s">
        <v>177</v>
      </c>
      <c r="B71" s="327"/>
      <c r="C71" s="327"/>
      <c r="D71" s="328"/>
      <c r="E71" s="329">
        <f>SUM(E38:E70)</f>
        <v>0</v>
      </c>
      <c r="F71" s="329">
        <f t="shared" ref="F71:L71" si="8">SUM(F38:F70)</f>
        <v>0</v>
      </c>
      <c r="G71" s="329">
        <f t="shared" si="8"/>
        <v>0</v>
      </c>
      <c r="H71" s="329">
        <f t="shared" si="8"/>
        <v>0</v>
      </c>
      <c r="I71" s="329">
        <f t="shared" si="8"/>
        <v>0</v>
      </c>
      <c r="J71" s="329">
        <f t="shared" si="8"/>
        <v>0</v>
      </c>
      <c r="K71" s="329">
        <f t="shared" si="8"/>
        <v>0</v>
      </c>
      <c r="L71" s="329">
        <f t="shared" si="8"/>
        <v>0</v>
      </c>
      <c r="M71" s="357"/>
      <c r="N71" s="358">
        <f>SUM(N38:N70)</f>
        <v>0</v>
      </c>
      <c r="O71" s="358">
        <f t="shared" ref="O71:U71" si="9">SUM(O38:O70)</f>
        <v>0</v>
      </c>
      <c r="P71" s="358">
        <f t="shared" si="9"/>
        <v>0</v>
      </c>
      <c r="Q71" s="358">
        <f t="shared" si="9"/>
        <v>0</v>
      </c>
      <c r="R71" s="358">
        <f t="shared" si="9"/>
        <v>0</v>
      </c>
      <c r="S71" s="358">
        <f t="shared" si="9"/>
        <v>0</v>
      </c>
      <c r="T71" s="358">
        <f t="shared" si="9"/>
        <v>0</v>
      </c>
      <c r="U71" s="358">
        <f t="shared" si="9"/>
        <v>0</v>
      </c>
      <c r="V71" s="357"/>
      <c r="W71" s="358">
        <f>SUM(W38:W70)</f>
        <v>0</v>
      </c>
      <c r="X71" s="358">
        <f t="shared" ref="X71:AD71" si="10">SUM(X38:X70)</f>
        <v>0</v>
      </c>
      <c r="Y71" s="358">
        <f t="shared" si="10"/>
        <v>0</v>
      </c>
      <c r="Z71" s="358">
        <f t="shared" si="10"/>
        <v>0</v>
      </c>
      <c r="AA71" s="358">
        <f t="shared" si="10"/>
        <v>0</v>
      </c>
      <c r="AB71" s="358">
        <f t="shared" si="10"/>
        <v>0</v>
      </c>
      <c r="AC71" s="358">
        <f t="shared" si="10"/>
        <v>0</v>
      </c>
      <c r="AD71" s="358">
        <f t="shared" si="10"/>
        <v>0</v>
      </c>
      <c r="AE71" s="357"/>
      <c r="AF71" s="382">
        <f>SUM(AF38:AF70)</f>
        <v>0</v>
      </c>
      <c r="AG71" s="382">
        <f>SUM(AG38:AG70)</f>
        <v>0</v>
      </c>
      <c r="AH71" s="416">
        <f t="shared" ref="AH71" si="11">SUM(AH39:AH70)</f>
        <v>0</v>
      </c>
      <c r="AI71" s="417">
        <f>SUM(AI38:AI70)</f>
        <v>0</v>
      </c>
      <c r="AJ71" s="382">
        <f>SUM(AJ38:AJ70)</f>
        <v>0</v>
      </c>
      <c r="AK71" s="418">
        <f>SUM(AK38:AK70)</f>
        <v>0</v>
      </c>
    </row>
    <row r="72" spans="1:40" s="234" customFormat="1" ht="19.5" thickBot="1">
      <c r="A72" s="306"/>
      <c r="B72" s="307"/>
      <c r="C72" s="307"/>
      <c r="D72" s="308"/>
      <c r="E72" s="309"/>
      <c r="F72" s="309"/>
      <c r="G72" s="309"/>
      <c r="H72" s="309"/>
      <c r="I72" s="309"/>
      <c r="J72" s="309"/>
      <c r="K72" s="309"/>
      <c r="L72" s="309"/>
      <c r="M72" s="346"/>
      <c r="N72" s="347"/>
      <c r="O72" s="347"/>
      <c r="P72" s="347"/>
      <c r="Q72" s="347"/>
      <c r="R72" s="347"/>
      <c r="S72" s="347"/>
      <c r="T72" s="347"/>
      <c r="U72" s="347"/>
      <c r="V72" s="346"/>
      <c r="W72" s="347"/>
      <c r="X72" s="347"/>
      <c r="Y72" s="347"/>
      <c r="Z72" s="347"/>
      <c r="AA72" s="347"/>
      <c r="AB72" s="347"/>
      <c r="AC72" s="347"/>
      <c r="AD72" s="347"/>
      <c r="AE72" s="346"/>
      <c r="AF72" s="347"/>
      <c r="AG72" s="347"/>
      <c r="AH72" s="347"/>
      <c r="AI72" s="347"/>
      <c r="AJ72" s="347"/>
      <c r="AK72" s="402"/>
    </row>
    <row r="73" spans="1:40" s="234" customFormat="1" ht="24" thickBot="1">
      <c r="A73" s="286" t="s">
        <v>122</v>
      </c>
      <c r="B73" s="287" t="s">
        <v>68</v>
      </c>
      <c r="C73" s="287" t="s">
        <v>69</v>
      </c>
      <c r="D73" s="3550" t="s">
        <v>70</v>
      </c>
      <c r="E73" s="743" t="s">
        <v>96</v>
      </c>
      <c r="F73" s="744" t="s">
        <v>124</v>
      </c>
      <c r="G73" s="744" t="s">
        <v>228</v>
      </c>
      <c r="H73" s="744" t="s">
        <v>149</v>
      </c>
      <c r="I73" s="744" t="s">
        <v>470</v>
      </c>
      <c r="J73" s="744" t="s">
        <v>92</v>
      </c>
      <c r="K73" s="50" t="s">
        <v>479</v>
      </c>
      <c r="L73" s="783" t="s">
        <v>123</v>
      </c>
      <c r="M73" s="1089"/>
      <c r="N73" s="80" t="s">
        <v>71</v>
      </c>
      <c r="O73" s="49" t="s">
        <v>53</v>
      </c>
      <c r="P73" s="49" t="s">
        <v>118</v>
      </c>
      <c r="Q73" s="49" t="s">
        <v>74</v>
      </c>
      <c r="R73" s="49" t="s">
        <v>75</v>
      </c>
      <c r="S73" s="49" t="s">
        <v>94</v>
      </c>
      <c r="T73" s="126" t="s">
        <v>77</v>
      </c>
      <c r="U73" s="171" t="s">
        <v>101</v>
      </c>
      <c r="V73" s="79"/>
      <c r="W73" s="764" t="s">
        <v>482</v>
      </c>
      <c r="X73" s="765" t="s">
        <v>476</v>
      </c>
      <c r="Y73" s="765" t="e">
        <f>#REF!</f>
        <v>#REF!</v>
      </c>
      <c r="Z73" s="49" t="s">
        <v>575</v>
      </c>
      <c r="AA73" s="744" t="s">
        <v>75</v>
      </c>
      <c r="AB73" s="744" t="s">
        <v>53</v>
      </c>
      <c r="AC73" s="783" t="s">
        <v>230</v>
      </c>
      <c r="AD73" s="372" t="s">
        <v>95</v>
      </c>
      <c r="AE73" s="370"/>
      <c r="AF73" s="371" t="s">
        <v>172</v>
      </c>
      <c r="AG73" s="372" t="s">
        <v>80</v>
      </c>
      <c r="AH73" s="385"/>
      <c r="AI73" s="386" t="s">
        <v>106</v>
      </c>
      <c r="AJ73" s="385" t="s">
        <v>173</v>
      </c>
      <c r="AK73" s="371" t="s">
        <v>108</v>
      </c>
    </row>
    <row r="74" spans="1:40" s="234" customFormat="1" ht="20.25">
      <c r="A74" s="316" t="s">
        <v>125</v>
      </c>
      <c r="B74" s="317"/>
      <c r="C74" s="317"/>
      <c r="D74" s="1077">
        <v>46122</v>
      </c>
      <c r="E74" s="319"/>
      <c r="F74" s="320"/>
      <c r="G74" s="320"/>
      <c r="H74" s="321"/>
      <c r="I74" s="321"/>
      <c r="J74" s="320"/>
      <c r="K74" s="1090"/>
      <c r="L74" s="363"/>
      <c r="M74" s="352"/>
      <c r="N74" s="353"/>
      <c r="O74" s="320"/>
      <c r="P74" s="320"/>
      <c r="Q74" s="321"/>
      <c r="R74" s="321"/>
      <c r="S74" s="321"/>
      <c r="T74" s="320"/>
      <c r="U74" s="351"/>
      <c r="V74" s="352"/>
      <c r="W74" s="362"/>
      <c r="X74" s="334"/>
      <c r="Y74" s="334"/>
      <c r="Z74" s="334">
        <f>8*20+17*20</f>
        <v>500</v>
      </c>
      <c r="AA74" s="334"/>
      <c r="AB74" s="334"/>
      <c r="AC74" s="334"/>
      <c r="AD74" s="380"/>
      <c r="AE74" s="352"/>
      <c r="AF74" s="381">
        <f>SUM(E74:AD74)</f>
        <v>500</v>
      </c>
      <c r="AG74" s="381">
        <v>6</v>
      </c>
      <c r="AH74" s="408"/>
      <c r="AI74" s="409">
        <f>AF74+AG74</f>
        <v>506</v>
      </c>
      <c r="AJ74" s="410">
        <f>42+18</f>
        <v>60</v>
      </c>
      <c r="AK74" s="411">
        <f>AI74+AJ74</f>
        <v>566</v>
      </c>
    </row>
    <row r="75" spans="1:40" s="234" customFormat="1" ht="20.25">
      <c r="A75" s="316" t="s">
        <v>125</v>
      </c>
      <c r="B75" s="295"/>
      <c r="C75" s="295"/>
      <c r="D75" s="1077">
        <v>46123</v>
      </c>
      <c r="E75" s="319"/>
      <c r="F75" s="320"/>
      <c r="G75" s="320"/>
      <c r="H75" s="321"/>
      <c r="I75" s="321"/>
      <c r="J75" s="320"/>
      <c r="K75" s="1090"/>
      <c r="L75" s="363"/>
      <c r="M75" s="352"/>
      <c r="N75" s="353"/>
      <c r="O75" s="321"/>
      <c r="P75" s="321"/>
      <c r="Q75" s="321"/>
      <c r="R75" s="321"/>
      <c r="S75" s="321"/>
      <c r="T75" s="321"/>
      <c r="U75" s="351"/>
      <c r="V75" s="352"/>
      <c r="W75" s="319"/>
      <c r="X75" s="320"/>
      <c r="Y75" s="320"/>
      <c r="Z75" s="321">
        <f>11*20+19*20</f>
        <v>600</v>
      </c>
      <c r="AA75" s="321"/>
      <c r="AB75" s="321"/>
      <c r="AC75" s="320"/>
      <c r="AD75" s="380"/>
      <c r="AE75" s="352"/>
      <c r="AF75" s="381">
        <f>SUM(E75:AD75)</f>
        <v>600</v>
      </c>
      <c r="AG75" s="381">
        <v>3</v>
      </c>
      <c r="AH75" s="408"/>
      <c r="AI75" s="409">
        <f>AF75+AG75</f>
        <v>603</v>
      </c>
      <c r="AJ75" s="410">
        <f>11+3</f>
        <v>14</v>
      </c>
      <c r="AK75" s="411">
        <f>AI75+AJ75</f>
        <v>617</v>
      </c>
    </row>
    <row r="76" spans="1:40" s="234" customFormat="1" ht="20.25">
      <c r="A76" s="316" t="s">
        <v>125</v>
      </c>
      <c r="B76" s="295"/>
      <c r="C76" s="295"/>
      <c r="D76" s="1077">
        <v>46124</v>
      </c>
      <c r="E76" s="319"/>
      <c r="F76" s="320"/>
      <c r="G76" s="320"/>
      <c r="H76" s="321"/>
      <c r="I76" s="321"/>
      <c r="J76" s="320"/>
      <c r="K76" s="1090"/>
      <c r="L76" s="363"/>
      <c r="M76" s="352"/>
      <c r="N76" s="353"/>
      <c r="O76" s="321"/>
      <c r="P76" s="321"/>
      <c r="Q76" s="321"/>
      <c r="R76" s="321"/>
      <c r="S76" s="321"/>
      <c r="T76" s="321"/>
      <c r="U76" s="351"/>
      <c r="V76" s="352"/>
      <c r="W76" s="319"/>
      <c r="X76" s="320"/>
      <c r="Y76" s="320"/>
      <c r="Z76" s="321">
        <f>16*20+20*20</f>
        <v>720</v>
      </c>
      <c r="AA76" s="321"/>
      <c r="AB76" s="321"/>
      <c r="AC76" s="320"/>
      <c r="AD76" s="380"/>
      <c r="AE76" s="352"/>
      <c r="AF76" s="381">
        <f>SUM(E76:AD76)</f>
        <v>720</v>
      </c>
      <c r="AG76" s="381"/>
      <c r="AH76" s="408"/>
      <c r="AI76" s="409">
        <f>AF76+AG76</f>
        <v>720</v>
      </c>
      <c r="AJ76" s="410"/>
      <c r="AK76" s="411">
        <f>AI76+AJ76</f>
        <v>720</v>
      </c>
    </row>
    <row r="77" spans="1:40" s="234" customFormat="1" ht="20.25">
      <c r="A77" s="316" t="s">
        <v>125</v>
      </c>
      <c r="B77" s="295"/>
      <c r="C77" s="295"/>
      <c r="D77" s="1077">
        <v>46125</v>
      </c>
      <c r="E77" s="319"/>
      <c r="F77" s="320"/>
      <c r="G77" s="320"/>
      <c r="H77" s="321"/>
      <c r="I77" s="321"/>
      <c r="J77" s="320"/>
      <c r="K77" s="1091"/>
      <c r="L77" s="363"/>
      <c r="M77" s="352"/>
      <c r="N77" s="353"/>
      <c r="O77" s="321"/>
      <c r="P77" s="321"/>
      <c r="Q77" s="321"/>
      <c r="R77" s="321"/>
      <c r="S77" s="321"/>
      <c r="T77" s="321"/>
      <c r="U77" s="351"/>
      <c r="V77" s="352"/>
      <c r="W77" s="319"/>
      <c r="X77" s="320"/>
      <c r="Y77" s="320"/>
      <c r="Z77" s="321">
        <f>14*20</f>
        <v>280</v>
      </c>
      <c r="AA77" s="321"/>
      <c r="AB77" s="321"/>
      <c r="AC77" s="320"/>
      <c r="AD77" s="380"/>
      <c r="AE77" s="352"/>
      <c r="AF77" s="381">
        <f>SUM(E77:AD77)</f>
        <v>280</v>
      </c>
      <c r="AG77" s="381"/>
      <c r="AH77" s="408"/>
      <c r="AI77" s="409">
        <f>AF77+AG77</f>
        <v>280</v>
      </c>
      <c r="AJ77" s="410">
        <v>3</v>
      </c>
      <c r="AK77" s="411">
        <f>AI77+AJ77</f>
        <v>283</v>
      </c>
    </row>
    <row r="78" spans="1:40" s="234" customFormat="1" ht="20.25">
      <c r="A78" s="316" t="s">
        <v>125</v>
      </c>
      <c r="B78" s="295"/>
      <c r="C78" s="295"/>
      <c r="D78" s="1077">
        <v>46135</v>
      </c>
      <c r="E78" s="319"/>
      <c r="F78" s="320"/>
      <c r="G78" s="320"/>
      <c r="H78" s="321"/>
      <c r="I78" s="321"/>
      <c r="J78" s="320"/>
      <c r="K78" s="1090"/>
      <c r="L78" s="363"/>
      <c r="M78" s="352"/>
      <c r="N78" s="353"/>
      <c r="O78" s="321"/>
      <c r="P78" s="321"/>
      <c r="Q78" s="321"/>
      <c r="R78" s="321"/>
      <c r="S78" s="321"/>
      <c r="T78" s="321"/>
      <c r="U78" s="351"/>
      <c r="V78" s="352"/>
      <c r="W78" s="319">
        <f>16*20</f>
        <v>320</v>
      </c>
      <c r="X78" s="320"/>
      <c r="Y78" s="320"/>
      <c r="Z78" s="321"/>
      <c r="AA78" s="321"/>
      <c r="AB78" s="321"/>
      <c r="AC78" s="320"/>
      <c r="AD78" s="380"/>
      <c r="AE78" s="352"/>
      <c r="AF78" s="381">
        <f>SUM(E78:AD78)</f>
        <v>320</v>
      </c>
      <c r="AG78" s="381">
        <v>5</v>
      </c>
      <c r="AH78" s="408"/>
      <c r="AI78" s="409">
        <f>AF78+AG78</f>
        <v>325</v>
      </c>
      <c r="AJ78" s="410">
        <v>16</v>
      </c>
      <c r="AK78" s="411">
        <f>AI78+AJ78</f>
        <v>341</v>
      </c>
    </row>
    <row r="79" spans="1:40" s="234" customFormat="1" ht="20.25">
      <c r="A79" s="316" t="s">
        <v>125</v>
      </c>
      <c r="B79" s="295"/>
      <c r="C79" s="295"/>
      <c r="D79" s="1077">
        <v>46136</v>
      </c>
      <c r="E79" s="319"/>
      <c r="F79" s="320"/>
      <c r="G79" s="320"/>
      <c r="H79" s="321"/>
      <c r="I79" s="321"/>
      <c r="J79" s="320"/>
      <c r="K79" s="1090"/>
      <c r="L79" s="363"/>
      <c r="M79" s="352"/>
      <c r="N79" s="353"/>
      <c r="O79" s="321"/>
      <c r="P79" s="321"/>
      <c r="Q79" s="321"/>
      <c r="R79" s="321"/>
      <c r="S79" s="321"/>
      <c r="T79" s="321"/>
      <c r="U79" s="351"/>
      <c r="V79" s="352"/>
      <c r="W79" s="319">
        <f>19*20+16*20</f>
        <v>700</v>
      </c>
      <c r="X79" s="320"/>
      <c r="Y79" s="320"/>
      <c r="Z79" s="321"/>
      <c r="AA79" s="321"/>
      <c r="AB79" s="321"/>
      <c r="AC79" s="320"/>
      <c r="AD79" s="380"/>
      <c r="AE79" s="352"/>
      <c r="AF79" s="381">
        <f t="shared" ref="AF79:AF106" si="12">SUM(E79:AD79)</f>
        <v>700</v>
      </c>
      <c r="AG79" s="381"/>
      <c r="AH79" s="408"/>
      <c r="AI79" s="409">
        <f t="shared" ref="AI79:AI106" si="13">AF79+AG79</f>
        <v>700</v>
      </c>
      <c r="AJ79" s="410">
        <f>20+12</f>
        <v>32</v>
      </c>
      <c r="AK79" s="411">
        <f t="shared" ref="AK79:AK106" si="14">AI79+AJ79</f>
        <v>732</v>
      </c>
    </row>
    <row r="80" spans="1:40" s="234" customFormat="1" ht="20.25">
      <c r="A80" s="316" t="s">
        <v>125</v>
      </c>
      <c r="B80" s="295"/>
      <c r="C80" s="295"/>
      <c r="D80" s="1077">
        <v>46137</v>
      </c>
      <c r="E80" s="319"/>
      <c r="F80" s="320"/>
      <c r="G80" s="320"/>
      <c r="H80" s="321"/>
      <c r="I80" s="321"/>
      <c r="J80" s="320"/>
      <c r="K80" s="1090"/>
      <c r="L80" s="351"/>
      <c r="M80" s="352"/>
      <c r="N80" s="353"/>
      <c r="O80" s="321"/>
      <c r="P80" s="321"/>
      <c r="Q80" s="321"/>
      <c r="R80" s="321"/>
      <c r="S80" s="321"/>
      <c r="T80" s="321"/>
      <c r="U80" s="351"/>
      <c r="V80" s="352"/>
      <c r="W80" s="319">
        <f>21*20+9*20</f>
        <v>600</v>
      </c>
      <c r="X80" s="320"/>
      <c r="Y80" s="320"/>
      <c r="Z80" s="321"/>
      <c r="AA80" s="321"/>
      <c r="AB80" s="321"/>
      <c r="AC80" s="320"/>
      <c r="AD80" s="380"/>
      <c r="AE80" s="352"/>
      <c r="AF80" s="381">
        <f t="shared" si="12"/>
        <v>600</v>
      </c>
      <c r="AG80" s="381">
        <v>5</v>
      </c>
      <c r="AH80" s="408"/>
      <c r="AI80" s="409">
        <f t="shared" si="13"/>
        <v>605</v>
      </c>
      <c r="AJ80" s="410">
        <f>2+4</f>
        <v>6</v>
      </c>
      <c r="AK80" s="411">
        <f t="shared" si="14"/>
        <v>611</v>
      </c>
    </row>
    <row r="81" spans="1:37" s="234" customFormat="1" ht="20.25">
      <c r="A81" s="316" t="s">
        <v>125</v>
      </c>
      <c r="B81" s="295"/>
      <c r="C81" s="295"/>
      <c r="D81" s="1077">
        <v>46138</v>
      </c>
      <c r="E81" s="319"/>
      <c r="F81" s="320"/>
      <c r="G81" s="320"/>
      <c r="H81" s="321"/>
      <c r="I81" s="321"/>
      <c r="J81" s="320"/>
      <c r="K81" s="1090"/>
      <c r="L81" s="351"/>
      <c r="M81" s="352"/>
      <c r="N81" s="353"/>
      <c r="O81" s="321"/>
      <c r="P81" s="321"/>
      <c r="Q81" s="321"/>
      <c r="R81" s="321"/>
      <c r="S81" s="321"/>
      <c r="T81" s="321"/>
      <c r="U81" s="351"/>
      <c r="V81" s="352"/>
      <c r="W81" s="319">
        <f>2*20</f>
        <v>40</v>
      </c>
      <c r="X81" s="320"/>
      <c r="Y81" s="320"/>
      <c r="Z81" s="321"/>
      <c r="AA81" s="321"/>
      <c r="AB81" s="321"/>
      <c r="AC81" s="320"/>
      <c r="AD81" s="380"/>
      <c r="AE81" s="352"/>
      <c r="AF81" s="381">
        <f t="shared" si="12"/>
        <v>40</v>
      </c>
      <c r="AG81" s="381"/>
      <c r="AH81" s="408"/>
      <c r="AI81" s="409">
        <f t="shared" si="13"/>
        <v>40</v>
      </c>
      <c r="AJ81" s="410"/>
      <c r="AK81" s="411">
        <f t="shared" si="14"/>
        <v>40</v>
      </c>
    </row>
    <row r="82" spans="1:37" s="234" customFormat="1" ht="20.25">
      <c r="A82" s="316" t="s">
        <v>125</v>
      </c>
      <c r="B82" s="295"/>
      <c r="C82" s="295"/>
      <c r="D82" s="1077"/>
      <c r="E82" s="319"/>
      <c r="F82" s="320"/>
      <c r="G82" s="320"/>
      <c r="H82" s="321"/>
      <c r="I82" s="321"/>
      <c r="J82" s="320"/>
      <c r="K82" s="1090"/>
      <c r="L82" s="351"/>
      <c r="M82" s="352"/>
      <c r="N82" s="353"/>
      <c r="O82" s="321"/>
      <c r="P82" s="321"/>
      <c r="Q82" s="321"/>
      <c r="R82" s="321"/>
      <c r="S82" s="321"/>
      <c r="T82" s="321"/>
      <c r="U82" s="351"/>
      <c r="V82" s="352"/>
      <c r="W82" s="319"/>
      <c r="X82" s="320"/>
      <c r="Y82" s="320"/>
      <c r="Z82" s="321"/>
      <c r="AA82" s="321"/>
      <c r="AB82" s="321"/>
      <c r="AC82" s="320"/>
      <c r="AD82" s="380"/>
      <c r="AE82" s="352"/>
      <c r="AF82" s="381">
        <f t="shared" si="12"/>
        <v>0</v>
      </c>
      <c r="AG82" s="381"/>
      <c r="AH82" s="408"/>
      <c r="AI82" s="409">
        <f t="shared" si="13"/>
        <v>0</v>
      </c>
      <c r="AJ82" s="410"/>
      <c r="AK82" s="411">
        <f t="shared" si="14"/>
        <v>0</v>
      </c>
    </row>
    <row r="83" spans="1:37" s="234" customFormat="1" ht="20.25">
      <c r="A83" s="316" t="s">
        <v>125</v>
      </c>
      <c r="B83" s="295"/>
      <c r="C83" s="295"/>
      <c r="D83" s="1077"/>
      <c r="E83" s="319"/>
      <c r="F83" s="320"/>
      <c r="G83" s="320"/>
      <c r="H83" s="321"/>
      <c r="I83" s="321"/>
      <c r="J83" s="320"/>
      <c r="K83" s="1090"/>
      <c r="L83" s="351"/>
      <c r="M83" s="352"/>
      <c r="N83" s="353"/>
      <c r="O83" s="321"/>
      <c r="P83" s="321"/>
      <c r="Q83" s="321"/>
      <c r="R83" s="321"/>
      <c r="S83" s="321"/>
      <c r="T83" s="321"/>
      <c r="U83" s="351"/>
      <c r="V83" s="352"/>
      <c r="W83" s="319"/>
      <c r="X83" s="320"/>
      <c r="Y83" s="320"/>
      <c r="Z83" s="321"/>
      <c r="AA83" s="321"/>
      <c r="AB83" s="321"/>
      <c r="AC83" s="320"/>
      <c r="AD83" s="380"/>
      <c r="AE83" s="352"/>
      <c r="AF83" s="381">
        <f t="shared" si="12"/>
        <v>0</v>
      </c>
      <c r="AG83" s="381"/>
      <c r="AH83" s="408"/>
      <c r="AI83" s="409">
        <f t="shared" si="13"/>
        <v>0</v>
      </c>
      <c r="AJ83" s="410"/>
      <c r="AK83" s="411">
        <f t="shared" si="14"/>
        <v>0</v>
      </c>
    </row>
    <row r="84" spans="1:37" s="234" customFormat="1" ht="20.25">
      <c r="A84" s="316" t="s">
        <v>125</v>
      </c>
      <c r="B84" s="295"/>
      <c r="C84" s="295"/>
      <c r="D84" s="1077"/>
      <c r="E84" s="319"/>
      <c r="F84" s="320"/>
      <c r="G84" s="320"/>
      <c r="H84" s="321"/>
      <c r="I84" s="321"/>
      <c r="J84" s="320"/>
      <c r="K84" s="1090"/>
      <c r="L84" s="351"/>
      <c r="M84" s="352"/>
      <c r="N84" s="353"/>
      <c r="O84" s="321"/>
      <c r="P84" s="321"/>
      <c r="Q84" s="321"/>
      <c r="R84" s="321"/>
      <c r="S84" s="321"/>
      <c r="T84" s="321"/>
      <c r="U84" s="351"/>
      <c r="V84" s="352"/>
      <c r="W84" s="319"/>
      <c r="X84" s="320"/>
      <c r="Y84" s="320"/>
      <c r="Z84" s="321"/>
      <c r="AA84" s="321"/>
      <c r="AB84" s="321"/>
      <c r="AC84" s="320"/>
      <c r="AD84" s="380"/>
      <c r="AE84" s="352"/>
      <c r="AF84" s="381">
        <f t="shared" si="12"/>
        <v>0</v>
      </c>
      <c r="AG84" s="381"/>
      <c r="AH84" s="408"/>
      <c r="AI84" s="409">
        <f t="shared" si="13"/>
        <v>0</v>
      </c>
      <c r="AJ84" s="410"/>
      <c r="AK84" s="411">
        <f t="shared" si="14"/>
        <v>0</v>
      </c>
    </row>
    <row r="85" spans="1:37" s="234" customFormat="1" ht="20.25">
      <c r="A85" s="316" t="s">
        <v>125</v>
      </c>
      <c r="B85" s="295"/>
      <c r="C85" s="295"/>
      <c r="D85" s="1077"/>
      <c r="E85" s="319"/>
      <c r="F85" s="320"/>
      <c r="G85" s="320"/>
      <c r="H85" s="321"/>
      <c r="I85" s="321"/>
      <c r="J85" s="320"/>
      <c r="K85" s="1090"/>
      <c r="L85" s="351"/>
      <c r="M85" s="352"/>
      <c r="N85" s="353"/>
      <c r="O85" s="321"/>
      <c r="P85" s="321"/>
      <c r="Q85" s="321"/>
      <c r="R85" s="321"/>
      <c r="S85" s="321"/>
      <c r="T85" s="321"/>
      <c r="U85" s="351"/>
      <c r="V85" s="352"/>
      <c r="W85" s="319"/>
      <c r="X85" s="320"/>
      <c r="Y85" s="320"/>
      <c r="Z85" s="321"/>
      <c r="AA85" s="321"/>
      <c r="AB85" s="321"/>
      <c r="AC85" s="320"/>
      <c r="AD85" s="380"/>
      <c r="AE85" s="352"/>
      <c r="AF85" s="381">
        <f t="shared" si="12"/>
        <v>0</v>
      </c>
      <c r="AG85" s="381"/>
      <c r="AH85" s="408"/>
      <c r="AI85" s="409">
        <f t="shared" si="13"/>
        <v>0</v>
      </c>
      <c r="AJ85" s="410"/>
      <c r="AK85" s="411">
        <f t="shared" si="14"/>
        <v>0</v>
      </c>
    </row>
    <row r="86" spans="1:37" s="234" customFormat="1" ht="20.25">
      <c r="A86" s="316" t="s">
        <v>125</v>
      </c>
      <c r="B86" s="295"/>
      <c r="C86" s="295"/>
      <c r="D86" s="1077"/>
      <c r="E86" s="319"/>
      <c r="F86" s="320"/>
      <c r="G86" s="320"/>
      <c r="H86" s="321"/>
      <c r="I86" s="321"/>
      <c r="J86" s="320"/>
      <c r="K86" s="1090"/>
      <c r="L86" s="351"/>
      <c r="M86" s="352"/>
      <c r="N86" s="353"/>
      <c r="O86" s="321"/>
      <c r="P86" s="321"/>
      <c r="Q86" s="321"/>
      <c r="R86" s="321"/>
      <c r="S86" s="321"/>
      <c r="T86" s="321"/>
      <c r="U86" s="351"/>
      <c r="V86" s="352"/>
      <c r="W86" s="319"/>
      <c r="X86" s="320"/>
      <c r="Y86" s="320"/>
      <c r="Z86" s="321"/>
      <c r="AA86" s="321"/>
      <c r="AB86" s="321"/>
      <c r="AC86" s="320"/>
      <c r="AD86" s="380"/>
      <c r="AE86" s="352"/>
      <c r="AF86" s="381">
        <f t="shared" si="12"/>
        <v>0</v>
      </c>
      <c r="AG86" s="381"/>
      <c r="AH86" s="408"/>
      <c r="AI86" s="409">
        <f t="shared" si="13"/>
        <v>0</v>
      </c>
      <c r="AJ86" s="410"/>
      <c r="AK86" s="411">
        <f t="shared" si="14"/>
        <v>0</v>
      </c>
    </row>
    <row r="87" spans="1:37" s="234" customFormat="1" ht="20.25">
      <c r="A87" s="316" t="s">
        <v>125</v>
      </c>
      <c r="B87" s="295"/>
      <c r="C87" s="295"/>
      <c r="D87" s="1077"/>
      <c r="E87" s="319"/>
      <c r="F87" s="320"/>
      <c r="G87" s="320"/>
      <c r="H87" s="321"/>
      <c r="I87" s="321"/>
      <c r="J87" s="320"/>
      <c r="K87" s="1090"/>
      <c r="L87" s="351"/>
      <c r="M87" s="352"/>
      <c r="N87" s="353"/>
      <c r="O87" s="321"/>
      <c r="P87" s="321"/>
      <c r="Q87" s="321"/>
      <c r="R87" s="321"/>
      <c r="S87" s="321"/>
      <c r="T87" s="321"/>
      <c r="U87" s="351"/>
      <c r="V87" s="352"/>
      <c r="W87" s="319"/>
      <c r="X87" s="320"/>
      <c r="Y87" s="320"/>
      <c r="Z87" s="321"/>
      <c r="AA87" s="321"/>
      <c r="AB87" s="321"/>
      <c r="AC87" s="320"/>
      <c r="AD87" s="380"/>
      <c r="AE87" s="352"/>
      <c r="AF87" s="381">
        <f t="shared" si="12"/>
        <v>0</v>
      </c>
      <c r="AG87" s="381"/>
      <c r="AH87" s="408"/>
      <c r="AI87" s="409">
        <f t="shared" si="13"/>
        <v>0</v>
      </c>
      <c r="AJ87" s="410"/>
      <c r="AK87" s="411">
        <f t="shared" si="14"/>
        <v>0</v>
      </c>
    </row>
    <row r="88" spans="1:37" s="234" customFormat="1" ht="20.25">
      <c r="A88" s="316" t="s">
        <v>125</v>
      </c>
      <c r="B88" s="295"/>
      <c r="C88" s="295"/>
      <c r="D88" s="1077"/>
      <c r="E88" s="319"/>
      <c r="F88" s="320"/>
      <c r="G88" s="320"/>
      <c r="H88" s="321"/>
      <c r="I88" s="321"/>
      <c r="J88" s="320"/>
      <c r="K88" s="1090"/>
      <c r="L88" s="351"/>
      <c r="M88" s="352"/>
      <c r="N88" s="353"/>
      <c r="O88" s="321"/>
      <c r="P88" s="321"/>
      <c r="Q88" s="321"/>
      <c r="R88" s="321"/>
      <c r="S88" s="321"/>
      <c r="T88" s="321"/>
      <c r="U88" s="351"/>
      <c r="V88" s="352"/>
      <c r="W88" s="319"/>
      <c r="X88" s="320"/>
      <c r="Y88" s="320"/>
      <c r="Z88" s="321"/>
      <c r="AA88" s="321"/>
      <c r="AB88" s="321"/>
      <c r="AC88" s="320"/>
      <c r="AD88" s="380"/>
      <c r="AE88" s="352"/>
      <c r="AF88" s="381">
        <f t="shared" si="12"/>
        <v>0</v>
      </c>
      <c r="AG88" s="381"/>
      <c r="AH88" s="408"/>
      <c r="AI88" s="409">
        <f t="shared" si="13"/>
        <v>0</v>
      </c>
      <c r="AJ88" s="410"/>
      <c r="AK88" s="411">
        <f t="shared" si="14"/>
        <v>0</v>
      </c>
    </row>
    <row r="89" spans="1:37" s="234" customFormat="1" ht="20.25">
      <c r="A89" s="316" t="s">
        <v>125</v>
      </c>
      <c r="B89" s="295"/>
      <c r="C89" s="295"/>
      <c r="D89" s="1077"/>
      <c r="E89" s="319"/>
      <c r="F89" s="320"/>
      <c r="G89" s="320"/>
      <c r="H89" s="321"/>
      <c r="I89" s="321"/>
      <c r="J89" s="320"/>
      <c r="K89" s="1090"/>
      <c r="L89" s="351"/>
      <c r="M89" s="352"/>
      <c r="N89" s="353"/>
      <c r="O89" s="321"/>
      <c r="P89" s="321"/>
      <c r="Q89" s="321"/>
      <c r="R89" s="321"/>
      <c r="S89" s="321"/>
      <c r="T89" s="321"/>
      <c r="U89" s="351"/>
      <c r="V89" s="352"/>
      <c r="W89" s="319"/>
      <c r="X89" s="320"/>
      <c r="Y89" s="320"/>
      <c r="Z89" s="321"/>
      <c r="AA89" s="321"/>
      <c r="AB89" s="321"/>
      <c r="AC89" s="320"/>
      <c r="AD89" s="380"/>
      <c r="AE89" s="352"/>
      <c r="AF89" s="381">
        <f t="shared" si="12"/>
        <v>0</v>
      </c>
      <c r="AG89" s="381"/>
      <c r="AH89" s="408"/>
      <c r="AI89" s="409">
        <f t="shared" si="13"/>
        <v>0</v>
      </c>
      <c r="AJ89" s="410"/>
      <c r="AK89" s="411">
        <f t="shared" si="14"/>
        <v>0</v>
      </c>
    </row>
    <row r="90" spans="1:37" s="234" customFormat="1" ht="20.25">
      <c r="A90" s="316" t="s">
        <v>125</v>
      </c>
      <c r="B90" s="295"/>
      <c r="C90" s="295"/>
      <c r="D90" s="1077"/>
      <c r="E90" s="319"/>
      <c r="F90" s="320"/>
      <c r="G90" s="320"/>
      <c r="H90" s="321"/>
      <c r="I90" s="321"/>
      <c r="J90" s="320"/>
      <c r="K90" s="1090"/>
      <c r="L90" s="351"/>
      <c r="M90" s="352"/>
      <c r="N90" s="353"/>
      <c r="O90" s="321"/>
      <c r="P90" s="321"/>
      <c r="Q90" s="321"/>
      <c r="R90" s="321"/>
      <c r="S90" s="321"/>
      <c r="T90" s="321"/>
      <c r="U90" s="351"/>
      <c r="V90" s="352"/>
      <c r="W90" s="319"/>
      <c r="X90" s="320"/>
      <c r="Y90" s="320"/>
      <c r="Z90" s="321"/>
      <c r="AA90" s="321"/>
      <c r="AB90" s="321"/>
      <c r="AC90" s="320"/>
      <c r="AD90" s="380"/>
      <c r="AE90" s="352"/>
      <c r="AF90" s="381">
        <f t="shared" si="12"/>
        <v>0</v>
      </c>
      <c r="AG90" s="381"/>
      <c r="AH90" s="408"/>
      <c r="AI90" s="409">
        <f t="shared" si="13"/>
        <v>0</v>
      </c>
      <c r="AJ90" s="410"/>
      <c r="AK90" s="411">
        <f t="shared" si="14"/>
        <v>0</v>
      </c>
    </row>
    <row r="91" spans="1:37" s="234" customFormat="1" ht="20.25">
      <c r="A91" s="316" t="s">
        <v>125</v>
      </c>
      <c r="B91" s="295"/>
      <c r="C91" s="295"/>
      <c r="D91" s="1077"/>
      <c r="E91" s="319"/>
      <c r="F91" s="320"/>
      <c r="G91" s="320"/>
      <c r="H91" s="321"/>
      <c r="I91" s="321"/>
      <c r="J91" s="320"/>
      <c r="K91" s="1090"/>
      <c r="L91" s="351"/>
      <c r="M91" s="352"/>
      <c r="N91" s="353"/>
      <c r="O91" s="321"/>
      <c r="P91" s="321"/>
      <c r="Q91" s="321"/>
      <c r="R91" s="321"/>
      <c r="S91" s="321"/>
      <c r="T91" s="321"/>
      <c r="U91" s="351"/>
      <c r="V91" s="352"/>
      <c r="W91" s="319"/>
      <c r="X91" s="320"/>
      <c r="Y91" s="320"/>
      <c r="Z91" s="321"/>
      <c r="AA91" s="321"/>
      <c r="AB91" s="321"/>
      <c r="AC91" s="320"/>
      <c r="AD91" s="380"/>
      <c r="AE91" s="352"/>
      <c r="AF91" s="381">
        <f t="shared" si="12"/>
        <v>0</v>
      </c>
      <c r="AG91" s="381"/>
      <c r="AH91" s="408"/>
      <c r="AI91" s="409">
        <f t="shared" si="13"/>
        <v>0</v>
      </c>
      <c r="AJ91" s="410"/>
      <c r="AK91" s="411">
        <f t="shared" si="14"/>
        <v>0</v>
      </c>
    </row>
    <row r="92" spans="1:37" s="234" customFormat="1" ht="20.25">
      <c r="A92" s="316" t="s">
        <v>125</v>
      </c>
      <c r="B92" s="295"/>
      <c r="C92" s="295"/>
      <c r="D92" s="1077"/>
      <c r="E92" s="319"/>
      <c r="F92" s="320"/>
      <c r="G92" s="320"/>
      <c r="H92" s="321"/>
      <c r="I92" s="321"/>
      <c r="J92" s="320"/>
      <c r="K92" s="842"/>
      <c r="L92" s="351"/>
      <c r="M92" s="352"/>
      <c r="N92" s="353"/>
      <c r="O92" s="321"/>
      <c r="P92" s="321"/>
      <c r="Q92" s="321"/>
      <c r="R92" s="321"/>
      <c r="S92" s="321"/>
      <c r="T92" s="321"/>
      <c r="U92" s="351"/>
      <c r="V92" s="352"/>
      <c r="W92" s="319"/>
      <c r="X92" s="320"/>
      <c r="Y92" s="320"/>
      <c r="Z92" s="321"/>
      <c r="AA92" s="321"/>
      <c r="AB92" s="321"/>
      <c r="AC92" s="320"/>
      <c r="AD92" s="380"/>
      <c r="AE92" s="352"/>
      <c r="AF92" s="381">
        <f t="shared" si="12"/>
        <v>0</v>
      </c>
      <c r="AG92" s="381"/>
      <c r="AH92" s="408"/>
      <c r="AI92" s="409">
        <f t="shared" si="13"/>
        <v>0</v>
      </c>
      <c r="AJ92" s="410"/>
      <c r="AK92" s="411">
        <f t="shared" si="14"/>
        <v>0</v>
      </c>
    </row>
    <row r="93" spans="1:37" s="234" customFormat="1" ht="20.25">
      <c r="A93" s="316" t="s">
        <v>125</v>
      </c>
      <c r="B93" s="295"/>
      <c r="C93" s="295"/>
      <c r="D93" s="1077"/>
      <c r="E93" s="319"/>
      <c r="F93" s="320"/>
      <c r="G93" s="320"/>
      <c r="H93" s="321"/>
      <c r="I93" s="321"/>
      <c r="J93" s="320"/>
      <c r="K93" s="842"/>
      <c r="L93" s="351"/>
      <c r="M93" s="352"/>
      <c r="N93" s="353"/>
      <c r="O93" s="321"/>
      <c r="P93" s="321"/>
      <c r="Q93" s="321"/>
      <c r="R93" s="321"/>
      <c r="S93" s="321"/>
      <c r="T93" s="321"/>
      <c r="U93" s="351"/>
      <c r="V93" s="352"/>
      <c r="W93" s="319"/>
      <c r="X93" s="320"/>
      <c r="Y93" s="320"/>
      <c r="Z93" s="321"/>
      <c r="AA93" s="321"/>
      <c r="AB93" s="321"/>
      <c r="AC93" s="320"/>
      <c r="AD93" s="380"/>
      <c r="AE93" s="352"/>
      <c r="AF93" s="381">
        <f t="shared" si="12"/>
        <v>0</v>
      </c>
      <c r="AG93" s="381"/>
      <c r="AH93" s="408"/>
      <c r="AI93" s="409">
        <f t="shared" si="13"/>
        <v>0</v>
      </c>
      <c r="AJ93" s="410"/>
      <c r="AK93" s="411">
        <f t="shared" si="14"/>
        <v>0</v>
      </c>
    </row>
    <row r="94" spans="1:37" s="234" customFormat="1" ht="20.25">
      <c r="A94" s="316" t="s">
        <v>125</v>
      </c>
      <c r="B94" s="295"/>
      <c r="C94" s="295"/>
      <c r="D94" s="1077"/>
      <c r="E94" s="319"/>
      <c r="F94" s="320"/>
      <c r="G94" s="320"/>
      <c r="H94" s="321"/>
      <c r="I94" s="321"/>
      <c r="J94" s="320"/>
      <c r="K94" s="842"/>
      <c r="L94" s="351"/>
      <c r="M94" s="352"/>
      <c r="N94" s="353"/>
      <c r="O94" s="321"/>
      <c r="P94" s="321"/>
      <c r="Q94" s="321"/>
      <c r="R94" s="321"/>
      <c r="S94" s="321"/>
      <c r="T94" s="321"/>
      <c r="U94" s="351"/>
      <c r="V94" s="352"/>
      <c r="W94" s="319"/>
      <c r="X94" s="320"/>
      <c r="Y94" s="320"/>
      <c r="Z94" s="321"/>
      <c r="AA94" s="321"/>
      <c r="AB94" s="321"/>
      <c r="AC94" s="320"/>
      <c r="AD94" s="380"/>
      <c r="AE94" s="352"/>
      <c r="AF94" s="381">
        <f t="shared" si="12"/>
        <v>0</v>
      </c>
      <c r="AG94" s="381"/>
      <c r="AH94" s="408"/>
      <c r="AI94" s="409">
        <f t="shared" si="13"/>
        <v>0</v>
      </c>
      <c r="AJ94" s="410"/>
      <c r="AK94" s="411">
        <f t="shared" si="14"/>
        <v>0</v>
      </c>
    </row>
    <row r="95" spans="1:37" s="234" customFormat="1" ht="20.25">
      <c r="A95" s="316" t="s">
        <v>125</v>
      </c>
      <c r="B95" s="295"/>
      <c r="C95" s="295"/>
      <c r="D95" s="1077"/>
      <c r="E95" s="319"/>
      <c r="F95" s="320"/>
      <c r="G95" s="320"/>
      <c r="H95" s="321"/>
      <c r="I95" s="321"/>
      <c r="J95" s="320"/>
      <c r="K95" s="842"/>
      <c r="L95" s="351"/>
      <c r="M95" s="352"/>
      <c r="N95" s="353"/>
      <c r="O95" s="321"/>
      <c r="P95" s="321"/>
      <c r="Q95" s="321"/>
      <c r="R95" s="321"/>
      <c r="S95" s="321"/>
      <c r="T95" s="321"/>
      <c r="U95" s="351"/>
      <c r="V95" s="352"/>
      <c r="W95" s="319"/>
      <c r="X95" s="320"/>
      <c r="Y95" s="320"/>
      <c r="Z95" s="321"/>
      <c r="AA95" s="321"/>
      <c r="AB95" s="321"/>
      <c r="AC95" s="320"/>
      <c r="AD95" s="380"/>
      <c r="AE95" s="352"/>
      <c r="AF95" s="381">
        <f t="shared" si="12"/>
        <v>0</v>
      </c>
      <c r="AG95" s="381"/>
      <c r="AH95" s="408"/>
      <c r="AI95" s="409">
        <f t="shared" si="13"/>
        <v>0</v>
      </c>
      <c r="AJ95" s="410"/>
      <c r="AK95" s="411">
        <f t="shared" si="14"/>
        <v>0</v>
      </c>
    </row>
    <row r="96" spans="1:37" s="234" customFormat="1" ht="20.25">
      <c r="A96" s="316" t="s">
        <v>125</v>
      </c>
      <c r="B96" s="295"/>
      <c r="C96" s="295"/>
      <c r="D96" s="1077"/>
      <c r="E96" s="319"/>
      <c r="F96" s="320"/>
      <c r="G96" s="320"/>
      <c r="H96" s="321"/>
      <c r="I96" s="321"/>
      <c r="J96" s="320"/>
      <c r="K96" s="842"/>
      <c r="L96" s="351"/>
      <c r="M96" s="352"/>
      <c r="N96" s="353"/>
      <c r="O96" s="321"/>
      <c r="P96" s="321"/>
      <c r="Q96" s="321"/>
      <c r="R96" s="321"/>
      <c r="S96" s="321"/>
      <c r="T96" s="321"/>
      <c r="U96" s="351"/>
      <c r="V96" s="352"/>
      <c r="W96" s="319"/>
      <c r="X96" s="320"/>
      <c r="Y96" s="320"/>
      <c r="Z96" s="321"/>
      <c r="AA96" s="321"/>
      <c r="AB96" s="321"/>
      <c r="AC96" s="320"/>
      <c r="AD96" s="380"/>
      <c r="AE96" s="352"/>
      <c r="AF96" s="381">
        <f t="shared" si="12"/>
        <v>0</v>
      </c>
      <c r="AG96" s="381"/>
      <c r="AH96" s="408"/>
      <c r="AI96" s="409">
        <f t="shared" si="13"/>
        <v>0</v>
      </c>
      <c r="AJ96" s="410"/>
      <c r="AK96" s="411">
        <f t="shared" si="14"/>
        <v>0</v>
      </c>
    </row>
    <row r="97" spans="1:40" s="234" customFormat="1" ht="20.25">
      <c r="A97" s="316" t="s">
        <v>125</v>
      </c>
      <c r="B97" s="295"/>
      <c r="C97" s="295"/>
      <c r="D97" s="1077"/>
      <c r="E97" s="319"/>
      <c r="F97" s="320"/>
      <c r="G97" s="320"/>
      <c r="H97" s="321"/>
      <c r="I97" s="321"/>
      <c r="J97" s="320"/>
      <c r="K97" s="842"/>
      <c r="L97" s="351"/>
      <c r="M97" s="352"/>
      <c r="N97" s="353"/>
      <c r="O97" s="321"/>
      <c r="P97" s="321"/>
      <c r="Q97" s="321"/>
      <c r="R97" s="321"/>
      <c r="S97" s="321"/>
      <c r="T97" s="321"/>
      <c r="U97" s="351"/>
      <c r="V97" s="352"/>
      <c r="W97" s="319"/>
      <c r="X97" s="320"/>
      <c r="Y97" s="320"/>
      <c r="Z97" s="321"/>
      <c r="AA97" s="321"/>
      <c r="AB97" s="321"/>
      <c r="AC97" s="320"/>
      <c r="AD97" s="380"/>
      <c r="AE97" s="352"/>
      <c r="AF97" s="381">
        <f t="shared" si="12"/>
        <v>0</v>
      </c>
      <c r="AG97" s="381"/>
      <c r="AH97" s="408"/>
      <c r="AI97" s="409">
        <f t="shared" si="13"/>
        <v>0</v>
      </c>
      <c r="AJ97" s="410"/>
      <c r="AK97" s="411">
        <f t="shared" si="14"/>
        <v>0</v>
      </c>
    </row>
    <row r="98" spans="1:40" s="234" customFormat="1" ht="20.25">
      <c r="A98" s="316" t="s">
        <v>125</v>
      </c>
      <c r="B98" s="295"/>
      <c r="C98" s="295"/>
      <c r="D98" s="1077"/>
      <c r="E98" s="319"/>
      <c r="F98" s="320"/>
      <c r="G98" s="320"/>
      <c r="H98" s="321"/>
      <c r="I98" s="321"/>
      <c r="J98" s="320"/>
      <c r="K98" s="842"/>
      <c r="L98" s="351"/>
      <c r="M98" s="352"/>
      <c r="N98" s="353"/>
      <c r="O98" s="321"/>
      <c r="P98" s="321"/>
      <c r="Q98" s="321"/>
      <c r="R98" s="321"/>
      <c r="S98" s="321"/>
      <c r="T98" s="321"/>
      <c r="U98" s="351"/>
      <c r="V98" s="352"/>
      <c r="W98" s="319"/>
      <c r="X98" s="320"/>
      <c r="Y98" s="320"/>
      <c r="Z98" s="321"/>
      <c r="AA98" s="321"/>
      <c r="AB98" s="321"/>
      <c r="AC98" s="320"/>
      <c r="AD98" s="380"/>
      <c r="AE98" s="352"/>
      <c r="AF98" s="381">
        <f t="shared" si="12"/>
        <v>0</v>
      </c>
      <c r="AG98" s="381"/>
      <c r="AH98" s="408"/>
      <c r="AI98" s="409">
        <f t="shared" si="13"/>
        <v>0</v>
      </c>
      <c r="AJ98" s="410"/>
      <c r="AK98" s="411">
        <f t="shared" si="14"/>
        <v>0</v>
      </c>
    </row>
    <row r="99" spans="1:40" s="234" customFormat="1" ht="20.25">
      <c r="A99" s="316" t="s">
        <v>125</v>
      </c>
      <c r="B99" s="295"/>
      <c r="C99" s="295"/>
      <c r="D99" s="1077"/>
      <c r="E99" s="319"/>
      <c r="F99" s="320"/>
      <c r="G99" s="320"/>
      <c r="H99" s="321"/>
      <c r="I99" s="321"/>
      <c r="J99" s="320"/>
      <c r="K99" s="842"/>
      <c r="L99" s="351"/>
      <c r="M99" s="352"/>
      <c r="N99" s="353"/>
      <c r="O99" s="321"/>
      <c r="P99" s="321"/>
      <c r="Q99" s="321"/>
      <c r="R99" s="321"/>
      <c r="S99" s="321"/>
      <c r="T99" s="321"/>
      <c r="U99" s="351"/>
      <c r="V99" s="352"/>
      <c r="W99" s="319"/>
      <c r="X99" s="320"/>
      <c r="Y99" s="320"/>
      <c r="Z99" s="321"/>
      <c r="AA99" s="321"/>
      <c r="AB99" s="321"/>
      <c r="AC99" s="320"/>
      <c r="AD99" s="380"/>
      <c r="AE99" s="352"/>
      <c r="AF99" s="381">
        <f t="shared" si="12"/>
        <v>0</v>
      </c>
      <c r="AG99" s="381"/>
      <c r="AH99" s="408"/>
      <c r="AI99" s="409">
        <f t="shared" si="13"/>
        <v>0</v>
      </c>
      <c r="AJ99" s="410"/>
      <c r="AK99" s="411">
        <f t="shared" si="14"/>
        <v>0</v>
      </c>
    </row>
    <row r="100" spans="1:40" s="234" customFormat="1" ht="20.25">
      <c r="A100" s="316" t="s">
        <v>125</v>
      </c>
      <c r="B100" s="295"/>
      <c r="C100" s="295"/>
      <c r="D100" s="1077"/>
      <c r="E100" s="319"/>
      <c r="F100" s="320"/>
      <c r="G100" s="320"/>
      <c r="H100" s="321"/>
      <c r="I100" s="321"/>
      <c r="J100" s="320"/>
      <c r="K100" s="842"/>
      <c r="L100" s="351"/>
      <c r="M100" s="352"/>
      <c r="N100" s="353"/>
      <c r="O100" s="321"/>
      <c r="P100" s="321"/>
      <c r="Q100" s="321"/>
      <c r="R100" s="321"/>
      <c r="S100" s="321"/>
      <c r="T100" s="321"/>
      <c r="U100" s="351"/>
      <c r="V100" s="352"/>
      <c r="W100" s="319"/>
      <c r="X100" s="320"/>
      <c r="Y100" s="320"/>
      <c r="Z100" s="321"/>
      <c r="AA100" s="321"/>
      <c r="AB100" s="321"/>
      <c r="AC100" s="320"/>
      <c r="AD100" s="380"/>
      <c r="AE100" s="352"/>
      <c r="AF100" s="381">
        <f t="shared" si="12"/>
        <v>0</v>
      </c>
      <c r="AG100" s="381"/>
      <c r="AH100" s="408"/>
      <c r="AI100" s="409">
        <f t="shared" si="13"/>
        <v>0</v>
      </c>
      <c r="AJ100" s="410"/>
      <c r="AK100" s="411">
        <f t="shared" si="14"/>
        <v>0</v>
      </c>
    </row>
    <row r="101" spans="1:40" s="234" customFormat="1" ht="20.25">
      <c r="A101" s="316" t="s">
        <v>125</v>
      </c>
      <c r="B101" s="295"/>
      <c r="C101" s="295"/>
      <c r="D101" s="1077"/>
      <c r="E101" s="319"/>
      <c r="F101" s="320"/>
      <c r="G101" s="320"/>
      <c r="H101" s="321"/>
      <c r="I101" s="321"/>
      <c r="J101" s="320"/>
      <c r="K101" s="842"/>
      <c r="L101" s="351"/>
      <c r="M101" s="352"/>
      <c r="N101" s="353"/>
      <c r="O101" s="321"/>
      <c r="P101" s="321"/>
      <c r="Q101" s="321"/>
      <c r="R101" s="321"/>
      <c r="S101" s="321"/>
      <c r="T101" s="321"/>
      <c r="U101" s="351"/>
      <c r="V101" s="352"/>
      <c r="W101" s="319"/>
      <c r="X101" s="320"/>
      <c r="Y101" s="320"/>
      <c r="Z101" s="321"/>
      <c r="AA101" s="321"/>
      <c r="AB101" s="321"/>
      <c r="AC101" s="320"/>
      <c r="AD101" s="380"/>
      <c r="AE101" s="352"/>
      <c r="AF101" s="381">
        <f t="shared" si="12"/>
        <v>0</v>
      </c>
      <c r="AG101" s="381"/>
      <c r="AH101" s="408"/>
      <c r="AI101" s="409">
        <f t="shared" si="13"/>
        <v>0</v>
      </c>
      <c r="AJ101" s="410"/>
      <c r="AK101" s="411">
        <f t="shared" si="14"/>
        <v>0</v>
      </c>
    </row>
    <row r="102" spans="1:40" s="234" customFormat="1" ht="21" thickBot="1">
      <c r="A102" s="316" t="s">
        <v>125</v>
      </c>
      <c r="B102" s="295"/>
      <c r="C102" s="295"/>
      <c r="D102" s="1077"/>
      <c r="E102" s="319"/>
      <c r="F102" s="320"/>
      <c r="G102" s="320"/>
      <c r="H102" s="321"/>
      <c r="I102" s="321"/>
      <c r="J102" s="320"/>
      <c r="K102" s="842"/>
      <c r="L102" s="351"/>
      <c r="M102" s="352"/>
      <c r="N102" s="353"/>
      <c r="O102" s="321"/>
      <c r="P102" s="321"/>
      <c r="Q102" s="321"/>
      <c r="R102" s="321"/>
      <c r="S102" s="321"/>
      <c r="T102" s="321"/>
      <c r="U102" s="351"/>
      <c r="V102" s="352"/>
      <c r="W102" s="319"/>
      <c r="X102" s="320"/>
      <c r="Y102" s="320"/>
      <c r="Z102" s="321"/>
      <c r="AA102" s="321"/>
      <c r="AB102" s="321"/>
      <c r="AC102" s="320"/>
      <c r="AD102" s="380"/>
      <c r="AE102" s="352"/>
      <c r="AF102" s="381">
        <f t="shared" si="12"/>
        <v>0</v>
      </c>
      <c r="AG102" s="381"/>
      <c r="AH102" s="408"/>
      <c r="AI102" s="409">
        <f t="shared" si="13"/>
        <v>0</v>
      </c>
      <c r="AJ102" s="410"/>
      <c r="AK102" s="411">
        <f t="shared" si="14"/>
        <v>0</v>
      </c>
    </row>
    <row r="103" spans="1:40" s="283" customFormat="1" ht="21" thickBot="1">
      <c r="A103" s="316" t="s">
        <v>125</v>
      </c>
      <c r="B103" s="295"/>
      <c r="C103" s="295"/>
      <c r="D103" s="1077"/>
      <c r="E103" s="319"/>
      <c r="F103" s="320"/>
      <c r="G103" s="320"/>
      <c r="H103" s="321"/>
      <c r="I103" s="321"/>
      <c r="J103" s="320"/>
      <c r="K103" s="842"/>
      <c r="L103" s="351"/>
      <c r="M103" s="352"/>
      <c r="N103" s="353"/>
      <c r="O103" s="321"/>
      <c r="P103" s="321"/>
      <c r="Q103" s="321"/>
      <c r="R103" s="321"/>
      <c r="S103" s="321"/>
      <c r="T103" s="321"/>
      <c r="U103" s="351"/>
      <c r="V103" s="352"/>
      <c r="W103" s="319"/>
      <c r="X103" s="320"/>
      <c r="Y103" s="320"/>
      <c r="Z103" s="321"/>
      <c r="AA103" s="321"/>
      <c r="AB103" s="321"/>
      <c r="AC103" s="320"/>
      <c r="AD103" s="380"/>
      <c r="AE103" s="352"/>
      <c r="AF103" s="381">
        <f t="shared" si="12"/>
        <v>0</v>
      </c>
      <c r="AG103" s="381"/>
      <c r="AH103" s="408"/>
      <c r="AI103" s="409">
        <f t="shared" si="13"/>
        <v>0</v>
      </c>
      <c r="AJ103" s="410"/>
      <c r="AK103" s="411">
        <f t="shared" si="14"/>
        <v>0</v>
      </c>
      <c r="AL103" s="414" t="s">
        <v>8</v>
      </c>
      <c r="AM103" s="397" t="s">
        <v>23</v>
      </c>
      <c r="AN103" s="415" t="s">
        <v>174</v>
      </c>
    </row>
    <row r="104" spans="1:40" s="284" customFormat="1" ht="21" thickBot="1">
      <c r="A104" s="316" t="s">
        <v>125</v>
      </c>
      <c r="B104" s="295"/>
      <c r="C104" s="295"/>
      <c r="D104" s="1077"/>
      <c r="E104" s="319"/>
      <c r="F104" s="320"/>
      <c r="G104" s="320"/>
      <c r="H104" s="321"/>
      <c r="I104" s="321"/>
      <c r="J104" s="320"/>
      <c r="K104" s="842"/>
      <c r="L104" s="351"/>
      <c r="M104" s="352"/>
      <c r="N104" s="353"/>
      <c r="O104" s="321"/>
      <c r="P104" s="321"/>
      <c r="Q104" s="321"/>
      <c r="R104" s="321"/>
      <c r="S104" s="321"/>
      <c r="T104" s="321"/>
      <c r="U104" s="351"/>
      <c r="V104" s="352"/>
      <c r="W104" s="319"/>
      <c r="X104" s="320"/>
      <c r="Y104" s="320"/>
      <c r="Z104" s="321"/>
      <c r="AA104" s="321"/>
      <c r="AB104" s="321"/>
      <c r="AC104" s="320"/>
      <c r="AD104" s="380"/>
      <c r="AE104" s="352"/>
      <c r="AF104" s="381">
        <f t="shared" si="12"/>
        <v>0</v>
      </c>
      <c r="AG104" s="381"/>
      <c r="AH104" s="408"/>
      <c r="AI104" s="409">
        <f t="shared" si="13"/>
        <v>0</v>
      </c>
      <c r="AJ104" s="410"/>
      <c r="AK104" s="411">
        <f t="shared" si="14"/>
        <v>0</v>
      </c>
      <c r="AL104" s="399">
        <f>'BIG CHAIR'!CL146</f>
        <v>0</v>
      </c>
      <c r="AM104" s="400">
        <f>'Tea Table'!X202</f>
        <v>0</v>
      </c>
      <c r="AN104" s="401">
        <f>AI107+AL104+AM104</f>
        <v>3779</v>
      </c>
    </row>
    <row r="105" spans="1:40" ht="20.25">
      <c r="A105" s="316" t="s">
        <v>125</v>
      </c>
      <c r="B105" s="295"/>
      <c r="C105" s="295"/>
      <c r="D105" s="1077"/>
      <c r="E105" s="319"/>
      <c r="F105" s="320"/>
      <c r="G105" s="320"/>
      <c r="H105" s="321"/>
      <c r="I105" s="321"/>
      <c r="J105" s="320"/>
      <c r="K105" s="842"/>
      <c r="L105" s="351"/>
      <c r="M105" s="352"/>
      <c r="N105" s="353"/>
      <c r="O105" s="321"/>
      <c r="P105" s="321"/>
      <c r="Q105" s="321"/>
      <c r="R105" s="321"/>
      <c r="S105" s="321"/>
      <c r="T105" s="321"/>
      <c r="U105" s="351"/>
      <c r="V105" s="352"/>
      <c r="W105" s="319"/>
      <c r="X105" s="320"/>
      <c r="Y105" s="320"/>
      <c r="Z105" s="321"/>
      <c r="AA105" s="321"/>
      <c r="AB105" s="321"/>
      <c r="AC105" s="320"/>
      <c r="AD105" s="380"/>
      <c r="AE105" s="352"/>
      <c r="AF105" s="381">
        <f t="shared" si="12"/>
        <v>0</v>
      </c>
      <c r="AG105" s="381"/>
      <c r="AH105" s="408"/>
      <c r="AI105" s="409">
        <f t="shared" si="13"/>
        <v>0</v>
      </c>
      <c r="AJ105" s="410"/>
      <c r="AK105" s="411">
        <f t="shared" si="14"/>
        <v>0</v>
      </c>
      <c r="AL105" s="282"/>
      <c r="AM105" s="282"/>
      <c r="AN105" s="282"/>
    </row>
    <row r="106" spans="1:40" ht="21" thickBot="1">
      <c r="A106" s="322"/>
      <c r="B106" s="323"/>
      <c r="C106" s="323"/>
      <c r="D106" s="1078"/>
      <c r="E106" s="325"/>
      <c r="F106" s="297"/>
      <c r="G106" s="297"/>
      <c r="H106" s="298"/>
      <c r="I106" s="298"/>
      <c r="J106" s="297"/>
      <c r="K106" s="1086"/>
      <c r="L106" s="367"/>
      <c r="M106" s="355"/>
      <c r="N106" s="343"/>
      <c r="O106" s="298"/>
      <c r="P106" s="298"/>
      <c r="Q106" s="298"/>
      <c r="R106" s="298"/>
      <c r="S106" s="298"/>
      <c r="T106" s="298"/>
      <c r="U106" s="367"/>
      <c r="V106" s="355"/>
      <c r="W106" s="325"/>
      <c r="X106" s="297"/>
      <c r="Y106" s="297"/>
      <c r="Z106" s="298"/>
      <c r="AA106" s="298"/>
      <c r="AB106" s="298"/>
      <c r="AC106" s="297"/>
      <c r="AD106" s="375"/>
      <c r="AE106" s="355"/>
      <c r="AF106" s="376">
        <f t="shared" si="12"/>
        <v>0</v>
      </c>
      <c r="AG106" s="377"/>
      <c r="AH106" s="390"/>
      <c r="AI106" s="391">
        <f t="shared" si="13"/>
        <v>0</v>
      </c>
      <c r="AJ106" s="412"/>
      <c r="AK106" s="413">
        <f t="shared" si="14"/>
        <v>0</v>
      </c>
      <c r="AL106" s="234"/>
      <c r="AM106" s="234"/>
      <c r="AN106" s="234"/>
    </row>
    <row r="107" spans="1:40" ht="19.5" thickBot="1">
      <c r="A107" s="326" t="s">
        <v>126</v>
      </c>
      <c r="B107" s="327"/>
      <c r="C107" s="327"/>
      <c r="D107" s="328"/>
      <c r="E107" s="329">
        <f t="shared" ref="E107:L107" si="15">SUM(E74:E106)</f>
        <v>0</v>
      </c>
      <c r="F107" s="330">
        <f t="shared" si="15"/>
        <v>0</v>
      </c>
      <c r="G107" s="330">
        <f t="shared" si="15"/>
        <v>0</v>
      </c>
      <c r="H107" s="330">
        <f t="shared" si="15"/>
        <v>0</v>
      </c>
      <c r="I107" s="330">
        <f t="shared" si="15"/>
        <v>0</v>
      </c>
      <c r="J107" s="330">
        <f t="shared" si="15"/>
        <v>0</v>
      </c>
      <c r="K107" s="330">
        <f t="shared" si="15"/>
        <v>0</v>
      </c>
      <c r="L107" s="356">
        <f t="shared" si="15"/>
        <v>0</v>
      </c>
      <c r="M107" s="357"/>
      <c r="N107" s="358">
        <f t="shared" ref="N107:U107" si="16">SUM(N74:N106)</f>
        <v>0</v>
      </c>
      <c r="O107" s="359">
        <f t="shared" si="16"/>
        <v>0</v>
      </c>
      <c r="P107" s="359">
        <f t="shared" si="16"/>
        <v>0</v>
      </c>
      <c r="Q107" s="359">
        <f t="shared" si="16"/>
        <v>0</v>
      </c>
      <c r="R107" s="359">
        <f t="shared" si="16"/>
        <v>0</v>
      </c>
      <c r="S107" s="359">
        <f t="shared" si="16"/>
        <v>0</v>
      </c>
      <c r="T107" s="359">
        <f t="shared" si="16"/>
        <v>0</v>
      </c>
      <c r="U107" s="369">
        <f t="shared" si="16"/>
        <v>0</v>
      </c>
      <c r="V107" s="357"/>
      <c r="W107" s="358">
        <f>SUM(W74:W106)</f>
        <v>1660</v>
      </c>
      <c r="X107" s="359">
        <f>SUM(X74:X106)</f>
        <v>0</v>
      </c>
      <c r="Y107" s="359">
        <f t="shared" ref="Y107:AD107" si="17">SUM(Y74:Y106)</f>
        <v>0</v>
      </c>
      <c r="Z107" s="359">
        <f t="shared" si="17"/>
        <v>2100</v>
      </c>
      <c r="AA107" s="359">
        <f t="shared" si="17"/>
        <v>0</v>
      </c>
      <c r="AB107" s="359">
        <f t="shared" si="17"/>
        <v>0</v>
      </c>
      <c r="AC107" s="359">
        <f t="shared" si="17"/>
        <v>0</v>
      </c>
      <c r="AD107" s="369">
        <f t="shared" si="17"/>
        <v>0</v>
      </c>
      <c r="AE107" s="357"/>
      <c r="AF107" s="382">
        <f t="shared" ref="AF107:AK107" si="18">SUM(AF74:AF106)</f>
        <v>3760</v>
      </c>
      <c r="AG107" s="382">
        <f t="shared" si="18"/>
        <v>19</v>
      </c>
      <c r="AH107" s="416">
        <f t="shared" si="18"/>
        <v>0</v>
      </c>
      <c r="AI107" s="417">
        <f t="shared" si="18"/>
        <v>3779</v>
      </c>
      <c r="AJ107" s="382">
        <f t="shared" si="18"/>
        <v>131</v>
      </c>
      <c r="AK107" s="418">
        <f t="shared" si="18"/>
        <v>3910</v>
      </c>
      <c r="AL107" s="234"/>
      <c r="AM107" s="234"/>
      <c r="AN107" s="234"/>
    </row>
    <row r="108" spans="1:40" ht="24" thickBot="1">
      <c r="A108" s="286" t="s">
        <v>127</v>
      </c>
      <c r="B108" s="287" t="s">
        <v>68</v>
      </c>
      <c r="C108" s="287" t="s">
        <v>69</v>
      </c>
      <c r="D108" s="3550" t="s">
        <v>70</v>
      </c>
      <c r="E108" s="743" t="s">
        <v>96</v>
      </c>
      <c r="F108" s="744" t="s">
        <v>124</v>
      </c>
      <c r="G108" s="744" t="s">
        <v>228</v>
      </c>
      <c r="H108" s="744" t="s">
        <v>149</v>
      </c>
      <c r="I108" s="744" t="s">
        <v>470</v>
      </c>
      <c r="J108" s="744" t="s">
        <v>92</v>
      </c>
      <c r="K108" s="50" t="s">
        <v>479</v>
      </c>
      <c r="L108" s="783" t="s">
        <v>123</v>
      </c>
      <c r="M108" s="1089"/>
      <c r="N108" s="80" t="s">
        <v>71</v>
      </c>
      <c r="O108" s="49" t="s">
        <v>53</v>
      </c>
      <c r="P108" s="49" t="s">
        <v>118</v>
      </c>
      <c r="Q108" s="49" t="s">
        <v>74</v>
      </c>
      <c r="R108" s="49" t="s">
        <v>75</v>
      </c>
      <c r="S108" s="49" t="s">
        <v>94</v>
      </c>
      <c r="T108" s="126" t="s">
        <v>77</v>
      </c>
      <c r="U108" s="171" t="s">
        <v>101</v>
      </c>
      <c r="V108" s="79"/>
      <c r="W108" s="764" t="s">
        <v>482</v>
      </c>
      <c r="X108" s="765" t="s">
        <v>476</v>
      </c>
      <c r="Y108" s="765" t="e">
        <f>#REF!</f>
        <v>#REF!</v>
      </c>
      <c r="Z108" s="49" t="s">
        <v>575</v>
      </c>
      <c r="AA108" s="744" t="s">
        <v>75</v>
      </c>
      <c r="AB108" s="744" t="s">
        <v>53</v>
      </c>
      <c r="AC108" s="126" t="s">
        <v>230</v>
      </c>
      <c r="AD108" s="372" t="s">
        <v>380</v>
      </c>
      <c r="AE108" s="370"/>
      <c r="AF108" s="371" t="s">
        <v>172</v>
      </c>
      <c r="AG108" s="372" t="s">
        <v>80</v>
      </c>
      <c r="AH108" s="385"/>
      <c r="AI108" s="386" t="s">
        <v>106</v>
      </c>
      <c r="AJ108" s="385" t="s">
        <v>173</v>
      </c>
      <c r="AK108" s="371" t="s">
        <v>108</v>
      </c>
      <c r="AL108" s="234"/>
      <c r="AM108" s="234"/>
      <c r="AN108" s="234"/>
    </row>
    <row r="109" spans="1:40" ht="20.25">
      <c r="A109" s="316" t="s">
        <v>128</v>
      </c>
      <c r="B109" s="822" t="s">
        <v>471</v>
      </c>
      <c r="C109" s="295"/>
      <c r="D109" s="1077"/>
      <c r="E109" s="319"/>
      <c r="F109" s="320"/>
      <c r="G109" s="320"/>
      <c r="H109" s="321"/>
      <c r="I109" s="321"/>
      <c r="J109" s="320"/>
      <c r="K109" s="320"/>
      <c r="L109" s="363"/>
      <c r="M109" s="352"/>
      <c r="N109" s="353"/>
      <c r="O109" s="321"/>
      <c r="P109" s="321"/>
      <c r="Q109" s="321"/>
      <c r="R109" s="321"/>
      <c r="S109" s="321"/>
      <c r="T109" s="321"/>
      <c r="U109" s="351"/>
      <c r="V109" s="352"/>
      <c r="W109" s="319"/>
      <c r="X109" s="320"/>
      <c r="Y109" s="320"/>
      <c r="Z109" s="321"/>
      <c r="AA109" s="321"/>
      <c r="AB109" s="321"/>
      <c r="AC109" s="320"/>
      <c r="AD109" s="380"/>
      <c r="AE109" s="352"/>
      <c r="AF109" s="381">
        <f>SUM(E109:AD109)</f>
        <v>0</v>
      </c>
      <c r="AG109" s="381"/>
      <c r="AH109" s="408"/>
      <c r="AI109" s="409">
        <f>AF109+AG109</f>
        <v>0</v>
      </c>
      <c r="AJ109" s="410"/>
      <c r="AK109" s="411">
        <f>AI109+AJ109</f>
        <v>0</v>
      </c>
      <c r="AL109" s="234"/>
      <c r="AM109" s="234"/>
      <c r="AN109" s="234"/>
    </row>
    <row r="110" spans="1:40" ht="20.25">
      <c r="A110" s="316" t="s">
        <v>128</v>
      </c>
      <c r="B110" s="822"/>
      <c r="C110" s="295"/>
      <c r="D110" s="1077"/>
      <c r="E110" s="319"/>
      <c r="F110" s="320"/>
      <c r="G110" s="320"/>
      <c r="H110" s="321"/>
      <c r="I110" s="321"/>
      <c r="J110" s="320"/>
      <c r="K110" s="320"/>
      <c r="L110" s="363"/>
      <c r="M110" s="352"/>
      <c r="N110" s="353"/>
      <c r="O110" s="321"/>
      <c r="P110" s="321"/>
      <c r="Q110" s="321"/>
      <c r="R110" s="321"/>
      <c r="S110" s="321"/>
      <c r="T110" s="321"/>
      <c r="U110" s="351"/>
      <c r="V110" s="352"/>
      <c r="W110" s="319"/>
      <c r="X110" s="320"/>
      <c r="Y110" s="320"/>
      <c r="Z110" s="321"/>
      <c r="AA110" s="321"/>
      <c r="AB110" s="321"/>
      <c r="AC110" s="320"/>
      <c r="AD110" s="380"/>
      <c r="AE110" s="352"/>
      <c r="AF110" s="381">
        <f>SUM(E110:AD110)</f>
        <v>0</v>
      </c>
      <c r="AG110" s="381"/>
      <c r="AH110" s="408"/>
      <c r="AI110" s="409">
        <f>AF110+AG110</f>
        <v>0</v>
      </c>
      <c r="AJ110" s="410"/>
      <c r="AK110" s="411">
        <f>AI110+AJ110</f>
        <v>0</v>
      </c>
      <c r="AL110" s="234"/>
      <c r="AM110" s="234"/>
      <c r="AN110" s="234"/>
    </row>
    <row r="111" spans="1:40" ht="20.25">
      <c r="A111" s="316" t="s">
        <v>128</v>
      </c>
      <c r="B111" s="822"/>
      <c r="C111" s="295"/>
      <c r="D111" s="1077"/>
      <c r="E111" s="319"/>
      <c r="F111" s="320"/>
      <c r="G111" s="320"/>
      <c r="H111" s="321"/>
      <c r="I111" s="321"/>
      <c r="J111" s="320"/>
      <c r="K111" s="320"/>
      <c r="L111" s="363"/>
      <c r="M111" s="352"/>
      <c r="N111" s="353"/>
      <c r="O111" s="321"/>
      <c r="P111" s="321"/>
      <c r="Q111" s="321"/>
      <c r="R111" s="321"/>
      <c r="S111" s="321"/>
      <c r="T111" s="321"/>
      <c r="U111" s="351"/>
      <c r="V111" s="352"/>
      <c r="W111" s="319"/>
      <c r="X111" s="320"/>
      <c r="Y111" s="320"/>
      <c r="Z111" s="321"/>
      <c r="AA111" s="321"/>
      <c r="AB111" s="321"/>
      <c r="AC111" s="320"/>
      <c r="AD111" s="380"/>
      <c r="AE111" s="352"/>
      <c r="AF111" s="381">
        <f>SUM(E111:AD111)</f>
        <v>0</v>
      </c>
      <c r="AG111" s="381"/>
      <c r="AH111" s="408"/>
      <c r="AI111" s="409">
        <f>AF111+AG111</f>
        <v>0</v>
      </c>
      <c r="AJ111" s="410"/>
      <c r="AK111" s="411">
        <f>AI111+AJ111</f>
        <v>0</v>
      </c>
      <c r="AL111" s="234"/>
      <c r="AM111" s="234"/>
      <c r="AN111" s="234"/>
    </row>
    <row r="112" spans="1:40" ht="20.25">
      <c r="A112" s="316" t="s">
        <v>128</v>
      </c>
      <c r="B112" s="822"/>
      <c r="C112" s="295"/>
      <c r="D112" s="1077"/>
      <c r="E112" s="319"/>
      <c r="F112" s="320"/>
      <c r="G112" s="320"/>
      <c r="H112" s="321"/>
      <c r="I112" s="321"/>
      <c r="J112" s="320"/>
      <c r="K112" s="1090"/>
      <c r="L112" s="363"/>
      <c r="M112" s="352"/>
      <c r="N112" s="353"/>
      <c r="O112" s="321"/>
      <c r="P112" s="321"/>
      <c r="Q112" s="321"/>
      <c r="R112" s="321"/>
      <c r="S112" s="321"/>
      <c r="T112" s="321"/>
      <c r="U112" s="351"/>
      <c r="V112" s="352"/>
      <c r="W112" s="319"/>
      <c r="X112" s="320"/>
      <c r="Y112" s="320"/>
      <c r="Z112" s="321"/>
      <c r="AA112" s="321"/>
      <c r="AB112" s="321"/>
      <c r="AC112" s="320"/>
      <c r="AD112" s="380"/>
      <c r="AE112" s="352"/>
      <c r="AF112" s="381">
        <f t="shared" ref="AF112:AF139" si="19">SUM(E112:AD112)</f>
        <v>0</v>
      </c>
      <c r="AG112" s="381"/>
      <c r="AH112" s="408"/>
      <c r="AI112" s="409">
        <f t="shared" ref="AI112:AI139" si="20">AF112+AG112</f>
        <v>0</v>
      </c>
      <c r="AJ112" s="410"/>
      <c r="AK112" s="411">
        <f t="shared" ref="AK112:AK139" si="21">AI112+AJ112</f>
        <v>0</v>
      </c>
      <c r="AL112" s="234"/>
      <c r="AM112" s="234"/>
      <c r="AN112" s="234"/>
    </row>
    <row r="113" spans="1:40" ht="20.25">
      <c r="A113" s="316" t="s">
        <v>128</v>
      </c>
      <c r="B113" s="710"/>
      <c r="C113" s="295"/>
      <c r="D113" s="1077"/>
      <c r="E113" s="319"/>
      <c r="F113" s="320"/>
      <c r="G113" s="320"/>
      <c r="H113" s="321"/>
      <c r="I113" s="321"/>
      <c r="J113" s="320"/>
      <c r="K113" s="1090"/>
      <c r="L113" s="351"/>
      <c r="M113" s="352"/>
      <c r="N113" s="353"/>
      <c r="O113" s="321"/>
      <c r="P113" s="321"/>
      <c r="Q113" s="321"/>
      <c r="R113" s="321"/>
      <c r="S113" s="321"/>
      <c r="T113" s="321"/>
      <c r="U113" s="351"/>
      <c r="V113" s="352"/>
      <c r="W113" s="319"/>
      <c r="X113" s="320"/>
      <c r="Y113" s="320"/>
      <c r="Z113" s="321"/>
      <c r="AA113" s="321"/>
      <c r="AB113" s="321"/>
      <c r="AC113" s="320"/>
      <c r="AD113" s="380"/>
      <c r="AE113" s="352"/>
      <c r="AF113" s="381">
        <f t="shared" si="19"/>
        <v>0</v>
      </c>
      <c r="AG113" s="381"/>
      <c r="AH113" s="408"/>
      <c r="AI113" s="409">
        <f t="shared" si="20"/>
        <v>0</v>
      </c>
      <c r="AJ113" s="410"/>
      <c r="AK113" s="411">
        <f t="shared" si="21"/>
        <v>0</v>
      </c>
      <c r="AL113" s="234"/>
      <c r="AM113" s="234"/>
      <c r="AN113" s="234"/>
    </row>
    <row r="114" spans="1:40" ht="20.25">
      <c r="A114" s="316" t="s">
        <v>128</v>
      </c>
      <c r="B114" s="710"/>
      <c r="C114" s="295"/>
      <c r="D114" s="1077"/>
      <c r="E114" s="319"/>
      <c r="F114" s="320"/>
      <c r="G114" s="320"/>
      <c r="H114" s="321"/>
      <c r="I114" s="321"/>
      <c r="J114" s="320"/>
      <c r="K114" s="1090"/>
      <c r="L114" s="351"/>
      <c r="M114" s="352"/>
      <c r="N114" s="353"/>
      <c r="O114" s="321"/>
      <c r="P114" s="321"/>
      <c r="Q114" s="321"/>
      <c r="R114" s="321"/>
      <c r="S114" s="321"/>
      <c r="T114" s="321"/>
      <c r="U114" s="351"/>
      <c r="V114" s="352"/>
      <c r="W114" s="319"/>
      <c r="X114" s="320"/>
      <c r="Y114" s="320"/>
      <c r="Z114" s="321"/>
      <c r="AA114" s="321"/>
      <c r="AB114" s="321"/>
      <c r="AC114" s="320"/>
      <c r="AD114" s="380"/>
      <c r="AE114" s="352"/>
      <c r="AF114" s="381">
        <f t="shared" si="19"/>
        <v>0</v>
      </c>
      <c r="AG114" s="381"/>
      <c r="AH114" s="408"/>
      <c r="AI114" s="409">
        <f t="shared" si="20"/>
        <v>0</v>
      </c>
      <c r="AJ114" s="410"/>
      <c r="AK114" s="411">
        <f t="shared" si="21"/>
        <v>0</v>
      </c>
      <c r="AL114" s="234"/>
      <c r="AM114" s="234"/>
      <c r="AN114" s="234"/>
    </row>
    <row r="115" spans="1:40" ht="20.25">
      <c r="A115" s="316" t="s">
        <v>128</v>
      </c>
      <c r="B115" s="710"/>
      <c r="C115" s="295"/>
      <c r="D115" s="1077"/>
      <c r="E115" s="319"/>
      <c r="F115" s="320"/>
      <c r="G115" s="320"/>
      <c r="H115" s="321"/>
      <c r="I115" s="321"/>
      <c r="J115" s="320"/>
      <c r="K115" s="1090"/>
      <c r="L115" s="351"/>
      <c r="M115" s="352"/>
      <c r="N115" s="353"/>
      <c r="O115" s="321"/>
      <c r="P115" s="321"/>
      <c r="Q115" s="321"/>
      <c r="R115" s="321"/>
      <c r="S115" s="321"/>
      <c r="T115" s="321"/>
      <c r="U115" s="351"/>
      <c r="V115" s="352"/>
      <c r="W115" s="319"/>
      <c r="X115" s="320"/>
      <c r="Y115" s="320"/>
      <c r="Z115" s="321"/>
      <c r="AA115" s="321"/>
      <c r="AB115" s="321"/>
      <c r="AC115" s="320"/>
      <c r="AD115" s="380"/>
      <c r="AE115" s="352"/>
      <c r="AF115" s="381">
        <f t="shared" si="19"/>
        <v>0</v>
      </c>
      <c r="AG115" s="381"/>
      <c r="AH115" s="408"/>
      <c r="AI115" s="409">
        <f t="shared" si="20"/>
        <v>0</v>
      </c>
      <c r="AJ115" s="410"/>
      <c r="AK115" s="411">
        <f t="shared" si="21"/>
        <v>0</v>
      </c>
      <c r="AL115" s="234"/>
      <c r="AM115" s="234"/>
      <c r="AN115" s="234"/>
    </row>
    <row r="116" spans="1:40" ht="20.25">
      <c r="A116" s="316" t="s">
        <v>128</v>
      </c>
      <c r="B116" s="710"/>
      <c r="C116" s="295"/>
      <c r="D116" s="1077"/>
      <c r="E116" s="319"/>
      <c r="F116" s="320"/>
      <c r="G116" s="320"/>
      <c r="H116" s="321"/>
      <c r="I116" s="321"/>
      <c r="J116" s="320"/>
      <c r="K116" s="1090"/>
      <c r="L116" s="351"/>
      <c r="M116" s="352"/>
      <c r="N116" s="353"/>
      <c r="O116" s="321"/>
      <c r="P116" s="321"/>
      <c r="Q116" s="321"/>
      <c r="R116" s="321"/>
      <c r="S116" s="321"/>
      <c r="T116" s="321"/>
      <c r="U116" s="351"/>
      <c r="V116" s="352"/>
      <c r="W116" s="319"/>
      <c r="X116" s="320"/>
      <c r="Y116" s="320"/>
      <c r="Z116" s="321"/>
      <c r="AA116" s="321"/>
      <c r="AB116" s="321"/>
      <c r="AC116" s="320"/>
      <c r="AD116" s="380"/>
      <c r="AE116" s="352"/>
      <c r="AF116" s="381">
        <f t="shared" si="19"/>
        <v>0</v>
      </c>
      <c r="AG116" s="381"/>
      <c r="AH116" s="408"/>
      <c r="AI116" s="409">
        <f t="shared" si="20"/>
        <v>0</v>
      </c>
      <c r="AJ116" s="410"/>
      <c r="AK116" s="411">
        <f t="shared" si="21"/>
        <v>0</v>
      </c>
      <c r="AL116" s="234"/>
      <c r="AM116" s="234"/>
      <c r="AN116" s="234"/>
    </row>
    <row r="117" spans="1:40" ht="20.25">
      <c r="A117" s="316" t="s">
        <v>128</v>
      </c>
      <c r="B117" s="710"/>
      <c r="C117" s="295"/>
      <c r="D117" s="1077"/>
      <c r="E117" s="319"/>
      <c r="F117" s="320"/>
      <c r="G117" s="320"/>
      <c r="H117" s="321"/>
      <c r="I117" s="321"/>
      <c r="J117" s="320"/>
      <c r="K117" s="1090"/>
      <c r="L117" s="351"/>
      <c r="M117" s="352"/>
      <c r="N117" s="353"/>
      <c r="O117" s="321"/>
      <c r="P117" s="321"/>
      <c r="Q117" s="321"/>
      <c r="R117" s="321"/>
      <c r="S117" s="321"/>
      <c r="T117" s="321"/>
      <c r="U117" s="351"/>
      <c r="V117" s="352"/>
      <c r="W117" s="319"/>
      <c r="X117" s="320"/>
      <c r="Y117" s="320"/>
      <c r="Z117" s="321"/>
      <c r="AA117" s="321"/>
      <c r="AB117" s="321"/>
      <c r="AC117" s="320"/>
      <c r="AD117" s="380"/>
      <c r="AE117" s="352"/>
      <c r="AF117" s="381">
        <f t="shared" si="19"/>
        <v>0</v>
      </c>
      <c r="AG117" s="381"/>
      <c r="AH117" s="408"/>
      <c r="AI117" s="409">
        <f t="shared" si="20"/>
        <v>0</v>
      </c>
      <c r="AJ117" s="410"/>
      <c r="AK117" s="411">
        <f t="shared" si="21"/>
        <v>0</v>
      </c>
      <c r="AL117" s="234"/>
      <c r="AM117" s="234"/>
      <c r="AN117" s="234"/>
    </row>
    <row r="118" spans="1:40" ht="20.25">
      <c r="A118" s="316" t="s">
        <v>128</v>
      </c>
      <c r="B118" s="710"/>
      <c r="C118" s="295"/>
      <c r="D118" s="1077"/>
      <c r="E118" s="319"/>
      <c r="F118" s="320"/>
      <c r="G118" s="320"/>
      <c r="H118" s="321"/>
      <c r="I118" s="321"/>
      <c r="J118" s="320"/>
      <c r="K118" s="1090"/>
      <c r="L118" s="351"/>
      <c r="M118" s="352"/>
      <c r="N118" s="353"/>
      <c r="O118" s="321"/>
      <c r="P118" s="321"/>
      <c r="Q118" s="321"/>
      <c r="R118" s="321"/>
      <c r="S118" s="321"/>
      <c r="T118" s="321"/>
      <c r="U118" s="351"/>
      <c r="V118" s="352"/>
      <c r="W118" s="319"/>
      <c r="X118" s="320"/>
      <c r="Y118" s="320"/>
      <c r="Z118" s="321"/>
      <c r="AA118" s="321"/>
      <c r="AB118" s="321"/>
      <c r="AC118" s="320"/>
      <c r="AD118" s="380"/>
      <c r="AE118" s="352"/>
      <c r="AF118" s="381">
        <f t="shared" si="19"/>
        <v>0</v>
      </c>
      <c r="AG118" s="381"/>
      <c r="AH118" s="408"/>
      <c r="AI118" s="409">
        <f t="shared" si="20"/>
        <v>0</v>
      </c>
      <c r="AJ118" s="410"/>
      <c r="AK118" s="411">
        <f t="shared" si="21"/>
        <v>0</v>
      </c>
      <c r="AL118" s="234"/>
      <c r="AM118" s="234"/>
      <c r="AN118" s="234"/>
    </row>
    <row r="119" spans="1:40" ht="20.25">
      <c r="A119" s="316" t="s">
        <v>128</v>
      </c>
      <c r="B119" s="822"/>
      <c r="C119" s="295"/>
      <c r="D119" s="1077"/>
      <c r="E119" s="319"/>
      <c r="F119" s="320"/>
      <c r="G119" s="320"/>
      <c r="H119" s="321"/>
      <c r="I119" s="321"/>
      <c r="J119" s="320"/>
      <c r="K119" s="1090"/>
      <c r="L119" s="351"/>
      <c r="M119" s="352"/>
      <c r="N119" s="353"/>
      <c r="O119" s="321"/>
      <c r="P119" s="321"/>
      <c r="Q119" s="321"/>
      <c r="R119" s="321"/>
      <c r="S119" s="321"/>
      <c r="T119" s="321"/>
      <c r="U119" s="351"/>
      <c r="V119" s="352"/>
      <c r="W119" s="319"/>
      <c r="X119" s="320"/>
      <c r="Y119" s="320"/>
      <c r="Z119" s="321"/>
      <c r="AA119" s="321"/>
      <c r="AB119" s="321"/>
      <c r="AC119" s="320"/>
      <c r="AD119" s="380"/>
      <c r="AE119" s="352"/>
      <c r="AF119" s="381">
        <f t="shared" si="19"/>
        <v>0</v>
      </c>
      <c r="AG119" s="381"/>
      <c r="AH119" s="408"/>
      <c r="AI119" s="409">
        <f t="shared" si="20"/>
        <v>0</v>
      </c>
      <c r="AJ119" s="410"/>
      <c r="AK119" s="411">
        <f t="shared" si="21"/>
        <v>0</v>
      </c>
      <c r="AL119" s="234"/>
      <c r="AM119" s="234"/>
      <c r="AN119" s="234"/>
    </row>
    <row r="120" spans="1:40" ht="20.25">
      <c r="A120" s="316" t="s">
        <v>128</v>
      </c>
      <c r="B120" s="710"/>
      <c r="C120" s="295"/>
      <c r="D120" s="1077"/>
      <c r="E120" s="319"/>
      <c r="F120" s="320"/>
      <c r="G120" s="320"/>
      <c r="H120" s="321"/>
      <c r="I120" s="321"/>
      <c r="J120" s="320"/>
      <c r="K120" s="1090"/>
      <c r="L120" s="351"/>
      <c r="M120" s="352"/>
      <c r="N120" s="353"/>
      <c r="O120" s="321"/>
      <c r="P120" s="321"/>
      <c r="Q120" s="321"/>
      <c r="R120" s="321"/>
      <c r="S120" s="321"/>
      <c r="T120" s="321"/>
      <c r="U120" s="351"/>
      <c r="V120" s="352"/>
      <c r="W120" s="319"/>
      <c r="X120" s="320"/>
      <c r="Y120" s="320"/>
      <c r="Z120" s="321"/>
      <c r="AA120" s="321"/>
      <c r="AB120" s="321"/>
      <c r="AC120" s="320"/>
      <c r="AD120" s="380"/>
      <c r="AE120" s="352"/>
      <c r="AF120" s="381">
        <f t="shared" si="19"/>
        <v>0</v>
      </c>
      <c r="AG120" s="381"/>
      <c r="AH120" s="408"/>
      <c r="AI120" s="409">
        <f t="shared" si="20"/>
        <v>0</v>
      </c>
      <c r="AJ120" s="410"/>
      <c r="AK120" s="411">
        <f t="shared" si="21"/>
        <v>0</v>
      </c>
      <c r="AL120" s="234"/>
      <c r="AM120" s="234"/>
      <c r="AN120" s="234"/>
    </row>
    <row r="121" spans="1:40" ht="20.25">
      <c r="A121" s="316" t="s">
        <v>128</v>
      </c>
      <c r="B121" s="295"/>
      <c r="C121" s="295"/>
      <c r="D121" s="1077"/>
      <c r="E121" s="319"/>
      <c r="F121" s="320"/>
      <c r="G121" s="320"/>
      <c r="H121" s="321"/>
      <c r="I121" s="321"/>
      <c r="J121" s="320"/>
      <c r="K121" s="1090"/>
      <c r="L121" s="351"/>
      <c r="M121" s="352"/>
      <c r="N121" s="353"/>
      <c r="O121" s="321"/>
      <c r="P121" s="321"/>
      <c r="Q121" s="321"/>
      <c r="R121" s="321"/>
      <c r="S121" s="321"/>
      <c r="T121" s="321"/>
      <c r="U121" s="351"/>
      <c r="V121" s="352"/>
      <c r="W121" s="319"/>
      <c r="X121" s="320"/>
      <c r="Y121" s="320"/>
      <c r="Z121" s="321"/>
      <c r="AA121" s="321"/>
      <c r="AB121" s="321"/>
      <c r="AC121" s="320"/>
      <c r="AD121" s="380"/>
      <c r="AE121" s="352"/>
      <c r="AF121" s="381">
        <f t="shared" si="19"/>
        <v>0</v>
      </c>
      <c r="AG121" s="381"/>
      <c r="AH121" s="408"/>
      <c r="AI121" s="409">
        <f t="shared" si="20"/>
        <v>0</v>
      </c>
      <c r="AJ121" s="410"/>
      <c r="AK121" s="411">
        <f t="shared" si="21"/>
        <v>0</v>
      </c>
      <c r="AL121" s="234"/>
      <c r="AM121" s="234"/>
      <c r="AN121" s="234"/>
    </row>
    <row r="122" spans="1:40" ht="20.25">
      <c r="A122" s="316" t="s">
        <v>128</v>
      </c>
      <c r="B122" s="295"/>
      <c r="C122" s="295"/>
      <c r="D122" s="1077"/>
      <c r="E122" s="319"/>
      <c r="F122" s="320"/>
      <c r="G122" s="320"/>
      <c r="H122" s="321"/>
      <c r="I122" s="321"/>
      <c r="J122" s="320"/>
      <c r="K122" s="1090"/>
      <c r="L122" s="351"/>
      <c r="M122" s="352"/>
      <c r="N122" s="353"/>
      <c r="O122" s="321"/>
      <c r="P122" s="321"/>
      <c r="Q122" s="321"/>
      <c r="R122" s="321"/>
      <c r="S122" s="321"/>
      <c r="T122" s="321"/>
      <c r="U122" s="351"/>
      <c r="V122" s="352"/>
      <c r="W122" s="319"/>
      <c r="X122" s="320"/>
      <c r="Y122" s="320"/>
      <c r="Z122" s="321"/>
      <c r="AA122" s="321"/>
      <c r="AB122" s="321"/>
      <c r="AC122" s="320"/>
      <c r="AD122" s="380"/>
      <c r="AE122" s="352"/>
      <c r="AF122" s="381">
        <f t="shared" si="19"/>
        <v>0</v>
      </c>
      <c r="AG122" s="381"/>
      <c r="AH122" s="408"/>
      <c r="AI122" s="409">
        <f t="shared" si="20"/>
        <v>0</v>
      </c>
      <c r="AJ122" s="410"/>
      <c r="AK122" s="411">
        <f t="shared" si="21"/>
        <v>0</v>
      </c>
      <c r="AL122" s="234"/>
      <c r="AM122" s="234"/>
      <c r="AN122" s="234"/>
    </row>
    <row r="123" spans="1:40" ht="20.25">
      <c r="A123" s="316" t="s">
        <v>128</v>
      </c>
      <c r="B123" s="295"/>
      <c r="C123" s="295"/>
      <c r="D123" s="1077"/>
      <c r="E123" s="319"/>
      <c r="F123" s="320"/>
      <c r="G123" s="320"/>
      <c r="H123" s="321"/>
      <c r="I123" s="321"/>
      <c r="J123" s="320"/>
      <c r="K123" s="1090"/>
      <c r="L123" s="351"/>
      <c r="M123" s="352"/>
      <c r="N123" s="353"/>
      <c r="O123" s="321"/>
      <c r="P123" s="321"/>
      <c r="Q123" s="321"/>
      <c r="R123" s="321"/>
      <c r="S123" s="321"/>
      <c r="T123" s="321"/>
      <c r="U123" s="351"/>
      <c r="V123" s="352"/>
      <c r="W123" s="319"/>
      <c r="X123" s="320"/>
      <c r="Y123" s="320"/>
      <c r="Z123" s="321"/>
      <c r="AA123" s="321"/>
      <c r="AB123" s="321"/>
      <c r="AC123" s="320"/>
      <c r="AD123" s="380"/>
      <c r="AE123" s="352"/>
      <c r="AF123" s="381">
        <f t="shared" si="19"/>
        <v>0</v>
      </c>
      <c r="AG123" s="381"/>
      <c r="AH123" s="408"/>
      <c r="AI123" s="409">
        <f t="shared" si="20"/>
        <v>0</v>
      </c>
      <c r="AJ123" s="410"/>
      <c r="AK123" s="411">
        <f t="shared" si="21"/>
        <v>0</v>
      </c>
      <c r="AL123" s="234"/>
      <c r="AM123" s="234"/>
      <c r="AN123" s="234"/>
    </row>
    <row r="124" spans="1:40" ht="20.25">
      <c r="A124" s="316" t="s">
        <v>128</v>
      </c>
      <c r="B124" s="295"/>
      <c r="C124" s="295"/>
      <c r="D124" s="1077"/>
      <c r="E124" s="319"/>
      <c r="F124" s="320"/>
      <c r="G124" s="320"/>
      <c r="H124" s="321"/>
      <c r="I124" s="321"/>
      <c r="J124" s="320"/>
      <c r="K124" s="1090"/>
      <c r="L124" s="351"/>
      <c r="M124" s="352"/>
      <c r="N124" s="353"/>
      <c r="O124" s="321"/>
      <c r="P124" s="321"/>
      <c r="Q124" s="321"/>
      <c r="R124" s="321"/>
      <c r="S124" s="321"/>
      <c r="T124" s="321"/>
      <c r="U124" s="351"/>
      <c r="V124" s="352"/>
      <c r="W124" s="319"/>
      <c r="X124" s="320"/>
      <c r="Y124" s="320"/>
      <c r="Z124" s="321"/>
      <c r="AA124" s="321"/>
      <c r="AB124" s="321"/>
      <c r="AC124" s="320"/>
      <c r="AD124" s="380"/>
      <c r="AE124" s="352"/>
      <c r="AF124" s="381">
        <f t="shared" si="19"/>
        <v>0</v>
      </c>
      <c r="AG124" s="381"/>
      <c r="AH124" s="408"/>
      <c r="AI124" s="409">
        <f t="shared" si="20"/>
        <v>0</v>
      </c>
      <c r="AJ124" s="410"/>
      <c r="AK124" s="411">
        <f t="shared" si="21"/>
        <v>0</v>
      </c>
      <c r="AL124" s="234"/>
      <c r="AM124" s="234"/>
      <c r="AN124" s="234"/>
    </row>
    <row r="125" spans="1:40" ht="20.25">
      <c r="A125" s="316" t="s">
        <v>128</v>
      </c>
      <c r="B125" s="295"/>
      <c r="C125" s="295"/>
      <c r="D125" s="1077"/>
      <c r="E125" s="319"/>
      <c r="F125" s="320"/>
      <c r="G125" s="320"/>
      <c r="H125" s="321"/>
      <c r="I125" s="321"/>
      <c r="J125" s="320"/>
      <c r="K125" s="842"/>
      <c r="L125" s="351"/>
      <c r="M125" s="352"/>
      <c r="N125" s="353"/>
      <c r="O125" s="321"/>
      <c r="P125" s="321"/>
      <c r="Q125" s="321"/>
      <c r="R125" s="321"/>
      <c r="S125" s="321"/>
      <c r="T125" s="321"/>
      <c r="U125" s="351"/>
      <c r="V125" s="352"/>
      <c r="W125" s="319"/>
      <c r="X125" s="320"/>
      <c r="Y125" s="320"/>
      <c r="Z125" s="321"/>
      <c r="AA125" s="321"/>
      <c r="AB125" s="321"/>
      <c r="AC125" s="320"/>
      <c r="AD125" s="380"/>
      <c r="AE125" s="352"/>
      <c r="AF125" s="381">
        <f t="shared" si="19"/>
        <v>0</v>
      </c>
      <c r="AG125" s="381"/>
      <c r="AH125" s="408"/>
      <c r="AI125" s="409">
        <f t="shared" si="20"/>
        <v>0</v>
      </c>
      <c r="AJ125" s="410"/>
      <c r="AK125" s="411">
        <f t="shared" si="21"/>
        <v>0</v>
      </c>
      <c r="AL125" s="234"/>
      <c r="AM125" s="234"/>
      <c r="AN125" s="234"/>
    </row>
    <row r="126" spans="1:40" ht="20.25">
      <c r="A126" s="316" t="s">
        <v>128</v>
      </c>
      <c r="B126" s="295"/>
      <c r="C126" s="295"/>
      <c r="D126" s="1077"/>
      <c r="E126" s="319"/>
      <c r="F126" s="320"/>
      <c r="G126" s="320"/>
      <c r="H126" s="321"/>
      <c r="I126" s="321"/>
      <c r="J126" s="320"/>
      <c r="K126" s="842"/>
      <c r="L126" s="351"/>
      <c r="M126" s="352"/>
      <c r="N126" s="353"/>
      <c r="O126" s="321"/>
      <c r="P126" s="321"/>
      <c r="Q126" s="321"/>
      <c r="R126" s="321"/>
      <c r="S126" s="321"/>
      <c r="T126" s="321"/>
      <c r="U126" s="351"/>
      <c r="V126" s="352"/>
      <c r="W126" s="319"/>
      <c r="X126" s="320"/>
      <c r="Y126" s="320"/>
      <c r="Z126" s="321"/>
      <c r="AA126" s="321"/>
      <c r="AB126" s="321"/>
      <c r="AC126" s="320"/>
      <c r="AD126" s="380"/>
      <c r="AE126" s="352"/>
      <c r="AF126" s="381">
        <f t="shared" si="19"/>
        <v>0</v>
      </c>
      <c r="AG126" s="381"/>
      <c r="AH126" s="408"/>
      <c r="AI126" s="409">
        <f t="shared" si="20"/>
        <v>0</v>
      </c>
      <c r="AJ126" s="410"/>
      <c r="AK126" s="411">
        <f t="shared" si="21"/>
        <v>0</v>
      </c>
      <c r="AL126" s="234"/>
      <c r="AM126" s="234"/>
      <c r="AN126" s="234"/>
    </row>
    <row r="127" spans="1:40" ht="20.25">
      <c r="A127" s="316" t="s">
        <v>128</v>
      </c>
      <c r="B127" s="295"/>
      <c r="C127" s="295"/>
      <c r="D127" s="1077"/>
      <c r="E127" s="319"/>
      <c r="F127" s="320"/>
      <c r="G127" s="320"/>
      <c r="H127" s="321"/>
      <c r="I127" s="321"/>
      <c r="J127" s="320"/>
      <c r="K127" s="842"/>
      <c r="L127" s="351"/>
      <c r="M127" s="352"/>
      <c r="N127" s="353"/>
      <c r="O127" s="321"/>
      <c r="P127" s="321"/>
      <c r="Q127" s="321"/>
      <c r="R127" s="321"/>
      <c r="S127" s="321"/>
      <c r="T127" s="321"/>
      <c r="U127" s="351"/>
      <c r="V127" s="352"/>
      <c r="W127" s="319"/>
      <c r="X127" s="320"/>
      <c r="Y127" s="320"/>
      <c r="Z127" s="321"/>
      <c r="AA127" s="321"/>
      <c r="AB127" s="321"/>
      <c r="AC127" s="320"/>
      <c r="AD127" s="380"/>
      <c r="AE127" s="352"/>
      <c r="AF127" s="381">
        <f t="shared" si="19"/>
        <v>0</v>
      </c>
      <c r="AG127" s="381"/>
      <c r="AH127" s="408"/>
      <c r="AI127" s="409">
        <f t="shared" si="20"/>
        <v>0</v>
      </c>
      <c r="AJ127" s="410"/>
      <c r="AK127" s="411">
        <f t="shared" si="21"/>
        <v>0</v>
      </c>
      <c r="AL127" s="234"/>
      <c r="AM127" s="234"/>
      <c r="AN127" s="234"/>
    </row>
    <row r="128" spans="1:40" ht="20.25">
      <c r="A128" s="316" t="s">
        <v>128</v>
      </c>
      <c r="B128" s="295"/>
      <c r="C128" s="295"/>
      <c r="D128" s="1077"/>
      <c r="E128" s="319"/>
      <c r="F128" s="320"/>
      <c r="G128" s="320"/>
      <c r="H128" s="321"/>
      <c r="I128" s="321"/>
      <c r="J128" s="320"/>
      <c r="K128" s="842"/>
      <c r="L128" s="351"/>
      <c r="M128" s="352"/>
      <c r="N128" s="353"/>
      <c r="O128" s="321"/>
      <c r="P128" s="321"/>
      <c r="Q128" s="321"/>
      <c r="R128" s="321"/>
      <c r="S128" s="321"/>
      <c r="T128" s="321"/>
      <c r="U128" s="351"/>
      <c r="V128" s="352"/>
      <c r="W128" s="319"/>
      <c r="X128" s="320"/>
      <c r="Y128" s="320"/>
      <c r="Z128" s="321"/>
      <c r="AA128" s="321"/>
      <c r="AB128" s="321"/>
      <c r="AC128" s="320"/>
      <c r="AD128" s="380"/>
      <c r="AE128" s="352"/>
      <c r="AF128" s="381">
        <f t="shared" si="19"/>
        <v>0</v>
      </c>
      <c r="AG128" s="381"/>
      <c r="AH128" s="408"/>
      <c r="AI128" s="409">
        <f t="shared" si="20"/>
        <v>0</v>
      </c>
      <c r="AJ128" s="410"/>
      <c r="AK128" s="411">
        <f t="shared" si="21"/>
        <v>0</v>
      </c>
      <c r="AL128" s="234"/>
      <c r="AM128" s="234"/>
      <c r="AN128" s="234"/>
    </row>
    <row r="129" spans="1:40" ht="20.25">
      <c r="A129" s="316" t="s">
        <v>128</v>
      </c>
      <c r="B129" s="295"/>
      <c r="C129" s="295"/>
      <c r="D129" s="1077"/>
      <c r="E129" s="319"/>
      <c r="F129" s="320"/>
      <c r="G129" s="320"/>
      <c r="H129" s="321"/>
      <c r="I129" s="321"/>
      <c r="J129" s="320"/>
      <c r="K129" s="842"/>
      <c r="L129" s="351"/>
      <c r="M129" s="352"/>
      <c r="N129" s="353"/>
      <c r="O129" s="321"/>
      <c r="P129" s="321"/>
      <c r="Q129" s="321"/>
      <c r="R129" s="321"/>
      <c r="S129" s="321"/>
      <c r="T129" s="321"/>
      <c r="U129" s="351"/>
      <c r="V129" s="352"/>
      <c r="W129" s="319"/>
      <c r="X129" s="320"/>
      <c r="Y129" s="320"/>
      <c r="Z129" s="321"/>
      <c r="AA129" s="321"/>
      <c r="AB129" s="321"/>
      <c r="AC129" s="320"/>
      <c r="AD129" s="380"/>
      <c r="AE129" s="352"/>
      <c r="AF129" s="381">
        <f t="shared" si="19"/>
        <v>0</v>
      </c>
      <c r="AG129" s="381"/>
      <c r="AH129" s="408"/>
      <c r="AI129" s="409">
        <f t="shared" si="20"/>
        <v>0</v>
      </c>
      <c r="AJ129" s="410"/>
      <c r="AK129" s="411">
        <f t="shared" si="21"/>
        <v>0</v>
      </c>
      <c r="AL129" s="234"/>
      <c r="AM129" s="234"/>
      <c r="AN129" s="234"/>
    </row>
    <row r="130" spans="1:40" ht="20.25">
      <c r="A130" s="316" t="s">
        <v>128</v>
      </c>
      <c r="B130" s="295"/>
      <c r="C130" s="295"/>
      <c r="D130" s="1077"/>
      <c r="E130" s="319"/>
      <c r="F130" s="320"/>
      <c r="G130" s="320"/>
      <c r="H130" s="321"/>
      <c r="I130" s="321"/>
      <c r="J130" s="320"/>
      <c r="K130" s="842"/>
      <c r="L130" s="351"/>
      <c r="M130" s="352"/>
      <c r="N130" s="353"/>
      <c r="O130" s="321"/>
      <c r="P130" s="321"/>
      <c r="Q130" s="321"/>
      <c r="R130" s="321"/>
      <c r="S130" s="321"/>
      <c r="T130" s="321"/>
      <c r="U130" s="351"/>
      <c r="V130" s="352"/>
      <c r="W130" s="319"/>
      <c r="X130" s="320"/>
      <c r="Y130" s="320"/>
      <c r="Z130" s="321"/>
      <c r="AA130" s="321"/>
      <c r="AB130" s="321"/>
      <c r="AC130" s="320"/>
      <c r="AD130" s="380"/>
      <c r="AE130" s="352"/>
      <c r="AF130" s="381">
        <f t="shared" si="19"/>
        <v>0</v>
      </c>
      <c r="AG130" s="381"/>
      <c r="AH130" s="408"/>
      <c r="AI130" s="409">
        <f t="shared" si="20"/>
        <v>0</v>
      </c>
      <c r="AJ130" s="410"/>
      <c r="AK130" s="411">
        <f t="shared" si="21"/>
        <v>0</v>
      </c>
      <c r="AL130" s="234"/>
      <c r="AM130" s="234"/>
      <c r="AN130" s="234"/>
    </row>
    <row r="131" spans="1:40" ht="20.25">
      <c r="A131" s="316" t="s">
        <v>128</v>
      </c>
      <c r="B131" s="295"/>
      <c r="C131" s="295"/>
      <c r="D131" s="1077"/>
      <c r="E131" s="319"/>
      <c r="F131" s="320"/>
      <c r="G131" s="320"/>
      <c r="H131" s="321"/>
      <c r="I131" s="321"/>
      <c r="J131" s="320"/>
      <c r="K131" s="842"/>
      <c r="L131" s="351"/>
      <c r="M131" s="352"/>
      <c r="N131" s="353"/>
      <c r="O131" s="321"/>
      <c r="P131" s="321"/>
      <c r="Q131" s="321"/>
      <c r="R131" s="321"/>
      <c r="S131" s="321"/>
      <c r="T131" s="321"/>
      <c r="U131" s="351"/>
      <c r="V131" s="352"/>
      <c r="W131" s="319"/>
      <c r="X131" s="320"/>
      <c r="Y131" s="320"/>
      <c r="Z131" s="321"/>
      <c r="AA131" s="321"/>
      <c r="AB131" s="321"/>
      <c r="AC131" s="320"/>
      <c r="AD131" s="380"/>
      <c r="AE131" s="352"/>
      <c r="AF131" s="381">
        <f t="shared" si="19"/>
        <v>0</v>
      </c>
      <c r="AG131" s="381"/>
      <c r="AH131" s="408"/>
      <c r="AI131" s="409">
        <f t="shared" si="20"/>
        <v>0</v>
      </c>
      <c r="AJ131" s="410"/>
      <c r="AK131" s="411">
        <f t="shared" si="21"/>
        <v>0</v>
      </c>
      <c r="AL131" s="234"/>
      <c r="AM131" s="234"/>
      <c r="AN131" s="234"/>
    </row>
    <row r="132" spans="1:40" ht="20.25">
      <c r="A132" s="316" t="s">
        <v>128</v>
      </c>
      <c r="B132" s="295"/>
      <c r="C132" s="295"/>
      <c r="D132" s="1077"/>
      <c r="E132" s="319"/>
      <c r="F132" s="320"/>
      <c r="G132" s="320"/>
      <c r="H132" s="321"/>
      <c r="I132" s="321"/>
      <c r="J132" s="320"/>
      <c r="K132" s="842"/>
      <c r="L132" s="351"/>
      <c r="M132" s="352"/>
      <c r="N132" s="353"/>
      <c r="O132" s="321"/>
      <c r="P132" s="321"/>
      <c r="Q132" s="321"/>
      <c r="R132" s="321"/>
      <c r="S132" s="321"/>
      <c r="T132" s="321"/>
      <c r="U132" s="351"/>
      <c r="V132" s="352"/>
      <c r="W132" s="319"/>
      <c r="X132" s="320"/>
      <c r="Y132" s="320"/>
      <c r="Z132" s="321"/>
      <c r="AA132" s="321"/>
      <c r="AB132" s="321"/>
      <c r="AC132" s="320"/>
      <c r="AD132" s="380"/>
      <c r="AE132" s="352"/>
      <c r="AF132" s="381">
        <f t="shared" si="19"/>
        <v>0</v>
      </c>
      <c r="AG132" s="381"/>
      <c r="AH132" s="408"/>
      <c r="AI132" s="409">
        <f t="shared" si="20"/>
        <v>0</v>
      </c>
      <c r="AJ132" s="410"/>
      <c r="AK132" s="411">
        <f t="shared" si="21"/>
        <v>0</v>
      </c>
      <c r="AL132" s="234"/>
      <c r="AM132" s="234"/>
      <c r="AN132" s="234"/>
    </row>
    <row r="133" spans="1:40" ht="20.25">
      <c r="A133" s="316" t="s">
        <v>128</v>
      </c>
      <c r="B133" s="295"/>
      <c r="C133" s="295"/>
      <c r="D133" s="1077"/>
      <c r="E133" s="319"/>
      <c r="F133" s="320"/>
      <c r="G133" s="320"/>
      <c r="H133" s="321"/>
      <c r="I133" s="321"/>
      <c r="J133" s="320"/>
      <c r="K133" s="842"/>
      <c r="L133" s="351"/>
      <c r="M133" s="352"/>
      <c r="N133" s="353"/>
      <c r="O133" s="321"/>
      <c r="P133" s="321"/>
      <c r="Q133" s="321"/>
      <c r="R133" s="321"/>
      <c r="S133" s="321"/>
      <c r="T133" s="321"/>
      <c r="U133" s="351"/>
      <c r="V133" s="352"/>
      <c r="W133" s="319"/>
      <c r="X133" s="320"/>
      <c r="Y133" s="320"/>
      <c r="Z133" s="321"/>
      <c r="AA133" s="321"/>
      <c r="AB133" s="321"/>
      <c r="AC133" s="320"/>
      <c r="AD133" s="380"/>
      <c r="AE133" s="352"/>
      <c r="AF133" s="381">
        <f t="shared" si="19"/>
        <v>0</v>
      </c>
      <c r="AG133" s="381"/>
      <c r="AH133" s="408"/>
      <c r="AI133" s="409">
        <f t="shared" si="20"/>
        <v>0</v>
      </c>
      <c r="AJ133" s="410"/>
      <c r="AK133" s="411">
        <f t="shared" si="21"/>
        <v>0</v>
      </c>
      <c r="AL133" s="234"/>
      <c r="AM133" s="234"/>
      <c r="AN133" s="234"/>
    </row>
    <row r="134" spans="1:40" ht="20.25">
      <c r="A134" s="316" t="s">
        <v>128</v>
      </c>
      <c r="B134" s="295"/>
      <c r="C134" s="295"/>
      <c r="D134" s="1077"/>
      <c r="E134" s="319"/>
      <c r="F134" s="320"/>
      <c r="G134" s="320"/>
      <c r="H134" s="321"/>
      <c r="I134" s="321"/>
      <c r="J134" s="320"/>
      <c r="K134" s="842"/>
      <c r="L134" s="351"/>
      <c r="M134" s="352"/>
      <c r="N134" s="353"/>
      <c r="O134" s="321"/>
      <c r="P134" s="321"/>
      <c r="Q134" s="321"/>
      <c r="R134" s="321"/>
      <c r="S134" s="321"/>
      <c r="T134" s="321"/>
      <c r="U134" s="351"/>
      <c r="V134" s="352"/>
      <c r="W134" s="319"/>
      <c r="X134" s="320"/>
      <c r="Y134" s="320"/>
      <c r="Z134" s="321"/>
      <c r="AA134" s="321"/>
      <c r="AB134" s="321"/>
      <c r="AC134" s="320"/>
      <c r="AD134" s="380"/>
      <c r="AE134" s="352"/>
      <c r="AF134" s="381">
        <f t="shared" si="19"/>
        <v>0</v>
      </c>
      <c r="AG134" s="381"/>
      <c r="AH134" s="408"/>
      <c r="AI134" s="409">
        <f t="shared" si="20"/>
        <v>0</v>
      </c>
      <c r="AJ134" s="410"/>
      <c r="AK134" s="411">
        <f t="shared" si="21"/>
        <v>0</v>
      </c>
      <c r="AL134" s="234"/>
      <c r="AM134" s="234"/>
      <c r="AN134" s="234"/>
    </row>
    <row r="135" spans="1:40" ht="21" thickBot="1">
      <c r="A135" s="316" t="s">
        <v>128</v>
      </c>
      <c r="B135" s="295"/>
      <c r="C135" s="295"/>
      <c r="D135" s="1077"/>
      <c r="E135" s="319"/>
      <c r="F135" s="320"/>
      <c r="G135" s="320"/>
      <c r="H135" s="321"/>
      <c r="I135" s="321"/>
      <c r="J135" s="320"/>
      <c r="K135" s="842"/>
      <c r="L135" s="351"/>
      <c r="M135" s="352"/>
      <c r="N135" s="353"/>
      <c r="O135" s="321"/>
      <c r="P135" s="321"/>
      <c r="Q135" s="321"/>
      <c r="R135" s="321"/>
      <c r="S135" s="321"/>
      <c r="T135" s="321"/>
      <c r="U135" s="351"/>
      <c r="V135" s="352"/>
      <c r="W135" s="319"/>
      <c r="X135" s="320"/>
      <c r="Y135" s="320"/>
      <c r="Z135" s="321"/>
      <c r="AA135" s="321"/>
      <c r="AB135" s="321"/>
      <c r="AC135" s="320"/>
      <c r="AD135" s="380"/>
      <c r="AE135" s="352"/>
      <c r="AF135" s="381">
        <f t="shared" si="19"/>
        <v>0</v>
      </c>
      <c r="AG135" s="381"/>
      <c r="AH135" s="408"/>
      <c r="AI135" s="409">
        <f t="shared" si="20"/>
        <v>0</v>
      </c>
      <c r="AJ135" s="410"/>
      <c r="AK135" s="411">
        <f t="shared" si="21"/>
        <v>0</v>
      </c>
      <c r="AL135" s="234"/>
      <c r="AM135" s="234"/>
      <c r="AN135" s="234"/>
    </row>
    <row r="136" spans="1:40" ht="21" thickBot="1">
      <c r="A136" s="316" t="s">
        <v>128</v>
      </c>
      <c r="B136" s="295"/>
      <c r="C136" s="295"/>
      <c r="D136" s="1077"/>
      <c r="E136" s="319"/>
      <c r="F136" s="320"/>
      <c r="G136" s="320"/>
      <c r="H136" s="321"/>
      <c r="I136" s="321"/>
      <c r="J136" s="320"/>
      <c r="K136" s="842"/>
      <c r="L136" s="351"/>
      <c r="M136" s="352"/>
      <c r="N136" s="353"/>
      <c r="O136" s="321"/>
      <c r="P136" s="321"/>
      <c r="Q136" s="321"/>
      <c r="R136" s="321"/>
      <c r="S136" s="321"/>
      <c r="T136" s="321"/>
      <c r="U136" s="351"/>
      <c r="V136" s="352"/>
      <c r="W136" s="319"/>
      <c r="X136" s="320"/>
      <c r="Y136" s="320"/>
      <c r="Z136" s="321"/>
      <c r="AA136" s="321"/>
      <c r="AB136" s="321"/>
      <c r="AC136" s="320"/>
      <c r="AD136" s="380"/>
      <c r="AE136" s="352"/>
      <c r="AF136" s="381">
        <f t="shared" si="19"/>
        <v>0</v>
      </c>
      <c r="AG136" s="381"/>
      <c r="AH136" s="408"/>
      <c r="AI136" s="409">
        <f t="shared" si="20"/>
        <v>0</v>
      </c>
      <c r="AJ136" s="410"/>
      <c r="AK136" s="411">
        <f t="shared" si="21"/>
        <v>0</v>
      </c>
      <c r="AL136" s="414" t="s">
        <v>8</v>
      </c>
      <c r="AM136" s="397" t="s">
        <v>23</v>
      </c>
      <c r="AN136" s="415" t="s">
        <v>174</v>
      </c>
    </row>
    <row r="137" spans="1:40" s="284" customFormat="1" ht="21" thickBot="1">
      <c r="A137" s="316" t="s">
        <v>128</v>
      </c>
      <c r="B137" s="295"/>
      <c r="C137" s="295"/>
      <c r="D137" s="1077"/>
      <c r="E137" s="319"/>
      <c r="F137" s="320"/>
      <c r="G137" s="320"/>
      <c r="H137" s="321"/>
      <c r="I137" s="321"/>
      <c r="J137" s="320"/>
      <c r="K137" s="842"/>
      <c r="L137" s="351"/>
      <c r="M137" s="352"/>
      <c r="N137" s="353"/>
      <c r="O137" s="321"/>
      <c r="P137" s="321"/>
      <c r="Q137" s="321"/>
      <c r="R137" s="321"/>
      <c r="S137" s="321"/>
      <c r="T137" s="321"/>
      <c r="U137" s="351"/>
      <c r="V137" s="352"/>
      <c r="W137" s="319"/>
      <c r="X137" s="320"/>
      <c r="Y137" s="320"/>
      <c r="Z137" s="321"/>
      <c r="AA137" s="321"/>
      <c r="AB137" s="321"/>
      <c r="AC137" s="320"/>
      <c r="AD137" s="380"/>
      <c r="AE137" s="352"/>
      <c r="AF137" s="381">
        <f t="shared" si="19"/>
        <v>0</v>
      </c>
      <c r="AG137" s="381"/>
      <c r="AH137" s="408"/>
      <c r="AI137" s="409">
        <f t="shared" si="20"/>
        <v>0</v>
      </c>
      <c r="AJ137" s="410"/>
      <c r="AK137" s="411">
        <f t="shared" si="21"/>
        <v>0</v>
      </c>
      <c r="AL137" s="399" t="e">
        <f>'BIG CHAIR'!#REF!</f>
        <v>#REF!</v>
      </c>
      <c r="AM137" s="400">
        <f>'Tea Table'!X236</f>
        <v>96</v>
      </c>
      <c r="AN137" s="401" t="e">
        <f>AI140+AL137+AM137</f>
        <v>#REF!</v>
      </c>
    </row>
    <row r="138" spans="1:40" ht="20.25">
      <c r="A138" s="316" t="s">
        <v>128</v>
      </c>
      <c r="B138" s="295"/>
      <c r="C138" s="295"/>
      <c r="D138" s="1077"/>
      <c r="E138" s="319"/>
      <c r="F138" s="320"/>
      <c r="G138" s="320"/>
      <c r="H138" s="321"/>
      <c r="I138" s="321"/>
      <c r="J138" s="320"/>
      <c r="K138" s="842"/>
      <c r="L138" s="351"/>
      <c r="M138" s="352"/>
      <c r="N138" s="353"/>
      <c r="O138" s="321"/>
      <c r="P138" s="321"/>
      <c r="Q138" s="321"/>
      <c r="R138" s="321"/>
      <c r="S138" s="321"/>
      <c r="T138" s="321"/>
      <c r="U138" s="351"/>
      <c r="V138" s="352"/>
      <c r="W138" s="319"/>
      <c r="X138" s="320"/>
      <c r="Y138" s="320"/>
      <c r="Z138" s="321"/>
      <c r="AA138" s="321"/>
      <c r="AB138" s="321"/>
      <c r="AC138" s="320"/>
      <c r="AD138" s="380"/>
      <c r="AE138" s="352"/>
      <c r="AF138" s="381">
        <f t="shared" si="19"/>
        <v>0</v>
      </c>
      <c r="AG138" s="381"/>
      <c r="AH138" s="408"/>
      <c r="AI138" s="409">
        <f t="shared" si="20"/>
        <v>0</v>
      </c>
      <c r="AJ138" s="410"/>
      <c r="AK138" s="411">
        <f t="shared" si="21"/>
        <v>0</v>
      </c>
      <c r="AL138" s="282"/>
      <c r="AM138" s="282"/>
      <c r="AN138" s="282"/>
    </row>
    <row r="139" spans="1:40" ht="21" thickBot="1">
      <c r="A139" s="322"/>
      <c r="B139" s="323"/>
      <c r="C139" s="323"/>
      <c r="D139" s="1078"/>
      <c r="E139" s="325"/>
      <c r="F139" s="297"/>
      <c r="G139" s="297"/>
      <c r="H139" s="298"/>
      <c r="I139" s="298"/>
      <c r="J139" s="297"/>
      <c r="K139" s="1086"/>
      <c r="L139" s="367"/>
      <c r="M139" s="355"/>
      <c r="N139" s="343"/>
      <c r="O139" s="298"/>
      <c r="P139" s="298"/>
      <c r="Q139" s="298"/>
      <c r="R139" s="298"/>
      <c r="S139" s="298"/>
      <c r="T139" s="298"/>
      <c r="U139" s="367"/>
      <c r="V139" s="355"/>
      <c r="W139" s="325"/>
      <c r="X139" s="297"/>
      <c r="Y139" s="297"/>
      <c r="Z139" s="298"/>
      <c r="AA139" s="298"/>
      <c r="AB139" s="298"/>
      <c r="AC139" s="297"/>
      <c r="AD139" s="375"/>
      <c r="AE139" s="355"/>
      <c r="AF139" s="376">
        <f t="shared" si="19"/>
        <v>0</v>
      </c>
      <c r="AG139" s="377"/>
      <c r="AH139" s="390"/>
      <c r="AI139" s="391">
        <f t="shared" si="20"/>
        <v>0</v>
      </c>
      <c r="AJ139" s="412"/>
      <c r="AK139" s="413">
        <f t="shared" si="21"/>
        <v>0</v>
      </c>
      <c r="AL139" s="234"/>
      <c r="AM139" s="234"/>
      <c r="AN139" s="234"/>
    </row>
    <row r="140" spans="1:40" ht="19.5" thickBot="1">
      <c r="A140" s="326" t="s">
        <v>129</v>
      </c>
      <c r="B140" s="327"/>
      <c r="C140" s="327"/>
      <c r="D140" s="328"/>
      <c r="E140" s="329">
        <f t="shared" ref="E140:L140" si="22">SUM(E109:E139)</f>
        <v>0</v>
      </c>
      <c r="F140" s="329">
        <f t="shared" si="22"/>
        <v>0</v>
      </c>
      <c r="G140" s="329">
        <f t="shared" si="22"/>
        <v>0</v>
      </c>
      <c r="H140" s="329">
        <f t="shared" si="22"/>
        <v>0</v>
      </c>
      <c r="I140" s="329">
        <f t="shared" si="22"/>
        <v>0</v>
      </c>
      <c r="J140" s="329">
        <f t="shared" si="22"/>
        <v>0</v>
      </c>
      <c r="K140" s="329">
        <f t="shared" si="22"/>
        <v>0</v>
      </c>
      <c r="L140" s="329">
        <f t="shared" si="22"/>
        <v>0</v>
      </c>
      <c r="M140" s="357"/>
      <c r="N140" s="358">
        <f t="shared" ref="N140:U140" si="23">SUM(N109:N139)</f>
        <v>0</v>
      </c>
      <c r="O140" s="359">
        <f t="shared" si="23"/>
        <v>0</v>
      </c>
      <c r="P140" s="359">
        <f t="shared" si="23"/>
        <v>0</v>
      </c>
      <c r="Q140" s="359">
        <f t="shared" si="23"/>
        <v>0</v>
      </c>
      <c r="R140" s="359">
        <f t="shared" si="23"/>
        <v>0</v>
      </c>
      <c r="S140" s="359">
        <f t="shared" si="23"/>
        <v>0</v>
      </c>
      <c r="T140" s="359">
        <f t="shared" si="23"/>
        <v>0</v>
      </c>
      <c r="U140" s="369">
        <f t="shared" si="23"/>
        <v>0</v>
      </c>
      <c r="V140" s="357"/>
      <c r="W140" s="358">
        <f t="shared" ref="W140:AD140" si="24">SUM(W109:W139)</f>
        <v>0</v>
      </c>
      <c r="X140" s="358">
        <f t="shared" si="24"/>
        <v>0</v>
      </c>
      <c r="Y140" s="358">
        <f t="shared" si="24"/>
        <v>0</v>
      </c>
      <c r="Z140" s="358">
        <f t="shared" si="24"/>
        <v>0</v>
      </c>
      <c r="AA140" s="358">
        <f t="shared" si="24"/>
        <v>0</v>
      </c>
      <c r="AB140" s="358">
        <f t="shared" si="24"/>
        <v>0</v>
      </c>
      <c r="AC140" s="358">
        <f t="shared" si="24"/>
        <v>0</v>
      </c>
      <c r="AD140" s="358">
        <f t="shared" si="24"/>
        <v>0</v>
      </c>
      <c r="AE140" s="357"/>
      <c r="AF140" s="382">
        <f t="shared" ref="AF140:AK140" si="25">SUM(AF109:AF139)</f>
        <v>0</v>
      </c>
      <c r="AG140" s="382">
        <f t="shared" si="25"/>
        <v>0</v>
      </c>
      <c r="AH140" s="416">
        <f t="shared" si="25"/>
        <v>0</v>
      </c>
      <c r="AI140" s="417">
        <f t="shared" si="25"/>
        <v>0</v>
      </c>
      <c r="AJ140" s="382">
        <f t="shared" si="25"/>
        <v>0</v>
      </c>
      <c r="AK140" s="418">
        <f t="shared" si="25"/>
        <v>0</v>
      </c>
      <c r="AL140" s="234"/>
      <c r="AM140" s="234"/>
      <c r="AN140" s="234"/>
    </row>
    <row r="141" spans="1:40" ht="24" thickBot="1">
      <c r="A141" s="286" t="s">
        <v>130</v>
      </c>
      <c r="B141" s="287" t="s">
        <v>68</v>
      </c>
      <c r="C141" s="287" t="s">
        <v>69</v>
      </c>
      <c r="D141" s="3550" t="s">
        <v>70</v>
      </c>
      <c r="E141" s="743" t="s">
        <v>96</v>
      </c>
      <c r="F141" s="744" t="s">
        <v>124</v>
      </c>
      <c r="G141" s="744" t="s">
        <v>228</v>
      </c>
      <c r="H141" s="744" t="s">
        <v>149</v>
      </c>
      <c r="I141" s="744" t="s">
        <v>470</v>
      </c>
      <c r="J141" s="744" t="s">
        <v>92</v>
      </c>
      <c r="K141" s="50" t="s">
        <v>479</v>
      </c>
      <c r="L141" s="783" t="s">
        <v>123</v>
      </c>
      <c r="M141" s="1089"/>
      <c r="N141" s="80" t="s">
        <v>71</v>
      </c>
      <c r="O141" s="49" t="s">
        <v>53</v>
      </c>
      <c r="P141" s="49" t="s">
        <v>118</v>
      </c>
      <c r="Q141" s="49" t="s">
        <v>74</v>
      </c>
      <c r="R141" s="49" t="s">
        <v>75</v>
      </c>
      <c r="S141" s="49" t="s">
        <v>94</v>
      </c>
      <c r="T141" s="126" t="s">
        <v>77</v>
      </c>
      <c r="U141" s="171" t="s">
        <v>101</v>
      </c>
      <c r="V141" s="79"/>
      <c r="W141" s="764" t="s">
        <v>482</v>
      </c>
      <c r="X141" s="765" t="s">
        <v>476</v>
      </c>
      <c r="Y141" s="765" t="e">
        <f>#REF!</f>
        <v>#REF!</v>
      </c>
      <c r="Z141" s="49" t="s">
        <v>575</v>
      </c>
      <c r="AA141" s="744" t="s">
        <v>75</v>
      </c>
      <c r="AB141" s="744" t="s">
        <v>53</v>
      </c>
      <c r="AC141" s="126" t="s">
        <v>230</v>
      </c>
      <c r="AD141" s="372" t="s">
        <v>380</v>
      </c>
      <c r="AE141" s="370"/>
      <c r="AF141" s="371" t="s">
        <v>172</v>
      </c>
      <c r="AG141" s="372" t="s">
        <v>80</v>
      </c>
      <c r="AH141" s="385"/>
      <c r="AI141" s="386" t="s">
        <v>106</v>
      </c>
      <c r="AJ141" s="385" t="s">
        <v>173</v>
      </c>
      <c r="AK141" s="371" t="s">
        <v>108</v>
      </c>
      <c r="AL141" s="234"/>
      <c r="AM141" s="234"/>
      <c r="AN141" s="234"/>
    </row>
    <row r="142" spans="1:40" ht="20.25">
      <c r="A142" s="316" t="s">
        <v>131</v>
      </c>
      <c r="B142" s="822"/>
      <c r="C142" s="295"/>
      <c r="D142" s="1077"/>
      <c r="E142" s="319"/>
      <c r="F142" s="320"/>
      <c r="G142" s="320"/>
      <c r="H142" s="321"/>
      <c r="I142" s="321"/>
      <c r="J142" s="320"/>
      <c r="K142" s="320"/>
      <c r="L142" s="363"/>
      <c r="M142" s="352"/>
      <c r="N142" s="353"/>
      <c r="O142" s="321"/>
      <c r="P142" s="321"/>
      <c r="Q142" s="321"/>
      <c r="R142" s="321"/>
      <c r="S142" s="321"/>
      <c r="T142" s="321"/>
      <c r="U142" s="351"/>
      <c r="V142" s="352"/>
      <c r="W142" s="319"/>
      <c r="X142" s="320"/>
      <c r="Y142" s="320"/>
      <c r="Z142" s="321"/>
      <c r="AA142" s="321"/>
      <c r="AB142" s="321"/>
      <c r="AC142" s="320"/>
      <c r="AD142" s="380"/>
      <c r="AE142" s="352"/>
      <c r="AF142" s="381">
        <f>SUM(E142:AD142)</f>
        <v>0</v>
      </c>
      <c r="AG142" s="381"/>
      <c r="AH142" s="408"/>
      <c r="AI142" s="409">
        <f>AF142+AG142</f>
        <v>0</v>
      </c>
      <c r="AJ142" s="410"/>
      <c r="AK142" s="411">
        <f>AI142+AJ142</f>
        <v>0</v>
      </c>
      <c r="AL142" s="234"/>
      <c r="AM142" s="234"/>
      <c r="AN142" s="234"/>
    </row>
    <row r="143" spans="1:40" ht="20.25">
      <c r="A143" s="316" t="s">
        <v>131</v>
      </c>
      <c r="B143" s="822"/>
      <c r="C143" s="295"/>
      <c r="D143" s="1077"/>
      <c r="E143" s="319"/>
      <c r="F143" s="320"/>
      <c r="G143" s="320"/>
      <c r="H143" s="321"/>
      <c r="I143" s="321"/>
      <c r="J143" s="320"/>
      <c r="K143" s="320"/>
      <c r="L143" s="363"/>
      <c r="M143" s="352"/>
      <c r="N143" s="353"/>
      <c r="O143" s="321"/>
      <c r="P143" s="321"/>
      <c r="Q143" s="321"/>
      <c r="R143" s="321"/>
      <c r="S143" s="321"/>
      <c r="T143" s="321"/>
      <c r="U143" s="351"/>
      <c r="V143" s="352"/>
      <c r="W143" s="319"/>
      <c r="X143" s="320"/>
      <c r="Y143" s="320"/>
      <c r="Z143" s="321"/>
      <c r="AA143" s="321"/>
      <c r="AB143" s="321"/>
      <c r="AC143" s="320"/>
      <c r="AD143" s="380"/>
      <c r="AE143" s="352"/>
      <c r="AF143" s="381">
        <f>SUM(E143:AD143)</f>
        <v>0</v>
      </c>
      <c r="AG143" s="381"/>
      <c r="AH143" s="408"/>
      <c r="AI143" s="409">
        <f>AF143+AG143</f>
        <v>0</v>
      </c>
      <c r="AJ143" s="410"/>
      <c r="AK143" s="411">
        <f>AI143+AJ143</f>
        <v>0</v>
      </c>
      <c r="AL143" s="234"/>
      <c r="AM143" s="234"/>
      <c r="AN143" s="234"/>
    </row>
    <row r="144" spans="1:40" ht="20.25">
      <c r="A144" s="316" t="s">
        <v>131</v>
      </c>
      <c r="B144" s="822"/>
      <c r="C144" s="295"/>
      <c r="D144" s="1077"/>
      <c r="E144" s="319"/>
      <c r="F144" s="320"/>
      <c r="G144" s="320"/>
      <c r="H144" s="321"/>
      <c r="I144" s="321"/>
      <c r="J144" s="320"/>
      <c r="K144" s="320"/>
      <c r="L144" s="363"/>
      <c r="M144" s="352"/>
      <c r="N144" s="353"/>
      <c r="O144" s="321"/>
      <c r="P144" s="321"/>
      <c r="Q144" s="321"/>
      <c r="R144" s="321"/>
      <c r="S144" s="321"/>
      <c r="T144" s="321"/>
      <c r="U144" s="351"/>
      <c r="V144" s="352"/>
      <c r="W144" s="319"/>
      <c r="X144" s="320"/>
      <c r="Y144" s="320"/>
      <c r="Z144" s="321"/>
      <c r="AA144" s="321"/>
      <c r="AB144" s="321"/>
      <c r="AC144" s="320"/>
      <c r="AD144" s="380"/>
      <c r="AE144" s="352"/>
      <c r="AF144" s="381">
        <f>SUM(E144:AD144)</f>
        <v>0</v>
      </c>
      <c r="AG144" s="381"/>
      <c r="AH144" s="408"/>
      <c r="AI144" s="409">
        <f>AF144+AG144</f>
        <v>0</v>
      </c>
      <c r="AJ144" s="410"/>
      <c r="AK144" s="411">
        <f>AI144+AJ144</f>
        <v>0</v>
      </c>
      <c r="AL144" s="234"/>
      <c r="AM144" s="234"/>
      <c r="AN144" s="234"/>
    </row>
    <row r="145" spans="1:40" ht="20.25">
      <c r="A145" s="316" t="s">
        <v>131</v>
      </c>
      <c r="B145" s="822"/>
      <c r="C145" s="295"/>
      <c r="D145" s="1077"/>
      <c r="E145" s="319"/>
      <c r="F145" s="320"/>
      <c r="G145" s="320"/>
      <c r="H145" s="321"/>
      <c r="I145" s="321"/>
      <c r="J145" s="320"/>
      <c r="K145" s="1090"/>
      <c r="L145" s="363"/>
      <c r="M145" s="352"/>
      <c r="N145" s="353"/>
      <c r="O145" s="321"/>
      <c r="P145" s="321"/>
      <c r="Q145" s="321"/>
      <c r="R145" s="321"/>
      <c r="S145" s="321"/>
      <c r="T145" s="321"/>
      <c r="U145" s="351"/>
      <c r="V145" s="352"/>
      <c r="W145" s="319"/>
      <c r="X145" s="320"/>
      <c r="Y145" s="320"/>
      <c r="Z145" s="321"/>
      <c r="AA145" s="321"/>
      <c r="AB145" s="321"/>
      <c r="AC145" s="320"/>
      <c r="AD145" s="380"/>
      <c r="AE145" s="352"/>
      <c r="AF145" s="381">
        <f t="shared" ref="AF145:AF172" si="26">SUM(E145:AD145)</f>
        <v>0</v>
      </c>
      <c r="AG145" s="381"/>
      <c r="AH145" s="408"/>
      <c r="AI145" s="409">
        <f t="shared" ref="AI145:AI172" si="27">AF145+AG145</f>
        <v>0</v>
      </c>
      <c r="AJ145" s="410"/>
      <c r="AK145" s="411">
        <f t="shared" ref="AK145:AK172" si="28">AI145+AJ145</f>
        <v>0</v>
      </c>
      <c r="AL145" s="234"/>
      <c r="AM145" s="234"/>
      <c r="AN145" s="234"/>
    </row>
    <row r="146" spans="1:40" ht="20.25">
      <c r="A146" s="316" t="s">
        <v>131</v>
      </c>
      <c r="B146" s="710"/>
      <c r="C146" s="295"/>
      <c r="D146" s="1077"/>
      <c r="E146" s="319"/>
      <c r="F146" s="320"/>
      <c r="G146" s="320"/>
      <c r="H146" s="321"/>
      <c r="I146" s="321"/>
      <c r="J146" s="320"/>
      <c r="K146" s="1090"/>
      <c r="L146" s="351"/>
      <c r="M146" s="352"/>
      <c r="N146" s="353"/>
      <c r="O146" s="321"/>
      <c r="P146" s="321"/>
      <c r="Q146" s="321"/>
      <c r="R146" s="321"/>
      <c r="S146" s="321"/>
      <c r="T146" s="321"/>
      <c r="U146" s="351"/>
      <c r="V146" s="352"/>
      <c r="W146" s="319"/>
      <c r="X146" s="320"/>
      <c r="Y146" s="320"/>
      <c r="Z146" s="321"/>
      <c r="AA146" s="321"/>
      <c r="AB146" s="321"/>
      <c r="AC146" s="320"/>
      <c r="AD146" s="380"/>
      <c r="AE146" s="352"/>
      <c r="AF146" s="381">
        <f t="shared" si="26"/>
        <v>0</v>
      </c>
      <c r="AG146" s="381"/>
      <c r="AH146" s="408"/>
      <c r="AI146" s="409">
        <f t="shared" si="27"/>
        <v>0</v>
      </c>
      <c r="AJ146" s="410"/>
      <c r="AK146" s="411">
        <f t="shared" si="28"/>
        <v>0</v>
      </c>
      <c r="AL146" s="234"/>
      <c r="AM146" s="234"/>
      <c r="AN146" s="234"/>
    </row>
    <row r="147" spans="1:40" ht="20.25">
      <c r="A147" s="316" t="s">
        <v>131</v>
      </c>
      <c r="B147" s="710"/>
      <c r="C147" s="295"/>
      <c r="D147" s="1077"/>
      <c r="E147" s="319"/>
      <c r="F147" s="320"/>
      <c r="G147" s="320"/>
      <c r="H147" s="321"/>
      <c r="I147" s="321"/>
      <c r="J147" s="320"/>
      <c r="K147" s="1090"/>
      <c r="L147" s="351"/>
      <c r="M147" s="352"/>
      <c r="N147" s="353"/>
      <c r="O147" s="321"/>
      <c r="P147" s="321"/>
      <c r="Q147" s="321"/>
      <c r="R147" s="321"/>
      <c r="S147" s="321"/>
      <c r="T147" s="321"/>
      <c r="U147" s="351"/>
      <c r="V147" s="352"/>
      <c r="W147" s="319"/>
      <c r="X147" s="320"/>
      <c r="Y147" s="320"/>
      <c r="Z147" s="321"/>
      <c r="AA147" s="321"/>
      <c r="AB147" s="321"/>
      <c r="AC147" s="320"/>
      <c r="AD147" s="380"/>
      <c r="AE147" s="352"/>
      <c r="AF147" s="381">
        <f t="shared" si="26"/>
        <v>0</v>
      </c>
      <c r="AG147" s="381"/>
      <c r="AH147" s="408"/>
      <c r="AI147" s="409">
        <f t="shared" si="27"/>
        <v>0</v>
      </c>
      <c r="AJ147" s="410"/>
      <c r="AK147" s="411">
        <f t="shared" si="28"/>
        <v>0</v>
      </c>
      <c r="AL147" s="234"/>
      <c r="AM147" s="234"/>
      <c r="AN147" s="234"/>
    </row>
    <row r="148" spans="1:40" ht="20.25">
      <c r="A148" s="316" t="s">
        <v>131</v>
      </c>
      <c r="B148" s="710"/>
      <c r="C148" s="295"/>
      <c r="D148" s="1077"/>
      <c r="E148" s="319"/>
      <c r="F148" s="320"/>
      <c r="G148" s="320"/>
      <c r="H148" s="321"/>
      <c r="I148" s="321"/>
      <c r="J148" s="320"/>
      <c r="K148" s="1090"/>
      <c r="L148" s="351"/>
      <c r="M148" s="352"/>
      <c r="N148" s="353"/>
      <c r="O148" s="321"/>
      <c r="P148" s="321"/>
      <c r="Q148" s="321"/>
      <c r="R148" s="321"/>
      <c r="S148" s="321"/>
      <c r="T148" s="321"/>
      <c r="U148" s="351"/>
      <c r="V148" s="352"/>
      <c r="W148" s="319"/>
      <c r="X148" s="320"/>
      <c r="Y148" s="320"/>
      <c r="Z148" s="321"/>
      <c r="AA148" s="321"/>
      <c r="AB148" s="321"/>
      <c r="AC148" s="320"/>
      <c r="AD148" s="380"/>
      <c r="AE148" s="352"/>
      <c r="AF148" s="381">
        <f t="shared" si="26"/>
        <v>0</v>
      </c>
      <c r="AG148" s="381"/>
      <c r="AH148" s="408"/>
      <c r="AI148" s="409">
        <f t="shared" si="27"/>
        <v>0</v>
      </c>
      <c r="AJ148" s="410"/>
      <c r="AK148" s="411">
        <f t="shared" si="28"/>
        <v>0</v>
      </c>
      <c r="AL148" s="234"/>
      <c r="AM148" s="234"/>
      <c r="AN148" s="234"/>
    </row>
    <row r="149" spans="1:40" ht="20.25">
      <c r="A149" s="316" t="s">
        <v>131</v>
      </c>
      <c r="B149" s="710"/>
      <c r="C149" s="295"/>
      <c r="D149" s="1077"/>
      <c r="E149" s="319"/>
      <c r="F149" s="320"/>
      <c r="G149" s="320"/>
      <c r="H149" s="321"/>
      <c r="I149" s="321"/>
      <c r="J149" s="320"/>
      <c r="K149" s="1090"/>
      <c r="L149" s="351"/>
      <c r="M149" s="352"/>
      <c r="N149" s="353"/>
      <c r="O149" s="321"/>
      <c r="P149" s="321"/>
      <c r="Q149" s="321"/>
      <c r="R149" s="321"/>
      <c r="S149" s="321"/>
      <c r="T149" s="321"/>
      <c r="U149" s="351"/>
      <c r="V149" s="352"/>
      <c r="W149" s="319"/>
      <c r="X149" s="320"/>
      <c r="Y149" s="320"/>
      <c r="Z149" s="321"/>
      <c r="AA149" s="321"/>
      <c r="AB149" s="321"/>
      <c r="AC149" s="320"/>
      <c r="AD149" s="380"/>
      <c r="AE149" s="352"/>
      <c r="AF149" s="381">
        <f t="shared" si="26"/>
        <v>0</v>
      </c>
      <c r="AG149" s="381"/>
      <c r="AH149" s="408"/>
      <c r="AI149" s="409">
        <f t="shared" si="27"/>
        <v>0</v>
      </c>
      <c r="AJ149" s="410"/>
      <c r="AK149" s="411">
        <f t="shared" si="28"/>
        <v>0</v>
      </c>
      <c r="AL149" s="234"/>
      <c r="AM149" s="234"/>
      <c r="AN149" s="234"/>
    </row>
    <row r="150" spans="1:40" ht="20.25">
      <c r="A150" s="316" t="s">
        <v>131</v>
      </c>
      <c r="B150" s="710"/>
      <c r="C150" s="295"/>
      <c r="D150" s="1077"/>
      <c r="E150" s="319"/>
      <c r="F150" s="320"/>
      <c r="G150" s="320"/>
      <c r="H150" s="321"/>
      <c r="I150" s="321"/>
      <c r="J150" s="320"/>
      <c r="K150" s="1090"/>
      <c r="L150" s="351"/>
      <c r="M150" s="352"/>
      <c r="N150" s="353"/>
      <c r="O150" s="321"/>
      <c r="P150" s="321"/>
      <c r="Q150" s="321"/>
      <c r="R150" s="321"/>
      <c r="S150" s="321"/>
      <c r="T150" s="321"/>
      <c r="U150" s="351"/>
      <c r="V150" s="352"/>
      <c r="W150" s="319"/>
      <c r="X150" s="320"/>
      <c r="Y150" s="320"/>
      <c r="Z150" s="321"/>
      <c r="AA150" s="321"/>
      <c r="AB150" s="321"/>
      <c r="AC150" s="320"/>
      <c r="AD150" s="380"/>
      <c r="AE150" s="352"/>
      <c r="AF150" s="381">
        <f t="shared" si="26"/>
        <v>0</v>
      </c>
      <c r="AG150" s="381"/>
      <c r="AH150" s="408"/>
      <c r="AI150" s="409">
        <f t="shared" si="27"/>
        <v>0</v>
      </c>
      <c r="AJ150" s="410"/>
      <c r="AK150" s="411">
        <f t="shared" si="28"/>
        <v>0</v>
      </c>
      <c r="AL150" s="234"/>
      <c r="AM150" s="234"/>
      <c r="AN150" s="234"/>
    </row>
    <row r="151" spans="1:40" ht="20.25">
      <c r="A151" s="316" t="s">
        <v>131</v>
      </c>
      <c r="B151" s="710"/>
      <c r="C151" s="295"/>
      <c r="D151" s="1077"/>
      <c r="E151" s="319"/>
      <c r="F151" s="320"/>
      <c r="G151" s="320"/>
      <c r="H151" s="321"/>
      <c r="I151" s="321"/>
      <c r="J151" s="320"/>
      <c r="K151" s="1090"/>
      <c r="L151" s="351"/>
      <c r="M151" s="352"/>
      <c r="N151" s="353"/>
      <c r="O151" s="321"/>
      <c r="P151" s="321"/>
      <c r="Q151" s="321"/>
      <c r="R151" s="321"/>
      <c r="S151" s="321"/>
      <c r="T151" s="321"/>
      <c r="U151" s="351"/>
      <c r="V151" s="352"/>
      <c r="W151" s="319"/>
      <c r="X151" s="320"/>
      <c r="Y151" s="320"/>
      <c r="Z151" s="321"/>
      <c r="AA151" s="321"/>
      <c r="AB151" s="321"/>
      <c r="AC151" s="320"/>
      <c r="AD151" s="380"/>
      <c r="AE151" s="352"/>
      <c r="AF151" s="381">
        <f t="shared" si="26"/>
        <v>0</v>
      </c>
      <c r="AG151" s="381"/>
      <c r="AH151" s="408"/>
      <c r="AI151" s="409">
        <f t="shared" si="27"/>
        <v>0</v>
      </c>
      <c r="AJ151" s="410"/>
      <c r="AK151" s="411">
        <f t="shared" si="28"/>
        <v>0</v>
      </c>
      <c r="AL151" s="234"/>
      <c r="AM151" s="234"/>
      <c r="AN151" s="234"/>
    </row>
    <row r="152" spans="1:40" ht="20.25">
      <c r="A152" s="316" t="s">
        <v>131</v>
      </c>
      <c r="B152" s="822"/>
      <c r="C152" s="295"/>
      <c r="D152" s="1077"/>
      <c r="E152" s="319"/>
      <c r="F152" s="320"/>
      <c r="G152" s="320"/>
      <c r="H152" s="321"/>
      <c r="I152" s="321"/>
      <c r="J152" s="320"/>
      <c r="K152" s="1090"/>
      <c r="L152" s="351"/>
      <c r="M152" s="352"/>
      <c r="N152" s="353"/>
      <c r="O152" s="321"/>
      <c r="P152" s="321"/>
      <c r="Q152" s="321"/>
      <c r="R152" s="321"/>
      <c r="S152" s="321"/>
      <c r="T152" s="321"/>
      <c r="U152" s="351"/>
      <c r="V152" s="352"/>
      <c r="W152" s="319"/>
      <c r="X152" s="320"/>
      <c r="Y152" s="320"/>
      <c r="Z152" s="321"/>
      <c r="AA152" s="321"/>
      <c r="AB152" s="321"/>
      <c r="AC152" s="320"/>
      <c r="AD152" s="380"/>
      <c r="AE152" s="352"/>
      <c r="AF152" s="381">
        <f t="shared" si="26"/>
        <v>0</v>
      </c>
      <c r="AG152" s="381"/>
      <c r="AH152" s="408"/>
      <c r="AI152" s="409">
        <f t="shared" si="27"/>
        <v>0</v>
      </c>
      <c r="AJ152" s="410"/>
      <c r="AK152" s="411">
        <f t="shared" si="28"/>
        <v>0</v>
      </c>
      <c r="AL152" s="234"/>
      <c r="AM152" s="234"/>
      <c r="AN152" s="234"/>
    </row>
    <row r="153" spans="1:40" ht="20.25">
      <c r="A153" s="316" t="s">
        <v>131</v>
      </c>
      <c r="B153" s="710"/>
      <c r="C153" s="295"/>
      <c r="D153" s="1077"/>
      <c r="E153" s="319"/>
      <c r="F153" s="320"/>
      <c r="G153" s="320"/>
      <c r="H153" s="321"/>
      <c r="I153" s="321"/>
      <c r="J153" s="320"/>
      <c r="K153" s="1090"/>
      <c r="L153" s="351"/>
      <c r="M153" s="352"/>
      <c r="N153" s="353"/>
      <c r="O153" s="321"/>
      <c r="P153" s="321"/>
      <c r="Q153" s="321"/>
      <c r="R153" s="321"/>
      <c r="S153" s="321"/>
      <c r="T153" s="321"/>
      <c r="U153" s="351"/>
      <c r="V153" s="352"/>
      <c r="W153" s="319"/>
      <c r="X153" s="320"/>
      <c r="Y153" s="320"/>
      <c r="Z153" s="321"/>
      <c r="AA153" s="321"/>
      <c r="AB153" s="321"/>
      <c r="AC153" s="320"/>
      <c r="AD153" s="380"/>
      <c r="AE153" s="352"/>
      <c r="AF153" s="381">
        <f t="shared" si="26"/>
        <v>0</v>
      </c>
      <c r="AG153" s="381"/>
      <c r="AH153" s="408"/>
      <c r="AI153" s="409">
        <f t="shared" si="27"/>
        <v>0</v>
      </c>
      <c r="AJ153" s="410"/>
      <c r="AK153" s="411">
        <f t="shared" si="28"/>
        <v>0</v>
      </c>
      <c r="AL153" s="234"/>
      <c r="AM153" s="234"/>
      <c r="AN153" s="234"/>
    </row>
    <row r="154" spans="1:40" ht="20.25">
      <c r="A154" s="316" t="s">
        <v>131</v>
      </c>
      <c r="B154" s="295"/>
      <c r="C154" s="295"/>
      <c r="D154" s="1077"/>
      <c r="E154" s="319"/>
      <c r="F154" s="320"/>
      <c r="G154" s="320"/>
      <c r="H154" s="321"/>
      <c r="I154" s="321"/>
      <c r="J154" s="320"/>
      <c r="K154" s="1090"/>
      <c r="L154" s="351"/>
      <c r="M154" s="352"/>
      <c r="N154" s="353"/>
      <c r="O154" s="321"/>
      <c r="P154" s="321"/>
      <c r="Q154" s="321"/>
      <c r="R154" s="321"/>
      <c r="S154" s="321"/>
      <c r="T154" s="321"/>
      <c r="U154" s="351"/>
      <c r="V154" s="352"/>
      <c r="W154" s="319"/>
      <c r="X154" s="320"/>
      <c r="Y154" s="320"/>
      <c r="Z154" s="321"/>
      <c r="AA154" s="321"/>
      <c r="AB154" s="321"/>
      <c r="AC154" s="320"/>
      <c r="AD154" s="380"/>
      <c r="AE154" s="352"/>
      <c r="AF154" s="381">
        <f t="shared" si="26"/>
        <v>0</v>
      </c>
      <c r="AG154" s="381"/>
      <c r="AH154" s="408"/>
      <c r="AI154" s="409">
        <f t="shared" si="27"/>
        <v>0</v>
      </c>
      <c r="AJ154" s="410"/>
      <c r="AK154" s="411">
        <f t="shared" si="28"/>
        <v>0</v>
      </c>
      <c r="AL154" s="234"/>
      <c r="AM154" s="234"/>
      <c r="AN154" s="234"/>
    </row>
    <row r="155" spans="1:40" ht="20.25">
      <c r="A155" s="316" t="s">
        <v>131</v>
      </c>
      <c r="B155" s="295"/>
      <c r="C155" s="295"/>
      <c r="D155" s="1077"/>
      <c r="E155" s="319"/>
      <c r="F155" s="320"/>
      <c r="G155" s="320"/>
      <c r="H155" s="321"/>
      <c r="I155" s="321"/>
      <c r="J155" s="320"/>
      <c r="K155" s="1090"/>
      <c r="L155" s="351"/>
      <c r="M155" s="352"/>
      <c r="N155" s="353"/>
      <c r="O155" s="321"/>
      <c r="P155" s="321"/>
      <c r="Q155" s="321"/>
      <c r="R155" s="321"/>
      <c r="S155" s="321"/>
      <c r="T155" s="321"/>
      <c r="U155" s="351"/>
      <c r="V155" s="352"/>
      <c r="W155" s="319"/>
      <c r="X155" s="320"/>
      <c r="Y155" s="320"/>
      <c r="Z155" s="321"/>
      <c r="AA155" s="321"/>
      <c r="AB155" s="321"/>
      <c r="AC155" s="320"/>
      <c r="AD155" s="380"/>
      <c r="AE155" s="352"/>
      <c r="AF155" s="381">
        <f t="shared" si="26"/>
        <v>0</v>
      </c>
      <c r="AG155" s="381"/>
      <c r="AH155" s="408"/>
      <c r="AI155" s="409">
        <f t="shared" si="27"/>
        <v>0</v>
      </c>
      <c r="AJ155" s="410"/>
      <c r="AK155" s="411">
        <f t="shared" si="28"/>
        <v>0</v>
      </c>
      <c r="AL155" s="234"/>
      <c r="AM155" s="234"/>
      <c r="AN155" s="234"/>
    </row>
    <row r="156" spans="1:40" ht="20.25">
      <c r="A156" s="316" t="s">
        <v>131</v>
      </c>
      <c r="B156" s="295"/>
      <c r="C156" s="295"/>
      <c r="D156" s="1077"/>
      <c r="E156" s="319"/>
      <c r="F156" s="320"/>
      <c r="G156" s="320"/>
      <c r="H156" s="321"/>
      <c r="I156" s="321"/>
      <c r="J156" s="320"/>
      <c r="K156" s="1090"/>
      <c r="L156" s="351"/>
      <c r="M156" s="352"/>
      <c r="N156" s="353"/>
      <c r="O156" s="321"/>
      <c r="P156" s="321"/>
      <c r="Q156" s="321"/>
      <c r="R156" s="321"/>
      <c r="S156" s="321"/>
      <c r="T156" s="321"/>
      <c r="U156" s="351"/>
      <c r="V156" s="352"/>
      <c r="W156" s="319"/>
      <c r="X156" s="320"/>
      <c r="Y156" s="320"/>
      <c r="Z156" s="321"/>
      <c r="AA156" s="321"/>
      <c r="AB156" s="321"/>
      <c r="AC156" s="320"/>
      <c r="AD156" s="380"/>
      <c r="AE156" s="352"/>
      <c r="AF156" s="381">
        <f t="shared" si="26"/>
        <v>0</v>
      </c>
      <c r="AG156" s="381"/>
      <c r="AH156" s="408"/>
      <c r="AI156" s="409">
        <f t="shared" si="27"/>
        <v>0</v>
      </c>
      <c r="AJ156" s="410"/>
      <c r="AK156" s="411">
        <f t="shared" si="28"/>
        <v>0</v>
      </c>
      <c r="AL156" s="234"/>
      <c r="AM156" s="234"/>
      <c r="AN156" s="234"/>
    </row>
    <row r="157" spans="1:40" ht="20.25">
      <c r="A157" s="316" t="s">
        <v>131</v>
      </c>
      <c r="B157" s="295"/>
      <c r="C157" s="295"/>
      <c r="D157" s="1077"/>
      <c r="E157" s="319"/>
      <c r="F157" s="320"/>
      <c r="G157" s="320"/>
      <c r="H157" s="321"/>
      <c r="I157" s="321"/>
      <c r="J157" s="320"/>
      <c r="K157" s="1090"/>
      <c r="L157" s="351"/>
      <c r="M157" s="352"/>
      <c r="N157" s="353"/>
      <c r="O157" s="321"/>
      <c r="P157" s="321"/>
      <c r="Q157" s="321"/>
      <c r="R157" s="321"/>
      <c r="S157" s="321"/>
      <c r="T157" s="321"/>
      <c r="U157" s="351"/>
      <c r="V157" s="352"/>
      <c r="W157" s="319"/>
      <c r="X157" s="320"/>
      <c r="Y157" s="320"/>
      <c r="Z157" s="321"/>
      <c r="AA157" s="321"/>
      <c r="AB157" s="321"/>
      <c r="AC157" s="320"/>
      <c r="AD157" s="380"/>
      <c r="AE157" s="352"/>
      <c r="AF157" s="381">
        <f t="shared" si="26"/>
        <v>0</v>
      </c>
      <c r="AG157" s="381"/>
      <c r="AH157" s="408"/>
      <c r="AI157" s="409">
        <f t="shared" si="27"/>
        <v>0</v>
      </c>
      <c r="AJ157" s="410"/>
      <c r="AK157" s="411">
        <f t="shared" si="28"/>
        <v>0</v>
      </c>
      <c r="AL157" s="234"/>
      <c r="AM157" s="234"/>
      <c r="AN157" s="234"/>
    </row>
    <row r="158" spans="1:40" ht="20.25">
      <c r="A158" s="316" t="s">
        <v>131</v>
      </c>
      <c r="B158" s="295"/>
      <c r="C158" s="295"/>
      <c r="D158" s="1077"/>
      <c r="E158" s="319"/>
      <c r="F158" s="320"/>
      <c r="G158" s="320"/>
      <c r="H158" s="321"/>
      <c r="I158" s="321"/>
      <c r="J158" s="320"/>
      <c r="K158" s="842"/>
      <c r="L158" s="351"/>
      <c r="M158" s="352"/>
      <c r="N158" s="353"/>
      <c r="O158" s="321"/>
      <c r="P158" s="321"/>
      <c r="Q158" s="321"/>
      <c r="R158" s="321"/>
      <c r="S158" s="321"/>
      <c r="T158" s="321"/>
      <c r="U158" s="351"/>
      <c r="V158" s="352"/>
      <c r="W158" s="319"/>
      <c r="X158" s="320"/>
      <c r="Y158" s="320"/>
      <c r="Z158" s="321"/>
      <c r="AA158" s="321"/>
      <c r="AB158" s="321"/>
      <c r="AC158" s="320"/>
      <c r="AD158" s="380"/>
      <c r="AE158" s="352"/>
      <c r="AF158" s="381">
        <f t="shared" si="26"/>
        <v>0</v>
      </c>
      <c r="AG158" s="381"/>
      <c r="AH158" s="408"/>
      <c r="AI158" s="409">
        <f t="shared" si="27"/>
        <v>0</v>
      </c>
      <c r="AJ158" s="410"/>
      <c r="AK158" s="411">
        <f t="shared" si="28"/>
        <v>0</v>
      </c>
      <c r="AL158" s="234"/>
      <c r="AM158" s="234"/>
      <c r="AN158" s="234"/>
    </row>
    <row r="159" spans="1:40" ht="20.25">
      <c r="A159" s="316" t="s">
        <v>131</v>
      </c>
      <c r="B159" s="295"/>
      <c r="C159" s="295"/>
      <c r="D159" s="1077"/>
      <c r="E159" s="319"/>
      <c r="F159" s="320"/>
      <c r="G159" s="320"/>
      <c r="H159" s="321"/>
      <c r="I159" s="321"/>
      <c r="J159" s="320"/>
      <c r="K159" s="842"/>
      <c r="L159" s="351"/>
      <c r="M159" s="352"/>
      <c r="N159" s="353"/>
      <c r="O159" s="321"/>
      <c r="P159" s="321"/>
      <c r="Q159" s="321"/>
      <c r="R159" s="321"/>
      <c r="S159" s="321"/>
      <c r="T159" s="321"/>
      <c r="U159" s="351"/>
      <c r="V159" s="352"/>
      <c r="W159" s="319"/>
      <c r="X159" s="320"/>
      <c r="Y159" s="320"/>
      <c r="Z159" s="321"/>
      <c r="AA159" s="321"/>
      <c r="AB159" s="321"/>
      <c r="AC159" s="320"/>
      <c r="AD159" s="380"/>
      <c r="AE159" s="352"/>
      <c r="AF159" s="381">
        <f t="shared" si="26"/>
        <v>0</v>
      </c>
      <c r="AG159" s="381"/>
      <c r="AH159" s="408"/>
      <c r="AI159" s="409">
        <f t="shared" si="27"/>
        <v>0</v>
      </c>
      <c r="AJ159" s="410"/>
      <c r="AK159" s="411">
        <f t="shared" si="28"/>
        <v>0</v>
      </c>
      <c r="AL159" s="234"/>
      <c r="AM159" s="234"/>
      <c r="AN159" s="234"/>
    </row>
    <row r="160" spans="1:40" ht="20.25">
      <c r="A160" s="316" t="s">
        <v>131</v>
      </c>
      <c r="B160" s="295"/>
      <c r="C160" s="295"/>
      <c r="D160" s="1077"/>
      <c r="E160" s="319"/>
      <c r="F160" s="320"/>
      <c r="G160" s="320"/>
      <c r="H160" s="321"/>
      <c r="I160" s="321"/>
      <c r="J160" s="320"/>
      <c r="K160" s="842"/>
      <c r="L160" s="351"/>
      <c r="M160" s="352"/>
      <c r="N160" s="353"/>
      <c r="O160" s="321"/>
      <c r="P160" s="321"/>
      <c r="Q160" s="321"/>
      <c r="R160" s="321"/>
      <c r="S160" s="321"/>
      <c r="T160" s="321"/>
      <c r="U160" s="351"/>
      <c r="V160" s="352"/>
      <c r="W160" s="319"/>
      <c r="X160" s="320"/>
      <c r="Y160" s="320"/>
      <c r="Z160" s="321"/>
      <c r="AA160" s="321"/>
      <c r="AB160" s="321"/>
      <c r="AC160" s="320"/>
      <c r="AD160" s="380"/>
      <c r="AE160" s="352"/>
      <c r="AF160" s="381">
        <f t="shared" si="26"/>
        <v>0</v>
      </c>
      <c r="AG160" s="381"/>
      <c r="AH160" s="408"/>
      <c r="AI160" s="409">
        <f t="shared" si="27"/>
        <v>0</v>
      </c>
      <c r="AJ160" s="410"/>
      <c r="AK160" s="411">
        <f t="shared" si="28"/>
        <v>0</v>
      </c>
      <c r="AL160" s="234"/>
      <c r="AM160" s="234"/>
      <c r="AN160" s="234"/>
    </row>
    <row r="161" spans="1:40" ht="20.25">
      <c r="A161" s="316" t="s">
        <v>131</v>
      </c>
      <c r="B161" s="295"/>
      <c r="C161" s="295"/>
      <c r="D161" s="1077"/>
      <c r="E161" s="319"/>
      <c r="F161" s="320"/>
      <c r="G161" s="320"/>
      <c r="H161" s="321"/>
      <c r="I161" s="321"/>
      <c r="J161" s="320"/>
      <c r="K161" s="842"/>
      <c r="L161" s="351"/>
      <c r="M161" s="352"/>
      <c r="N161" s="353"/>
      <c r="O161" s="321"/>
      <c r="P161" s="321"/>
      <c r="Q161" s="321"/>
      <c r="R161" s="321"/>
      <c r="S161" s="321"/>
      <c r="T161" s="321"/>
      <c r="U161" s="351"/>
      <c r="V161" s="352"/>
      <c r="W161" s="319"/>
      <c r="X161" s="320"/>
      <c r="Y161" s="320"/>
      <c r="Z161" s="321"/>
      <c r="AA161" s="321"/>
      <c r="AB161" s="321"/>
      <c r="AC161" s="320"/>
      <c r="AD161" s="380"/>
      <c r="AE161" s="352"/>
      <c r="AF161" s="381">
        <f t="shared" si="26"/>
        <v>0</v>
      </c>
      <c r="AG161" s="381"/>
      <c r="AH161" s="408"/>
      <c r="AI161" s="409">
        <f t="shared" si="27"/>
        <v>0</v>
      </c>
      <c r="AJ161" s="410"/>
      <c r="AK161" s="411">
        <f t="shared" si="28"/>
        <v>0</v>
      </c>
      <c r="AL161" s="234"/>
      <c r="AM161" s="234"/>
      <c r="AN161" s="234"/>
    </row>
    <row r="162" spans="1:40" ht="20.25">
      <c r="A162" s="316" t="s">
        <v>131</v>
      </c>
      <c r="B162" s="295"/>
      <c r="C162" s="295"/>
      <c r="D162" s="1077"/>
      <c r="E162" s="319"/>
      <c r="F162" s="320"/>
      <c r="G162" s="320"/>
      <c r="H162" s="321"/>
      <c r="I162" s="321"/>
      <c r="J162" s="320"/>
      <c r="K162" s="842"/>
      <c r="L162" s="351"/>
      <c r="M162" s="352"/>
      <c r="N162" s="353"/>
      <c r="O162" s="321"/>
      <c r="P162" s="321"/>
      <c r="Q162" s="321"/>
      <c r="R162" s="321"/>
      <c r="S162" s="321"/>
      <c r="T162" s="321"/>
      <c r="U162" s="351"/>
      <c r="V162" s="352"/>
      <c r="W162" s="319"/>
      <c r="X162" s="320"/>
      <c r="Y162" s="320"/>
      <c r="Z162" s="321"/>
      <c r="AA162" s="321"/>
      <c r="AB162" s="321"/>
      <c r="AC162" s="320"/>
      <c r="AD162" s="380"/>
      <c r="AE162" s="352"/>
      <c r="AF162" s="381">
        <f t="shared" si="26"/>
        <v>0</v>
      </c>
      <c r="AG162" s="381"/>
      <c r="AH162" s="408"/>
      <c r="AI162" s="409">
        <f t="shared" si="27"/>
        <v>0</v>
      </c>
      <c r="AJ162" s="410"/>
      <c r="AK162" s="411">
        <f t="shared" si="28"/>
        <v>0</v>
      </c>
      <c r="AL162" s="234"/>
      <c r="AM162" s="234"/>
      <c r="AN162" s="234"/>
    </row>
    <row r="163" spans="1:40" ht="20.25">
      <c r="A163" s="316" t="s">
        <v>131</v>
      </c>
      <c r="B163" s="295"/>
      <c r="C163" s="295"/>
      <c r="D163" s="1077"/>
      <c r="E163" s="319"/>
      <c r="F163" s="320"/>
      <c r="G163" s="320"/>
      <c r="H163" s="321"/>
      <c r="I163" s="321"/>
      <c r="J163" s="320"/>
      <c r="K163" s="842"/>
      <c r="L163" s="351"/>
      <c r="M163" s="352"/>
      <c r="N163" s="353"/>
      <c r="O163" s="321"/>
      <c r="P163" s="321"/>
      <c r="Q163" s="321"/>
      <c r="R163" s="321"/>
      <c r="S163" s="321"/>
      <c r="T163" s="321"/>
      <c r="U163" s="351"/>
      <c r="V163" s="352"/>
      <c r="W163" s="319"/>
      <c r="X163" s="320"/>
      <c r="Y163" s="320"/>
      <c r="Z163" s="321"/>
      <c r="AA163" s="321"/>
      <c r="AB163" s="321"/>
      <c r="AC163" s="320"/>
      <c r="AD163" s="380"/>
      <c r="AE163" s="352"/>
      <c r="AF163" s="381">
        <f t="shared" si="26"/>
        <v>0</v>
      </c>
      <c r="AG163" s="381"/>
      <c r="AH163" s="408"/>
      <c r="AI163" s="409">
        <f t="shared" si="27"/>
        <v>0</v>
      </c>
      <c r="AJ163" s="410"/>
      <c r="AK163" s="411">
        <f t="shared" si="28"/>
        <v>0</v>
      </c>
      <c r="AL163" s="234"/>
      <c r="AM163" s="234"/>
      <c r="AN163" s="234"/>
    </row>
    <row r="164" spans="1:40" ht="20.25">
      <c r="A164" s="316" t="s">
        <v>131</v>
      </c>
      <c r="B164" s="295"/>
      <c r="C164" s="295"/>
      <c r="D164" s="1077"/>
      <c r="E164" s="319"/>
      <c r="F164" s="320"/>
      <c r="G164" s="320"/>
      <c r="H164" s="321"/>
      <c r="I164" s="321"/>
      <c r="J164" s="320"/>
      <c r="K164" s="842"/>
      <c r="L164" s="351"/>
      <c r="M164" s="352"/>
      <c r="N164" s="353"/>
      <c r="O164" s="321"/>
      <c r="P164" s="321"/>
      <c r="Q164" s="321"/>
      <c r="R164" s="321"/>
      <c r="S164" s="321"/>
      <c r="T164" s="321"/>
      <c r="U164" s="351"/>
      <c r="V164" s="352"/>
      <c r="W164" s="319"/>
      <c r="X164" s="320"/>
      <c r="Y164" s="320"/>
      <c r="Z164" s="321"/>
      <c r="AA164" s="321"/>
      <c r="AB164" s="321"/>
      <c r="AC164" s="320"/>
      <c r="AD164" s="380"/>
      <c r="AE164" s="352"/>
      <c r="AF164" s="381">
        <f t="shared" si="26"/>
        <v>0</v>
      </c>
      <c r="AG164" s="381"/>
      <c r="AH164" s="408"/>
      <c r="AI164" s="409">
        <f t="shared" si="27"/>
        <v>0</v>
      </c>
      <c r="AJ164" s="410"/>
      <c r="AK164" s="411">
        <f t="shared" si="28"/>
        <v>0</v>
      </c>
      <c r="AL164" s="234"/>
      <c r="AM164" s="234"/>
      <c r="AN164" s="234"/>
    </row>
    <row r="165" spans="1:40" ht="20.25">
      <c r="A165" s="316" t="s">
        <v>131</v>
      </c>
      <c r="B165" s="295"/>
      <c r="C165" s="295"/>
      <c r="D165" s="1077"/>
      <c r="E165" s="319"/>
      <c r="F165" s="320"/>
      <c r="G165" s="320"/>
      <c r="H165" s="321"/>
      <c r="I165" s="321"/>
      <c r="J165" s="320"/>
      <c r="K165" s="842"/>
      <c r="L165" s="351"/>
      <c r="M165" s="352"/>
      <c r="N165" s="353"/>
      <c r="O165" s="321"/>
      <c r="P165" s="321"/>
      <c r="Q165" s="321"/>
      <c r="R165" s="321"/>
      <c r="S165" s="321"/>
      <c r="T165" s="321"/>
      <c r="U165" s="351"/>
      <c r="V165" s="352"/>
      <c r="W165" s="319"/>
      <c r="X165" s="320"/>
      <c r="Y165" s="320"/>
      <c r="Z165" s="321"/>
      <c r="AA165" s="321"/>
      <c r="AB165" s="321"/>
      <c r="AC165" s="320"/>
      <c r="AD165" s="380"/>
      <c r="AE165" s="352"/>
      <c r="AF165" s="381">
        <f t="shared" si="26"/>
        <v>0</v>
      </c>
      <c r="AG165" s="381"/>
      <c r="AH165" s="408"/>
      <c r="AI165" s="409">
        <f t="shared" si="27"/>
        <v>0</v>
      </c>
      <c r="AJ165" s="410"/>
      <c r="AK165" s="411">
        <f t="shared" si="28"/>
        <v>0</v>
      </c>
      <c r="AL165" s="234"/>
      <c r="AM165" s="234"/>
      <c r="AN165" s="234"/>
    </row>
    <row r="166" spans="1:40" ht="20.25">
      <c r="A166" s="316" t="s">
        <v>131</v>
      </c>
      <c r="B166" s="295"/>
      <c r="C166" s="295"/>
      <c r="D166" s="1077"/>
      <c r="E166" s="319"/>
      <c r="F166" s="320"/>
      <c r="G166" s="320"/>
      <c r="H166" s="321"/>
      <c r="I166" s="321"/>
      <c r="J166" s="320"/>
      <c r="K166" s="842"/>
      <c r="L166" s="351"/>
      <c r="M166" s="352"/>
      <c r="N166" s="353"/>
      <c r="O166" s="321"/>
      <c r="P166" s="321"/>
      <c r="Q166" s="321"/>
      <c r="R166" s="321"/>
      <c r="S166" s="321"/>
      <c r="T166" s="321"/>
      <c r="U166" s="351"/>
      <c r="V166" s="352"/>
      <c r="W166" s="319"/>
      <c r="X166" s="320"/>
      <c r="Y166" s="320"/>
      <c r="Z166" s="321"/>
      <c r="AA166" s="321"/>
      <c r="AB166" s="321"/>
      <c r="AC166" s="320"/>
      <c r="AD166" s="380"/>
      <c r="AE166" s="352"/>
      <c r="AF166" s="381">
        <f t="shared" si="26"/>
        <v>0</v>
      </c>
      <c r="AG166" s="381"/>
      <c r="AH166" s="408"/>
      <c r="AI166" s="409">
        <f t="shared" si="27"/>
        <v>0</v>
      </c>
      <c r="AJ166" s="410"/>
      <c r="AK166" s="411">
        <f t="shared" si="28"/>
        <v>0</v>
      </c>
      <c r="AL166" s="234"/>
      <c r="AM166" s="234"/>
      <c r="AN166" s="234"/>
    </row>
    <row r="167" spans="1:40" ht="20.25">
      <c r="A167" s="316" t="s">
        <v>131</v>
      </c>
      <c r="B167" s="295"/>
      <c r="C167" s="295"/>
      <c r="D167" s="1077"/>
      <c r="E167" s="319"/>
      <c r="F167" s="320"/>
      <c r="G167" s="320"/>
      <c r="H167" s="321"/>
      <c r="I167" s="321"/>
      <c r="J167" s="320"/>
      <c r="K167" s="842"/>
      <c r="L167" s="351"/>
      <c r="M167" s="352"/>
      <c r="N167" s="353"/>
      <c r="O167" s="321"/>
      <c r="P167" s="321"/>
      <c r="Q167" s="321"/>
      <c r="R167" s="321"/>
      <c r="S167" s="321"/>
      <c r="T167" s="321"/>
      <c r="U167" s="351"/>
      <c r="V167" s="352"/>
      <c r="W167" s="319"/>
      <c r="X167" s="320"/>
      <c r="Y167" s="320"/>
      <c r="Z167" s="321"/>
      <c r="AA167" s="321"/>
      <c r="AB167" s="321"/>
      <c r="AC167" s="320"/>
      <c r="AD167" s="380"/>
      <c r="AE167" s="352"/>
      <c r="AF167" s="381">
        <f t="shared" si="26"/>
        <v>0</v>
      </c>
      <c r="AG167" s="381"/>
      <c r="AH167" s="408"/>
      <c r="AI167" s="409">
        <f t="shared" si="27"/>
        <v>0</v>
      </c>
      <c r="AJ167" s="410"/>
      <c r="AK167" s="411">
        <f t="shared" si="28"/>
        <v>0</v>
      </c>
      <c r="AL167" s="234"/>
      <c r="AM167" s="234"/>
      <c r="AN167" s="234"/>
    </row>
    <row r="168" spans="1:40" ht="21" thickBot="1">
      <c r="A168" s="316" t="s">
        <v>131</v>
      </c>
      <c r="B168" s="295"/>
      <c r="C168" s="295"/>
      <c r="D168" s="1077"/>
      <c r="E168" s="319"/>
      <c r="F168" s="320"/>
      <c r="G168" s="320"/>
      <c r="H168" s="321"/>
      <c r="I168" s="321"/>
      <c r="J168" s="320"/>
      <c r="K168" s="842"/>
      <c r="L168" s="351"/>
      <c r="M168" s="352"/>
      <c r="N168" s="353"/>
      <c r="O168" s="321"/>
      <c r="P168" s="321"/>
      <c r="Q168" s="321"/>
      <c r="R168" s="321"/>
      <c r="S168" s="321"/>
      <c r="T168" s="321"/>
      <c r="U168" s="351"/>
      <c r="V168" s="352"/>
      <c r="W168" s="319"/>
      <c r="X168" s="320"/>
      <c r="Y168" s="320"/>
      <c r="Z168" s="321"/>
      <c r="AA168" s="321"/>
      <c r="AB168" s="321"/>
      <c r="AC168" s="320"/>
      <c r="AD168" s="380"/>
      <c r="AE168" s="352"/>
      <c r="AF168" s="381">
        <f t="shared" si="26"/>
        <v>0</v>
      </c>
      <c r="AG168" s="381"/>
      <c r="AH168" s="408"/>
      <c r="AI168" s="409">
        <f t="shared" si="27"/>
        <v>0</v>
      </c>
      <c r="AJ168" s="410"/>
      <c r="AK168" s="411">
        <f t="shared" si="28"/>
        <v>0</v>
      </c>
      <c r="AL168" s="234"/>
      <c r="AM168" s="234"/>
      <c r="AN168" s="234"/>
    </row>
    <row r="169" spans="1:40" ht="21" thickBot="1">
      <c r="A169" s="316" t="s">
        <v>131</v>
      </c>
      <c r="B169" s="295"/>
      <c r="C169" s="295"/>
      <c r="D169" s="1077"/>
      <c r="E169" s="319"/>
      <c r="F169" s="320"/>
      <c r="G169" s="320"/>
      <c r="H169" s="321"/>
      <c r="I169" s="321"/>
      <c r="J169" s="320"/>
      <c r="K169" s="842"/>
      <c r="L169" s="351"/>
      <c r="M169" s="352"/>
      <c r="N169" s="353"/>
      <c r="O169" s="321"/>
      <c r="P169" s="321"/>
      <c r="Q169" s="321"/>
      <c r="R169" s="321"/>
      <c r="S169" s="321"/>
      <c r="T169" s="321"/>
      <c r="U169" s="351"/>
      <c r="V169" s="352"/>
      <c r="W169" s="319"/>
      <c r="X169" s="320"/>
      <c r="Y169" s="320"/>
      <c r="Z169" s="321"/>
      <c r="AA169" s="321"/>
      <c r="AB169" s="321"/>
      <c r="AC169" s="320"/>
      <c r="AD169" s="380"/>
      <c r="AE169" s="352"/>
      <c r="AF169" s="381">
        <f t="shared" si="26"/>
        <v>0</v>
      </c>
      <c r="AG169" s="381"/>
      <c r="AH169" s="408"/>
      <c r="AI169" s="409">
        <f t="shared" si="27"/>
        <v>0</v>
      </c>
      <c r="AJ169" s="410"/>
      <c r="AK169" s="411">
        <f t="shared" si="28"/>
        <v>0</v>
      </c>
      <c r="AL169" s="414" t="s">
        <v>8</v>
      </c>
      <c r="AM169" s="397" t="s">
        <v>23</v>
      </c>
      <c r="AN169" s="415" t="s">
        <v>174</v>
      </c>
    </row>
    <row r="170" spans="1:40" s="284" customFormat="1" ht="21" thickBot="1">
      <c r="A170" s="316" t="s">
        <v>131</v>
      </c>
      <c r="B170" s="295"/>
      <c r="C170" s="295"/>
      <c r="D170" s="1077"/>
      <c r="E170" s="319"/>
      <c r="F170" s="320"/>
      <c r="G170" s="320"/>
      <c r="H170" s="321"/>
      <c r="I170" s="321"/>
      <c r="J170" s="320"/>
      <c r="K170" s="842"/>
      <c r="L170" s="351"/>
      <c r="M170" s="352"/>
      <c r="N170" s="353"/>
      <c r="O170" s="321"/>
      <c r="P170" s="321"/>
      <c r="Q170" s="321"/>
      <c r="R170" s="321"/>
      <c r="S170" s="321"/>
      <c r="T170" s="321"/>
      <c r="U170" s="351"/>
      <c r="V170" s="352"/>
      <c r="W170" s="319"/>
      <c r="X170" s="320"/>
      <c r="Y170" s="320"/>
      <c r="Z170" s="321"/>
      <c r="AA170" s="321"/>
      <c r="AB170" s="321"/>
      <c r="AC170" s="320"/>
      <c r="AD170" s="380"/>
      <c r="AE170" s="352"/>
      <c r="AF170" s="381">
        <f t="shared" si="26"/>
        <v>0</v>
      </c>
      <c r="AG170" s="381"/>
      <c r="AH170" s="408"/>
      <c r="AI170" s="409">
        <f t="shared" si="27"/>
        <v>0</v>
      </c>
      <c r="AJ170" s="410"/>
      <c r="AK170" s="411">
        <f t="shared" si="28"/>
        <v>0</v>
      </c>
      <c r="AL170" s="399" t="e">
        <f>'BIG CHAIR'!#REF!</f>
        <v>#REF!</v>
      </c>
      <c r="AM170" s="400">
        <f>'Tea Table'!X269</f>
        <v>0</v>
      </c>
      <c r="AN170" s="401" t="e">
        <f>AI173+AL170+AM170</f>
        <v>#REF!</v>
      </c>
    </row>
    <row r="171" spans="1:40" s="282" customFormat="1" ht="20.25">
      <c r="A171" s="316" t="s">
        <v>131</v>
      </c>
      <c r="B171" s="295"/>
      <c r="C171" s="295"/>
      <c r="D171" s="1077"/>
      <c r="E171" s="319"/>
      <c r="F171" s="320"/>
      <c r="G171" s="320"/>
      <c r="H171" s="321"/>
      <c r="I171" s="321"/>
      <c r="J171" s="320"/>
      <c r="K171" s="842"/>
      <c r="L171" s="351"/>
      <c r="M171" s="352"/>
      <c r="N171" s="353"/>
      <c r="O171" s="321"/>
      <c r="P171" s="321"/>
      <c r="Q171" s="321"/>
      <c r="R171" s="321"/>
      <c r="S171" s="321"/>
      <c r="T171" s="321"/>
      <c r="U171" s="351"/>
      <c r="V171" s="352"/>
      <c r="W171" s="319"/>
      <c r="X171" s="320"/>
      <c r="Y171" s="320"/>
      <c r="Z171" s="321"/>
      <c r="AA171" s="321"/>
      <c r="AB171" s="321"/>
      <c r="AC171" s="320"/>
      <c r="AD171" s="380"/>
      <c r="AE171" s="352"/>
      <c r="AF171" s="381">
        <f t="shared" si="26"/>
        <v>0</v>
      </c>
      <c r="AG171" s="381"/>
      <c r="AH171" s="408"/>
      <c r="AI171" s="409">
        <f t="shared" si="27"/>
        <v>0</v>
      </c>
      <c r="AJ171" s="410"/>
      <c r="AK171" s="411">
        <f t="shared" si="28"/>
        <v>0</v>
      </c>
    </row>
    <row r="172" spans="1:40" s="283" customFormat="1" ht="21" thickBot="1">
      <c r="A172" s="316" t="s">
        <v>131</v>
      </c>
      <c r="B172" s="323"/>
      <c r="C172" s="323"/>
      <c r="D172" s="1078"/>
      <c r="E172" s="325"/>
      <c r="F172" s="297"/>
      <c r="G172" s="297"/>
      <c r="H172" s="298"/>
      <c r="I172" s="298"/>
      <c r="J172" s="297"/>
      <c r="K172" s="1086"/>
      <c r="L172" s="367"/>
      <c r="M172" s="355"/>
      <c r="N172" s="343"/>
      <c r="O172" s="298"/>
      <c r="P172" s="298"/>
      <c r="Q172" s="298"/>
      <c r="R172" s="298"/>
      <c r="S172" s="298"/>
      <c r="T172" s="298"/>
      <c r="U172" s="367"/>
      <c r="V172" s="355"/>
      <c r="W172" s="325"/>
      <c r="X172" s="297"/>
      <c r="Y172" s="297"/>
      <c r="Z172" s="298"/>
      <c r="AA172" s="298"/>
      <c r="AB172" s="298"/>
      <c r="AC172" s="297"/>
      <c r="AD172" s="375"/>
      <c r="AE172" s="355"/>
      <c r="AF172" s="376">
        <f t="shared" si="26"/>
        <v>0</v>
      </c>
      <c r="AG172" s="377"/>
      <c r="AH172" s="390"/>
      <c r="AI172" s="391">
        <f t="shared" si="27"/>
        <v>0</v>
      </c>
      <c r="AJ172" s="412"/>
      <c r="AK172" s="413">
        <f t="shared" si="28"/>
        <v>0</v>
      </c>
      <c r="AL172" s="234"/>
      <c r="AM172" s="234"/>
      <c r="AN172" s="234"/>
    </row>
    <row r="173" spans="1:40" s="283" customFormat="1" ht="19.5" thickBot="1">
      <c r="A173" s="326" t="s">
        <v>132</v>
      </c>
      <c r="B173" s="327"/>
      <c r="C173" s="327"/>
      <c r="D173" s="328"/>
      <c r="E173" s="329">
        <f t="shared" ref="E173:L173" si="29">SUM(E142:E172)</f>
        <v>0</v>
      </c>
      <c r="F173" s="329">
        <f t="shared" si="29"/>
        <v>0</v>
      </c>
      <c r="G173" s="329">
        <f t="shared" si="29"/>
        <v>0</v>
      </c>
      <c r="H173" s="329">
        <f t="shared" si="29"/>
        <v>0</v>
      </c>
      <c r="I173" s="329">
        <f t="shared" si="29"/>
        <v>0</v>
      </c>
      <c r="J173" s="329">
        <f t="shared" si="29"/>
        <v>0</v>
      </c>
      <c r="K173" s="329">
        <f t="shared" si="29"/>
        <v>0</v>
      </c>
      <c r="L173" s="329">
        <f t="shared" si="29"/>
        <v>0</v>
      </c>
      <c r="M173" s="357"/>
      <c r="N173" s="358">
        <f t="shared" ref="N173:U173" si="30">SUM(N142:N172)</f>
        <v>0</v>
      </c>
      <c r="O173" s="359">
        <f t="shared" si="30"/>
        <v>0</v>
      </c>
      <c r="P173" s="359">
        <f t="shared" si="30"/>
        <v>0</v>
      </c>
      <c r="Q173" s="359">
        <f t="shared" si="30"/>
        <v>0</v>
      </c>
      <c r="R173" s="359">
        <f t="shared" si="30"/>
        <v>0</v>
      </c>
      <c r="S173" s="359">
        <f t="shared" si="30"/>
        <v>0</v>
      </c>
      <c r="T173" s="359">
        <f t="shared" si="30"/>
        <v>0</v>
      </c>
      <c r="U173" s="369">
        <f t="shared" si="30"/>
        <v>0</v>
      </c>
      <c r="V173" s="357"/>
      <c r="W173" s="358">
        <f t="shared" ref="W173:AD173" si="31">SUM(W142:W172)</f>
        <v>0</v>
      </c>
      <c r="X173" s="358">
        <f t="shared" si="31"/>
        <v>0</v>
      </c>
      <c r="Y173" s="358">
        <f t="shared" si="31"/>
        <v>0</v>
      </c>
      <c r="Z173" s="358">
        <f t="shared" si="31"/>
        <v>0</v>
      </c>
      <c r="AA173" s="358">
        <f t="shared" si="31"/>
        <v>0</v>
      </c>
      <c r="AB173" s="358">
        <f t="shared" si="31"/>
        <v>0</v>
      </c>
      <c r="AC173" s="358">
        <f t="shared" si="31"/>
        <v>0</v>
      </c>
      <c r="AD173" s="358">
        <f t="shared" si="31"/>
        <v>0</v>
      </c>
      <c r="AE173" s="357"/>
      <c r="AF173" s="382">
        <f t="shared" ref="AF173:AK173" si="32">SUM(AF142:AF172)</f>
        <v>0</v>
      </c>
      <c r="AG173" s="382">
        <f t="shared" si="32"/>
        <v>0</v>
      </c>
      <c r="AH173" s="416">
        <f t="shared" si="32"/>
        <v>0</v>
      </c>
      <c r="AI173" s="417">
        <f t="shared" si="32"/>
        <v>0</v>
      </c>
      <c r="AJ173" s="382">
        <f t="shared" si="32"/>
        <v>0</v>
      </c>
      <c r="AK173" s="418">
        <f t="shared" si="32"/>
        <v>0</v>
      </c>
      <c r="AL173" s="234"/>
      <c r="AM173" s="234"/>
      <c r="AN173" s="234"/>
    </row>
    <row r="174" spans="1:40" s="283" customFormat="1" ht="24" thickBot="1">
      <c r="A174" s="286" t="s">
        <v>393</v>
      </c>
      <c r="B174" s="287" t="s">
        <v>68</v>
      </c>
      <c r="C174" s="287" t="s">
        <v>69</v>
      </c>
      <c r="D174" s="3550" t="s">
        <v>70</v>
      </c>
      <c r="E174" s="743" t="s">
        <v>96</v>
      </c>
      <c r="F174" s="744" t="s">
        <v>124</v>
      </c>
      <c r="G174" s="744" t="s">
        <v>228</v>
      </c>
      <c r="H174" s="744" t="s">
        <v>149</v>
      </c>
      <c r="I174" s="744" t="s">
        <v>470</v>
      </c>
      <c r="J174" s="744" t="s">
        <v>92</v>
      </c>
      <c r="K174" s="50" t="s">
        <v>479</v>
      </c>
      <c r="L174" s="783" t="s">
        <v>123</v>
      </c>
      <c r="M174" s="1089"/>
      <c r="N174" s="80" t="s">
        <v>71</v>
      </c>
      <c r="O174" s="49" t="s">
        <v>53</v>
      </c>
      <c r="P174" s="49" t="s">
        <v>118</v>
      </c>
      <c r="Q174" s="49" t="s">
        <v>74</v>
      </c>
      <c r="R174" s="49" t="s">
        <v>75</v>
      </c>
      <c r="S174" s="49" t="s">
        <v>94</v>
      </c>
      <c r="T174" s="126" t="s">
        <v>77</v>
      </c>
      <c r="U174" s="171" t="s">
        <v>101</v>
      </c>
      <c r="V174" s="79"/>
      <c r="W174" s="764" t="s">
        <v>482</v>
      </c>
      <c r="X174" s="765" t="s">
        <v>476</v>
      </c>
      <c r="Y174" s="765" t="e">
        <f>#REF!</f>
        <v>#REF!</v>
      </c>
      <c r="Z174" s="49" t="s">
        <v>575</v>
      </c>
      <c r="AA174" s="744" t="s">
        <v>75</v>
      </c>
      <c r="AB174" s="744" t="s">
        <v>53</v>
      </c>
      <c r="AC174" s="783" t="s">
        <v>230</v>
      </c>
      <c r="AD174" s="372" t="s">
        <v>95</v>
      </c>
      <c r="AE174" s="370"/>
      <c r="AF174" s="371" t="s">
        <v>172</v>
      </c>
      <c r="AG174" s="372" t="s">
        <v>80</v>
      </c>
      <c r="AH174" s="385"/>
      <c r="AI174" s="386" t="s">
        <v>106</v>
      </c>
      <c r="AJ174" s="385" t="s">
        <v>173</v>
      </c>
      <c r="AK174" s="371" t="s">
        <v>108</v>
      </c>
      <c r="AL174" s="234"/>
      <c r="AM174" s="234"/>
      <c r="AN174" s="234"/>
    </row>
    <row r="175" spans="1:40" s="283" customFormat="1" ht="20.25">
      <c r="A175" s="316" t="s">
        <v>392</v>
      </c>
      <c r="B175" s="317" t="s">
        <v>472</v>
      </c>
      <c r="C175" s="317"/>
      <c r="D175" s="1077"/>
      <c r="E175" s="319"/>
      <c r="F175" s="320"/>
      <c r="G175" s="320"/>
      <c r="H175" s="321"/>
      <c r="I175" s="321"/>
      <c r="J175" s="320"/>
      <c r="K175" s="1090"/>
      <c r="L175" s="363"/>
      <c r="M175" s="352"/>
      <c r="N175" s="353"/>
      <c r="O175" s="320"/>
      <c r="P175" s="320"/>
      <c r="Q175" s="321"/>
      <c r="R175" s="321"/>
      <c r="S175" s="321"/>
      <c r="T175" s="320"/>
      <c r="U175" s="351"/>
      <c r="V175" s="352"/>
      <c r="W175" s="362"/>
      <c r="X175" s="334"/>
      <c r="Y175" s="334"/>
      <c r="Z175" s="334"/>
      <c r="AA175" s="334"/>
      <c r="AB175" s="334"/>
      <c r="AC175" s="334"/>
      <c r="AD175" s="380"/>
      <c r="AE175" s="352"/>
      <c r="AF175" s="381">
        <f>SUM(E175:AD175)</f>
        <v>0</v>
      </c>
      <c r="AG175" s="381"/>
      <c r="AH175" s="408"/>
      <c r="AI175" s="409">
        <f>AF175+AG175</f>
        <v>0</v>
      </c>
      <c r="AJ175" s="410"/>
      <c r="AK175" s="411">
        <f>AI175+AJ175</f>
        <v>0</v>
      </c>
      <c r="AL175" s="234"/>
      <c r="AM175" s="234"/>
      <c r="AN175" s="234"/>
    </row>
    <row r="176" spans="1:40" s="283" customFormat="1" ht="20.25">
      <c r="A176" s="316" t="s">
        <v>392</v>
      </c>
      <c r="B176" s="822"/>
      <c r="C176" s="295"/>
      <c r="D176" s="1077"/>
      <c r="E176" s="319"/>
      <c r="F176" s="320"/>
      <c r="G176" s="320"/>
      <c r="H176" s="321"/>
      <c r="I176" s="321"/>
      <c r="J176" s="320"/>
      <c r="K176" s="1090"/>
      <c r="L176" s="363"/>
      <c r="M176" s="352"/>
      <c r="N176" s="353"/>
      <c r="O176" s="321"/>
      <c r="P176" s="321"/>
      <c r="Q176" s="321"/>
      <c r="R176" s="321"/>
      <c r="S176" s="321"/>
      <c r="T176" s="321"/>
      <c r="U176" s="351"/>
      <c r="V176" s="352"/>
      <c r="W176" s="319"/>
      <c r="X176" s="320"/>
      <c r="Y176" s="320"/>
      <c r="Z176" s="321"/>
      <c r="AA176" s="321"/>
      <c r="AB176" s="321"/>
      <c r="AC176" s="320"/>
      <c r="AD176" s="380"/>
      <c r="AE176" s="352"/>
      <c r="AF176" s="381">
        <f>SUM(E176:AD176)</f>
        <v>0</v>
      </c>
      <c r="AG176" s="381"/>
      <c r="AH176" s="408"/>
      <c r="AI176" s="409">
        <f>AF176+AG176</f>
        <v>0</v>
      </c>
      <c r="AJ176" s="410"/>
      <c r="AK176" s="411">
        <f>AI176+AJ176</f>
        <v>0</v>
      </c>
      <c r="AL176" s="234"/>
      <c r="AM176" s="234"/>
      <c r="AN176" s="234"/>
    </row>
    <row r="177" spans="1:40" s="283" customFormat="1" ht="20.25">
      <c r="A177" s="316" t="s">
        <v>392</v>
      </c>
      <c r="B177" s="822"/>
      <c r="C177" s="295"/>
      <c r="D177" s="1077"/>
      <c r="E177" s="319"/>
      <c r="F177" s="320"/>
      <c r="G177" s="320"/>
      <c r="H177" s="321"/>
      <c r="I177" s="321"/>
      <c r="J177" s="320"/>
      <c r="K177" s="1090"/>
      <c r="L177" s="363"/>
      <c r="M177" s="352"/>
      <c r="N177" s="353"/>
      <c r="O177" s="321"/>
      <c r="P177" s="321"/>
      <c r="Q177" s="321"/>
      <c r="R177" s="321"/>
      <c r="S177" s="321"/>
      <c r="T177" s="321"/>
      <c r="U177" s="351"/>
      <c r="V177" s="352"/>
      <c r="W177" s="319"/>
      <c r="X177" s="320"/>
      <c r="Y177" s="320"/>
      <c r="Z177" s="321"/>
      <c r="AA177" s="321"/>
      <c r="AB177" s="321"/>
      <c r="AC177" s="320"/>
      <c r="AD177" s="380"/>
      <c r="AE177" s="352"/>
      <c r="AF177" s="381">
        <f>SUM(E177:AD177)</f>
        <v>0</v>
      </c>
      <c r="AG177" s="381"/>
      <c r="AH177" s="408"/>
      <c r="AI177" s="409">
        <f>AF177+AG177</f>
        <v>0</v>
      </c>
      <c r="AJ177" s="410"/>
      <c r="AK177" s="411">
        <f>AI177+AJ177</f>
        <v>0</v>
      </c>
      <c r="AL177" s="234"/>
      <c r="AM177" s="234"/>
      <c r="AN177" s="234"/>
    </row>
    <row r="178" spans="1:40" s="284" customFormat="1" ht="20.25">
      <c r="A178" s="316" t="s">
        <v>392</v>
      </c>
      <c r="B178" s="822"/>
      <c r="C178" s="295"/>
      <c r="D178" s="1077"/>
      <c r="E178" s="319"/>
      <c r="F178" s="320"/>
      <c r="G178" s="320"/>
      <c r="H178" s="321"/>
      <c r="I178" s="321"/>
      <c r="J178" s="320"/>
      <c r="K178" s="1091"/>
      <c r="L178" s="363"/>
      <c r="M178" s="352"/>
      <c r="N178" s="353"/>
      <c r="O178" s="321"/>
      <c r="P178" s="321"/>
      <c r="Q178" s="321"/>
      <c r="R178" s="321"/>
      <c r="S178" s="321"/>
      <c r="T178" s="321"/>
      <c r="U178" s="351"/>
      <c r="V178" s="352"/>
      <c r="W178" s="319"/>
      <c r="X178" s="320"/>
      <c r="Y178" s="320"/>
      <c r="Z178" s="321"/>
      <c r="AA178" s="321"/>
      <c r="AB178" s="321"/>
      <c r="AC178" s="320"/>
      <c r="AD178" s="380"/>
      <c r="AE178" s="352"/>
      <c r="AF178" s="381">
        <f>SUM(E178:AD178)</f>
        <v>0</v>
      </c>
      <c r="AG178" s="381"/>
      <c r="AH178" s="408"/>
      <c r="AI178" s="409">
        <f>AF178+AG178</f>
        <v>0</v>
      </c>
      <c r="AJ178" s="410"/>
      <c r="AK178" s="411">
        <f>AI178+AJ178</f>
        <v>0</v>
      </c>
      <c r="AL178" s="234"/>
      <c r="AM178" s="234"/>
      <c r="AN178" s="234"/>
    </row>
    <row r="179" spans="1:40" s="282" customFormat="1" ht="20.25">
      <c r="A179" s="316" t="s">
        <v>392</v>
      </c>
      <c r="B179" s="822"/>
      <c r="C179" s="295"/>
      <c r="D179" s="1077"/>
      <c r="E179" s="319"/>
      <c r="F179" s="320"/>
      <c r="G179" s="320"/>
      <c r="H179" s="321"/>
      <c r="I179" s="321"/>
      <c r="J179" s="320"/>
      <c r="K179" s="1090"/>
      <c r="L179" s="363"/>
      <c r="M179" s="352"/>
      <c r="N179" s="353"/>
      <c r="O179" s="321"/>
      <c r="P179" s="321"/>
      <c r="Q179" s="321"/>
      <c r="R179" s="321"/>
      <c r="S179" s="321"/>
      <c r="T179" s="321"/>
      <c r="U179" s="351"/>
      <c r="V179" s="352"/>
      <c r="W179" s="319"/>
      <c r="X179" s="320"/>
      <c r="Y179" s="320"/>
      <c r="Z179" s="321"/>
      <c r="AA179" s="321"/>
      <c r="AB179" s="321"/>
      <c r="AC179" s="320"/>
      <c r="AD179" s="380"/>
      <c r="AE179" s="352"/>
      <c r="AF179" s="381">
        <f>SUM(E179:AD179)</f>
        <v>0</v>
      </c>
      <c r="AG179" s="381"/>
      <c r="AH179" s="408"/>
      <c r="AI179" s="409">
        <f>AF179+AG179</f>
        <v>0</v>
      </c>
      <c r="AJ179" s="410"/>
      <c r="AK179" s="411">
        <f>AI179+AJ179</f>
        <v>0</v>
      </c>
      <c r="AL179" s="234"/>
      <c r="AM179" s="234"/>
      <c r="AN179" s="234"/>
    </row>
    <row r="180" spans="1:40" s="283" customFormat="1" ht="20.25">
      <c r="A180" s="316" t="s">
        <v>392</v>
      </c>
      <c r="B180" s="822"/>
      <c r="C180" s="295"/>
      <c r="D180" s="1077"/>
      <c r="E180" s="319"/>
      <c r="F180" s="320"/>
      <c r="G180" s="320"/>
      <c r="H180" s="321"/>
      <c r="I180" s="321"/>
      <c r="J180" s="320"/>
      <c r="K180" s="1090"/>
      <c r="L180" s="363"/>
      <c r="M180" s="352"/>
      <c r="N180" s="353"/>
      <c r="O180" s="321"/>
      <c r="P180" s="321"/>
      <c r="Q180" s="321"/>
      <c r="R180" s="321"/>
      <c r="S180" s="321"/>
      <c r="T180" s="321"/>
      <c r="U180" s="351"/>
      <c r="V180" s="352"/>
      <c r="W180" s="319"/>
      <c r="X180" s="320"/>
      <c r="Y180" s="320"/>
      <c r="Z180" s="321"/>
      <c r="AA180" s="321"/>
      <c r="AB180" s="321"/>
      <c r="AC180" s="320"/>
      <c r="AD180" s="380"/>
      <c r="AE180" s="352"/>
      <c r="AF180" s="381">
        <f t="shared" ref="AF180:AF207" si="33">SUM(E180:AD180)</f>
        <v>0</v>
      </c>
      <c r="AG180" s="381"/>
      <c r="AH180" s="408"/>
      <c r="AI180" s="409">
        <f t="shared" ref="AI180:AI207" si="34">AF180+AG180</f>
        <v>0</v>
      </c>
      <c r="AJ180" s="410"/>
      <c r="AK180" s="411">
        <f t="shared" ref="AK180:AK207" si="35">AI180+AJ180</f>
        <v>0</v>
      </c>
      <c r="AL180" s="234"/>
      <c r="AM180" s="234"/>
      <c r="AN180" s="234"/>
    </row>
    <row r="181" spans="1:40" s="283" customFormat="1" ht="20.25">
      <c r="A181" s="551"/>
      <c r="B181" s="710"/>
      <c r="C181" s="295"/>
      <c r="D181" s="1077"/>
      <c r="E181" s="319"/>
      <c r="F181" s="320"/>
      <c r="G181" s="320"/>
      <c r="H181" s="321"/>
      <c r="I181" s="321"/>
      <c r="J181" s="320"/>
      <c r="K181" s="1090"/>
      <c r="L181" s="351"/>
      <c r="M181" s="352"/>
      <c r="N181" s="353"/>
      <c r="O181" s="321"/>
      <c r="P181" s="321"/>
      <c r="Q181" s="321"/>
      <c r="R181" s="321"/>
      <c r="S181" s="321"/>
      <c r="T181" s="321"/>
      <c r="U181" s="351"/>
      <c r="V181" s="352"/>
      <c r="W181" s="319"/>
      <c r="X181" s="320"/>
      <c r="Y181" s="320"/>
      <c r="Z181" s="321"/>
      <c r="AA181" s="321"/>
      <c r="AB181" s="321"/>
      <c r="AC181" s="320"/>
      <c r="AD181" s="380"/>
      <c r="AE181" s="352"/>
      <c r="AF181" s="381">
        <f t="shared" si="33"/>
        <v>0</v>
      </c>
      <c r="AG181" s="381"/>
      <c r="AH181" s="408"/>
      <c r="AI181" s="409">
        <f t="shared" si="34"/>
        <v>0</v>
      </c>
      <c r="AJ181" s="410"/>
      <c r="AK181" s="411">
        <f t="shared" si="35"/>
        <v>0</v>
      </c>
      <c r="AL181" s="234"/>
      <c r="AM181" s="234"/>
      <c r="AN181" s="234"/>
    </row>
    <row r="182" spans="1:40" s="283" customFormat="1" ht="20.25">
      <c r="A182" s="316" t="s">
        <v>392</v>
      </c>
      <c r="B182" s="710"/>
      <c r="C182" s="295"/>
      <c r="D182" s="1077"/>
      <c r="E182" s="319"/>
      <c r="F182" s="320"/>
      <c r="G182" s="320"/>
      <c r="H182" s="321"/>
      <c r="I182" s="321"/>
      <c r="J182" s="320"/>
      <c r="K182" s="1090"/>
      <c r="L182" s="351"/>
      <c r="M182" s="352"/>
      <c r="N182" s="353"/>
      <c r="O182" s="321"/>
      <c r="P182" s="321"/>
      <c r="Q182" s="321"/>
      <c r="R182" s="321"/>
      <c r="S182" s="321"/>
      <c r="T182" s="321"/>
      <c r="U182" s="351"/>
      <c r="V182" s="352"/>
      <c r="W182" s="319"/>
      <c r="X182" s="320"/>
      <c r="Y182" s="320"/>
      <c r="Z182" s="321"/>
      <c r="AA182" s="321"/>
      <c r="AB182" s="321"/>
      <c r="AC182" s="320"/>
      <c r="AD182" s="380"/>
      <c r="AE182" s="352"/>
      <c r="AF182" s="381">
        <f t="shared" si="33"/>
        <v>0</v>
      </c>
      <c r="AG182" s="381"/>
      <c r="AH182" s="408"/>
      <c r="AI182" s="409">
        <f t="shared" si="34"/>
        <v>0</v>
      </c>
      <c r="AJ182" s="410"/>
      <c r="AK182" s="411">
        <f t="shared" si="35"/>
        <v>0</v>
      </c>
      <c r="AL182" s="234"/>
      <c r="AM182" s="234"/>
      <c r="AN182" s="234"/>
    </row>
    <row r="183" spans="1:40" s="283" customFormat="1" ht="20.25">
      <c r="A183" s="316" t="s">
        <v>392</v>
      </c>
      <c r="B183" s="710"/>
      <c r="C183" s="295"/>
      <c r="D183" s="1077"/>
      <c r="E183" s="319"/>
      <c r="F183" s="320"/>
      <c r="G183" s="320"/>
      <c r="H183" s="321"/>
      <c r="I183" s="321"/>
      <c r="J183" s="320"/>
      <c r="K183" s="1090"/>
      <c r="L183" s="351"/>
      <c r="M183" s="352"/>
      <c r="N183" s="353"/>
      <c r="O183" s="321"/>
      <c r="P183" s="321"/>
      <c r="Q183" s="321"/>
      <c r="R183" s="321"/>
      <c r="S183" s="321"/>
      <c r="T183" s="321"/>
      <c r="U183" s="351"/>
      <c r="V183" s="352"/>
      <c r="W183" s="319"/>
      <c r="X183" s="320"/>
      <c r="Y183" s="320"/>
      <c r="Z183" s="321"/>
      <c r="AA183" s="321"/>
      <c r="AB183" s="321"/>
      <c r="AC183" s="320"/>
      <c r="AD183" s="380"/>
      <c r="AE183" s="352"/>
      <c r="AF183" s="381">
        <f t="shared" si="33"/>
        <v>0</v>
      </c>
      <c r="AG183" s="381"/>
      <c r="AH183" s="408"/>
      <c r="AI183" s="409">
        <f t="shared" si="34"/>
        <v>0</v>
      </c>
      <c r="AJ183" s="410"/>
      <c r="AK183" s="411">
        <f t="shared" si="35"/>
        <v>0</v>
      </c>
      <c r="AL183" s="234"/>
      <c r="AM183" s="234"/>
      <c r="AN183" s="234"/>
    </row>
    <row r="184" spans="1:40" s="283" customFormat="1" ht="20.25">
      <c r="A184" s="316" t="s">
        <v>392</v>
      </c>
      <c r="B184" s="710"/>
      <c r="C184" s="295"/>
      <c r="D184" s="1077"/>
      <c r="E184" s="319"/>
      <c r="F184" s="320"/>
      <c r="G184" s="320"/>
      <c r="H184" s="321"/>
      <c r="I184" s="321"/>
      <c r="J184" s="320"/>
      <c r="K184" s="1090"/>
      <c r="L184" s="351"/>
      <c r="M184" s="352"/>
      <c r="N184" s="353"/>
      <c r="O184" s="321"/>
      <c r="P184" s="321"/>
      <c r="Q184" s="321"/>
      <c r="R184" s="321"/>
      <c r="S184" s="321"/>
      <c r="T184" s="321"/>
      <c r="U184" s="351"/>
      <c r="V184" s="352"/>
      <c r="W184" s="319"/>
      <c r="X184" s="320"/>
      <c r="Y184" s="320"/>
      <c r="Z184" s="321"/>
      <c r="AA184" s="321"/>
      <c r="AB184" s="321"/>
      <c r="AC184" s="320"/>
      <c r="AD184" s="380"/>
      <c r="AE184" s="352"/>
      <c r="AF184" s="381">
        <f t="shared" si="33"/>
        <v>0</v>
      </c>
      <c r="AG184" s="381"/>
      <c r="AH184" s="408"/>
      <c r="AI184" s="409">
        <f t="shared" si="34"/>
        <v>0</v>
      </c>
      <c r="AJ184" s="410"/>
      <c r="AK184" s="411">
        <f t="shared" si="35"/>
        <v>0</v>
      </c>
      <c r="AL184" s="234"/>
      <c r="AM184" s="234"/>
      <c r="AN184" s="234"/>
    </row>
    <row r="185" spans="1:40" s="284" customFormat="1" ht="20.25">
      <c r="A185" s="316" t="s">
        <v>392</v>
      </c>
      <c r="B185" s="710"/>
      <c r="C185" s="295"/>
      <c r="D185" s="1077"/>
      <c r="E185" s="319"/>
      <c r="F185" s="320"/>
      <c r="G185" s="320"/>
      <c r="H185" s="321"/>
      <c r="I185" s="321"/>
      <c r="J185" s="320"/>
      <c r="K185" s="1090"/>
      <c r="L185" s="351"/>
      <c r="M185" s="352"/>
      <c r="N185" s="353"/>
      <c r="O185" s="321"/>
      <c r="P185" s="321"/>
      <c r="Q185" s="321"/>
      <c r="R185" s="321"/>
      <c r="S185" s="321"/>
      <c r="T185" s="321"/>
      <c r="U185" s="351"/>
      <c r="V185" s="352"/>
      <c r="W185" s="319"/>
      <c r="X185" s="320"/>
      <c r="Y185" s="320"/>
      <c r="Z185" s="321"/>
      <c r="AA185" s="321"/>
      <c r="AB185" s="321"/>
      <c r="AC185" s="320"/>
      <c r="AD185" s="380"/>
      <c r="AE185" s="352"/>
      <c r="AF185" s="381">
        <f t="shared" si="33"/>
        <v>0</v>
      </c>
      <c r="AG185" s="381"/>
      <c r="AH185" s="408"/>
      <c r="AI185" s="409">
        <f t="shared" si="34"/>
        <v>0</v>
      </c>
      <c r="AJ185" s="410"/>
      <c r="AK185" s="411">
        <f t="shared" si="35"/>
        <v>0</v>
      </c>
      <c r="AL185" s="234"/>
      <c r="AM185" s="234"/>
      <c r="AN185" s="234"/>
    </row>
    <row r="186" spans="1:40" s="282" customFormat="1" ht="20.25">
      <c r="A186" s="316" t="s">
        <v>392</v>
      </c>
      <c r="B186" s="710"/>
      <c r="C186" s="295"/>
      <c r="D186" s="1077"/>
      <c r="E186" s="319"/>
      <c r="F186" s="320"/>
      <c r="G186" s="320"/>
      <c r="H186" s="321"/>
      <c r="I186" s="321"/>
      <c r="J186" s="320"/>
      <c r="K186" s="1090"/>
      <c r="L186" s="351"/>
      <c r="M186" s="352"/>
      <c r="N186" s="353"/>
      <c r="O186" s="321"/>
      <c r="P186" s="321"/>
      <c r="Q186" s="321"/>
      <c r="R186" s="321"/>
      <c r="S186" s="321"/>
      <c r="T186" s="321"/>
      <c r="U186" s="351"/>
      <c r="V186" s="352"/>
      <c r="W186" s="319"/>
      <c r="X186" s="320"/>
      <c r="Y186" s="320"/>
      <c r="Z186" s="321"/>
      <c r="AA186" s="321"/>
      <c r="AB186" s="321"/>
      <c r="AC186" s="320"/>
      <c r="AD186" s="380"/>
      <c r="AE186" s="352"/>
      <c r="AF186" s="381">
        <f t="shared" si="33"/>
        <v>0</v>
      </c>
      <c r="AG186" s="381"/>
      <c r="AH186" s="408"/>
      <c r="AI186" s="409">
        <f t="shared" si="34"/>
        <v>0</v>
      </c>
      <c r="AJ186" s="410"/>
      <c r="AK186" s="411">
        <f t="shared" si="35"/>
        <v>0</v>
      </c>
      <c r="AL186" s="234"/>
      <c r="AM186" s="234"/>
      <c r="AN186" s="234"/>
    </row>
    <row r="187" spans="1:40" s="283" customFormat="1" ht="20.25">
      <c r="A187" s="316" t="s">
        <v>392</v>
      </c>
      <c r="B187" s="822"/>
      <c r="C187" s="295"/>
      <c r="D187" s="1077"/>
      <c r="E187" s="319"/>
      <c r="F187" s="320"/>
      <c r="G187" s="320"/>
      <c r="H187" s="321"/>
      <c r="I187" s="321"/>
      <c r="J187" s="320"/>
      <c r="K187" s="1090"/>
      <c r="L187" s="351"/>
      <c r="M187" s="352"/>
      <c r="N187" s="353"/>
      <c r="O187" s="321"/>
      <c r="P187" s="321"/>
      <c r="Q187" s="321"/>
      <c r="R187" s="321"/>
      <c r="S187" s="321"/>
      <c r="T187" s="321"/>
      <c r="U187" s="351"/>
      <c r="V187" s="352"/>
      <c r="W187" s="319"/>
      <c r="X187" s="320"/>
      <c r="Y187" s="320"/>
      <c r="Z187" s="321"/>
      <c r="AA187" s="321"/>
      <c r="AB187" s="321"/>
      <c r="AC187" s="320"/>
      <c r="AD187" s="380"/>
      <c r="AE187" s="352"/>
      <c r="AF187" s="381">
        <f t="shared" si="33"/>
        <v>0</v>
      </c>
      <c r="AG187" s="381"/>
      <c r="AH187" s="408"/>
      <c r="AI187" s="409">
        <f t="shared" si="34"/>
        <v>0</v>
      </c>
      <c r="AJ187" s="410"/>
      <c r="AK187" s="411">
        <f t="shared" si="35"/>
        <v>0</v>
      </c>
      <c r="AL187" s="234"/>
      <c r="AM187" s="234"/>
      <c r="AN187" s="234"/>
    </row>
    <row r="188" spans="1:40" s="283" customFormat="1" ht="20.25">
      <c r="A188" s="316" t="s">
        <v>392</v>
      </c>
      <c r="B188" s="710"/>
      <c r="C188" s="295"/>
      <c r="D188" s="1077"/>
      <c r="E188" s="319"/>
      <c r="F188" s="320"/>
      <c r="G188" s="320"/>
      <c r="H188" s="321"/>
      <c r="I188" s="321"/>
      <c r="J188" s="320"/>
      <c r="K188" s="1090"/>
      <c r="L188" s="351"/>
      <c r="M188" s="352"/>
      <c r="N188" s="353"/>
      <c r="O188" s="321"/>
      <c r="P188" s="321"/>
      <c r="Q188" s="321"/>
      <c r="R188" s="321"/>
      <c r="S188" s="321"/>
      <c r="T188" s="321"/>
      <c r="U188" s="351"/>
      <c r="V188" s="352"/>
      <c r="W188" s="319"/>
      <c r="X188" s="320"/>
      <c r="Y188" s="320"/>
      <c r="Z188" s="321"/>
      <c r="AA188" s="321"/>
      <c r="AB188" s="321"/>
      <c r="AC188" s="320"/>
      <c r="AD188" s="380"/>
      <c r="AE188" s="352"/>
      <c r="AF188" s="381">
        <f t="shared" si="33"/>
        <v>0</v>
      </c>
      <c r="AG188" s="381"/>
      <c r="AH188" s="408"/>
      <c r="AI188" s="409">
        <f t="shared" si="34"/>
        <v>0</v>
      </c>
      <c r="AJ188" s="410"/>
      <c r="AK188" s="411">
        <f t="shared" si="35"/>
        <v>0</v>
      </c>
      <c r="AL188" s="234"/>
      <c r="AM188" s="234"/>
      <c r="AN188" s="234"/>
    </row>
    <row r="189" spans="1:40" s="283" customFormat="1" ht="20.25">
      <c r="A189" s="316" t="s">
        <v>392</v>
      </c>
      <c r="B189" s="295"/>
      <c r="C189" s="295"/>
      <c r="D189" s="1077"/>
      <c r="E189" s="319"/>
      <c r="F189" s="320"/>
      <c r="G189" s="320"/>
      <c r="H189" s="321"/>
      <c r="I189" s="321"/>
      <c r="J189" s="320"/>
      <c r="K189" s="1090"/>
      <c r="L189" s="351"/>
      <c r="M189" s="352"/>
      <c r="N189" s="353"/>
      <c r="O189" s="321"/>
      <c r="P189" s="321"/>
      <c r="Q189" s="321"/>
      <c r="R189" s="321"/>
      <c r="S189" s="321"/>
      <c r="T189" s="321"/>
      <c r="U189" s="351"/>
      <c r="V189" s="352"/>
      <c r="W189" s="319"/>
      <c r="X189" s="320"/>
      <c r="Y189" s="320"/>
      <c r="Z189" s="321"/>
      <c r="AA189" s="321"/>
      <c r="AB189" s="321"/>
      <c r="AC189" s="320"/>
      <c r="AD189" s="380"/>
      <c r="AE189" s="352"/>
      <c r="AF189" s="381">
        <f t="shared" si="33"/>
        <v>0</v>
      </c>
      <c r="AG189" s="381"/>
      <c r="AH189" s="408"/>
      <c r="AI189" s="409">
        <f t="shared" si="34"/>
        <v>0</v>
      </c>
      <c r="AJ189" s="410"/>
      <c r="AK189" s="411">
        <f t="shared" si="35"/>
        <v>0</v>
      </c>
      <c r="AL189" s="234"/>
      <c r="AM189" s="234"/>
      <c r="AN189" s="234"/>
    </row>
    <row r="190" spans="1:40" s="283" customFormat="1" ht="20.25">
      <c r="A190" s="316" t="s">
        <v>392</v>
      </c>
      <c r="B190" s="295"/>
      <c r="C190" s="295"/>
      <c r="D190" s="1077"/>
      <c r="E190" s="319"/>
      <c r="F190" s="320"/>
      <c r="G190" s="320"/>
      <c r="H190" s="321"/>
      <c r="I190" s="321"/>
      <c r="J190" s="320"/>
      <c r="K190" s="1090"/>
      <c r="L190" s="351"/>
      <c r="M190" s="352"/>
      <c r="N190" s="353"/>
      <c r="O190" s="321"/>
      <c r="P190" s="321"/>
      <c r="Q190" s="321"/>
      <c r="R190" s="321"/>
      <c r="S190" s="321"/>
      <c r="T190" s="321"/>
      <c r="U190" s="351"/>
      <c r="V190" s="352"/>
      <c r="W190" s="319"/>
      <c r="X190" s="320"/>
      <c r="Y190" s="320"/>
      <c r="Z190" s="321"/>
      <c r="AA190" s="321"/>
      <c r="AB190" s="321"/>
      <c r="AC190" s="320"/>
      <c r="AD190" s="380"/>
      <c r="AE190" s="352"/>
      <c r="AF190" s="381">
        <f t="shared" si="33"/>
        <v>0</v>
      </c>
      <c r="AG190" s="381"/>
      <c r="AH190" s="408"/>
      <c r="AI190" s="409">
        <f t="shared" si="34"/>
        <v>0</v>
      </c>
      <c r="AJ190" s="410"/>
      <c r="AK190" s="411">
        <f t="shared" si="35"/>
        <v>0</v>
      </c>
      <c r="AL190" s="234"/>
      <c r="AM190" s="234"/>
      <c r="AN190" s="234"/>
    </row>
    <row r="191" spans="1:40" s="283" customFormat="1" ht="20.25">
      <c r="A191" s="316" t="s">
        <v>392</v>
      </c>
      <c r="B191" s="295"/>
      <c r="C191" s="295"/>
      <c r="D191" s="1077"/>
      <c r="E191" s="319"/>
      <c r="F191" s="320"/>
      <c r="G191" s="320"/>
      <c r="H191" s="321"/>
      <c r="I191" s="321"/>
      <c r="J191" s="320"/>
      <c r="K191" s="1090"/>
      <c r="L191" s="351"/>
      <c r="M191" s="352"/>
      <c r="N191" s="353"/>
      <c r="O191" s="321"/>
      <c r="P191" s="321"/>
      <c r="Q191" s="321"/>
      <c r="R191" s="321"/>
      <c r="S191" s="321"/>
      <c r="T191" s="321"/>
      <c r="U191" s="351"/>
      <c r="V191" s="352"/>
      <c r="W191" s="319"/>
      <c r="X191" s="320"/>
      <c r="Y191" s="320"/>
      <c r="Z191" s="321"/>
      <c r="AA191" s="321"/>
      <c r="AB191" s="321"/>
      <c r="AC191" s="320"/>
      <c r="AD191" s="380"/>
      <c r="AE191" s="352"/>
      <c r="AF191" s="381">
        <f t="shared" si="33"/>
        <v>0</v>
      </c>
      <c r="AG191" s="381"/>
      <c r="AH191" s="408"/>
      <c r="AI191" s="409">
        <f t="shared" si="34"/>
        <v>0</v>
      </c>
      <c r="AJ191" s="410"/>
      <c r="AK191" s="411">
        <f t="shared" si="35"/>
        <v>0</v>
      </c>
      <c r="AL191" s="234"/>
      <c r="AM191" s="234"/>
      <c r="AN191" s="234"/>
    </row>
    <row r="192" spans="1:40" s="283" customFormat="1" ht="20.25">
      <c r="A192" s="316" t="s">
        <v>392</v>
      </c>
      <c r="B192" s="295"/>
      <c r="C192" s="295"/>
      <c r="D192" s="1077"/>
      <c r="E192" s="319"/>
      <c r="F192" s="320"/>
      <c r="G192" s="320"/>
      <c r="H192" s="321"/>
      <c r="I192" s="321"/>
      <c r="J192" s="320"/>
      <c r="K192" s="1090"/>
      <c r="L192" s="351"/>
      <c r="M192" s="352"/>
      <c r="N192" s="353"/>
      <c r="O192" s="321"/>
      <c r="P192" s="321"/>
      <c r="Q192" s="321"/>
      <c r="R192" s="321"/>
      <c r="S192" s="321"/>
      <c r="T192" s="321"/>
      <c r="U192" s="351"/>
      <c r="V192" s="352"/>
      <c r="W192" s="319"/>
      <c r="X192" s="320"/>
      <c r="Y192" s="320"/>
      <c r="Z192" s="321"/>
      <c r="AA192" s="321"/>
      <c r="AB192" s="321"/>
      <c r="AC192" s="320"/>
      <c r="AD192" s="380"/>
      <c r="AE192" s="352"/>
      <c r="AF192" s="381">
        <f t="shared" si="33"/>
        <v>0</v>
      </c>
      <c r="AG192" s="381"/>
      <c r="AH192" s="408"/>
      <c r="AI192" s="409">
        <f t="shared" si="34"/>
        <v>0</v>
      </c>
      <c r="AJ192" s="410"/>
      <c r="AK192" s="411">
        <f t="shared" si="35"/>
        <v>0</v>
      </c>
      <c r="AL192" s="234"/>
      <c r="AM192" s="234"/>
      <c r="AN192" s="234"/>
    </row>
    <row r="193" spans="1:40" s="283" customFormat="1" ht="20.25">
      <c r="A193" s="316" t="s">
        <v>392</v>
      </c>
      <c r="B193" s="295"/>
      <c r="C193" s="295"/>
      <c r="D193" s="1077"/>
      <c r="E193" s="319"/>
      <c r="F193" s="320"/>
      <c r="G193" s="320"/>
      <c r="H193" s="321"/>
      <c r="I193" s="321"/>
      <c r="J193" s="320"/>
      <c r="K193" s="842"/>
      <c r="L193" s="351"/>
      <c r="M193" s="352"/>
      <c r="N193" s="353"/>
      <c r="O193" s="321"/>
      <c r="P193" s="321"/>
      <c r="Q193" s="321"/>
      <c r="R193" s="321"/>
      <c r="S193" s="321"/>
      <c r="T193" s="321"/>
      <c r="U193" s="351"/>
      <c r="V193" s="352"/>
      <c r="W193" s="319"/>
      <c r="X193" s="320"/>
      <c r="Y193" s="320"/>
      <c r="Z193" s="321"/>
      <c r="AA193" s="321"/>
      <c r="AB193" s="321"/>
      <c r="AC193" s="320"/>
      <c r="AD193" s="380"/>
      <c r="AE193" s="352"/>
      <c r="AF193" s="381">
        <f t="shared" si="33"/>
        <v>0</v>
      </c>
      <c r="AG193" s="381"/>
      <c r="AH193" s="408"/>
      <c r="AI193" s="409">
        <f t="shared" si="34"/>
        <v>0</v>
      </c>
      <c r="AJ193" s="410"/>
      <c r="AK193" s="411">
        <f t="shared" si="35"/>
        <v>0</v>
      </c>
      <c r="AL193" s="234"/>
      <c r="AM193" s="234"/>
      <c r="AN193" s="234"/>
    </row>
    <row r="194" spans="1:40" s="284" customFormat="1" ht="20.25">
      <c r="A194" s="316" t="s">
        <v>392</v>
      </c>
      <c r="B194" s="295"/>
      <c r="C194" s="295"/>
      <c r="D194" s="1077"/>
      <c r="E194" s="319"/>
      <c r="F194" s="320"/>
      <c r="G194" s="320"/>
      <c r="H194" s="321"/>
      <c r="I194" s="321"/>
      <c r="J194" s="320"/>
      <c r="K194" s="842"/>
      <c r="L194" s="351"/>
      <c r="M194" s="352"/>
      <c r="N194" s="353"/>
      <c r="O194" s="321"/>
      <c r="P194" s="321"/>
      <c r="Q194" s="321"/>
      <c r="R194" s="321"/>
      <c r="S194" s="321"/>
      <c r="T194" s="321"/>
      <c r="U194" s="351"/>
      <c r="V194" s="352"/>
      <c r="W194" s="319"/>
      <c r="X194" s="320"/>
      <c r="Y194" s="320"/>
      <c r="Z194" s="321"/>
      <c r="AA194" s="321"/>
      <c r="AB194" s="321"/>
      <c r="AC194" s="320"/>
      <c r="AD194" s="380"/>
      <c r="AE194" s="352"/>
      <c r="AF194" s="381">
        <f t="shared" si="33"/>
        <v>0</v>
      </c>
      <c r="AG194" s="381"/>
      <c r="AH194" s="408"/>
      <c r="AI194" s="409">
        <f t="shared" si="34"/>
        <v>0</v>
      </c>
      <c r="AJ194" s="410"/>
      <c r="AK194" s="411">
        <f t="shared" si="35"/>
        <v>0</v>
      </c>
      <c r="AL194" s="234"/>
      <c r="AM194" s="234"/>
      <c r="AN194" s="234"/>
    </row>
    <row r="195" spans="1:40" s="282" customFormat="1" ht="20.25">
      <c r="A195" s="316" t="s">
        <v>392</v>
      </c>
      <c r="B195" s="295"/>
      <c r="C195" s="295"/>
      <c r="D195" s="1077"/>
      <c r="E195" s="319"/>
      <c r="F195" s="320"/>
      <c r="G195" s="320"/>
      <c r="H195" s="321"/>
      <c r="I195" s="321"/>
      <c r="J195" s="320"/>
      <c r="K195" s="842"/>
      <c r="L195" s="351"/>
      <c r="M195" s="352"/>
      <c r="N195" s="353"/>
      <c r="O195" s="321"/>
      <c r="P195" s="321"/>
      <c r="Q195" s="321"/>
      <c r="R195" s="321"/>
      <c r="S195" s="321"/>
      <c r="T195" s="321"/>
      <c r="U195" s="351"/>
      <c r="V195" s="352"/>
      <c r="W195" s="319"/>
      <c r="X195" s="320"/>
      <c r="Y195" s="320"/>
      <c r="Z195" s="321"/>
      <c r="AA195" s="321"/>
      <c r="AB195" s="321"/>
      <c r="AC195" s="320"/>
      <c r="AD195" s="380"/>
      <c r="AE195" s="352"/>
      <c r="AF195" s="381">
        <f t="shared" si="33"/>
        <v>0</v>
      </c>
      <c r="AG195" s="381"/>
      <c r="AH195" s="408"/>
      <c r="AI195" s="409">
        <f t="shared" si="34"/>
        <v>0</v>
      </c>
      <c r="AJ195" s="410"/>
      <c r="AK195" s="411">
        <f t="shared" si="35"/>
        <v>0</v>
      </c>
      <c r="AL195" s="234"/>
      <c r="AM195" s="234"/>
      <c r="AN195" s="234"/>
    </row>
    <row r="196" spans="1:40" s="283" customFormat="1" ht="20.25">
      <c r="A196" s="316" t="s">
        <v>392</v>
      </c>
      <c r="B196" s="295"/>
      <c r="C196" s="295"/>
      <c r="D196" s="1077"/>
      <c r="E196" s="319"/>
      <c r="F196" s="320"/>
      <c r="G196" s="320"/>
      <c r="H196" s="321"/>
      <c r="I196" s="321"/>
      <c r="J196" s="320"/>
      <c r="K196" s="842"/>
      <c r="L196" s="351"/>
      <c r="M196" s="352"/>
      <c r="N196" s="353"/>
      <c r="O196" s="321"/>
      <c r="P196" s="321"/>
      <c r="Q196" s="321"/>
      <c r="R196" s="321"/>
      <c r="S196" s="321"/>
      <c r="T196" s="321"/>
      <c r="U196" s="351"/>
      <c r="V196" s="352"/>
      <c r="W196" s="319"/>
      <c r="X196" s="320"/>
      <c r="Y196" s="320"/>
      <c r="Z196" s="321"/>
      <c r="AA196" s="321"/>
      <c r="AB196" s="321"/>
      <c r="AC196" s="320"/>
      <c r="AD196" s="380"/>
      <c r="AE196" s="352"/>
      <c r="AF196" s="381">
        <f t="shared" si="33"/>
        <v>0</v>
      </c>
      <c r="AG196" s="381"/>
      <c r="AH196" s="408"/>
      <c r="AI196" s="409">
        <f t="shared" si="34"/>
        <v>0</v>
      </c>
      <c r="AJ196" s="410"/>
      <c r="AK196" s="411">
        <f t="shared" si="35"/>
        <v>0</v>
      </c>
      <c r="AL196" s="234"/>
      <c r="AM196" s="234"/>
      <c r="AN196" s="234"/>
    </row>
    <row r="197" spans="1:40" s="283" customFormat="1" ht="20.25">
      <c r="A197" s="316" t="s">
        <v>392</v>
      </c>
      <c r="B197" s="295"/>
      <c r="C197" s="295"/>
      <c r="D197" s="1077"/>
      <c r="E197" s="319"/>
      <c r="F197" s="320"/>
      <c r="G197" s="320"/>
      <c r="H197" s="321"/>
      <c r="I197" s="321"/>
      <c r="J197" s="320"/>
      <c r="K197" s="842"/>
      <c r="L197" s="351"/>
      <c r="M197" s="352"/>
      <c r="N197" s="353"/>
      <c r="O197" s="321"/>
      <c r="P197" s="321"/>
      <c r="Q197" s="321"/>
      <c r="R197" s="321"/>
      <c r="S197" s="321"/>
      <c r="T197" s="321"/>
      <c r="U197" s="351"/>
      <c r="V197" s="352"/>
      <c r="W197" s="319"/>
      <c r="X197" s="320"/>
      <c r="Y197" s="320"/>
      <c r="Z197" s="321"/>
      <c r="AA197" s="321"/>
      <c r="AB197" s="321"/>
      <c r="AC197" s="320"/>
      <c r="AD197" s="380"/>
      <c r="AE197" s="352"/>
      <c r="AF197" s="381">
        <f t="shared" si="33"/>
        <v>0</v>
      </c>
      <c r="AG197" s="381"/>
      <c r="AH197" s="408"/>
      <c r="AI197" s="409">
        <f t="shared" si="34"/>
        <v>0</v>
      </c>
      <c r="AJ197" s="410"/>
      <c r="AK197" s="411">
        <f t="shared" si="35"/>
        <v>0</v>
      </c>
      <c r="AL197" s="234"/>
      <c r="AM197" s="234"/>
      <c r="AN197" s="234"/>
    </row>
    <row r="198" spans="1:40" s="283" customFormat="1" ht="20.25">
      <c r="A198" s="316" t="s">
        <v>392</v>
      </c>
      <c r="B198" s="295"/>
      <c r="C198" s="295"/>
      <c r="D198" s="1077"/>
      <c r="E198" s="319"/>
      <c r="F198" s="320"/>
      <c r="G198" s="320"/>
      <c r="H198" s="321"/>
      <c r="I198" s="321"/>
      <c r="J198" s="320"/>
      <c r="K198" s="842"/>
      <c r="L198" s="351"/>
      <c r="M198" s="352"/>
      <c r="N198" s="353"/>
      <c r="O198" s="321"/>
      <c r="P198" s="321"/>
      <c r="Q198" s="321"/>
      <c r="R198" s="321"/>
      <c r="S198" s="321"/>
      <c r="T198" s="321"/>
      <c r="U198" s="351"/>
      <c r="V198" s="352"/>
      <c r="W198" s="319"/>
      <c r="X198" s="320"/>
      <c r="Y198" s="320"/>
      <c r="Z198" s="321"/>
      <c r="AA198" s="321"/>
      <c r="AB198" s="321"/>
      <c r="AC198" s="320"/>
      <c r="AD198" s="380"/>
      <c r="AE198" s="352"/>
      <c r="AF198" s="381">
        <f t="shared" si="33"/>
        <v>0</v>
      </c>
      <c r="AG198" s="381"/>
      <c r="AH198" s="408"/>
      <c r="AI198" s="409">
        <f t="shared" si="34"/>
        <v>0</v>
      </c>
      <c r="AJ198" s="410"/>
      <c r="AK198" s="411">
        <f t="shared" si="35"/>
        <v>0</v>
      </c>
      <c r="AL198" s="234"/>
      <c r="AM198" s="234"/>
      <c r="AN198" s="234"/>
    </row>
    <row r="199" spans="1:40" s="283" customFormat="1" ht="20.25">
      <c r="A199" s="316" t="s">
        <v>392</v>
      </c>
      <c r="B199" s="295"/>
      <c r="C199" s="295"/>
      <c r="D199" s="1077"/>
      <c r="E199" s="319"/>
      <c r="F199" s="320"/>
      <c r="G199" s="320"/>
      <c r="H199" s="321"/>
      <c r="I199" s="321"/>
      <c r="J199" s="320"/>
      <c r="K199" s="842"/>
      <c r="L199" s="351"/>
      <c r="M199" s="352"/>
      <c r="N199" s="353"/>
      <c r="O199" s="321"/>
      <c r="P199" s="321"/>
      <c r="Q199" s="321"/>
      <c r="R199" s="321"/>
      <c r="S199" s="321"/>
      <c r="T199" s="321"/>
      <c r="U199" s="351"/>
      <c r="V199" s="352"/>
      <c r="W199" s="319"/>
      <c r="X199" s="320"/>
      <c r="Y199" s="320"/>
      <c r="Z199" s="321"/>
      <c r="AA199" s="321"/>
      <c r="AB199" s="321"/>
      <c r="AC199" s="320"/>
      <c r="AD199" s="380"/>
      <c r="AE199" s="352"/>
      <c r="AF199" s="381">
        <f t="shared" si="33"/>
        <v>0</v>
      </c>
      <c r="AG199" s="381"/>
      <c r="AH199" s="408"/>
      <c r="AI199" s="409">
        <f t="shared" si="34"/>
        <v>0</v>
      </c>
      <c r="AJ199" s="410"/>
      <c r="AK199" s="411">
        <f t="shared" si="35"/>
        <v>0</v>
      </c>
      <c r="AL199" s="234"/>
      <c r="AM199" s="234"/>
      <c r="AN199" s="234"/>
    </row>
    <row r="200" spans="1:40" s="283" customFormat="1" ht="20.25">
      <c r="A200" s="316" t="s">
        <v>392</v>
      </c>
      <c r="B200" s="295"/>
      <c r="C200" s="295"/>
      <c r="D200" s="1077"/>
      <c r="E200" s="319"/>
      <c r="F200" s="320"/>
      <c r="G200" s="320"/>
      <c r="H200" s="321"/>
      <c r="I200" s="321"/>
      <c r="J200" s="320"/>
      <c r="K200" s="842"/>
      <c r="L200" s="351"/>
      <c r="M200" s="352"/>
      <c r="N200" s="353"/>
      <c r="O200" s="321"/>
      <c r="P200" s="321"/>
      <c r="Q200" s="321"/>
      <c r="R200" s="321"/>
      <c r="S200" s="321"/>
      <c r="T200" s="321"/>
      <c r="U200" s="351"/>
      <c r="V200" s="352"/>
      <c r="W200" s="319"/>
      <c r="X200" s="320"/>
      <c r="Y200" s="320"/>
      <c r="Z200" s="321"/>
      <c r="AA200" s="321"/>
      <c r="AB200" s="321"/>
      <c r="AC200" s="320"/>
      <c r="AD200" s="380"/>
      <c r="AE200" s="352"/>
      <c r="AF200" s="381">
        <f t="shared" si="33"/>
        <v>0</v>
      </c>
      <c r="AG200" s="381"/>
      <c r="AH200" s="408"/>
      <c r="AI200" s="409">
        <f t="shared" si="34"/>
        <v>0</v>
      </c>
      <c r="AJ200" s="410"/>
      <c r="AK200" s="411">
        <f t="shared" si="35"/>
        <v>0</v>
      </c>
      <c r="AL200" s="234"/>
      <c r="AM200" s="234"/>
      <c r="AN200" s="234"/>
    </row>
    <row r="201" spans="1:40" s="283" customFormat="1" ht="20.25">
      <c r="A201" s="316" t="s">
        <v>392</v>
      </c>
      <c r="B201" s="295"/>
      <c r="C201" s="295"/>
      <c r="D201" s="1077"/>
      <c r="E201" s="319"/>
      <c r="F201" s="320"/>
      <c r="G201" s="320"/>
      <c r="H201" s="321"/>
      <c r="I201" s="321"/>
      <c r="J201" s="320"/>
      <c r="K201" s="842"/>
      <c r="L201" s="351"/>
      <c r="M201" s="352"/>
      <c r="N201" s="353"/>
      <c r="O201" s="321"/>
      <c r="P201" s="321"/>
      <c r="Q201" s="321"/>
      <c r="R201" s="321"/>
      <c r="S201" s="321"/>
      <c r="T201" s="321"/>
      <c r="U201" s="351"/>
      <c r="V201" s="352"/>
      <c r="W201" s="319"/>
      <c r="X201" s="320"/>
      <c r="Y201" s="320"/>
      <c r="Z201" s="321"/>
      <c r="AA201" s="321"/>
      <c r="AB201" s="321"/>
      <c r="AC201" s="320"/>
      <c r="AD201" s="380"/>
      <c r="AE201" s="352"/>
      <c r="AF201" s="381">
        <f t="shared" si="33"/>
        <v>0</v>
      </c>
      <c r="AG201" s="381"/>
      <c r="AH201" s="408"/>
      <c r="AI201" s="409">
        <f t="shared" si="34"/>
        <v>0</v>
      </c>
      <c r="AJ201" s="410"/>
      <c r="AK201" s="411">
        <f t="shared" si="35"/>
        <v>0</v>
      </c>
      <c r="AL201" s="234"/>
      <c r="AM201" s="234"/>
      <c r="AN201" s="234"/>
    </row>
    <row r="202" spans="1:40" s="284" customFormat="1" ht="15.75" customHeight="1">
      <c r="A202" s="316" t="s">
        <v>392</v>
      </c>
      <c r="B202" s="295"/>
      <c r="C202" s="295"/>
      <c r="D202" s="1077"/>
      <c r="E202" s="319"/>
      <c r="F202" s="320"/>
      <c r="G202" s="320"/>
      <c r="H202" s="321"/>
      <c r="I202" s="321"/>
      <c r="J202" s="320"/>
      <c r="K202" s="842"/>
      <c r="L202" s="351"/>
      <c r="M202" s="352"/>
      <c r="N202" s="353"/>
      <c r="O202" s="321"/>
      <c r="P202" s="321"/>
      <c r="Q202" s="321"/>
      <c r="R202" s="321"/>
      <c r="S202" s="321"/>
      <c r="T202" s="321"/>
      <c r="U202" s="351"/>
      <c r="V202" s="352"/>
      <c r="W202" s="319"/>
      <c r="X202" s="320"/>
      <c r="Y202" s="320"/>
      <c r="Z202" s="321"/>
      <c r="AA202" s="321"/>
      <c r="AB202" s="321"/>
      <c r="AC202" s="320"/>
      <c r="AD202" s="380"/>
      <c r="AE202" s="352"/>
      <c r="AF202" s="381">
        <f t="shared" si="33"/>
        <v>0</v>
      </c>
      <c r="AG202" s="381"/>
      <c r="AH202" s="408"/>
      <c r="AI202" s="409">
        <f t="shared" si="34"/>
        <v>0</v>
      </c>
      <c r="AJ202" s="410"/>
      <c r="AK202" s="411">
        <f t="shared" si="35"/>
        <v>0</v>
      </c>
      <c r="AL202" s="234"/>
      <c r="AM202" s="234"/>
      <c r="AN202" s="234"/>
    </row>
    <row r="203" spans="1:40" ht="21" thickBot="1">
      <c r="A203" s="316" t="s">
        <v>392</v>
      </c>
      <c r="B203" s="295"/>
      <c r="C203" s="295"/>
      <c r="D203" s="1077"/>
      <c r="E203" s="319"/>
      <c r="F203" s="320"/>
      <c r="G203" s="320"/>
      <c r="H203" s="321"/>
      <c r="I203" s="321"/>
      <c r="J203" s="320"/>
      <c r="K203" s="842"/>
      <c r="L203" s="351"/>
      <c r="M203" s="352"/>
      <c r="N203" s="353"/>
      <c r="O203" s="321"/>
      <c r="P203" s="321"/>
      <c r="Q203" s="321"/>
      <c r="R203" s="321"/>
      <c r="S203" s="321"/>
      <c r="T203" s="321"/>
      <c r="U203" s="351"/>
      <c r="V203" s="352"/>
      <c r="W203" s="319"/>
      <c r="X203" s="320"/>
      <c r="Y203" s="320"/>
      <c r="Z203" s="321"/>
      <c r="AA203" s="321"/>
      <c r="AB203" s="321"/>
      <c r="AC203" s="320"/>
      <c r="AD203" s="380"/>
      <c r="AE203" s="352"/>
      <c r="AF203" s="381">
        <f t="shared" si="33"/>
        <v>0</v>
      </c>
      <c r="AG203" s="381"/>
      <c r="AH203" s="408"/>
      <c r="AI203" s="409">
        <f t="shared" si="34"/>
        <v>0</v>
      </c>
      <c r="AJ203" s="410"/>
      <c r="AK203" s="411">
        <f t="shared" si="35"/>
        <v>0</v>
      </c>
      <c r="AL203" s="234"/>
      <c r="AM203" s="234"/>
      <c r="AN203" s="234"/>
    </row>
    <row r="204" spans="1:40" ht="21" thickBot="1">
      <c r="A204" s="316" t="s">
        <v>392</v>
      </c>
      <c r="B204" s="295"/>
      <c r="C204" s="295"/>
      <c r="D204" s="1077"/>
      <c r="E204" s="319"/>
      <c r="F204" s="320"/>
      <c r="G204" s="320"/>
      <c r="H204" s="321"/>
      <c r="I204" s="321"/>
      <c r="J204" s="320"/>
      <c r="K204" s="842"/>
      <c r="L204" s="351"/>
      <c r="M204" s="352"/>
      <c r="N204" s="353"/>
      <c r="O204" s="321"/>
      <c r="P204" s="321"/>
      <c r="Q204" s="321"/>
      <c r="R204" s="321"/>
      <c r="S204" s="321"/>
      <c r="T204" s="321"/>
      <c r="U204" s="351"/>
      <c r="V204" s="352"/>
      <c r="W204" s="319"/>
      <c r="X204" s="320"/>
      <c r="Y204" s="320"/>
      <c r="Z204" s="321"/>
      <c r="AA204" s="321"/>
      <c r="AB204" s="321"/>
      <c r="AC204" s="320"/>
      <c r="AD204" s="380"/>
      <c r="AE204" s="352"/>
      <c r="AF204" s="381">
        <f t="shared" si="33"/>
        <v>0</v>
      </c>
      <c r="AG204" s="381"/>
      <c r="AH204" s="408"/>
      <c r="AI204" s="409">
        <f t="shared" si="34"/>
        <v>0</v>
      </c>
      <c r="AJ204" s="410"/>
      <c r="AK204" s="411">
        <f t="shared" si="35"/>
        <v>0</v>
      </c>
      <c r="AL204" s="414" t="s">
        <v>8</v>
      </c>
      <c r="AM204" s="397" t="s">
        <v>23</v>
      </c>
      <c r="AN204" s="415" t="s">
        <v>174</v>
      </c>
    </row>
    <row r="205" spans="1:40" s="1" customFormat="1" ht="21" thickBot="1">
      <c r="A205" s="316" t="s">
        <v>392</v>
      </c>
      <c r="B205" s="295"/>
      <c r="C205" s="295"/>
      <c r="D205" s="1077"/>
      <c r="E205" s="319"/>
      <c r="F205" s="320"/>
      <c r="G205" s="320"/>
      <c r="H205" s="321"/>
      <c r="I205" s="321"/>
      <c r="J205" s="320"/>
      <c r="K205" s="842"/>
      <c r="L205" s="351"/>
      <c r="M205" s="352"/>
      <c r="N205" s="353"/>
      <c r="O205" s="321"/>
      <c r="P205" s="321"/>
      <c r="Q205" s="321"/>
      <c r="R205" s="321"/>
      <c r="S205" s="321"/>
      <c r="T205" s="321"/>
      <c r="U205" s="351"/>
      <c r="V205" s="352"/>
      <c r="W205" s="319"/>
      <c r="X205" s="320"/>
      <c r="Y205" s="320"/>
      <c r="Z205" s="321"/>
      <c r="AA205" s="321"/>
      <c r="AB205" s="321"/>
      <c r="AC205" s="320"/>
      <c r="AD205" s="380"/>
      <c r="AE205" s="352"/>
      <c r="AF205" s="381">
        <f t="shared" si="33"/>
        <v>0</v>
      </c>
      <c r="AG205" s="381"/>
      <c r="AH205" s="408"/>
      <c r="AI205" s="409">
        <f t="shared" si="34"/>
        <v>0</v>
      </c>
      <c r="AJ205" s="410"/>
      <c r="AK205" s="411">
        <f t="shared" si="35"/>
        <v>0</v>
      </c>
      <c r="AL205" s="399" t="str">
        <f>'BIG CHAIR'!CL230</f>
        <v>Total</v>
      </c>
      <c r="AM205" s="400">
        <f>'Tea Table'!X295</f>
        <v>0</v>
      </c>
      <c r="AN205" s="401" t="e">
        <f>AI208+AL205+AM205</f>
        <v>#VALUE!</v>
      </c>
    </row>
    <row r="206" spans="1:40" ht="20.25">
      <c r="A206" s="316" t="s">
        <v>392</v>
      </c>
      <c r="B206" s="295"/>
      <c r="C206" s="295"/>
      <c r="D206" s="1077"/>
      <c r="E206" s="319"/>
      <c r="F206" s="320"/>
      <c r="G206" s="320"/>
      <c r="H206" s="321"/>
      <c r="I206" s="321"/>
      <c r="J206" s="320"/>
      <c r="K206" s="842"/>
      <c r="L206" s="351"/>
      <c r="M206" s="352"/>
      <c r="N206" s="353"/>
      <c r="O206" s="321"/>
      <c r="P206" s="321"/>
      <c r="Q206" s="321"/>
      <c r="R206" s="321"/>
      <c r="S206" s="321"/>
      <c r="T206" s="321"/>
      <c r="U206" s="351"/>
      <c r="V206" s="352"/>
      <c r="W206" s="319"/>
      <c r="X206" s="320"/>
      <c r="Y206" s="320"/>
      <c r="Z206" s="321"/>
      <c r="AA206" s="321"/>
      <c r="AB206" s="321"/>
      <c r="AC206" s="320"/>
      <c r="AD206" s="380"/>
      <c r="AE206" s="352"/>
      <c r="AF206" s="381">
        <f t="shared" si="33"/>
        <v>0</v>
      </c>
      <c r="AG206" s="381"/>
      <c r="AH206" s="408"/>
      <c r="AI206" s="409">
        <f t="shared" si="34"/>
        <v>0</v>
      </c>
      <c r="AJ206" s="410"/>
      <c r="AK206" s="411">
        <f t="shared" si="35"/>
        <v>0</v>
      </c>
      <c r="AL206" s="282"/>
      <c r="AM206" s="282"/>
      <c r="AN206" s="282"/>
    </row>
    <row r="207" spans="1:40" s="276" customFormat="1" ht="21" thickBot="1">
      <c r="A207" s="316" t="s">
        <v>392</v>
      </c>
      <c r="B207" s="323"/>
      <c r="C207" s="323"/>
      <c r="D207" s="1078"/>
      <c r="E207" s="325"/>
      <c r="F207" s="297"/>
      <c r="G207" s="297"/>
      <c r="H207" s="298"/>
      <c r="I207" s="298"/>
      <c r="J207" s="297"/>
      <c r="K207" s="1086"/>
      <c r="L207" s="367"/>
      <c r="M207" s="355"/>
      <c r="N207" s="343"/>
      <c r="O207" s="298"/>
      <c r="P207" s="298"/>
      <c r="Q207" s="298"/>
      <c r="R207" s="298"/>
      <c r="S207" s="298"/>
      <c r="T207" s="298"/>
      <c r="U207" s="367"/>
      <c r="V207" s="355"/>
      <c r="W207" s="325"/>
      <c r="X207" s="297"/>
      <c r="Y207" s="297"/>
      <c r="Z207" s="298"/>
      <c r="AA207" s="298"/>
      <c r="AB207" s="298"/>
      <c r="AC207" s="297"/>
      <c r="AD207" s="375"/>
      <c r="AE207" s="355"/>
      <c r="AF207" s="376">
        <f t="shared" si="33"/>
        <v>0</v>
      </c>
      <c r="AG207" s="377"/>
      <c r="AH207" s="390"/>
      <c r="AI207" s="391">
        <f t="shared" si="34"/>
        <v>0</v>
      </c>
      <c r="AJ207" s="412"/>
      <c r="AK207" s="413">
        <f t="shared" si="35"/>
        <v>0</v>
      </c>
      <c r="AL207" s="283"/>
      <c r="AM207" s="283"/>
      <c r="AN207" s="283"/>
    </row>
    <row r="208" spans="1:40" s="276" customFormat="1" ht="19.5" thickBot="1">
      <c r="A208" s="326" t="s">
        <v>415</v>
      </c>
      <c r="B208" s="327"/>
      <c r="C208" s="327"/>
      <c r="D208" s="328"/>
      <c r="E208" s="329">
        <f>SUM(E175:E207)</f>
        <v>0</v>
      </c>
      <c r="F208" s="329">
        <f t="shared" ref="F208:L208" si="36">SUM(F175:F207)</f>
        <v>0</v>
      </c>
      <c r="G208" s="329">
        <f t="shared" si="36"/>
        <v>0</v>
      </c>
      <c r="H208" s="329">
        <f t="shared" si="36"/>
        <v>0</v>
      </c>
      <c r="I208" s="329">
        <f t="shared" si="36"/>
        <v>0</v>
      </c>
      <c r="J208" s="329">
        <f t="shared" si="36"/>
        <v>0</v>
      </c>
      <c r="K208" s="329">
        <f t="shared" si="36"/>
        <v>0</v>
      </c>
      <c r="L208" s="329">
        <f t="shared" si="36"/>
        <v>0</v>
      </c>
      <c r="M208" s="357"/>
      <c r="N208" s="358">
        <f>SUM(N175:N207)</f>
        <v>0</v>
      </c>
      <c r="O208" s="359">
        <f t="shared" ref="O208:U208" si="37">SUM(O175:O207)</f>
        <v>0</v>
      </c>
      <c r="P208" s="359">
        <f t="shared" si="37"/>
        <v>0</v>
      </c>
      <c r="Q208" s="359">
        <f t="shared" si="37"/>
        <v>0</v>
      </c>
      <c r="R208" s="359">
        <f t="shared" si="37"/>
        <v>0</v>
      </c>
      <c r="S208" s="359">
        <f t="shared" si="37"/>
        <v>0</v>
      </c>
      <c r="T208" s="359">
        <f t="shared" si="37"/>
        <v>0</v>
      </c>
      <c r="U208" s="369">
        <f t="shared" si="37"/>
        <v>0</v>
      </c>
      <c r="V208" s="357"/>
      <c r="W208" s="358">
        <f>SUM(W175:W207)</f>
        <v>0</v>
      </c>
      <c r="X208" s="358">
        <f t="shared" ref="X208:AD208" si="38">SUM(X175:X207)</f>
        <v>0</v>
      </c>
      <c r="Y208" s="358">
        <f t="shared" si="38"/>
        <v>0</v>
      </c>
      <c r="Z208" s="358">
        <f t="shared" si="38"/>
        <v>0</v>
      </c>
      <c r="AA208" s="358">
        <f t="shared" si="38"/>
        <v>0</v>
      </c>
      <c r="AB208" s="358">
        <f t="shared" si="38"/>
        <v>0</v>
      </c>
      <c r="AC208" s="358">
        <f t="shared" si="38"/>
        <v>0</v>
      </c>
      <c r="AD208" s="358">
        <f t="shared" si="38"/>
        <v>0</v>
      </c>
      <c r="AE208" s="357"/>
      <c r="AF208" s="382">
        <f>SUM(AF175:AF207)</f>
        <v>0</v>
      </c>
      <c r="AG208" s="382">
        <f t="shared" ref="AG208:AK208" si="39">SUM(AG175:AG207)</f>
        <v>0</v>
      </c>
      <c r="AH208" s="416">
        <f t="shared" si="39"/>
        <v>0</v>
      </c>
      <c r="AI208" s="417">
        <f t="shared" si="39"/>
        <v>0</v>
      </c>
      <c r="AJ208" s="382">
        <f t="shared" si="39"/>
        <v>0</v>
      </c>
      <c r="AK208" s="418">
        <f t="shared" si="39"/>
        <v>0</v>
      </c>
      <c r="AL208" s="283"/>
      <c r="AM208" s="283"/>
      <c r="AN208" s="283"/>
    </row>
    <row r="209" spans="1:40" s="276" customFormat="1" ht="24" thickBot="1">
      <c r="A209" s="286" t="s">
        <v>535</v>
      </c>
      <c r="B209" s="287" t="s">
        <v>68</v>
      </c>
      <c r="C209" s="287" t="s">
        <v>69</v>
      </c>
      <c r="D209" s="3550" t="s">
        <v>70</v>
      </c>
      <c r="E209" s="743" t="s">
        <v>96</v>
      </c>
      <c r="F209" s="744" t="s">
        <v>124</v>
      </c>
      <c r="G209" s="744" t="s">
        <v>228</v>
      </c>
      <c r="H209" s="744" t="s">
        <v>149</v>
      </c>
      <c r="I209" s="744" t="s">
        <v>470</v>
      </c>
      <c r="J209" s="744" t="s">
        <v>92</v>
      </c>
      <c r="K209" s="50" t="s">
        <v>479</v>
      </c>
      <c r="L209" s="783" t="s">
        <v>123</v>
      </c>
      <c r="M209" s="1089"/>
      <c r="N209" s="80" t="s">
        <v>71</v>
      </c>
      <c r="O209" s="49" t="s">
        <v>53</v>
      </c>
      <c r="P209" s="49" t="s">
        <v>118</v>
      </c>
      <c r="Q209" s="49" t="s">
        <v>74</v>
      </c>
      <c r="R209" s="49" t="s">
        <v>75</v>
      </c>
      <c r="S209" s="49" t="s">
        <v>94</v>
      </c>
      <c r="T209" s="126" t="s">
        <v>77</v>
      </c>
      <c r="U209" s="171" t="s">
        <v>101</v>
      </c>
      <c r="V209" s="79"/>
      <c r="W209" s="764" t="s">
        <v>482</v>
      </c>
      <c r="X209" s="765" t="s">
        <v>476</v>
      </c>
      <c r="Y209" s="765" t="e">
        <f>#REF!</f>
        <v>#REF!</v>
      </c>
      <c r="Z209" s="49" t="s">
        <v>575</v>
      </c>
      <c r="AA209" s="744" t="s">
        <v>75</v>
      </c>
      <c r="AB209" s="744" t="s">
        <v>53</v>
      </c>
      <c r="AC209" s="783" t="s">
        <v>230</v>
      </c>
      <c r="AD209" s="372" t="s">
        <v>95</v>
      </c>
      <c r="AE209" s="370"/>
      <c r="AF209" s="371" t="s">
        <v>172</v>
      </c>
      <c r="AG209" s="372" t="s">
        <v>80</v>
      </c>
      <c r="AH209" s="385"/>
      <c r="AI209" s="386" t="s">
        <v>106</v>
      </c>
      <c r="AJ209" s="385" t="s">
        <v>173</v>
      </c>
      <c r="AK209" s="371" t="s">
        <v>108</v>
      </c>
      <c r="AL209" s="283"/>
      <c r="AM209" s="283"/>
      <c r="AN209" s="283"/>
    </row>
    <row r="210" spans="1:40" s="234" customFormat="1" ht="20.25">
      <c r="A210" s="316" t="s">
        <v>536</v>
      </c>
      <c r="B210" s="317"/>
      <c r="C210" s="317"/>
      <c r="D210" s="1077"/>
      <c r="E210" s="319"/>
      <c r="F210" s="320"/>
      <c r="G210" s="320"/>
      <c r="H210" s="321"/>
      <c r="I210" s="321"/>
      <c r="J210" s="320"/>
      <c r="K210" s="1090"/>
      <c r="L210" s="363"/>
      <c r="M210" s="352"/>
      <c r="N210" s="353"/>
      <c r="O210" s="320"/>
      <c r="P210" s="320"/>
      <c r="Q210" s="321"/>
      <c r="R210" s="321"/>
      <c r="S210" s="321"/>
      <c r="T210" s="320"/>
      <c r="U210" s="351"/>
      <c r="V210" s="352"/>
      <c r="W210" s="362"/>
      <c r="X210" s="334"/>
      <c r="Y210" s="334"/>
      <c r="Z210" s="334"/>
      <c r="AA210" s="334"/>
      <c r="AB210" s="334"/>
      <c r="AC210" s="334"/>
      <c r="AD210" s="380"/>
      <c r="AE210" s="352"/>
      <c r="AF210" s="381">
        <f>SUM(E210:AD210)</f>
        <v>0</v>
      </c>
      <c r="AG210" s="381"/>
      <c r="AH210" s="408"/>
      <c r="AI210" s="409">
        <f>AF210+AG210</f>
        <v>0</v>
      </c>
      <c r="AJ210" s="410"/>
      <c r="AK210" s="411">
        <f>AI210+AJ210</f>
        <v>0</v>
      </c>
      <c r="AL210" s="283"/>
      <c r="AM210" s="283"/>
      <c r="AN210" s="283"/>
    </row>
    <row r="211" spans="1:40" s="234" customFormat="1" ht="20.25">
      <c r="A211" s="316" t="s">
        <v>536</v>
      </c>
      <c r="B211" s="822"/>
      <c r="C211" s="295"/>
      <c r="D211" s="1077"/>
      <c r="E211" s="319"/>
      <c r="F211" s="320"/>
      <c r="G211" s="320"/>
      <c r="H211" s="321"/>
      <c r="I211" s="321"/>
      <c r="J211" s="320"/>
      <c r="K211" s="1090"/>
      <c r="L211" s="363"/>
      <c r="M211" s="352"/>
      <c r="N211" s="353"/>
      <c r="O211" s="321"/>
      <c r="P211" s="321"/>
      <c r="Q211" s="321"/>
      <c r="R211" s="321"/>
      <c r="S211" s="321"/>
      <c r="T211" s="321"/>
      <c r="U211" s="351"/>
      <c r="V211" s="352"/>
      <c r="W211" s="319"/>
      <c r="X211" s="320"/>
      <c r="Y211" s="320"/>
      <c r="Z211" s="321"/>
      <c r="AA211" s="321"/>
      <c r="AB211" s="321"/>
      <c r="AC211" s="320"/>
      <c r="AD211" s="380"/>
      <c r="AE211" s="352"/>
      <c r="AF211" s="381">
        <f>SUM(E211:AD211)</f>
        <v>0</v>
      </c>
      <c r="AG211" s="381"/>
      <c r="AH211" s="408"/>
      <c r="AI211" s="409">
        <f>AF211+AG211</f>
        <v>0</v>
      </c>
      <c r="AJ211" s="410"/>
      <c r="AK211" s="411">
        <f>AI211+AJ211</f>
        <v>0</v>
      </c>
      <c r="AL211" s="283"/>
      <c r="AM211" s="283"/>
      <c r="AN211" s="283"/>
    </row>
    <row r="212" spans="1:40" s="276" customFormat="1" ht="20.25">
      <c r="A212" s="316" t="s">
        <v>536</v>
      </c>
      <c r="B212" s="822"/>
      <c r="C212" s="295"/>
      <c r="D212" s="1077"/>
      <c r="E212" s="319"/>
      <c r="F212" s="320"/>
      <c r="G212" s="320"/>
      <c r="H212" s="321"/>
      <c r="I212" s="321"/>
      <c r="J212" s="320"/>
      <c r="K212" s="1090"/>
      <c r="L212" s="363"/>
      <c r="M212" s="352"/>
      <c r="N212" s="353"/>
      <c r="O212" s="321"/>
      <c r="P212" s="321"/>
      <c r="Q212" s="321"/>
      <c r="R212" s="321"/>
      <c r="S212" s="321"/>
      <c r="T212" s="321"/>
      <c r="U212" s="351"/>
      <c r="V212" s="352"/>
      <c r="W212" s="319"/>
      <c r="X212" s="320"/>
      <c r="Y212" s="320"/>
      <c r="Z212" s="321"/>
      <c r="AA212" s="321"/>
      <c r="AB212" s="321"/>
      <c r="AC212" s="320"/>
      <c r="AD212" s="380"/>
      <c r="AE212" s="352"/>
      <c r="AF212" s="381">
        <f>SUM(E212:AD212)</f>
        <v>0</v>
      </c>
      <c r="AG212" s="381"/>
      <c r="AH212" s="408"/>
      <c r="AI212" s="409">
        <f>AF212+AG212</f>
        <v>0</v>
      </c>
      <c r="AJ212" s="410"/>
      <c r="AK212" s="411">
        <f>AI212+AJ212</f>
        <v>0</v>
      </c>
      <c r="AL212" s="283"/>
      <c r="AM212" s="283"/>
      <c r="AN212" s="283"/>
    </row>
    <row r="213" spans="1:40" s="234" customFormat="1" ht="20.25">
      <c r="A213" s="316" t="s">
        <v>536</v>
      </c>
      <c r="B213" s="822"/>
      <c r="C213" s="295"/>
      <c r="D213" s="1077"/>
      <c r="E213" s="319"/>
      <c r="F213" s="320"/>
      <c r="G213" s="320"/>
      <c r="H213" s="321"/>
      <c r="I213" s="321"/>
      <c r="J213" s="320"/>
      <c r="K213" s="1091"/>
      <c r="L213" s="363"/>
      <c r="M213" s="352"/>
      <c r="N213" s="353"/>
      <c r="O213" s="321"/>
      <c r="P213" s="321"/>
      <c r="Q213" s="321"/>
      <c r="R213" s="321"/>
      <c r="S213" s="321"/>
      <c r="T213" s="321"/>
      <c r="U213" s="351"/>
      <c r="V213" s="352"/>
      <c r="W213" s="319"/>
      <c r="X213" s="320"/>
      <c r="Y213" s="320"/>
      <c r="Z213" s="321"/>
      <c r="AA213" s="321"/>
      <c r="AB213" s="321"/>
      <c r="AC213" s="320"/>
      <c r="AD213" s="380"/>
      <c r="AE213" s="352"/>
      <c r="AF213" s="381">
        <f>SUM(E213:AD213)</f>
        <v>0</v>
      </c>
      <c r="AG213" s="381"/>
      <c r="AH213" s="408"/>
      <c r="AI213" s="409">
        <f>AF213+AG213</f>
        <v>0</v>
      </c>
      <c r="AJ213" s="410"/>
      <c r="AK213" s="411">
        <f>AI213+AJ213</f>
        <v>0</v>
      </c>
      <c r="AL213" s="403"/>
      <c r="AM213" s="403"/>
      <c r="AN213" s="403"/>
    </row>
    <row r="214" spans="1:40" s="234" customFormat="1" ht="20.25">
      <c r="A214" s="316" t="s">
        <v>536</v>
      </c>
      <c r="B214" s="822"/>
      <c r="C214" s="295"/>
      <c r="D214" s="1077"/>
      <c r="E214" s="319"/>
      <c r="F214" s="320"/>
      <c r="G214" s="320"/>
      <c r="H214" s="321"/>
      <c r="I214" s="321"/>
      <c r="J214" s="320"/>
      <c r="K214" s="1090"/>
      <c r="L214" s="363"/>
      <c r="M214" s="352"/>
      <c r="N214" s="353"/>
      <c r="O214" s="321"/>
      <c r="P214" s="321"/>
      <c r="Q214" s="321"/>
      <c r="R214" s="321"/>
      <c r="S214" s="321"/>
      <c r="T214" s="321"/>
      <c r="U214" s="351"/>
      <c r="V214" s="352"/>
      <c r="W214" s="319"/>
      <c r="X214" s="320"/>
      <c r="Y214" s="320"/>
      <c r="Z214" s="321"/>
      <c r="AA214" s="321"/>
      <c r="AB214" s="321"/>
      <c r="AC214" s="320"/>
      <c r="AD214" s="380"/>
      <c r="AE214" s="352"/>
      <c r="AF214" s="381">
        <f>SUM(E214:AD214)</f>
        <v>0</v>
      </c>
      <c r="AG214" s="381"/>
      <c r="AH214" s="408"/>
      <c r="AI214" s="409">
        <f>AF214+AG214</f>
        <v>0</v>
      </c>
      <c r="AJ214" s="410"/>
      <c r="AK214" s="411">
        <f>AI214+AJ214</f>
        <v>0</v>
      </c>
      <c r="AL214" s="282"/>
      <c r="AM214" s="282"/>
      <c r="AN214" s="282"/>
    </row>
    <row r="215" spans="1:40" s="276" customFormat="1" ht="20.25">
      <c r="A215" s="316" t="s">
        <v>536</v>
      </c>
      <c r="B215" s="822"/>
      <c r="C215" s="295"/>
      <c r="D215" s="1077"/>
      <c r="E215" s="319"/>
      <c r="F215" s="320"/>
      <c r="G215" s="320"/>
      <c r="H215" s="321"/>
      <c r="I215" s="321"/>
      <c r="J215" s="320"/>
      <c r="K215" s="1090"/>
      <c r="L215" s="363"/>
      <c r="M215" s="352"/>
      <c r="N215" s="353"/>
      <c r="O215" s="321"/>
      <c r="P215" s="321"/>
      <c r="Q215" s="321"/>
      <c r="R215" s="321"/>
      <c r="S215" s="321"/>
      <c r="T215" s="321"/>
      <c r="U215" s="351"/>
      <c r="V215" s="352"/>
      <c r="W215" s="319"/>
      <c r="X215" s="320"/>
      <c r="Y215" s="320"/>
      <c r="Z215" s="321"/>
      <c r="AA215" s="321"/>
      <c r="AB215" s="321"/>
      <c r="AC215" s="320"/>
      <c r="AD215" s="380"/>
      <c r="AE215" s="352"/>
      <c r="AF215" s="381">
        <f t="shared" ref="AF215:AF242" si="40">SUM(E215:AD215)</f>
        <v>0</v>
      </c>
      <c r="AG215" s="381"/>
      <c r="AH215" s="408"/>
      <c r="AI215" s="409">
        <f t="shared" ref="AI215:AI242" si="41">AF215+AG215</f>
        <v>0</v>
      </c>
      <c r="AJ215" s="410"/>
      <c r="AK215" s="411">
        <f t="shared" ref="AK215:AK242" si="42">AI215+AJ215</f>
        <v>0</v>
      </c>
      <c r="AL215" s="283"/>
      <c r="AM215" s="283"/>
      <c r="AN215" s="283"/>
    </row>
    <row r="216" spans="1:40" s="234" customFormat="1" ht="20.25">
      <c r="A216" s="316" t="s">
        <v>536</v>
      </c>
      <c r="B216" s="710"/>
      <c r="C216" s="295"/>
      <c r="D216" s="1077"/>
      <c r="E216" s="319"/>
      <c r="F216" s="320"/>
      <c r="G216" s="320"/>
      <c r="H216" s="321"/>
      <c r="I216" s="321"/>
      <c r="J216" s="320"/>
      <c r="K216" s="1090"/>
      <c r="L216" s="351"/>
      <c r="M216" s="352"/>
      <c r="N216" s="353"/>
      <c r="O216" s="321"/>
      <c r="P216" s="321"/>
      <c r="Q216" s="321"/>
      <c r="R216" s="321"/>
      <c r="S216" s="321"/>
      <c r="T216" s="321"/>
      <c r="U216" s="351"/>
      <c r="V216" s="352"/>
      <c r="W216" s="319"/>
      <c r="X216" s="320"/>
      <c r="Y216" s="320"/>
      <c r="Z216" s="321"/>
      <c r="AA216" s="321"/>
      <c r="AB216" s="321"/>
      <c r="AC216" s="320"/>
      <c r="AD216" s="380"/>
      <c r="AE216" s="352"/>
      <c r="AF216" s="381">
        <f t="shared" si="40"/>
        <v>0</v>
      </c>
      <c r="AG216" s="381"/>
      <c r="AH216" s="408"/>
      <c r="AI216" s="409">
        <f t="shared" si="41"/>
        <v>0</v>
      </c>
      <c r="AJ216" s="410"/>
      <c r="AK216" s="411">
        <f t="shared" si="42"/>
        <v>0</v>
      </c>
      <c r="AL216" s="283"/>
      <c r="AM216" s="283"/>
      <c r="AN216" s="283"/>
    </row>
    <row r="217" spans="1:40" s="276" customFormat="1" ht="20.25">
      <c r="A217" s="316" t="s">
        <v>536</v>
      </c>
      <c r="B217" s="710"/>
      <c r="C217" s="295"/>
      <c r="D217" s="1077"/>
      <c r="E217" s="319"/>
      <c r="F217" s="320"/>
      <c r="G217" s="320"/>
      <c r="H217" s="321"/>
      <c r="I217" s="321"/>
      <c r="J217" s="320"/>
      <c r="K217" s="1090"/>
      <c r="L217" s="351"/>
      <c r="M217" s="352"/>
      <c r="N217" s="353"/>
      <c r="O217" s="321"/>
      <c r="P217" s="321"/>
      <c r="Q217" s="321"/>
      <c r="R217" s="321"/>
      <c r="S217" s="321"/>
      <c r="T217" s="321"/>
      <c r="U217" s="351"/>
      <c r="V217" s="352"/>
      <c r="W217" s="319"/>
      <c r="X217" s="320"/>
      <c r="Y217" s="320"/>
      <c r="Z217" s="321"/>
      <c r="AA217" s="321"/>
      <c r="AB217" s="321"/>
      <c r="AC217" s="320"/>
      <c r="AD217" s="380"/>
      <c r="AE217" s="352"/>
      <c r="AF217" s="381">
        <f t="shared" si="40"/>
        <v>0</v>
      </c>
      <c r="AG217" s="381"/>
      <c r="AH217" s="408"/>
      <c r="AI217" s="409">
        <f t="shared" si="41"/>
        <v>0</v>
      </c>
      <c r="AJ217" s="410"/>
      <c r="AK217" s="411">
        <f t="shared" si="42"/>
        <v>0</v>
      </c>
      <c r="AL217" s="283"/>
      <c r="AM217" s="283"/>
      <c r="AN217" s="283"/>
    </row>
    <row r="218" spans="1:40" s="234" customFormat="1" ht="20.25">
      <c r="A218" s="316" t="s">
        <v>536</v>
      </c>
      <c r="B218" s="710"/>
      <c r="C218" s="295"/>
      <c r="D218" s="1077"/>
      <c r="E218" s="319"/>
      <c r="F218" s="320"/>
      <c r="G218" s="320"/>
      <c r="H218" s="321"/>
      <c r="I218" s="321"/>
      <c r="J218" s="320"/>
      <c r="K218" s="1090"/>
      <c r="L218" s="351"/>
      <c r="M218" s="352"/>
      <c r="N218" s="353"/>
      <c r="O218" s="321"/>
      <c r="P218" s="321"/>
      <c r="Q218" s="321"/>
      <c r="R218" s="321"/>
      <c r="S218" s="321"/>
      <c r="T218" s="321"/>
      <c r="U218" s="351"/>
      <c r="V218" s="352"/>
      <c r="W218" s="319"/>
      <c r="X218" s="320"/>
      <c r="Y218" s="320"/>
      <c r="Z218" s="321"/>
      <c r="AA218" s="321"/>
      <c r="AB218" s="321"/>
      <c r="AC218" s="320"/>
      <c r="AD218" s="380"/>
      <c r="AE218" s="352"/>
      <c r="AF218" s="381">
        <f t="shared" si="40"/>
        <v>0</v>
      </c>
      <c r="AG218" s="381"/>
      <c r="AH218" s="408"/>
      <c r="AI218" s="409">
        <f t="shared" si="41"/>
        <v>0</v>
      </c>
      <c r="AJ218" s="410"/>
      <c r="AK218" s="411">
        <f t="shared" si="42"/>
        <v>0</v>
      </c>
      <c r="AL218" s="283"/>
      <c r="AM218" s="283"/>
      <c r="AN218" s="283"/>
    </row>
    <row r="219" spans="1:40" s="276" customFormat="1" ht="20.25">
      <c r="A219" s="316" t="s">
        <v>536</v>
      </c>
      <c r="B219" s="710"/>
      <c r="C219" s="295"/>
      <c r="D219" s="1077"/>
      <c r="E219" s="319"/>
      <c r="F219" s="320"/>
      <c r="G219" s="320"/>
      <c r="H219" s="321"/>
      <c r="I219" s="321"/>
      <c r="J219" s="320"/>
      <c r="K219" s="1090"/>
      <c r="L219" s="351"/>
      <c r="M219" s="352"/>
      <c r="N219" s="353"/>
      <c r="O219" s="321"/>
      <c r="P219" s="321"/>
      <c r="Q219" s="321"/>
      <c r="R219" s="321"/>
      <c r="S219" s="321"/>
      <c r="T219" s="321"/>
      <c r="U219" s="351"/>
      <c r="V219" s="352"/>
      <c r="W219" s="319"/>
      <c r="X219" s="320"/>
      <c r="Y219" s="320"/>
      <c r="Z219" s="321"/>
      <c r="AA219" s="321"/>
      <c r="AB219" s="321"/>
      <c r="AC219" s="320"/>
      <c r="AD219" s="380"/>
      <c r="AE219" s="352"/>
      <c r="AF219" s="381">
        <f t="shared" si="40"/>
        <v>0</v>
      </c>
      <c r="AG219" s="381"/>
      <c r="AH219" s="408"/>
      <c r="AI219" s="409">
        <f t="shared" si="41"/>
        <v>0</v>
      </c>
      <c r="AJ219" s="410"/>
      <c r="AK219" s="411">
        <f t="shared" si="42"/>
        <v>0</v>
      </c>
      <c r="AL219" s="283"/>
      <c r="AM219" s="283"/>
      <c r="AN219" s="283"/>
    </row>
    <row r="220" spans="1:40" s="234" customFormat="1" ht="20.25">
      <c r="A220" s="316" t="s">
        <v>536</v>
      </c>
      <c r="B220" s="710"/>
      <c r="C220" s="295"/>
      <c r="D220" s="1077"/>
      <c r="E220" s="319"/>
      <c r="F220" s="320"/>
      <c r="G220" s="320"/>
      <c r="H220" s="321"/>
      <c r="I220" s="321"/>
      <c r="J220" s="320"/>
      <c r="K220" s="1090"/>
      <c r="L220" s="351"/>
      <c r="M220" s="352"/>
      <c r="N220" s="353"/>
      <c r="O220" s="321"/>
      <c r="P220" s="321"/>
      <c r="Q220" s="321"/>
      <c r="R220" s="321"/>
      <c r="S220" s="321"/>
      <c r="T220" s="321"/>
      <c r="U220" s="351"/>
      <c r="V220" s="352"/>
      <c r="W220" s="319"/>
      <c r="X220" s="320"/>
      <c r="Y220" s="320"/>
      <c r="Z220" s="321"/>
      <c r="AA220" s="321"/>
      <c r="AB220" s="321"/>
      <c r="AC220" s="320"/>
      <c r="AD220" s="380"/>
      <c r="AE220" s="352"/>
      <c r="AF220" s="381">
        <f t="shared" si="40"/>
        <v>0</v>
      </c>
      <c r="AG220" s="381"/>
      <c r="AH220" s="408"/>
      <c r="AI220" s="409">
        <f t="shared" si="41"/>
        <v>0</v>
      </c>
      <c r="AJ220" s="410"/>
      <c r="AK220" s="411">
        <f t="shared" si="42"/>
        <v>0</v>
      </c>
      <c r="AL220" s="403"/>
      <c r="AM220" s="403"/>
      <c r="AN220" s="403"/>
    </row>
    <row r="221" spans="1:40" s="276" customFormat="1" ht="20.25">
      <c r="A221" s="316" t="s">
        <v>536</v>
      </c>
      <c r="B221" s="710"/>
      <c r="C221" s="295"/>
      <c r="D221" s="1077"/>
      <c r="E221" s="319"/>
      <c r="F221" s="320"/>
      <c r="G221" s="320"/>
      <c r="H221" s="321"/>
      <c r="I221" s="321"/>
      <c r="J221" s="320"/>
      <c r="K221" s="1090"/>
      <c r="L221" s="351"/>
      <c r="M221" s="352"/>
      <c r="N221" s="353"/>
      <c r="O221" s="321"/>
      <c r="P221" s="321"/>
      <c r="Q221" s="321"/>
      <c r="R221" s="321"/>
      <c r="S221" s="321"/>
      <c r="T221" s="321"/>
      <c r="U221" s="351"/>
      <c r="V221" s="352"/>
      <c r="W221" s="319"/>
      <c r="X221" s="320"/>
      <c r="Y221" s="320"/>
      <c r="Z221" s="321"/>
      <c r="AA221" s="321"/>
      <c r="AB221" s="321"/>
      <c r="AC221" s="320"/>
      <c r="AD221" s="380"/>
      <c r="AE221" s="352"/>
      <c r="AF221" s="381">
        <f t="shared" si="40"/>
        <v>0</v>
      </c>
      <c r="AG221" s="381"/>
      <c r="AH221" s="408"/>
      <c r="AI221" s="409">
        <f t="shared" si="41"/>
        <v>0</v>
      </c>
      <c r="AJ221" s="410"/>
      <c r="AK221" s="411">
        <f t="shared" si="42"/>
        <v>0</v>
      </c>
      <c r="AL221" s="282"/>
      <c r="AM221" s="282"/>
      <c r="AN221" s="282"/>
    </row>
    <row r="222" spans="1:40" s="234" customFormat="1" ht="20.25">
      <c r="A222" s="316" t="s">
        <v>536</v>
      </c>
      <c r="B222" s="822"/>
      <c r="C222" s="295"/>
      <c r="D222" s="1077"/>
      <c r="E222" s="319"/>
      <c r="F222" s="320"/>
      <c r="G222" s="320"/>
      <c r="H222" s="321"/>
      <c r="I222" s="321"/>
      <c r="J222" s="320"/>
      <c r="K222" s="1090"/>
      <c r="L222" s="351"/>
      <c r="M222" s="352"/>
      <c r="N222" s="353"/>
      <c r="O222" s="321"/>
      <c r="P222" s="321"/>
      <c r="Q222" s="321"/>
      <c r="R222" s="321"/>
      <c r="S222" s="321"/>
      <c r="T222" s="321"/>
      <c r="U222" s="351"/>
      <c r="V222" s="352"/>
      <c r="W222" s="319"/>
      <c r="X222" s="320"/>
      <c r="Y222" s="320"/>
      <c r="Z222" s="321"/>
      <c r="AA222" s="321"/>
      <c r="AB222" s="321"/>
      <c r="AC222" s="320"/>
      <c r="AD222" s="380"/>
      <c r="AE222" s="352"/>
      <c r="AF222" s="381">
        <f t="shared" si="40"/>
        <v>0</v>
      </c>
      <c r="AG222" s="381"/>
      <c r="AH222" s="408"/>
      <c r="AI222" s="409">
        <f t="shared" si="41"/>
        <v>0</v>
      </c>
      <c r="AJ222" s="410"/>
      <c r="AK222" s="411">
        <f t="shared" si="42"/>
        <v>0</v>
      </c>
      <c r="AL222" s="283"/>
      <c r="AM222" s="283"/>
      <c r="AN222" s="283"/>
    </row>
    <row r="223" spans="1:40" s="276" customFormat="1" ht="20.25">
      <c r="A223" s="316" t="s">
        <v>536</v>
      </c>
      <c r="B223" s="710"/>
      <c r="C223" s="295"/>
      <c r="D223" s="1077"/>
      <c r="E223" s="319"/>
      <c r="F223" s="320"/>
      <c r="G223" s="320"/>
      <c r="H223" s="321"/>
      <c r="I223" s="321"/>
      <c r="J223" s="320"/>
      <c r="K223" s="1090"/>
      <c r="L223" s="351"/>
      <c r="M223" s="352"/>
      <c r="N223" s="353"/>
      <c r="O223" s="321"/>
      <c r="P223" s="321"/>
      <c r="Q223" s="321"/>
      <c r="R223" s="321"/>
      <c r="S223" s="321"/>
      <c r="T223" s="321"/>
      <c r="U223" s="351"/>
      <c r="V223" s="352"/>
      <c r="W223" s="319"/>
      <c r="X223" s="320"/>
      <c r="Y223" s="320"/>
      <c r="Z223" s="321"/>
      <c r="AA223" s="321"/>
      <c r="AB223" s="321"/>
      <c r="AC223" s="320"/>
      <c r="AD223" s="380"/>
      <c r="AE223" s="352"/>
      <c r="AF223" s="381">
        <f t="shared" si="40"/>
        <v>0</v>
      </c>
      <c r="AG223" s="381"/>
      <c r="AH223" s="408"/>
      <c r="AI223" s="409">
        <f t="shared" si="41"/>
        <v>0</v>
      </c>
      <c r="AJ223" s="410"/>
      <c r="AK223" s="411">
        <f t="shared" si="42"/>
        <v>0</v>
      </c>
      <c r="AL223" s="283"/>
      <c r="AM223" s="283"/>
      <c r="AN223" s="283"/>
    </row>
    <row r="224" spans="1:40" s="234" customFormat="1" ht="20.25">
      <c r="A224" s="316" t="s">
        <v>536</v>
      </c>
      <c r="B224" s="295"/>
      <c r="C224" s="295"/>
      <c r="D224" s="1077"/>
      <c r="E224" s="319"/>
      <c r="F224" s="320"/>
      <c r="G224" s="320"/>
      <c r="H224" s="321"/>
      <c r="I224" s="321"/>
      <c r="J224" s="320"/>
      <c r="K224" s="1090"/>
      <c r="L224" s="351"/>
      <c r="M224" s="352"/>
      <c r="N224" s="353"/>
      <c r="O224" s="321"/>
      <c r="P224" s="321"/>
      <c r="Q224" s="321"/>
      <c r="R224" s="321"/>
      <c r="S224" s="321"/>
      <c r="T224" s="321"/>
      <c r="U224" s="351"/>
      <c r="V224" s="352"/>
      <c r="W224" s="319"/>
      <c r="X224" s="320"/>
      <c r="Y224" s="320"/>
      <c r="Z224" s="321"/>
      <c r="AA224" s="321"/>
      <c r="AB224" s="321"/>
      <c r="AC224" s="320"/>
      <c r="AD224" s="380"/>
      <c r="AE224" s="352"/>
      <c r="AF224" s="381">
        <f t="shared" si="40"/>
        <v>0</v>
      </c>
      <c r="AG224" s="381"/>
      <c r="AH224" s="408"/>
      <c r="AI224" s="409">
        <f t="shared" si="41"/>
        <v>0</v>
      </c>
      <c r="AJ224" s="410"/>
      <c r="AK224" s="411">
        <f t="shared" si="42"/>
        <v>0</v>
      </c>
      <c r="AL224" s="283"/>
      <c r="AM224" s="283"/>
      <c r="AN224" s="283"/>
    </row>
    <row r="225" spans="1:40" s="276" customFormat="1" ht="20.25">
      <c r="A225" s="316" t="s">
        <v>536</v>
      </c>
      <c r="B225" s="295"/>
      <c r="C225" s="295"/>
      <c r="D225" s="1077"/>
      <c r="E225" s="319"/>
      <c r="F225" s="320"/>
      <c r="G225" s="320"/>
      <c r="H225" s="321"/>
      <c r="I225" s="321"/>
      <c r="J225" s="320"/>
      <c r="K225" s="1090"/>
      <c r="L225" s="351"/>
      <c r="M225" s="352"/>
      <c r="N225" s="353"/>
      <c r="O225" s="321"/>
      <c r="P225" s="321"/>
      <c r="Q225" s="321"/>
      <c r="R225" s="321"/>
      <c r="S225" s="321"/>
      <c r="T225" s="321"/>
      <c r="U225" s="351"/>
      <c r="V225" s="352"/>
      <c r="W225" s="319"/>
      <c r="X225" s="320"/>
      <c r="Y225" s="320"/>
      <c r="Z225" s="321"/>
      <c r="AA225" s="321"/>
      <c r="AB225" s="321"/>
      <c r="AC225" s="320"/>
      <c r="AD225" s="380"/>
      <c r="AE225" s="352"/>
      <c r="AF225" s="381">
        <f t="shared" si="40"/>
        <v>0</v>
      </c>
      <c r="AG225" s="381"/>
      <c r="AH225" s="408"/>
      <c r="AI225" s="409">
        <f t="shared" si="41"/>
        <v>0</v>
      </c>
      <c r="AJ225" s="410"/>
      <c r="AK225" s="411">
        <f t="shared" si="42"/>
        <v>0</v>
      </c>
      <c r="AL225" s="283"/>
      <c r="AM225" s="283"/>
      <c r="AN225" s="283"/>
    </row>
    <row r="226" spans="1:40" s="234" customFormat="1" ht="20.25">
      <c r="A226" s="316" t="s">
        <v>536</v>
      </c>
      <c r="B226" s="295"/>
      <c r="C226" s="295"/>
      <c r="D226" s="1077"/>
      <c r="E226" s="319"/>
      <c r="F226" s="320"/>
      <c r="G226" s="320"/>
      <c r="H226" s="321"/>
      <c r="I226" s="321"/>
      <c r="J226" s="320"/>
      <c r="K226" s="1090"/>
      <c r="L226" s="351"/>
      <c r="M226" s="352"/>
      <c r="N226" s="353"/>
      <c r="O226" s="321"/>
      <c r="P226" s="321"/>
      <c r="Q226" s="321"/>
      <c r="R226" s="321"/>
      <c r="S226" s="321"/>
      <c r="T226" s="321"/>
      <c r="U226" s="351"/>
      <c r="V226" s="352"/>
      <c r="W226" s="319"/>
      <c r="X226" s="320"/>
      <c r="Y226" s="320"/>
      <c r="Z226" s="321"/>
      <c r="AA226" s="321"/>
      <c r="AB226" s="321"/>
      <c r="AC226" s="320"/>
      <c r="AD226" s="380"/>
      <c r="AE226" s="352"/>
      <c r="AF226" s="381">
        <f t="shared" si="40"/>
        <v>0</v>
      </c>
      <c r="AG226" s="381"/>
      <c r="AH226" s="408"/>
      <c r="AI226" s="409">
        <f t="shared" si="41"/>
        <v>0</v>
      </c>
      <c r="AJ226" s="410"/>
      <c r="AK226" s="411">
        <f t="shared" si="42"/>
        <v>0</v>
      </c>
      <c r="AL226" s="283"/>
      <c r="AM226" s="283"/>
      <c r="AN226" s="283"/>
    </row>
    <row r="227" spans="1:40" s="234" customFormat="1" ht="20.25">
      <c r="A227" s="316" t="s">
        <v>536</v>
      </c>
      <c r="B227" s="295"/>
      <c r="C227" s="295"/>
      <c r="D227" s="1077"/>
      <c r="E227" s="319"/>
      <c r="F227" s="320"/>
      <c r="G227" s="320"/>
      <c r="H227" s="321"/>
      <c r="I227" s="321"/>
      <c r="J227" s="320"/>
      <c r="K227" s="1090"/>
      <c r="L227" s="351"/>
      <c r="M227" s="352"/>
      <c r="N227" s="353"/>
      <c r="O227" s="321"/>
      <c r="P227" s="321"/>
      <c r="Q227" s="321"/>
      <c r="R227" s="321"/>
      <c r="S227" s="321"/>
      <c r="T227" s="321"/>
      <c r="U227" s="351"/>
      <c r="V227" s="352"/>
      <c r="W227" s="319"/>
      <c r="X227" s="320"/>
      <c r="Y227" s="320"/>
      <c r="Z227" s="321"/>
      <c r="AA227" s="321"/>
      <c r="AB227" s="321"/>
      <c r="AC227" s="320"/>
      <c r="AD227" s="380"/>
      <c r="AE227" s="352"/>
      <c r="AF227" s="381">
        <f t="shared" si="40"/>
        <v>0</v>
      </c>
      <c r="AG227" s="381"/>
      <c r="AH227" s="408"/>
      <c r="AI227" s="409">
        <f t="shared" si="41"/>
        <v>0</v>
      </c>
      <c r="AJ227" s="410"/>
      <c r="AK227" s="411">
        <f t="shared" si="42"/>
        <v>0</v>
      </c>
      <c r="AL227" s="283"/>
      <c r="AM227" s="283"/>
      <c r="AN227" s="283"/>
    </row>
    <row r="228" spans="1:40" s="276" customFormat="1" ht="20.25">
      <c r="A228" s="316" t="s">
        <v>536</v>
      </c>
      <c r="B228" s="295"/>
      <c r="C228" s="295"/>
      <c r="D228" s="1077"/>
      <c r="E228" s="319"/>
      <c r="F228" s="320"/>
      <c r="G228" s="320"/>
      <c r="H228" s="321"/>
      <c r="I228" s="321"/>
      <c r="J228" s="320"/>
      <c r="K228" s="842"/>
      <c r="L228" s="351"/>
      <c r="M228" s="352"/>
      <c r="N228" s="353"/>
      <c r="O228" s="321"/>
      <c r="P228" s="321"/>
      <c r="Q228" s="321"/>
      <c r="R228" s="321"/>
      <c r="S228" s="321"/>
      <c r="T228" s="321"/>
      <c r="U228" s="351"/>
      <c r="V228" s="352"/>
      <c r="W228" s="319"/>
      <c r="X228" s="320"/>
      <c r="Y228" s="320"/>
      <c r="Z228" s="321"/>
      <c r="AA228" s="321"/>
      <c r="AB228" s="321"/>
      <c r="AC228" s="320"/>
      <c r="AD228" s="380"/>
      <c r="AE228" s="352"/>
      <c r="AF228" s="381">
        <f t="shared" si="40"/>
        <v>0</v>
      </c>
      <c r="AG228" s="381"/>
      <c r="AH228" s="408"/>
      <c r="AI228" s="409">
        <f t="shared" si="41"/>
        <v>0</v>
      </c>
      <c r="AJ228" s="410"/>
      <c r="AK228" s="411">
        <f t="shared" si="42"/>
        <v>0</v>
      </c>
      <c r="AL228" s="283"/>
      <c r="AM228" s="283"/>
      <c r="AN228" s="283"/>
    </row>
    <row r="229" spans="1:40" s="234" customFormat="1" ht="20.25">
      <c r="A229" s="316" t="s">
        <v>536</v>
      </c>
      <c r="B229" s="295"/>
      <c r="C229" s="295"/>
      <c r="D229" s="1077"/>
      <c r="E229" s="319"/>
      <c r="F229" s="320"/>
      <c r="G229" s="320"/>
      <c r="H229" s="321"/>
      <c r="I229" s="321"/>
      <c r="J229" s="320"/>
      <c r="K229" s="842"/>
      <c r="L229" s="351"/>
      <c r="M229" s="352"/>
      <c r="N229" s="353"/>
      <c r="O229" s="321"/>
      <c r="P229" s="321"/>
      <c r="Q229" s="321"/>
      <c r="R229" s="321"/>
      <c r="S229" s="321"/>
      <c r="T229" s="321"/>
      <c r="U229" s="351"/>
      <c r="V229" s="352"/>
      <c r="W229" s="319"/>
      <c r="X229" s="320"/>
      <c r="Y229" s="320"/>
      <c r="Z229" s="321"/>
      <c r="AA229" s="321"/>
      <c r="AB229" s="321"/>
      <c r="AC229" s="320"/>
      <c r="AD229" s="380"/>
      <c r="AE229" s="352"/>
      <c r="AF229" s="381">
        <f t="shared" si="40"/>
        <v>0</v>
      </c>
      <c r="AG229" s="381"/>
      <c r="AH229" s="408"/>
      <c r="AI229" s="409">
        <f t="shared" si="41"/>
        <v>0</v>
      </c>
      <c r="AJ229" s="410"/>
      <c r="AK229" s="411">
        <f t="shared" si="42"/>
        <v>0</v>
      </c>
      <c r="AL229" s="403"/>
      <c r="AM229" s="403"/>
      <c r="AN229" s="403"/>
    </row>
    <row r="230" spans="1:40" s="276" customFormat="1" ht="20.25">
      <c r="A230" s="316" t="s">
        <v>536</v>
      </c>
      <c r="B230" s="295"/>
      <c r="C230" s="295"/>
      <c r="D230" s="1077"/>
      <c r="E230" s="319"/>
      <c r="F230" s="320"/>
      <c r="G230" s="320"/>
      <c r="H230" s="321"/>
      <c r="I230" s="321"/>
      <c r="J230" s="320"/>
      <c r="K230" s="842"/>
      <c r="L230" s="351"/>
      <c r="M230" s="352"/>
      <c r="N230" s="353"/>
      <c r="O230" s="321"/>
      <c r="P230" s="321"/>
      <c r="Q230" s="321"/>
      <c r="R230" s="321"/>
      <c r="S230" s="321"/>
      <c r="T230" s="321"/>
      <c r="U230" s="351"/>
      <c r="V230" s="352"/>
      <c r="W230" s="319"/>
      <c r="X230" s="320"/>
      <c r="Y230" s="320"/>
      <c r="Z230" s="321"/>
      <c r="AA230" s="321"/>
      <c r="AB230" s="321"/>
      <c r="AC230" s="320"/>
      <c r="AD230" s="380"/>
      <c r="AE230" s="352"/>
      <c r="AF230" s="381">
        <f t="shared" si="40"/>
        <v>0</v>
      </c>
      <c r="AG230" s="381"/>
      <c r="AH230" s="408"/>
      <c r="AI230" s="409">
        <f t="shared" si="41"/>
        <v>0</v>
      </c>
      <c r="AJ230" s="410"/>
      <c r="AK230" s="411">
        <f t="shared" si="42"/>
        <v>0</v>
      </c>
      <c r="AL230" s="282"/>
      <c r="AM230" s="282"/>
      <c r="AN230" s="282"/>
    </row>
    <row r="231" spans="1:40" s="234" customFormat="1" ht="20.25">
      <c r="A231" s="316" t="s">
        <v>536</v>
      </c>
      <c r="B231" s="295"/>
      <c r="C231" s="295"/>
      <c r="D231" s="1077"/>
      <c r="E231" s="319"/>
      <c r="F231" s="320"/>
      <c r="G231" s="320"/>
      <c r="H231" s="321"/>
      <c r="I231" s="321"/>
      <c r="J231" s="320"/>
      <c r="K231" s="842"/>
      <c r="L231" s="351"/>
      <c r="M231" s="352"/>
      <c r="N231" s="353"/>
      <c r="O231" s="321"/>
      <c r="P231" s="321"/>
      <c r="Q231" s="321"/>
      <c r="R231" s="321"/>
      <c r="S231" s="321"/>
      <c r="T231" s="321"/>
      <c r="U231" s="351"/>
      <c r="V231" s="352"/>
      <c r="W231" s="319"/>
      <c r="X231" s="320"/>
      <c r="Y231" s="320"/>
      <c r="Z231" s="321"/>
      <c r="AA231" s="321"/>
      <c r="AB231" s="321"/>
      <c r="AC231" s="320"/>
      <c r="AD231" s="380"/>
      <c r="AE231" s="352"/>
      <c r="AF231" s="381">
        <f t="shared" si="40"/>
        <v>0</v>
      </c>
      <c r="AG231" s="381"/>
      <c r="AH231" s="408"/>
      <c r="AI231" s="409">
        <f t="shared" si="41"/>
        <v>0</v>
      </c>
      <c r="AJ231" s="410"/>
      <c r="AK231" s="411">
        <f t="shared" si="42"/>
        <v>0</v>
      </c>
      <c r="AL231" s="283"/>
      <c r="AM231" s="283"/>
      <c r="AN231" s="283"/>
    </row>
    <row r="232" spans="1:40" s="276" customFormat="1" ht="20.25">
      <c r="A232" s="316" t="s">
        <v>536</v>
      </c>
      <c r="B232" s="295"/>
      <c r="C232" s="295"/>
      <c r="D232" s="1077"/>
      <c r="E232" s="319"/>
      <c r="F232" s="320"/>
      <c r="G232" s="320"/>
      <c r="H232" s="321"/>
      <c r="I232" s="321"/>
      <c r="J232" s="320"/>
      <c r="K232" s="842"/>
      <c r="L232" s="351"/>
      <c r="M232" s="352"/>
      <c r="N232" s="353"/>
      <c r="O232" s="321"/>
      <c r="P232" s="321"/>
      <c r="Q232" s="321"/>
      <c r="R232" s="321"/>
      <c r="S232" s="321"/>
      <c r="T232" s="321"/>
      <c r="U232" s="351"/>
      <c r="V232" s="352"/>
      <c r="W232" s="319"/>
      <c r="X232" s="320"/>
      <c r="Y232" s="320"/>
      <c r="Z232" s="321"/>
      <c r="AA232" s="321"/>
      <c r="AB232" s="321"/>
      <c r="AC232" s="320"/>
      <c r="AD232" s="380"/>
      <c r="AE232" s="352"/>
      <c r="AF232" s="381">
        <f t="shared" si="40"/>
        <v>0</v>
      </c>
      <c r="AG232" s="381"/>
      <c r="AH232" s="408"/>
      <c r="AI232" s="409">
        <f t="shared" si="41"/>
        <v>0</v>
      </c>
      <c r="AJ232" s="410"/>
      <c r="AK232" s="411">
        <f t="shared" si="42"/>
        <v>0</v>
      </c>
      <c r="AL232" s="283"/>
      <c r="AM232" s="283"/>
      <c r="AN232" s="283"/>
    </row>
    <row r="233" spans="1:40" s="234" customFormat="1" ht="20.25">
      <c r="A233" s="316" t="s">
        <v>536</v>
      </c>
      <c r="B233" s="295"/>
      <c r="C233" s="295"/>
      <c r="D233" s="1077"/>
      <c r="E233" s="319"/>
      <c r="F233" s="320"/>
      <c r="G233" s="320"/>
      <c r="H233" s="321"/>
      <c r="I233" s="321"/>
      <c r="J233" s="320"/>
      <c r="K233" s="842"/>
      <c r="L233" s="351"/>
      <c r="M233" s="352"/>
      <c r="N233" s="353"/>
      <c r="O233" s="321"/>
      <c r="P233" s="321"/>
      <c r="Q233" s="321"/>
      <c r="R233" s="321"/>
      <c r="S233" s="321"/>
      <c r="T233" s="321"/>
      <c r="U233" s="351"/>
      <c r="V233" s="352"/>
      <c r="W233" s="319"/>
      <c r="X233" s="320"/>
      <c r="Y233" s="320"/>
      <c r="Z233" s="321"/>
      <c r="AA233" s="321"/>
      <c r="AB233" s="321"/>
      <c r="AC233" s="320"/>
      <c r="AD233" s="380"/>
      <c r="AE233" s="352"/>
      <c r="AF233" s="381">
        <f t="shared" si="40"/>
        <v>0</v>
      </c>
      <c r="AG233" s="381"/>
      <c r="AH233" s="408"/>
      <c r="AI233" s="409">
        <f t="shared" si="41"/>
        <v>0</v>
      </c>
      <c r="AJ233" s="410"/>
      <c r="AK233" s="411">
        <f t="shared" si="42"/>
        <v>0</v>
      </c>
      <c r="AL233" s="283"/>
      <c r="AM233" s="283"/>
      <c r="AN233" s="283"/>
    </row>
    <row r="234" spans="1:40" s="1063" customFormat="1" ht="20.25">
      <c r="A234" s="316" t="s">
        <v>536</v>
      </c>
      <c r="B234" s="295"/>
      <c r="C234" s="295"/>
      <c r="D234" s="1077"/>
      <c r="E234" s="319"/>
      <c r="F234" s="320"/>
      <c r="G234" s="320"/>
      <c r="H234" s="321"/>
      <c r="I234" s="321"/>
      <c r="J234" s="320"/>
      <c r="K234" s="842"/>
      <c r="L234" s="351"/>
      <c r="M234" s="352"/>
      <c r="N234" s="353"/>
      <c r="O234" s="321"/>
      <c r="P234" s="321"/>
      <c r="Q234" s="321"/>
      <c r="R234" s="321"/>
      <c r="S234" s="321"/>
      <c r="T234" s="321"/>
      <c r="U234" s="351"/>
      <c r="V234" s="352"/>
      <c r="W234" s="319"/>
      <c r="X234" s="320"/>
      <c r="Y234" s="320"/>
      <c r="Z234" s="321"/>
      <c r="AA234" s="321"/>
      <c r="AB234" s="321"/>
      <c r="AC234" s="320"/>
      <c r="AD234" s="380"/>
      <c r="AE234" s="352"/>
      <c r="AF234" s="381">
        <f t="shared" si="40"/>
        <v>0</v>
      </c>
      <c r="AG234" s="381"/>
      <c r="AH234" s="408"/>
      <c r="AI234" s="409">
        <f t="shared" si="41"/>
        <v>0</v>
      </c>
      <c r="AJ234" s="410"/>
      <c r="AK234" s="411">
        <f t="shared" si="42"/>
        <v>0</v>
      </c>
      <c r="AL234" s="283"/>
      <c r="AM234" s="283"/>
      <c r="AN234" s="283"/>
    </row>
    <row r="235" spans="1:40" s="1063" customFormat="1" ht="20.25">
      <c r="A235" s="316" t="s">
        <v>536</v>
      </c>
      <c r="B235" s="295"/>
      <c r="C235" s="295"/>
      <c r="D235" s="1077"/>
      <c r="E235" s="319"/>
      <c r="F235" s="320"/>
      <c r="G235" s="320"/>
      <c r="H235" s="321"/>
      <c r="I235" s="321"/>
      <c r="J235" s="320"/>
      <c r="K235" s="842"/>
      <c r="L235" s="351"/>
      <c r="M235" s="352"/>
      <c r="N235" s="353"/>
      <c r="O235" s="321"/>
      <c r="P235" s="321"/>
      <c r="Q235" s="321"/>
      <c r="R235" s="321"/>
      <c r="S235" s="321"/>
      <c r="T235" s="321"/>
      <c r="U235" s="351"/>
      <c r="V235" s="352"/>
      <c r="W235" s="319"/>
      <c r="X235" s="320"/>
      <c r="Y235" s="320"/>
      <c r="Z235" s="321"/>
      <c r="AA235" s="321"/>
      <c r="AB235" s="321"/>
      <c r="AC235" s="320"/>
      <c r="AD235" s="380"/>
      <c r="AE235" s="352"/>
      <c r="AF235" s="381">
        <f t="shared" si="40"/>
        <v>0</v>
      </c>
      <c r="AG235" s="381"/>
      <c r="AH235" s="408"/>
      <c r="AI235" s="409">
        <f t="shared" si="41"/>
        <v>0</v>
      </c>
      <c r="AJ235" s="410"/>
      <c r="AK235" s="411">
        <f t="shared" si="42"/>
        <v>0</v>
      </c>
      <c r="AL235" s="283"/>
      <c r="AM235" s="283"/>
      <c r="AN235" s="283"/>
    </row>
    <row r="236" spans="1:40" s="1063" customFormat="1" ht="20.25">
      <c r="A236" s="316" t="s">
        <v>536</v>
      </c>
      <c r="B236" s="295"/>
      <c r="C236" s="295"/>
      <c r="D236" s="1077"/>
      <c r="E236" s="319"/>
      <c r="F236" s="320"/>
      <c r="G236" s="320"/>
      <c r="H236" s="321"/>
      <c r="I236" s="321"/>
      <c r="J236" s="320"/>
      <c r="K236" s="842"/>
      <c r="L236" s="351"/>
      <c r="M236" s="352"/>
      <c r="N236" s="353"/>
      <c r="O236" s="321"/>
      <c r="P236" s="321"/>
      <c r="Q236" s="321"/>
      <c r="R236" s="321"/>
      <c r="S236" s="321"/>
      <c r="T236" s="321"/>
      <c r="U236" s="351"/>
      <c r="V236" s="352"/>
      <c r="W236" s="319"/>
      <c r="X236" s="320"/>
      <c r="Y236" s="320"/>
      <c r="Z236" s="321"/>
      <c r="AA236" s="321"/>
      <c r="AB236" s="321"/>
      <c r="AC236" s="320"/>
      <c r="AD236" s="380"/>
      <c r="AE236" s="352"/>
      <c r="AF236" s="381">
        <f t="shared" si="40"/>
        <v>0</v>
      </c>
      <c r="AG236" s="381"/>
      <c r="AH236" s="408"/>
      <c r="AI236" s="409">
        <f t="shared" si="41"/>
        <v>0</v>
      </c>
      <c r="AJ236" s="410"/>
      <c r="AK236" s="411">
        <f t="shared" si="42"/>
        <v>0</v>
      </c>
      <c r="AL236" s="283"/>
      <c r="AM236" s="283"/>
      <c r="AN236" s="283"/>
    </row>
    <row r="237" spans="1:40" s="1063" customFormat="1" ht="20.25">
      <c r="A237" s="316" t="s">
        <v>536</v>
      </c>
      <c r="B237" s="295"/>
      <c r="C237" s="295"/>
      <c r="D237" s="1077"/>
      <c r="E237" s="319"/>
      <c r="F237" s="320"/>
      <c r="G237" s="320"/>
      <c r="H237" s="321"/>
      <c r="I237" s="321"/>
      <c r="J237" s="320"/>
      <c r="K237" s="842"/>
      <c r="L237" s="351"/>
      <c r="M237" s="352"/>
      <c r="N237" s="353"/>
      <c r="O237" s="321"/>
      <c r="P237" s="321"/>
      <c r="Q237" s="321"/>
      <c r="R237" s="321"/>
      <c r="S237" s="321"/>
      <c r="T237" s="321"/>
      <c r="U237" s="351"/>
      <c r="V237" s="352"/>
      <c r="W237" s="319"/>
      <c r="X237" s="320"/>
      <c r="Y237" s="320"/>
      <c r="Z237" s="321"/>
      <c r="AA237" s="321"/>
      <c r="AB237" s="321"/>
      <c r="AC237" s="320"/>
      <c r="AD237" s="380"/>
      <c r="AE237" s="352"/>
      <c r="AF237" s="381">
        <f t="shared" si="40"/>
        <v>0</v>
      </c>
      <c r="AG237" s="381"/>
      <c r="AH237" s="408"/>
      <c r="AI237" s="409">
        <f t="shared" si="41"/>
        <v>0</v>
      </c>
      <c r="AJ237" s="410"/>
      <c r="AK237" s="411">
        <f t="shared" si="42"/>
        <v>0</v>
      </c>
      <c r="AL237" s="403"/>
      <c r="AM237" s="403"/>
      <c r="AN237" s="403"/>
    </row>
    <row r="238" spans="1:40" s="1063" customFormat="1" ht="20.25">
      <c r="A238" s="316" t="s">
        <v>536</v>
      </c>
      <c r="B238" s="295"/>
      <c r="C238" s="295"/>
      <c r="D238" s="1077"/>
      <c r="E238" s="319"/>
      <c r="F238" s="320"/>
      <c r="G238" s="320"/>
      <c r="H238" s="321"/>
      <c r="I238" s="321"/>
      <c r="J238" s="320"/>
      <c r="K238" s="842"/>
      <c r="L238" s="351"/>
      <c r="M238" s="352"/>
      <c r="N238" s="353"/>
      <c r="O238" s="321"/>
      <c r="P238" s="321"/>
      <c r="Q238" s="321"/>
      <c r="R238" s="321"/>
      <c r="S238" s="321"/>
      <c r="T238" s="321"/>
      <c r="U238" s="351"/>
      <c r="V238" s="352"/>
      <c r="W238" s="319"/>
      <c r="X238" s="320"/>
      <c r="Y238" s="320"/>
      <c r="Z238" s="321"/>
      <c r="AA238" s="321"/>
      <c r="AB238" s="321"/>
      <c r="AC238" s="320"/>
      <c r="AD238" s="380"/>
      <c r="AE238" s="352"/>
      <c r="AF238" s="381">
        <f t="shared" si="40"/>
        <v>0</v>
      </c>
      <c r="AG238" s="381"/>
      <c r="AH238" s="408"/>
      <c r="AI238" s="409">
        <f t="shared" si="41"/>
        <v>0</v>
      </c>
      <c r="AJ238" s="410"/>
      <c r="AK238" s="411">
        <f t="shared" si="42"/>
        <v>0</v>
      </c>
      <c r="AL238"/>
      <c r="AM238"/>
      <c r="AN238"/>
    </row>
    <row r="239" spans="1:40" s="1063" customFormat="1" ht="20.25">
      <c r="A239" s="316" t="s">
        <v>536</v>
      </c>
      <c r="B239" s="295"/>
      <c r="C239" s="295"/>
      <c r="D239" s="1077"/>
      <c r="E239" s="319"/>
      <c r="F239" s="320"/>
      <c r="G239" s="320"/>
      <c r="H239" s="321"/>
      <c r="I239" s="321"/>
      <c r="J239" s="320"/>
      <c r="K239" s="842"/>
      <c r="L239" s="351"/>
      <c r="M239" s="352"/>
      <c r="N239" s="353"/>
      <c r="O239" s="321"/>
      <c r="P239" s="321"/>
      <c r="Q239" s="321"/>
      <c r="R239" s="321"/>
      <c r="S239" s="321"/>
      <c r="T239" s="321"/>
      <c r="U239" s="351"/>
      <c r="V239" s="352"/>
      <c r="W239" s="319"/>
      <c r="X239" s="320"/>
      <c r="Y239" s="320"/>
      <c r="Z239" s="321"/>
      <c r="AA239" s="321"/>
      <c r="AB239" s="321"/>
      <c r="AC239" s="320"/>
      <c r="AD239" s="380"/>
      <c r="AE239" s="352"/>
      <c r="AF239" s="381">
        <f t="shared" si="40"/>
        <v>0</v>
      </c>
      <c r="AG239" s="381"/>
      <c r="AH239" s="408"/>
      <c r="AI239" s="409">
        <f t="shared" si="41"/>
        <v>0</v>
      </c>
      <c r="AJ239" s="410"/>
      <c r="AK239" s="411">
        <f t="shared" si="42"/>
        <v>0</v>
      </c>
      <c r="AL239"/>
      <c r="AM239"/>
      <c r="AN239"/>
    </row>
    <row r="240" spans="1:40" ht="20.25">
      <c r="A240" s="316" t="s">
        <v>536</v>
      </c>
      <c r="B240" s="295"/>
      <c r="C240" s="295"/>
      <c r="D240" s="1077"/>
      <c r="E240" s="319"/>
      <c r="F240" s="320"/>
      <c r="G240" s="320"/>
      <c r="H240" s="321"/>
      <c r="I240" s="321"/>
      <c r="J240" s="320"/>
      <c r="K240" s="842"/>
      <c r="L240" s="351"/>
      <c r="M240" s="352"/>
      <c r="N240" s="353"/>
      <c r="O240" s="321"/>
      <c r="P240" s="321"/>
      <c r="Q240" s="321"/>
      <c r="R240" s="321"/>
      <c r="S240" s="321"/>
      <c r="T240" s="321"/>
      <c r="U240" s="351"/>
      <c r="V240" s="352"/>
      <c r="W240" s="319"/>
      <c r="X240" s="320"/>
      <c r="Y240" s="320"/>
      <c r="Z240" s="321"/>
      <c r="AA240" s="321"/>
      <c r="AB240" s="321"/>
      <c r="AC240" s="320"/>
      <c r="AD240" s="380"/>
      <c r="AE240" s="352"/>
      <c r="AF240" s="381">
        <f t="shared" si="40"/>
        <v>0</v>
      </c>
      <c r="AG240" s="381"/>
      <c r="AH240" s="408"/>
      <c r="AI240" s="409">
        <f t="shared" si="41"/>
        <v>0</v>
      </c>
      <c r="AJ240" s="410"/>
      <c r="AK240" s="411">
        <f t="shared" si="42"/>
        <v>0</v>
      </c>
      <c r="AL240" s="1"/>
      <c r="AM240" s="1"/>
      <c r="AN240" s="1"/>
    </row>
    <row r="241" spans="1:40" ht="20.25">
      <c r="A241" s="316" t="s">
        <v>536</v>
      </c>
      <c r="B241" s="295"/>
      <c r="C241" s="295"/>
      <c r="D241" s="1077"/>
      <c r="E241" s="319"/>
      <c r="F241" s="320"/>
      <c r="G241" s="320"/>
      <c r="H241" s="321"/>
      <c r="I241" s="321"/>
      <c r="J241" s="320"/>
      <c r="K241" s="842"/>
      <c r="L241" s="351"/>
      <c r="M241" s="352"/>
      <c r="N241" s="353"/>
      <c r="O241" s="321"/>
      <c r="P241" s="321"/>
      <c r="Q241" s="321"/>
      <c r="R241" s="321"/>
      <c r="S241" s="321"/>
      <c r="T241" s="321"/>
      <c r="U241" s="351"/>
      <c r="V241" s="352"/>
      <c r="W241" s="319"/>
      <c r="X241" s="320"/>
      <c r="Y241" s="320"/>
      <c r="Z241" s="321"/>
      <c r="AA241" s="321"/>
      <c r="AB241" s="321"/>
      <c r="AC241" s="320"/>
      <c r="AD241" s="380"/>
      <c r="AE241" s="352"/>
      <c r="AF241" s="381">
        <f t="shared" si="40"/>
        <v>0</v>
      </c>
      <c r="AG241" s="381"/>
      <c r="AH241" s="408"/>
      <c r="AI241" s="409">
        <f t="shared" si="41"/>
        <v>0</v>
      </c>
      <c r="AJ241" s="410"/>
      <c r="AK241" s="411">
        <f t="shared" si="42"/>
        <v>0</v>
      </c>
    </row>
    <row r="242" spans="1:40" s="284" customFormat="1" ht="21" thickBot="1">
      <c r="A242" s="316" t="s">
        <v>536</v>
      </c>
      <c r="B242" s="323"/>
      <c r="C242" s="323"/>
      <c r="D242" s="1078"/>
      <c r="E242" s="325"/>
      <c r="F242" s="297"/>
      <c r="G242" s="297"/>
      <c r="H242" s="298"/>
      <c r="I242" s="298"/>
      <c r="J242" s="297"/>
      <c r="K242" s="1086"/>
      <c r="L242" s="367"/>
      <c r="M242" s="355"/>
      <c r="N242" s="343"/>
      <c r="O242" s="298"/>
      <c r="P242" s="298"/>
      <c r="Q242" s="298"/>
      <c r="R242" s="298"/>
      <c r="S242" s="298"/>
      <c r="T242" s="298"/>
      <c r="U242" s="367"/>
      <c r="V242" s="355"/>
      <c r="W242" s="325"/>
      <c r="X242" s="297"/>
      <c r="Y242" s="297"/>
      <c r="Z242" s="298"/>
      <c r="AA242" s="298"/>
      <c r="AB242" s="298"/>
      <c r="AC242" s="297"/>
      <c r="AD242" s="375"/>
      <c r="AE242" s="355"/>
      <c r="AF242" s="376">
        <f t="shared" si="40"/>
        <v>0</v>
      </c>
      <c r="AG242" s="377"/>
      <c r="AH242" s="390"/>
      <c r="AI242" s="391">
        <f t="shared" si="41"/>
        <v>0</v>
      </c>
      <c r="AJ242" s="412"/>
      <c r="AK242" s="413">
        <f t="shared" si="42"/>
        <v>0</v>
      </c>
      <c r="AL242" s="276"/>
      <c r="AM242" s="276"/>
      <c r="AN242" s="276"/>
    </row>
    <row r="243" spans="1:40" s="282" customFormat="1" ht="19.5" thickBot="1">
      <c r="A243" s="326" t="s">
        <v>534</v>
      </c>
      <c r="B243" s="327"/>
      <c r="C243" s="327"/>
      <c r="D243" s="328"/>
      <c r="E243" s="329">
        <f>SUM(E210:E242)</f>
        <v>0</v>
      </c>
      <c r="F243" s="329">
        <f t="shared" ref="F243:L243" si="43">SUM(F210:F242)</f>
        <v>0</v>
      </c>
      <c r="G243" s="329">
        <f t="shared" si="43"/>
        <v>0</v>
      </c>
      <c r="H243" s="329">
        <f t="shared" si="43"/>
        <v>0</v>
      </c>
      <c r="I243" s="329">
        <f t="shared" si="43"/>
        <v>0</v>
      </c>
      <c r="J243" s="329">
        <f t="shared" si="43"/>
        <v>0</v>
      </c>
      <c r="K243" s="329">
        <f t="shared" si="43"/>
        <v>0</v>
      </c>
      <c r="L243" s="329">
        <f t="shared" si="43"/>
        <v>0</v>
      </c>
      <c r="M243" s="357"/>
      <c r="N243" s="358">
        <f>SUM(N210:N242)</f>
        <v>0</v>
      </c>
      <c r="O243" s="359">
        <f t="shared" ref="O243:U243" si="44">SUM(O210:O242)</f>
        <v>0</v>
      </c>
      <c r="P243" s="359">
        <f t="shared" si="44"/>
        <v>0</v>
      </c>
      <c r="Q243" s="359">
        <f t="shared" si="44"/>
        <v>0</v>
      </c>
      <c r="R243" s="359">
        <f t="shared" si="44"/>
        <v>0</v>
      </c>
      <c r="S243" s="359">
        <f t="shared" si="44"/>
        <v>0</v>
      </c>
      <c r="T243" s="359">
        <f t="shared" si="44"/>
        <v>0</v>
      </c>
      <c r="U243" s="369">
        <f t="shared" si="44"/>
        <v>0</v>
      </c>
      <c r="V243" s="357"/>
      <c r="W243" s="358">
        <f>SUM(W210:W242)</f>
        <v>0</v>
      </c>
      <c r="X243" s="358">
        <f t="shared" ref="X243:AD243" si="45">SUM(X210:X242)</f>
        <v>0</v>
      </c>
      <c r="Y243" s="358">
        <f t="shared" si="45"/>
        <v>0</v>
      </c>
      <c r="Z243" s="358">
        <f t="shared" si="45"/>
        <v>0</v>
      </c>
      <c r="AA243" s="358">
        <f t="shared" si="45"/>
        <v>0</v>
      </c>
      <c r="AB243" s="358">
        <f t="shared" si="45"/>
        <v>0</v>
      </c>
      <c r="AC243" s="358">
        <f t="shared" si="45"/>
        <v>0</v>
      </c>
      <c r="AD243" s="358">
        <f t="shared" si="45"/>
        <v>0</v>
      </c>
      <c r="AE243" s="357"/>
      <c r="AF243" s="382">
        <f>SUM(AF210:AF242)</f>
        <v>0</v>
      </c>
      <c r="AG243" s="382">
        <f t="shared" ref="AG243:AK243" si="46">SUM(AG210:AG242)</f>
        <v>0</v>
      </c>
      <c r="AH243" s="416">
        <f t="shared" si="46"/>
        <v>0</v>
      </c>
      <c r="AI243" s="417">
        <f t="shared" si="46"/>
        <v>0</v>
      </c>
      <c r="AJ243" s="382">
        <f t="shared" si="46"/>
        <v>0</v>
      </c>
      <c r="AK243" s="418">
        <f t="shared" si="46"/>
        <v>0</v>
      </c>
      <c r="AL243" s="276"/>
      <c r="AM243" s="276"/>
      <c r="AN243" s="276"/>
    </row>
    <row r="244" spans="1:40" s="283" customFormat="1" ht="16.5" thickBot="1">
      <c r="A244" s="429" t="s">
        <v>179</v>
      </c>
      <c r="B244" s="287" t="s">
        <v>68</v>
      </c>
      <c r="C244" s="287" t="s">
        <v>69</v>
      </c>
      <c r="D244" s="3550" t="s">
        <v>70</v>
      </c>
      <c r="E244" s="743" t="s">
        <v>71</v>
      </c>
      <c r="F244" s="744" t="s">
        <v>124</v>
      </c>
      <c r="G244" s="744" t="s">
        <v>228</v>
      </c>
      <c r="H244" s="744" t="s">
        <v>149</v>
      </c>
      <c r="I244" s="744" t="s">
        <v>470</v>
      </c>
      <c r="J244" s="744" t="s">
        <v>92</v>
      </c>
      <c r="K244" s="50" t="s">
        <v>479</v>
      </c>
      <c r="L244" s="783" t="s">
        <v>123</v>
      </c>
      <c r="M244" s="1089"/>
      <c r="N244" s="80" t="s">
        <v>71</v>
      </c>
      <c r="O244" s="49" t="s">
        <v>72</v>
      </c>
      <c r="P244" s="49" t="s">
        <v>118</v>
      </c>
      <c r="Q244" s="49" t="s">
        <v>74</v>
      </c>
      <c r="R244" s="49" t="s">
        <v>75</v>
      </c>
      <c r="S244" s="49" t="s">
        <v>94</v>
      </c>
      <c r="T244" s="126" t="s">
        <v>77</v>
      </c>
      <c r="U244" s="171" t="s">
        <v>101</v>
      </c>
      <c r="V244" s="79"/>
      <c r="W244" s="80" t="s">
        <v>482</v>
      </c>
      <c r="X244" s="49" t="s">
        <v>96</v>
      </c>
      <c r="Y244" s="49" t="s">
        <v>118</v>
      </c>
      <c r="Z244" s="49" t="s">
        <v>229</v>
      </c>
      <c r="AA244" s="49" t="s">
        <v>75</v>
      </c>
      <c r="AB244" s="49" t="s">
        <v>53</v>
      </c>
      <c r="AC244" s="126" t="s">
        <v>230</v>
      </c>
      <c r="AD244" s="171" t="s">
        <v>95</v>
      </c>
      <c r="AE244" s="79"/>
      <c r="AF244" s="371" t="s">
        <v>172</v>
      </c>
      <c r="AG244" s="372" t="s">
        <v>80</v>
      </c>
      <c r="AH244" s="385"/>
      <c r="AI244" s="386" t="s">
        <v>106</v>
      </c>
      <c r="AJ244" s="385" t="s">
        <v>173</v>
      </c>
      <c r="AK244" s="371" t="s">
        <v>108</v>
      </c>
      <c r="AL244" s="276"/>
      <c r="AM244" s="276"/>
      <c r="AN244" s="276"/>
    </row>
    <row r="245" spans="1:40" s="283" customFormat="1" ht="20.25">
      <c r="A245" s="322"/>
      <c r="B245" s="323"/>
      <c r="C245" s="323"/>
      <c r="D245" s="432"/>
      <c r="E245" s="1067"/>
      <c r="F245" s="1068"/>
      <c r="G245" s="1068"/>
      <c r="H245" s="1069"/>
      <c r="I245" s="1069"/>
      <c r="J245" s="1068"/>
      <c r="K245" s="1101"/>
      <c r="L245" s="1102"/>
      <c r="M245" s="355"/>
      <c r="N245" s="343"/>
      <c r="O245" s="298"/>
      <c r="P245" s="298"/>
      <c r="Q245" s="298"/>
      <c r="R245" s="298"/>
      <c r="S245" s="298"/>
      <c r="T245" s="298"/>
      <c r="U245" s="367"/>
      <c r="V245" s="355"/>
      <c r="W245" s="325"/>
      <c r="X245" s="297"/>
      <c r="Y245" s="297"/>
      <c r="Z245" s="298"/>
      <c r="AA245" s="298"/>
      <c r="AB245" s="298"/>
      <c r="AC245" s="297"/>
      <c r="AD245" s="375"/>
      <c r="AE245" s="355"/>
      <c r="AF245" s="377">
        <f t="shared" ref="AF245:AF249" si="47">SUM(E245:AD245)</f>
        <v>0</v>
      </c>
      <c r="AG245" s="377"/>
      <c r="AH245" s="390"/>
      <c r="AI245" s="507">
        <f t="shared" ref="AI245:AI249" si="48">AF245+AG245</f>
        <v>0</v>
      </c>
      <c r="AJ245" s="412"/>
      <c r="AK245" s="508">
        <f>AI245+AJ245</f>
        <v>0</v>
      </c>
      <c r="AL245" s="234"/>
      <c r="AM245" s="234"/>
      <c r="AN245" s="234"/>
    </row>
    <row r="246" spans="1:40" s="284" customFormat="1" ht="20.25">
      <c r="A246" s="322"/>
      <c r="B246" s="323"/>
      <c r="C246" s="323"/>
      <c r="D246" s="1078"/>
      <c r="E246" s="457"/>
      <c r="F246" s="458"/>
      <c r="G246" s="458"/>
      <c r="H246" s="459"/>
      <c r="I246" s="459"/>
      <c r="J246" s="458"/>
      <c r="K246" s="1085"/>
      <c r="L246" s="1103"/>
      <c r="M246" s="355"/>
      <c r="N246" s="343"/>
      <c r="O246" s="298"/>
      <c r="P246" s="298"/>
      <c r="Q246" s="298"/>
      <c r="R246" s="298"/>
      <c r="S246" s="298"/>
      <c r="T246" s="298"/>
      <c r="U246" s="367"/>
      <c r="V246" s="355"/>
      <c r="W246" s="325"/>
      <c r="X246" s="297"/>
      <c r="Y246" s="297"/>
      <c r="Z246" s="298"/>
      <c r="AA246" s="298"/>
      <c r="AB246" s="298"/>
      <c r="AC246" s="297"/>
      <c r="AD246" s="375"/>
      <c r="AE246" s="355"/>
      <c r="AF246" s="377">
        <f t="shared" si="47"/>
        <v>0</v>
      </c>
      <c r="AG246" s="377"/>
      <c r="AH246" s="390"/>
      <c r="AI246" s="507">
        <f t="shared" si="48"/>
        <v>0</v>
      </c>
      <c r="AJ246" s="412"/>
      <c r="AK246" s="508">
        <f>AI246+AJ246</f>
        <v>0</v>
      </c>
      <c r="AL246" s="276"/>
      <c r="AM246" s="276"/>
      <c r="AN246" s="276"/>
    </row>
    <row r="247" spans="1:40" s="1" customFormat="1" ht="20.25">
      <c r="A247" s="322"/>
      <c r="B247" s="323"/>
      <c r="C247" s="323"/>
      <c r="D247" s="1078"/>
      <c r="E247" s="457"/>
      <c r="F247" s="458"/>
      <c r="G247" s="458"/>
      <c r="H247" s="459"/>
      <c r="I247" s="459"/>
      <c r="J247" s="458"/>
      <c r="K247" s="1085"/>
      <c r="L247" s="1103"/>
      <c r="M247" s="355"/>
      <c r="N247" s="343"/>
      <c r="O247" s="298"/>
      <c r="P247" s="298"/>
      <c r="Q247" s="298"/>
      <c r="R247" s="298"/>
      <c r="S247" s="298"/>
      <c r="T247" s="298"/>
      <c r="U247" s="367"/>
      <c r="V247" s="355"/>
      <c r="W247" s="325"/>
      <c r="X247" s="297"/>
      <c r="Y247" s="297"/>
      <c r="Z247" s="298"/>
      <c r="AA247" s="298"/>
      <c r="AB247" s="298"/>
      <c r="AC247" s="297"/>
      <c r="AD247" s="375"/>
      <c r="AE247" s="355"/>
      <c r="AF247" s="377">
        <f t="shared" si="47"/>
        <v>0</v>
      </c>
      <c r="AG247" s="377"/>
      <c r="AH247" s="390"/>
      <c r="AI247" s="507">
        <f t="shared" si="48"/>
        <v>0</v>
      </c>
      <c r="AJ247" s="412"/>
      <c r="AK247" s="508">
        <f>AI247+AJ247</f>
        <v>0</v>
      </c>
      <c r="AL247" s="234"/>
      <c r="AM247" s="234"/>
      <c r="AN247" s="234"/>
    </row>
    <row r="248" spans="1:40" s="1" customFormat="1" ht="20.25">
      <c r="A248" s="322"/>
      <c r="B248" s="323"/>
      <c r="C248" s="323"/>
      <c r="D248" s="1078"/>
      <c r="E248" s="457"/>
      <c r="F248" s="458"/>
      <c r="G248" s="458"/>
      <c r="H248" s="459"/>
      <c r="I248" s="459"/>
      <c r="J248" s="458"/>
      <c r="K248" s="1085"/>
      <c r="L248" s="486"/>
      <c r="M248" s="355"/>
      <c r="N248" s="343"/>
      <c r="O248" s="298"/>
      <c r="P248" s="298"/>
      <c r="Q248" s="298"/>
      <c r="R248" s="298"/>
      <c r="S248" s="298"/>
      <c r="T248" s="298"/>
      <c r="U248" s="367"/>
      <c r="V248" s="355"/>
      <c r="W248" s="325"/>
      <c r="X248" s="297"/>
      <c r="Y248" s="297"/>
      <c r="Z248" s="298"/>
      <c r="AA248" s="298"/>
      <c r="AB248" s="298"/>
      <c r="AC248" s="297"/>
      <c r="AD248" s="375"/>
      <c r="AE248" s="355"/>
      <c r="AF248" s="377">
        <f t="shared" si="47"/>
        <v>0</v>
      </c>
      <c r="AG248" s="377"/>
      <c r="AH248" s="390"/>
      <c r="AI248" s="507">
        <f t="shared" si="48"/>
        <v>0</v>
      </c>
      <c r="AJ248" s="412"/>
      <c r="AK248" s="508">
        <f>AI248+AJ248</f>
        <v>0</v>
      </c>
      <c r="AL248" s="234"/>
      <c r="AM248" s="234"/>
      <c r="AN248" s="234"/>
    </row>
    <row r="249" spans="1:40" ht="21" thickBot="1">
      <c r="A249" s="322"/>
      <c r="B249" s="323"/>
      <c r="C249" s="323"/>
      <c r="D249" s="1078"/>
      <c r="E249" s="325"/>
      <c r="F249" s="297"/>
      <c r="G249" s="297"/>
      <c r="H249" s="298"/>
      <c r="I249" s="298"/>
      <c r="J249" s="297"/>
      <c r="K249" s="1086"/>
      <c r="L249" s="344"/>
      <c r="M249" s="355"/>
      <c r="N249" s="343"/>
      <c r="O249" s="298"/>
      <c r="P249" s="298"/>
      <c r="Q249" s="298"/>
      <c r="R249" s="298"/>
      <c r="S249" s="298"/>
      <c r="T249" s="298"/>
      <c r="U249" s="367"/>
      <c r="V249" s="355"/>
      <c r="W249" s="325"/>
      <c r="X249" s="297"/>
      <c r="Y249" s="297"/>
      <c r="Z249" s="298"/>
      <c r="AA249" s="298"/>
      <c r="AB249" s="298"/>
      <c r="AC249" s="297"/>
      <c r="AD249" s="375"/>
      <c r="AE249" s="355"/>
      <c r="AF249" s="377">
        <f t="shared" si="47"/>
        <v>0</v>
      </c>
      <c r="AG249" s="377"/>
      <c r="AH249" s="390"/>
      <c r="AI249" s="507">
        <f t="shared" si="48"/>
        <v>0</v>
      </c>
      <c r="AJ249" s="412"/>
      <c r="AK249" s="508">
        <f t="shared" ref="AK249" si="49">AI249+AJ249</f>
        <v>0</v>
      </c>
      <c r="AL249" s="234"/>
      <c r="AM249" s="234"/>
      <c r="AN249" s="234"/>
    </row>
    <row r="250" spans="1:40" ht="21" thickBot="1">
      <c r="A250" s="436"/>
      <c r="B250" s="437"/>
      <c r="C250" s="437"/>
      <c r="D250" s="1093"/>
      <c r="E250" s="439">
        <f>SUM(E245:E249)</f>
        <v>0</v>
      </c>
      <c r="F250" s="440">
        <f t="shared" ref="F250:L250" si="50">SUM(F245:F249)</f>
        <v>0</v>
      </c>
      <c r="G250" s="440">
        <f t="shared" si="50"/>
        <v>0</v>
      </c>
      <c r="H250" s="440">
        <f t="shared" si="50"/>
        <v>0</v>
      </c>
      <c r="I250" s="440">
        <f t="shared" si="50"/>
        <v>0</v>
      </c>
      <c r="J250" s="440">
        <f t="shared" si="50"/>
        <v>0</v>
      </c>
      <c r="K250" s="1104">
        <f t="shared" si="50"/>
        <v>0</v>
      </c>
      <c r="L250" s="481">
        <f t="shared" si="50"/>
        <v>0</v>
      </c>
      <c r="M250" s="482"/>
      <c r="N250" s="439">
        <f t="shared" ref="N250:U250" si="51">SUM(N245:N249)</f>
        <v>0</v>
      </c>
      <c r="O250" s="439">
        <f t="shared" si="51"/>
        <v>0</v>
      </c>
      <c r="P250" s="439">
        <f t="shared" si="51"/>
        <v>0</v>
      </c>
      <c r="Q250" s="439">
        <f t="shared" si="51"/>
        <v>0</v>
      </c>
      <c r="R250" s="439">
        <f t="shared" si="51"/>
        <v>0</v>
      </c>
      <c r="S250" s="439">
        <f t="shared" si="51"/>
        <v>0</v>
      </c>
      <c r="T250" s="439">
        <f t="shared" si="51"/>
        <v>0</v>
      </c>
      <c r="U250" s="439">
        <f t="shared" si="51"/>
        <v>0</v>
      </c>
      <c r="V250" s="482"/>
      <c r="W250" s="439">
        <f>SUM(W245:W249)</f>
        <v>0</v>
      </c>
      <c r="X250" s="440">
        <f t="shared" ref="X250:AD250" si="52">SUM(X245:X249)</f>
        <v>0</v>
      </c>
      <c r="Y250" s="440">
        <f t="shared" si="52"/>
        <v>0</v>
      </c>
      <c r="Z250" s="440">
        <f t="shared" si="52"/>
        <v>0</v>
      </c>
      <c r="AA250" s="440">
        <f t="shared" si="52"/>
        <v>0</v>
      </c>
      <c r="AB250" s="440">
        <f t="shared" si="52"/>
        <v>0</v>
      </c>
      <c r="AC250" s="440">
        <f t="shared" si="52"/>
        <v>0</v>
      </c>
      <c r="AD250" s="481">
        <f t="shared" si="52"/>
        <v>0</v>
      </c>
      <c r="AE250" s="482"/>
      <c r="AF250" s="494">
        <f>SUM(AF245:AF249)</f>
        <v>0</v>
      </c>
      <c r="AG250" s="494">
        <f>SUM(AG245:AG249)</f>
        <v>0</v>
      </c>
      <c r="AH250" s="494">
        <f t="shared" ref="AH250:AK250" si="53">SUM(AH245:AH249)</f>
        <v>0</v>
      </c>
      <c r="AI250" s="509">
        <f t="shared" si="53"/>
        <v>0</v>
      </c>
      <c r="AJ250" s="494">
        <f t="shared" si="53"/>
        <v>0</v>
      </c>
      <c r="AK250" s="509">
        <f t="shared" si="53"/>
        <v>0</v>
      </c>
      <c r="AL250" s="276"/>
      <c r="AM250" s="276"/>
      <c r="AN250" s="276"/>
    </row>
    <row r="251" spans="1:40" ht="19.5" thickBot="1">
      <c r="A251" s="425"/>
      <c r="B251" s="426"/>
      <c r="C251" s="426"/>
      <c r="D251" s="427"/>
      <c r="E251" s="428"/>
      <c r="F251" s="428"/>
      <c r="G251" s="428"/>
      <c r="H251" s="428"/>
      <c r="I251" s="428"/>
      <c r="J251" s="428"/>
      <c r="K251" s="428"/>
      <c r="L251" s="428"/>
      <c r="M251" s="478"/>
      <c r="N251" s="479"/>
      <c r="O251" s="479"/>
      <c r="P251" s="479"/>
      <c r="Q251" s="479"/>
      <c r="R251" s="479"/>
      <c r="S251" s="479"/>
      <c r="T251" s="479"/>
      <c r="U251" s="479"/>
      <c r="V251" s="478"/>
      <c r="W251" s="479"/>
      <c r="X251" s="479"/>
      <c r="Y251" s="479"/>
      <c r="Z251" s="479"/>
      <c r="AA251" s="479"/>
      <c r="AB251" s="479"/>
      <c r="AC251" s="479"/>
      <c r="AD251" s="479"/>
      <c r="AE251" s="478"/>
      <c r="AF251" s="479"/>
      <c r="AG251" s="479"/>
      <c r="AH251" s="479"/>
      <c r="AI251" s="479"/>
      <c r="AJ251" s="479"/>
      <c r="AK251" s="506"/>
      <c r="AL251" s="234"/>
      <c r="AM251" s="234"/>
      <c r="AN251" s="234"/>
    </row>
    <row r="252" spans="1:40" ht="18.75" thickBot="1">
      <c r="A252" s="3552" t="s">
        <v>135</v>
      </c>
      <c r="B252" s="287" t="s">
        <v>68</v>
      </c>
      <c r="C252" s="287" t="s">
        <v>69</v>
      </c>
      <c r="D252" s="3550" t="s">
        <v>70</v>
      </c>
      <c r="E252" s="743" t="s">
        <v>96</v>
      </c>
      <c r="F252" s="744" t="s">
        <v>72</v>
      </c>
      <c r="G252" s="744" t="s">
        <v>206</v>
      </c>
      <c r="H252" s="744" t="s">
        <v>74</v>
      </c>
      <c r="I252" s="744" t="s">
        <v>470</v>
      </c>
      <c r="J252" s="744" t="s">
        <v>79</v>
      </c>
      <c r="K252" s="50" t="s">
        <v>479</v>
      </c>
      <c r="L252" s="783" t="str">
        <f>L244</f>
        <v>Blue</v>
      </c>
      <c r="M252" s="1089"/>
      <c r="N252" s="80" t="s">
        <v>71</v>
      </c>
      <c r="O252" s="49" t="s">
        <v>53</v>
      </c>
      <c r="P252" s="49" t="s">
        <v>118</v>
      </c>
      <c r="Q252" s="49" t="s">
        <v>74</v>
      </c>
      <c r="R252" s="49" t="s">
        <v>75</v>
      </c>
      <c r="S252" s="49" t="s">
        <v>94</v>
      </c>
      <c r="T252" s="126" t="s">
        <v>77</v>
      </c>
      <c r="U252" s="171" t="s">
        <v>101</v>
      </c>
      <c r="V252" s="79"/>
      <c r="W252" s="80" t="s">
        <v>482</v>
      </c>
      <c r="X252" s="744" t="s">
        <v>96</v>
      </c>
      <c r="Y252" s="744" t="s">
        <v>118</v>
      </c>
      <c r="Z252" s="744" t="s">
        <v>94</v>
      </c>
      <c r="AA252" s="744" t="s">
        <v>75</v>
      </c>
      <c r="AB252" s="744" t="s">
        <v>53</v>
      </c>
      <c r="AC252" s="744" t="s">
        <v>230</v>
      </c>
      <c r="AD252" s="805" t="s">
        <v>95</v>
      </c>
      <c r="AE252" s="79"/>
      <c r="AF252" s="371" t="s">
        <v>172</v>
      </c>
      <c r="AG252" s="372" t="s">
        <v>80</v>
      </c>
      <c r="AH252" s="385"/>
      <c r="AI252" s="386" t="s">
        <v>106</v>
      </c>
      <c r="AJ252" s="385" t="s">
        <v>173</v>
      </c>
      <c r="AK252" s="371" t="s">
        <v>108</v>
      </c>
      <c r="AL252" s="276"/>
      <c r="AM252" s="276"/>
      <c r="AN252" s="276"/>
    </row>
    <row r="253" spans="1:40" ht="20.25">
      <c r="A253" s="442" t="s">
        <v>232</v>
      </c>
      <c r="B253" s="443"/>
      <c r="C253" s="443"/>
      <c r="D253" s="1094"/>
      <c r="E253" s="1067"/>
      <c r="F253" s="1068"/>
      <c r="G253" s="1068"/>
      <c r="H253" s="1069"/>
      <c r="I253" s="1069"/>
      <c r="J253" s="1068"/>
      <c r="K253" s="1101"/>
      <c r="L253" s="1102"/>
      <c r="M253" s="483"/>
      <c r="N253" s="484"/>
      <c r="O253" s="435"/>
      <c r="P253" s="435"/>
      <c r="Q253" s="435"/>
      <c r="R253" s="435"/>
      <c r="S253" s="435"/>
      <c r="T253" s="435"/>
      <c r="U253" s="492"/>
      <c r="V253" s="483"/>
      <c r="W253" s="433"/>
      <c r="X253" s="434"/>
      <c r="Y253" s="434"/>
      <c r="Z253" s="435"/>
      <c r="AA253" s="435"/>
      <c r="AB253" s="435"/>
      <c r="AC253" s="434"/>
      <c r="AD253" s="495"/>
      <c r="AE253" s="483"/>
      <c r="AF253" s="496">
        <f t="shared" ref="AF253:AF256" si="54">SUM(E253:AD253)</f>
        <v>0</v>
      </c>
      <c r="AG253" s="497"/>
      <c r="AH253" s="510"/>
      <c r="AI253" s="511">
        <f t="shared" ref="AI253:AI256" si="55">AF253+AG253</f>
        <v>0</v>
      </c>
      <c r="AJ253" s="512"/>
      <c r="AK253" s="513">
        <f>AI253+AJ253</f>
        <v>0</v>
      </c>
      <c r="AL253" s="234"/>
      <c r="AM253" s="234"/>
      <c r="AN253" s="234"/>
    </row>
    <row r="254" spans="1:40" ht="20.25">
      <c r="A254" s="445"/>
      <c r="B254" s="323"/>
      <c r="C254" s="323"/>
      <c r="D254" s="1078"/>
      <c r="E254" s="457"/>
      <c r="F254" s="458"/>
      <c r="G254" s="458"/>
      <c r="H254" s="459"/>
      <c r="I254" s="459"/>
      <c r="J254" s="458"/>
      <c r="K254" s="1085"/>
      <c r="L254" s="486"/>
      <c r="M254" s="355"/>
      <c r="N254" s="343"/>
      <c r="O254" s="298"/>
      <c r="P254" s="298"/>
      <c r="Q254" s="298"/>
      <c r="R254" s="298"/>
      <c r="S254" s="298"/>
      <c r="T254" s="298"/>
      <c r="U254" s="367"/>
      <c r="V254" s="355"/>
      <c r="W254" s="325"/>
      <c r="X254" s="297"/>
      <c r="Y254" s="297"/>
      <c r="Z254" s="298"/>
      <c r="AA254" s="298"/>
      <c r="AB254" s="298"/>
      <c r="AC254" s="297"/>
      <c r="AD254" s="375"/>
      <c r="AE254" s="355"/>
      <c r="AF254" s="376">
        <f t="shared" si="54"/>
        <v>0</v>
      </c>
      <c r="AG254" s="377"/>
      <c r="AH254" s="390"/>
      <c r="AI254" s="391">
        <f t="shared" si="55"/>
        <v>0</v>
      </c>
      <c r="AJ254" s="412"/>
      <c r="AK254" s="413">
        <f t="shared" ref="AK254:AK256" si="56">AI254+AJ254</f>
        <v>0</v>
      </c>
      <c r="AL254" s="234"/>
      <c r="AM254" s="234"/>
      <c r="AN254" s="234"/>
    </row>
    <row r="255" spans="1:40" ht="20.25">
      <c r="A255" s="445"/>
      <c r="B255" s="323"/>
      <c r="C255" s="323"/>
      <c r="D255" s="1078"/>
      <c r="E255" s="457"/>
      <c r="F255" s="458"/>
      <c r="G255" s="458"/>
      <c r="H255" s="459"/>
      <c r="I255" s="459"/>
      <c r="J255" s="458"/>
      <c r="K255" s="1085"/>
      <c r="L255" s="486"/>
      <c r="M255" s="355"/>
      <c r="N255" s="343"/>
      <c r="O255" s="298"/>
      <c r="P255" s="298"/>
      <c r="Q255" s="298"/>
      <c r="R255" s="298"/>
      <c r="S255" s="298"/>
      <c r="T255" s="298"/>
      <c r="U255" s="367"/>
      <c r="V255" s="355"/>
      <c r="W255" s="325"/>
      <c r="X255" s="297"/>
      <c r="Y255" s="297"/>
      <c r="Z255" s="298"/>
      <c r="AA255" s="298"/>
      <c r="AB255" s="298"/>
      <c r="AC255" s="297"/>
      <c r="AD255" s="375"/>
      <c r="AE255" s="355"/>
      <c r="AF255" s="376">
        <f t="shared" si="54"/>
        <v>0</v>
      </c>
      <c r="AG255" s="377"/>
      <c r="AH255" s="390"/>
      <c r="AI255" s="391">
        <f t="shared" si="55"/>
        <v>0</v>
      </c>
      <c r="AJ255" s="412"/>
      <c r="AK255" s="413">
        <f t="shared" si="56"/>
        <v>0</v>
      </c>
      <c r="AL255" s="276"/>
      <c r="AM255" s="276"/>
      <c r="AN255" s="276"/>
    </row>
    <row r="256" spans="1:40" ht="21" thickBot="1">
      <c r="A256" s="322"/>
      <c r="B256" s="323"/>
      <c r="C256" s="323"/>
      <c r="D256" s="1078"/>
      <c r="E256" s="325"/>
      <c r="F256" s="297"/>
      <c r="G256" s="297"/>
      <c r="H256" s="298"/>
      <c r="I256" s="298"/>
      <c r="J256" s="297"/>
      <c r="K256" s="1086"/>
      <c r="L256" s="344"/>
      <c r="M256" s="355"/>
      <c r="N256" s="343"/>
      <c r="O256" s="298"/>
      <c r="P256" s="298"/>
      <c r="Q256" s="298"/>
      <c r="R256" s="298"/>
      <c r="S256" s="298"/>
      <c r="T256" s="298"/>
      <c r="U256" s="367"/>
      <c r="V256" s="355"/>
      <c r="W256" s="325"/>
      <c r="X256" s="297"/>
      <c r="Y256" s="297"/>
      <c r="Z256" s="298"/>
      <c r="AA256" s="298"/>
      <c r="AB256" s="298"/>
      <c r="AC256" s="297"/>
      <c r="AD256" s="375"/>
      <c r="AE256" s="355"/>
      <c r="AF256" s="377">
        <f t="shared" si="54"/>
        <v>0</v>
      </c>
      <c r="AG256" s="377"/>
      <c r="AH256" s="390"/>
      <c r="AI256" s="507">
        <f t="shared" si="55"/>
        <v>0</v>
      </c>
      <c r="AJ256" s="412"/>
      <c r="AK256" s="508">
        <f t="shared" si="56"/>
        <v>0</v>
      </c>
      <c r="AL256" s="276"/>
      <c r="AM256" s="276"/>
      <c r="AN256" s="276"/>
    </row>
    <row r="257" spans="1:40" ht="21" thickBot="1">
      <c r="A257" s="436"/>
      <c r="B257" s="437"/>
      <c r="C257" s="437"/>
      <c r="D257" s="1093"/>
      <c r="E257" s="439">
        <f>SUM(E253:E256)</f>
        <v>0</v>
      </c>
      <c r="F257" s="439">
        <f t="shared" ref="F257:L257" si="57">SUM(F253:F256)</f>
        <v>0</v>
      </c>
      <c r="G257" s="439">
        <f t="shared" si="57"/>
        <v>0</v>
      </c>
      <c r="H257" s="439">
        <f t="shared" si="57"/>
        <v>0</v>
      </c>
      <c r="I257" s="439">
        <f t="shared" si="57"/>
        <v>0</v>
      </c>
      <c r="J257" s="439">
        <f t="shared" si="57"/>
        <v>0</v>
      </c>
      <c r="K257" s="439">
        <f t="shared" si="57"/>
        <v>0</v>
      </c>
      <c r="L257" s="439">
        <f t="shared" si="57"/>
        <v>0</v>
      </c>
      <c r="M257" s="482"/>
      <c r="N257" s="439">
        <f>SUM(N253:N256)</f>
        <v>0</v>
      </c>
      <c r="O257" s="439">
        <f t="shared" ref="O257:U257" si="58">SUM(O253:O256)</f>
        <v>0</v>
      </c>
      <c r="P257" s="439">
        <f t="shared" si="58"/>
        <v>0</v>
      </c>
      <c r="Q257" s="439">
        <f t="shared" si="58"/>
        <v>0</v>
      </c>
      <c r="R257" s="439">
        <f t="shared" si="58"/>
        <v>0</v>
      </c>
      <c r="S257" s="439">
        <f t="shared" si="58"/>
        <v>0</v>
      </c>
      <c r="T257" s="439">
        <f t="shared" si="58"/>
        <v>0</v>
      </c>
      <c r="U257" s="439">
        <f t="shared" si="58"/>
        <v>0</v>
      </c>
      <c r="V257" s="482"/>
      <c r="W257" s="439">
        <f>SUM(W253:W256)</f>
        <v>0</v>
      </c>
      <c r="X257" s="439">
        <f t="shared" ref="X257:AD257" si="59">SUM(X253:X256)</f>
        <v>0</v>
      </c>
      <c r="Y257" s="439">
        <f t="shared" si="59"/>
        <v>0</v>
      </c>
      <c r="Z257" s="439">
        <f t="shared" si="59"/>
        <v>0</v>
      </c>
      <c r="AA257" s="439">
        <f t="shared" si="59"/>
        <v>0</v>
      </c>
      <c r="AB257" s="439">
        <f t="shared" si="59"/>
        <v>0</v>
      </c>
      <c r="AC257" s="439">
        <f t="shared" si="59"/>
        <v>0</v>
      </c>
      <c r="AD257" s="481">
        <f t="shared" si="59"/>
        <v>0</v>
      </c>
      <c r="AE257" s="482"/>
      <c r="AF257" s="494">
        <f>SUM(AF253:AF256)</f>
        <v>0</v>
      </c>
      <c r="AG257" s="494">
        <f>SUM(AG253:AG256)</f>
        <v>0</v>
      </c>
      <c r="AH257" s="509"/>
      <c r="AI257" s="514">
        <f>SUM(AI253:AI256)</f>
        <v>0</v>
      </c>
      <c r="AJ257" s="494">
        <f>SUM(AJ253:AJ256)</f>
        <v>0</v>
      </c>
      <c r="AK257" s="515">
        <f>SUM(AK253:AK256)</f>
        <v>0</v>
      </c>
      <c r="AL257" s="234"/>
      <c r="AM257" s="234"/>
      <c r="AN257" s="234"/>
    </row>
    <row r="258" spans="1:40" ht="19.5" thickBot="1">
      <c r="A258" s="425"/>
      <c r="B258" s="426"/>
      <c r="C258" s="426"/>
      <c r="D258" s="427"/>
      <c r="E258" s="428"/>
      <c r="F258" s="428"/>
      <c r="G258" s="428"/>
      <c r="H258" s="428"/>
      <c r="I258" s="428"/>
      <c r="J258" s="428"/>
      <c r="K258" s="428"/>
      <c r="L258" s="428"/>
      <c r="M258" s="478"/>
      <c r="N258" s="479"/>
      <c r="O258" s="479"/>
      <c r="P258" s="479"/>
      <c r="Q258" s="479"/>
      <c r="R258" s="479"/>
      <c r="S258" s="479"/>
      <c r="T258" s="479"/>
      <c r="U258" s="479"/>
      <c r="V258" s="478"/>
      <c r="W258" s="479"/>
      <c r="X258" s="479"/>
      <c r="Y258" s="479"/>
      <c r="Z258" s="479"/>
      <c r="AA258" s="479"/>
      <c r="AB258" s="479"/>
      <c r="AC258" s="479"/>
      <c r="AD258" s="479"/>
      <c r="AE258" s="478"/>
      <c r="AF258" s="479"/>
      <c r="AG258" s="479"/>
      <c r="AH258" s="479"/>
      <c r="AI258" s="479"/>
      <c r="AJ258" s="479"/>
      <c r="AK258" s="506"/>
      <c r="AL258" s="276"/>
      <c r="AM258" s="276"/>
      <c r="AN258" s="276"/>
    </row>
    <row r="259" spans="1:40" ht="16.5" thickBot="1">
      <c r="A259" s="446" t="s">
        <v>140</v>
      </c>
      <c r="B259" s="287" t="s">
        <v>68</v>
      </c>
      <c r="C259" s="447" t="s">
        <v>69</v>
      </c>
      <c r="D259" s="1095" t="s">
        <v>70</v>
      </c>
      <c r="E259" s="743" t="s">
        <v>71</v>
      </c>
      <c r="F259" s="744" t="s">
        <v>124</v>
      </c>
      <c r="G259" s="744" t="s">
        <v>228</v>
      </c>
      <c r="H259" s="744" t="s">
        <v>149</v>
      </c>
      <c r="I259" s="744" t="s">
        <v>470</v>
      </c>
      <c r="J259" s="744" t="s">
        <v>92</v>
      </c>
      <c r="K259" s="50" t="s">
        <v>479</v>
      </c>
      <c r="L259" s="783" t="s">
        <v>123</v>
      </c>
      <c r="M259" s="1089"/>
      <c r="N259" s="80" t="s">
        <v>71</v>
      </c>
      <c r="O259" s="49" t="s">
        <v>53</v>
      </c>
      <c r="P259" s="49" t="s">
        <v>118</v>
      </c>
      <c r="Q259" s="49" t="s">
        <v>74</v>
      </c>
      <c r="R259" s="49" t="s">
        <v>75</v>
      </c>
      <c r="S259" s="49" t="s">
        <v>94</v>
      </c>
      <c r="T259" s="126" t="s">
        <v>77</v>
      </c>
      <c r="U259" s="171" t="s">
        <v>101</v>
      </c>
      <c r="V259" s="79"/>
      <c r="W259" s="80" t="s">
        <v>482</v>
      </c>
      <c r="X259" s="49" t="s">
        <v>96</v>
      </c>
      <c r="Y259" s="49" t="s">
        <v>118</v>
      </c>
      <c r="Z259" s="49" t="s">
        <v>94</v>
      </c>
      <c r="AA259" s="49" t="s">
        <v>75</v>
      </c>
      <c r="AB259" s="49" t="s">
        <v>53</v>
      </c>
      <c r="AC259" s="126" t="s">
        <v>230</v>
      </c>
      <c r="AD259" s="171" t="s">
        <v>95</v>
      </c>
      <c r="AE259" s="79"/>
      <c r="AF259" s="371" t="s">
        <v>172</v>
      </c>
      <c r="AG259" s="498" t="s">
        <v>80</v>
      </c>
      <c r="AH259" s="385"/>
      <c r="AI259" s="386" t="s">
        <v>106</v>
      </c>
      <c r="AJ259" s="385" t="s">
        <v>173</v>
      </c>
      <c r="AK259" s="371" t="s">
        <v>108</v>
      </c>
      <c r="AL259" s="234"/>
      <c r="AM259" s="234"/>
      <c r="AN259" s="234"/>
    </row>
    <row r="260" spans="1:40" ht="20.25">
      <c r="A260" s="449" t="s">
        <v>180</v>
      </c>
      <c r="B260" s="450"/>
      <c r="C260" s="450"/>
      <c r="D260" s="451"/>
      <c r="E260" s="1067"/>
      <c r="F260" s="1068"/>
      <c r="G260" s="1068"/>
      <c r="H260" s="1069"/>
      <c r="I260" s="1069"/>
      <c r="J260" s="1068"/>
      <c r="K260" s="1101"/>
      <c r="L260" s="1102"/>
      <c r="M260" s="355"/>
      <c r="N260" s="343"/>
      <c r="O260" s="298"/>
      <c r="P260" s="298"/>
      <c r="Q260" s="298"/>
      <c r="R260" s="298"/>
      <c r="S260" s="298"/>
      <c r="T260" s="298"/>
      <c r="U260" s="367"/>
      <c r="V260" s="355"/>
      <c r="W260" s="325"/>
      <c r="X260" s="297"/>
      <c r="Y260" s="297"/>
      <c r="Z260" s="298"/>
      <c r="AA260" s="298"/>
      <c r="AB260" s="298"/>
      <c r="AC260" s="297"/>
      <c r="AD260" s="375"/>
      <c r="AE260" s="355"/>
      <c r="AF260" s="376">
        <f t="shared" ref="AF260:AF265" si="60">SUM(E260:AD260)</f>
        <v>0</v>
      </c>
      <c r="AG260" s="499"/>
      <c r="AH260" s="516"/>
      <c r="AI260" s="391">
        <f t="shared" ref="AI260:AI265" si="61">AF260+AG260</f>
        <v>0</v>
      </c>
      <c r="AJ260" s="412"/>
      <c r="AK260" s="413">
        <f>AI260+AJ260</f>
        <v>0</v>
      </c>
      <c r="AL260" s="234"/>
      <c r="AM260" s="234"/>
      <c r="AN260" s="234"/>
    </row>
    <row r="261" spans="1:40" ht="20.25">
      <c r="A261" s="445"/>
      <c r="B261" s="455"/>
      <c r="C261" s="455"/>
      <c r="D261" s="456"/>
      <c r="E261" s="457"/>
      <c r="F261" s="458"/>
      <c r="G261" s="458"/>
      <c r="H261" s="459"/>
      <c r="I261" s="459"/>
      <c r="J261" s="458"/>
      <c r="K261" s="1085"/>
      <c r="L261" s="486"/>
      <c r="M261" s="355"/>
      <c r="N261" s="343"/>
      <c r="O261" s="298"/>
      <c r="P261" s="298"/>
      <c r="Q261" s="298"/>
      <c r="R261" s="298"/>
      <c r="S261" s="298"/>
      <c r="T261" s="298"/>
      <c r="U261" s="367"/>
      <c r="V261" s="355"/>
      <c r="W261" s="325"/>
      <c r="X261" s="297"/>
      <c r="Y261" s="297"/>
      <c r="Z261" s="298"/>
      <c r="AA261" s="298"/>
      <c r="AB261" s="298"/>
      <c r="AC261" s="297"/>
      <c r="AD261" s="375"/>
      <c r="AE261" s="355"/>
      <c r="AF261" s="376">
        <f t="shared" si="60"/>
        <v>0</v>
      </c>
      <c r="AG261" s="500"/>
      <c r="AH261" s="516"/>
      <c r="AI261" s="391">
        <f t="shared" si="61"/>
        <v>0</v>
      </c>
      <c r="AJ261" s="412"/>
      <c r="AK261" s="413">
        <f t="shared" ref="AK261:AK265" si="62">AI261+AJ261</f>
        <v>0</v>
      </c>
      <c r="AL261" s="276"/>
      <c r="AM261" s="276"/>
      <c r="AN261" s="276"/>
    </row>
    <row r="262" spans="1:40" ht="20.25">
      <c r="A262" s="442"/>
      <c r="B262" s="455"/>
      <c r="C262" s="455"/>
      <c r="D262" s="456"/>
      <c r="E262" s="457"/>
      <c r="F262" s="458"/>
      <c r="G262" s="458"/>
      <c r="H262" s="459"/>
      <c r="I262" s="459"/>
      <c r="J262" s="458"/>
      <c r="K262" s="1085"/>
      <c r="L262" s="486"/>
      <c r="M262" s="483"/>
      <c r="N262" s="484"/>
      <c r="O262" s="435"/>
      <c r="P262" s="435"/>
      <c r="Q262" s="435"/>
      <c r="R262" s="435"/>
      <c r="S262" s="435"/>
      <c r="T262" s="435"/>
      <c r="U262" s="492"/>
      <c r="V262" s="483"/>
      <c r="W262" s="433"/>
      <c r="X262" s="434"/>
      <c r="Y262" s="434"/>
      <c r="Z262" s="435"/>
      <c r="AA262" s="435"/>
      <c r="AB262" s="435"/>
      <c r="AC262" s="434"/>
      <c r="AD262" s="495"/>
      <c r="AE262" s="483"/>
      <c r="AF262" s="496">
        <f t="shared" si="60"/>
        <v>0</v>
      </c>
      <c r="AG262" s="500"/>
      <c r="AH262" s="516"/>
      <c r="AI262" s="511">
        <f t="shared" si="61"/>
        <v>0</v>
      </c>
      <c r="AJ262" s="412"/>
      <c r="AK262" s="513">
        <f t="shared" si="62"/>
        <v>0</v>
      </c>
      <c r="AL262" s="234"/>
      <c r="AM262" s="234"/>
      <c r="AN262" s="234"/>
    </row>
    <row r="263" spans="1:40" ht="20.25">
      <c r="A263" s="445"/>
      <c r="B263" s="455"/>
      <c r="C263" s="455"/>
      <c r="D263" s="456"/>
      <c r="E263" s="457"/>
      <c r="F263" s="458"/>
      <c r="G263" s="458"/>
      <c r="H263" s="459"/>
      <c r="I263" s="459"/>
      <c r="J263" s="458"/>
      <c r="K263" s="1085"/>
      <c r="L263" s="486"/>
      <c r="M263" s="355"/>
      <c r="N263" s="343"/>
      <c r="O263" s="298"/>
      <c r="P263" s="298"/>
      <c r="Q263" s="298"/>
      <c r="R263" s="298"/>
      <c r="S263" s="298"/>
      <c r="T263" s="298"/>
      <c r="U263" s="367"/>
      <c r="V263" s="355"/>
      <c r="W263" s="325"/>
      <c r="X263" s="297"/>
      <c r="Y263" s="297"/>
      <c r="Z263" s="298"/>
      <c r="AA263" s="298"/>
      <c r="AB263" s="298"/>
      <c r="AC263" s="297"/>
      <c r="AD263" s="375"/>
      <c r="AE263" s="355"/>
      <c r="AF263" s="376">
        <f t="shared" si="60"/>
        <v>0</v>
      </c>
      <c r="AG263" s="500"/>
      <c r="AH263" s="516"/>
      <c r="AI263" s="391">
        <f t="shared" si="61"/>
        <v>0</v>
      </c>
      <c r="AJ263" s="412"/>
      <c r="AK263" s="413">
        <f t="shared" si="62"/>
        <v>0</v>
      </c>
      <c r="AL263" s="276"/>
      <c r="AM263" s="276"/>
      <c r="AN263" s="276"/>
    </row>
    <row r="264" spans="1:40" ht="20.25">
      <c r="A264" s="445"/>
      <c r="B264" s="455"/>
      <c r="C264" s="455"/>
      <c r="D264" s="456"/>
      <c r="E264" s="457"/>
      <c r="F264" s="458"/>
      <c r="G264" s="458"/>
      <c r="H264" s="459"/>
      <c r="I264" s="459"/>
      <c r="J264" s="458"/>
      <c r="K264" s="1085"/>
      <c r="L264" s="486"/>
      <c r="M264" s="355"/>
      <c r="N264" s="343"/>
      <c r="O264" s="298"/>
      <c r="P264" s="298"/>
      <c r="Q264" s="298"/>
      <c r="R264" s="298"/>
      <c r="S264" s="298"/>
      <c r="T264" s="298"/>
      <c r="U264" s="367"/>
      <c r="V264" s="355"/>
      <c r="W264" s="325"/>
      <c r="X264" s="297"/>
      <c r="Y264" s="297"/>
      <c r="Z264" s="298"/>
      <c r="AA264" s="298"/>
      <c r="AB264" s="298"/>
      <c r="AC264" s="297"/>
      <c r="AD264" s="375"/>
      <c r="AE264" s="355"/>
      <c r="AF264" s="376">
        <f t="shared" si="60"/>
        <v>0</v>
      </c>
      <c r="AG264" s="500"/>
      <c r="AH264" s="516"/>
      <c r="AI264" s="391">
        <f t="shared" si="61"/>
        <v>0</v>
      </c>
      <c r="AJ264" s="412"/>
      <c r="AK264" s="413">
        <f t="shared" si="62"/>
        <v>0</v>
      </c>
      <c r="AL264" s="234"/>
      <c r="AM264" s="234"/>
      <c r="AN264" s="234"/>
    </row>
    <row r="265" spans="1:40" ht="21" thickBot="1">
      <c r="A265" s="460"/>
      <c r="B265" s="461"/>
      <c r="C265" s="461"/>
      <c r="D265" s="462"/>
      <c r="E265" s="325"/>
      <c r="F265" s="297"/>
      <c r="G265" s="297"/>
      <c r="H265" s="298"/>
      <c r="I265" s="298"/>
      <c r="J265" s="297"/>
      <c r="K265" s="1086"/>
      <c r="L265" s="344"/>
      <c r="M265" s="355"/>
      <c r="N265" s="343"/>
      <c r="O265" s="298"/>
      <c r="P265" s="298"/>
      <c r="Q265" s="298"/>
      <c r="R265" s="298"/>
      <c r="S265" s="298"/>
      <c r="T265" s="298"/>
      <c r="U265" s="367"/>
      <c r="V265" s="355"/>
      <c r="W265" s="325"/>
      <c r="X265" s="297"/>
      <c r="Y265" s="297"/>
      <c r="Z265" s="298"/>
      <c r="AA265" s="298"/>
      <c r="AB265" s="298"/>
      <c r="AC265" s="297"/>
      <c r="AD265" s="375"/>
      <c r="AE265" s="355"/>
      <c r="AF265" s="377">
        <f t="shared" si="60"/>
        <v>0</v>
      </c>
      <c r="AG265" s="501"/>
      <c r="AH265" s="516"/>
      <c r="AI265" s="507">
        <f t="shared" si="61"/>
        <v>0</v>
      </c>
      <c r="AJ265" s="412"/>
      <c r="AK265" s="508">
        <f t="shared" si="62"/>
        <v>0</v>
      </c>
      <c r="AL265" s="276"/>
      <c r="AM265" s="276"/>
      <c r="AN265" s="276"/>
    </row>
    <row r="266" spans="1:40" ht="21" thickBot="1">
      <c r="A266" s="466"/>
      <c r="B266" s="467"/>
      <c r="C266" s="467"/>
      <c r="D266" s="1096"/>
      <c r="E266" s="439">
        <f>SUM(E260:E265)</f>
        <v>0</v>
      </c>
      <c r="F266" s="439">
        <f t="shared" ref="F266:AK266" si="63">SUM(F260:F265)</f>
        <v>0</v>
      </c>
      <c r="G266" s="439">
        <f t="shared" si="63"/>
        <v>0</v>
      </c>
      <c r="H266" s="439">
        <f t="shared" si="63"/>
        <v>0</v>
      </c>
      <c r="I266" s="439">
        <f t="shared" si="63"/>
        <v>0</v>
      </c>
      <c r="J266" s="439">
        <f t="shared" si="63"/>
        <v>0</v>
      </c>
      <c r="K266" s="439">
        <f t="shared" si="63"/>
        <v>0</v>
      </c>
      <c r="L266" s="439">
        <f t="shared" si="63"/>
        <v>0</v>
      </c>
      <c r="M266" s="439"/>
      <c r="N266" s="439">
        <f t="shared" si="63"/>
        <v>0</v>
      </c>
      <c r="O266" s="439">
        <f t="shared" si="63"/>
        <v>0</v>
      </c>
      <c r="P266" s="439">
        <f t="shared" si="63"/>
        <v>0</v>
      </c>
      <c r="Q266" s="439">
        <f t="shared" si="63"/>
        <v>0</v>
      </c>
      <c r="R266" s="439">
        <f t="shared" si="63"/>
        <v>0</v>
      </c>
      <c r="S266" s="439">
        <f t="shared" si="63"/>
        <v>0</v>
      </c>
      <c r="T266" s="439">
        <f t="shared" si="63"/>
        <v>0</v>
      </c>
      <c r="U266" s="439">
        <f t="shared" si="63"/>
        <v>0</v>
      </c>
      <c r="V266" s="439"/>
      <c r="W266" s="439">
        <f t="shared" si="63"/>
        <v>0</v>
      </c>
      <c r="X266" s="439">
        <f t="shared" si="63"/>
        <v>0</v>
      </c>
      <c r="Y266" s="439">
        <f t="shared" si="63"/>
        <v>0</v>
      </c>
      <c r="Z266" s="439">
        <f t="shared" si="63"/>
        <v>0</v>
      </c>
      <c r="AA266" s="439">
        <f t="shared" si="63"/>
        <v>0</v>
      </c>
      <c r="AB266" s="439">
        <f t="shared" si="63"/>
        <v>0</v>
      </c>
      <c r="AC266" s="439">
        <f t="shared" si="63"/>
        <v>0</v>
      </c>
      <c r="AD266" s="439">
        <f t="shared" si="63"/>
        <v>0</v>
      </c>
      <c r="AE266" s="439"/>
      <c r="AF266" s="439">
        <f t="shared" si="63"/>
        <v>0</v>
      </c>
      <c r="AG266" s="439">
        <f t="shared" si="63"/>
        <v>0</v>
      </c>
      <c r="AH266" s="439">
        <f t="shared" si="63"/>
        <v>0</v>
      </c>
      <c r="AI266" s="439">
        <f t="shared" si="63"/>
        <v>0</v>
      </c>
      <c r="AJ266" s="439">
        <f t="shared" si="63"/>
        <v>0</v>
      </c>
      <c r="AK266" s="439">
        <f t="shared" si="63"/>
        <v>0</v>
      </c>
      <c r="AL266" s="234"/>
      <c r="AM266" s="234"/>
      <c r="AN266" s="234"/>
    </row>
    <row r="267" spans="1:40" ht="19.5" thickBot="1">
      <c r="A267" s="425"/>
      <c r="B267" s="426"/>
      <c r="C267" s="426"/>
      <c r="D267" s="427"/>
      <c r="E267" s="428"/>
      <c r="F267" s="428"/>
      <c r="G267" s="428"/>
      <c r="H267" s="428"/>
      <c r="I267" s="428"/>
      <c r="J267" s="428"/>
      <c r="K267" s="428"/>
      <c r="L267" s="428"/>
      <c r="M267" s="478"/>
      <c r="N267" s="479"/>
      <c r="O267" s="479"/>
      <c r="P267" s="479"/>
      <c r="Q267" s="479"/>
      <c r="R267" s="479"/>
      <c r="S267" s="479"/>
      <c r="T267" s="479"/>
      <c r="U267" s="479"/>
      <c r="V267" s="478"/>
      <c r="W267" s="479"/>
      <c r="X267" s="479"/>
      <c r="Y267" s="479"/>
      <c r="Z267" s="479"/>
      <c r="AA267" s="479"/>
      <c r="AB267" s="479"/>
      <c r="AC267" s="479"/>
      <c r="AD267" s="479"/>
      <c r="AE267" s="478"/>
      <c r="AF267" s="479"/>
      <c r="AG267" s="479"/>
      <c r="AH267" s="479"/>
      <c r="AI267" s="479"/>
      <c r="AJ267" s="479"/>
      <c r="AK267" s="506"/>
      <c r="AL267" s="1063"/>
      <c r="AM267" s="1063"/>
      <c r="AN267" s="1063"/>
    </row>
    <row r="268" spans="1:40" ht="18.75" thickBot="1">
      <c r="A268" s="3552" t="s">
        <v>143</v>
      </c>
      <c r="B268" s="287" t="s">
        <v>68</v>
      </c>
      <c r="C268" s="287" t="s">
        <v>69</v>
      </c>
      <c r="D268" s="3550" t="s">
        <v>70</v>
      </c>
      <c r="E268" s="743" t="s">
        <v>96</v>
      </c>
      <c r="F268" s="744" t="s">
        <v>124</v>
      </c>
      <c r="G268" s="744" t="s">
        <v>228</v>
      </c>
      <c r="H268" s="744" t="s">
        <v>149</v>
      </c>
      <c r="I268" s="744" t="s">
        <v>470</v>
      </c>
      <c r="J268" s="744" t="s">
        <v>92</v>
      </c>
      <c r="K268" s="50" t="s">
        <v>479</v>
      </c>
      <c r="L268" s="783" t="s">
        <v>123</v>
      </c>
      <c r="M268" s="1089"/>
      <c r="N268" s="80" t="s">
        <v>71</v>
      </c>
      <c r="O268" s="49" t="s">
        <v>53</v>
      </c>
      <c r="P268" s="49" t="s">
        <v>118</v>
      </c>
      <c r="Q268" s="49" t="s">
        <v>74</v>
      </c>
      <c r="R268" s="49" t="s">
        <v>75</v>
      </c>
      <c r="S268" s="49" t="s">
        <v>94</v>
      </c>
      <c r="T268" s="126" t="s">
        <v>77</v>
      </c>
      <c r="U268" s="171" t="s">
        <v>101</v>
      </c>
      <c r="V268" s="79"/>
      <c r="W268" s="80" t="s">
        <v>482</v>
      </c>
      <c r="X268" s="744" t="s">
        <v>96</v>
      </c>
      <c r="Y268" s="744" t="s">
        <v>118</v>
      </c>
      <c r="Z268" s="744" t="s">
        <v>94</v>
      </c>
      <c r="AA268" s="744" t="s">
        <v>75</v>
      </c>
      <c r="AB268" s="744" t="s">
        <v>53</v>
      </c>
      <c r="AC268" s="50" t="s">
        <v>230</v>
      </c>
      <c r="AD268" s="805" t="s">
        <v>95</v>
      </c>
      <c r="AE268" s="79"/>
      <c r="AF268" s="371" t="s">
        <v>172</v>
      </c>
      <c r="AG268" s="372" t="s">
        <v>80</v>
      </c>
      <c r="AH268" s="385"/>
      <c r="AI268" s="386" t="s">
        <v>106</v>
      </c>
      <c r="AJ268" s="385" t="s">
        <v>173</v>
      </c>
      <c r="AK268" s="371" t="s">
        <v>108</v>
      </c>
      <c r="AL268" s="1063"/>
      <c r="AM268" s="1063"/>
      <c r="AN268" s="1063"/>
    </row>
    <row r="269" spans="1:40" ht="20.25">
      <c r="A269" s="471" t="s">
        <v>181</v>
      </c>
      <c r="B269" s="472"/>
      <c r="C269" s="472"/>
      <c r="D269" s="1097"/>
      <c r="E269" s="1098"/>
      <c r="F269" s="1099"/>
      <c r="G269" s="1099"/>
      <c r="H269" s="1100"/>
      <c r="I269" s="1100"/>
      <c r="J269" s="1099"/>
      <c r="K269" s="1105"/>
      <c r="L269" s="1106"/>
      <c r="M269" s="490"/>
      <c r="N269" s="491"/>
      <c r="O269" s="476"/>
      <c r="P269" s="476"/>
      <c r="Q269" s="476"/>
      <c r="R269" s="476"/>
      <c r="S269" s="476"/>
      <c r="T269" s="476"/>
      <c r="U269" s="493"/>
      <c r="V269" s="490"/>
      <c r="W269" s="474"/>
      <c r="X269" s="475"/>
      <c r="Y269" s="475"/>
      <c r="Z269" s="476"/>
      <c r="AA269" s="476"/>
      <c r="AB269" s="476"/>
      <c r="AC269" s="475"/>
      <c r="AD269" s="503"/>
      <c r="AE269" s="490"/>
      <c r="AF269" s="504">
        <f t="shared" ref="AF269:AF273" si="64">SUM(E269:AD269)</f>
        <v>0</v>
      </c>
      <c r="AG269" s="505"/>
      <c r="AH269" s="518"/>
      <c r="AI269" s="519">
        <f t="shared" ref="AI269:AI273" si="65">AF269+AG269</f>
        <v>0</v>
      </c>
      <c r="AJ269" s="520"/>
      <c r="AK269" s="521">
        <f>AI269+AJ269</f>
        <v>0</v>
      </c>
      <c r="AL269" s="1063"/>
      <c r="AM269" s="1063"/>
      <c r="AN269" s="1063"/>
    </row>
    <row r="270" spans="1:40" ht="20.25">
      <c r="A270" s="445" t="s">
        <v>182</v>
      </c>
      <c r="B270" s="323"/>
      <c r="C270" s="323"/>
      <c r="D270" s="324"/>
      <c r="E270" s="457"/>
      <c r="F270" s="458"/>
      <c r="G270" s="458"/>
      <c r="H270" s="459"/>
      <c r="I270" s="459"/>
      <c r="J270" s="458"/>
      <c r="K270" s="1085"/>
      <c r="L270" s="1103"/>
      <c r="M270" s="355"/>
      <c r="N270" s="343"/>
      <c r="O270" s="298"/>
      <c r="P270" s="298"/>
      <c r="Q270" s="298"/>
      <c r="R270" s="298"/>
      <c r="S270" s="298"/>
      <c r="T270" s="298"/>
      <c r="U270" s="367"/>
      <c r="V270" s="355"/>
      <c r="W270" s="325"/>
      <c r="X270" s="297"/>
      <c r="Y270" s="297"/>
      <c r="Z270" s="298"/>
      <c r="AA270" s="298"/>
      <c r="AB270" s="298"/>
      <c r="AC270" s="297"/>
      <c r="AD270" s="375"/>
      <c r="AE270" s="355"/>
      <c r="AF270" s="376">
        <f t="shared" si="64"/>
        <v>0</v>
      </c>
      <c r="AG270" s="377"/>
      <c r="AH270" s="390"/>
      <c r="AI270" s="391">
        <f t="shared" si="65"/>
        <v>0</v>
      </c>
      <c r="AJ270" s="412"/>
      <c r="AK270" s="413">
        <f t="shared" ref="AK270:AK273" si="66">AI270+AJ270</f>
        <v>0</v>
      </c>
      <c r="AL270" s="1063"/>
      <c r="AM270" s="1063"/>
      <c r="AN270" s="1063"/>
    </row>
    <row r="271" spans="1:40" ht="20.25">
      <c r="A271" s="445"/>
      <c r="B271" s="323"/>
      <c r="C271" s="323"/>
      <c r="D271" s="1078"/>
      <c r="E271" s="457"/>
      <c r="F271" s="458"/>
      <c r="G271" s="458"/>
      <c r="H271" s="459"/>
      <c r="I271" s="459"/>
      <c r="J271" s="458"/>
      <c r="K271" s="1085"/>
      <c r="L271" s="486"/>
      <c r="M271" s="355"/>
      <c r="N271" s="343"/>
      <c r="O271" s="298"/>
      <c r="P271" s="298"/>
      <c r="Q271" s="298"/>
      <c r="R271" s="298"/>
      <c r="S271" s="298"/>
      <c r="T271" s="298"/>
      <c r="U271" s="367"/>
      <c r="V271" s="355"/>
      <c r="W271" s="325"/>
      <c r="X271" s="297"/>
      <c r="Y271" s="297"/>
      <c r="Z271" s="298"/>
      <c r="AA271" s="298"/>
      <c r="AB271" s="298"/>
      <c r="AC271" s="297"/>
      <c r="AD271" s="375"/>
      <c r="AE271" s="355"/>
      <c r="AF271" s="376">
        <f t="shared" si="64"/>
        <v>0</v>
      </c>
      <c r="AG271" s="377"/>
      <c r="AH271" s="390"/>
      <c r="AI271" s="391">
        <f t="shared" si="65"/>
        <v>0</v>
      </c>
      <c r="AJ271" s="412"/>
      <c r="AK271" s="413">
        <f t="shared" si="66"/>
        <v>0</v>
      </c>
      <c r="AL271" s="1063"/>
      <c r="AM271" s="1063"/>
      <c r="AN271" s="1063"/>
    </row>
    <row r="272" spans="1:40" ht="20.25">
      <c r="A272" s="445"/>
      <c r="B272" s="323"/>
      <c r="C272" s="323"/>
      <c r="D272" s="1078"/>
      <c r="E272" s="457"/>
      <c r="F272" s="458"/>
      <c r="G272" s="458"/>
      <c r="H272" s="459"/>
      <c r="I272" s="459"/>
      <c r="J272" s="458"/>
      <c r="K272" s="1085"/>
      <c r="L272" s="486"/>
      <c r="M272" s="355"/>
      <c r="N272" s="343"/>
      <c r="O272" s="298"/>
      <c r="P272" s="298"/>
      <c r="Q272" s="298"/>
      <c r="R272" s="298"/>
      <c r="S272" s="298"/>
      <c r="T272" s="298"/>
      <c r="U272" s="367"/>
      <c r="V272" s="355"/>
      <c r="W272" s="325"/>
      <c r="X272" s="297"/>
      <c r="Y272" s="297"/>
      <c r="Z272" s="298"/>
      <c r="AA272" s="298"/>
      <c r="AB272" s="298"/>
      <c r="AC272" s="297"/>
      <c r="AD272" s="375"/>
      <c r="AE272" s="355"/>
      <c r="AF272" s="376">
        <f t="shared" si="64"/>
        <v>0</v>
      </c>
      <c r="AG272" s="377"/>
      <c r="AH272" s="390"/>
      <c r="AI272" s="391">
        <f t="shared" si="65"/>
        <v>0</v>
      </c>
      <c r="AJ272" s="412"/>
      <c r="AK272" s="413">
        <f t="shared" si="66"/>
        <v>0</v>
      </c>
      <c r="AL272" s="1063"/>
      <c r="AM272" s="1063"/>
      <c r="AN272" s="1063"/>
    </row>
    <row r="273" spans="1:40" ht="21" thickBot="1">
      <c r="A273" s="322"/>
      <c r="B273" s="323"/>
      <c r="C273" s="323"/>
      <c r="D273" s="1078"/>
      <c r="E273" s="325"/>
      <c r="F273" s="297"/>
      <c r="G273" s="297"/>
      <c r="H273" s="298"/>
      <c r="I273" s="298"/>
      <c r="J273" s="297"/>
      <c r="K273" s="1086"/>
      <c r="L273" s="344"/>
      <c r="M273" s="355"/>
      <c r="N273" s="343"/>
      <c r="O273" s="298"/>
      <c r="P273" s="298"/>
      <c r="Q273" s="298"/>
      <c r="R273" s="298"/>
      <c r="S273" s="298"/>
      <c r="T273" s="298"/>
      <c r="U273" s="367"/>
      <c r="V273" s="355"/>
      <c r="W273" s="325"/>
      <c r="X273" s="297"/>
      <c r="Y273" s="297"/>
      <c r="Z273" s="298"/>
      <c r="AA273" s="298"/>
      <c r="AB273" s="298"/>
      <c r="AC273" s="297"/>
      <c r="AD273" s="375"/>
      <c r="AE273" s="355"/>
      <c r="AF273" s="377">
        <f t="shared" si="64"/>
        <v>0</v>
      </c>
      <c r="AG273" s="377"/>
      <c r="AH273" s="390"/>
      <c r="AI273" s="507">
        <f t="shared" si="65"/>
        <v>0</v>
      </c>
      <c r="AJ273" s="412"/>
      <c r="AK273" s="508">
        <f t="shared" si="66"/>
        <v>0</v>
      </c>
      <c r="AL273" s="1063"/>
      <c r="AM273" s="1063"/>
      <c r="AN273" s="1063"/>
    </row>
    <row r="274" spans="1:40" ht="21" thickBot="1">
      <c r="A274" s="436"/>
      <c r="B274" s="437"/>
      <c r="C274" s="437"/>
      <c r="D274" s="1093"/>
      <c r="E274" s="439">
        <f>SUM(E269:E273)</f>
        <v>0</v>
      </c>
      <c r="F274" s="440">
        <f t="shared" ref="F274:L274" si="67">SUM(F269:F273)</f>
        <v>0</v>
      </c>
      <c r="G274" s="440">
        <f t="shared" si="67"/>
        <v>0</v>
      </c>
      <c r="H274" s="440">
        <f t="shared" si="67"/>
        <v>0</v>
      </c>
      <c r="I274" s="440">
        <f t="shared" si="67"/>
        <v>0</v>
      </c>
      <c r="J274" s="440">
        <f t="shared" si="67"/>
        <v>0</v>
      </c>
      <c r="K274" s="1104">
        <f t="shared" si="67"/>
        <v>0</v>
      </c>
      <c r="L274" s="481">
        <f t="shared" si="67"/>
        <v>0</v>
      </c>
      <c r="M274" s="482"/>
      <c r="N274" s="439">
        <f t="shared" ref="N274:U274" si="68">SUM(N269:N273)</f>
        <v>0</v>
      </c>
      <c r="O274" s="440">
        <f t="shared" si="68"/>
        <v>0</v>
      </c>
      <c r="P274" s="440">
        <f t="shared" si="68"/>
        <v>0</v>
      </c>
      <c r="Q274" s="440">
        <f t="shared" si="68"/>
        <v>0</v>
      </c>
      <c r="R274" s="440">
        <f t="shared" si="68"/>
        <v>0</v>
      </c>
      <c r="S274" s="440">
        <f t="shared" si="68"/>
        <v>0</v>
      </c>
      <c r="T274" s="440">
        <f t="shared" si="68"/>
        <v>0</v>
      </c>
      <c r="U274" s="481">
        <f t="shared" si="68"/>
        <v>0</v>
      </c>
      <c r="V274" s="482"/>
      <c r="W274" s="439">
        <f t="shared" ref="W274:AD274" si="69">SUM(W269:W273)</f>
        <v>0</v>
      </c>
      <c r="X274" s="440">
        <f t="shared" si="69"/>
        <v>0</v>
      </c>
      <c r="Y274" s="440">
        <f t="shared" si="69"/>
        <v>0</v>
      </c>
      <c r="Z274" s="440">
        <f t="shared" si="69"/>
        <v>0</v>
      </c>
      <c r="AA274" s="440">
        <f t="shared" si="69"/>
        <v>0</v>
      </c>
      <c r="AB274" s="440">
        <f t="shared" si="69"/>
        <v>0</v>
      </c>
      <c r="AC274" s="440">
        <f t="shared" si="69"/>
        <v>0</v>
      </c>
      <c r="AD274" s="481">
        <f t="shared" si="69"/>
        <v>0</v>
      </c>
      <c r="AE274" s="482"/>
      <c r="AF274" s="494">
        <f>SUM(AF269:AF273)</f>
        <v>0</v>
      </c>
      <c r="AG274" s="494">
        <f>SUM(AG269:AG273)</f>
        <v>0</v>
      </c>
      <c r="AH274" s="509"/>
      <c r="AI274" s="514">
        <f>SUM(AI269:AI273)</f>
        <v>0</v>
      </c>
      <c r="AJ274" s="494">
        <f>SUM(AJ269:AJ273)</f>
        <v>0</v>
      </c>
      <c r="AK274" s="509">
        <f>SUM(AK269:AK273)</f>
        <v>0</v>
      </c>
      <c r="AL274" s="1063"/>
      <c r="AM274" s="1063"/>
      <c r="AN274" s="1063"/>
    </row>
    <row r="275" spans="1:40" ht="19.5" thickBot="1">
      <c r="A275" s="522"/>
      <c r="B275" s="523"/>
      <c r="C275" s="523"/>
      <c r="D275" s="524"/>
      <c r="E275" s="525"/>
      <c r="F275" s="525"/>
      <c r="G275" s="525"/>
      <c r="H275" s="525"/>
      <c r="I275" s="525"/>
      <c r="J275" s="525"/>
      <c r="K275" s="525"/>
      <c r="L275" s="525"/>
      <c r="M275" s="572"/>
      <c r="N275" s="573"/>
      <c r="O275" s="573"/>
      <c r="P275" s="573"/>
      <c r="Q275" s="573"/>
      <c r="R275" s="573"/>
      <c r="S275" s="573"/>
      <c r="T275" s="573"/>
      <c r="U275" s="573"/>
      <c r="V275" s="572"/>
      <c r="W275" s="573"/>
      <c r="X275" s="573"/>
      <c r="Y275" s="573"/>
      <c r="Z275" s="573"/>
      <c r="AA275" s="573"/>
      <c r="AB275" s="573"/>
      <c r="AC275" s="573"/>
      <c r="AD275" s="573"/>
      <c r="AE275" s="572"/>
      <c r="AF275" s="573"/>
      <c r="AG275" s="573"/>
      <c r="AH275" s="599"/>
      <c r="AI275" s="573"/>
      <c r="AJ275" s="573"/>
      <c r="AK275" s="600"/>
      <c r="AL275" s="1063"/>
      <c r="AM275" s="1063"/>
      <c r="AN275" s="1063"/>
    </row>
    <row r="276" spans="1:40" ht="21" thickBot="1">
      <c r="A276" s="526" t="s">
        <v>145</v>
      </c>
      <c r="B276" s="527"/>
      <c r="C276" s="527"/>
      <c r="D276" s="528"/>
      <c r="E276" s="665">
        <f t="shared" ref="E276:L276" si="70">E4+E35+E71+E107+E140+E208+E250+E257+E266+E274+E173+E243</f>
        <v>120</v>
      </c>
      <c r="F276" s="665">
        <f t="shared" si="70"/>
        <v>0</v>
      </c>
      <c r="G276" s="665">
        <f t="shared" si="70"/>
        <v>0</v>
      </c>
      <c r="H276" s="665">
        <f t="shared" si="70"/>
        <v>0</v>
      </c>
      <c r="I276" s="665">
        <f t="shared" si="70"/>
        <v>0</v>
      </c>
      <c r="J276" s="665">
        <f t="shared" si="70"/>
        <v>0</v>
      </c>
      <c r="K276" s="665">
        <f t="shared" si="70"/>
        <v>1800</v>
      </c>
      <c r="L276" s="665">
        <f t="shared" si="70"/>
        <v>340</v>
      </c>
      <c r="M276" s="665"/>
      <c r="N276" s="529">
        <f>N4+N35+N71+N107+N140+N208+N250+N257+N266+N274+N173+N243</f>
        <v>0</v>
      </c>
      <c r="O276" s="529">
        <f>O4+O35+O71+O107+O140+O208+O250+O257+O266+O274+O173+Q243</f>
        <v>0</v>
      </c>
      <c r="P276" s="529">
        <f t="shared" ref="P276:U276" si="71">P4+P35+P71+P107+P140+P208+P250+P257+P266+P274+P173+P243</f>
        <v>120</v>
      </c>
      <c r="Q276" s="529">
        <f t="shared" si="71"/>
        <v>0</v>
      </c>
      <c r="R276" s="529">
        <f t="shared" si="71"/>
        <v>1440</v>
      </c>
      <c r="S276" s="529">
        <f t="shared" si="71"/>
        <v>0</v>
      </c>
      <c r="T276" s="529">
        <f t="shared" si="71"/>
        <v>0</v>
      </c>
      <c r="U276" s="693">
        <f t="shared" si="71"/>
        <v>0</v>
      </c>
      <c r="V276" s="665"/>
      <c r="W276" s="529">
        <f t="shared" ref="W276:AD276" si="72">W4+W35+W71+W107+W140+W208+W250+W257+W266+W274+W173+W243</f>
        <v>1760</v>
      </c>
      <c r="X276" s="529">
        <f t="shared" si="72"/>
        <v>0</v>
      </c>
      <c r="Y276" s="529">
        <f t="shared" si="72"/>
        <v>0</v>
      </c>
      <c r="Z276" s="529">
        <f t="shared" si="72"/>
        <v>2100</v>
      </c>
      <c r="AA276" s="529">
        <f t="shared" si="72"/>
        <v>0</v>
      </c>
      <c r="AB276" s="529">
        <f t="shared" si="72"/>
        <v>0</v>
      </c>
      <c r="AC276" s="529">
        <f t="shared" si="72"/>
        <v>0</v>
      </c>
      <c r="AD276" s="529">
        <f t="shared" si="72"/>
        <v>0</v>
      </c>
      <c r="AE276" s="529"/>
      <c r="AF276" s="529">
        <f t="shared" ref="AF276:AK276" si="73">AF4+AF35+AF71+AF107+AF140+AF208+AF250+AF257+AF266+AF274+AF173+AF243</f>
        <v>7680</v>
      </c>
      <c r="AG276" s="529">
        <f t="shared" si="73"/>
        <v>19</v>
      </c>
      <c r="AH276" s="529">
        <f t="shared" si="73"/>
        <v>0</v>
      </c>
      <c r="AI276" s="529">
        <f t="shared" si="73"/>
        <v>7699</v>
      </c>
      <c r="AJ276" s="529">
        <f t="shared" si="73"/>
        <v>131</v>
      </c>
      <c r="AK276" s="529">
        <f t="shared" si="73"/>
        <v>7830</v>
      </c>
      <c r="AL276" s="1063"/>
      <c r="AM276" s="1063"/>
      <c r="AN276" s="1063"/>
    </row>
    <row r="277" spans="1:40" ht="21" thickBot="1">
      <c r="A277" s="530" t="s">
        <v>152</v>
      </c>
      <c r="B277" s="531"/>
      <c r="C277" s="531"/>
      <c r="D277" s="532"/>
      <c r="E277" s="529">
        <f>E276/20</f>
        <v>6</v>
      </c>
      <c r="F277" s="639">
        <f t="shared" ref="F277:L277" si="74">F276/20</f>
        <v>0</v>
      </c>
      <c r="G277" s="639">
        <f t="shared" si="74"/>
        <v>0</v>
      </c>
      <c r="H277" s="639">
        <f t="shared" si="74"/>
        <v>0</v>
      </c>
      <c r="I277" s="639">
        <f t="shared" si="74"/>
        <v>0</v>
      </c>
      <c r="J277" s="639">
        <f t="shared" si="74"/>
        <v>0</v>
      </c>
      <c r="K277" s="1122">
        <f t="shared" si="74"/>
        <v>90</v>
      </c>
      <c r="L277" s="1123">
        <f t="shared" si="74"/>
        <v>17</v>
      </c>
      <c r="M277" s="3554"/>
      <c r="N277" s="3551">
        <f>N5+N36+N72+N140+N251+N258+N267+N275</f>
        <v>0</v>
      </c>
      <c r="O277" s="577">
        <f t="shared" ref="O277:U277" si="75">O276/20</f>
        <v>0</v>
      </c>
      <c r="P277" s="577">
        <f t="shared" si="75"/>
        <v>6</v>
      </c>
      <c r="Q277" s="577">
        <f t="shared" si="75"/>
        <v>0</v>
      </c>
      <c r="R277" s="577">
        <f t="shared" si="75"/>
        <v>72</v>
      </c>
      <c r="S277" s="577">
        <f t="shared" si="75"/>
        <v>0</v>
      </c>
      <c r="T277" s="577">
        <f t="shared" si="75"/>
        <v>0</v>
      </c>
      <c r="U277" s="586">
        <f t="shared" si="75"/>
        <v>0</v>
      </c>
      <c r="V277" s="3554"/>
      <c r="W277" s="576">
        <f>W276/20</f>
        <v>88</v>
      </c>
      <c r="X277" s="577">
        <f t="shared" ref="X277:AK277" si="76">X276/20</f>
        <v>0</v>
      </c>
      <c r="Y277" s="577">
        <f t="shared" si="76"/>
        <v>0</v>
      </c>
      <c r="Z277" s="577">
        <f t="shared" si="76"/>
        <v>105</v>
      </c>
      <c r="AA277" s="577">
        <f t="shared" si="76"/>
        <v>0</v>
      </c>
      <c r="AB277" s="577">
        <f t="shared" si="76"/>
        <v>0</v>
      </c>
      <c r="AC277" s="577">
        <f t="shared" si="76"/>
        <v>0</v>
      </c>
      <c r="AD277" s="586">
        <f t="shared" si="76"/>
        <v>0</v>
      </c>
      <c r="AE277" s="586"/>
      <c r="AF277" s="586">
        <f t="shared" si="76"/>
        <v>384</v>
      </c>
      <c r="AG277" s="586">
        <f t="shared" si="76"/>
        <v>0.95</v>
      </c>
      <c r="AH277" s="586">
        <f t="shared" si="76"/>
        <v>0</v>
      </c>
      <c r="AI277" s="586">
        <f t="shared" si="76"/>
        <v>384.95</v>
      </c>
      <c r="AJ277" s="586">
        <f t="shared" si="76"/>
        <v>6.55</v>
      </c>
      <c r="AK277" s="601">
        <f t="shared" si="76"/>
        <v>391.5</v>
      </c>
      <c r="AL277" s="1063"/>
      <c r="AM277" s="1063"/>
      <c r="AN277" s="1063"/>
    </row>
    <row r="278" spans="1:40" ht="24" thickBot="1">
      <c r="A278" s="3755" t="s">
        <v>147</v>
      </c>
      <c r="B278" s="3755"/>
      <c r="C278" s="3755"/>
      <c r="D278" s="3755"/>
      <c r="E278" s="3756"/>
      <c r="F278" s="3756"/>
      <c r="G278" s="3756"/>
      <c r="H278" s="3756"/>
      <c r="I278" s="3756"/>
      <c r="J278" s="3756"/>
      <c r="K278" s="3756"/>
      <c r="L278" s="3756"/>
      <c r="M278" s="3755"/>
      <c r="N278" s="3755"/>
      <c r="O278" s="3755"/>
      <c r="P278" s="3755"/>
      <c r="Q278" s="3755"/>
      <c r="R278" s="3755"/>
      <c r="S278" s="3755"/>
      <c r="T278" s="3755"/>
      <c r="U278" s="3755"/>
      <c r="V278" s="3755"/>
      <c r="W278" s="3755"/>
      <c r="X278" s="3755"/>
      <c r="Y278" s="3755"/>
      <c r="Z278" s="3755"/>
      <c r="AA278" s="3755"/>
      <c r="AB278" s="3755"/>
      <c r="AC278" s="3755"/>
      <c r="AD278" s="3755"/>
      <c r="AE278" s="3755"/>
      <c r="AF278" s="3755"/>
      <c r="AG278" s="3755"/>
      <c r="AH278" s="3755"/>
      <c r="AI278" s="3755"/>
      <c r="AJ278" s="3755"/>
      <c r="AK278" s="3755"/>
      <c r="AL278" s="1063"/>
      <c r="AM278" s="1063"/>
      <c r="AN278" s="1063"/>
    </row>
    <row r="279" spans="1:40" ht="24" thickBot="1">
      <c r="A279" s="3888" t="s">
        <v>4</v>
      </c>
      <c r="B279" s="3889"/>
      <c r="C279" s="3889"/>
      <c r="D279" s="3890"/>
      <c r="E279" s="3891" t="str">
        <f>E2</f>
        <v>ARM LESS SUMO</v>
      </c>
      <c r="F279" s="3892"/>
      <c r="G279" s="3892"/>
      <c r="H279" s="3892"/>
      <c r="I279" s="3892"/>
      <c r="J279" s="3892"/>
      <c r="K279" s="3892"/>
      <c r="L279" s="3904"/>
      <c r="M279" s="336"/>
      <c r="N279" s="3891" t="s">
        <v>563</v>
      </c>
      <c r="O279" s="3892"/>
      <c r="P279" s="3892"/>
      <c r="Q279" s="3892"/>
      <c r="R279" s="3892"/>
      <c r="S279" s="3892"/>
      <c r="T279" s="3892"/>
      <c r="U279" s="3904"/>
      <c r="V279" s="364"/>
      <c r="W279" s="3893"/>
      <c r="X279" s="3894"/>
      <c r="Y279" s="3894"/>
      <c r="Z279" s="3894"/>
      <c r="AA279" s="3894"/>
      <c r="AB279" s="3894"/>
      <c r="AC279" s="3894"/>
      <c r="AD279" s="3895"/>
      <c r="AE279" s="364"/>
      <c r="AF279" s="3893"/>
      <c r="AG279" s="3894"/>
      <c r="AH279" s="3894"/>
      <c r="AI279" s="3894"/>
      <c r="AJ279" s="3894"/>
      <c r="AK279" s="3895"/>
      <c r="AL279" s="1063"/>
      <c r="AM279" s="1063"/>
      <c r="AN279" s="1063"/>
    </row>
    <row r="280" spans="1:40" ht="30.75" thickBot="1">
      <c r="A280" s="535" t="s">
        <v>148</v>
      </c>
      <c r="B280" s="749" t="s">
        <v>68</v>
      </c>
      <c r="C280" s="536" t="s">
        <v>69</v>
      </c>
      <c r="D280" s="536" t="s">
        <v>70</v>
      </c>
      <c r="E280" s="743" t="s">
        <v>96</v>
      </c>
      <c r="F280" s="744" t="s">
        <v>124</v>
      </c>
      <c r="G280" s="744" t="s">
        <v>228</v>
      </c>
      <c r="H280" s="744" t="s">
        <v>149</v>
      </c>
      <c r="I280" s="744" t="s">
        <v>470</v>
      </c>
      <c r="J280" s="744" t="s">
        <v>92</v>
      </c>
      <c r="K280" s="50" t="s">
        <v>479</v>
      </c>
      <c r="L280" s="783" t="s">
        <v>123</v>
      </c>
      <c r="M280" s="578"/>
      <c r="N280" s="80" t="s">
        <v>71</v>
      </c>
      <c r="O280" s="49" t="s">
        <v>53</v>
      </c>
      <c r="P280" s="49" t="s">
        <v>594</v>
      </c>
      <c r="Q280" s="49" t="s">
        <v>74</v>
      </c>
      <c r="R280" s="49" t="s">
        <v>75</v>
      </c>
      <c r="S280" s="49" t="s">
        <v>94</v>
      </c>
      <c r="T280" s="126" t="s">
        <v>77</v>
      </c>
      <c r="U280" s="171" t="s">
        <v>101</v>
      </c>
      <c r="V280" s="578"/>
      <c r="W280" s="764" t="s">
        <v>482</v>
      </c>
      <c r="X280" s="765" t="s">
        <v>476</v>
      </c>
      <c r="Y280" s="765" t="e">
        <f>#REF!</f>
        <v>#REF!</v>
      </c>
      <c r="Z280" s="49" t="s">
        <v>575</v>
      </c>
      <c r="AA280" s="765" t="e">
        <f>AA3</f>
        <v>#REF!</v>
      </c>
      <c r="AB280" s="765" t="e">
        <f>AB3</f>
        <v>#REF!</v>
      </c>
      <c r="AC280" s="765" t="e">
        <f>AC3</f>
        <v>#REF!</v>
      </c>
      <c r="AD280" s="772" t="e">
        <f>AD3</f>
        <v>#REF!</v>
      </c>
      <c r="AE280" s="589"/>
      <c r="AF280" s="590" t="s">
        <v>172</v>
      </c>
      <c r="AG280" s="591" t="s">
        <v>80</v>
      </c>
      <c r="AH280" s="602" t="s">
        <v>150</v>
      </c>
      <c r="AI280" s="603" t="s">
        <v>106</v>
      </c>
      <c r="AJ280" s="602" t="s">
        <v>173</v>
      </c>
      <c r="AK280" s="604" t="s">
        <v>108</v>
      </c>
      <c r="AL280" s="1063"/>
      <c r="AM280" s="1063"/>
      <c r="AN280" s="1063"/>
    </row>
    <row r="281" spans="1:40" ht="20.25">
      <c r="A281" s="537" t="s">
        <v>619</v>
      </c>
      <c r="B281" s="545"/>
      <c r="C281" s="539"/>
      <c r="D281" s="544">
        <v>46116</v>
      </c>
      <c r="E281" s="556"/>
      <c r="F281" s="557"/>
      <c r="G281" s="557"/>
      <c r="H281" s="558"/>
      <c r="I281" s="558"/>
      <c r="J281" s="557"/>
      <c r="K281" s="558"/>
      <c r="L281" s="583"/>
      <c r="M281" s="584"/>
      <c r="N281" s="585"/>
      <c r="O281" s="558">
        <f>2*20</f>
        <v>40</v>
      </c>
      <c r="P281" s="558"/>
      <c r="Q281" s="558"/>
      <c r="R281" s="558"/>
      <c r="S281" s="558">
        <f>2*20</f>
        <v>40</v>
      </c>
      <c r="T281" s="558"/>
      <c r="U281" s="819"/>
      <c r="V281" s="584"/>
      <c r="W281" s="585"/>
      <c r="X281" s="558"/>
      <c r="Y281" s="558"/>
      <c r="Z281" s="558"/>
      <c r="AA281" s="558"/>
      <c r="AB281" s="558"/>
      <c r="AC281" s="558"/>
      <c r="AD281" s="595"/>
      <c r="AE281" s="584"/>
      <c r="AF281" s="596">
        <f>SUM(E281:AD281)</f>
        <v>80</v>
      </c>
      <c r="AG281" s="597"/>
      <c r="AH281" s="596"/>
      <c r="AI281" s="597">
        <f>AF281+AG281+AH281</f>
        <v>80</v>
      </c>
      <c r="AJ281" s="607"/>
      <c r="AK281" s="606">
        <f>AI281+AJ281</f>
        <v>80</v>
      </c>
      <c r="AL281" s="1063"/>
      <c r="AM281" s="1063"/>
      <c r="AN281" s="1063"/>
    </row>
    <row r="282" spans="1:40" ht="20.25">
      <c r="A282" s="537" t="s">
        <v>620</v>
      </c>
      <c r="B282" s="545"/>
      <c r="C282" s="539"/>
      <c r="D282" s="544">
        <v>46117</v>
      </c>
      <c r="E282" s="556"/>
      <c r="F282" s="557"/>
      <c r="G282" s="557"/>
      <c r="H282" s="558"/>
      <c r="I282" s="558"/>
      <c r="J282" s="557"/>
      <c r="K282" s="558"/>
      <c r="L282" s="583"/>
      <c r="M282" s="584"/>
      <c r="N282" s="585"/>
      <c r="O282" s="558"/>
      <c r="P282" s="558">
        <f>3*20</f>
        <v>60</v>
      </c>
      <c r="Q282" s="558"/>
      <c r="R282" s="558"/>
      <c r="S282" s="558"/>
      <c r="T282" s="558"/>
      <c r="U282" s="819"/>
      <c r="V282" s="584"/>
      <c r="W282" s="585">
        <f>3*20</f>
        <v>60</v>
      </c>
      <c r="X282" s="558"/>
      <c r="Y282" s="558"/>
      <c r="Z282" s="558"/>
      <c r="AA282" s="558"/>
      <c r="AB282" s="558"/>
      <c r="AC282" s="558"/>
      <c r="AD282" s="595"/>
      <c r="AE282" s="584"/>
      <c r="AF282" s="596">
        <f>SUM(E282:AD282)</f>
        <v>120</v>
      </c>
      <c r="AG282" s="597"/>
      <c r="AH282" s="596"/>
      <c r="AI282" s="597">
        <f>AF282+AG282+AH282</f>
        <v>120</v>
      </c>
      <c r="AJ282" s="607"/>
      <c r="AK282" s="606">
        <f>AI282+AJ282</f>
        <v>120</v>
      </c>
    </row>
    <row r="283" spans="1:40" ht="20.25">
      <c r="A283" s="537" t="s">
        <v>622</v>
      </c>
      <c r="B283" s="545"/>
      <c r="C283" s="539"/>
      <c r="D283" s="544">
        <v>46119</v>
      </c>
      <c r="E283" s="332"/>
      <c r="F283" s="333"/>
      <c r="G283" s="333"/>
      <c r="H283" s="334"/>
      <c r="I283" s="334"/>
      <c r="J283" s="333"/>
      <c r="K283" s="334"/>
      <c r="L283" s="798"/>
      <c r="M283" s="361"/>
      <c r="N283" s="362"/>
      <c r="O283" s="334"/>
      <c r="P283" s="334"/>
      <c r="Q283" s="334"/>
      <c r="R283" s="334"/>
      <c r="S283" s="334"/>
      <c r="T283" s="334"/>
      <c r="U283" s="818"/>
      <c r="V283" s="361"/>
      <c r="W283" s="362">
        <f>2*20</f>
        <v>40</v>
      </c>
      <c r="X283" s="334"/>
      <c r="Y283" s="334"/>
      <c r="Z283" s="334"/>
      <c r="AA283" s="334"/>
      <c r="AB283" s="334"/>
      <c r="AC283" s="334"/>
      <c r="AD283" s="383"/>
      <c r="AE283" s="361"/>
      <c r="AF283" s="419">
        <f t="shared" ref="AF283:AF309" si="77">SUM(E283:AD283)</f>
        <v>40</v>
      </c>
      <c r="AG283" s="420"/>
      <c r="AH283" s="419"/>
      <c r="AI283" s="420">
        <f>AF283+AG283+AH283</f>
        <v>40</v>
      </c>
      <c r="AJ283" s="421"/>
      <c r="AK283" s="422">
        <f>AI283+AJ283</f>
        <v>40</v>
      </c>
    </row>
    <row r="284" spans="1:40" ht="20.25">
      <c r="A284" s="537" t="s">
        <v>623</v>
      </c>
      <c r="B284" s="545"/>
      <c r="C284" s="539"/>
      <c r="D284" s="544">
        <v>46119</v>
      </c>
      <c r="E284" s="556"/>
      <c r="F284" s="557"/>
      <c r="G284" s="557"/>
      <c r="H284" s="558"/>
      <c r="I284" s="558"/>
      <c r="J284" s="557"/>
      <c r="K284" s="558"/>
      <c r="L284" s="583"/>
      <c r="M284" s="584"/>
      <c r="N284" s="585"/>
      <c r="O284" s="558"/>
      <c r="P284" s="558">
        <f>3*20</f>
        <v>60</v>
      </c>
      <c r="Q284" s="558"/>
      <c r="R284" s="558"/>
      <c r="S284" s="558"/>
      <c r="T284" s="558"/>
      <c r="U284" s="819"/>
      <c r="V284" s="584"/>
      <c r="W284" s="585"/>
      <c r="X284" s="558"/>
      <c r="Y284" s="558"/>
      <c r="Z284" s="558"/>
      <c r="AA284" s="558"/>
      <c r="AB284" s="558"/>
      <c r="AC284" s="558"/>
      <c r="AD284" s="595"/>
      <c r="AE284" s="584"/>
      <c r="AF284" s="596">
        <f t="shared" ref="AF284" si="78">SUM(E284:AD284)</f>
        <v>60</v>
      </c>
      <c r="AG284" s="597"/>
      <c r="AH284" s="596"/>
      <c r="AI284" s="597">
        <f t="shared" ref="AI284:AI341" si="79">AF284+AG284+AH284</f>
        <v>60</v>
      </c>
      <c r="AJ284" s="607"/>
      <c r="AK284" s="606">
        <f t="shared" ref="AK284:AK341" si="80">AI284+AJ284</f>
        <v>60</v>
      </c>
      <c r="AL284" s="403"/>
      <c r="AM284" s="403"/>
      <c r="AN284" s="403"/>
    </row>
    <row r="285" spans="1:40" ht="20.25">
      <c r="A285" s="561" t="s">
        <v>639</v>
      </c>
      <c r="B285" s="548"/>
      <c r="C285" s="549"/>
      <c r="D285" s="544">
        <v>46126</v>
      </c>
      <c r="E285" s="829"/>
      <c r="F285" s="741"/>
      <c r="G285" s="741"/>
      <c r="H285" s="582"/>
      <c r="I285" s="582"/>
      <c r="J285" s="741"/>
      <c r="K285" s="582"/>
      <c r="L285" s="832"/>
      <c r="M285" s="830"/>
      <c r="N285" s="831"/>
      <c r="O285" s="582"/>
      <c r="P285" s="582"/>
      <c r="Q285" s="582"/>
      <c r="R285" s="582"/>
      <c r="S285" s="582"/>
      <c r="T285" s="582"/>
      <c r="U285" s="834"/>
      <c r="V285" s="830"/>
      <c r="W285" s="831"/>
      <c r="X285" s="582"/>
      <c r="Y285" s="582"/>
      <c r="Z285" s="582">
        <f>10*20</f>
        <v>200</v>
      </c>
      <c r="AA285" s="582"/>
      <c r="AB285" s="582"/>
      <c r="AC285" s="582"/>
      <c r="AD285" s="833"/>
      <c r="AE285" s="830"/>
      <c r="AF285" s="1143">
        <f t="shared" ref="AF285:AF308" si="81">SUM(E285:AD285)</f>
        <v>200</v>
      </c>
      <c r="AG285" s="1151"/>
      <c r="AH285" s="1143"/>
      <c r="AI285" s="1151">
        <f t="shared" si="79"/>
        <v>200</v>
      </c>
      <c r="AJ285" s="1152"/>
      <c r="AK285" s="411">
        <f t="shared" si="80"/>
        <v>200</v>
      </c>
      <c r="AL285" s="282"/>
      <c r="AM285" s="282"/>
      <c r="AN285" s="282"/>
    </row>
    <row r="286" spans="1:40" ht="20.25">
      <c r="A286" s="561" t="s">
        <v>627</v>
      </c>
      <c r="B286" s="548"/>
      <c r="C286" s="549"/>
      <c r="D286" s="544">
        <v>46128</v>
      </c>
      <c r="E286" s="829"/>
      <c r="F286" s="741"/>
      <c r="G286" s="741"/>
      <c r="H286" s="582"/>
      <c r="I286" s="582"/>
      <c r="J286" s="741"/>
      <c r="K286" s="582"/>
      <c r="L286" s="832">
        <f>10*20</f>
        <v>200</v>
      </c>
      <c r="M286" s="830"/>
      <c r="N286" s="831"/>
      <c r="O286" s="582"/>
      <c r="P286" s="582"/>
      <c r="Q286" s="582"/>
      <c r="R286" s="582"/>
      <c r="S286" s="582"/>
      <c r="T286" s="582"/>
      <c r="U286" s="834"/>
      <c r="V286" s="830"/>
      <c r="W286" s="831"/>
      <c r="X286" s="582"/>
      <c r="Y286" s="582"/>
      <c r="Z286" s="582"/>
      <c r="AA286" s="582"/>
      <c r="AB286" s="582"/>
      <c r="AC286" s="582"/>
      <c r="AD286" s="833"/>
      <c r="AE286" s="830"/>
      <c r="AF286" s="1143">
        <f t="shared" si="81"/>
        <v>200</v>
      </c>
      <c r="AG286" s="1151"/>
      <c r="AH286" s="1143"/>
      <c r="AI286" s="1151">
        <f t="shared" si="79"/>
        <v>200</v>
      </c>
      <c r="AJ286" s="1152"/>
      <c r="AK286" s="411">
        <f t="shared" si="80"/>
        <v>200</v>
      </c>
      <c r="AL286" s="283"/>
      <c r="AM286" s="283"/>
      <c r="AN286" s="283"/>
    </row>
    <row r="287" spans="1:40" ht="20.25">
      <c r="A287" s="547" t="s">
        <v>647</v>
      </c>
      <c r="B287" s="563"/>
      <c r="C287" s="553"/>
      <c r="D287" s="544">
        <v>46130</v>
      </c>
      <c r="E287" s="1532"/>
      <c r="F287" s="741"/>
      <c r="G287" s="741"/>
      <c r="H287" s="582"/>
      <c r="I287" s="582"/>
      <c r="J287" s="741"/>
      <c r="K287" s="582"/>
      <c r="L287" s="832"/>
      <c r="M287" s="830"/>
      <c r="N287" s="831"/>
      <c r="O287" s="582"/>
      <c r="P287" s="582"/>
      <c r="Q287" s="582"/>
      <c r="R287" s="582"/>
      <c r="S287" s="582"/>
      <c r="T287" s="582"/>
      <c r="U287" s="1137"/>
      <c r="V287" s="830"/>
      <c r="W287" s="831"/>
      <c r="X287" s="582"/>
      <c r="Y287" s="582"/>
      <c r="Z287" s="582">
        <f>3*20</f>
        <v>60</v>
      </c>
      <c r="AA287" s="582"/>
      <c r="AB287" s="582"/>
      <c r="AC287" s="582"/>
      <c r="AD287" s="833"/>
      <c r="AE287" s="830"/>
      <c r="AF287" s="1143">
        <f t="shared" si="81"/>
        <v>60</v>
      </c>
      <c r="AG287" s="1151"/>
      <c r="AH287" s="1143"/>
      <c r="AI287" s="1151">
        <f t="shared" si="79"/>
        <v>60</v>
      </c>
      <c r="AJ287" s="1152"/>
      <c r="AK287" s="411">
        <f t="shared" si="80"/>
        <v>60</v>
      </c>
      <c r="AL287" s="283"/>
      <c r="AM287" s="283"/>
      <c r="AN287" s="283"/>
    </row>
    <row r="288" spans="1:40" ht="20.25">
      <c r="A288" s="547" t="s">
        <v>659</v>
      </c>
      <c r="B288" s="548"/>
      <c r="C288" s="549"/>
      <c r="D288" s="544">
        <v>46132</v>
      </c>
      <c r="E288" s="829"/>
      <c r="F288" s="741"/>
      <c r="G288" s="741"/>
      <c r="H288" s="582"/>
      <c r="I288" s="582"/>
      <c r="J288" s="741"/>
      <c r="K288" s="582"/>
      <c r="L288" s="832"/>
      <c r="M288" s="830"/>
      <c r="N288" s="831"/>
      <c r="O288" s="582"/>
      <c r="P288" s="582"/>
      <c r="Q288" s="582"/>
      <c r="R288" s="582"/>
      <c r="S288" s="582"/>
      <c r="T288" s="582"/>
      <c r="U288" s="1137"/>
      <c r="V288" s="830"/>
      <c r="W288" s="831"/>
      <c r="X288" s="582"/>
      <c r="Y288" s="582"/>
      <c r="Z288" s="582">
        <f>2*20</f>
        <v>40</v>
      </c>
      <c r="AA288" s="582"/>
      <c r="AB288" s="582"/>
      <c r="AC288" s="582"/>
      <c r="AD288" s="833"/>
      <c r="AE288" s="830"/>
      <c r="AF288" s="1143">
        <f t="shared" si="81"/>
        <v>40</v>
      </c>
      <c r="AG288" s="1151"/>
      <c r="AH288" s="1143"/>
      <c r="AI288" s="1151">
        <f t="shared" si="79"/>
        <v>40</v>
      </c>
      <c r="AJ288" s="1152"/>
      <c r="AK288" s="411">
        <f t="shared" si="80"/>
        <v>40</v>
      </c>
      <c r="AL288" s="283"/>
      <c r="AM288" s="283"/>
      <c r="AN288" s="283"/>
    </row>
    <row r="289" spans="1:40" ht="20.25">
      <c r="A289" s="547" t="s">
        <v>660</v>
      </c>
      <c r="B289" s="548"/>
      <c r="C289" s="549"/>
      <c r="D289" s="544">
        <v>46133</v>
      </c>
      <c r="E289" s="829"/>
      <c r="F289" s="741"/>
      <c r="G289" s="741"/>
      <c r="H289" s="582"/>
      <c r="I289" s="582"/>
      <c r="J289" s="741"/>
      <c r="K289" s="582"/>
      <c r="L289" s="832"/>
      <c r="M289" s="830"/>
      <c r="N289" s="831"/>
      <c r="O289" s="582"/>
      <c r="P289" s="582"/>
      <c r="Q289" s="582"/>
      <c r="R289" s="582"/>
      <c r="S289" s="582"/>
      <c r="T289" s="582"/>
      <c r="U289" s="1137"/>
      <c r="V289" s="830"/>
      <c r="W289" s="831"/>
      <c r="X289" s="582"/>
      <c r="Y289" s="582"/>
      <c r="Z289" s="582">
        <f>11*20</f>
        <v>220</v>
      </c>
      <c r="AA289" s="582"/>
      <c r="AB289" s="582"/>
      <c r="AC289" s="582"/>
      <c r="AD289" s="833"/>
      <c r="AE289" s="830"/>
      <c r="AF289" s="1143">
        <f t="shared" si="81"/>
        <v>220</v>
      </c>
      <c r="AG289" s="1151"/>
      <c r="AH289" s="1143"/>
      <c r="AI289" s="1151">
        <f t="shared" si="79"/>
        <v>220</v>
      </c>
      <c r="AJ289" s="1152"/>
      <c r="AK289" s="411">
        <f t="shared" si="80"/>
        <v>220</v>
      </c>
      <c r="AL289" s="403"/>
      <c r="AM289" s="403"/>
      <c r="AN289" s="403"/>
    </row>
    <row r="290" spans="1:40" ht="20.25">
      <c r="A290" s="547" t="s">
        <v>623</v>
      </c>
      <c r="B290" s="548"/>
      <c r="C290" s="549"/>
      <c r="D290" s="544">
        <v>46133</v>
      </c>
      <c r="E290" s="829"/>
      <c r="F290" s="741"/>
      <c r="G290" s="741"/>
      <c r="H290" s="582"/>
      <c r="I290" s="582"/>
      <c r="J290" s="741"/>
      <c r="K290" s="582"/>
      <c r="L290" s="832"/>
      <c r="M290" s="830"/>
      <c r="N290" s="831"/>
      <c r="O290" s="582"/>
      <c r="P290" s="582"/>
      <c r="Q290" s="582"/>
      <c r="R290" s="582"/>
      <c r="S290" s="582"/>
      <c r="T290" s="582"/>
      <c r="U290" s="1137"/>
      <c r="V290" s="830"/>
      <c r="W290" s="831"/>
      <c r="X290" s="582"/>
      <c r="Y290" s="582"/>
      <c r="Z290" s="582">
        <f>2*20</f>
        <v>40</v>
      </c>
      <c r="AA290" s="582"/>
      <c r="AB290" s="582"/>
      <c r="AC290" s="582"/>
      <c r="AD290" s="833"/>
      <c r="AE290" s="830"/>
      <c r="AF290" s="1143">
        <f t="shared" si="81"/>
        <v>40</v>
      </c>
      <c r="AG290" s="1151"/>
      <c r="AH290" s="1143"/>
      <c r="AI290" s="1151">
        <f t="shared" si="79"/>
        <v>40</v>
      </c>
      <c r="AJ290" s="1152"/>
      <c r="AK290" s="411">
        <f t="shared" si="80"/>
        <v>40</v>
      </c>
      <c r="AL290" s="1"/>
      <c r="AM290" s="1"/>
      <c r="AN290" s="1"/>
    </row>
    <row r="291" spans="1:40" ht="20.25">
      <c r="A291" s="547" t="s">
        <v>683</v>
      </c>
      <c r="B291" s="548"/>
      <c r="C291" s="549"/>
      <c r="D291" s="544">
        <v>46140</v>
      </c>
      <c r="E291" s="829"/>
      <c r="F291" s="741"/>
      <c r="G291" s="741"/>
      <c r="H291" s="582"/>
      <c r="I291" s="582"/>
      <c r="J291" s="741"/>
      <c r="K291" s="582"/>
      <c r="L291" s="832"/>
      <c r="M291" s="830"/>
      <c r="N291" s="831"/>
      <c r="O291" s="582"/>
      <c r="P291" s="582"/>
      <c r="Q291" s="582"/>
      <c r="R291" s="582"/>
      <c r="S291" s="582"/>
      <c r="T291" s="582"/>
      <c r="U291" s="1137"/>
      <c r="V291" s="830"/>
      <c r="W291" s="831">
        <f>3*20</f>
        <v>60</v>
      </c>
      <c r="X291" s="582"/>
      <c r="Y291" s="582"/>
      <c r="Z291" s="582">
        <f>3*20</f>
        <v>60</v>
      </c>
      <c r="AA291" s="582"/>
      <c r="AB291" s="582"/>
      <c r="AC291" s="582"/>
      <c r="AD291" s="833"/>
      <c r="AE291" s="830"/>
      <c r="AF291" s="1143">
        <f t="shared" si="81"/>
        <v>120</v>
      </c>
      <c r="AG291" s="1151"/>
      <c r="AH291" s="1143"/>
      <c r="AI291" s="1151">
        <f t="shared" si="79"/>
        <v>120</v>
      </c>
      <c r="AJ291" s="1152"/>
      <c r="AK291" s="411">
        <f t="shared" si="80"/>
        <v>120</v>
      </c>
    </row>
    <row r="292" spans="1:40" ht="20.25">
      <c r="A292" s="537" t="s">
        <v>684</v>
      </c>
      <c r="B292" s="545"/>
      <c r="C292" s="539"/>
      <c r="D292" s="544">
        <v>46140</v>
      </c>
      <c r="E292" s="1107"/>
      <c r="F292" s="557"/>
      <c r="G292" s="557"/>
      <c r="H292" s="558"/>
      <c r="I292" s="558"/>
      <c r="J292" s="557"/>
      <c r="K292" s="558"/>
      <c r="L292" s="583"/>
      <c r="M292" s="584"/>
      <c r="N292" s="585"/>
      <c r="O292" s="558"/>
      <c r="P292" s="558"/>
      <c r="Q292" s="558"/>
      <c r="R292" s="558"/>
      <c r="S292" s="558"/>
      <c r="T292" s="558"/>
      <c r="U292" s="819"/>
      <c r="V292" s="584"/>
      <c r="W292" s="585">
        <f>1*20</f>
        <v>20</v>
      </c>
      <c r="X292" s="558"/>
      <c r="Y292" s="558"/>
      <c r="Z292" s="558"/>
      <c r="AA292" s="558"/>
      <c r="AB292" s="558"/>
      <c r="AC292" s="558"/>
      <c r="AD292" s="595"/>
      <c r="AE292" s="584"/>
      <c r="AF292" s="596">
        <f t="shared" si="81"/>
        <v>20</v>
      </c>
      <c r="AG292" s="597"/>
      <c r="AH292" s="596"/>
      <c r="AI292" s="597">
        <f t="shared" si="79"/>
        <v>20</v>
      </c>
      <c r="AJ292" s="607"/>
      <c r="AK292" s="606">
        <f t="shared" si="80"/>
        <v>20</v>
      </c>
    </row>
    <row r="293" spans="1:40" ht="20.25">
      <c r="A293" s="537" t="s">
        <v>639</v>
      </c>
      <c r="B293" s="796"/>
      <c r="C293" s="797"/>
      <c r="D293" s="544">
        <v>46140</v>
      </c>
      <c r="E293" s="829"/>
      <c r="F293" s="741"/>
      <c r="G293" s="741"/>
      <c r="H293" s="582"/>
      <c r="I293" s="582"/>
      <c r="J293" s="741"/>
      <c r="K293" s="582"/>
      <c r="L293" s="583"/>
      <c r="M293" s="830"/>
      <c r="N293" s="831"/>
      <c r="O293" s="582"/>
      <c r="P293" s="582"/>
      <c r="Q293" s="582"/>
      <c r="R293" s="582"/>
      <c r="S293" s="582"/>
      <c r="T293" s="582"/>
      <c r="U293" s="1137"/>
      <c r="V293" s="830"/>
      <c r="W293" s="831"/>
      <c r="X293" s="582"/>
      <c r="Y293" s="582"/>
      <c r="Z293" s="582">
        <f>5*20</f>
        <v>100</v>
      </c>
      <c r="AA293" s="582"/>
      <c r="AB293" s="582"/>
      <c r="AC293" s="582"/>
      <c r="AD293" s="833"/>
      <c r="AE293" s="830"/>
      <c r="AF293" s="1143">
        <f t="shared" si="81"/>
        <v>100</v>
      </c>
      <c r="AG293" s="1151"/>
      <c r="AH293" s="1143"/>
      <c r="AI293" s="1151">
        <f t="shared" si="79"/>
        <v>100</v>
      </c>
      <c r="AJ293" s="1152"/>
      <c r="AK293" s="411">
        <f t="shared" si="80"/>
        <v>100</v>
      </c>
    </row>
    <row r="294" spans="1:40" ht="20.25">
      <c r="A294" s="537" t="s">
        <v>632</v>
      </c>
      <c r="B294" s="796"/>
      <c r="C294" s="797"/>
      <c r="D294" s="544">
        <v>46141</v>
      </c>
      <c r="E294" s="556"/>
      <c r="F294" s="557"/>
      <c r="G294" s="557"/>
      <c r="H294" s="558"/>
      <c r="I294" s="558"/>
      <c r="J294" s="557"/>
      <c r="K294" s="558">
        <f>5*20</f>
        <v>100</v>
      </c>
      <c r="L294" s="583">
        <f>1*20</f>
        <v>20</v>
      </c>
      <c r="M294" s="584"/>
      <c r="N294" s="585"/>
      <c r="O294" s="558"/>
      <c r="P294" s="558"/>
      <c r="Q294" s="558"/>
      <c r="R294" s="558"/>
      <c r="S294" s="558"/>
      <c r="T294" s="558"/>
      <c r="U294" s="588"/>
      <c r="V294" s="584"/>
      <c r="W294" s="585"/>
      <c r="X294" s="558"/>
      <c r="Y294" s="558"/>
      <c r="Z294" s="558"/>
      <c r="AA294" s="558"/>
      <c r="AB294" s="558"/>
      <c r="AC294" s="558"/>
      <c r="AD294" s="595"/>
      <c r="AE294" s="584"/>
      <c r="AF294" s="596">
        <f t="shared" si="81"/>
        <v>120</v>
      </c>
      <c r="AG294" s="597"/>
      <c r="AH294" s="596"/>
      <c r="AI294" s="597">
        <f t="shared" si="79"/>
        <v>120</v>
      </c>
      <c r="AJ294" s="607"/>
      <c r="AK294" s="606">
        <f t="shared" si="80"/>
        <v>120</v>
      </c>
      <c r="AL294" s="1"/>
    </row>
    <row r="295" spans="1:40" ht="20.25">
      <c r="A295" s="537" t="s">
        <v>687</v>
      </c>
      <c r="B295" s="548"/>
      <c r="C295" s="549"/>
      <c r="D295" s="544">
        <v>46141</v>
      </c>
      <c r="E295" s="829"/>
      <c r="F295" s="741"/>
      <c r="G295" s="741"/>
      <c r="H295" s="582"/>
      <c r="I295" s="582"/>
      <c r="J295" s="741"/>
      <c r="K295" s="582"/>
      <c r="L295" s="832"/>
      <c r="M295" s="830"/>
      <c r="N295" s="831"/>
      <c r="O295" s="582"/>
      <c r="P295" s="582"/>
      <c r="Q295" s="582"/>
      <c r="R295" s="582"/>
      <c r="S295" s="582"/>
      <c r="T295" s="582"/>
      <c r="U295" s="1137"/>
      <c r="V295" s="830"/>
      <c r="W295" s="831">
        <f>1*20</f>
        <v>20</v>
      </c>
      <c r="X295" s="582"/>
      <c r="Y295" s="582"/>
      <c r="Z295" s="582">
        <f>1*20</f>
        <v>20</v>
      </c>
      <c r="AA295" s="582"/>
      <c r="AB295" s="582"/>
      <c r="AC295" s="582"/>
      <c r="AD295" s="833"/>
      <c r="AE295" s="830"/>
      <c r="AF295" s="1143">
        <f t="shared" si="81"/>
        <v>40</v>
      </c>
      <c r="AG295" s="1151"/>
      <c r="AH295" s="1143"/>
      <c r="AI295" s="1151">
        <f t="shared" si="79"/>
        <v>40</v>
      </c>
      <c r="AJ295" s="1152"/>
      <c r="AK295" s="411">
        <f t="shared" si="80"/>
        <v>40</v>
      </c>
    </row>
    <row r="296" spans="1:40" ht="20.25">
      <c r="A296" s="551" t="s">
        <v>619</v>
      </c>
      <c r="B296" s="552"/>
      <c r="C296" s="553"/>
      <c r="D296" s="544">
        <v>46142</v>
      </c>
      <c r="E296" s="829"/>
      <c r="F296" s="741"/>
      <c r="G296" s="741"/>
      <c r="H296" s="582"/>
      <c r="I296" s="582"/>
      <c r="J296" s="741"/>
      <c r="K296" s="582">
        <f>5*20</f>
        <v>100</v>
      </c>
      <c r="L296" s="832"/>
      <c r="M296" s="830"/>
      <c r="N296" s="831"/>
      <c r="O296" s="582"/>
      <c r="P296" s="582"/>
      <c r="Q296" s="582"/>
      <c r="R296" s="582"/>
      <c r="S296" s="582"/>
      <c r="T296" s="582"/>
      <c r="U296" s="1137"/>
      <c r="V296" s="830"/>
      <c r="W296" s="831"/>
      <c r="X296" s="582"/>
      <c r="Y296" s="741"/>
      <c r="Z296" s="582"/>
      <c r="AA296" s="582"/>
      <c r="AB296" s="582"/>
      <c r="AC296" s="582"/>
      <c r="AD296" s="833"/>
      <c r="AE296" s="830"/>
      <c r="AF296" s="1143">
        <f t="shared" si="81"/>
        <v>100</v>
      </c>
      <c r="AG296" s="1151"/>
      <c r="AH296" s="1143"/>
      <c r="AI296" s="1151">
        <f t="shared" si="79"/>
        <v>100</v>
      </c>
      <c r="AJ296" s="1152"/>
      <c r="AK296" s="411">
        <f t="shared" si="80"/>
        <v>100</v>
      </c>
    </row>
    <row r="297" spans="1:40" ht="20.25">
      <c r="A297" s="537"/>
      <c r="B297" s="552"/>
      <c r="C297" s="553"/>
      <c r="D297" s="544"/>
      <c r="E297" s="556"/>
      <c r="F297" s="557"/>
      <c r="G297" s="557"/>
      <c r="H297" s="558"/>
      <c r="I297" s="558"/>
      <c r="J297" s="557"/>
      <c r="K297" s="558"/>
      <c r="L297" s="583"/>
      <c r="M297" s="584"/>
      <c r="N297" s="585"/>
      <c r="O297" s="558"/>
      <c r="P297" s="558"/>
      <c r="Q297" s="558"/>
      <c r="R297" s="558"/>
      <c r="S297" s="558"/>
      <c r="T297" s="558"/>
      <c r="U297" s="588"/>
      <c r="V297" s="584"/>
      <c r="W297" s="585"/>
      <c r="X297" s="558"/>
      <c r="Y297" s="557"/>
      <c r="Z297" s="558"/>
      <c r="AA297" s="558"/>
      <c r="AB297" s="558"/>
      <c r="AC297" s="558"/>
      <c r="AD297" s="595"/>
      <c r="AE297" s="584"/>
      <c r="AF297" s="596">
        <f t="shared" si="81"/>
        <v>0</v>
      </c>
      <c r="AG297" s="597"/>
      <c r="AH297" s="596"/>
      <c r="AI297" s="597">
        <f t="shared" si="79"/>
        <v>0</v>
      </c>
      <c r="AJ297" s="607"/>
      <c r="AK297" s="606">
        <f t="shared" si="80"/>
        <v>0</v>
      </c>
    </row>
    <row r="298" spans="1:40" ht="20.25">
      <c r="A298" s="551"/>
      <c r="B298" s="552"/>
      <c r="C298" s="553"/>
      <c r="D298" s="544"/>
      <c r="E298" s="556"/>
      <c r="F298" s="557"/>
      <c r="G298" s="557"/>
      <c r="H298" s="558"/>
      <c r="I298" s="558"/>
      <c r="J298" s="557"/>
      <c r="K298" s="558"/>
      <c r="L298" s="583"/>
      <c r="M298" s="584"/>
      <c r="N298" s="585"/>
      <c r="O298" s="558"/>
      <c r="P298" s="558"/>
      <c r="Q298" s="558"/>
      <c r="R298" s="558"/>
      <c r="S298" s="558"/>
      <c r="T298" s="558"/>
      <c r="U298" s="588"/>
      <c r="V298" s="584"/>
      <c r="W298" s="585"/>
      <c r="X298" s="558"/>
      <c r="Y298" s="558"/>
      <c r="Z298" s="558"/>
      <c r="AA298" s="558"/>
      <c r="AB298" s="558"/>
      <c r="AC298" s="558"/>
      <c r="AD298" s="595"/>
      <c r="AE298" s="584"/>
      <c r="AF298" s="596">
        <f t="shared" si="81"/>
        <v>0</v>
      </c>
      <c r="AG298" s="597"/>
      <c r="AH298" s="596"/>
      <c r="AI298" s="597">
        <f t="shared" si="79"/>
        <v>0</v>
      </c>
      <c r="AJ298" s="607"/>
      <c r="AK298" s="606">
        <f t="shared" si="80"/>
        <v>0</v>
      </c>
    </row>
    <row r="299" spans="1:40" ht="20.25">
      <c r="A299" s="537"/>
      <c r="B299" s="552"/>
      <c r="C299" s="553"/>
      <c r="D299" s="544"/>
      <c r="E299" s="829"/>
      <c r="F299" s="741"/>
      <c r="G299" s="741"/>
      <c r="H299" s="582"/>
      <c r="I299" s="582"/>
      <c r="J299" s="741"/>
      <c r="K299" s="582"/>
      <c r="L299" s="832"/>
      <c r="M299" s="830"/>
      <c r="N299" s="831"/>
      <c r="O299" s="582"/>
      <c r="P299" s="582"/>
      <c r="Q299" s="582"/>
      <c r="R299" s="582"/>
      <c r="S299" s="582"/>
      <c r="T299" s="582"/>
      <c r="U299" s="1137"/>
      <c r="V299" s="830"/>
      <c r="W299" s="831"/>
      <c r="X299" s="582"/>
      <c r="Y299" s="582"/>
      <c r="Z299" s="582"/>
      <c r="AA299" s="582"/>
      <c r="AB299" s="582"/>
      <c r="AC299" s="582"/>
      <c r="AD299" s="833"/>
      <c r="AE299" s="830"/>
      <c r="AF299" s="1143">
        <f t="shared" si="81"/>
        <v>0</v>
      </c>
      <c r="AG299" s="1151"/>
      <c r="AH299" s="1143"/>
      <c r="AI299" s="1151">
        <f t="shared" si="79"/>
        <v>0</v>
      </c>
      <c r="AJ299" s="1152"/>
      <c r="AK299" s="411">
        <f t="shared" si="80"/>
        <v>0</v>
      </c>
    </row>
    <row r="300" spans="1:40" ht="20.25">
      <c r="A300" s="547"/>
      <c r="B300" s="563"/>
      <c r="C300" s="553"/>
      <c r="D300" s="544"/>
      <c r="E300" s="556"/>
      <c r="F300" s="557"/>
      <c r="G300" s="557"/>
      <c r="H300" s="558"/>
      <c r="I300" s="558"/>
      <c r="J300" s="557"/>
      <c r="K300" s="558"/>
      <c r="L300" s="583"/>
      <c r="M300" s="584"/>
      <c r="N300" s="585"/>
      <c r="O300" s="558"/>
      <c r="P300" s="558"/>
      <c r="Q300" s="558"/>
      <c r="R300" s="558"/>
      <c r="S300" s="558"/>
      <c r="T300" s="558"/>
      <c r="U300" s="588"/>
      <c r="V300" s="584"/>
      <c r="W300" s="585"/>
      <c r="X300" s="558"/>
      <c r="Y300" s="558"/>
      <c r="Z300" s="558"/>
      <c r="AA300" s="558"/>
      <c r="AB300" s="558"/>
      <c r="AC300" s="558"/>
      <c r="AD300" s="595"/>
      <c r="AE300" s="584"/>
      <c r="AF300" s="596">
        <f t="shared" si="81"/>
        <v>0</v>
      </c>
      <c r="AG300" s="597"/>
      <c r="AH300" s="596"/>
      <c r="AI300" s="597">
        <f t="shared" si="79"/>
        <v>0</v>
      </c>
      <c r="AJ300" s="607"/>
      <c r="AK300" s="606">
        <f t="shared" si="80"/>
        <v>0</v>
      </c>
    </row>
    <row r="301" spans="1:40" ht="20.25">
      <c r="A301" s="551"/>
      <c r="B301" s="552"/>
      <c r="C301" s="553"/>
      <c r="D301" s="544"/>
      <c r="E301" s="829"/>
      <c r="F301" s="741"/>
      <c r="G301" s="741"/>
      <c r="H301" s="582"/>
      <c r="I301" s="582"/>
      <c r="J301" s="741"/>
      <c r="K301" s="582"/>
      <c r="L301" s="832"/>
      <c r="M301" s="830"/>
      <c r="N301" s="831"/>
      <c r="O301" s="582"/>
      <c r="P301" s="582"/>
      <c r="Q301" s="582"/>
      <c r="R301" s="582"/>
      <c r="S301" s="582"/>
      <c r="T301" s="582"/>
      <c r="U301" s="1137"/>
      <c r="V301" s="830"/>
      <c r="W301" s="831"/>
      <c r="X301" s="582"/>
      <c r="Y301" s="582"/>
      <c r="Z301" s="582"/>
      <c r="AA301" s="582"/>
      <c r="AB301" s="582"/>
      <c r="AC301" s="582"/>
      <c r="AD301" s="833"/>
      <c r="AE301" s="830"/>
      <c r="AF301" s="1143">
        <f t="shared" si="81"/>
        <v>0</v>
      </c>
      <c r="AG301" s="1151"/>
      <c r="AH301" s="1143"/>
      <c r="AI301" s="1151">
        <f t="shared" si="79"/>
        <v>0</v>
      </c>
      <c r="AJ301" s="1152"/>
      <c r="AK301" s="411">
        <f t="shared" si="80"/>
        <v>0</v>
      </c>
    </row>
    <row r="302" spans="1:40" ht="20.25">
      <c r="A302" s="537"/>
      <c r="B302" s="552"/>
      <c r="C302" s="553"/>
      <c r="D302" s="544"/>
      <c r="E302" s="829"/>
      <c r="F302" s="741"/>
      <c r="G302" s="741"/>
      <c r="H302" s="582"/>
      <c r="I302" s="582"/>
      <c r="J302" s="741"/>
      <c r="K302" s="582"/>
      <c r="L302" s="832"/>
      <c r="M302" s="830"/>
      <c r="N302" s="831"/>
      <c r="O302" s="582"/>
      <c r="P302" s="582"/>
      <c r="Q302" s="582"/>
      <c r="R302" s="582"/>
      <c r="S302" s="582"/>
      <c r="T302" s="582"/>
      <c r="U302" s="1137"/>
      <c r="V302" s="830"/>
      <c r="W302" s="831"/>
      <c r="X302" s="582"/>
      <c r="Y302" s="582"/>
      <c r="Z302" s="582"/>
      <c r="AA302" s="582"/>
      <c r="AB302" s="582"/>
      <c r="AC302" s="582"/>
      <c r="AD302" s="833"/>
      <c r="AE302" s="830"/>
      <c r="AF302" s="1143">
        <f t="shared" si="81"/>
        <v>0</v>
      </c>
      <c r="AG302" s="1151"/>
      <c r="AH302" s="1143"/>
      <c r="AI302" s="1151">
        <f t="shared" si="79"/>
        <v>0</v>
      </c>
      <c r="AJ302" s="1152"/>
      <c r="AK302" s="411">
        <f t="shared" si="80"/>
        <v>0</v>
      </c>
    </row>
    <row r="303" spans="1:40" ht="20.25">
      <c r="A303" s="537"/>
      <c r="B303" s="563"/>
      <c r="C303" s="553"/>
      <c r="D303" s="544"/>
      <c r="E303" s="556"/>
      <c r="F303" s="557"/>
      <c r="G303" s="557"/>
      <c r="H303" s="558"/>
      <c r="I303" s="558"/>
      <c r="J303" s="557"/>
      <c r="K303" s="558"/>
      <c r="L303" s="583"/>
      <c r="M303" s="584"/>
      <c r="N303" s="585"/>
      <c r="O303" s="558"/>
      <c r="P303" s="558"/>
      <c r="Q303" s="558"/>
      <c r="R303" s="558"/>
      <c r="S303" s="558"/>
      <c r="T303" s="558"/>
      <c r="U303" s="588"/>
      <c r="V303" s="584"/>
      <c r="W303" s="585"/>
      <c r="X303" s="558"/>
      <c r="Y303" s="558"/>
      <c r="Z303" s="558"/>
      <c r="AA303" s="558"/>
      <c r="AB303" s="558"/>
      <c r="AC303" s="558"/>
      <c r="AD303" s="595"/>
      <c r="AE303" s="584"/>
      <c r="AF303" s="596">
        <f t="shared" si="81"/>
        <v>0</v>
      </c>
      <c r="AG303" s="597"/>
      <c r="AH303" s="596"/>
      <c r="AI303" s="597">
        <f t="shared" si="79"/>
        <v>0</v>
      </c>
      <c r="AJ303" s="607"/>
      <c r="AK303" s="606">
        <f t="shared" si="80"/>
        <v>0</v>
      </c>
    </row>
    <row r="304" spans="1:40" ht="20.25">
      <c r="A304" s="537"/>
      <c r="B304" s="538"/>
      <c r="C304" s="3079"/>
      <c r="D304" s="544"/>
      <c r="E304" s="319"/>
      <c r="F304" s="320"/>
      <c r="G304" s="320"/>
      <c r="H304" s="321"/>
      <c r="I304" s="321"/>
      <c r="J304" s="320"/>
      <c r="K304" s="321"/>
      <c r="L304" s="351"/>
      <c r="M304" s="352"/>
      <c r="N304" s="353"/>
      <c r="O304" s="321"/>
      <c r="P304" s="321"/>
      <c r="Q304" s="321"/>
      <c r="R304" s="321"/>
      <c r="S304" s="321"/>
      <c r="T304" s="321"/>
      <c r="U304" s="354"/>
      <c r="V304" s="352"/>
      <c r="W304" s="353"/>
      <c r="X304" s="321"/>
      <c r="Y304" s="321"/>
      <c r="Z304" s="321"/>
      <c r="AA304" s="321"/>
      <c r="AB304" s="321"/>
      <c r="AC304" s="321"/>
      <c r="AD304" s="380"/>
      <c r="AE304" s="352"/>
      <c r="AF304" s="408">
        <f t="shared" si="81"/>
        <v>0</v>
      </c>
      <c r="AG304" s="409"/>
      <c r="AH304" s="408"/>
      <c r="AI304" s="409">
        <f t="shared" si="79"/>
        <v>0</v>
      </c>
      <c r="AJ304" s="410"/>
      <c r="AK304" s="411">
        <f t="shared" si="80"/>
        <v>0</v>
      </c>
    </row>
    <row r="305" spans="1:37" ht="20.25">
      <c r="A305" s="1111"/>
      <c r="B305" s="552"/>
      <c r="C305" s="553"/>
      <c r="D305" s="544"/>
      <c r="E305" s="541"/>
      <c r="F305" s="542"/>
      <c r="G305" s="542"/>
      <c r="H305" s="543"/>
      <c r="I305" s="543"/>
      <c r="J305" s="542"/>
      <c r="K305" s="543"/>
      <c r="L305" s="579"/>
      <c r="M305" s="580"/>
      <c r="N305" s="581"/>
      <c r="O305" s="543"/>
      <c r="P305" s="543"/>
      <c r="Q305" s="543"/>
      <c r="R305" s="543"/>
      <c r="S305" s="543"/>
      <c r="T305" s="543"/>
      <c r="U305" s="587"/>
      <c r="V305" s="580"/>
      <c r="W305" s="581"/>
      <c r="X305" s="543"/>
      <c r="Y305" s="543"/>
      <c r="Z305" s="543"/>
      <c r="AA305" s="543"/>
      <c r="AB305" s="543"/>
      <c r="AC305" s="543"/>
      <c r="AD305" s="592"/>
      <c r="AE305" s="580"/>
      <c r="AF305" s="593">
        <f t="shared" si="81"/>
        <v>0</v>
      </c>
      <c r="AG305" s="594"/>
      <c r="AH305" s="593"/>
      <c r="AI305" s="594">
        <f t="shared" si="79"/>
        <v>0</v>
      </c>
      <c r="AJ305" s="605"/>
      <c r="AK305" s="606">
        <f t="shared" si="80"/>
        <v>0</v>
      </c>
    </row>
    <row r="306" spans="1:37" ht="20.25">
      <c r="A306" s="537"/>
      <c r="B306" s="550"/>
      <c r="C306" s="549"/>
      <c r="D306" s="544"/>
      <c r="E306" s="319"/>
      <c r="F306" s="320"/>
      <c r="G306" s="320"/>
      <c r="H306" s="321"/>
      <c r="I306" s="321"/>
      <c r="J306" s="320"/>
      <c r="K306" s="321"/>
      <c r="L306" s="351"/>
      <c r="M306" s="352"/>
      <c r="N306" s="353"/>
      <c r="O306" s="321"/>
      <c r="P306" s="321"/>
      <c r="Q306" s="321"/>
      <c r="R306" s="321"/>
      <c r="S306" s="321"/>
      <c r="T306" s="321"/>
      <c r="U306" s="354"/>
      <c r="V306" s="352"/>
      <c r="W306" s="353"/>
      <c r="X306" s="321"/>
      <c r="Y306" s="321"/>
      <c r="Z306" s="321"/>
      <c r="AA306" s="321"/>
      <c r="AB306" s="321"/>
      <c r="AC306" s="321"/>
      <c r="AD306" s="380"/>
      <c r="AE306" s="352"/>
      <c r="AF306" s="408">
        <f t="shared" si="81"/>
        <v>0</v>
      </c>
      <c r="AG306" s="409"/>
      <c r="AH306" s="408"/>
      <c r="AI306" s="409">
        <f t="shared" si="79"/>
        <v>0</v>
      </c>
      <c r="AJ306" s="410"/>
      <c r="AK306" s="411">
        <f t="shared" si="80"/>
        <v>0</v>
      </c>
    </row>
    <row r="307" spans="1:37" ht="20.25">
      <c r="A307" s="547"/>
      <c r="B307" s="552"/>
      <c r="C307" s="553"/>
      <c r="D307" s="544"/>
      <c r="E307" s="541"/>
      <c r="F307" s="542"/>
      <c r="G307" s="542"/>
      <c r="H307" s="543"/>
      <c r="I307" s="543"/>
      <c r="J307" s="542"/>
      <c r="K307" s="543"/>
      <c r="L307" s="579"/>
      <c r="M307" s="580"/>
      <c r="N307" s="581"/>
      <c r="O307" s="543"/>
      <c r="P307" s="543"/>
      <c r="Q307" s="543"/>
      <c r="R307" s="543"/>
      <c r="S307" s="543"/>
      <c r="T307" s="543"/>
      <c r="U307" s="587"/>
      <c r="V307" s="580"/>
      <c r="W307" s="581"/>
      <c r="X307" s="543"/>
      <c r="Y307" s="543"/>
      <c r="Z307" s="543"/>
      <c r="AA307" s="543"/>
      <c r="AB307" s="543"/>
      <c r="AC307" s="543"/>
      <c r="AD307" s="592"/>
      <c r="AE307" s="580"/>
      <c r="AF307" s="593">
        <f t="shared" si="81"/>
        <v>0</v>
      </c>
      <c r="AG307" s="594"/>
      <c r="AH307" s="593"/>
      <c r="AI307" s="594">
        <f t="shared" si="79"/>
        <v>0</v>
      </c>
      <c r="AJ307" s="605"/>
      <c r="AK307" s="606">
        <f t="shared" si="80"/>
        <v>0</v>
      </c>
    </row>
    <row r="308" spans="1:37" ht="20.25">
      <c r="A308" s="547"/>
      <c r="B308" s="550"/>
      <c r="C308" s="549"/>
      <c r="D308" s="544"/>
      <c r="E308" s="319"/>
      <c r="F308" s="320"/>
      <c r="G308" s="320"/>
      <c r="H308" s="321"/>
      <c r="I308" s="321"/>
      <c r="J308" s="320"/>
      <c r="K308" s="321"/>
      <c r="L308" s="351"/>
      <c r="M308" s="352"/>
      <c r="N308" s="353"/>
      <c r="O308" s="321"/>
      <c r="P308" s="321"/>
      <c r="Q308" s="321"/>
      <c r="R308" s="321"/>
      <c r="S308" s="321"/>
      <c r="T308" s="321"/>
      <c r="U308" s="354"/>
      <c r="V308" s="352"/>
      <c r="W308" s="353"/>
      <c r="X308" s="321"/>
      <c r="Y308" s="321"/>
      <c r="Z308" s="321"/>
      <c r="AA308" s="321"/>
      <c r="AB308" s="321"/>
      <c r="AC308" s="321"/>
      <c r="AD308" s="380"/>
      <c r="AE308" s="352"/>
      <c r="AF308" s="408">
        <f t="shared" si="81"/>
        <v>0</v>
      </c>
      <c r="AG308" s="409"/>
      <c r="AH308" s="408"/>
      <c r="AI308" s="409">
        <f t="shared" si="79"/>
        <v>0</v>
      </c>
      <c r="AJ308" s="410"/>
      <c r="AK308" s="411">
        <f t="shared" si="80"/>
        <v>0</v>
      </c>
    </row>
    <row r="309" spans="1:37" ht="20.25">
      <c r="A309" s="537"/>
      <c r="B309" s="550"/>
      <c r="C309" s="549"/>
      <c r="D309" s="544"/>
      <c r="E309" s="1108"/>
      <c r="F309" s="1109"/>
      <c r="G309" s="1109"/>
      <c r="H309" s="1110"/>
      <c r="I309" s="1110"/>
      <c r="J309" s="1109"/>
      <c r="K309" s="1110"/>
      <c r="L309" s="1124"/>
      <c r="M309" s="1125"/>
      <c r="N309" s="1126"/>
      <c r="O309" s="1127"/>
      <c r="P309" s="1127"/>
      <c r="Q309" s="1127"/>
      <c r="R309" s="1127"/>
      <c r="S309" s="1127"/>
      <c r="T309" s="1127"/>
      <c r="U309" s="1138"/>
      <c r="V309" s="1139"/>
      <c r="W309" s="1126"/>
      <c r="X309" s="1127"/>
      <c r="Y309" s="1127"/>
      <c r="Z309" s="1127"/>
      <c r="AA309" s="1127"/>
      <c r="AB309" s="1127"/>
      <c r="AC309" s="1127"/>
      <c r="AD309" s="1144"/>
      <c r="AE309" s="1139"/>
      <c r="AF309" s="1145">
        <f t="shared" si="77"/>
        <v>0</v>
      </c>
      <c r="AG309" s="1153"/>
      <c r="AH309" s="1145"/>
      <c r="AI309" s="1153">
        <f t="shared" si="79"/>
        <v>0</v>
      </c>
      <c r="AJ309" s="1154"/>
      <c r="AK309" s="1155">
        <f t="shared" si="80"/>
        <v>0</v>
      </c>
    </row>
    <row r="310" spans="1:37" ht="20.25">
      <c r="A310" s="561"/>
      <c r="B310" s="550"/>
      <c r="C310" s="549"/>
      <c r="D310" s="544"/>
      <c r="E310" s="1108"/>
      <c r="F310" s="1109"/>
      <c r="G310" s="1109"/>
      <c r="H310" s="1110"/>
      <c r="I310" s="1110"/>
      <c r="J310" s="1109"/>
      <c r="K310" s="1110"/>
      <c r="L310" s="1124"/>
      <c r="M310" s="1125"/>
      <c r="N310" s="1108"/>
      <c r="O310" s="1109"/>
      <c r="P310" s="1109"/>
      <c r="Q310" s="1110"/>
      <c r="R310" s="1110"/>
      <c r="S310" s="1109"/>
      <c r="T310" s="1110"/>
      <c r="U310" s="1124"/>
      <c r="V310" s="1139"/>
      <c r="W310" s="1126"/>
      <c r="X310" s="1127"/>
      <c r="Y310" s="1127"/>
      <c r="Z310" s="1127"/>
      <c r="AA310" s="1127"/>
      <c r="AB310" s="1127"/>
      <c r="AC310" s="1127"/>
      <c r="AD310" s="1144"/>
      <c r="AE310" s="1139"/>
      <c r="AF310" s="1145">
        <f t="shared" ref="AF310:AF341" si="82">SUM(E310:AD310)</f>
        <v>0</v>
      </c>
      <c r="AG310" s="1153"/>
      <c r="AH310" s="1145"/>
      <c r="AI310" s="1153">
        <f t="shared" si="79"/>
        <v>0</v>
      </c>
      <c r="AJ310" s="1154"/>
      <c r="AK310" s="1155">
        <f t="shared" si="80"/>
        <v>0</v>
      </c>
    </row>
    <row r="311" spans="1:37" ht="21" thickBot="1">
      <c r="A311" s="551"/>
      <c r="B311" s="550"/>
      <c r="C311" s="549"/>
      <c r="D311" s="544"/>
      <c r="E311" s="1108"/>
      <c r="F311" s="1109"/>
      <c r="G311" s="1109"/>
      <c r="H311" s="1110"/>
      <c r="I311" s="1110"/>
      <c r="J311" s="1109"/>
      <c r="K311" s="1110"/>
      <c r="L311" s="1124"/>
      <c r="M311" s="1128"/>
      <c r="N311" s="1129"/>
      <c r="O311" s="1130"/>
      <c r="P311" s="1130"/>
      <c r="Q311" s="1130"/>
      <c r="R311" s="1130"/>
      <c r="S311" s="1130"/>
      <c r="T311" s="1130"/>
      <c r="U311" s="1140"/>
      <c r="V311" s="1131"/>
      <c r="W311" s="1129"/>
      <c r="X311" s="1130"/>
      <c r="Y311" s="1130"/>
      <c r="Z311" s="1130"/>
      <c r="AA311" s="1130"/>
      <c r="AB311" s="1130"/>
      <c r="AC311" s="1130"/>
      <c r="AD311" s="1146"/>
      <c r="AE311" s="1147"/>
      <c r="AF311" s="1148">
        <f t="shared" si="82"/>
        <v>0</v>
      </c>
      <c r="AG311" s="1156"/>
      <c r="AH311" s="1150"/>
      <c r="AI311" s="1156">
        <f t="shared" si="79"/>
        <v>0</v>
      </c>
      <c r="AJ311" s="1157"/>
      <c r="AK311" s="1158">
        <f t="shared" si="80"/>
        <v>0</v>
      </c>
    </row>
    <row r="312" spans="1:37" ht="21" thickBot="1">
      <c r="A312" s="551"/>
      <c r="B312" s="552"/>
      <c r="C312" s="553"/>
      <c r="D312" s="544"/>
      <c r="E312" s="1108"/>
      <c r="F312" s="1109"/>
      <c r="G312" s="1109"/>
      <c r="H312" s="1110"/>
      <c r="I312" s="1110"/>
      <c r="J312" s="1109"/>
      <c r="K312" s="1110"/>
      <c r="L312" s="1124"/>
      <c r="M312" s="1128"/>
      <c r="N312" s="1126"/>
      <c r="O312" s="1127"/>
      <c r="P312" s="1127"/>
      <c r="Q312" s="1127"/>
      <c r="R312" s="1127"/>
      <c r="S312" s="1127"/>
      <c r="T312" s="1127"/>
      <c r="U312" s="1138"/>
      <c r="V312" s="1139"/>
      <c r="W312" s="1126"/>
      <c r="X312" s="1127"/>
      <c r="Y312" s="1127"/>
      <c r="Z312" s="1127"/>
      <c r="AA312" s="1127"/>
      <c r="AB312" s="1127"/>
      <c r="AC312" s="1127"/>
      <c r="AD312" s="1144"/>
      <c r="AE312" s="1147"/>
      <c r="AF312" s="1145">
        <f t="shared" si="82"/>
        <v>0</v>
      </c>
      <c r="AG312" s="1153"/>
      <c r="AH312" s="1145"/>
      <c r="AI312" s="1153">
        <f t="shared" si="79"/>
        <v>0</v>
      </c>
      <c r="AJ312" s="1154"/>
      <c r="AK312" s="1155">
        <f t="shared" si="80"/>
        <v>0</v>
      </c>
    </row>
    <row r="313" spans="1:37" ht="20.25">
      <c r="A313" s="537"/>
      <c r="B313" s="550"/>
      <c r="C313" s="549"/>
      <c r="D313" s="544"/>
      <c r="E313" s="1108"/>
      <c r="F313" s="1109"/>
      <c r="G313" s="1109"/>
      <c r="H313" s="1110"/>
      <c r="I313" s="1110"/>
      <c r="J313" s="1109"/>
      <c r="K313" s="1110"/>
      <c r="L313" s="1124"/>
      <c r="M313" s="1131"/>
      <c r="N313" s="1108"/>
      <c r="O313" s="1109"/>
      <c r="P313" s="1109"/>
      <c r="Q313" s="1110"/>
      <c r="R313" s="1110"/>
      <c r="S313" s="1109"/>
      <c r="T313" s="1110"/>
      <c r="U313" s="1124"/>
      <c r="V313" s="1131"/>
      <c r="W313" s="1108"/>
      <c r="X313" s="1109"/>
      <c r="Y313" s="1109"/>
      <c r="Z313" s="1110"/>
      <c r="AA313" s="1110"/>
      <c r="AB313" s="1109"/>
      <c r="AC313" s="1110"/>
      <c r="AD313" s="1124"/>
      <c r="AE313" s="1131"/>
      <c r="AF313" s="1148">
        <f t="shared" si="82"/>
        <v>0</v>
      </c>
      <c r="AG313" s="1156"/>
      <c r="AH313" s="1148"/>
      <c r="AI313" s="1156">
        <f t="shared" si="79"/>
        <v>0</v>
      </c>
      <c r="AJ313" s="1159"/>
      <c r="AK313" s="1158">
        <f t="shared" si="80"/>
        <v>0</v>
      </c>
    </row>
    <row r="314" spans="1:37" ht="20.25">
      <c r="A314" s="537"/>
      <c r="B314" s="538"/>
      <c r="C314" s="539"/>
      <c r="D314" s="544"/>
      <c r="E314" s="1108"/>
      <c r="F314" s="1109"/>
      <c r="G314" s="1109"/>
      <c r="H314" s="1110"/>
      <c r="I314" s="1110"/>
      <c r="J314" s="1109"/>
      <c r="K314" s="1110"/>
      <c r="L314" s="1124"/>
      <c r="M314" s="1131"/>
      <c r="N314" s="1108"/>
      <c r="O314" s="1109"/>
      <c r="P314" s="1109"/>
      <c r="Q314" s="1110"/>
      <c r="R314" s="1110"/>
      <c r="S314" s="1109"/>
      <c r="T314" s="1110"/>
      <c r="U314" s="1124"/>
      <c r="V314" s="1131"/>
      <c r="W314" s="1108"/>
      <c r="X314" s="1109"/>
      <c r="Y314" s="1109"/>
      <c r="Z314" s="1110"/>
      <c r="AA314" s="1110"/>
      <c r="AB314" s="1109"/>
      <c r="AC314" s="1110"/>
      <c r="AD314" s="1124"/>
      <c r="AE314" s="1131"/>
      <c r="AF314" s="1145">
        <f t="shared" si="82"/>
        <v>0</v>
      </c>
      <c r="AG314" s="1153"/>
      <c r="AH314" s="1145"/>
      <c r="AI314" s="1153">
        <f t="shared" si="79"/>
        <v>0</v>
      </c>
      <c r="AJ314" s="1154"/>
      <c r="AK314" s="1155">
        <f t="shared" si="80"/>
        <v>0</v>
      </c>
    </row>
    <row r="315" spans="1:37" ht="20.25">
      <c r="A315" s="537"/>
      <c r="B315" s="1112"/>
      <c r="C315" s="1113"/>
      <c r="D315" s="1114"/>
      <c r="E315" s="1108"/>
      <c r="F315" s="1109"/>
      <c r="G315" s="1109"/>
      <c r="H315" s="1110"/>
      <c r="I315" s="1110"/>
      <c r="J315" s="1109"/>
      <c r="K315" s="1110"/>
      <c r="L315" s="1124"/>
      <c r="M315" s="1131"/>
      <c r="N315" s="1108"/>
      <c r="O315" s="1109"/>
      <c r="P315" s="1109"/>
      <c r="Q315" s="1110"/>
      <c r="R315" s="1110"/>
      <c r="S315" s="1109"/>
      <c r="T315" s="1110"/>
      <c r="U315" s="1124"/>
      <c r="V315" s="1131"/>
      <c r="W315" s="1108"/>
      <c r="X315" s="1109"/>
      <c r="Y315" s="1109"/>
      <c r="Z315" s="1110"/>
      <c r="AA315" s="1110"/>
      <c r="AB315" s="1109"/>
      <c r="AC315" s="1110"/>
      <c r="AD315" s="1124"/>
      <c r="AE315" s="1131"/>
      <c r="AF315" s="1148">
        <f t="shared" si="82"/>
        <v>0</v>
      </c>
      <c r="AG315" s="1156"/>
      <c r="AH315" s="1148"/>
      <c r="AI315" s="1156">
        <f t="shared" si="79"/>
        <v>0</v>
      </c>
      <c r="AJ315" s="1159"/>
      <c r="AK315" s="1158">
        <f t="shared" si="80"/>
        <v>0</v>
      </c>
    </row>
    <row r="316" spans="1:37" ht="20.25">
      <c r="A316" s="551"/>
      <c r="B316" s="550"/>
      <c r="C316" s="549"/>
      <c r="D316" s="544"/>
      <c r="E316" s="1108"/>
      <c r="F316" s="1109"/>
      <c r="G316" s="1109"/>
      <c r="H316" s="1110"/>
      <c r="I316" s="1110"/>
      <c r="J316" s="1109"/>
      <c r="K316" s="1110"/>
      <c r="L316" s="1124"/>
      <c r="M316" s="1125"/>
      <c r="N316" s="1108"/>
      <c r="O316" s="1109"/>
      <c r="P316" s="1109"/>
      <c r="Q316" s="1110"/>
      <c r="R316" s="1110"/>
      <c r="S316" s="1109"/>
      <c r="T316" s="1110"/>
      <c r="U316" s="1124"/>
      <c r="V316" s="1139"/>
      <c r="W316" s="1126"/>
      <c r="X316" s="1127"/>
      <c r="Y316" s="1127"/>
      <c r="Z316" s="1127"/>
      <c r="AA316" s="1127"/>
      <c r="AB316" s="1127"/>
      <c r="AC316" s="1127"/>
      <c r="AD316" s="1144"/>
      <c r="AE316" s="1139"/>
      <c r="AF316" s="1145">
        <f t="shared" si="82"/>
        <v>0</v>
      </c>
      <c r="AG316" s="1153"/>
      <c r="AH316" s="1145"/>
      <c r="AI316" s="1153">
        <f t="shared" si="79"/>
        <v>0</v>
      </c>
      <c r="AJ316" s="1154"/>
      <c r="AK316" s="1155">
        <f t="shared" si="80"/>
        <v>0</v>
      </c>
    </row>
    <row r="317" spans="1:37" ht="20.25">
      <c r="A317" s="551"/>
      <c r="B317" s="552"/>
      <c r="C317" s="553"/>
      <c r="D317" s="544"/>
      <c r="E317" s="1108"/>
      <c r="F317" s="1109"/>
      <c r="G317" s="1109"/>
      <c r="H317" s="1110"/>
      <c r="I317" s="1110"/>
      <c r="J317" s="1109"/>
      <c r="K317" s="1110"/>
      <c r="L317" s="1124"/>
      <c r="M317" s="1131"/>
      <c r="N317" s="1108"/>
      <c r="O317" s="1109"/>
      <c r="P317" s="1109"/>
      <c r="Q317" s="1110"/>
      <c r="R317" s="1110"/>
      <c r="S317" s="1109"/>
      <c r="T317" s="1110"/>
      <c r="U317" s="1124"/>
      <c r="V317" s="1131"/>
      <c r="W317" s="1108"/>
      <c r="X317" s="1109"/>
      <c r="Y317" s="1109"/>
      <c r="Z317" s="1110"/>
      <c r="AA317" s="1110"/>
      <c r="AB317" s="1109"/>
      <c r="AC317" s="1110"/>
      <c r="AD317" s="1124"/>
      <c r="AE317" s="1131"/>
      <c r="AF317" s="1145">
        <f t="shared" si="82"/>
        <v>0</v>
      </c>
      <c r="AG317" s="1153"/>
      <c r="AH317" s="1145"/>
      <c r="AI317" s="1153">
        <f t="shared" si="79"/>
        <v>0</v>
      </c>
      <c r="AJ317" s="1154"/>
      <c r="AK317" s="1155">
        <f t="shared" si="80"/>
        <v>0</v>
      </c>
    </row>
    <row r="318" spans="1:37" ht="20.25">
      <c r="A318" s="551"/>
      <c r="B318" s="550"/>
      <c r="C318" s="549"/>
      <c r="D318" s="544"/>
      <c r="E318" s="1108"/>
      <c r="F318" s="1109"/>
      <c r="G318" s="1109"/>
      <c r="H318" s="1110"/>
      <c r="I318" s="1110"/>
      <c r="J318" s="1109"/>
      <c r="K318" s="1110"/>
      <c r="L318" s="1124"/>
      <c r="M318" s="1131"/>
      <c r="N318" s="1108"/>
      <c r="O318" s="1109"/>
      <c r="P318" s="1109"/>
      <c r="Q318" s="1110"/>
      <c r="R318" s="1110"/>
      <c r="S318" s="1109"/>
      <c r="T318" s="1110"/>
      <c r="U318" s="1124"/>
      <c r="V318" s="1131"/>
      <c r="W318" s="1108"/>
      <c r="X318" s="1109"/>
      <c r="Y318" s="1109"/>
      <c r="Z318" s="1110"/>
      <c r="AA318" s="1110"/>
      <c r="AB318" s="1109"/>
      <c r="AC318" s="1110"/>
      <c r="AD318" s="1124"/>
      <c r="AE318" s="1131"/>
      <c r="AF318" s="1148">
        <f t="shared" ref="AF318" si="83">SUM(E318:AD318)</f>
        <v>0</v>
      </c>
      <c r="AG318" s="1156"/>
      <c r="AH318" s="1148"/>
      <c r="AI318" s="1156">
        <f t="shared" si="79"/>
        <v>0</v>
      </c>
      <c r="AJ318" s="1159"/>
      <c r="AK318" s="1158">
        <f t="shared" si="80"/>
        <v>0</v>
      </c>
    </row>
    <row r="319" spans="1:37" ht="20.25">
      <c r="A319" s="551"/>
      <c r="B319" s="550"/>
      <c r="C319" s="549"/>
      <c r="D319" s="544"/>
      <c r="E319" s="1108"/>
      <c r="F319" s="1109"/>
      <c r="G319" s="1109"/>
      <c r="H319" s="1110"/>
      <c r="I319" s="1110"/>
      <c r="J319" s="1109"/>
      <c r="K319" s="1110"/>
      <c r="L319" s="1124"/>
      <c r="M319" s="1125"/>
      <c r="N319" s="1108"/>
      <c r="O319" s="1109"/>
      <c r="P319" s="1109"/>
      <c r="Q319" s="1110"/>
      <c r="R319" s="1110"/>
      <c r="S319" s="1109"/>
      <c r="T319" s="1110"/>
      <c r="U319" s="1124"/>
      <c r="V319" s="1139"/>
      <c r="W319" s="1126"/>
      <c r="X319" s="1127"/>
      <c r="Y319" s="1127"/>
      <c r="Z319" s="1127"/>
      <c r="AA319" s="1127"/>
      <c r="AB319" s="1127"/>
      <c r="AC319" s="1127"/>
      <c r="AD319" s="1144"/>
      <c r="AE319" s="1139"/>
      <c r="AF319" s="1145">
        <f t="shared" si="82"/>
        <v>0</v>
      </c>
      <c r="AG319" s="1153"/>
      <c r="AH319" s="1145"/>
      <c r="AI319" s="1153">
        <f t="shared" si="79"/>
        <v>0</v>
      </c>
      <c r="AJ319" s="1154"/>
      <c r="AK319" s="1155">
        <f t="shared" si="80"/>
        <v>0</v>
      </c>
    </row>
    <row r="320" spans="1:37" ht="20.25">
      <c r="A320" s="537"/>
      <c r="B320" s="550"/>
      <c r="C320" s="549"/>
      <c r="D320" s="544"/>
      <c r="E320" s="1108"/>
      <c r="F320" s="1109"/>
      <c r="G320" s="1109"/>
      <c r="H320" s="1110"/>
      <c r="I320" s="1110"/>
      <c r="J320" s="1109"/>
      <c r="K320" s="1110"/>
      <c r="L320" s="1124"/>
      <c r="M320" s="1125"/>
      <c r="N320" s="1108"/>
      <c r="O320" s="1109"/>
      <c r="P320" s="1109"/>
      <c r="Q320" s="1110"/>
      <c r="R320" s="1110"/>
      <c r="S320" s="1109"/>
      <c r="T320" s="1110"/>
      <c r="U320" s="1124"/>
      <c r="V320" s="1139"/>
      <c r="W320" s="1126"/>
      <c r="X320" s="1127"/>
      <c r="Y320" s="1127"/>
      <c r="Z320" s="1127"/>
      <c r="AA320" s="1127"/>
      <c r="AB320" s="1127"/>
      <c r="AC320" s="1127"/>
      <c r="AD320" s="1144"/>
      <c r="AE320" s="1139"/>
      <c r="AF320" s="1145">
        <f t="shared" si="82"/>
        <v>0</v>
      </c>
      <c r="AG320" s="1153"/>
      <c r="AH320" s="1145"/>
      <c r="AI320" s="1153">
        <f t="shared" si="79"/>
        <v>0</v>
      </c>
      <c r="AJ320" s="1154"/>
      <c r="AK320" s="1155">
        <f t="shared" si="80"/>
        <v>0</v>
      </c>
    </row>
    <row r="321" spans="1:37" ht="20.25">
      <c r="A321" s="537"/>
      <c r="B321" s="550"/>
      <c r="C321" s="549"/>
      <c r="D321" s="544"/>
      <c r="E321" s="1108"/>
      <c r="F321" s="1109"/>
      <c r="G321" s="1109"/>
      <c r="H321" s="1110"/>
      <c r="I321" s="1110"/>
      <c r="J321" s="1109"/>
      <c r="K321" s="1110"/>
      <c r="L321" s="1124"/>
      <c r="M321" s="1125"/>
      <c r="N321" s="1108"/>
      <c r="O321" s="1109"/>
      <c r="P321" s="1109"/>
      <c r="Q321" s="1110"/>
      <c r="R321" s="1110"/>
      <c r="S321" s="1109"/>
      <c r="T321" s="1110"/>
      <c r="U321" s="1124"/>
      <c r="V321" s="1139"/>
      <c r="W321" s="1126"/>
      <c r="X321" s="1127"/>
      <c r="Y321" s="1127"/>
      <c r="Z321" s="1127"/>
      <c r="AA321" s="1127"/>
      <c r="AB321" s="1127"/>
      <c r="AC321" s="1127"/>
      <c r="AD321" s="1144"/>
      <c r="AE321" s="1139"/>
      <c r="AF321" s="1145">
        <f t="shared" si="82"/>
        <v>0</v>
      </c>
      <c r="AG321" s="1153"/>
      <c r="AH321" s="1145"/>
      <c r="AI321" s="1153">
        <f t="shared" si="79"/>
        <v>0</v>
      </c>
      <c r="AJ321" s="1154"/>
      <c r="AK321" s="1155">
        <f t="shared" si="80"/>
        <v>0</v>
      </c>
    </row>
    <row r="322" spans="1:37" ht="20.25">
      <c r="A322" s="551"/>
      <c r="B322" s="550"/>
      <c r="C322" s="549"/>
      <c r="D322" s="544"/>
      <c r="E322" s="1108"/>
      <c r="F322" s="1109"/>
      <c r="G322" s="1109"/>
      <c r="H322" s="1110"/>
      <c r="I322" s="1110"/>
      <c r="J322" s="1109"/>
      <c r="K322" s="1110"/>
      <c r="L322" s="1124"/>
      <c r="M322" s="1125"/>
      <c r="N322" s="1108"/>
      <c r="O322" s="1109"/>
      <c r="P322" s="1109"/>
      <c r="Q322" s="1110"/>
      <c r="R322" s="1110"/>
      <c r="S322" s="1109"/>
      <c r="T322" s="1110"/>
      <c r="U322" s="1124"/>
      <c r="V322" s="1139"/>
      <c r="W322" s="1126"/>
      <c r="X322" s="1127"/>
      <c r="Y322" s="1127"/>
      <c r="Z322" s="1127"/>
      <c r="AA322" s="1127"/>
      <c r="AB322" s="1127"/>
      <c r="AC322" s="1127"/>
      <c r="AD322" s="1144"/>
      <c r="AE322" s="1139"/>
      <c r="AF322" s="1145">
        <f t="shared" si="82"/>
        <v>0</v>
      </c>
      <c r="AG322" s="1153"/>
      <c r="AH322" s="1145"/>
      <c r="AI322" s="1153">
        <f t="shared" si="79"/>
        <v>0</v>
      </c>
      <c r="AJ322" s="1154"/>
      <c r="AK322" s="1155">
        <f t="shared" si="80"/>
        <v>0</v>
      </c>
    </row>
    <row r="323" spans="1:37" ht="20.25">
      <c r="A323" s="551"/>
      <c r="B323" s="550"/>
      <c r="C323" s="549"/>
      <c r="D323" s="544"/>
      <c r="E323" s="1108"/>
      <c r="F323" s="1109"/>
      <c r="G323" s="1109"/>
      <c r="H323" s="1110"/>
      <c r="I323" s="1110"/>
      <c r="J323" s="1109"/>
      <c r="K323" s="1110"/>
      <c r="L323" s="1124"/>
      <c r="M323" s="1125"/>
      <c r="N323" s="1108"/>
      <c r="O323" s="1109"/>
      <c r="P323" s="1109"/>
      <c r="Q323" s="1110"/>
      <c r="R323" s="1110"/>
      <c r="S323" s="1109"/>
      <c r="T323" s="1110"/>
      <c r="U323" s="1124"/>
      <c r="V323" s="1139"/>
      <c r="W323" s="1126"/>
      <c r="X323" s="1127"/>
      <c r="Y323" s="1127"/>
      <c r="Z323" s="1127"/>
      <c r="AA323" s="1127"/>
      <c r="AB323" s="1127"/>
      <c r="AC323" s="1127"/>
      <c r="AD323" s="1144"/>
      <c r="AE323" s="1139"/>
      <c r="AF323" s="1145">
        <f t="shared" si="82"/>
        <v>0</v>
      </c>
      <c r="AG323" s="1153"/>
      <c r="AH323" s="1145"/>
      <c r="AI323" s="1153">
        <f t="shared" si="79"/>
        <v>0</v>
      </c>
      <c r="AJ323" s="1154"/>
      <c r="AK323" s="1155">
        <f t="shared" si="80"/>
        <v>0</v>
      </c>
    </row>
    <row r="324" spans="1:37" ht="20.25">
      <c r="A324" s="537"/>
      <c r="B324" s="550"/>
      <c r="C324" s="549"/>
      <c r="D324" s="544"/>
      <c r="E324" s="1108"/>
      <c r="F324" s="1109"/>
      <c r="G324" s="1109"/>
      <c r="H324" s="1110"/>
      <c r="I324" s="1110"/>
      <c r="J324" s="1109"/>
      <c r="K324" s="1110"/>
      <c r="L324" s="1124"/>
      <c r="M324" s="1125"/>
      <c r="N324" s="1108"/>
      <c r="O324" s="1109"/>
      <c r="P324" s="1109"/>
      <c r="Q324" s="1110"/>
      <c r="R324" s="1110"/>
      <c r="S324" s="1109"/>
      <c r="T324" s="1110"/>
      <c r="U324" s="1124"/>
      <c r="V324" s="1139"/>
      <c r="W324" s="1126"/>
      <c r="X324" s="1127"/>
      <c r="Y324" s="1127"/>
      <c r="Z324" s="1127"/>
      <c r="AA324" s="1127"/>
      <c r="AB324" s="1127"/>
      <c r="AC324" s="1127"/>
      <c r="AD324" s="1144"/>
      <c r="AE324" s="1139"/>
      <c r="AF324" s="1145">
        <f t="shared" si="82"/>
        <v>0</v>
      </c>
      <c r="AG324" s="1153"/>
      <c r="AH324" s="1145"/>
      <c r="AI324" s="1153">
        <f t="shared" si="79"/>
        <v>0</v>
      </c>
      <c r="AJ324" s="1154"/>
      <c r="AK324" s="1155">
        <f t="shared" si="80"/>
        <v>0</v>
      </c>
    </row>
    <row r="325" spans="1:37" ht="20.25">
      <c r="A325" s="537"/>
      <c r="B325" s="550"/>
      <c r="C325" s="549"/>
      <c r="D325" s="544"/>
      <c r="E325" s="1108"/>
      <c r="F325" s="1109"/>
      <c r="G325" s="1109"/>
      <c r="H325" s="1110"/>
      <c r="I325" s="1110"/>
      <c r="J325" s="1109"/>
      <c r="K325" s="1110"/>
      <c r="L325" s="1124"/>
      <c r="M325" s="1125"/>
      <c r="N325" s="1108"/>
      <c r="O325" s="1109"/>
      <c r="P325" s="1109"/>
      <c r="Q325" s="1110"/>
      <c r="R325" s="1110"/>
      <c r="S325" s="1109"/>
      <c r="T325" s="1110"/>
      <c r="U325" s="1124"/>
      <c r="V325" s="1139"/>
      <c r="W325" s="1126"/>
      <c r="X325" s="1127"/>
      <c r="Y325" s="1127"/>
      <c r="Z325" s="1127"/>
      <c r="AA325" s="1127"/>
      <c r="AB325" s="1127"/>
      <c r="AC325" s="1127"/>
      <c r="AD325" s="1144"/>
      <c r="AE325" s="1139"/>
      <c r="AF325" s="1145">
        <f t="shared" si="82"/>
        <v>0</v>
      </c>
      <c r="AG325" s="1153"/>
      <c r="AH325" s="1145"/>
      <c r="AI325" s="1153">
        <f t="shared" si="79"/>
        <v>0</v>
      </c>
      <c r="AJ325" s="1154"/>
      <c r="AK325" s="1155">
        <f t="shared" si="80"/>
        <v>0</v>
      </c>
    </row>
    <row r="326" spans="1:37" ht="20.25">
      <c r="A326" s="1111"/>
      <c r="B326" s="563"/>
      <c r="C326" s="553"/>
      <c r="D326" s="544"/>
      <c r="E326" s="1108"/>
      <c r="F326" s="1109"/>
      <c r="G326" s="1109"/>
      <c r="H326" s="1110"/>
      <c r="I326" s="1110"/>
      <c r="J326" s="1109"/>
      <c r="K326" s="1110"/>
      <c r="L326" s="1124"/>
      <c r="M326" s="1125"/>
      <c r="N326" s="1108"/>
      <c r="O326" s="1109"/>
      <c r="P326" s="1109"/>
      <c r="Q326" s="1110"/>
      <c r="R326" s="1110"/>
      <c r="S326" s="1109"/>
      <c r="T326" s="1110"/>
      <c r="U326" s="1124"/>
      <c r="V326" s="1139"/>
      <c r="W326" s="1126"/>
      <c r="X326" s="1127"/>
      <c r="Y326" s="1127"/>
      <c r="Z326" s="1127"/>
      <c r="AA326" s="1127"/>
      <c r="AB326" s="1127"/>
      <c r="AC326" s="1127"/>
      <c r="AD326" s="1144"/>
      <c r="AE326" s="1139"/>
      <c r="AF326" s="1145">
        <f t="shared" si="82"/>
        <v>0</v>
      </c>
      <c r="AG326" s="1153"/>
      <c r="AH326" s="1145"/>
      <c r="AI326" s="1153">
        <f t="shared" si="79"/>
        <v>0</v>
      </c>
      <c r="AJ326" s="1154"/>
      <c r="AK326" s="1155">
        <f t="shared" si="80"/>
        <v>0</v>
      </c>
    </row>
    <row r="327" spans="1:37" ht="20.25">
      <c r="A327" s="537"/>
      <c r="B327" s="550"/>
      <c r="C327" s="549"/>
      <c r="D327" s="544"/>
      <c r="E327" s="1108"/>
      <c r="F327" s="1109"/>
      <c r="G327" s="1109"/>
      <c r="H327" s="1110"/>
      <c r="I327" s="1110"/>
      <c r="J327" s="1109"/>
      <c r="K327" s="1110"/>
      <c r="L327" s="1124"/>
      <c r="M327" s="1125"/>
      <c r="N327" s="1108"/>
      <c r="O327" s="1109"/>
      <c r="P327" s="1109"/>
      <c r="Q327" s="1110"/>
      <c r="R327" s="1110"/>
      <c r="S327" s="1109"/>
      <c r="T327" s="1110"/>
      <c r="U327" s="1124"/>
      <c r="V327" s="1139"/>
      <c r="W327" s="1126"/>
      <c r="X327" s="1127"/>
      <c r="Y327" s="1127"/>
      <c r="Z327" s="1127"/>
      <c r="AA327" s="1127"/>
      <c r="AB327" s="1127"/>
      <c r="AC327" s="1127"/>
      <c r="AD327" s="1144"/>
      <c r="AE327" s="1139"/>
      <c r="AF327" s="1145">
        <f t="shared" si="82"/>
        <v>0</v>
      </c>
      <c r="AG327" s="1153"/>
      <c r="AH327" s="1145"/>
      <c r="AI327" s="1153">
        <f t="shared" si="79"/>
        <v>0</v>
      </c>
      <c r="AJ327" s="1154"/>
      <c r="AK327" s="1155">
        <f t="shared" si="80"/>
        <v>0</v>
      </c>
    </row>
    <row r="328" spans="1:37" ht="20.25">
      <c r="A328" s="551"/>
      <c r="B328" s="550"/>
      <c r="C328" s="549"/>
      <c r="D328" s="544"/>
      <c r="E328" s="1108"/>
      <c r="F328" s="1109"/>
      <c r="G328" s="1109"/>
      <c r="H328" s="1110"/>
      <c r="I328" s="1110"/>
      <c r="J328" s="1109"/>
      <c r="K328" s="1110"/>
      <c r="L328" s="1124"/>
      <c r="M328" s="1125"/>
      <c r="N328" s="1108"/>
      <c r="O328" s="1109"/>
      <c r="P328" s="1109"/>
      <c r="Q328" s="1110"/>
      <c r="R328" s="1110"/>
      <c r="S328" s="1109"/>
      <c r="T328" s="1110"/>
      <c r="U328" s="1124"/>
      <c r="V328" s="1139"/>
      <c r="W328" s="1126"/>
      <c r="X328" s="1127"/>
      <c r="Y328" s="1127"/>
      <c r="Z328" s="1127"/>
      <c r="AA328" s="1127"/>
      <c r="AB328" s="1127"/>
      <c r="AC328" s="1127"/>
      <c r="AD328" s="1144"/>
      <c r="AE328" s="1139"/>
      <c r="AF328" s="1145">
        <f t="shared" si="82"/>
        <v>0</v>
      </c>
      <c r="AG328" s="1153"/>
      <c r="AH328" s="1145"/>
      <c r="AI328" s="1153">
        <f t="shared" si="79"/>
        <v>0</v>
      </c>
      <c r="AJ328" s="1154"/>
      <c r="AK328" s="1155">
        <f t="shared" si="80"/>
        <v>0</v>
      </c>
    </row>
    <row r="329" spans="1:37" ht="20.25">
      <c r="A329" s="537"/>
      <c r="B329" s="550"/>
      <c r="C329" s="549"/>
      <c r="D329" s="544"/>
      <c r="E329" s="1108"/>
      <c r="F329" s="1109"/>
      <c r="G329" s="1109"/>
      <c r="H329" s="1110"/>
      <c r="I329" s="1110"/>
      <c r="J329" s="1109"/>
      <c r="K329" s="1110"/>
      <c r="L329" s="1124"/>
      <c r="M329" s="1125"/>
      <c r="N329" s="1108"/>
      <c r="O329" s="1109"/>
      <c r="P329" s="1109"/>
      <c r="Q329" s="1110"/>
      <c r="R329" s="1110"/>
      <c r="S329" s="1109"/>
      <c r="T329" s="1110"/>
      <c r="U329" s="1124"/>
      <c r="V329" s="1139"/>
      <c r="W329" s="1126"/>
      <c r="X329" s="1127"/>
      <c r="Y329" s="1127"/>
      <c r="Z329" s="1127"/>
      <c r="AA329" s="1127"/>
      <c r="AB329" s="1127"/>
      <c r="AC329" s="1127"/>
      <c r="AD329" s="1144"/>
      <c r="AE329" s="1139"/>
      <c r="AF329" s="1145">
        <f t="shared" si="82"/>
        <v>0</v>
      </c>
      <c r="AG329" s="1153"/>
      <c r="AH329" s="1145"/>
      <c r="AI329" s="1153">
        <f t="shared" si="79"/>
        <v>0</v>
      </c>
      <c r="AJ329" s="1154"/>
      <c r="AK329" s="1155">
        <f t="shared" si="80"/>
        <v>0</v>
      </c>
    </row>
    <row r="330" spans="1:37" ht="20.25">
      <c r="A330" s="547"/>
      <c r="B330" s="550"/>
      <c r="C330" s="549"/>
      <c r="D330" s="544"/>
      <c r="E330" s="1108"/>
      <c r="F330" s="1109"/>
      <c r="G330" s="1109"/>
      <c r="H330" s="1110"/>
      <c r="I330" s="1110"/>
      <c r="J330" s="1109"/>
      <c r="K330" s="1110"/>
      <c r="L330" s="1124"/>
      <c r="M330" s="1125"/>
      <c r="N330" s="1108"/>
      <c r="O330" s="1109"/>
      <c r="P330" s="1109"/>
      <c r="Q330" s="1110"/>
      <c r="R330" s="1110"/>
      <c r="S330" s="1109"/>
      <c r="T330" s="1110"/>
      <c r="U330" s="1124"/>
      <c r="V330" s="1139"/>
      <c r="W330" s="1126"/>
      <c r="X330" s="1127"/>
      <c r="Y330" s="1127"/>
      <c r="Z330" s="1127"/>
      <c r="AA330" s="1127"/>
      <c r="AB330" s="1127"/>
      <c r="AC330" s="1127"/>
      <c r="AD330" s="1144"/>
      <c r="AE330" s="1139"/>
      <c r="AF330" s="1145">
        <f t="shared" si="82"/>
        <v>0</v>
      </c>
      <c r="AG330" s="1153"/>
      <c r="AH330" s="1145"/>
      <c r="AI330" s="1153">
        <f t="shared" si="79"/>
        <v>0</v>
      </c>
      <c r="AJ330" s="1154"/>
      <c r="AK330" s="1155">
        <f t="shared" si="80"/>
        <v>0</v>
      </c>
    </row>
    <row r="331" spans="1:37" ht="20.25">
      <c r="A331" s="551"/>
      <c r="B331" s="550"/>
      <c r="C331" s="549"/>
      <c r="D331" s="544"/>
      <c r="E331" s="1108"/>
      <c r="F331" s="1109"/>
      <c r="G331" s="1109"/>
      <c r="H331" s="1110"/>
      <c r="I331" s="1110"/>
      <c r="J331" s="1109"/>
      <c r="K331" s="1110"/>
      <c r="L331" s="1124"/>
      <c r="M331" s="1125"/>
      <c r="N331" s="1108"/>
      <c r="O331" s="1109"/>
      <c r="P331" s="1109"/>
      <c r="Q331" s="1110"/>
      <c r="R331" s="1110"/>
      <c r="S331" s="1109"/>
      <c r="T331" s="1110"/>
      <c r="U331" s="1124"/>
      <c r="V331" s="1139"/>
      <c r="W331" s="1126"/>
      <c r="X331" s="1127"/>
      <c r="Y331" s="1127"/>
      <c r="Z331" s="1127"/>
      <c r="AA331" s="1127"/>
      <c r="AB331" s="1127"/>
      <c r="AC331" s="1127"/>
      <c r="AD331" s="1144"/>
      <c r="AE331" s="1139"/>
      <c r="AF331" s="1145">
        <f t="shared" si="82"/>
        <v>0</v>
      </c>
      <c r="AG331" s="1153"/>
      <c r="AH331" s="1145"/>
      <c r="AI331" s="1153">
        <f t="shared" si="79"/>
        <v>0</v>
      </c>
      <c r="AJ331" s="1154"/>
      <c r="AK331" s="1155">
        <f t="shared" si="80"/>
        <v>0</v>
      </c>
    </row>
    <row r="332" spans="1:37" ht="20.25">
      <c r="A332" s="537"/>
      <c r="B332" s="550"/>
      <c r="C332" s="549"/>
      <c r="D332" s="544"/>
      <c r="E332" s="1108"/>
      <c r="F332" s="1109"/>
      <c r="G332" s="1109"/>
      <c r="H332" s="1110"/>
      <c r="I332" s="1110"/>
      <c r="J332" s="1109"/>
      <c r="K332" s="1110"/>
      <c r="L332" s="1124"/>
      <c r="M332" s="1125"/>
      <c r="N332" s="1108"/>
      <c r="O332" s="1109"/>
      <c r="P332" s="1109"/>
      <c r="Q332" s="1110"/>
      <c r="R332" s="1110"/>
      <c r="S332" s="1109"/>
      <c r="T332" s="1110"/>
      <c r="U332" s="1124"/>
      <c r="V332" s="1139"/>
      <c r="W332" s="1126"/>
      <c r="X332" s="1127"/>
      <c r="Y332" s="1127"/>
      <c r="Z332" s="1127"/>
      <c r="AA332" s="1127"/>
      <c r="AB332" s="1127"/>
      <c r="AC332" s="1127"/>
      <c r="AD332" s="1144"/>
      <c r="AE332" s="1139"/>
      <c r="AF332" s="1145">
        <f t="shared" si="82"/>
        <v>0</v>
      </c>
      <c r="AG332" s="1153"/>
      <c r="AH332" s="1145"/>
      <c r="AI332" s="1153">
        <f t="shared" si="79"/>
        <v>0</v>
      </c>
      <c r="AJ332" s="1154"/>
      <c r="AK332" s="1155">
        <f t="shared" si="80"/>
        <v>0</v>
      </c>
    </row>
    <row r="333" spans="1:37" ht="20.25">
      <c r="A333" s="551"/>
      <c r="B333" s="563"/>
      <c r="C333" s="553"/>
      <c r="D333" s="544"/>
      <c r="E333" s="1108"/>
      <c r="F333" s="1109"/>
      <c r="G333" s="1109"/>
      <c r="H333" s="1110"/>
      <c r="I333" s="1110"/>
      <c r="J333" s="1109"/>
      <c r="K333" s="1110"/>
      <c r="L333" s="1124"/>
      <c r="M333" s="1125"/>
      <c r="N333" s="1108"/>
      <c r="O333" s="1109"/>
      <c r="P333" s="1109"/>
      <c r="Q333" s="1110"/>
      <c r="R333" s="1110"/>
      <c r="S333" s="1109"/>
      <c r="T333" s="1110"/>
      <c r="U333" s="1124"/>
      <c r="V333" s="1139"/>
      <c r="W333" s="1126"/>
      <c r="X333" s="1127"/>
      <c r="Y333" s="1127"/>
      <c r="Z333" s="1127"/>
      <c r="AA333" s="1127"/>
      <c r="AB333" s="1127"/>
      <c r="AC333" s="1127"/>
      <c r="AD333" s="1144"/>
      <c r="AE333" s="1139"/>
      <c r="AF333" s="1145">
        <f t="shared" si="82"/>
        <v>0</v>
      </c>
      <c r="AG333" s="1153"/>
      <c r="AH333" s="1145"/>
      <c r="AI333" s="1153">
        <f t="shared" si="79"/>
        <v>0</v>
      </c>
      <c r="AJ333" s="1154"/>
      <c r="AK333" s="1155">
        <f t="shared" si="80"/>
        <v>0</v>
      </c>
    </row>
    <row r="334" spans="1:37" ht="20.25">
      <c r="A334" s="551"/>
      <c r="B334" s="1112"/>
      <c r="C334" s="1113"/>
      <c r="D334" s="1114"/>
      <c r="E334" s="1108"/>
      <c r="F334" s="1109"/>
      <c r="G334" s="1109"/>
      <c r="H334" s="1110"/>
      <c r="I334" s="1110"/>
      <c r="J334" s="1109"/>
      <c r="K334" s="1110"/>
      <c r="L334" s="1124"/>
      <c r="M334" s="1125"/>
      <c r="N334" s="1108"/>
      <c r="O334" s="1109"/>
      <c r="P334" s="1109"/>
      <c r="Q334" s="1110"/>
      <c r="R334" s="1110"/>
      <c r="S334" s="1109"/>
      <c r="T334" s="1110"/>
      <c r="U334" s="1124"/>
      <c r="V334" s="1139"/>
      <c r="W334" s="1126"/>
      <c r="X334" s="1127"/>
      <c r="Y334" s="1127"/>
      <c r="Z334" s="1127"/>
      <c r="AA334" s="1127"/>
      <c r="AB334" s="1127"/>
      <c r="AC334" s="1127"/>
      <c r="AD334" s="1144"/>
      <c r="AE334" s="1139"/>
      <c r="AF334" s="1145">
        <f t="shared" si="82"/>
        <v>0</v>
      </c>
      <c r="AG334" s="1153"/>
      <c r="AH334" s="1145"/>
      <c r="AI334" s="1153">
        <f t="shared" si="79"/>
        <v>0</v>
      </c>
      <c r="AJ334" s="1154"/>
      <c r="AK334" s="1155">
        <f t="shared" si="80"/>
        <v>0</v>
      </c>
    </row>
    <row r="335" spans="1:37" ht="21" thickBot="1">
      <c r="A335" s="551"/>
      <c r="B335" s="1115"/>
      <c r="C335" s="1116"/>
      <c r="D335" s="1117"/>
      <c r="E335" s="1108"/>
      <c r="F335" s="1109"/>
      <c r="G335" s="1109"/>
      <c r="H335" s="1110"/>
      <c r="I335" s="1110"/>
      <c r="J335" s="1109"/>
      <c r="K335" s="1110"/>
      <c r="L335" s="1124"/>
      <c r="M335" s="1132"/>
      <c r="N335" s="1108"/>
      <c r="O335" s="1109"/>
      <c r="P335" s="1109"/>
      <c r="Q335" s="1110"/>
      <c r="R335" s="1110"/>
      <c r="S335" s="1109"/>
      <c r="T335" s="1110"/>
      <c r="U335" s="1124"/>
      <c r="V335" s="1141"/>
      <c r="W335" s="1142"/>
      <c r="X335" s="1110"/>
      <c r="Y335" s="1110"/>
      <c r="Z335" s="1110"/>
      <c r="AA335" s="1110"/>
      <c r="AB335" s="1110"/>
      <c r="AC335" s="1110"/>
      <c r="AD335" s="1149"/>
      <c r="AE335" s="584"/>
      <c r="AF335" s="596">
        <f t="shared" si="82"/>
        <v>0</v>
      </c>
      <c r="AG335" s="597"/>
      <c r="AH335" s="596"/>
      <c r="AI335" s="597">
        <f t="shared" si="79"/>
        <v>0</v>
      </c>
      <c r="AJ335" s="607"/>
      <c r="AK335" s="606">
        <f t="shared" si="80"/>
        <v>0</v>
      </c>
    </row>
    <row r="336" spans="1:37" ht="20.25">
      <c r="A336" s="547"/>
      <c r="B336" s="545"/>
      <c r="C336" s="539"/>
      <c r="D336" s="3549"/>
      <c r="E336" s="3547"/>
      <c r="F336" s="557"/>
      <c r="G336" s="557"/>
      <c r="H336" s="558"/>
      <c r="I336" s="558"/>
      <c r="J336" s="557"/>
      <c r="K336" s="558"/>
      <c r="L336" s="583"/>
      <c r="M336" s="584"/>
      <c r="N336" s="585"/>
      <c r="O336" s="558"/>
      <c r="P336" s="558"/>
      <c r="Q336" s="558"/>
      <c r="R336" s="558"/>
      <c r="S336" s="558"/>
      <c r="T336" s="558"/>
      <c r="U336" s="819"/>
      <c r="V336" s="584"/>
      <c r="W336" s="585"/>
      <c r="X336" s="558"/>
      <c r="Y336" s="558"/>
      <c r="Z336" s="558"/>
      <c r="AA336" s="558"/>
      <c r="AB336" s="558"/>
      <c r="AC336" s="558"/>
      <c r="AD336" s="595"/>
      <c r="AE336" s="584"/>
      <c r="AF336" s="596">
        <f t="shared" si="82"/>
        <v>0</v>
      </c>
      <c r="AG336" s="597"/>
      <c r="AH336" s="596"/>
      <c r="AI336" s="597">
        <f t="shared" si="79"/>
        <v>0</v>
      </c>
      <c r="AJ336" s="607"/>
      <c r="AK336" s="606">
        <f t="shared" si="80"/>
        <v>0</v>
      </c>
    </row>
    <row r="337" spans="1:37" ht="20.25">
      <c r="A337" s="547"/>
      <c r="B337" s="3547"/>
      <c r="C337" s="3547"/>
      <c r="D337" s="3369"/>
      <c r="E337" s="1107"/>
      <c r="F337" s="557"/>
      <c r="G337" s="557"/>
      <c r="H337" s="558"/>
      <c r="I337" s="558"/>
      <c r="J337" s="557"/>
      <c r="K337" s="558"/>
      <c r="L337" s="583"/>
      <c r="M337" s="584"/>
      <c r="N337" s="585"/>
      <c r="O337" s="558"/>
      <c r="P337" s="558"/>
      <c r="Q337" s="558"/>
      <c r="R337" s="558"/>
      <c r="S337" s="558"/>
      <c r="T337" s="558"/>
      <c r="U337" s="819"/>
      <c r="V337" s="584"/>
      <c r="W337" s="585"/>
      <c r="X337" s="558"/>
      <c r="Y337" s="558"/>
      <c r="Z337" s="558"/>
      <c r="AA337" s="558"/>
      <c r="AB337" s="558"/>
      <c r="AC337" s="558"/>
      <c r="AD337" s="595"/>
      <c r="AE337" s="584"/>
      <c r="AF337" s="596">
        <f t="shared" si="82"/>
        <v>0</v>
      </c>
      <c r="AG337" s="597"/>
      <c r="AH337" s="596"/>
      <c r="AI337" s="597">
        <f t="shared" si="79"/>
        <v>0</v>
      </c>
      <c r="AJ337" s="607"/>
      <c r="AK337" s="606">
        <f t="shared" si="80"/>
        <v>0</v>
      </c>
    </row>
    <row r="338" spans="1:37" ht="20.25">
      <c r="A338" s="551"/>
      <c r="B338" s="545"/>
      <c r="C338" s="539"/>
      <c r="D338" s="3549"/>
      <c r="E338" s="3547"/>
      <c r="F338" s="557"/>
      <c r="G338" s="557"/>
      <c r="H338" s="558"/>
      <c r="I338" s="558"/>
      <c r="J338" s="557"/>
      <c r="K338" s="558"/>
      <c r="L338" s="583"/>
      <c r="M338" s="584"/>
      <c r="N338" s="585"/>
      <c r="O338" s="558"/>
      <c r="P338" s="558"/>
      <c r="Q338" s="558"/>
      <c r="R338" s="558"/>
      <c r="S338" s="558"/>
      <c r="T338" s="558"/>
      <c r="U338" s="819"/>
      <c r="V338" s="584"/>
      <c r="W338" s="585"/>
      <c r="X338" s="558"/>
      <c r="Y338" s="558"/>
      <c r="Z338" s="558"/>
      <c r="AA338" s="558"/>
      <c r="AB338" s="558"/>
      <c r="AC338" s="558"/>
      <c r="AD338" s="595"/>
      <c r="AE338" s="584"/>
      <c r="AF338" s="596">
        <f t="shared" si="82"/>
        <v>0</v>
      </c>
      <c r="AG338" s="597"/>
      <c r="AH338" s="596"/>
      <c r="AI338" s="597">
        <f t="shared" si="79"/>
        <v>0</v>
      </c>
      <c r="AJ338" s="607"/>
      <c r="AK338" s="606">
        <f t="shared" si="80"/>
        <v>0</v>
      </c>
    </row>
    <row r="339" spans="1:37" ht="20.25">
      <c r="A339" s="547"/>
      <c r="B339" s="3547"/>
      <c r="C339" s="3547"/>
      <c r="D339" s="3369"/>
      <c r="E339" s="1107"/>
      <c r="F339" s="557"/>
      <c r="G339" s="557"/>
      <c r="H339" s="558"/>
      <c r="I339" s="558"/>
      <c r="J339" s="557"/>
      <c r="K339" s="558"/>
      <c r="L339" s="583"/>
      <c r="M339" s="584"/>
      <c r="N339" s="585"/>
      <c r="O339" s="558"/>
      <c r="P339" s="558"/>
      <c r="Q339" s="558"/>
      <c r="R339" s="558"/>
      <c r="S339" s="558"/>
      <c r="T339" s="558"/>
      <c r="U339" s="819"/>
      <c r="V339" s="584"/>
      <c r="W339" s="585"/>
      <c r="X339" s="558"/>
      <c r="Y339" s="558"/>
      <c r="Z339" s="558"/>
      <c r="AA339" s="558"/>
      <c r="AB339" s="558"/>
      <c r="AC339" s="558"/>
      <c r="AD339" s="595"/>
      <c r="AE339" s="584"/>
      <c r="AF339" s="596">
        <f t="shared" si="82"/>
        <v>0</v>
      </c>
      <c r="AG339" s="597"/>
      <c r="AH339" s="596"/>
      <c r="AI339" s="597">
        <f t="shared" si="79"/>
        <v>0</v>
      </c>
      <c r="AJ339" s="607"/>
      <c r="AK339" s="606">
        <f t="shared" si="80"/>
        <v>0</v>
      </c>
    </row>
    <row r="340" spans="1:37" ht="20.25">
      <c r="A340" s="551"/>
      <c r="B340" s="1112"/>
      <c r="C340" s="1112"/>
      <c r="D340" s="3548"/>
      <c r="E340" s="3546"/>
      <c r="F340" s="1109"/>
      <c r="G340" s="1109"/>
      <c r="H340" s="1110"/>
      <c r="I340" s="1110"/>
      <c r="J340" s="1109"/>
      <c r="K340" s="1110"/>
      <c r="L340" s="1124"/>
      <c r="M340" s="1132"/>
      <c r="N340" s="1108"/>
      <c r="O340" s="1109"/>
      <c r="P340" s="1109"/>
      <c r="Q340" s="1110"/>
      <c r="R340" s="1110"/>
      <c r="S340" s="1109"/>
      <c r="T340" s="1110"/>
      <c r="U340" s="1124"/>
      <c r="V340" s="1141"/>
      <c r="W340" s="1142"/>
      <c r="X340" s="1110"/>
      <c r="Y340" s="1110"/>
      <c r="Z340" s="1110"/>
      <c r="AA340" s="1110"/>
      <c r="AB340" s="1110"/>
      <c r="AC340" s="1110"/>
      <c r="AD340" s="1149"/>
      <c r="AE340" s="1141"/>
      <c r="AF340" s="1150">
        <f t="shared" si="82"/>
        <v>0</v>
      </c>
      <c r="AG340" s="1160"/>
      <c r="AH340" s="1150"/>
      <c r="AI340" s="1160">
        <f t="shared" si="79"/>
        <v>0</v>
      </c>
      <c r="AJ340" s="1157"/>
      <c r="AK340" s="1161">
        <f t="shared" si="80"/>
        <v>0</v>
      </c>
    </row>
    <row r="341" spans="1:37" ht="21" thickBot="1">
      <c r="A341" s="551"/>
      <c r="B341" s="1112"/>
      <c r="C341" s="1112"/>
      <c r="D341" s="3548"/>
      <c r="E341" s="3546"/>
      <c r="F341" s="1109"/>
      <c r="G341" s="1109"/>
      <c r="H341" s="1110"/>
      <c r="I341" s="1110"/>
      <c r="J341" s="1109"/>
      <c r="K341" s="1110"/>
      <c r="L341" s="1124"/>
      <c r="M341" s="1132"/>
      <c r="N341" s="1108"/>
      <c r="O341" s="1109"/>
      <c r="P341" s="1109"/>
      <c r="Q341" s="1110"/>
      <c r="R341" s="1110"/>
      <c r="S341" s="1109"/>
      <c r="T341" s="1110"/>
      <c r="U341" s="1124"/>
      <c r="V341" s="1141"/>
      <c r="W341" s="1142"/>
      <c r="X341" s="1110"/>
      <c r="Y341" s="1110"/>
      <c r="Z341" s="1110"/>
      <c r="AA341" s="1110"/>
      <c r="AB341" s="1110"/>
      <c r="AC341" s="1110"/>
      <c r="AD341" s="1149"/>
      <c r="AE341" s="1141"/>
      <c r="AF341" s="1150">
        <f t="shared" si="82"/>
        <v>0</v>
      </c>
      <c r="AG341" s="1160"/>
      <c r="AH341" s="1150"/>
      <c r="AI341" s="1160">
        <f t="shared" si="79"/>
        <v>0</v>
      </c>
      <c r="AJ341" s="1157"/>
      <c r="AK341" s="1161">
        <f t="shared" si="80"/>
        <v>0</v>
      </c>
    </row>
    <row r="342" spans="1:37" ht="21" thickBot="1">
      <c r="A342" s="626" t="s">
        <v>151</v>
      </c>
      <c r="B342" s="627"/>
      <c r="C342" s="627"/>
      <c r="D342" s="628"/>
      <c r="E342" s="529">
        <f t="shared" ref="E342:L342" si="84">SUM(E281:E341)</f>
        <v>0</v>
      </c>
      <c r="F342" s="529">
        <f t="shared" si="84"/>
        <v>0</v>
      </c>
      <c r="G342" s="529">
        <f t="shared" si="84"/>
        <v>0</v>
      </c>
      <c r="H342" s="529">
        <f t="shared" si="84"/>
        <v>0</v>
      </c>
      <c r="I342" s="529">
        <f t="shared" si="84"/>
        <v>0</v>
      </c>
      <c r="J342" s="529">
        <f t="shared" si="84"/>
        <v>0</v>
      </c>
      <c r="K342" s="529">
        <f t="shared" si="84"/>
        <v>200</v>
      </c>
      <c r="L342" s="529">
        <f t="shared" si="84"/>
        <v>220</v>
      </c>
      <c r="M342" s="693">
        <f>SUM(M283:M309)</f>
        <v>0</v>
      </c>
      <c r="N342" s="529">
        <f t="shared" ref="N342:U342" si="85">SUM(N281:N341)</f>
        <v>0</v>
      </c>
      <c r="O342" s="529">
        <f t="shared" si="85"/>
        <v>40</v>
      </c>
      <c r="P342" s="529">
        <f t="shared" si="85"/>
        <v>120</v>
      </c>
      <c r="Q342" s="529">
        <f t="shared" si="85"/>
        <v>0</v>
      </c>
      <c r="R342" s="529">
        <f t="shared" si="85"/>
        <v>0</v>
      </c>
      <c r="S342" s="529">
        <f t="shared" si="85"/>
        <v>40</v>
      </c>
      <c r="T342" s="529">
        <f t="shared" si="85"/>
        <v>0</v>
      </c>
      <c r="U342" s="529">
        <f t="shared" si="85"/>
        <v>0</v>
      </c>
      <c r="V342" s="3556">
        <f>SUM(V283:V309)</f>
        <v>0</v>
      </c>
      <c r="W342" s="529">
        <f t="shared" ref="W342:AD342" si="86">SUM(W281:W341)</f>
        <v>200</v>
      </c>
      <c r="X342" s="529">
        <f t="shared" si="86"/>
        <v>0</v>
      </c>
      <c r="Y342" s="529">
        <f t="shared" si="86"/>
        <v>0</v>
      </c>
      <c r="Z342" s="529">
        <f t="shared" si="86"/>
        <v>740</v>
      </c>
      <c r="AA342" s="529">
        <f t="shared" si="86"/>
        <v>0</v>
      </c>
      <c r="AB342" s="529">
        <f t="shared" si="86"/>
        <v>0</v>
      </c>
      <c r="AC342" s="529">
        <f t="shared" si="86"/>
        <v>0</v>
      </c>
      <c r="AD342" s="529">
        <f t="shared" si="86"/>
        <v>0</v>
      </c>
      <c r="AE342" s="3556">
        <f>SUM(AE283:AE341)</f>
        <v>0</v>
      </c>
      <c r="AF342" s="693">
        <f t="shared" ref="AF342:AK342" si="87">SUM(AF281:AF341)</f>
        <v>1560</v>
      </c>
      <c r="AG342" s="693">
        <f t="shared" si="87"/>
        <v>0</v>
      </c>
      <c r="AH342" s="693">
        <f t="shared" si="87"/>
        <v>0</v>
      </c>
      <c r="AI342" s="693">
        <f t="shared" si="87"/>
        <v>1560</v>
      </c>
      <c r="AJ342" s="693">
        <f t="shared" si="87"/>
        <v>0</v>
      </c>
      <c r="AK342" s="693">
        <f t="shared" si="87"/>
        <v>1560</v>
      </c>
    </row>
    <row r="343" spans="1:37" ht="21" thickBot="1">
      <c r="A343" s="530" t="s">
        <v>152</v>
      </c>
      <c r="B343" s="531"/>
      <c r="C343" s="531"/>
      <c r="D343" s="630"/>
      <c r="E343" s="533">
        <f>E342/20</f>
        <v>0</v>
      </c>
      <c r="F343" s="534">
        <f t="shared" ref="F343:L343" si="88">F342/20</f>
        <v>0</v>
      </c>
      <c r="G343" s="534">
        <f t="shared" si="88"/>
        <v>0</v>
      </c>
      <c r="H343" s="534">
        <f t="shared" si="88"/>
        <v>0</v>
      </c>
      <c r="I343" s="534">
        <f t="shared" si="88"/>
        <v>0</v>
      </c>
      <c r="J343" s="534">
        <f t="shared" si="88"/>
        <v>0</v>
      </c>
      <c r="K343" s="586">
        <f t="shared" si="88"/>
        <v>10</v>
      </c>
      <c r="L343" s="586">
        <f t="shared" si="88"/>
        <v>11</v>
      </c>
      <c r="M343" s="3554"/>
      <c r="N343" s="576">
        <f>N342/20</f>
        <v>0</v>
      </c>
      <c r="O343" s="577">
        <f t="shared" ref="O343:U343" si="89">O342/20</f>
        <v>2</v>
      </c>
      <c r="P343" s="577">
        <f t="shared" si="89"/>
        <v>6</v>
      </c>
      <c r="Q343" s="577">
        <f t="shared" si="89"/>
        <v>0</v>
      </c>
      <c r="R343" s="577">
        <f t="shared" si="89"/>
        <v>0</v>
      </c>
      <c r="S343" s="577">
        <f t="shared" si="89"/>
        <v>2</v>
      </c>
      <c r="T343" s="577">
        <f t="shared" si="89"/>
        <v>0</v>
      </c>
      <c r="U343" s="586">
        <f t="shared" si="89"/>
        <v>0</v>
      </c>
      <c r="V343" s="3554"/>
      <c r="W343" s="576">
        <f>W342/20</f>
        <v>10</v>
      </c>
      <c r="X343" s="577">
        <f t="shared" ref="X343:AD343" si="90">X342/20</f>
        <v>0</v>
      </c>
      <c r="Y343" s="577">
        <f t="shared" si="90"/>
        <v>0</v>
      </c>
      <c r="Z343" s="577">
        <f t="shared" si="90"/>
        <v>37</v>
      </c>
      <c r="AA343" s="577">
        <f t="shared" si="90"/>
        <v>0</v>
      </c>
      <c r="AB343" s="577">
        <f t="shared" si="90"/>
        <v>0</v>
      </c>
      <c r="AC343" s="577">
        <f t="shared" si="90"/>
        <v>0</v>
      </c>
      <c r="AD343" s="586">
        <f t="shared" si="90"/>
        <v>0</v>
      </c>
      <c r="AE343" s="3554"/>
      <c r="AF343" s="3553">
        <f>SUM(E343:AD343)</f>
        <v>78</v>
      </c>
      <c r="AG343" s="3551">
        <f>AG342/20</f>
        <v>0</v>
      </c>
      <c r="AH343" s="3551">
        <f>AH342/20</f>
        <v>0</v>
      </c>
      <c r="AI343" s="3554">
        <f>AI342/20</f>
        <v>78</v>
      </c>
      <c r="AJ343" s="3551">
        <f>AJ342/20</f>
        <v>0</v>
      </c>
      <c r="AK343" s="3555">
        <f>AK342/20</f>
        <v>78</v>
      </c>
    </row>
    <row r="344" spans="1:37" ht="19.5" thickBot="1">
      <c r="A344" s="306"/>
      <c r="B344" s="307"/>
      <c r="C344" s="307"/>
      <c r="D344" s="308"/>
      <c r="E344" s="309"/>
      <c r="F344" s="309"/>
      <c r="G344" s="309"/>
      <c r="H344" s="309"/>
      <c r="I344" s="309"/>
      <c r="J344" s="309"/>
      <c r="K344" s="309"/>
      <c r="L344" s="309"/>
      <c r="M344" s="346"/>
      <c r="N344" s="347"/>
      <c r="O344" s="347"/>
      <c r="P344" s="347"/>
      <c r="Q344" s="347"/>
      <c r="R344" s="347"/>
      <c r="S344" s="347"/>
      <c r="T344" s="347"/>
      <c r="U344" s="347"/>
      <c r="V344" s="346"/>
      <c r="W344" s="347"/>
      <c r="X344" s="347"/>
      <c r="Y344" s="347"/>
      <c r="Z344" s="347"/>
      <c r="AA344" s="347"/>
      <c r="AB344" s="347"/>
      <c r="AC344" s="347"/>
      <c r="AD344" s="347"/>
      <c r="AE344" s="346"/>
      <c r="AF344" s="347"/>
      <c r="AG344" s="347"/>
      <c r="AH344" s="347"/>
      <c r="AI344" s="347"/>
      <c r="AJ344" s="347"/>
      <c r="AK344" s="402"/>
    </row>
    <row r="345" spans="1:37" ht="16.5" thickBot="1">
      <c r="A345" s="3881" t="s">
        <v>183</v>
      </c>
      <c r="B345" s="3882"/>
      <c r="C345" s="3883"/>
      <c r="D345" s="288" t="s">
        <v>70</v>
      </c>
      <c r="E345" s="743" t="s">
        <v>96</v>
      </c>
      <c r="F345" s="744" t="s">
        <v>124</v>
      </c>
      <c r="G345" s="744" t="s">
        <v>228</v>
      </c>
      <c r="H345" s="744" t="s">
        <v>149</v>
      </c>
      <c r="I345" s="744" t="s">
        <v>470</v>
      </c>
      <c r="J345" s="744" t="s">
        <v>92</v>
      </c>
      <c r="K345" s="50" t="s">
        <v>479</v>
      </c>
      <c r="L345" s="783" t="s">
        <v>123</v>
      </c>
      <c r="M345" s="79"/>
      <c r="N345" s="80" t="s">
        <v>71</v>
      </c>
      <c r="O345" s="49" t="s">
        <v>53</v>
      </c>
      <c r="P345" s="49" t="s">
        <v>118</v>
      </c>
      <c r="Q345" s="49" t="s">
        <v>74</v>
      </c>
      <c r="R345" s="49" t="s">
        <v>75</v>
      </c>
      <c r="S345" s="49" t="s">
        <v>94</v>
      </c>
      <c r="T345" s="126" t="s">
        <v>77</v>
      </c>
      <c r="U345" s="171" t="s">
        <v>101</v>
      </c>
      <c r="V345" s="79"/>
      <c r="W345" s="743" t="s">
        <v>71</v>
      </c>
      <c r="X345" s="744" t="s">
        <v>96</v>
      </c>
      <c r="Y345" s="744" t="s">
        <v>118</v>
      </c>
      <c r="Z345" s="744" t="s">
        <v>231</v>
      </c>
      <c r="AA345" s="744" t="s">
        <v>75</v>
      </c>
      <c r="AB345" s="744" t="s">
        <v>53</v>
      </c>
      <c r="AC345" s="744" t="s">
        <v>230</v>
      </c>
      <c r="AD345" s="171" t="s">
        <v>95</v>
      </c>
      <c r="AE345" s="79"/>
      <c r="AF345" s="371" t="s">
        <v>172</v>
      </c>
      <c r="AG345" s="372" t="s">
        <v>80</v>
      </c>
      <c r="AH345" s="385"/>
      <c r="AI345" s="386" t="s">
        <v>106</v>
      </c>
      <c r="AJ345" s="385" t="s">
        <v>173</v>
      </c>
      <c r="AK345" s="371" t="s">
        <v>108</v>
      </c>
    </row>
    <row r="346" spans="1:37" ht="20.25">
      <c r="A346" s="631"/>
      <c r="B346" s="443"/>
      <c r="C346" s="443"/>
      <c r="D346" s="444"/>
      <c r="E346" s="433"/>
      <c r="F346" s="434"/>
      <c r="G346" s="434"/>
      <c r="H346" s="435"/>
      <c r="I346" s="435"/>
      <c r="J346" s="434"/>
      <c r="K346" s="480"/>
      <c r="L346" s="492"/>
      <c r="M346" s="483"/>
      <c r="N346" s="484"/>
      <c r="O346" s="435"/>
      <c r="P346" s="435"/>
      <c r="Q346" s="435"/>
      <c r="R346" s="435"/>
      <c r="S346" s="435"/>
      <c r="T346" s="435"/>
      <c r="U346" s="492"/>
      <c r="V346" s="483"/>
      <c r="W346" s="433"/>
      <c r="X346" s="434"/>
      <c r="Y346" s="434"/>
      <c r="Z346" s="435"/>
      <c r="AA346" s="435"/>
      <c r="AB346" s="435"/>
      <c r="AC346" s="434"/>
      <c r="AD346" s="495"/>
      <c r="AE346" s="483"/>
      <c r="AF346" s="496">
        <f t="shared" ref="AF346:AF347" si="91">SUM(E346:AD346)</f>
        <v>0</v>
      </c>
      <c r="AG346" s="497"/>
      <c r="AH346" s="510"/>
      <c r="AI346" s="511">
        <f t="shared" ref="AI346:AI347" si="92">AF346+AG346</f>
        <v>0</v>
      </c>
      <c r="AJ346" s="512"/>
      <c r="AK346" s="513">
        <f>AI346+AJ346</f>
        <v>0</v>
      </c>
    </row>
    <row r="347" spans="1:37" ht="21" thickBot="1">
      <c r="A347" s="322"/>
      <c r="B347" s="323"/>
      <c r="C347" s="323"/>
      <c r="D347" s="324"/>
      <c r="E347" s="325"/>
      <c r="F347" s="297"/>
      <c r="G347" s="297"/>
      <c r="H347" s="298"/>
      <c r="I347" s="298"/>
      <c r="J347" s="297"/>
      <c r="K347" s="344"/>
      <c r="L347" s="344"/>
      <c r="M347" s="355"/>
      <c r="N347" s="343"/>
      <c r="O347" s="298"/>
      <c r="P347" s="298"/>
      <c r="Q347" s="298"/>
      <c r="R347" s="298"/>
      <c r="S347" s="298"/>
      <c r="T347" s="298"/>
      <c r="U347" s="367"/>
      <c r="V347" s="355"/>
      <c r="W347" s="325"/>
      <c r="X347" s="297"/>
      <c r="Y347" s="297"/>
      <c r="Z347" s="298"/>
      <c r="AA347" s="298"/>
      <c r="AB347" s="298"/>
      <c r="AC347" s="297"/>
      <c r="AD347" s="375"/>
      <c r="AE347" s="355"/>
      <c r="AF347" s="377">
        <f t="shared" si="91"/>
        <v>0</v>
      </c>
      <c r="AG347" s="377"/>
      <c r="AH347" s="390"/>
      <c r="AI347" s="507">
        <f t="shared" si="92"/>
        <v>0</v>
      </c>
      <c r="AJ347" s="412"/>
      <c r="AK347" s="508">
        <f t="shared" ref="AK347" si="93">AI347+AJ347</f>
        <v>0</v>
      </c>
    </row>
    <row r="348" spans="1:37" ht="21" thickBot="1">
      <c r="A348" s="436"/>
      <c r="B348" s="437"/>
      <c r="C348" s="437"/>
      <c r="D348" s="438"/>
      <c r="E348" s="439">
        <f t="shared" ref="E348:L348" si="94">SUM(E346:E347)</f>
        <v>0</v>
      </c>
      <c r="F348" s="440">
        <f t="shared" si="94"/>
        <v>0</v>
      </c>
      <c r="G348" s="440">
        <f t="shared" si="94"/>
        <v>0</v>
      </c>
      <c r="H348" s="440">
        <f t="shared" si="94"/>
        <v>0</v>
      </c>
      <c r="I348" s="440">
        <f t="shared" si="94"/>
        <v>0</v>
      </c>
      <c r="J348" s="440">
        <f t="shared" si="94"/>
        <v>0</v>
      </c>
      <c r="K348" s="481">
        <f t="shared" si="94"/>
        <v>0</v>
      </c>
      <c r="L348" s="481">
        <f t="shared" si="94"/>
        <v>0</v>
      </c>
      <c r="M348" s="482"/>
      <c r="N348" s="439">
        <f t="shared" ref="N348:U348" si="95">SUM(N346:N347)</f>
        <v>0</v>
      </c>
      <c r="O348" s="440">
        <f t="shared" si="95"/>
        <v>0</v>
      </c>
      <c r="P348" s="440">
        <f t="shared" si="95"/>
        <v>0</v>
      </c>
      <c r="Q348" s="440">
        <f t="shared" si="95"/>
        <v>0</v>
      </c>
      <c r="R348" s="440">
        <f t="shared" si="95"/>
        <v>0</v>
      </c>
      <c r="S348" s="440">
        <f t="shared" si="95"/>
        <v>0</v>
      </c>
      <c r="T348" s="440">
        <f t="shared" si="95"/>
        <v>0</v>
      </c>
      <c r="U348" s="481">
        <f t="shared" si="95"/>
        <v>0</v>
      </c>
      <c r="V348" s="482"/>
      <c r="W348" s="439">
        <f t="shared" ref="W348:AD348" si="96">SUM(W346:W347)</f>
        <v>0</v>
      </c>
      <c r="X348" s="440">
        <f t="shared" si="96"/>
        <v>0</v>
      </c>
      <c r="Y348" s="440">
        <f t="shared" si="96"/>
        <v>0</v>
      </c>
      <c r="Z348" s="440">
        <f t="shared" si="96"/>
        <v>0</v>
      </c>
      <c r="AA348" s="440">
        <f t="shared" si="96"/>
        <v>0</v>
      </c>
      <c r="AB348" s="440">
        <f t="shared" si="96"/>
        <v>0</v>
      </c>
      <c r="AC348" s="440">
        <f t="shared" si="96"/>
        <v>0</v>
      </c>
      <c r="AD348" s="481">
        <f t="shared" si="96"/>
        <v>0</v>
      </c>
      <c r="AE348" s="482"/>
      <c r="AF348" s="494">
        <f>SUM(AF346:AF347)</f>
        <v>0</v>
      </c>
      <c r="AG348" s="494">
        <f>SUM(AG346:AG347)</f>
        <v>0</v>
      </c>
      <c r="AH348" s="509"/>
      <c r="AI348" s="514">
        <f>SUM(AI346:AI347)</f>
        <v>0</v>
      </c>
      <c r="AJ348" s="494">
        <f>SUM(AJ346:AJ347)</f>
        <v>0</v>
      </c>
      <c r="AK348" s="515">
        <f>SUM(AK346:AK347)</f>
        <v>0</v>
      </c>
    </row>
    <row r="349" spans="1:37" ht="19.5" thickBot="1">
      <c r="A349" s="1118"/>
      <c r="B349" s="1119"/>
      <c r="C349" s="1119"/>
      <c r="D349" s="1120"/>
      <c r="E349" s="1121"/>
      <c r="F349" s="1121"/>
      <c r="G349" s="1121"/>
      <c r="H349" s="1121"/>
      <c r="I349" s="1121"/>
      <c r="J349" s="1121"/>
      <c r="K349" s="1121"/>
      <c r="L349" s="1121"/>
      <c r="M349" s="1133"/>
      <c r="N349" s="1134"/>
      <c r="O349" s="1134"/>
      <c r="P349" s="1134"/>
      <c r="Q349" s="1134"/>
      <c r="R349" s="1134"/>
      <c r="S349" s="1134"/>
      <c r="T349" s="1134"/>
      <c r="U349" s="1134"/>
      <c r="V349" s="1133"/>
      <c r="W349" s="1134"/>
      <c r="X349" s="1134"/>
      <c r="Y349" s="1134"/>
      <c r="Z349" s="1134"/>
      <c r="AA349" s="1134"/>
      <c r="AB349" s="1134"/>
      <c r="AC349" s="1134"/>
      <c r="AD349" s="1134"/>
      <c r="AE349" s="1133"/>
      <c r="AF349" s="1134"/>
      <c r="AG349" s="1134"/>
      <c r="AH349" s="1162"/>
      <c r="AI349" s="1134"/>
      <c r="AJ349" s="1134"/>
      <c r="AK349" s="1163"/>
    </row>
    <row r="350" spans="1:37" ht="20.25">
      <c r="A350" s="122"/>
      <c r="B350" s="632"/>
      <c r="C350" s="632"/>
      <c r="D350" s="122"/>
      <c r="E350" s="3901"/>
      <c r="F350" s="3901"/>
      <c r="G350" s="3901"/>
      <c r="H350" s="3901"/>
      <c r="I350" s="3901"/>
      <c r="J350" s="3901"/>
      <c r="K350" s="3901"/>
      <c r="L350" s="3901"/>
      <c r="M350" s="3557"/>
      <c r="N350" s="3902"/>
      <c r="O350" s="3902"/>
      <c r="P350" s="3902"/>
      <c r="Q350" s="3902"/>
      <c r="R350" s="3902"/>
      <c r="S350" s="3902"/>
      <c r="T350" s="3902"/>
      <c r="U350" s="3902"/>
      <c r="V350" s="3558"/>
      <c r="W350" s="3903"/>
      <c r="X350" s="3903"/>
      <c r="Y350" s="3903"/>
      <c r="Z350" s="3903"/>
      <c r="AA350" s="3903"/>
      <c r="AB350" s="3903"/>
      <c r="AC350" s="3903"/>
      <c r="AD350" s="3903"/>
      <c r="AE350" s="688"/>
      <c r="AF350" s="689"/>
      <c r="AG350" s="3559"/>
      <c r="AH350" s="3559"/>
      <c r="AI350" s="689"/>
      <c r="AJ350" s="689"/>
      <c r="AK350" s="704"/>
    </row>
    <row r="351" spans="1:37" ht="15.75" thickBot="1">
      <c r="A351" s="634"/>
      <c r="B351" s="635"/>
      <c r="C351" s="635"/>
      <c r="D351" s="634"/>
      <c r="E351" s="634"/>
      <c r="F351" s="634"/>
      <c r="G351" s="634"/>
      <c r="H351" s="634"/>
      <c r="I351" s="634"/>
      <c r="J351" s="634"/>
      <c r="K351" s="634"/>
      <c r="L351" s="634"/>
      <c r="M351" s="634"/>
      <c r="N351" s="634"/>
      <c r="O351" s="634"/>
      <c r="P351" s="634"/>
      <c r="Q351" s="634"/>
      <c r="R351" s="634"/>
      <c r="S351" s="634"/>
      <c r="T351" s="634"/>
      <c r="U351" s="634"/>
      <c r="V351" s="634"/>
      <c r="W351" s="634"/>
      <c r="X351" s="634"/>
      <c r="Y351" s="634"/>
      <c r="Z351" s="634"/>
      <c r="AA351" s="634"/>
      <c r="AB351" s="634"/>
      <c r="AC351" s="690"/>
      <c r="AD351" s="690"/>
      <c r="AE351" s="690"/>
      <c r="AF351" s="690"/>
      <c r="AG351" s="634"/>
      <c r="AH351" s="634"/>
      <c r="AI351" s="634"/>
      <c r="AJ351" s="634"/>
      <c r="AK351" s="634"/>
    </row>
    <row r="352" spans="1:37" ht="21" thickBot="1">
      <c r="A352" s="636" t="s">
        <v>185</v>
      </c>
      <c r="B352" s="637"/>
      <c r="C352" s="637"/>
      <c r="D352" s="638"/>
      <c r="E352" s="529">
        <f t="shared" ref="E352:L352" si="97">E276-E342+E348</f>
        <v>120</v>
      </c>
      <c r="F352" s="639">
        <f t="shared" si="97"/>
        <v>0</v>
      </c>
      <c r="G352" s="639">
        <f t="shared" si="97"/>
        <v>0</v>
      </c>
      <c r="H352" s="639">
        <f t="shared" si="97"/>
        <v>0</v>
      </c>
      <c r="I352" s="639">
        <f t="shared" si="97"/>
        <v>0</v>
      </c>
      <c r="J352" s="639">
        <f t="shared" si="97"/>
        <v>0</v>
      </c>
      <c r="K352" s="664">
        <f t="shared" si="97"/>
        <v>1600</v>
      </c>
      <c r="L352" s="664">
        <f t="shared" si="97"/>
        <v>120</v>
      </c>
      <c r="M352" s="3556"/>
      <c r="N352" s="665">
        <f t="shared" ref="N352:U352" si="98">N276-N342+N348</f>
        <v>0</v>
      </c>
      <c r="O352" s="666">
        <f t="shared" si="98"/>
        <v>-40</v>
      </c>
      <c r="P352" s="666">
        <f t="shared" si="98"/>
        <v>0</v>
      </c>
      <c r="Q352" s="666">
        <f t="shared" si="98"/>
        <v>0</v>
      </c>
      <c r="R352" s="666">
        <f t="shared" si="98"/>
        <v>1440</v>
      </c>
      <c r="S352" s="666">
        <f t="shared" si="98"/>
        <v>-40</v>
      </c>
      <c r="T352" s="666">
        <f t="shared" si="98"/>
        <v>0</v>
      </c>
      <c r="U352" s="674">
        <f t="shared" si="98"/>
        <v>0</v>
      </c>
      <c r="V352" s="3556"/>
      <c r="W352" s="665">
        <f t="shared" ref="W352:AD352" si="99">W276-W342+W348</f>
        <v>1560</v>
      </c>
      <c r="X352" s="666">
        <f t="shared" si="99"/>
        <v>0</v>
      </c>
      <c r="Y352" s="666">
        <f t="shared" si="99"/>
        <v>0</v>
      </c>
      <c r="Z352" s="666">
        <f t="shared" si="99"/>
        <v>1360</v>
      </c>
      <c r="AA352" s="666">
        <f t="shared" si="99"/>
        <v>0</v>
      </c>
      <c r="AB352" s="666">
        <f t="shared" si="99"/>
        <v>0</v>
      </c>
      <c r="AC352" s="666">
        <f t="shared" si="99"/>
        <v>0</v>
      </c>
      <c r="AD352" s="674">
        <f t="shared" si="99"/>
        <v>0</v>
      </c>
      <c r="AE352" s="691"/>
      <c r="AF352" s="529">
        <f>AF276-AF342+AF348</f>
        <v>6120</v>
      </c>
      <c r="AG352" s="3775">
        <f>AG276-AG342-AH342+AG348</f>
        <v>19</v>
      </c>
      <c r="AH352" s="3884"/>
      <c r="AI352" s="529">
        <f>AI276-AI342+AI348</f>
        <v>6139</v>
      </c>
      <c r="AJ352" s="529">
        <f>AJ276-AJ342+AJ348</f>
        <v>131</v>
      </c>
      <c r="AK352" s="693">
        <f>AK276-AK342+AK348</f>
        <v>6270</v>
      </c>
    </row>
    <row r="353" spans="1:37" ht="21" thickBot="1">
      <c r="A353" s="640" t="s">
        <v>152</v>
      </c>
      <c r="B353" s="641"/>
      <c r="C353" s="641"/>
      <c r="D353" s="642"/>
      <c r="E353" s="529">
        <f>E352/20</f>
        <v>6</v>
      </c>
      <c r="F353" s="639">
        <f t="shared" ref="F353:L353" si="100">F352/20</f>
        <v>0</v>
      </c>
      <c r="G353" s="639">
        <f t="shared" si="100"/>
        <v>0</v>
      </c>
      <c r="H353" s="639">
        <f t="shared" si="100"/>
        <v>0</v>
      </c>
      <c r="I353" s="639">
        <f t="shared" si="100"/>
        <v>0</v>
      </c>
      <c r="J353" s="639">
        <f t="shared" si="100"/>
        <v>0</v>
      </c>
      <c r="K353" s="1123">
        <f t="shared" si="100"/>
        <v>80</v>
      </c>
      <c r="L353" s="1123">
        <f t="shared" si="100"/>
        <v>6</v>
      </c>
      <c r="M353" s="1135"/>
      <c r="N353" s="1136">
        <f>N352/20</f>
        <v>0</v>
      </c>
      <c r="O353" s="1122">
        <f t="shared" ref="O353:U353" si="101">O352/20</f>
        <v>-2</v>
      </c>
      <c r="P353" s="1122">
        <f t="shared" si="101"/>
        <v>0</v>
      </c>
      <c r="Q353" s="1122">
        <f t="shared" si="101"/>
        <v>0</v>
      </c>
      <c r="R353" s="1122">
        <f t="shared" si="101"/>
        <v>72</v>
      </c>
      <c r="S353" s="1122">
        <f t="shared" si="101"/>
        <v>-2</v>
      </c>
      <c r="T353" s="1122">
        <f t="shared" si="101"/>
        <v>0</v>
      </c>
      <c r="U353" s="1123">
        <f t="shared" si="101"/>
        <v>0</v>
      </c>
      <c r="V353" s="1135"/>
      <c r="W353" s="1136">
        <f>W352/20</f>
        <v>78</v>
      </c>
      <c r="X353" s="1122">
        <f t="shared" ref="X353:AD353" si="102">X352/20</f>
        <v>0</v>
      </c>
      <c r="Y353" s="1122">
        <f t="shared" si="102"/>
        <v>0</v>
      </c>
      <c r="Z353" s="1122">
        <f t="shared" si="102"/>
        <v>68</v>
      </c>
      <c r="AA353" s="1122">
        <f t="shared" si="102"/>
        <v>0</v>
      </c>
      <c r="AB353" s="1122">
        <f t="shared" si="102"/>
        <v>0</v>
      </c>
      <c r="AC353" s="1122">
        <f t="shared" si="102"/>
        <v>0</v>
      </c>
      <c r="AD353" s="1123">
        <f t="shared" si="102"/>
        <v>0</v>
      </c>
      <c r="AE353" s="692"/>
      <c r="AF353" s="693">
        <f>AF352/20</f>
        <v>306</v>
      </c>
      <c r="AG353" s="3775">
        <f>AG352/20</f>
        <v>0.95</v>
      </c>
      <c r="AH353" s="3884"/>
      <c r="AI353" s="693">
        <f t="shared" ref="AI353:AK353" si="103">AI352/20</f>
        <v>306.95</v>
      </c>
      <c r="AJ353" s="3556">
        <f t="shared" si="103"/>
        <v>6.55</v>
      </c>
      <c r="AK353" s="706">
        <f t="shared" si="103"/>
        <v>313.5</v>
      </c>
    </row>
    <row r="354" spans="1:37" ht="21" thickBot="1">
      <c r="A354" s="643" t="s">
        <v>156</v>
      </c>
      <c r="B354" s="644"/>
      <c r="C354" s="644"/>
      <c r="D354" s="645"/>
      <c r="E354" s="3897">
        <f>SUM(E353:L353)</f>
        <v>92</v>
      </c>
      <c r="F354" s="3898"/>
      <c r="G354" s="3898"/>
      <c r="H354" s="3898"/>
      <c r="I354" s="3898"/>
      <c r="J354" s="3898"/>
      <c r="K354" s="3898"/>
      <c r="L354" s="3899"/>
      <c r="M354" s="667"/>
      <c r="N354" s="3778">
        <f>SUM(N353:U353)</f>
        <v>68</v>
      </c>
      <c r="O354" s="3779"/>
      <c r="P354" s="3779"/>
      <c r="Q354" s="3779"/>
      <c r="R354" s="3779"/>
      <c r="S354" s="3779"/>
      <c r="T354" s="3779"/>
      <c r="U354" s="3780"/>
      <c r="V354" s="675"/>
      <c r="W354" s="3778">
        <f>SUM(W353:AD353)</f>
        <v>146</v>
      </c>
      <c r="X354" s="3779"/>
      <c r="Y354" s="3779"/>
      <c r="Z354" s="3779"/>
      <c r="AA354" s="3779"/>
      <c r="AB354" s="3779"/>
      <c r="AC354" s="3779"/>
      <c r="AD354" s="3780"/>
      <c r="AE354" s="694"/>
      <c r="AF354" s="694"/>
      <c r="AG354" s="694"/>
      <c r="AH354" s="694"/>
      <c r="AI354" s="694"/>
      <c r="AJ354" s="694"/>
      <c r="AK354" s="707"/>
    </row>
    <row r="355" spans="1:37" ht="21" thickBot="1">
      <c r="A355" s="646" t="s">
        <v>157</v>
      </c>
      <c r="B355" s="647"/>
      <c r="C355" s="647"/>
      <c r="D355" s="648"/>
      <c r="E355" s="3875">
        <f>SUM(E352:L352)</f>
        <v>1840</v>
      </c>
      <c r="F355" s="3876"/>
      <c r="G355" s="3876"/>
      <c r="H355" s="3876"/>
      <c r="I355" s="3876"/>
      <c r="J355" s="3876"/>
      <c r="K355" s="3876"/>
      <c r="L355" s="3900"/>
      <c r="M355" s="669"/>
      <c r="N355" s="3877">
        <f>SUM(N352:U352)</f>
        <v>1360</v>
      </c>
      <c r="O355" s="3878"/>
      <c r="P355" s="3878"/>
      <c r="Q355" s="3878"/>
      <c r="R355" s="3878"/>
      <c r="S355" s="3878"/>
      <c r="T355" s="3878"/>
      <c r="U355" s="3879"/>
      <c r="V355" s="676"/>
      <c r="W355" s="3781">
        <f>SUM(W352:AD352)</f>
        <v>2920</v>
      </c>
      <c r="X355" s="3788"/>
      <c r="Y355" s="3788"/>
      <c r="Z355" s="3788"/>
      <c r="AA355" s="3788"/>
      <c r="AB355" s="3788"/>
      <c r="AC355" s="3788"/>
      <c r="AD355" s="3880"/>
      <c r="AE355" s="688"/>
      <c r="AF355" s="689"/>
      <c r="AG355" s="3559"/>
      <c r="AH355" s="3559"/>
      <c r="AI355" s="689"/>
      <c r="AJ355" s="689"/>
      <c r="AK355" s="704"/>
    </row>
    <row r="356" spans="1:37">
      <c r="A356" s="634"/>
      <c r="B356" s="635"/>
      <c r="C356" s="635"/>
      <c r="D356" s="649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4"/>
      <c r="P356" s="634"/>
      <c r="Q356" s="634"/>
      <c r="R356" s="634"/>
      <c r="S356" s="634"/>
      <c r="T356" s="634"/>
      <c r="U356" s="634"/>
      <c r="V356" s="634"/>
      <c r="W356" s="634"/>
      <c r="X356" s="634"/>
      <c r="Y356" s="634"/>
      <c r="Z356" s="634"/>
      <c r="AA356" s="634"/>
      <c r="AB356" s="634"/>
      <c r="AC356" s="690"/>
      <c r="AD356" s="690"/>
      <c r="AE356" s="690"/>
      <c r="AF356" s="690"/>
      <c r="AG356" s="634"/>
      <c r="AH356" s="634"/>
      <c r="AI356" s="634"/>
      <c r="AJ356" s="634"/>
      <c r="AK356" s="634"/>
    </row>
    <row r="357" spans="1:37" ht="21" thickBot="1">
      <c r="A357" s="650"/>
      <c r="B357" s="651"/>
      <c r="C357" s="651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50"/>
      <c r="T357" s="650"/>
      <c r="U357" s="650"/>
      <c r="V357" s="650"/>
      <c r="W357" s="650"/>
      <c r="X357" s="650"/>
      <c r="Y357" s="650"/>
      <c r="Z357" s="650"/>
      <c r="AA357" s="650"/>
      <c r="AB357" s="650"/>
      <c r="AC357" s="650"/>
      <c r="AD357" s="650"/>
      <c r="AE357" s="650"/>
      <c r="AF357" s="650"/>
      <c r="AG357" s="650"/>
      <c r="AH357" s="650"/>
      <c r="AI357" s="650"/>
      <c r="AJ357" s="650"/>
      <c r="AK357" s="650"/>
    </row>
    <row r="358" spans="1:37" ht="27.75" thickBot="1">
      <c r="A358" s="634"/>
      <c r="B358" s="635"/>
      <c r="C358" s="635"/>
      <c r="D358" s="634"/>
      <c r="E358" s="634"/>
      <c r="F358" s="634"/>
      <c r="G358" s="634"/>
      <c r="H358" s="634"/>
      <c r="I358" s="634"/>
      <c r="J358" s="634"/>
      <c r="K358" s="634"/>
      <c r="L358" s="634"/>
      <c r="M358" s="634"/>
      <c r="N358" s="634"/>
      <c r="O358" s="634"/>
      <c r="P358" s="634"/>
      <c r="Q358" s="634"/>
      <c r="R358" s="634"/>
      <c r="S358" s="634"/>
      <c r="T358" s="634"/>
      <c r="U358" s="634"/>
      <c r="V358" s="634"/>
      <c r="W358" s="634"/>
      <c r="X358" s="677"/>
      <c r="Y358" s="3857" t="s">
        <v>158</v>
      </c>
      <c r="Z358" s="3858"/>
      <c r="AA358" s="3858"/>
      <c r="AB358" s="3858"/>
      <c r="AC358" s="3859"/>
      <c r="AD358" s="3802">
        <f>'BIG CHAIR'!CI325</f>
        <v>0</v>
      </c>
      <c r="AE358" s="3803"/>
      <c r="AF358" s="3804"/>
      <c r="AG358" s="634"/>
      <c r="AH358" s="634"/>
      <c r="AI358" s="634"/>
      <c r="AJ358" s="634"/>
      <c r="AK358" s="634"/>
    </row>
    <row r="359" spans="1:37" ht="27.75" thickBot="1">
      <c r="A359" s="634"/>
      <c r="B359" s="635"/>
      <c r="C359" s="635"/>
      <c r="D359" s="634"/>
      <c r="E359" s="634"/>
      <c r="F359" s="634"/>
      <c r="G359" s="634"/>
      <c r="H359" s="634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34"/>
      <c r="X359" s="677"/>
      <c r="Y359" s="3905" t="s">
        <v>159</v>
      </c>
      <c r="Z359" s="3826"/>
      <c r="AA359" s="3826"/>
      <c r="AB359" s="3826"/>
      <c r="AC359" s="3906"/>
      <c r="AD359" s="3872">
        <f>AF352</f>
        <v>6120</v>
      </c>
      <c r="AE359" s="3803"/>
      <c r="AF359" s="3804"/>
      <c r="AG359" s="634"/>
      <c r="AH359" s="634"/>
      <c r="AI359" s="634"/>
      <c r="AJ359" s="634"/>
      <c r="AK359" s="708"/>
    </row>
    <row r="360" spans="1:37" ht="27.75" thickBot="1">
      <c r="A360" s="634"/>
      <c r="B360" s="635"/>
      <c r="C360" s="635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4"/>
      <c r="S360" s="634"/>
      <c r="T360" s="634"/>
      <c r="U360" s="634"/>
      <c r="V360" s="634"/>
      <c r="W360" s="634"/>
      <c r="X360" s="677"/>
      <c r="Y360" s="3857" t="s">
        <v>160</v>
      </c>
      <c r="Z360" s="3858"/>
      <c r="AA360" s="3858"/>
      <c r="AB360" s="3858"/>
      <c r="AC360" s="3859"/>
      <c r="AD360" s="3802">
        <f>'BIG CHAIR'!CJ325</f>
        <v>0</v>
      </c>
      <c r="AE360" s="3803"/>
      <c r="AF360" s="3804"/>
      <c r="AG360" s="634"/>
      <c r="AH360" s="634"/>
      <c r="AI360" s="634"/>
      <c r="AJ360" s="634"/>
      <c r="AK360" s="634"/>
    </row>
    <row r="361" spans="1:37" ht="27.75" thickBot="1">
      <c r="A361" s="634"/>
      <c r="B361" s="635"/>
      <c r="C361" s="635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4"/>
      <c r="P361" s="634"/>
      <c r="Q361" s="634"/>
      <c r="R361" s="634"/>
      <c r="S361" s="634"/>
      <c r="T361" s="634"/>
      <c r="U361" s="634"/>
      <c r="V361" s="634"/>
      <c r="W361" s="634"/>
      <c r="X361" s="677"/>
      <c r="Y361" s="3857" t="s">
        <v>161</v>
      </c>
      <c r="Z361" s="3858"/>
      <c r="AA361" s="3858"/>
      <c r="AB361" s="3858"/>
      <c r="AC361" s="3858"/>
      <c r="AD361" s="3872">
        <f>AG352</f>
        <v>19</v>
      </c>
      <c r="AE361" s="3803"/>
      <c r="AF361" s="3804"/>
      <c r="AG361" s="634"/>
      <c r="AH361" s="634"/>
      <c r="AI361" s="634"/>
      <c r="AJ361" s="634"/>
      <c r="AK361" s="634"/>
    </row>
    <row r="362" spans="1:37" ht="27.75" thickBot="1">
      <c r="A362" s="634"/>
      <c r="B362" s="635"/>
      <c r="C362" s="635"/>
      <c r="D362" s="634"/>
      <c r="E362" s="634"/>
      <c r="F362" s="634"/>
      <c r="G362" s="634"/>
      <c r="H362" s="634"/>
      <c r="I362" s="634"/>
      <c r="J362" s="634"/>
      <c r="K362" s="634"/>
      <c r="L362" s="634"/>
      <c r="M362" s="634"/>
      <c r="N362" s="634"/>
      <c r="O362" s="634"/>
      <c r="P362" s="634"/>
      <c r="Q362" s="634"/>
      <c r="R362" s="634"/>
      <c r="S362" s="634"/>
      <c r="T362" s="634"/>
      <c r="U362" s="634"/>
      <c r="V362" s="634"/>
      <c r="W362" s="634"/>
      <c r="X362" s="677"/>
      <c r="Y362" s="3857" t="s">
        <v>162</v>
      </c>
      <c r="Z362" s="3858"/>
      <c r="AA362" s="3858"/>
      <c r="AB362" s="3858"/>
      <c r="AC362" s="3859"/>
      <c r="AD362" s="3802">
        <f>'Tea Table'!U285</f>
        <v>2676</v>
      </c>
      <c r="AE362" s="3803"/>
      <c r="AF362" s="3804"/>
      <c r="AG362" s="634"/>
      <c r="AH362" s="634"/>
      <c r="AI362" s="634"/>
      <c r="AJ362" s="634"/>
      <c r="AK362" s="634"/>
    </row>
    <row r="363" spans="1:37" ht="27.75" thickBot="1">
      <c r="A363" s="634"/>
      <c r="B363" s="635"/>
      <c r="C363" s="635"/>
      <c r="D363" s="634"/>
      <c r="E363" s="634"/>
      <c r="F363" s="634"/>
      <c r="G363" s="634"/>
      <c r="H363" s="634"/>
      <c r="I363" s="634"/>
      <c r="J363" s="634"/>
      <c r="K363" s="634"/>
      <c r="L363" s="634"/>
      <c r="M363" s="634"/>
      <c r="N363" s="634"/>
      <c r="O363" s="634"/>
      <c r="P363" s="634"/>
      <c r="Q363" s="634"/>
      <c r="R363" s="634"/>
      <c r="S363" s="634"/>
      <c r="T363" s="634"/>
      <c r="U363" s="634"/>
      <c r="V363" s="634"/>
      <c r="W363" s="634"/>
      <c r="X363" s="677"/>
      <c r="Y363" s="3860" t="s">
        <v>163</v>
      </c>
      <c r="Z363" s="3861"/>
      <c r="AA363" s="3861"/>
      <c r="AB363" s="3861"/>
      <c r="AC363" s="3862"/>
      <c r="AD363" s="3863">
        <f>'Tea Table'!V285</f>
        <v>29</v>
      </c>
      <c r="AE363" s="3864"/>
      <c r="AF363" s="3865"/>
      <c r="AG363" s="634"/>
      <c r="AH363" s="634"/>
      <c r="AI363" s="634"/>
      <c r="AJ363" s="634"/>
      <c r="AK363" s="634"/>
    </row>
    <row r="364" spans="1:37" ht="28.5" thickTop="1" thickBot="1">
      <c r="A364" s="634"/>
      <c r="B364" s="635"/>
      <c r="C364" s="635"/>
      <c r="D364" s="634"/>
      <c r="E364" s="634"/>
      <c r="F364" s="634"/>
      <c r="G364" s="634"/>
      <c r="H364" s="634"/>
      <c r="I364" s="634"/>
      <c r="J364" s="634"/>
      <c r="K364" s="634"/>
      <c r="L364" s="634"/>
      <c r="M364" s="634"/>
      <c r="N364" s="634"/>
      <c r="O364" s="634"/>
      <c r="P364" s="634"/>
      <c r="Q364" s="634"/>
      <c r="R364" s="634"/>
      <c r="S364" s="634"/>
      <c r="T364" s="634"/>
      <c r="U364" s="634"/>
      <c r="V364" s="634"/>
      <c r="W364" s="634"/>
      <c r="X364" s="677"/>
      <c r="Y364" s="3866"/>
      <c r="Z364" s="3867"/>
      <c r="AA364" s="3867"/>
      <c r="AB364" s="3867"/>
      <c r="AC364" s="3868"/>
      <c r="AD364" s="3869"/>
      <c r="AE364" s="3870"/>
      <c r="AF364" s="3871"/>
      <c r="AG364" s="634"/>
      <c r="AH364" s="634"/>
      <c r="AI364" s="634"/>
      <c r="AJ364" s="634"/>
      <c r="AK364" s="634"/>
    </row>
    <row r="365" spans="1:37" ht="27.75" thickBot="1">
      <c r="A365" s="634"/>
      <c r="B365" s="635"/>
      <c r="C365" s="635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34"/>
      <c r="X365" s="677"/>
      <c r="Y365" s="3857" t="s">
        <v>164</v>
      </c>
      <c r="Z365" s="3858"/>
      <c r="AA365" s="3858"/>
      <c r="AB365" s="3858"/>
      <c r="AC365" s="3859"/>
      <c r="AD365" s="3796">
        <f>SUM(AD358:AF364)</f>
        <v>8844</v>
      </c>
      <c r="AE365" s="3797"/>
      <c r="AF365" s="3798"/>
      <c r="AG365" s="634"/>
      <c r="AH365" s="634"/>
      <c r="AI365" s="634"/>
      <c r="AJ365" s="634"/>
      <c r="AK365" s="634"/>
    </row>
    <row r="366" spans="1:37" ht="27.75" thickBot="1">
      <c r="A366" s="634"/>
      <c r="B366" s="635"/>
      <c r="C366" s="635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4"/>
      <c r="P366" s="634"/>
      <c r="Q366" s="634"/>
      <c r="R366" s="634"/>
      <c r="S366" s="634"/>
      <c r="T366" s="634"/>
      <c r="U366" s="634"/>
      <c r="V366" s="634"/>
      <c r="W366" s="634"/>
      <c r="X366" s="677"/>
      <c r="Y366" s="3857" t="s">
        <v>165</v>
      </c>
      <c r="Z366" s="3858"/>
      <c r="AA366" s="3858"/>
      <c r="AB366" s="3858"/>
      <c r="AC366" s="3859"/>
      <c r="AD366" s="3796">
        <f>AF353+'BIG CHAIR'!CI326+'Tea Table'!U286</f>
        <v>529</v>
      </c>
      <c r="AE366" s="3797"/>
      <c r="AF366" s="3798"/>
      <c r="AG366" s="695"/>
      <c r="AH366" s="695"/>
      <c r="AI366" s="695"/>
      <c r="AJ366" s="634"/>
      <c r="AK366" s="634"/>
    </row>
    <row r="367" spans="1:37">
      <c r="B367" s="652"/>
      <c r="C367" s="652"/>
      <c r="AC367" s="696"/>
      <c r="AD367" s="696"/>
      <c r="AE367" s="696"/>
      <c r="AF367" s="696"/>
    </row>
    <row r="368" spans="1:37">
      <c r="B368" s="652"/>
      <c r="C368" s="652"/>
      <c r="AC368" s="696"/>
      <c r="AD368" s="696"/>
      <c r="AE368" s="696"/>
      <c r="AF368" s="696"/>
    </row>
    <row r="369" spans="2:32">
      <c r="B369" s="652"/>
      <c r="C369" s="652"/>
      <c r="AC369" s="696"/>
      <c r="AD369" s="696"/>
      <c r="AE369" s="696"/>
      <c r="AF369" s="696"/>
    </row>
    <row r="370" spans="2:32">
      <c r="B370" s="652"/>
      <c r="C370" s="652"/>
      <c r="AC370" s="696"/>
      <c r="AD370" s="696"/>
      <c r="AE370" s="696"/>
      <c r="AF370" s="696"/>
    </row>
    <row r="371" spans="2:32">
      <c r="B371" s="652"/>
      <c r="C371" s="652"/>
      <c r="AC371" s="696"/>
      <c r="AD371" s="696"/>
      <c r="AE371" s="696"/>
      <c r="AF371" s="696"/>
    </row>
    <row r="372" spans="2:32">
      <c r="B372" s="652"/>
      <c r="C372" s="652"/>
      <c r="AC372" s="696"/>
      <c r="AD372" s="696"/>
      <c r="AE372" s="696"/>
      <c r="AF372" s="696"/>
    </row>
    <row r="373" spans="2:32">
      <c r="B373" s="652"/>
      <c r="C373" s="652"/>
      <c r="AC373" s="696"/>
      <c r="AD373" s="696"/>
      <c r="AE373" s="696"/>
      <c r="AF373" s="696"/>
    </row>
    <row r="374" spans="2:32">
      <c r="B374" s="652"/>
      <c r="C374" s="652"/>
      <c r="AC374" s="696"/>
      <c r="AD374" s="696"/>
      <c r="AE374" s="696"/>
      <c r="AF374" s="696"/>
    </row>
    <row r="375" spans="2:32">
      <c r="B375" s="652"/>
      <c r="C375" s="652"/>
      <c r="AC375" s="696"/>
      <c r="AD375" s="696"/>
      <c r="AE375" s="696"/>
      <c r="AF375" s="696"/>
    </row>
    <row r="376" spans="2:32">
      <c r="B376" s="652"/>
      <c r="C376" s="652"/>
      <c r="AC376" s="696"/>
      <c r="AD376" s="696"/>
      <c r="AE376" s="696"/>
      <c r="AF376" s="696"/>
    </row>
    <row r="377" spans="2:32">
      <c r="B377" s="652"/>
      <c r="C377" s="652"/>
      <c r="AC377" s="696"/>
      <c r="AD377" s="696"/>
      <c r="AE377" s="696"/>
      <c r="AF377" s="696"/>
    </row>
    <row r="378" spans="2:32">
      <c r="B378" s="652"/>
      <c r="C378" s="652"/>
      <c r="AC378" s="696"/>
      <c r="AD378" s="696"/>
      <c r="AE378" s="696"/>
      <c r="AF378" s="696"/>
    </row>
    <row r="379" spans="2:32">
      <c r="B379" s="652"/>
      <c r="C379" s="652"/>
      <c r="AC379" s="696"/>
      <c r="AD379" s="696"/>
      <c r="AE379" s="696"/>
      <c r="AF379" s="696"/>
    </row>
    <row r="380" spans="2:32">
      <c r="B380" s="652"/>
      <c r="C380" s="652"/>
      <c r="AC380" s="696"/>
      <c r="AD380" s="696"/>
      <c r="AE380" s="696"/>
      <c r="AF380" s="696"/>
    </row>
    <row r="381" spans="2:32">
      <c r="B381" s="652"/>
      <c r="C381" s="652"/>
      <c r="AC381" s="696"/>
      <c r="AD381" s="696"/>
      <c r="AE381" s="696"/>
      <c r="AF381" s="696"/>
    </row>
    <row r="382" spans="2:32">
      <c r="B382" s="652"/>
      <c r="C382" s="652"/>
      <c r="AC382" s="696"/>
      <c r="AD382" s="696"/>
      <c r="AE382" s="696"/>
      <c r="AF382" s="696"/>
    </row>
    <row r="383" spans="2:32">
      <c r="B383" s="652"/>
      <c r="C383" s="652"/>
      <c r="AC383" s="696"/>
      <c r="AD383" s="696"/>
      <c r="AE383" s="696"/>
      <c r="AF383" s="696"/>
    </row>
    <row r="384" spans="2:32">
      <c r="B384" s="652"/>
      <c r="C384" s="652"/>
      <c r="AC384" s="696"/>
      <c r="AD384" s="696"/>
      <c r="AE384" s="696"/>
      <c r="AF384" s="696"/>
    </row>
  </sheetData>
  <mergeCells count="41">
    <mergeCell ref="AF2:AK2"/>
    <mergeCell ref="A278:AK278"/>
    <mergeCell ref="A345:C345"/>
    <mergeCell ref="A2:D2"/>
    <mergeCell ref="E2:L2"/>
    <mergeCell ref="N2:U2"/>
    <mergeCell ref="W2:AD2"/>
    <mergeCell ref="A279:D279"/>
    <mergeCell ref="E279:L279"/>
    <mergeCell ref="N279:U279"/>
    <mergeCell ref="W279:AD279"/>
    <mergeCell ref="AF279:AK279"/>
    <mergeCell ref="AG352:AH352"/>
    <mergeCell ref="AG353:AH353"/>
    <mergeCell ref="E354:L354"/>
    <mergeCell ref="N354:U354"/>
    <mergeCell ref="W354:AD354"/>
    <mergeCell ref="Y359:AC359"/>
    <mergeCell ref="AD359:AF359"/>
    <mergeCell ref="E350:L350"/>
    <mergeCell ref="N350:U350"/>
    <mergeCell ref="W350:AD350"/>
    <mergeCell ref="E355:L355"/>
    <mergeCell ref="N355:U355"/>
    <mergeCell ref="W355:AD355"/>
    <mergeCell ref="Y358:AC358"/>
    <mergeCell ref="AD358:AF358"/>
    <mergeCell ref="Y360:AC360"/>
    <mergeCell ref="AD360:AF360"/>
    <mergeCell ref="Y361:AC361"/>
    <mergeCell ref="AD361:AF361"/>
    <mergeCell ref="Y362:AC362"/>
    <mergeCell ref="AD362:AF362"/>
    <mergeCell ref="Y366:AC366"/>
    <mergeCell ref="AD366:AF366"/>
    <mergeCell ref="Y363:AC363"/>
    <mergeCell ref="AD363:AF363"/>
    <mergeCell ref="Y364:AC364"/>
    <mergeCell ref="AD364:AF364"/>
    <mergeCell ref="Y365:AC365"/>
    <mergeCell ref="AD365:AF365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47"/>
  <sheetViews>
    <sheetView topLeftCell="A137" workbookViewId="0">
      <selection activeCell="H152" sqref="H152"/>
    </sheetView>
  </sheetViews>
  <sheetFormatPr defaultColWidth="9" defaultRowHeight="15"/>
  <cols>
    <col min="1" max="1" width="55.42578125" customWidth="1"/>
    <col min="2" max="2" width="16" style="276" customWidth="1"/>
    <col min="3" max="3" width="14.140625" style="276" customWidth="1"/>
    <col min="4" max="4" width="20.85546875" customWidth="1"/>
    <col min="5" max="10" width="11.5703125" customWidth="1"/>
    <col min="11" max="11" width="18" customWidth="1"/>
    <col min="12" max="12" width="1.42578125" customWidth="1"/>
    <col min="13" max="14" width="13.7109375" customWidth="1"/>
    <col min="15" max="15" width="13.140625" customWidth="1"/>
    <col min="16" max="16" width="15" customWidth="1"/>
    <col min="17" max="19" width="11.5703125" customWidth="1"/>
    <col min="20" max="20" width="17.85546875" bestFit="1" customWidth="1"/>
    <col min="21" max="21" width="1.5703125" customWidth="1"/>
    <col min="22" max="22" width="15.7109375" customWidth="1"/>
    <col min="23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7" thickBot="1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587</v>
      </c>
      <c r="F2" s="3892"/>
      <c r="G2" s="3892"/>
      <c r="H2" s="3892"/>
      <c r="I2" s="3892"/>
      <c r="J2" s="3892"/>
      <c r="K2" s="3904"/>
      <c r="L2" s="336"/>
      <c r="M2" s="3893" t="s">
        <v>588</v>
      </c>
      <c r="N2" s="3894"/>
      <c r="O2" s="3894"/>
      <c r="P2" s="3894"/>
      <c r="Q2" s="3894"/>
      <c r="R2" s="3894"/>
      <c r="S2" s="3894"/>
      <c r="T2" s="3895"/>
      <c r="U2" s="364"/>
      <c r="V2" s="3893" t="s">
        <v>589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721" t="s">
        <v>67</v>
      </c>
      <c r="B3" s="3597" t="s">
        <v>68</v>
      </c>
      <c r="C3" s="288" t="s">
        <v>69</v>
      </c>
      <c r="D3" s="288" t="s">
        <v>70</v>
      </c>
      <c r="E3" s="80" t="s">
        <v>549</v>
      </c>
      <c r="F3" s="49" t="s">
        <v>94</v>
      </c>
      <c r="G3" s="49" t="s">
        <v>53</v>
      </c>
      <c r="H3" s="49" t="s">
        <v>136</v>
      </c>
      <c r="I3" s="49" t="s">
        <v>213</v>
      </c>
      <c r="J3" s="49" t="s">
        <v>206</v>
      </c>
      <c r="K3" s="126" t="s">
        <v>222</v>
      </c>
      <c r="L3" s="79"/>
      <c r="M3" s="80" t="s">
        <v>222</v>
      </c>
      <c r="N3" s="49" t="s">
        <v>136</v>
      </c>
      <c r="O3" s="49" t="s">
        <v>251</v>
      </c>
      <c r="P3" s="49" t="s">
        <v>53</v>
      </c>
      <c r="Q3" s="49" t="s">
        <v>94</v>
      </c>
      <c r="R3" s="49" t="s">
        <v>206</v>
      </c>
      <c r="S3" s="126" t="s">
        <v>101</v>
      </c>
      <c r="T3" s="171" t="s">
        <v>497</v>
      </c>
      <c r="U3" s="79"/>
      <c r="V3" s="172" t="s">
        <v>497</v>
      </c>
      <c r="W3" s="103" t="s">
        <v>97</v>
      </c>
      <c r="X3" s="103" t="s">
        <v>124</v>
      </c>
      <c r="Y3" s="103" t="s">
        <v>206</v>
      </c>
      <c r="Z3" s="103" t="s">
        <v>269</v>
      </c>
      <c r="AA3" s="103" t="s">
        <v>96</v>
      </c>
      <c r="AB3" s="179" t="s">
        <v>92</v>
      </c>
      <c r="AC3" s="180" t="s">
        <v>101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>
        <v>478</v>
      </c>
      <c r="F4" s="293">
        <v>548</v>
      </c>
      <c r="G4" s="293">
        <v>1410</v>
      </c>
      <c r="H4" s="293">
        <v>788</v>
      </c>
      <c r="I4" s="337">
        <v>554</v>
      </c>
      <c r="J4" s="337"/>
      <c r="K4" s="338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>
        <v>309</v>
      </c>
      <c r="W4" s="293"/>
      <c r="X4" s="293">
        <v>337</v>
      </c>
      <c r="Y4" s="337"/>
      <c r="Z4" s="337"/>
      <c r="AA4" s="337">
        <v>145</v>
      </c>
      <c r="AB4" s="293">
        <v>455</v>
      </c>
      <c r="AC4" s="338">
        <v>692</v>
      </c>
      <c r="AD4" s="339"/>
      <c r="AE4" s="373">
        <f>SUM(E4:AC4)</f>
        <v>5716</v>
      </c>
      <c r="AF4" s="374"/>
      <c r="AG4" s="373"/>
      <c r="AH4" s="387">
        <f>AF4+AE4</f>
        <v>5716</v>
      </c>
      <c r="AI4" s="388"/>
      <c r="AJ4" s="389">
        <f t="shared" ref="AJ4:AJ38" si="0">AH4+AI4</f>
        <v>5716</v>
      </c>
    </row>
    <row r="5" spans="1:39" s="283" customFormat="1" ht="21" thickBot="1">
      <c r="A5" s="294" t="s">
        <v>271</v>
      </c>
      <c r="B5" s="2918"/>
      <c r="C5" s="730"/>
      <c r="D5" s="291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8" si="1">SUM(E5:AC5)</f>
        <v>0</v>
      </c>
      <c r="AF5" s="377"/>
      <c r="AG5" s="390"/>
      <c r="AH5" s="391">
        <f t="shared" ref="AH5:AH38" si="2">AE5+AF5</f>
        <v>0</v>
      </c>
      <c r="AI5" s="392"/>
      <c r="AJ5" s="393">
        <f t="shared" si="0"/>
        <v>0</v>
      </c>
      <c r="AK5" s="394"/>
      <c r="AL5" s="54"/>
      <c r="AM5" s="394"/>
    </row>
    <row r="6" spans="1:39" s="283" customFormat="1" ht="21" thickBot="1">
      <c r="A6" s="294" t="s">
        <v>271</v>
      </c>
      <c r="B6" s="729"/>
      <c r="C6" s="730"/>
      <c r="D6" s="2920"/>
      <c r="E6" s="296"/>
      <c r="F6" s="297"/>
      <c r="G6" s="297"/>
      <c r="H6" s="298"/>
      <c r="I6" s="298"/>
      <c r="J6" s="297"/>
      <c r="K6" s="341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1"/>
        <v>0</v>
      </c>
      <c r="AF6" s="377"/>
      <c r="AG6" s="390"/>
      <c r="AH6" s="391">
        <f t="shared" si="2"/>
        <v>0</v>
      </c>
      <c r="AI6" s="392"/>
      <c r="AJ6" s="393">
        <f t="shared" si="0"/>
        <v>0</v>
      </c>
      <c r="AK6" s="394"/>
      <c r="AL6" s="54"/>
      <c r="AM6" s="394"/>
    </row>
    <row r="7" spans="1:39" s="283" customFormat="1" ht="21" thickBot="1">
      <c r="A7" s="294" t="s">
        <v>110</v>
      </c>
      <c r="B7" s="731"/>
      <c r="C7" s="732"/>
      <c r="D7" s="2920"/>
      <c r="E7" s="296"/>
      <c r="F7" s="297"/>
      <c r="G7" s="297"/>
      <c r="H7" s="298"/>
      <c r="I7" s="298"/>
      <c r="J7" s="297"/>
      <c r="K7" s="344"/>
      <c r="L7" s="342"/>
      <c r="M7" s="298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1"/>
        <v>0</v>
      </c>
      <c r="AF7" s="377"/>
      <c r="AG7" s="390"/>
      <c r="AH7" s="391">
        <f t="shared" si="2"/>
        <v>0</v>
      </c>
      <c r="AI7" s="392"/>
      <c r="AJ7" s="393">
        <f t="shared" si="0"/>
        <v>0</v>
      </c>
      <c r="AK7" s="394"/>
      <c r="AL7" s="54"/>
      <c r="AM7" s="394"/>
    </row>
    <row r="8" spans="1:39" s="283" customFormat="1" ht="21" thickBot="1">
      <c r="A8" s="294" t="s">
        <v>110</v>
      </c>
      <c r="B8" s="731"/>
      <c r="C8" s="732"/>
      <c r="D8" s="709"/>
      <c r="E8" s="296"/>
      <c r="F8" s="297"/>
      <c r="G8" s="297"/>
      <c r="H8" s="298"/>
      <c r="I8" s="298"/>
      <c r="J8" s="297"/>
      <c r="K8" s="341"/>
      <c r="L8" s="342"/>
      <c r="M8" s="298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1"/>
        <v>0</v>
      </c>
      <c r="AF8" s="377"/>
      <c r="AG8" s="390"/>
      <c r="AH8" s="391">
        <f t="shared" si="2"/>
        <v>0</v>
      </c>
      <c r="AI8" s="392"/>
      <c r="AJ8" s="393">
        <f t="shared" si="0"/>
        <v>0</v>
      </c>
      <c r="AK8" s="394"/>
      <c r="AL8" s="54"/>
      <c r="AM8" s="394"/>
    </row>
    <row r="9" spans="1:39" s="283" customFormat="1" ht="21" thickBot="1">
      <c r="A9" s="294" t="s">
        <v>110</v>
      </c>
      <c r="B9" s="731"/>
      <c r="C9" s="732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1"/>
        <v>0</v>
      </c>
      <c r="AF9" s="377"/>
      <c r="AG9" s="390"/>
      <c r="AH9" s="391">
        <f t="shared" si="2"/>
        <v>0</v>
      </c>
      <c r="AI9" s="392"/>
      <c r="AJ9" s="393">
        <f t="shared" si="0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731"/>
      <c r="C10" s="732"/>
      <c r="D10" s="300"/>
      <c r="E10" s="296"/>
      <c r="F10" s="297"/>
      <c r="G10" s="297"/>
      <c r="H10" s="298"/>
      <c r="I10" s="298"/>
      <c r="J10" s="297"/>
      <c r="K10" s="344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1"/>
        <v>0</v>
      </c>
      <c r="AF10" s="377"/>
      <c r="AG10" s="390"/>
      <c r="AH10" s="391">
        <f t="shared" si="2"/>
        <v>0</v>
      </c>
      <c r="AI10" s="392"/>
      <c r="AJ10" s="393">
        <f t="shared" si="0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731"/>
      <c r="C11" s="732"/>
      <c r="D11" s="300"/>
      <c r="E11" s="296"/>
      <c r="F11" s="297"/>
      <c r="G11" s="297"/>
      <c r="H11" s="298"/>
      <c r="I11" s="298"/>
      <c r="J11" s="297"/>
      <c r="K11" s="341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1"/>
        <v>0</v>
      </c>
      <c r="AF11" s="377"/>
      <c r="AG11" s="390"/>
      <c r="AH11" s="391">
        <f t="shared" si="2"/>
        <v>0</v>
      </c>
      <c r="AI11" s="392"/>
      <c r="AJ11" s="393">
        <f t="shared" si="0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731"/>
      <c r="C12" s="732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1"/>
        <v>0</v>
      </c>
      <c r="AF12" s="377"/>
      <c r="AG12" s="390"/>
      <c r="AH12" s="391">
        <f t="shared" si="2"/>
        <v>0</v>
      </c>
      <c r="AI12" s="392"/>
      <c r="AJ12" s="393">
        <f t="shared" si="0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731"/>
      <c r="C13" s="732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1"/>
        <v>0</v>
      </c>
      <c r="AF13" s="377"/>
      <c r="AG13" s="390"/>
      <c r="AH13" s="391">
        <f t="shared" si="2"/>
        <v>0</v>
      </c>
      <c r="AI13" s="392"/>
      <c r="AJ13" s="393">
        <f t="shared" si="0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731"/>
      <c r="C14" s="732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1"/>
        <v>0</v>
      </c>
      <c r="AF14" s="377"/>
      <c r="AG14" s="390"/>
      <c r="AH14" s="391">
        <f t="shared" si="2"/>
        <v>0</v>
      </c>
      <c r="AI14" s="392"/>
      <c r="AJ14" s="393">
        <f t="shared" si="0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731"/>
      <c r="C15" s="732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1"/>
        <v>0</v>
      </c>
      <c r="AF15" s="377"/>
      <c r="AG15" s="390"/>
      <c r="AH15" s="391">
        <f t="shared" si="2"/>
        <v>0</v>
      </c>
      <c r="AI15" s="392"/>
      <c r="AJ15" s="393">
        <f t="shared" si="0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731"/>
      <c r="C16" s="732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1"/>
        <v>0</v>
      </c>
      <c r="AF16" s="377"/>
      <c r="AG16" s="390"/>
      <c r="AH16" s="391">
        <f t="shared" si="2"/>
        <v>0</v>
      </c>
      <c r="AI16" s="392"/>
      <c r="AJ16" s="393">
        <f t="shared" si="0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731"/>
      <c r="C17" s="732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1"/>
        <v>0</v>
      </c>
      <c r="AF17" s="377"/>
      <c r="AG17" s="390"/>
      <c r="AH17" s="391">
        <f t="shared" si="2"/>
        <v>0</v>
      </c>
      <c r="AI17" s="392"/>
      <c r="AJ17" s="393">
        <f t="shared" si="0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731"/>
      <c r="C18" s="732"/>
      <c r="D18" s="300"/>
      <c r="E18" s="296"/>
      <c r="F18" s="297"/>
      <c r="G18" s="297"/>
      <c r="H18" s="298"/>
      <c r="I18" s="298"/>
      <c r="J18" s="297"/>
      <c r="K18" s="344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1"/>
        <v>0</v>
      </c>
      <c r="AF18" s="377"/>
      <c r="AG18" s="390"/>
      <c r="AH18" s="391">
        <f t="shared" si="2"/>
        <v>0</v>
      </c>
      <c r="AI18" s="392"/>
      <c r="AJ18" s="393">
        <f t="shared" si="0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731"/>
      <c r="C19" s="732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1"/>
        <v>0</v>
      </c>
      <c r="AF19" s="377"/>
      <c r="AG19" s="390"/>
      <c r="AH19" s="391">
        <f t="shared" si="2"/>
        <v>0</v>
      </c>
      <c r="AI19" s="392"/>
      <c r="AJ19" s="393">
        <f t="shared" si="0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731"/>
      <c r="C20" s="732"/>
      <c r="D20" s="300"/>
      <c r="E20" s="296"/>
      <c r="F20" s="297"/>
      <c r="G20" s="297"/>
      <c r="H20" s="298"/>
      <c r="I20" s="298"/>
      <c r="J20" s="297"/>
      <c r="K20" s="341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1"/>
        <v>0</v>
      </c>
      <c r="AF20" s="377"/>
      <c r="AG20" s="390"/>
      <c r="AH20" s="391">
        <f t="shared" si="2"/>
        <v>0</v>
      </c>
      <c r="AI20" s="392"/>
      <c r="AJ20" s="393">
        <f t="shared" si="0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731"/>
      <c r="C21" s="732"/>
      <c r="D21" s="300"/>
      <c r="E21" s="296"/>
      <c r="F21" s="297"/>
      <c r="G21" s="297"/>
      <c r="H21" s="298"/>
      <c r="I21" s="298"/>
      <c r="J21" s="297"/>
      <c r="K21" s="345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1"/>
        <v>0</v>
      </c>
      <c r="AF21" s="377"/>
      <c r="AG21" s="390"/>
      <c r="AH21" s="391">
        <f t="shared" si="2"/>
        <v>0</v>
      </c>
      <c r="AI21" s="392"/>
      <c r="AJ21" s="393">
        <f t="shared" si="0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731"/>
      <c r="C22" s="732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1"/>
        <v>0</v>
      </c>
      <c r="AF22" s="377"/>
      <c r="AG22" s="390"/>
      <c r="AH22" s="391">
        <f t="shared" si="2"/>
        <v>0</v>
      </c>
      <c r="AI22" s="392"/>
      <c r="AJ22" s="393">
        <f t="shared" si="0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731"/>
      <c r="C23" s="732"/>
      <c r="D23" s="300"/>
      <c r="E23" s="296"/>
      <c r="F23" s="297"/>
      <c r="G23" s="297"/>
      <c r="H23" s="298"/>
      <c r="I23" s="298"/>
      <c r="J23" s="297"/>
      <c r="K23" s="341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1"/>
        <v>0</v>
      </c>
      <c r="AF23" s="377"/>
      <c r="AG23" s="390"/>
      <c r="AH23" s="391">
        <f t="shared" si="2"/>
        <v>0</v>
      </c>
      <c r="AI23" s="392"/>
      <c r="AJ23" s="393">
        <f t="shared" si="0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731"/>
      <c r="C24" s="732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1"/>
        <v>0</v>
      </c>
      <c r="AF24" s="377"/>
      <c r="AG24" s="390"/>
      <c r="AH24" s="391">
        <f t="shared" si="2"/>
        <v>0</v>
      </c>
      <c r="AI24" s="392"/>
      <c r="AJ24" s="393">
        <f t="shared" si="0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731"/>
      <c r="C25" s="732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1"/>
        <v>0</v>
      </c>
      <c r="AF25" s="377"/>
      <c r="AG25" s="390"/>
      <c r="AH25" s="391">
        <f t="shared" si="2"/>
        <v>0</v>
      </c>
      <c r="AI25" s="392"/>
      <c r="AJ25" s="393">
        <f t="shared" si="0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731"/>
      <c r="C26" s="732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1"/>
        <v>0</v>
      </c>
      <c r="AF26" s="377"/>
      <c r="AG26" s="390"/>
      <c r="AH26" s="391">
        <f t="shared" si="2"/>
        <v>0</v>
      </c>
      <c r="AI26" s="392"/>
      <c r="AJ26" s="393">
        <f t="shared" si="0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731"/>
      <c r="C27" s="732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1"/>
        <v>0</v>
      </c>
      <c r="AF27" s="377"/>
      <c r="AG27" s="390"/>
      <c r="AH27" s="391">
        <f t="shared" si="2"/>
        <v>0</v>
      </c>
      <c r="AI27" s="392"/>
      <c r="AJ27" s="393">
        <f t="shared" si="0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731"/>
      <c r="C28" s="732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1"/>
        <v>0</v>
      </c>
      <c r="AF28" s="377"/>
      <c r="AG28" s="390"/>
      <c r="AH28" s="391">
        <f t="shared" si="2"/>
        <v>0</v>
      </c>
      <c r="AI28" s="392"/>
      <c r="AJ28" s="393">
        <f t="shared" si="0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731"/>
      <c r="C29" s="732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1"/>
        <v>0</v>
      </c>
      <c r="AF29" s="377"/>
      <c r="AG29" s="390"/>
      <c r="AH29" s="391">
        <f t="shared" si="2"/>
        <v>0</v>
      </c>
      <c r="AI29" s="392"/>
      <c r="AJ29" s="393">
        <f t="shared" si="0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731"/>
      <c r="C30" s="732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1"/>
        <v>0</v>
      </c>
      <c r="AF30" s="377"/>
      <c r="AG30" s="390"/>
      <c r="AH30" s="391">
        <f t="shared" si="2"/>
        <v>0</v>
      </c>
      <c r="AI30" s="392"/>
      <c r="AJ30" s="393">
        <f t="shared" si="0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731"/>
      <c r="C31" s="732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1"/>
        <v>0</v>
      </c>
      <c r="AF31" s="377"/>
      <c r="AG31" s="390"/>
      <c r="AH31" s="391">
        <f t="shared" si="2"/>
        <v>0</v>
      </c>
      <c r="AI31" s="392"/>
      <c r="AJ31" s="393">
        <f t="shared" si="0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731"/>
      <c r="C32" s="732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1"/>
        <v>0</v>
      </c>
      <c r="AF32" s="377"/>
      <c r="AG32" s="390"/>
      <c r="AH32" s="391">
        <f t="shared" si="2"/>
        <v>0</v>
      </c>
      <c r="AI32" s="392"/>
      <c r="AJ32" s="393">
        <f t="shared" si="0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731"/>
      <c r="C33" s="732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1"/>
        <v>0</v>
      </c>
      <c r="AF33" s="377"/>
      <c r="AG33" s="390"/>
      <c r="AH33" s="391">
        <f t="shared" si="2"/>
        <v>0</v>
      </c>
      <c r="AI33" s="392"/>
      <c r="AJ33" s="393">
        <f t="shared" si="0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731"/>
      <c r="C34" s="732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1"/>
        <v>0</v>
      </c>
      <c r="AF34" s="377"/>
      <c r="AG34" s="390"/>
      <c r="AH34" s="391">
        <f t="shared" si="2"/>
        <v>0</v>
      </c>
      <c r="AI34" s="392"/>
      <c r="AJ34" s="393">
        <f t="shared" si="0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731"/>
      <c r="C35" s="732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1"/>
        <v>0</v>
      </c>
      <c r="AF35" s="377"/>
      <c r="AG35" s="390"/>
      <c r="AH35" s="391">
        <f t="shared" si="2"/>
        <v>0</v>
      </c>
      <c r="AI35" s="392"/>
      <c r="AJ35" s="393">
        <f t="shared" si="0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731"/>
      <c r="C36" s="732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1"/>
        <v>0</v>
      </c>
      <c r="AF36" s="377"/>
      <c r="AG36" s="390"/>
      <c r="AH36" s="391">
        <f t="shared" si="2"/>
        <v>0</v>
      </c>
      <c r="AI36" s="392"/>
      <c r="AJ36" s="393">
        <f t="shared" si="0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731"/>
      <c r="C37" s="732"/>
      <c r="D37" s="300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1"/>
        <v>0</v>
      </c>
      <c r="AF37" s="377"/>
      <c r="AG37" s="390"/>
      <c r="AH37" s="391">
        <f t="shared" si="2"/>
        <v>0</v>
      </c>
      <c r="AI37" s="392"/>
      <c r="AJ37" s="393">
        <f t="shared" si="0"/>
        <v>0</v>
      </c>
      <c r="AK37" s="394"/>
      <c r="AL37" s="54"/>
      <c r="AM37" s="394"/>
    </row>
    <row r="38" spans="1:39" s="283" customFormat="1" ht="21" thickBot="1">
      <c r="A38" s="294" t="s">
        <v>110</v>
      </c>
      <c r="B38" s="2564"/>
      <c r="C38" s="732"/>
      <c r="D38" s="301"/>
      <c r="E38" s="296"/>
      <c r="F38" s="297"/>
      <c r="G38" s="297"/>
      <c r="H38" s="298"/>
      <c r="I38" s="298"/>
      <c r="J38" s="297"/>
      <c r="K38" s="344"/>
      <c r="L38" s="342"/>
      <c r="M38" s="343"/>
      <c r="N38" s="298"/>
      <c r="O38" s="298"/>
      <c r="P38" s="298"/>
      <c r="Q38" s="298"/>
      <c r="R38" s="298"/>
      <c r="S38" s="298"/>
      <c r="T38" s="367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1"/>
        <v>0</v>
      </c>
      <c r="AF38" s="377"/>
      <c r="AG38" s="390"/>
      <c r="AH38" s="391">
        <f t="shared" si="2"/>
        <v>0</v>
      </c>
      <c r="AI38" s="392"/>
      <c r="AJ38" s="395">
        <f t="shared" si="0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9.5" thickBot="1">
      <c r="A39" s="302" t="s">
        <v>175</v>
      </c>
      <c r="B39" s="303"/>
      <c r="C39" s="303"/>
      <c r="D39" s="304"/>
      <c r="E39" s="305">
        <f t="shared" ref="E39:AG39" si="3">SUM(E6:E38)</f>
        <v>0</v>
      </c>
      <c r="F39" s="305">
        <f t="shared" si="3"/>
        <v>0</v>
      </c>
      <c r="G39" s="305">
        <f t="shared" si="3"/>
        <v>0</v>
      </c>
      <c r="H39" s="305">
        <f t="shared" si="3"/>
        <v>0</v>
      </c>
      <c r="I39" s="305">
        <f t="shared" si="3"/>
        <v>0</v>
      </c>
      <c r="J39" s="305">
        <f t="shared" si="3"/>
        <v>0</v>
      </c>
      <c r="K39" s="305">
        <f t="shared" si="3"/>
        <v>0</v>
      </c>
      <c r="L39" s="305">
        <f t="shared" si="3"/>
        <v>0</v>
      </c>
      <c r="M39" s="305">
        <f>SUM(M5:M38)</f>
        <v>0</v>
      </c>
      <c r="N39" s="305">
        <f t="shared" ref="N39:T39" si="4">SUM(N5:N38)</f>
        <v>0</v>
      </c>
      <c r="O39" s="305">
        <f t="shared" si="4"/>
        <v>0</v>
      </c>
      <c r="P39" s="305">
        <f t="shared" si="4"/>
        <v>0</v>
      </c>
      <c r="Q39" s="305">
        <f t="shared" si="4"/>
        <v>0</v>
      </c>
      <c r="R39" s="305">
        <f t="shared" si="4"/>
        <v>0</v>
      </c>
      <c r="S39" s="305">
        <f t="shared" si="4"/>
        <v>0</v>
      </c>
      <c r="T39" s="305">
        <f t="shared" si="4"/>
        <v>0</v>
      </c>
      <c r="U39" s="305">
        <f t="shared" si="3"/>
        <v>0</v>
      </c>
      <c r="V39" s="305">
        <f t="shared" si="3"/>
        <v>0</v>
      </c>
      <c r="W39" s="305">
        <f t="shared" si="3"/>
        <v>0</v>
      </c>
      <c r="X39" s="305">
        <f t="shared" si="3"/>
        <v>0</v>
      </c>
      <c r="Y39" s="305">
        <f t="shared" si="3"/>
        <v>0</v>
      </c>
      <c r="Z39" s="305">
        <f t="shared" si="3"/>
        <v>0</v>
      </c>
      <c r="AA39" s="305">
        <f t="shared" si="3"/>
        <v>0</v>
      </c>
      <c r="AB39" s="305">
        <f t="shared" si="3"/>
        <v>0</v>
      </c>
      <c r="AC39" s="305">
        <f t="shared" si="3"/>
        <v>0</v>
      </c>
      <c r="AD39" s="305">
        <f t="shared" si="3"/>
        <v>0</v>
      </c>
      <c r="AE39" s="305">
        <f>SUM(AE5:AE38)</f>
        <v>0</v>
      </c>
      <c r="AF39" s="305">
        <f>SUM(AF5:AF38)</f>
        <v>0</v>
      </c>
      <c r="AG39" s="305">
        <f t="shared" si="3"/>
        <v>0</v>
      </c>
      <c r="AH39" s="305">
        <f>SUM(AH5:AH38)</f>
        <v>0</v>
      </c>
      <c r="AI39" s="305">
        <f t="shared" ref="AI39:AJ39" si="5">SUM(AI5:AI38)</f>
        <v>0</v>
      </c>
      <c r="AJ39" s="305">
        <f t="shared" si="5"/>
        <v>0</v>
      </c>
      <c r="AK39" s="399">
        <f>'BIG CHAIR'!CL36</f>
        <v>0</v>
      </c>
      <c r="AL39" s="400">
        <f>'Tea Table'!X29</f>
        <v>0</v>
      </c>
      <c r="AM39" s="401">
        <f>AH39+AK39+AL39</f>
        <v>0</v>
      </c>
    </row>
    <row r="40" spans="1:39" s="284" customFormat="1" ht="19.5" thickBot="1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4" thickBot="1">
      <c r="A41" s="2608" t="s">
        <v>117</v>
      </c>
      <c r="B41" s="288" t="s">
        <v>68</v>
      </c>
      <c r="C41" s="3597" t="s">
        <v>69</v>
      </c>
      <c r="D41" s="288" t="s">
        <v>70</v>
      </c>
      <c r="E41" s="80" t="s">
        <v>190</v>
      </c>
      <c r="F41" s="49" t="s">
        <v>94</v>
      </c>
      <c r="G41" s="49" t="s">
        <v>53</v>
      </c>
      <c r="H41" s="49" t="s">
        <v>136</v>
      </c>
      <c r="I41" s="49" t="s">
        <v>76</v>
      </c>
      <c r="J41" s="49" t="s">
        <v>206</v>
      </c>
      <c r="K41" s="126" t="s">
        <v>222</v>
      </c>
      <c r="L41" s="79"/>
      <c r="M41" s="80" t="s">
        <v>222</v>
      </c>
      <c r="N41" s="49" t="s">
        <v>92</v>
      </c>
      <c r="O41" s="49" t="s">
        <v>251</v>
      </c>
      <c r="P41" s="49" t="s">
        <v>53</v>
      </c>
      <c r="Q41" s="49" t="s">
        <v>94</v>
      </c>
      <c r="R41" s="49" t="s">
        <v>206</v>
      </c>
      <c r="S41" s="126" t="s">
        <v>101</v>
      </c>
      <c r="T41" s="171" t="s">
        <v>497</v>
      </c>
      <c r="U41" s="79"/>
      <c r="V41" s="172" t="s">
        <v>497</v>
      </c>
      <c r="W41" s="103" t="s">
        <v>97</v>
      </c>
      <c r="X41" s="103" t="s">
        <v>124</v>
      </c>
      <c r="Y41" s="103" t="s">
        <v>206</v>
      </c>
      <c r="Z41" s="103" t="s">
        <v>269</v>
      </c>
      <c r="AA41" s="103" t="s">
        <v>96</v>
      </c>
      <c r="AB41" s="179" t="s">
        <v>92</v>
      </c>
      <c r="AC41" s="180" t="s">
        <v>101</v>
      </c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0.25">
      <c r="A42" s="2663" t="s">
        <v>176</v>
      </c>
      <c r="B42" s="724"/>
      <c r="C42" s="725"/>
      <c r="D42" s="312"/>
      <c r="E42" s="313"/>
      <c r="F42" s="314"/>
      <c r="G42" s="314"/>
      <c r="H42" s="315"/>
      <c r="I42" s="315"/>
      <c r="J42" s="314"/>
      <c r="K42" s="348"/>
      <c r="L42" s="349"/>
      <c r="M42" s="350"/>
      <c r="N42" s="315"/>
      <c r="O42" s="315"/>
      <c r="P42" s="315"/>
      <c r="Q42" s="315"/>
      <c r="R42" s="315"/>
      <c r="S42" s="315"/>
      <c r="T42" s="368"/>
      <c r="U42" s="349"/>
      <c r="V42" s="350"/>
      <c r="W42" s="315"/>
      <c r="X42" s="315"/>
      <c r="Y42" s="315"/>
      <c r="Z42" s="315"/>
      <c r="AA42" s="315"/>
      <c r="AB42" s="315"/>
      <c r="AC42" s="378"/>
      <c r="AD42" s="349"/>
      <c r="AE42" s="379">
        <f t="shared" ref="AE42:AE53" si="6">SUM(E42:AC42)</f>
        <v>0</v>
      </c>
      <c r="AF42" s="379"/>
      <c r="AG42" s="404"/>
      <c r="AH42" s="405">
        <f t="shared" ref="AH42:AH53" si="7">AE42+AF42</f>
        <v>0</v>
      </c>
      <c r="AI42" s="406"/>
      <c r="AJ42" s="407">
        <f t="shared" ref="AJ42:AJ53" si="8">AH42+AI42</f>
        <v>0</v>
      </c>
    </row>
    <row r="43" spans="1:39" s="234" customFormat="1" ht="20.25">
      <c r="A43" s="1180" t="s">
        <v>120</v>
      </c>
      <c r="B43" s="727"/>
      <c r="C43" s="728"/>
      <c r="D43" s="318"/>
      <c r="E43" s="319"/>
      <c r="F43" s="320"/>
      <c r="G43" s="320"/>
      <c r="H43" s="321"/>
      <c r="I43" s="321"/>
      <c r="J43" s="320"/>
      <c r="K43" s="351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53"/>
      <c r="W43" s="321"/>
      <c r="X43" s="321"/>
      <c r="Y43" s="321"/>
      <c r="Z43" s="321"/>
      <c r="AA43" s="321"/>
      <c r="AB43" s="321"/>
      <c r="AC43" s="380"/>
      <c r="AD43" s="352"/>
      <c r="AE43" s="381">
        <f t="shared" si="6"/>
        <v>0</v>
      </c>
      <c r="AF43" s="381"/>
      <c r="AG43" s="408"/>
      <c r="AH43" s="409">
        <f t="shared" si="7"/>
        <v>0</v>
      </c>
      <c r="AI43" s="410"/>
      <c r="AJ43" s="411">
        <f t="shared" si="8"/>
        <v>0</v>
      </c>
    </row>
    <row r="44" spans="1:39" s="234" customFormat="1" ht="20.25">
      <c r="A44" s="1180" t="s">
        <v>120</v>
      </c>
      <c r="B44" s="729"/>
      <c r="C44" s="730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6"/>
        <v>0</v>
      </c>
      <c r="AF44" s="381"/>
      <c r="AG44" s="408"/>
      <c r="AH44" s="409">
        <f t="shared" si="7"/>
        <v>0</v>
      </c>
      <c r="AI44" s="410"/>
      <c r="AJ44" s="411">
        <f t="shared" si="8"/>
        <v>0</v>
      </c>
    </row>
    <row r="45" spans="1:39" s="234" customFormat="1" ht="20.25">
      <c r="A45" s="1180" t="s">
        <v>120</v>
      </c>
      <c r="B45" s="729"/>
      <c r="C45" s="730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6"/>
        <v>0</v>
      </c>
      <c r="AF45" s="381"/>
      <c r="AG45" s="408"/>
      <c r="AH45" s="409">
        <f t="shared" si="7"/>
        <v>0</v>
      </c>
      <c r="AI45" s="410"/>
      <c r="AJ45" s="411">
        <f t="shared" si="8"/>
        <v>0</v>
      </c>
    </row>
    <row r="46" spans="1:39" s="234" customFormat="1" ht="20.25">
      <c r="A46" s="1180" t="s">
        <v>120</v>
      </c>
      <c r="B46" s="729"/>
      <c r="C46" s="730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6"/>
        <v>0</v>
      </c>
      <c r="AF46" s="381"/>
      <c r="AG46" s="408"/>
      <c r="AH46" s="409">
        <f t="shared" si="7"/>
        <v>0</v>
      </c>
      <c r="AI46" s="410"/>
      <c r="AJ46" s="411">
        <f t="shared" si="8"/>
        <v>0</v>
      </c>
    </row>
    <row r="47" spans="1:39" s="234" customFormat="1" ht="20.25">
      <c r="A47" s="1180" t="s">
        <v>120</v>
      </c>
      <c r="B47" s="729"/>
      <c r="C47" s="730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6"/>
        <v>0</v>
      </c>
      <c r="AF47" s="381"/>
      <c r="AG47" s="408"/>
      <c r="AH47" s="409">
        <f t="shared" si="7"/>
        <v>0</v>
      </c>
      <c r="AI47" s="410"/>
      <c r="AJ47" s="411">
        <f t="shared" si="8"/>
        <v>0</v>
      </c>
    </row>
    <row r="48" spans="1:39" s="234" customFormat="1" ht="20.25">
      <c r="A48" s="1180" t="s">
        <v>120</v>
      </c>
      <c r="B48" s="729"/>
      <c r="C48" s="730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6"/>
        <v>0</v>
      </c>
      <c r="AF48" s="381"/>
      <c r="AG48" s="408"/>
      <c r="AH48" s="409">
        <f t="shared" si="7"/>
        <v>0</v>
      </c>
      <c r="AI48" s="410"/>
      <c r="AJ48" s="411">
        <f t="shared" si="8"/>
        <v>0</v>
      </c>
    </row>
    <row r="49" spans="1:39" s="234" customFormat="1" ht="20.25">
      <c r="A49" s="1180" t="s">
        <v>120</v>
      </c>
      <c r="B49" s="729"/>
      <c r="C49" s="730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6"/>
        <v>0</v>
      </c>
      <c r="AF49" s="381"/>
      <c r="AG49" s="408"/>
      <c r="AH49" s="409">
        <f t="shared" si="7"/>
        <v>0</v>
      </c>
      <c r="AI49" s="410"/>
      <c r="AJ49" s="411">
        <f t="shared" si="8"/>
        <v>0</v>
      </c>
    </row>
    <row r="50" spans="1:39" s="234" customFormat="1" ht="20.25">
      <c r="A50" s="1180" t="s">
        <v>120</v>
      </c>
      <c r="B50" s="729"/>
      <c r="C50" s="730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6"/>
        <v>0</v>
      </c>
      <c r="AF50" s="381"/>
      <c r="AG50" s="408"/>
      <c r="AH50" s="409">
        <f t="shared" si="7"/>
        <v>0</v>
      </c>
      <c r="AI50" s="410"/>
      <c r="AJ50" s="411">
        <f t="shared" si="8"/>
        <v>0</v>
      </c>
    </row>
    <row r="51" spans="1:39" s="234" customFormat="1" ht="20.25">
      <c r="A51" s="1180" t="s">
        <v>120</v>
      </c>
      <c r="B51" s="729"/>
      <c r="C51" s="730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6"/>
        <v>0</v>
      </c>
      <c r="AF51" s="381"/>
      <c r="AG51" s="408"/>
      <c r="AH51" s="409">
        <f t="shared" si="7"/>
        <v>0</v>
      </c>
      <c r="AI51" s="410"/>
      <c r="AJ51" s="411">
        <f t="shared" si="8"/>
        <v>0</v>
      </c>
    </row>
    <row r="52" spans="1:39" s="234" customFormat="1" ht="21" thickBot="1">
      <c r="A52" s="1180" t="s">
        <v>120</v>
      </c>
      <c r="B52" s="729"/>
      <c r="C52" s="730"/>
      <c r="D52" s="318"/>
      <c r="E52" s="319"/>
      <c r="F52" s="320"/>
      <c r="G52" s="320"/>
      <c r="H52" s="321"/>
      <c r="I52" s="321"/>
      <c r="J52" s="320"/>
      <c r="K52" s="354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6"/>
        <v>0</v>
      </c>
      <c r="AF52" s="381"/>
      <c r="AG52" s="408"/>
      <c r="AH52" s="409">
        <f t="shared" si="7"/>
        <v>0</v>
      </c>
      <c r="AI52" s="410"/>
      <c r="AJ52" s="411">
        <f t="shared" si="8"/>
        <v>0</v>
      </c>
    </row>
    <row r="53" spans="1:39" s="283" customFormat="1" ht="21" thickBot="1">
      <c r="A53" s="2582"/>
      <c r="B53" s="2564"/>
      <c r="C53" s="732"/>
      <c r="D53" s="324"/>
      <c r="E53" s="325"/>
      <c r="F53" s="297"/>
      <c r="G53" s="297"/>
      <c r="H53" s="298"/>
      <c r="I53" s="298"/>
      <c r="J53" s="297"/>
      <c r="K53" s="344"/>
      <c r="L53" s="355"/>
      <c r="M53" s="343"/>
      <c r="N53" s="298"/>
      <c r="O53" s="298"/>
      <c r="P53" s="298"/>
      <c r="Q53" s="298"/>
      <c r="R53" s="298"/>
      <c r="S53" s="298"/>
      <c r="T53" s="367"/>
      <c r="U53" s="355"/>
      <c r="V53" s="325"/>
      <c r="W53" s="297"/>
      <c r="X53" s="297"/>
      <c r="Y53" s="298"/>
      <c r="Z53" s="298"/>
      <c r="AA53" s="298"/>
      <c r="AB53" s="297"/>
      <c r="AC53" s="375"/>
      <c r="AD53" s="355"/>
      <c r="AE53" s="376">
        <f t="shared" si="6"/>
        <v>0</v>
      </c>
      <c r="AF53" s="377"/>
      <c r="AG53" s="390"/>
      <c r="AH53" s="391">
        <f t="shared" si="7"/>
        <v>0</v>
      </c>
      <c r="AI53" s="412"/>
      <c r="AJ53" s="413">
        <f t="shared" si="8"/>
        <v>0</v>
      </c>
      <c r="AK53" s="414" t="s">
        <v>8</v>
      </c>
      <c r="AL53" s="397" t="s">
        <v>23</v>
      </c>
      <c r="AM53" s="415" t="s">
        <v>174</v>
      </c>
    </row>
    <row r="54" spans="1:39" s="284" customFormat="1" ht="19.5" thickBot="1">
      <c r="A54" s="326" t="s">
        <v>177</v>
      </c>
      <c r="B54" s="327"/>
      <c r="C54" s="327"/>
      <c r="D54" s="328"/>
      <c r="E54" s="329">
        <f t="shared" ref="E54:K54" si="9">SUM(E42:E53)</f>
        <v>0</v>
      </c>
      <c r="F54" s="330">
        <f t="shared" si="9"/>
        <v>0</v>
      </c>
      <c r="G54" s="330">
        <f t="shared" si="9"/>
        <v>0</v>
      </c>
      <c r="H54" s="330">
        <f t="shared" si="9"/>
        <v>0</v>
      </c>
      <c r="I54" s="330">
        <f t="shared" si="9"/>
        <v>0</v>
      </c>
      <c r="J54" s="330">
        <f t="shared" si="9"/>
        <v>0</v>
      </c>
      <c r="K54" s="356">
        <f t="shared" si="9"/>
        <v>0</v>
      </c>
      <c r="L54" s="357"/>
      <c r="M54" s="358">
        <f t="shared" ref="M54:T54" si="10">SUM(M42:M53)</f>
        <v>0</v>
      </c>
      <c r="N54" s="359">
        <f t="shared" si="10"/>
        <v>0</v>
      </c>
      <c r="O54" s="359">
        <f t="shared" si="10"/>
        <v>0</v>
      </c>
      <c r="P54" s="359">
        <f t="shared" si="10"/>
        <v>0</v>
      </c>
      <c r="Q54" s="359">
        <f t="shared" si="10"/>
        <v>0</v>
      </c>
      <c r="R54" s="359">
        <f t="shared" si="10"/>
        <v>0</v>
      </c>
      <c r="S54" s="359">
        <f t="shared" si="10"/>
        <v>0</v>
      </c>
      <c r="T54" s="369">
        <f t="shared" si="10"/>
        <v>0</v>
      </c>
      <c r="U54" s="357"/>
      <c r="V54" s="358">
        <f t="shared" ref="V54:AC54" si="11">SUM(V42:V53)</f>
        <v>0</v>
      </c>
      <c r="W54" s="359">
        <f t="shared" si="11"/>
        <v>0</v>
      </c>
      <c r="X54" s="359">
        <f t="shared" si="11"/>
        <v>0</v>
      </c>
      <c r="Y54" s="359">
        <f t="shared" si="11"/>
        <v>0</v>
      </c>
      <c r="Z54" s="359">
        <f t="shared" si="11"/>
        <v>0</v>
      </c>
      <c r="AA54" s="359">
        <f t="shared" si="11"/>
        <v>0</v>
      </c>
      <c r="AB54" s="359">
        <f t="shared" si="11"/>
        <v>0</v>
      </c>
      <c r="AC54" s="369">
        <f t="shared" si="11"/>
        <v>0</v>
      </c>
      <c r="AD54" s="357"/>
      <c r="AE54" s="382">
        <f t="shared" ref="AE54:AJ54" si="12">SUM(AE42:AE53)</f>
        <v>0</v>
      </c>
      <c r="AF54" s="382">
        <f t="shared" si="12"/>
        <v>0</v>
      </c>
      <c r="AG54" s="416">
        <f t="shared" si="12"/>
        <v>0</v>
      </c>
      <c r="AH54" s="417">
        <f t="shared" si="12"/>
        <v>0</v>
      </c>
      <c r="AI54" s="382">
        <f t="shared" si="12"/>
        <v>0</v>
      </c>
      <c r="AJ54" s="418">
        <f t="shared" si="12"/>
        <v>0</v>
      </c>
      <c r="AK54" s="399">
        <f>'BIG CHAIR'!CL77</f>
        <v>14560</v>
      </c>
      <c r="AL54" s="400">
        <f>'Tea Table'!X85</f>
        <v>0</v>
      </c>
      <c r="AM54" s="401">
        <f>AH54+AK54+AL54</f>
        <v>14560</v>
      </c>
    </row>
    <row r="55" spans="1:39" s="284" customFormat="1" ht="19.5" thickBot="1">
      <c r="A55" s="306"/>
      <c r="B55" s="307"/>
      <c r="C55" s="307"/>
      <c r="D55" s="308"/>
      <c r="E55" s="309"/>
      <c r="F55" s="309"/>
      <c r="G55" s="309"/>
      <c r="H55" s="309"/>
      <c r="I55" s="309"/>
      <c r="J55" s="309"/>
      <c r="K55" s="309"/>
      <c r="L55" s="346"/>
      <c r="M55" s="347"/>
      <c r="N55" s="347"/>
      <c r="O55" s="347"/>
      <c r="P55" s="347"/>
      <c r="Q55" s="347"/>
      <c r="R55" s="347"/>
      <c r="S55" s="347"/>
      <c r="T55" s="347"/>
      <c r="U55" s="346"/>
      <c r="V55" s="347"/>
      <c r="W55" s="347"/>
      <c r="X55" s="347"/>
      <c r="Y55" s="347"/>
      <c r="Z55" s="347"/>
      <c r="AA55" s="347"/>
      <c r="AB55" s="347"/>
      <c r="AC55" s="347"/>
      <c r="AD55" s="346"/>
      <c r="AE55" s="347"/>
      <c r="AF55" s="347"/>
      <c r="AG55" s="347"/>
      <c r="AH55" s="347"/>
      <c r="AI55" s="347"/>
      <c r="AJ55" s="402"/>
      <c r="AK55" s="403"/>
      <c r="AL55" s="403"/>
      <c r="AM55" s="403"/>
    </row>
    <row r="56" spans="1:39" s="282" customFormat="1" ht="24" thickBot="1">
      <c r="A56" s="2608" t="s">
        <v>122</v>
      </c>
      <c r="B56" s="288" t="s">
        <v>68</v>
      </c>
      <c r="C56" s="3597" t="s">
        <v>69</v>
      </c>
      <c r="D56" s="288" t="s">
        <v>70</v>
      </c>
      <c r="E56" s="80" t="s">
        <v>549</v>
      </c>
      <c r="F56" s="49" t="s">
        <v>94</v>
      </c>
      <c r="G56" s="49" t="s">
        <v>53</v>
      </c>
      <c r="H56" s="49" t="s">
        <v>136</v>
      </c>
      <c r="I56" s="49" t="s">
        <v>213</v>
      </c>
      <c r="J56" s="49" t="s">
        <v>206</v>
      </c>
      <c r="K56" s="126" t="s">
        <v>272</v>
      </c>
      <c r="L56" s="79"/>
      <c r="M56" s="80" t="s">
        <v>222</v>
      </c>
      <c r="N56" s="49" t="s">
        <v>92</v>
      </c>
      <c r="O56" s="49" t="s">
        <v>251</v>
      </c>
      <c r="P56" s="49" t="s">
        <v>53</v>
      </c>
      <c r="Q56" s="49" t="s">
        <v>94</v>
      </c>
      <c r="R56" s="49" t="s">
        <v>206</v>
      </c>
      <c r="S56" s="126" t="s">
        <v>101</v>
      </c>
      <c r="T56" s="171" t="s">
        <v>497</v>
      </c>
      <c r="U56" s="79"/>
      <c r="V56" s="172" t="s">
        <v>497</v>
      </c>
      <c r="W56" s="103" t="s">
        <v>97</v>
      </c>
      <c r="X56" s="103" t="s">
        <v>124</v>
      </c>
      <c r="Y56" s="103" t="s">
        <v>206</v>
      </c>
      <c r="Z56" s="103" t="s">
        <v>269</v>
      </c>
      <c r="AA56" s="103" t="s">
        <v>96</v>
      </c>
      <c r="AB56" s="179" t="s">
        <v>92</v>
      </c>
      <c r="AC56" s="180" t="s">
        <v>101</v>
      </c>
      <c r="AD56" s="370"/>
      <c r="AE56" s="371" t="s">
        <v>172</v>
      </c>
      <c r="AF56" s="372" t="s">
        <v>80</v>
      </c>
      <c r="AG56" s="385"/>
      <c r="AH56" s="386" t="s">
        <v>106</v>
      </c>
      <c r="AI56" s="385" t="s">
        <v>173</v>
      </c>
      <c r="AJ56" s="371" t="s">
        <v>108</v>
      </c>
    </row>
    <row r="57" spans="1:39" s="234" customFormat="1" ht="20.25">
      <c r="A57" s="2663" t="s">
        <v>125</v>
      </c>
      <c r="B57" s="724" t="s">
        <v>472</v>
      </c>
      <c r="C57" s="725"/>
      <c r="D57" s="312"/>
      <c r="E57" s="313"/>
      <c r="F57" s="314"/>
      <c r="G57" s="314"/>
      <c r="H57" s="315"/>
      <c r="I57" s="315"/>
      <c r="J57" s="314"/>
      <c r="K57" s="348"/>
      <c r="L57" s="349"/>
      <c r="M57" s="350"/>
      <c r="N57" s="315"/>
      <c r="O57" s="315"/>
      <c r="P57" s="315"/>
      <c r="Q57" s="315"/>
      <c r="R57" s="315"/>
      <c r="S57" s="315"/>
      <c r="T57" s="348"/>
      <c r="U57" s="349"/>
      <c r="V57" s="350"/>
      <c r="W57" s="315"/>
      <c r="X57" s="315"/>
      <c r="Y57" s="315"/>
      <c r="Z57" s="315"/>
      <c r="AA57" s="315"/>
      <c r="AB57" s="315"/>
      <c r="AC57" s="378"/>
      <c r="AD57" s="349"/>
      <c r="AE57" s="379">
        <f t="shared" ref="AE57:AE71" si="13">SUM(E57:AC57)</f>
        <v>0</v>
      </c>
      <c r="AF57" s="379"/>
      <c r="AG57" s="404"/>
      <c r="AH57" s="405">
        <f t="shared" ref="AH57:AH71" si="14">AE57+AF57</f>
        <v>0</v>
      </c>
      <c r="AI57" s="406"/>
      <c r="AJ57" s="407">
        <f t="shared" ref="AJ57:AJ71" si="15">AH57+AI57</f>
        <v>0</v>
      </c>
    </row>
    <row r="58" spans="1:39" s="234" customFormat="1" ht="20.25">
      <c r="A58" s="2664" t="s">
        <v>125</v>
      </c>
      <c r="B58" s="2666"/>
      <c r="C58" s="2665"/>
      <c r="D58" s="331"/>
      <c r="E58" s="332"/>
      <c r="F58" s="333"/>
      <c r="G58" s="333"/>
      <c r="H58" s="334"/>
      <c r="I58" s="334"/>
      <c r="J58" s="333"/>
      <c r="K58" s="360"/>
      <c r="L58" s="361"/>
      <c r="M58" s="362"/>
      <c r="N58" s="334"/>
      <c r="O58" s="334"/>
      <c r="P58" s="334"/>
      <c r="Q58" s="334"/>
      <c r="R58" s="334"/>
      <c r="S58" s="334"/>
      <c r="T58" s="360"/>
      <c r="U58" s="361"/>
      <c r="V58" s="362"/>
      <c r="W58" s="334"/>
      <c r="X58" s="334"/>
      <c r="Y58" s="334"/>
      <c r="Z58" s="334"/>
      <c r="AA58" s="334"/>
      <c r="AB58" s="334"/>
      <c r="AC58" s="383"/>
      <c r="AD58" s="361"/>
      <c r="AE58" s="384">
        <f t="shared" ref="AE58" si="16">SUM(E58:AC58)</f>
        <v>0</v>
      </c>
      <c r="AF58" s="384"/>
      <c r="AG58" s="419"/>
      <c r="AH58" s="420">
        <f t="shared" si="14"/>
        <v>0</v>
      </c>
      <c r="AI58" s="421"/>
      <c r="AJ58" s="422">
        <f t="shared" si="15"/>
        <v>0</v>
      </c>
    </row>
    <row r="59" spans="1:39" s="234" customFormat="1" ht="20.25">
      <c r="A59" s="1180" t="s">
        <v>125</v>
      </c>
      <c r="B59" s="727"/>
      <c r="C59" s="728"/>
      <c r="D59" s="318"/>
      <c r="E59" s="319"/>
      <c r="F59" s="320"/>
      <c r="G59" s="320"/>
      <c r="H59" s="321"/>
      <c r="I59" s="321"/>
      <c r="J59" s="320"/>
      <c r="K59" s="351"/>
      <c r="L59" s="352"/>
      <c r="M59" s="353"/>
      <c r="N59" s="320"/>
      <c r="O59" s="320"/>
      <c r="P59" s="321"/>
      <c r="Q59" s="321"/>
      <c r="R59" s="321"/>
      <c r="S59" s="320"/>
      <c r="T59" s="351"/>
      <c r="U59" s="352"/>
      <c r="V59" s="353"/>
      <c r="W59" s="321"/>
      <c r="X59" s="321"/>
      <c r="Y59" s="321"/>
      <c r="Z59" s="321"/>
      <c r="AA59" s="321"/>
      <c r="AB59" s="321"/>
      <c r="AC59" s="380"/>
      <c r="AD59" s="352"/>
      <c r="AE59" s="381">
        <f t="shared" si="13"/>
        <v>0</v>
      </c>
      <c r="AF59" s="381"/>
      <c r="AG59" s="408"/>
      <c r="AH59" s="409">
        <f t="shared" si="14"/>
        <v>0</v>
      </c>
      <c r="AI59" s="410"/>
      <c r="AJ59" s="411">
        <f t="shared" si="15"/>
        <v>0</v>
      </c>
    </row>
    <row r="60" spans="1:39" s="234" customFormat="1" ht="20.25">
      <c r="A60" s="1180" t="s">
        <v>125</v>
      </c>
      <c r="B60" s="729"/>
      <c r="C60" s="730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si="13"/>
        <v>0</v>
      </c>
      <c r="AF60" s="381"/>
      <c r="AG60" s="408"/>
      <c r="AH60" s="409">
        <f t="shared" si="14"/>
        <v>0</v>
      </c>
      <c r="AI60" s="410"/>
      <c r="AJ60" s="411">
        <f t="shared" si="15"/>
        <v>0</v>
      </c>
    </row>
    <row r="61" spans="1:39" s="234" customFormat="1" ht="20.25">
      <c r="A61" s="1180" t="s">
        <v>125</v>
      </c>
      <c r="B61" s="729"/>
      <c r="C61" s="730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3"/>
        <v>0</v>
      </c>
      <c r="AF61" s="381"/>
      <c r="AG61" s="408"/>
      <c r="AH61" s="409">
        <f t="shared" si="14"/>
        <v>0</v>
      </c>
      <c r="AI61" s="410"/>
      <c r="AJ61" s="411">
        <f t="shared" si="15"/>
        <v>0</v>
      </c>
    </row>
    <row r="62" spans="1:39" s="234" customFormat="1" ht="20.25">
      <c r="A62" s="1180" t="s">
        <v>125</v>
      </c>
      <c r="B62" s="729"/>
      <c r="C62" s="730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3"/>
        <v>0</v>
      </c>
      <c r="AF62" s="381"/>
      <c r="AG62" s="408"/>
      <c r="AH62" s="409">
        <f t="shared" si="14"/>
        <v>0</v>
      </c>
      <c r="AI62" s="410"/>
      <c r="AJ62" s="411">
        <f t="shared" si="15"/>
        <v>0</v>
      </c>
    </row>
    <row r="63" spans="1:39" s="234" customFormat="1" ht="20.25">
      <c r="A63" s="1180" t="s">
        <v>125</v>
      </c>
      <c r="B63" s="729"/>
      <c r="C63" s="730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3"/>
        <v>0</v>
      </c>
      <c r="AF63" s="381"/>
      <c r="AG63" s="408"/>
      <c r="AH63" s="409">
        <f t="shared" si="14"/>
        <v>0</v>
      </c>
      <c r="AI63" s="410"/>
      <c r="AJ63" s="411">
        <f t="shared" si="15"/>
        <v>0</v>
      </c>
    </row>
    <row r="64" spans="1:39" s="234" customFormat="1" ht="20.25">
      <c r="A64" s="1180" t="s">
        <v>125</v>
      </c>
      <c r="B64" s="729"/>
      <c r="C64" s="730"/>
      <c r="D64" s="318"/>
      <c r="E64" s="319"/>
      <c r="F64" s="320"/>
      <c r="G64" s="320"/>
      <c r="H64" s="321"/>
      <c r="I64" s="321"/>
      <c r="J64" s="320"/>
      <c r="K64" s="363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3"/>
        <v>0</v>
      </c>
      <c r="AF64" s="381"/>
      <c r="AG64" s="408"/>
      <c r="AH64" s="409">
        <f t="shared" si="14"/>
        <v>0</v>
      </c>
      <c r="AI64" s="410"/>
      <c r="AJ64" s="411">
        <f t="shared" si="15"/>
        <v>0</v>
      </c>
    </row>
    <row r="65" spans="1:39" s="234" customFormat="1" ht="20.25">
      <c r="A65" s="1180" t="s">
        <v>125</v>
      </c>
      <c r="B65" s="729"/>
      <c r="C65" s="730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3"/>
        <v>0</v>
      </c>
      <c r="AF65" s="381"/>
      <c r="AG65" s="408"/>
      <c r="AH65" s="409">
        <f t="shared" si="14"/>
        <v>0</v>
      </c>
      <c r="AI65" s="410"/>
      <c r="AJ65" s="411">
        <f t="shared" si="15"/>
        <v>0</v>
      </c>
    </row>
    <row r="66" spans="1:39" s="234" customFormat="1" ht="20.25">
      <c r="A66" s="1180" t="s">
        <v>125</v>
      </c>
      <c r="B66" s="729"/>
      <c r="C66" s="730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3"/>
        <v>0</v>
      </c>
      <c r="AF66" s="381"/>
      <c r="AG66" s="408"/>
      <c r="AH66" s="409">
        <f t="shared" si="14"/>
        <v>0</v>
      </c>
      <c r="AI66" s="410"/>
      <c r="AJ66" s="411">
        <f t="shared" si="15"/>
        <v>0</v>
      </c>
    </row>
    <row r="67" spans="1:39" s="234" customFormat="1" ht="20.25">
      <c r="A67" s="1180" t="s">
        <v>125</v>
      </c>
      <c r="B67" s="729"/>
      <c r="C67" s="730"/>
      <c r="D67" s="318"/>
      <c r="E67" s="319"/>
      <c r="F67" s="320"/>
      <c r="G67" s="320"/>
      <c r="H67" s="321"/>
      <c r="I67" s="321"/>
      <c r="J67" s="320"/>
      <c r="K67" s="354"/>
      <c r="L67" s="352"/>
      <c r="M67" s="353"/>
      <c r="N67" s="321"/>
      <c r="O67" s="321"/>
      <c r="P67" s="321"/>
      <c r="Q67" s="321"/>
      <c r="R67" s="321"/>
      <c r="S67" s="321"/>
      <c r="T67" s="351"/>
      <c r="U67" s="352"/>
      <c r="V67" s="319"/>
      <c r="W67" s="320"/>
      <c r="X67" s="320"/>
      <c r="Y67" s="321"/>
      <c r="Z67" s="321"/>
      <c r="AA67" s="321"/>
      <c r="AB67" s="320"/>
      <c r="AC67" s="380"/>
      <c r="AD67" s="352"/>
      <c r="AE67" s="381">
        <f t="shared" si="13"/>
        <v>0</v>
      </c>
      <c r="AF67" s="381"/>
      <c r="AG67" s="408"/>
      <c r="AH67" s="409">
        <f t="shared" si="14"/>
        <v>0</v>
      </c>
      <c r="AI67" s="410"/>
      <c r="AJ67" s="411">
        <f t="shared" si="15"/>
        <v>0</v>
      </c>
    </row>
    <row r="68" spans="1:39" s="234" customFormat="1" ht="21" thickBot="1">
      <c r="A68" s="1180" t="s">
        <v>125</v>
      </c>
      <c r="B68" s="729"/>
      <c r="C68" s="730"/>
      <c r="D68" s="318"/>
      <c r="E68" s="319"/>
      <c r="F68" s="320"/>
      <c r="G68" s="320"/>
      <c r="H68" s="321"/>
      <c r="I68" s="321"/>
      <c r="J68" s="320"/>
      <c r="K68" s="354"/>
      <c r="L68" s="352"/>
      <c r="M68" s="353"/>
      <c r="N68" s="321"/>
      <c r="O68" s="321"/>
      <c r="P68" s="321"/>
      <c r="Q68" s="321"/>
      <c r="R68" s="321"/>
      <c r="S68" s="321"/>
      <c r="T68" s="351"/>
      <c r="U68" s="352"/>
      <c r="V68" s="319"/>
      <c r="W68" s="320"/>
      <c r="X68" s="320"/>
      <c r="Y68" s="321"/>
      <c r="Z68" s="321"/>
      <c r="AA68" s="321"/>
      <c r="AB68" s="320"/>
      <c r="AC68" s="380"/>
      <c r="AD68" s="352"/>
      <c r="AE68" s="381">
        <f t="shared" ref="AE68:AE69" si="17">SUM(E68:AC68)</f>
        <v>0</v>
      </c>
      <c r="AF68" s="381"/>
      <c r="AG68" s="408"/>
      <c r="AH68" s="409">
        <f t="shared" si="14"/>
        <v>0</v>
      </c>
      <c r="AI68" s="410"/>
      <c r="AJ68" s="411">
        <f t="shared" si="15"/>
        <v>0</v>
      </c>
    </row>
    <row r="69" spans="1:39" s="283" customFormat="1" ht="21" thickBot="1">
      <c r="A69" s="1180" t="s">
        <v>125</v>
      </c>
      <c r="B69" s="729"/>
      <c r="C69" s="730"/>
      <c r="D69" s="318"/>
      <c r="E69" s="319"/>
      <c r="F69" s="320"/>
      <c r="G69" s="320"/>
      <c r="H69" s="321"/>
      <c r="I69" s="321"/>
      <c r="J69" s="320"/>
      <c r="K69" s="354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/>
      <c r="Z69" s="321"/>
      <c r="AA69" s="321"/>
      <c r="AB69" s="320"/>
      <c r="AC69" s="380"/>
      <c r="AD69" s="352"/>
      <c r="AE69" s="381">
        <f t="shared" si="17"/>
        <v>0</v>
      </c>
      <c r="AF69" s="381"/>
      <c r="AG69" s="408"/>
      <c r="AH69" s="409">
        <f t="shared" si="14"/>
        <v>0</v>
      </c>
      <c r="AI69" s="410"/>
      <c r="AJ69" s="411">
        <f t="shared" si="15"/>
        <v>0</v>
      </c>
      <c r="AK69" s="414" t="s">
        <v>8</v>
      </c>
      <c r="AL69" s="397" t="s">
        <v>23</v>
      </c>
      <c r="AM69" s="415" t="s">
        <v>174</v>
      </c>
    </row>
    <row r="70" spans="1:39" s="284" customFormat="1" ht="21" thickBot="1">
      <c r="A70" s="1180" t="s">
        <v>125</v>
      </c>
      <c r="B70" s="729"/>
      <c r="C70" s="730"/>
      <c r="D70" s="318"/>
      <c r="E70" s="319"/>
      <c r="F70" s="320"/>
      <c r="G70" s="320"/>
      <c r="H70" s="321"/>
      <c r="I70" s="321"/>
      <c r="J70" s="320"/>
      <c r="K70" s="354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13"/>
        <v>0</v>
      </c>
      <c r="AF70" s="381"/>
      <c r="AG70" s="408"/>
      <c r="AH70" s="409">
        <f t="shared" si="14"/>
        <v>0</v>
      </c>
      <c r="AI70" s="410"/>
      <c r="AJ70" s="411">
        <f t="shared" si="15"/>
        <v>0</v>
      </c>
      <c r="AK70" s="399">
        <f>'BIG CHAIR'!CL91</f>
        <v>0</v>
      </c>
      <c r="AL70" s="400">
        <f>'Tea Table'!X181</f>
        <v>0</v>
      </c>
      <c r="AM70" s="401">
        <f>AH72+AK70+AL70</f>
        <v>0</v>
      </c>
    </row>
    <row r="71" spans="1:39" ht="21" thickBot="1">
      <c r="A71" s="2582"/>
      <c r="B71" s="731"/>
      <c r="C71" s="732"/>
      <c r="D71" s="324"/>
      <c r="E71" s="325"/>
      <c r="F71" s="297"/>
      <c r="G71" s="297"/>
      <c r="H71" s="298"/>
      <c r="I71" s="298"/>
      <c r="J71" s="297"/>
      <c r="K71" s="344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325"/>
      <c r="W71" s="297"/>
      <c r="X71" s="297"/>
      <c r="Y71" s="298"/>
      <c r="Z71" s="298"/>
      <c r="AA71" s="298"/>
      <c r="AB71" s="297"/>
      <c r="AC71" s="375"/>
      <c r="AD71" s="355"/>
      <c r="AE71" s="376">
        <f t="shared" si="13"/>
        <v>0</v>
      </c>
      <c r="AF71" s="377"/>
      <c r="AG71" s="390"/>
      <c r="AH71" s="391">
        <f t="shared" si="14"/>
        <v>0</v>
      </c>
      <c r="AI71" s="412"/>
      <c r="AJ71" s="413">
        <f t="shared" si="15"/>
        <v>0</v>
      </c>
      <c r="AK71" s="282"/>
      <c r="AL71" s="282"/>
      <c r="AM71" s="282"/>
    </row>
    <row r="72" spans="1:39" ht="19.5" thickBot="1">
      <c r="A72" s="302" t="s">
        <v>126</v>
      </c>
      <c r="B72" s="303"/>
      <c r="C72" s="734"/>
      <c r="D72" s="328"/>
      <c r="E72" s="329">
        <f t="shared" ref="E72:K72" si="18">SUM(E57:E71)</f>
        <v>0</v>
      </c>
      <c r="F72" s="329">
        <f t="shared" si="18"/>
        <v>0</v>
      </c>
      <c r="G72" s="329">
        <f t="shared" si="18"/>
        <v>0</v>
      </c>
      <c r="H72" s="329">
        <f t="shared" si="18"/>
        <v>0</v>
      </c>
      <c r="I72" s="329">
        <f t="shared" si="18"/>
        <v>0</v>
      </c>
      <c r="J72" s="329">
        <f t="shared" si="18"/>
        <v>0</v>
      </c>
      <c r="K72" s="329">
        <f t="shared" si="18"/>
        <v>0</v>
      </c>
      <c r="L72" s="357"/>
      <c r="M72" s="358">
        <f t="shared" ref="M72:T72" si="19">SUM(M57:M71)</f>
        <v>0</v>
      </c>
      <c r="N72" s="359">
        <f t="shared" si="19"/>
        <v>0</v>
      </c>
      <c r="O72" s="359">
        <f t="shared" si="19"/>
        <v>0</v>
      </c>
      <c r="P72" s="359">
        <f t="shared" si="19"/>
        <v>0</v>
      </c>
      <c r="Q72" s="359">
        <f t="shared" si="19"/>
        <v>0</v>
      </c>
      <c r="R72" s="359">
        <f t="shared" si="19"/>
        <v>0</v>
      </c>
      <c r="S72" s="359">
        <f t="shared" si="19"/>
        <v>0</v>
      </c>
      <c r="T72" s="369">
        <f t="shared" si="19"/>
        <v>0</v>
      </c>
      <c r="U72" s="357"/>
      <c r="V72" s="358">
        <f t="shared" ref="V72:AC72" si="20">SUM(V57:V71)</f>
        <v>0</v>
      </c>
      <c r="W72" s="359">
        <f t="shared" si="20"/>
        <v>0</v>
      </c>
      <c r="X72" s="359">
        <f t="shared" si="20"/>
        <v>0</v>
      </c>
      <c r="Y72" s="359">
        <f t="shared" si="20"/>
        <v>0</v>
      </c>
      <c r="Z72" s="359">
        <f t="shared" si="20"/>
        <v>0</v>
      </c>
      <c r="AA72" s="359">
        <f t="shared" si="20"/>
        <v>0</v>
      </c>
      <c r="AB72" s="359">
        <f t="shared" si="20"/>
        <v>0</v>
      </c>
      <c r="AC72" s="369">
        <f t="shared" si="20"/>
        <v>0</v>
      </c>
      <c r="AD72" s="357"/>
      <c r="AE72" s="382">
        <f t="shared" ref="AE72:AJ72" si="21">SUM(AE57:AE71)</f>
        <v>0</v>
      </c>
      <c r="AF72" s="382">
        <f t="shared" si="21"/>
        <v>0</v>
      </c>
      <c r="AG72" s="416">
        <f t="shared" si="21"/>
        <v>0</v>
      </c>
      <c r="AH72" s="417">
        <f t="shared" si="21"/>
        <v>0</v>
      </c>
      <c r="AI72" s="382">
        <f t="shared" si="21"/>
        <v>0</v>
      </c>
      <c r="AJ72" s="418">
        <f t="shared" si="21"/>
        <v>0</v>
      </c>
      <c r="AK72" s="234"/>
      <c r="AL72" s="234"/>
      <c r="AM72" s="234"/>
    </row>
    <row r="73" spans="1:39" ht="24" thickBot="1">
      <c r="A73" s="721" t="s">
        <v>127</v>
      </c>
      <c r="B73" s="288" t="s">
        <v>68</v>
      </c>
      <c r="C73" s="3597" t="s">
        <v>69</v>
      </c>
      <c r="D73" s="288" t="s">
        <v>70</v>
      </c>
      <c r="E73" s="80" t="s">
        <v>549</v>
      </c>
      <c r="F73" s="49"/>
      <c r="G73" s="49" t="s">
        <v>53</v>
      </c>
      <c r="H73" s="49" t="s">
        <v>136</v>
      </c>
      <c r="I73" s="49" t="s">
        <v>213</v>
      </c>
      <c r="J73" s="49" t="s">
        <v>206</v>
      </c>
      <c r="K73" s="126" t="s">
        <v>272</v>
      </c>
      <c r="L73" s="79"/>
      <c r="M73" s="80" t="s">
        <v>136</v>
      </c>
      <c r="N73" s="49" t="s">
        <v>92</v>
      </c>
      <c r="O73" s="49" t="s">
        <v>549</v>
      </c>
      <c r="P73" s="49" t="s">
        <v>53</v>
      </c>
      <c r="Q73" s="49" t="s">
        <v>94</v>
      </c>
      <c r="R73" s="49" t="s">
        <v>206</v>
      </c>
      <c r="S73" s="126" t="s">
        <v>101</v>
      </c>
      <c r="T73" s="171" t="s">
        <v>580</v>
      </c>
      <c r="U73" s="79"/>
      <c r="V73" s="172" t="s">
        <v>497</v>
      </c>
      <c r="W73" s="103" t="s">
        <v>97</v>
      </c>
      <c r="X73" s="103" t="s">
        <v>124</v>
      </c>
      <c r="Y73" s="103" t="s">
        <v>206</v>
      </c>
      <c r="Z73" s="103" t="s">
        <v>269</v>
      </c>
      <c r="AA73" s="103" t="s">
        <v>96</v>
      </c>
      <c r="AB73" s="179" t="s">
        <v>92</v>
      </c>
      <c r="AC73" s="180" t="s">
        <v>101</v>
      </c>
      <c r="AD73" s="370"/>
      <c r="AE73" s="371" t="s">
        <v>172</v>
      </c>
      <c r="AF73" s="372" t="s">
        <v>80</v>
      </c>
      <c r="AG73" s="385"/>
      <c r="AH73" s="386" t="s">
        <v>106</v>
      </c>
      <c r="AI73" s="385" t="s">
        <v>173</v>
      </c>
      <c r="AJ73" s="371" t="s">
        <v>108</v>
      </c>
      <c r="AK73" s="234"/>
      <c r="AL73" s="234"/>
      <c r="AM73" s="234"/>
    </row>
    <row r="74" spans="1:39" ht="21" thickBot="1">
      <c r="A74" s="3135" t="s">
        <v>128</v>
      </c>
      <c r="B74" s="724"/>
      <c r="C74" s="725"/>
      <c r="D74" s="312"/>
      <c r="E74" s="313"/>
      <c r="F74" s="314"/>
      <c r="G74" s="314"/>
      <c r="H74" s="315"/>
      <c r="I74" s="315"/>
      <c r="J74" s="314"/>
      <c r="K74" s="348"/>
      <c r="L74" s="349"/>
      <c r="M74" s="350"/>
      <c r="N74" s="315"/>
      <c r="O74" s="315"/>
      <c r="P74" s="315"/>
      <c r="Q74" s="315"/>
      <c r="R74" s="315"/>
      <c r="S74" s="315"/>
      <c r="T74" s="348"/>
      <c r="U74" s="349"/>
      <c r="V74" s="350"/>
      <c r="W74" s="315"/>
      <c r="X74" s="315"/>
      <c r="Y74" s="315"/>
      <c r="Z74" s="315"/>
      <c r="AA74" s="315"/>
      <c r="AB74" s="315"/>
      <c r="AC74" s="378"/>
      <c r="AD74" s="349"/>
      <c r="AE74" s="379">
        <f t="shared" ref="AE74:AE89" si="22">SUM(E74:AC74)</f>
        <v>0</v>
      </c>
      <c r="AF74" s="379"/>
      <c r="AG74" s="404"/>
      <c r="AH74" s="405">
        <f t="shared" ref="AH74:AH89" si="23">AE74+AF74</f>
        <v>0</v>
      </c>
      <c r="AI74" s="406"/>
      <c r="AJ74" s="407">
        <f t="shared" ref="AJ74:AJ89" si="24">AH74+AI74</f>
        <v>0</v>
      </c>
      <c r="AK74" s="234"/>
      <c r="AL74" s="234"/>
      <c r="AM74" s="234"/>
    </row>
    <row r="75" spans="1:39" ht="21" thickBot="1">
      <c r="A75" s="2667" t="s">
        <v>128</v>
      </c>
      <c r="B75" s="724"/>
      <c r="C75" s="728"/>
      <c r="D75" s="318"/>
      <c r="E75" s="319"/>
      <c r="F75" s="320"/>
      <c r="G75" s="320"/>
      <c r="H75" s="321"/>
      <c r="I75" s="321"/>
      <c r="J75" s="320"/>
      <c r="K75" s="351"/>
      <c r="L75" s="352"/>
      <c r="M75" s="353"/>
      <c r="N75" s="320"/>
      <c r="O75" s="320"/>
      <c r="P75" s="321"/>
      <c r="Q75" s="321"/>
      <c r="R75" s="321"/>
      <c r="S75" s="320"/>
      <c r="T75" s="351"/>
      <c r="U75" s="352"/>
      <c r="V75" s="353"/>
      <c r="W75" s="321"/>
      <c r="X75" s="321"/>
      <c r="Y75" s="321"/>
      <c r="Z75" s="321"/>
      <c r="AA75" s="321"/>
      <c r="AB75" s="321"/>
      <c r="AC75" s="380"/>
      <c r="AD75" s="352"/>
      <c r="AE75" s="381">
        <f t="shared" si="22"/>
        <v>0</v>
      </c>
      <c r="AF75" s="381"/>
      <c r="AG75" s="408"/>
      <c r="AH75" s="409">
        <f t="shared" si="23"/>
        <v>0</v>
      </c>
      <c r="AI75" s="410"/>
      <c r="AJ75" s="411">
        <f t="shared" si="24"/>
        <v>0</v>
      </c>
      <c r="AK75" s="234"/>
      <c r="AL75" s="234"/>
      <c r="AM75" s="234"/>
    </row>
    <row r="76" spans="1:39" ht="21" thickBot="1">
      <c r="A76" s="2667" t="s">
        <v>128</v>
      </c>
      <c r="B76" s="724"/>
      <c r="C76" s="730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2"/>
        <v>0</v>
      </c>
      <c r="AF76" s="381"/>
      <c r="AG76" s="408"/>
      <c r="AH76" s="409">
        <f t="shared" si="23"/>
        <v>0</v>
      </c>
      <c r="AI76" s="410"/>
      <c r="AJ76" s="411">
        <f t="shared" si="24"/>
        <v>0</v>
      </c>
      <c r="AK76" s="234"/>
      <c r="AL76" s="234"/>
      <c r="AM76" s="234"/>
    </row>
    <row r="77" spans="1:39" ht="21" thickBot="1">
      <c r="A77" s="2667" t="s">
        <v>128</v>
      </c>
      <c r="B77" s="724"/>
      <c r="C77" s="730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2"/>
        <v>0</v>
      </c>
      <c r="AF77" s="381"/>
      <c r="AG77" s="408"/>
      <c r="AH77" s="409">
        <f>AE77+AF77</f>
        <v>0</v>
      </c>
      <c r="AI77" s="410"/>
      <c r="AJ77" s="411">
        <f t="shared" si="24"/>
        <v>0</v>
      </c>
      <c r="AK77" s="234"/>
      <c r="AL77" s="234"/>
      <c r="AM77" s="234"/>
    </row>
    <row r="78" spans="1:39" ht="20.25">
      <c r="A78" s="2667" t="s">
        <v>128</v>
      </c>
      <c r="B78" s="724"/>
      <c r="C78" s="730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22"/>
        <v>0</v>
      </c>
      <c r="AF78" s="381"/>
      <c r="AG78" s="408"/>
      <c r="AH78" s="409">
        <f t="shared" si="23"/>
        <v>0</v>
      </c>
      <c r="AI78" s="410"/>
      <c r="AJ78" s="411">
        <f t="shared" si="24"/>
        <v>0</v>
      </c>
      <c r="AK78" s="234"/>
      <c r="AL78" s="234"/>
      <c r="AM78" s="234"/>
    </row>
    <row r="79" spans="1:39" ht="20.25">
      <c r="A79" s="2667" t="s">
        <v>128</v>
      </c>
      <c r="B79" s="729"/>
      <c r="C79" s="730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2"/>
        <v>0</v>
      </c>
      <c r="AF79" s="381"/>
      <c r="AG79" s="408"/>
      <c r="AH79" s="409">
        <f t="shared" si="23"/>
        <v>0</v>
      </c>
      <c r="AI79" s="410"/>
      <c r="AJ79" s="411">
        <f t="shared" si="24"/>
        <v>0</v>
      </c>
      <c r="AK79" s="234"/>
      <c r="AL79" s="234"/>
      <c r="AM79" s="234"/>
    </row>
    <row r="80" spans="1:39" ht="20.25">
      <c r="A80" s="2667" t="s">
        <v>128</v>
      </c>
      <c r="B80" s="729"/>
      <c r="C80" s="730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22"/>
        <v>0</v>
      </c>
      <c r="AF80" s="381"/>
      <c r="AG80" s="408"/>
      <c r="AH80" s="409">
        <f t="shared" si="23"/>
        <v>0</v>
      </c>
      <c r="AI80" s="410"/>
      <c r="AJ80" s="411">
        <f t="shared" si="24"/>
        <v>0</v>
      </c>
      <c r="AK80" s="234"/>
      <c r="AL80" s="234"/>
      <c r="AM80" s="234"/>
    </row>
    <row r="81" spans="1:39" ht="20.25">
      <c r="A81" s="2667" t="s">
        <v>128</v>
      </c>
      <c r="B81" s="729"/>
      <c r="C81" s="730"/>
      <c r="D81" s="318"/>
      <c r="E81" s="319"/>
      <c r="F81" s="320"/>
      <c r="G81" s="320"/>
      <c r="H81" s="321"/>
      <c r="I81" s="321"/>
      <c r="J81" s="320"/>
      <c r="K81" s="354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22"/>
        <v>0</v>
      </c>
      <c r="AF81" s="381"/>
      <c r="AG81" s="408"/>
      <c r="AH81" s="409">
        <f t="shared" si="23"/>
        <v>0</v>
      </c>
      <c r="AI81" s="410"/>
      <c r="AJ81" s="411">
        <f t="shared" si="24"/>
        <v>0</v>
      </c>
      <c r="AK81" s="234"/>
      <c r="AL81" s="234"/>
      <c r="AM81" s="234"/>
    </row>
    <row r="82" spans="1:39" ht="21" thickBot="1">
      <c r="A82" s="2667" t="s">
        <v>128</v>
      </c>
      <c r="B82" s="729"/>
      <c r="C82" s="730"/>
      <c r="D82" s="318"/>
      <c r="E82" s="319"/>
      <c r="F82" s="320"/>
      <c r="G82" s="320"/>
      <c r="H82" s="321"/>
      <c r="I82" s="321"/>
      <c r="J82" s="320"/>
      <c r="K82" s="354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22"/>
        <v>0</v>
      </c>
      <c r="AF82" s="381"/>
      <c r="AG82" s="408"/>
      <c r="AH82" s="409">
        <f t="shared" si="23"/>
        <v>0</v>
      </c>
      <c r="AI82" s="410"/>
      <c r="AJ82" s="411">
        <f t="shared" si="24"/>
        <v>0</v>
      </c>
      <c r="AK82" s="234"/>
      <c r="AL82" s="234"/>
      <c r="AM82" s="234"/>
    </row>
    <row r="83" spans="1:39" ht="21" thickBot="1">
      <c r="A83" s="2667" t="s">
        <v>128</v>
      </c>
      <c r="B83" s="729"/>
      <c r="C83" s="730"/>
      <c r="D83" s="318"/>
      <c r="E83" s="319"/>
      <c r="F83" s="320"/>
      <c r="G83" s="320"/>
      <c r="H83" s="321"/>
      <c r="I83" s="321"/>
      <c r="J83" s="320"/>
      <c r="K83" s="354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22"/>
        <v>0</v>
      </c>
      <c r="AF83" s="381"/>
      <c r="AG83" s="408"/>
      <c r="AH83" s="409">
        <f t="shared" si="23"/>
        <v>0</v>
      </c>
      <c r="AI83" s="410"/>
      <c r="AJ83" s="411">
        <f t="shared" si="24"/>
        <v>0</v>
      </c>
      <c r="AK83" s="414" t="s">
        <v>8</v>
      </c>
      <c r="AL83" s="397" t="s">
        <v>23</v>
      </c>
      <c r="AM83" s="415" t="s">
        <v>174</v>
      </c>
    </row>
    <row r="84" spans="1:39" ht="21" thickBot="1">
      <c r="A84" s="2618" t="s">
        <v>128</v>
      </c>
      <c r="B84" s="724"/>
      <c r="C84" s="725"/>
      <c r="D84" s="312"/>
      <c r="E84" s="313"/>
      <c r="F84" s="314"/>
      <c r="G84" s="314"/>
      <c r="H84" s="315"/>
      <c r="I84" s="315"/>
      <c r="J84" s="314"/>
      <c r="K84" s="477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si="22"/>
        <v>0</v>
      </c>
      <c r="AF84" s="379"/>
      <c r="AG84" s="404"/>
      <c r="AH84" s="405">
        <f t="shared" si="23"/>
        <v>0</v>
      </c>
      <c r="AI84" s="406"/>
      <c r="AJ84" s="407">
        <f t="shared" si="24"/>
        <v>0</v>
      </c>
      <c r="AK84" s="399">
        <f>'BIG CHAIR'!CL105</f>
        <v>0</v>
      </c>
      <c r="AL84" s="400">
        <f>'Tea Table'!X195</f>
        <v>0</v>
      </c>
      <c r="AM84" s="401">
        <f>AH90+AK84+AL84</f>
        <v>0</v>
      </c>
    </row>
    <row r="85" spans="1:39" ht="21" thickBot="1">
      <c r="A85" s="2618" t="s">
        <v>128</v>
      </c>
      <c r="B85" s="724"/>
      <c r="C85" s="725"/>
      <c r="D85" s="312"/>
      <c r="E85" s="313"/>
      <c r="F85" s="314"/>
      <c r="G85" s="314"/>
      <c r="H85" s="315"/>
      <c r="I85" s="315"/>
      <c r="J85" s="314"/>
      <c r="K85" s="477"/>
      <c r="L85" s="349"/>
      <c r="M85" s="350"/>
      <c r="N85" s="315"/>
      <c r="O85" s="315"/>
      <c r="P85" s="315"/>
      <c r="Q85" s="315"/>
      <c r="R85" s="315"/>
      <c r="S85" s="315"/>
      <c r="T85" s="348"/>
      <c r="U85" s="349"/>
      <c r="V85" s="350"/>
      <c r="W85" s="315"/>
      <c r="X85" s="315"/>
      <c r="Y85" s="315"/>
      <c r="Z85" s="315"/>
      <c r="AA85" s="315"/>
      <c r="AB85" s="315"/>
      <c r="AC85" s="378"/>
      <c r="AD85" s="349"/>
      <c r="AE85" s="379">
        <f t="shared" si="22"/>
        <v>0</v>
      </c>
      <c r="AF85" s="379"/>
      <c r="AG85" s="404"/>
      <c r="AH85" s="405">
        <f t="shared" si="23"/>
        <v>0</v>
      </c>
      <c r="AI85" s="406"/>
      <c r="AJ85" s="407">
        <f t="shared" si="24"/>
        <v>0</v>
      </c>
      <c r="AK85" s="282"/>
      <c r="AL85" s="282"/>
      <c r="AM85" s="282"/>
    </row>
    <row r="86" spans="1:39" ht="21" thickBot="1">
      <c r="A86" s="2667" t="s">
        <v>128</v>
      </c>
      <c r="B86" s="729"/>
      <c r="C86" s="730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527"/>
      <c r="AB86" s="320"/>
      <c r="AC86" s="380"/>
      <c r="AD86" s="352"/>
      <c r="AE86" s="381">
        <f t="shared" ref="AE86:AE87" si="25">SUM(E86:AC86)</f>
        <v>0</v>
      </c>
      <c r="AF86" s="381"/>
      <c r="AG86" s="408"/>
      <c r="AH86" s="409">
        <f t="shared" si="23"/>
        <v>0</v>
      </c>
      <c r="AI86" s="410"/>
      <c r="AJ86" s="411">
        <f t="shared" si="24"/>
        <v>0</v>
      </c>
      <c r="AK86" s="234"/>
      <c r="AL86" s="234"/>
      <c r="AM86" s="234"/>
    </row>
    <row r="87" spans="1:39" ht="21" thickBot="1">
      <c r="A87" s="2667" t="s">
        <v>128</v>
      </c>
      <c r="B87" s="729"/>
      <c r="C87" s="730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527"/>
      <c r="AB87" s="320"/>
      <c r="AC87" s="380"/>
      <c r="AD87" s="352"/>
      <c r="AE87" s="381">
        <f t="shared" si="25"/>
        <v>0</v>
      </c>
      <c r="AF87" s="381"/>
      <c r="AG87" s="408"/>
      <c r="AH87" s="409">
        <f t="shared" si="23"/>
        <v>0</v>
      </c>
      <c r="AI87" s="410"/>
      <c r="AJ87" s="411">
        <f t="shared" si="24"/>
        <v>0</v>
      </c>
      <c r="AK87" s="234"/>
      <c r="AL87" s="234"/>
      <c r="AM87" s="234"/>
    </row>
    <row r="88" spans="1:39" ht="20.25">
      <c r="A88" s="2667" t="s">
        <v>128</v>
      </c>
      <c r="B88" s="729"/>
      <c r="C88" s="730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527"/>
      <c r="AB88" s="320"/>
      <c r="AC88" s="380"/>
      <c r="AD88" s="352"/>
      <c r="AE88" s="381">
        <f t="shared" si="22"/>
        <v>0</v>
      </c>
      <c r="AF88" s="381"/>
      <c r="AG88" s="408"/>
      <c r="AH88" s="409">
        <f t="shared" si="23"/>
        <v>0</v>
      </c>
      <c r="AI88" s="410"/>
      <c r="AJ88" s="411">
        <f t="shared" si="24"/>
        <v>0</v>
      </c>
      <c r="AK88" s="234"/>
      <c r="AL88" s="234"/>
      <c r="AM88" s="234"/>
    </row>
    <row r="89" spans="1:39" ht="21" thickBot="1">
      <c r="A89" s="2582"/>
      <c r="B89" s="731"/>
      <c r="C89" s="732"/>
      <c r="D89" s="324"/>
      <c r="E89" s="325"/>
      <c r="F89" s="297"/>
      <c r="G89" s="297"/>
      <c r="H89" s="298"/>
      <c r="I89" s="298"/>
      <c r="J89" s="297"/>
      <c r="K89" s="344"/>
      <c r="L89" s="355"/>
      <c r="M89" s="343"/>
      <c r="N89" s="298"/>
      <c r="O89" s="298"/>
      <c r="P89" s="298"/>
      <c r="Q89" s="298"/>
      <c r="R89" s="298"/>
      <c r="S89" s="298"/>
      <c r="T89" s="367"/>
      <c r="U89" s="355"/>
      <c r="V89" s="325"/>
      <c r="W89" s="297"/>
      <c r="X89" s="297"/>
      <c r="Y89" s="298"/>
      <c r="Z89" s="298"/>
      <c r="AA89" s="298"/>
      <c r="AB89" s="297"/>
      <c r="AC89" s="375"/>
      <c r="AD89" s="355"/>
      <c r="AE89" s="376">
        <f t="shared" si="22"/>
        <v>0</v>
      </c>
      <c r="AF89" s="377"/>
      <c r="AG89" s="390"/>
      <c r="AH89" s="391">
        <f t="shared" si="23"/>
        <v>0</v>
      </c>
      <c r="AI89" s="412"/>
      <c r="AJ89" s="413">
        <f t="shared" si="24"/>
        <v>0</v>
      </c>
      <c r="AK89" s="234"/>
      <c r="AL89" s="234"/>
      <c r="AM89" s="234"/>
    </row>
    <row r="90" spans="1:39" ht="19.5" thickBot="1">
      <c r="A90" s="302" t="s">
        <v>129</v>
      </c>
      <c r="B90" s="303"/>
      <c r="C90" s="734"/>
      <c r="D90" s="328"/>
      <c r="E90" s="329">
        <f t="shared" ref="E90:AJ90" si="26">SUM(E74:E89)</f>
        <v>0</v>
      </c>
      <c r="F90" s="329">
        <f t="shared" si="26"/>
        <v>0</v>
      </c>
      <c r="G90" s="329">
        <f t="shared" si="26"/>
        <v>0</v>
      </c>
      <c r="H90" s="329">
        <f t="shared" si="26"/>
        <v>0</v>
      </c>
      <c r="I90" s="329">
        <f t="shared" si="26"/>
        <v>0</v>
      </c>
      <c r="J90" s="329">
        <f t="shared" si="26"/>
        <v>0</v>
      </c>
      <c r="K90" s="329">
        <f t="shared" si="26"/>
        <v>0</v>
      </c>
      <c r="L90" s="329">
        <f t="shared" si="26"/>
        <v>0</v>
      </c>
      <c r="M90" s="329">
        <f t="shared" si="26"/>
        <v>0</v>
      </c>
      <c r="N90" s="329">
        <f t="shared" si="26"/>
        <v>0</v>
      </c>
      <c r="O90" s="329">
        <f t="shared" si="26"/>
        <v>0</v>
      </c>
      <c r="P90" s="329">
        <f t="shared" si="26"/>
        <v>0</v>
      </c>
      <c r="Q90" s="329">
        <f t="shared" si="26"/>
        <v>0</v>
      </c>
      <c r="R90" s="329">
        <f t="shared" si="26"/>
        <v>0</v>
      </c>
      <c r="S90" s="329">
        <f t="shared" si="26"/>
        <v>0</v>
      </c>
      <c r="T90" s="329">
        <f t="shared" si="26"/>
        <v>0</v>
      </c>
      <c r="U90" s="329">
        <f t="shared" si="26"/>
        <v>0</v>
      </c>
      <c r="V90" s="329">
        <f t="shared" si="26"/>
        <v>0</v>
      </c>
      <c r="W90" s="329">
        <f t="shared" si="26"/>
        <v>0</v>
      </c>
      <c r="X90" s="329">
        <f t="shared" si="26"/>
        <v>0</v>
      </c>
      <c r="Y90" s="329">
        <f t="shared" si="26"/>
        <v>0</v>
      </c>
      <c r="Z90" s="329">
        <f t="shared" si="26"/>
        <v>0</v>
      </c>
      <c r="AA90" s="329">
        <f t="shared" si="26"/>
        <v>0</v>
      </c>
      <c r="AB90" s="329">
        <f t="shared" si="26"/>
        <v>0</v>
      </c>
      <c r="AC90" s="329">
        <f t="shared" si="26"/>
        <v>0</v>
      </c>
      <c r="AD90" s="329">
        <f t="shared" si="26"/>
        <v>0</v>
      </c>
      <c r="AE90" s="329">
        <f t="shared" si="26"/>
        <v>0</v>
      </c>
      <c r="AF90" s="329">
        <f t="shared" si="26"/>
        <v>0</v>
      </c>
      <c r="AG90" s="329">
        <f t="shared" si="26"/>
        <v>0</v>
      </c>
      <c r="AH90" s="329">
        <f t="shared" si="26"/>
        <v>0</v>
      </c>
      <c r="AI90" s="329">
        <f t="shared" si="26"/>
        <v>0</v>
      </c>
      <c r="AJ90" s="329">
        <f t="shared" si="26"/>
        <v>0</v>
      </c>
      <c r="AK90" s="234"/>
      <c r="AL90" s="234"/>
      <c r="AM90" s="234"/>
    </row>
    <row r="91" spans="1:39" ht="24" thickBot="1">
      <c r="A91" s="721" t="s">
        <v>130</v>
      </c>
      <c r="B91" s="3597" t="s">
        <v>68</v>
      </c>
      <c r="C91" s="287" t="s">
        <v>69</v>
      </c>
      <c r="D91" s="288" t="s">
        <v>70</v>
      </c>
      <c r="E91" s="80" t="s">
        <v>190</v>
      </c>
      <c r="F91" s="49" t="s">
        <v>94</v>
      </c>
      <c r="G91" s="49" t="s">
        <v>53</v>
      </c>
      <c r="H91" s="49" t="s">
        <v>136</v>
      </c>
      <c r="I91" s="49" t="s">
        <v>76</v>
      </c>
      <c r="J91" s="49" t="s">
        <v>206</v>
      </c>
      <c r="K91" s="126" t="s">
        <v>272</v>
      </c>
      <c r="L91" s="79"/>
      <c r="M91" s="80" t="s">
        <v>222</v>
      </c>
      <c r="N91" s="49" t="s">
        <v>92</v>
      </c>
      <c r="O91" s="49" t="s">
        <v>251</v>
      </c>
      <c r="P91" s="49" t="s">
        <v>53</v>
      </c>
      <c r="Q91" s="49" t="s">
        <v>94</v>
      </c>
      <c r="R91" s="49" t="s">
        <v>206</v>
      </c>
      <c r="S91" s="126" t="s">
        <v>101</v>
      </c>
      <c r="T91" s="171" t="s">
        <v>497</v>
      </c>
      <c r="U91" s="79"/>
      <c r="V91" s="172" t="s">
        <v>497</v>
      </c>
      <c r="W91" s="103" t="s">
        <v>97</v>
      </c>
      <c r="X91" s="103" t="s">
        <v>124</v>
      </c>
      <c r="Y91" s="103" t="s">
        <v>206</v>
      </c>
      <c r="Z91" s="103" t="s">
        <v>269</v>
      </c>
      <c r="AA91" s="103" t="s">
        <v>96</v>
      </c>
      <c r="AB91" s="179" t="s">
        <v>92</v>
      </c>
      <c r="AC91" s="180" t="s">
        <v>101</v>
      </c>
      <c r="AD91" s="370"/>
      <c r="AE91" s="371" t="s">
        <v>172</v>
      </c>
      <c r="AF91" s="372" t="s">
        <v>80</v>
      </c>
      <c r="AG91" s="385"/>
      <c r="AH91" s="386" t="s">
        <v>106</v>
      </c>
      <c r="AI91" s="385" t="s">
        <v>173</v>
      </c>
      <c r="AJ91" s="371" t="s">
        <v>108</v>
      </c>
      <c r="AK91" s="234"/>
      <c r="AL91" s="234"/>
      <c r="AM91" s="234"/>
    </row>
    <row r="92" spans="1:39" ht="20.25">
      <c r="A92" s="2618" t="s">
        <v>131</v>
      </c>
      <c r="B92" s="724" t="s">
        <v>472</v>
      </c>
      <c r="C92" s="725"/>
      <c r="D92" s="312"/>
      <c r="E92" s="313"/>
      <c r="F92" s="314"/>
      <c r="G92" s="314"/>
      <c r="H92" s="315"/>
      <c r="I92" s="315"/>
      <c r="J92" s="314"/>
      <c r="K92" s="477"/>
      <c r="L92" s="349"/>
      <c r="M92" s="350"/>
      <c r="N92" s="315"/>
      <c r="O92" s="315"/>
      <c r="P92" s="315"/>
      <c r="Q92" s="315"/>
      <c r="R92" s="315"/>
      <c r="S92" s="315"/>
      <c r="T92" s="348"/>
      <c r="U92" s="349"/>
      <c r="V92" s="350"/>
      <c r="W92" s="315"/>
      <c r="X92" s="315"/>
      <c r="Y92" s="315"/>
      <c r="Z92" s="315"/>
      <c r="AA92" s="315"/>
      <c r="AB92" s="315"/>
      <c r="AC92" s="378"/>
      <c r="AD92" s="349"/>
      <c r="AE92" s="379">
        <f t="shared" ref="AE92:AE103" si="27">SUM(E92:AC92)</f>
        <v>0</v>
      </c>
      <c r="AF92" s="379"/>
      <c r="AG92" s="404"/>
      <c r="AH92" s="405">
        <f t="shared" ref="AH92:AH103" si="28">AE92+AF92</f>
        <v>0</v>
      </c>
      <c r="AI92" s="406"/>
      <c r="AJ92" s="407">
        <f t="shared" ref="AJ92:AJ103" si="29">AH92+AI92</f>
        <v>0</v>
      </c>
      <c r="AK92" s="234"/>
      <c r="AL92" s="234"/>
      <c r="AM92" s="234"/>
    </row>
    <row r="93" spans="1:39" ht="20.25">
      <c r="A93" s="726" t="s">
        <v>131</v>
      </c>
      <c r="B93" s="727"/>
      <c r="C93" s="728"/>
      <c r="D93" s="318"/>
      <c r="E93" s="319"/>
      <c r="F93" s="320"/>
      <c r="G93" s="320"/>
      <c r="H93" s="321"/>
      <c r="I93" s="321"/>
      <c r="J93" s="320"/>
      <c r="K93" s="351"/>
      <c r="L93" s="352"/>
      <c r="M93" s="353"/>
      <c r="N93" s="320"/>
      <c r="O93" s="320"/>
      <c r="P93" s="321"/>
      <c r="Q93" s="321"/>
      <c r="R93" s="321"/>
      <c r="S93" s="320"/>
      <c r="T93" s="351"/>
      <c r="U93" s="352"/>
      <c r="V93" s="353"/>
      <c r="W93" s="321"/>
      <c r="X93" s="321"/>
      <c r="Y93" s="321"/>
      <c r="Z93" s="321"/>
      <c r="AA93" s="321"/>
      <c r="AB93" s="321"/>
      <c r="AC93" s="380"/>
      <c r="AD93" s="352"/>
      <c r="AE93" s="381">
        <f t="shared" si="27"/>
        <v>0</v>
      </c>
      <c r="AF93" s="381"/>
      <c r="AG93" s="408"/>
      <c r="AH93" s="409">
        <f t="shared" si="28"/>
        <v>0</v>
      </c>
      <c r="AI93" s="410"/>
      <c r="AJ93" s="411">
        <f t="shared" si="29"/>
        <v>0</v>
      </c>
      <c r="AK93" s="234"/>
      <c r="AL93" s="234"/>
      <c r="AM93" s="234"/>
    </row>
    <row r="94" spans="1:39" ht="20.25">
      <c r="A94" s="726" t="s">
        <v>131</v>
      </c>
      <c r="B94" s="729"/>
      <c r="C94" s="730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27"/>
        <v>0</v>
      </c>
      <c r="AF94" s="381"/>
      <c r="AG94" s="408"/>
      <c r="AH94" s="409">
        <f t="shared" si="28"/>
        <v>0</v>
      </c>
      <c r="AI94" s="410"/>
      <c r="AJ94" s="411">
        <f t="shared" si="29"/>
        <v>0</v>
      </c>
      <c r="AK94" s="234"/>
      <c r="AL94" s="234"/>
      <c r="AM94" s="234"/>
    </row>
    <row r="95" spans="1:39" ht="20.25">
      <c r="A95" s="726" t="s">
        <v>131</v>
      </c>
      <c r="B95" s="729"/>
      <c r="C95" s="730"/>
      <c r="D95" s="318"/>
      <c r="E95" s="319"/>
      <c r="F95" s="320"/>
      <c r="G95" s="320"/>
      <c r="H95" s="321"/>
      <c r="I95" s="321"/>
      <c r="J95" s="320"/>
      <c r="K95" s="354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27"/>
        <v>0</v>
      </c>
      <c r="AF95" s="381"/>
      <c r="AG95" s="408"/>
      <c r="AH95" s="409">
        <f t="shared" si="28"/>
        <v>0</v>
      </c>
      <c r="AI95" s="410"/>
      <c r="AJ95" s="411">
        <f t="shared" si="29"/>
        <v>0</v>
      </c>
      <c r="AK95" s="234"/>
      <c r="AL95" s="234"/>
      <c r="AM95" s="234"/>
    </row>
    <row r="96" spans="1:39" ht="21" thickBot="1">
      <c r="A96" s="726" t="s">
        <v>131</v>
      </c>
      <c r="B96" s="729"/>
      <c r="C96" s="730"/>
      <c r="D96" s="318"/>
      <c r="E96" s="319"/>
      <c r="F96" s="320"/>
      <c r="G96" s="320"/>
      <c r="H96" s="321"/>
      <c r="I96" s="321"/>
      <c r="J96" s="320"/>
      <c r="K96" s="354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27"/>
        <v>0</v>
      </c>
      <c r="AF96" s="381"/>
      <c r="AG96" s="408"/>
      <c r="AH96" s="409">
        <f t="shared" si="28"/>
        <v>0</v>
      </c>
      <c r="AI96" s="410"/>
      <c r="AJ96" s="411">
        <f t="shared" si="29"/>
        <v>0</v>
      </c>
      <c r="AK96" s="234"/>
      <c r="AL96" s="234"/>
      <c r="AM96" s="234"/>
    </row>
    <row r="97" spans="1:39" ht="21" thickBot="1">
      <c r="A97" s="726" t="s">
        <v>131</v>
      </c>
      <c r="B97" s="729"/>
      <c r="C97" s="730"/>
      <c r="D97" s="318"/>
      <c r="E97" s="319"/>
      <c r="F97" s="320"/>
      <c r="G97" s="320"/>
      <c r="H97" s="321"/>
      <c r="I97" s="321"/>
      <c r="J97" s="320"/>
      <c r="K97" s="354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27"/>
        <v>0</v>
      </c>
      <c r="AF97" s="381"/>
      <c r="AG97" s="408"/>
      <c r="AH97" s="409">
        <f t="shared" si="28"/>
        <v>0</v>
      </c>
      <c r="AI97" s="410"/>
      <c r="AJ97" s="411">
        <f t="shared" si="29"/>
        <v>0</v>
      </c>
      <c r="AK97" s="414" t="s">
        <v>8</v>
      </c>
      <c r="AL97" s="397" t="s">
        <v>23</v>
      </c>
      <c r="AM97" s="415" t="s">
        <v>174</v>
      </c>
    </row>
    <row r="98" spans="1:39" ht="21" thickBot="1">
      <c r="A98" s="726" t="s">
        <v>131</v>
      </c>
      <c r="B98" s="729"/>
      <c r="C98" s="730"/>
      <c r="D98" s="318"/>
      <c r="E98" s="319"/>
      <c r="F98" s="320"/>
      <c r="G98" s="320"/>
      <c r="H98" s="321"/>
      <c r="I98" s="321"/>
      <c r="J98" s="320"/>
      <c r="K98" s="354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27"/>
        <v>0</v>
      </c>
      <c r="AF98" s="381"/>
      <c r="AG98" s="408"/>
      <c r="AH98" s="409">
        <f t="shared" si="28"/>
        <v>0</v>
      </c>
      <c r="AI98" s="410"/>
      <c r="AJ98" s="411">
        <f t="shared" si="29"/>
        <v>0</v>
      </c>
      <c r="AK98" s="399">
        <f>'BIG CHAIR'!CL119</f>
        <v>0</v>
      </c>
      <c r="AL98" s="400">
        <f>'Tea Table'!X207</f>
        <v>120</v>
      </c>
      <c r="AM98" s="401">
        <f>AH104+AK98+AL98</f>
        <v>120</v>
      </c>
    </row>
    <row r="99" spans="1:39" ht="20.25">
      <c r="A99" s="726" t="s">
        <v>131</v>
      </c>
      <c r="B99" s="729"/>
      <c r="C99" s="730"/>
      <c r="D99" s="318"/>
      <c r="E99" s="319"/>
      <c r="F99" s="320"/>
      <c r="G99" s="320"/>
      <c r="H99" s="321"/>
      <c r="I99" s="321"/>
      <c r="J99" s="320"/>
      <c r="K99" s="354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27"/>
        <v>0</v>
      </c>
      <c r="AF99" s="381"/>
      <c r="AG99" s="408"/>
      <c r="AH99" s="409">
        <f t="shared" si="28"/>
        <v>0</v>
      </c>
      <c r="AI99" s="410"/>
      <c r="AJ99" s="411">
        <f t="shared" si="29"/>
        <v>0</v>
      </c>
    </row>
    <row r="100" spans="1:39" s="284" customFormat="1" ht="18.75" customHeight="1">
      <c r="A100" s="1180" t="s">
        <v>131</v>
      </c>
      <c r="B100" s="729"/>
      <c r="C100" s="729"/>
      <c r="D100" s="729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27"/>
        <v>0</v>
      </c>
      <c r="AF100" s="381"/>
      <c r="AG100" s="408"/>
      <c r="AH100" s="409">
        <f t="shared" si="28"/>
        <v>0</v>
      </c>
      <c r="AI100" s="410"/>
      <c r="AJ100" s="411">
        <f t="shared" si="29"/>
        <v>0</v>
      </c>
      <c r="AK100" s="403"/>
      <c r="AL100" s="403"/>
      <c r="AM100" s="403"/>
    </row>
    <row r="101" spans="1:39" s="282" customFormat="1" ht="20.25">
      <c r="A101" s="1180" t="s">
        <v>131</v>
      </c>
      <c r="B101" s="729"/>
      <c r="C101" s="729"/>
      <c r="D101" s="729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27"/>
        <v>0</v>
      </c>
      <c r="AF101" s="381"/>
      <c r="AG101" s="408"/>
      <c r="AH101" s="409">
        <f t="shared" si="28"/>
        <v>0</v>
      </c>
      <c r="AI101" s="410"/>
      <c r="AJ101" s="411">
        <f t="shared" si="29"/>
        <v>0</v>
      </c>
    </row>
    <row r="102" spans="1:39" s="283" customFormat="1" ht="20.25">
      <c r="A102" s="726" t="s">
        <v>131</v>
      </c>
      <c r="B102" s="729"/>
      <c r="C102" s="730"/>
      <c r="D102" s="318"/>
      <c r="E102" s="319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27"/>
        <v>0</v>
      </c>
      <c r="AF102" s="381"/>
      <c r="AG102" s="408"/>
      <c r="AH102" s="409">
        <f t="shared" si="28"/>
        <v>0</v>
      </c>
      <c r="AI102" s="410"/>
      <c r="AJ102" s="411">
        <f t="shared" si="29"/>
        <v>0</v>
      </c>
    </row>
    <row r="103" spans="1:39" s="283" customFormat="1" ht="21" thickBot="1">
      <c r="A103" s="2563"/>
      <c r="B103" s="2564"/>
      <c r="C103" s="732"/>
      <c r="D103" s="324"/>
      <c r="E103" s="325"/>
      <c r="F103" s="297"/>
      <c r="G103" s="297"/>
      <c r="H103" s="298"/>
      <c r="I103" s="298"/>
      <c r="J103" s="297"/>
      <c r="K103" s="344"/>
      <c r="L103" s="355"/>
      <c r="M103" s="343"/>
      <c r="N103" s="298"/>
      <c r="O103" s="298"/>
      <c r="P103" s="298"/>
      <c r="Q103" s="298"/>
      <c r="R103" s="298"/>
      <c r="S103" s="298"/>
      <c r="T103" s="367"/>
      <c r="U103" s="355"/>
      <c r="V103" s="325"/>
      <c r="W103" s="297"/>
      <c r="X103" s="297"/>
      <c r="Y103" s="298"/>
      <c r="Z103" s="298"/>
      <c r="AA103" s="298"/>
      <c r="AB103" s="297"/>
      <c r="AC103" s="375"/>
      <c r="AD103" s="355"/>
      <c r="AE103" s="376">
        <f t="shared" si="27"/>
        <v>0</v>
      </c>
      <c r="AF103" s="377"/>
      <c r="AG103" s="390"/>
      <c r="AH103" s="391">
        <f t="shared" si="28"/>
        <v>0</v>
      </c>
      <c r="AI103" s="412"/>
      <c r="AJ103" s="413">
        <f t="shared" si="29"/>
        <v>0</v>
      </c>
    </row>
    <row r="104" spans="1:39" s="283" customFormat="1" ht="19.5" thickBot="1">
      <c r="A104" s="326" t="s">
        <v>216</v>
      </c>
      <c r="B104" s="327"/>
      <c r="C104" s="327"/>
      <c r="D104" s="328"/>
      <c r="E104" s="329">
        <f t="shared" ref="E104:AJ104" si="30">SUM(E92:E103)</f>
        <v>0</v>
      </c>
      <c r="F104" s="329">
        <f t="shared" si="30"/>
        <v>0</v>
      </c>
      <c r="G104" s="329">
        <f t="shared" si="30"/>
        <v>0</v>
      </c>
      <c r="H104" s="329">
        <f t="shared" si="30"/>
        <v>0</v>
      </c>
      <c r="I104" s="329">
        <f t="shared" si="30"/>
        <v>0</v>
      </c>
      <c r="J104" s="329">
        <f t="shared" si="30"/>
        <v>0</v>
      </c>
      <c r="K104" s="329">
        <f t="shared" si="30"/>
        <v>0</v>
      </c>
      <c r="L104" s="329">
        <f t="shared" si="30"/>
        <v>0</v>
      </c>
      <c r="M104" s="329">
        <f t="shared" si="30"/>
        <v>0</v>
      </c>
      <c r="N104" s="329">
        <f t="shared" si="30"/>
        <v>0</v>
      </c>
      <c r="O104" s="329">
        <f t="shared" si="30"/>
        <v>0</v>
      </c>
      <c r="P104" s="329">
        <f t="shared" si="30"/>
        <v>0</v>
      </c>
      <c r="Q104" s="329">
        <f t="shared" si="30"/>
        <v>0</v>
      </c>
      <c r="R104" s="329">
        <f t="shared" si="30"/>
        <v>0</v>
      </c>
      <c r="S104" s="329">
        <f t="shared" si="30"/>
        <v>0</v>
      </c>
      <c r="T104" s="329">
        <f t="shared" si="30"/>
        <v>0</v>
      </c>
      <c r="U104" s="329">
        <f t="shared" si="30"/>
        <v>0</v>
      </c>
      <c r="V104" s="329">
        <f t="shared" si="30"/>
        <v>0</v>
      </c>
      <c r="W104" s="329">
        <f t="shared" si="30"/>
        <v>0</v>
      </c>
      <c r="X104" s="329">
        <f t="shared" si="30"/>
        <v>0</v>
      </c>
      <c r="Y104" s="329">
        <f t="shared" si="30"/>
        <v>0</v>
      </c>
      <c r="Z104" s="329">
        <f t="shared" si="30"/>
        <v>0</v>
      </c>
      <c r="AA104" s="329">
        <f t="shared" si="30"/>
        <v>0</v>
      </c>
      <c r="AB104" s="329">
        <f t="shared" si="30"/>
        <v>0</v>
      </c>
      <c r="AC104" s="329">
        <f t="shared" si="30"/>
        <v>0</v>
      </c>
      <c r="AD104" s="329">
        <f t="shared" si="30"/>
        <v>0</v>
      </c>
      <c r="AE104" s="329">
        <f t="shared" si="30"/>
        <v>0</v>
      </c>
      <c r="AF104" s="329">
        <f t="shared" si="30"/>
        <v>0</v>
      </c>
      <c r="AG104" s="329">
        <f t="shared" si="30"/>
        <v>0</v>
      </c>
      <c r="AH104" s="329">
        <f t="shared" si="30"/>
        <v>0</v>
      </c>
      <c r="AI104" s="329">
        <f t="shared" si="30"/>
        <v>0</v>
      </c>
      <c r="AJ104" s="329">
        <f t="shared" si="30"/>
        <v>0</v>
      </c>
    </row>
    <row r="105" spans="1:39" s="283" customFormat="1" ht="24" thickBot="1">
      <c r="A105" s="721" t="s">
        <v>393</v>
      </c>
      <c r="B105" s="3606" t="s">
        <v>68</v>
      </c>
      <c r="C105" s="287" t="s">
        <v>69</v>
      </c>
      <c r="D105" s="288" t="s">
        <v>70</v>
      </c>
      <c r="E105" s="80" t="s">
        <v>190</v>
      </c>
      <c r="F105" s="49" t="s">
        <v>94</v>
      </c>
      <c r="G105" s="49" t="s">
        <v>53</v>
      </c>
      <c r="H105" s="49" t="s">
        <v>136</v>
      </c>
      <c r="I105" s="49" t="s">
        <v>76</v>
      </c>
      <c r="J105" s="49" t="s">
        <v>206</v>
      </c>
      <c r="K105" s="126" t="s">
        <v>272</v>
      </c>
      <c r="L105" s="79"/>
      <c r="M105" s="80" t="s">
        <v>222</v>
      </c>
      <c r="N105" s="49" t="s">
        <v>92</v>
      </c>
      <c r="O105" s="49" t="s">
        <v>251</v>
      </c>
      <c r="P105" s="49" t="s">
        <v>53</v>
      </c>
      <c r="Q105" s="49" t="s">
        <v>94</v>
      </c>
      <c r="R105" s="49" t="s">
        <v>206</v>
      </c>
      <c r="S105" s="126" t="s">
        <v>101</v>
      </c>
      <c r="T105" s="171" t="s">
        <v>497</v>
      </c>
      <c r="U105" s="79"/>
      <c r="V105" s="172" t="s">
        <v>497</v>
      </c>
      <c r="W105" s="103" t="s">
        <v>97</v>
      </c>
      <c r="X105" s="103" t="s">
        <v>124</v>
      </c>
      <c r="Y105" s="103" t="s">
        <v>206</v>
      </c>
      <c r="Z105" s="103" t="s">
        <v>269</v>
      </c>
      <c r="AA105" s="103" t="s">
        <v>96</v>
      </c>
      <c r="AB105" s="179" t="s">
        <v>92</v>
      </c>
      <c r="AC105" s="180" t="s">
        <v>101</v>
      </c>
      <c r="AD105" s="370"/>
      <c r="AE105" s="371" t="s">
        <v>172</v>
      </c>
      <c r="AF105" s="372" t="s">
        <v>80</v>
      </c>
      <c r="AG105" s="385"/>
      <c r="AH105" s="386" t="s">
        <v>106</v>
      </c>
      <c r="AI105" s="385" t="s">
        <v>173</v>
      </c>
      <c r="AJ105" s="371" t="s">
        <v>108</v>
      </c>
    </row>
    <row r="106" spans="1:39" s="283" customFormat="1" ht="20.25">
      <c r="A106" s="2618" t="s">
        <v>392</v>
      </c>
      <c r="B106" s="724" t="s">
        <v>472</v>
      </c>
      <c r="C106" s="725"/>
      <c r="D106" s="312"/>
      <c r="E106" s="313"/>
      <c r="F106" s="314"/>
      <c r="G106" s="314"/>
      <c r="H106" s="315"/>
      <c r="I106" s="315"/>
      <c r="J106" s="314"/>
      <c r="K106" s="477"/>
      <c r="L106" s="349"/>
      <c r="M106" s="350"/>
      <c r="N106" s="315"/>
      <c r="O106" s="315"/>
      <c r="P106" s="315"/>
      <c r="Q106" s="315"/>
      <c r="R106" s="315"/>
      <c r="S106" s="315"/>
      <c r="T106" s="348"/>
      <c r="U106" s="349"/>
      <c r="V106" s="350"/>
      <c r="W106" s="315"/>
      <c r="X106" s="315"/>
      <c r="Y106" s="315"/>
      <c r="Z106" s="315"/>
      <c r="AA106" s="315"/>
      <c r="AB106" s="315"/>
      <c r="AC106" s="378"/>
      <c r="AD106" s="349"/>
      <c r="AE106" s="379">
        <f t="shared" ref="AE106:AE117" si="31">SUM(E106:AC106)</f>
        <v>0</v>
      </c>
      <c r="AF106" s="379"/>
      <c r="AG106" s="404"/>
      <c r="AH106" s="405">
        <f t="shared" ref="AH106:AH117" si="32">AE106+AF106</f>
        <v>0</v>
      </c>
      <c r="AI106" s="406"/>
      <c r="AJ106" s="407">
        <f t="shared" ref="AJ106:AJ117" si="33">AH106+AI106</f>
        <v>0</v>
      </c>
    </row>
    <row r="107" spans="1:39" s="283" customFormat="1" ht="20.25">
      <c r="A107" s="2618" t="s">
        <v>392</v>
      </c>
      <c r="B107" s="727"/>
      <c r="C107" s="728"/>
      <c r="D107" s="318"/>
      <c r="E107" s="319"/>
      <c r="F107" s="320"/>
      <c r="G107" s="320"/>
      <c r="H107" s="321"/>
      <c r="I107" s="321"/>
      <c r="J107" s="320"/>
      <c r="K107" s="351"/>
      <c r="L107" s="352"/>
      <c r="M107" s="353"/>
      <c r="N107" s="320"/>
      <c r="O107" s="320"/>
      <c r="P107" s="321"/>
      <c r="Q107" s="321"/>
      <c r="R107" s="321"/>
      <c r="S107" s="320"/>
      <c r="T107" s="351"/>
      <c r="U107" s="352"/>
      <c r="V107" s="353"/>
      <c r="W107" s="321"/>
      <c r="X107" s="321"/>
      <c r="Y107" s="321"/>
      <c r="Z107" s="321"/>
      <c r="AA107" s="321"/>
      <c r="AB107" s="321"/>
      <c r="AC107" s="380"/>
      <c r="AD107" s="352"/>
      <c r="AE107" s="381">
        <f t="shared" si="31"/>
        <v>0</v>
      </c>
      <c r="AF107" s="381"/>
      <c r="AG107" s="408"/>
      <c r="AH107" s="409">
        <f t="shared" si="32"/>
        <v>0</v>
      </c>
      <c r="AI107" s="410"/>
      <c r="AJ107" s="411">
        <f t="shared" si="33"/>
        <v>0</v>
      </c>
    </row>
    <row r="108" spans="1:39" s="284" customFormat="1" ht="15" customHeight="1">
      <c r="A108" s="2618" t="s">
        <v>392</v>
      </c>
      <c r="B108" s="729"/>
      <c r="C108" s="730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31"/>
        <v>0</v>
      </c>
      <c r="AF108" s="381"/>
      <c r="AG108" s="408"/>
      <c r="AH108" s="409">
        <f t="shared" si="32"/>
        <v>0</v>
      </c>
      <c r="AI108" s="410"/>
      <c r="AJ108" s="411">
        <f t="shared" si="33"/>
        <v>0</v>
      </c>
      <c r="AK108" s="403"/>
      <c r="AL108" s="403"/>
      <c r="AM108" s="403"/>
    </row>
    <row r="109" spans="1:39" s="282" customFormat="1" ht="20.25">
      <c r="A109" s="2618" t="s">
        <v>392</v>
      </c>
      <c r="B109" s="729"/>
      <c r="C109" s="730"/>
      <c r="D109" s="318"/>
      <c r="E109" s="319"/>
      <c r="F109" s="320"/>
      <c r="G109" s="320"/>
      <c r="H109" s="321"/>
      <c r="I109" s="321"/>
      <c r="J109" s="320"/>
      <c r="K109" s="354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31"/>
        <v>0</v>
      </c>
      <c r="AF109" s="381"/>
      <c r="AG109" s="408"/>
      <c r="AH109" s="409">
        <f t="shared" si="32"/>
        <v>0</v>
      </c>
      <c r="AI109" s="410"/>
      <c r="AJ109" s="411">
        <f t="shared" si="33"/>
        <v>0</v>
      </c>
    </row>
    <row r="110" spans="1:39" s="283" customFormat="1" ht="20.25">
      <c r="A110" s="2618" t="s">
        <v>392</v>
      </c>
      <c r="B110" s="729"/>
      <c r="C110" s="730"/>
      <c r="D110" s="318"/>
      <c r="E110" s="319"/>
      <c r="F110" s="320"/>
      <c r="G110" s="320"/>
      <c r="H110" s="321"/>
      <c r="I110" s="321"/>
      <c r="J110" s="320"/>
      <c r="K110" s="354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/>
      <c r="AD110" s="352"/>
      <c r="AE110" s="381">
        <f t="shared" si="31"/>
        <v>0</v>
      </c>
      <c r="AF110" s="381"/>
      <c r="AG110" s="408"/>
      <c r="AH110" s="409">
        <f t="shared" si="32"/>
        <v>0</v>
      </c>
      <c r="AI110" s="410"/>
      <c r="AJ110" s="411">
        <f t="shared" si="33"/>
        <v>0</v>
      </c>
    </row>
    <row r="111" spans="1:39" s="283" customFormat="1" ht="20.25">
      <c r="A111" s="2618" t="s">
        <v>392</v>
      </c>
      <c r="B111" s="729"/>
      <c r="C111" s="730"/>
      <c r="D111" s="318"/>
      <c r="E111" s="319"/>
      <c r="F111" s="320"/>
      <c r="G111" s="320"/>
      <c r="H111" s="321"/>
      <c r="I111" s="321"/>
      <c r="J111" s="320"/>
      <c r="K111" s="354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31"/>
        <v>0</v>
      </c>
      <c r="AF111" s="381"/>
      <c r="AG111" s="408"/>
      <c r="AH111" s="409">
        <f t="shared" si="32"/>
        <v>0</v>
      </c>
      <c r="AI111" s="410"/>
      <c r="AJ111" s="411">
        <f t="shared" si="33"/>
        <v>0</v>
      </c>
    </row>
    <row r="112" spans="1:39" s="283" customFormat="1" ht="20.25">
      <c r="A112" s="2618" t="s">
        <v>392</v>
      </c>
      <c r="B112" s="729"/>
      <c r="C112" s="730"/>
      <c r="D112" s="318"/>
      <c r="E112" s="319"/>
      <c r="F112" s="320"/>
      <c r="G112" s="320"/>
      <c r="H112" s="321"/>
      <c r="I112" s="321"/>
      <c r="J112" s="320"/>
      <c r="K112" s="354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31"/>
        <v>0</v>
      </c>
      <c r="AF112" s="381"/>
      <c r="AG112" s="408"/>
      <c r="AH112" s="409">
        <f t="shared" si="32"/>
        <v>0</v>
      </c>
      <c r="AI112" s="410"/>
      <c r="AJ112" s="411">
        <f t="shared" si="33"/>
        <v>0</v>
      </c>
    </row>
    <row r="113" spans="1:39" s="283" customFormat="1" ht="20.25">
      <c r="A113" s="2618" t="s">
        <v>392</v>
      </c>
      <c r="B113" s="729"/>
      <c r="C113" s="730"/>
      <c r="D113" s="318"/>
      <c r="E113" s="319"/>
      <c r="F113" s="320"/>
      <c r="G113" s="320"/>
      <c r="H113" s="321"/>
      <c r="I113" s="321"/>
      <c r="J113" s="320"/>
      <c r="K113" s="354"/>
      <c r="L113" s="352"/>
      <c r="M113" s="353"/>
      <c r="N113" s="321"/>
      <c r="O113" s="321"/>
      <c r="P113" s="321"/>
      <c r="Q113" s="321"/>
      <c r="R113" s="321"/>
      <c r="S113" s="321"/>
      <c r="T113" s="351"/>
      <c r="U113" s="352"/>
      <c r="V113" s="319"/>
      <c r="W113" s="320"/>
      <c r="X113" s="320"/>
      <c r="Y113" s="321"/>
      <c r="Z113" s="321"/>
      <c r="AA113" s="321"/>
      <c r="AB113" s="320"/>
      <c r="AC113" s="380"/>
      <c r="AD113" s="352"/>
      <c r="AE113" s="381">
        <f t="shared" si="31"/>
        <v>0</v>
      </c>
      <c r="AF113" s="381"/>
      <c r="AG113" s="408"/>
      <c r="AH113" s="409">
        <f t="shared" si="32"/>
        <v>0</v>
      </c>
      <c r="AI113" s="410"/>
      <c r="AJ113" s="411">
        <f t="shared" si="33"/>
        <v>0</v>
      </c>
    </row>
    <row r="114" spans="1:39" s="283" customFormat="1" ht="20.25">
      <c r="A114" s="2618" t="s">
        <v>392</v>
      </c>
      <c r="B114" s="729"/>
      <c r="C114" s="729"/>
      <c r="D114" s="729"/>
      <c r="E114" s="319"/>
      <c r="F114" s="320"/>
      <c r="G114" s="320"/>
      <c r="H114" s="321"/>
      <c r="I114" s="321"/>
      <c r="J114" s="320"/>
      <c r="K114" s="354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/>
      <c r="X114" s="320"/>
      <c r="Y114" s="321"/>
      <c r="Z114" s="321"/>
      <c r="AA114" s="321"/>
      <c r="AB114" s="320"/>
      <c r="AC114" s="380"/>
      <c r="AD114" s="352"/>
      <c r="AE114" s="381">
        <f t="shared" si="31"/>
        <v>0</v>
      </c>
      <c r="AF114" s="381"/>
      <c r="AG114" s="408"/>
      <c r="AH114" s="409">
        <f t="shared" si="32"/>
        <v>0</v>
      </c>
      <c r="AI114" s="410"/>
      <c r="AJ114" s="411">
        <f t="shared" si="33"/>
        <v>0</v>
      </c>
    </row>
    <row r="115" spans="1:39" s="284" customFormat="1" ht="15.75" customHeight="1">
      <c r="A115" s="2618" t="s">
        <v>392</v>
      </c>
      <c r="B115" s="729"/>
      <c r="C115" s="729"/>
      <c r="D115" s="729"/>
      <c r="E115" s="319"/>
      <c r="F115" s="320"/>
      <c r="G115" s="320"/>
      <c r="H115" s="321"/>
      <c r="I115" s="321"/>
      <c r="J115" s="320"/>
      <c r="K115" s="354"/>
      <c r="L115" s="352"/>
      <c r="M115" s="353"/>
      <c r="N115" s="321"/>
      <c r="O115" s="321"/>
      <c r="P115" s="321"/>
      <c r="Q115" s="321"/>
      <c r="R115" s="321"/>
      <c r="S115" s="321"/>
      <c r="T115" s="351"/>
      <c r="U115" s="352"/>
      <c r="V115" s="319"/>
      <c r="W115" s="320"/>
      <c r="X115" s="320"/>
      <c r="Y115" s="321"/>
      <c r="Z115" s="321"/>
      <c r="AA115" s="321"/>
      <c r="AB115" s="320"/>
      <c r="AC115" s="380"/>
      <c r="AD115" s="352"/>
      <c r="AE115" s="381">
        <f t="shared" si="31"/>
        <v>0</v>
      </c>
      <c r="AF115" s="381"/>
      <c r="AG115" s="408"/>
      <c r="AH115" s="409">
        <f t="shared" si="32"/>
        <v>0</v>
      </c>
      <c r="AI115" s="410"/>
      <c r="AJ115" s="411">
        <f t="shared" si="33"/>
        <v>0</v>
      </c>
      <c r="AK115" s="403"/>
      <c r="AL115" s="403"/>
      <c r="AM115" s="403"/>
    </row>
    <row r="116" spans="1:39" s="282" customFormat="1" ht="20.25">
      <c r="A116" s="2618" t="s">
        <v>392</v>
      </c>
      <c r="B116" s="729"/>
      <c r="C116" s="730"/>
      <c r="D116" s="318"/>
      <c r="E116" s="319"/>
      <c r="F116" s="320"/>
      <c r="G116" s="320"/>
      <c r="H116" s="321"/>
      <c r="I116" s="321"/>
      <c r="J116" s="320"/>
      <c r="K116" s="354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si="31"/>
        <v>0</v>
      </c>
      <c r="AF116" s="381"/>
      <c r="AG116" s="408"/>
      <c r="AH116" s="409">
        <f t="shared" si="32"/>
        <v>0</v>
      </c>
      <c r="AI116" s="410"/>
      <c r="AJ116" s="411">
        <f t="shared" si="33"/>
        <v>0</v>
      </c>
    </row>
    <row r="117" spans="1:39" s="283" customFormat="1" ht="21" thickBot="1">
      <c r="A117" s="2563"/>
      <c r="B117" s="2564"/>
      <c r="C117" s="732"/>
      <c r="D117" s="324"/>
      <c r="E117" s="325"/>
      <c r="F117" s="297"/>
      <c r="G117" s="297"/>
      <c r="H117" s="298"/>
      <c r="I117" s="298"/>
      <c r="J117" s="297"/>
      <c r="K117" s="344"/>
      <c r="L117" s="355"/>
      <c r="M117" s="343"/>
      <c r="N117" s="298"/>
      <c r="O117" s="298"/>
      <c r="P117" s="298"/>
      <c r="Q117" s="298"/>
      <c r="R117" s="298"/>
      <c r="S117" s="298"/>
      <c r="T117" s="367"/>
      <c r="U117" s="355"/>
      <c r="V117" s="325"/>
      <c r="W117" s="297"/>
      <c r="X117" s="297"/>
      <c r="Y117" s="298"/>
      <c r="Z117" s="298"/>
      <c r="AA117" s="298"/>
      <c r="AB117" s="297"/>
      <c r="AC117" s="375"/>
      <c r="AD117" s="355"/>
      <c r="AE117" s="376">
        <f t="shared" si="31"/>
        <v>0</v>
      </c>
      <c r="AF117" s="377"/>
      <c r="AG117" s="390"/>
      <c r="AH117" s="391">
        <f t="shared" si="32"/>
        <v>0</v>
      </c>
      <c r="AI117" s="412"/>
      <c r="AJ117" s="413">
        <f t="shared" si="33"/>
        <v>0</v>
      </c>
    </row>
    <row r="118" spans="1:39" s="283" customFormat="1" ht="19.5" thickBot="1">
      <c r="A118" s="326" t="s">
        <v>426</v>
      </c>
      <c r="B118" s="327"/>
      <c r="C118" s="327"/>
      <c r="D118" s="328"/>
      <c r="E118" s="329">
        <f t="shared" ref="E118:AJ118" si="34">SUM(E106:E117)</f>
        <v>0</v>
      </c>
      <c r="F118" s="329">
        <f t="shared" si="34"/>
        <v>0</v>
      </c>
      <c r="G118" s="329">
        <f t="shared" si="34"/>
        <v>0</v>
      </c>
      <c r="H118" s="329">
        <f t="shared" si="34"/>
        <v>0</v>
      </c>
      <c r="I118" s="329">
        <f t="shared" si="34"/>
        <v>0</v>
      </c>
      <c r="J118" s="329">
        <f t="shared" si="34"/>
        <v>0</v>
      </c>
      <c r="K118" s="329">
        <f t="shared" si="34"/>
        <v>0</v>
      </c>
      <c r="L118" s="329">
        <f t="shared" si="34"/>
        <v>0</v>
      </c>
      <c r="M118" s="329">
        <f t="shared" si="34"/>
        <v>0</v>
      </c>
      <c r="N118" s="329">
        <f t="shared" si="34"/>
        <v>0</v>
      </c>
      <c r="O118" s="329">
        <f t="shared" si="34"/>
        <v>0</v>
      </c>
      <c r="P118" s="329">
        <f t="shared" si="34"/>
        <v>0</v>
      </c>
      <c r="Q118" s="329">
        <f t="shared" si="34"/>
        <v>0</v>
      </c>
      <c r="R118" s="329">
        <f t="shared" si="34"/>
        <v>0</v>
      </c>
      <c r="S118" s="329">
        <f t="shared" si="34"/>
        <v>0</v>
      </c>
      <c r="T118" s="329">
        <f t="shared" si="34"/>
        <v>0</v>
      </c>
      <c r="U118" s="329">
        <f t="shared" si="34"/>
        <v>0</v>
      </c>
      <c r="V118" s="329">
        <f t="shared" si="34"/>
        <v>0</v>
      </c>
      <c r="W118" s="329">
        <f t="shared" si="34"/>
        <v>0</v>
      </c>
      <c r="X118" s="329">
        <f t="shared" si="34"/>
        <v>0</v>
      </c>
      <c r="Y118" s="329">
        <f t="shared" si="34"/>
        <v>0</v>
      </c>
      <c r="Z118" s="329">
        <f t="shared" si="34"/>
        <v>0</v>
      </c>
      <c r="AA118" s="329">
        <f t="shared" si="34"/>
        <v>0</v>
      </c>
      <c r="AB118" s="329">
        <f t="shared" si="34"/>
        <v>0</v>
      </c>
      <c r="AC118" s="329">
        <f t="shared" si="34"/>
        <v>0</v>
      </c>
      <c r="AD118" s="329">
        <f t="shared" si="34"/>
        <v>0</v>
      </c>
      <c r="AE118" s="329">
        <f t="shared" si="34"/>
        <v>0</v>
      </c>
      <c r="AF118" s="329">
        <f t="shared" si="34"/>
        <v>0</v>
      </c>
      <c r="AG118" s="329">
        <f t="shared" si="34"/>
        <v>0</v>
      </c>
      <c r="AH118" s="329">
        <f t="shared" si="34"/>
        <v>0</v>
      </c>
      <c r="AI118" s="329">
        <f t="shared" si="34"/>
        <v>0</v>
      </c>
      <c r="AJ118" s="329">
        <f t="shared" si="34"/>
        <v>0</v>
      </c>
    </row>
    <row r="119" spans="1:39" s="283" customFormat="1" ht="24" thickBot="1">
      <c r="A119" s="721" t="s">
        <v>535</v>
      </c>
      <c r="B119" s="3606" t="s">
        <v>68</v>
      </c>
      <c r="C119" s="287" t="s">
        <v>69</v>
      </c>
      <c r="D119" s="288" t="s">
        <v>70</v>
      </c>
      <c r="E119" s="80" t="s">
        <v>190</v>
      </c>
      <c r="F119" s="49" t="s">
        <v>94</v>
      </c>
      <c r="G119" s="49" t="s">
        <v>53</v>
      </c>
      <c r="H119" s="49" t="s">
        <v>136</v>
      </c>
      <c r="I119" s="49" t="s">
        <v>76</v>
      </c>
      <c r="J119" s="49" t="s">
        <v>206</v>
      </c>
      <c r="K119" s="126" t="s">
        <v>272</v>
      </c>
      <c r="L119" s="79"/>
      <c r="M119" s="80" t="s">
        <v>136</v>
      </c>
      <c r="N119" s="49" t="s">
        <v>92</v>
      </c>
      <c r="O119" s="49" t="s">
        <v>251</v>
      </c>
      <c r="P119" s="49" t="s">
        <v>53</v>
      </c>
      <c r="Q119" s="49" t="s">
        <v>593</v>
      </c>
      <c r="R119" s="49" t="s">
        <v>206</v>
      </c>
      <c r="S119" s="126" t="s">
        <v>101</v>
      </c>
      <c r="T119" s="171" t="s">
        <v>213</v>
      </c>
      <c r="U119" s="79"/>
      <c r="V119" s="172" t="s">
        <v>497</v>
      </c>
      <c r="W119" s="103" t="s">
        <v>97</v>
      </c>
      <c r="X119" s="103" t="s">
        <v>124</v>
      </c>
      <c r="Y119" s="103" t="s">
        <v>206</v>
      </c>
      <c r="Z119" s="103" t="s">
        <v>269</v>
      </c>
      <c r="AA119" s="103" t="s">
        <v>96</v>
      </c>
      <c r="AB119" s="179" t="s">
        <v>92</v>
      </c>
      <c r="AC119" s="180" t="s">
        <v>101</v>
      </c>
      <c r="AD119" s="370"/>
      <c r="AE119" s="371" t="s">
        <v>172</v>
      </c>
      <c r="AF119" s="372" t="s">
        <v>80</v>
      </c>
      <c r="AG119" s="385"/>
      <c r="AH119" s="386" t="s">
        <v>106</v>
      </c>
      <c r="AI119" s="385" t="s">
        <v>173</v>
      </c>
      <c r="AJ119" s="371" t="s">
        <v>108</v>
      </c>
    </row>
    <row r="120" spans="1:39" s="283" customFormat="1" ht="20.25">
      <c r="A120" s="2618" t="s">
        <v>536</v>
      </c>
      <c r="B120" s="724" t="s">
        <v>472</v>
      </c>
      <c r="C120" s="725"/>
      <c r="D120" s="312"/>
      <c r="E120" s="313"/>
      <c r="F120" s="314"/>
      <c r="G120" s="314"/>
      <c r="H120" s="315"/>
      <c r="I120" s="315"/>
      <c r="J120" s="314"/>
      <c r="K120" s="477"/>
      <c r="L120" s="349"/>
      <c r="M120" s="350"/>
      <c r="N120" s="315"/>
      <c r="O120" s="315"/>
      <c r="P120" s="315"/>
      <c r="Q120" s="315"/>
      <c r="R120" s="315"/>
      <c r="S120" s="315"/>
      <c r="T120" s="348"/>
      <c r="U120" s="349"/>
      <c r="V120" s="350"/>
      <c r="W120" s="315"/>
      <c r="X120" s="315"/>
      <c r="Y120" s="315"/>
      <c r="Z120" s="315"/>
      <c r="AA120" s="315"/>
      <c r="AB120" s="315"/>
      <c r="AC120" s="378"/>
      <c r="AD120" s="349"/>
      <c r="AE120" s="379">
        <f t="shared" ref="AE120:AE131" si="35">SUM(E120:AC120)</f>
        <v>0</v>
      </c>
      <c r="AF120" s="379"/>
      <c r="AG120" s="404"/>
      <c r="AH120" s="405">
        <f t="shared" ref="AH120:AH131" si="36">AE120+AF120</f>
        <v>0</v>
      </c>
      <c r="AI120" s="406"/>
      <c r="AJ120" s="407">
        <f t="shared" ref="AJ120:AJ131" si="37">AH120+AI120</f>
        <v>0</v>
      </c>
    </row>
    <row r="121" spans="1:39" s="283" customFormat="1" ht="20.25">
      <c r="A121" s="2618" t="s">
        <v>536</v>
      </c>
      <c r="B121" s="727"/>
      <c r="C121" s="728"/>
      <c r="D121" s="318"/>
      <c r="E121" s="319"/>
      <c r="F121" s="320"/>
      <c r="G121" s="320"/>
      <c r="H121" s="321"/>
      <c r="I121" s="321"/>
      <c r="J121" s="320"/>
      <c r="K121" s="351"/>
      <c r="L121" s="352"/>
      <c r="M121" s="353"/>
      <c r="N121" s="320"/>
      <c r="O121" s="320"/>
      <c r="P121" s="321"/>
      <c r="Q121" s="321"/>
      <c r="R121" s="321"/>
      <c r="S121" s="320"/>
      <c r="T121" s="351"/>
      <c r="U121" s="352"/>
      <c r="V121" s="353"/>
      <c r="W121" s="321"/>
      <c r="X121" s="321"/>
      <c r="Y121" s="321"/>
      <c r="Z121" s="321"/>
      <c r="AA121" s="321"/>
      <c r="AB121" s="321"/>
      <c r="AC121" s="380"/>
      <c r="AD121" s="352"/>
      <c r="AE121" s="381">
        <f t="shared" si="35"/>
        <v>0</v>
      </c>
      <c r="AF121" s="381"/>
      <c r="AG121" s="408"/>
      <c r="AH121" s="409">
        <f t="shared" si="36"/>
        <v>0</v>
      </c>
      <c r="AI121" s="410"/>
      <c r="AJ121" s="411">
        <f t="shared" si="37"/>
        <v>0</v>
      </c>
    </row>
    <row r="122" spans="1:39" s="283" customFormat="1" ht="20.25">
      <c r="A122" s="2618" t="s">
        <v>536</v>
      </c>
      <c r="B122" s="729"/>
      <c r="C122" s="730"/>
      <c r="D122" s="318"/>
      <c r="E122" s="319"/>
      <c r="F122" s="320"/>
      <c r="G122" s="320"/>
      <c r="H122" s="321"/>
      <c r="I122" s="321"/>
      <c r="J122" s="320"/>
      <c r="K122" s="354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35"/>
        <v>0</v>
      </c>
      <c r="AF122" s="381"/>
      <c r="AG122" s="408"/>
      <c r="AH122" s="409">
        <f t="shared" si="36"/>
        <v>0</v>
      </c>
      <c r="AI122" s="410"/>
      <c r="AJ122" s="411">
        <f t="shared" si="37"/>
        <v>0</v>
      </c>
    </row>
    <row r="123" spans="1:39" s="283" customFormat="1" ht="20.25">
      <c r="A123" s="2618" t="s">
        <v>536</v>
      </c>
      <c r="B123" s="729"/>
      <c r="C123" s="730"/>
      <c r="D123" s="318"/>
      <c r="E123" s="319"/>
      <c r="F123" s="320"/>
      <c r="G123" s="320"/>
      <c r="H123" s="321"/>
      <c r="I123" s="321"/>
      <c r="J123" s="320"/>
      <c r="K123" s="354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35"/>
        <v>0</v>
      </c>
      <c r="AF123" s="381"/>
      <c r="AG123" s="408"/>
      <c r="AH123" s="409">
        <f t="shared" si="36"/>
        <v>0</v>
      </c>
      <c r="AI123" s="410"/>
      <c r="AJ123" s="411">
        <f t="shared" si="37"/>
        <v>0</v>
      </c>
    </row>
    <row r="124" spans="1:39" s="284" customFormat="1" ht="16.5" customHeight="1">
      <c r="A124" s="2618" t="s">
        <v>536</v>
      </c>
      <c r="B124" s="729"/>
      <c r="C124" s="730"/>
      <c r="D124" s="318"/>
      <c r="E124" s="319"/>
      <c r="F124" s="320"/>
      <c r="G124" s="320"/>
      <c r="H124" s="321"/>
      <c r="I124" s="321"/>
      <c r="J124" s="320"/>
      <c r="K124" s="354"/>
      <c r="L124" s="352"/>
      <c r="M124" s="353"/>
      <c r="N124" s="321"/>
      <c r="O124" s="321"/>
      <c r="P124" s="321"/>
      <c r="Q124" s="321"/>
      <c r="R124" s="321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35"/>
        <v>0</v>
      </c>
      <c r="AF124" s="381"/>
      <c r="AG124" s="408"/>
      <c r="AH124" s="409">
        <f t="shared" si="36"/>
        <v>0</v>
      </c>
      <c r="AI124" s="410"/>
      <c r="AJ124" s="411">
        <f t="shared" si="37"/>
        <v>0</v>
      </c>
      <c r="AK124" s="403"/>
      <c r="AL124" s="403"/>
      <c r="AM124" s="403"/>
    </row>
    <row r="125" spans="1:39" s="282" customFormat="1" ht="20.25">
      <c r="A125" s="2618" t="s">
        <v>536</v>
      </c>
      <c r="B125" s="729"/>
      <c r="C125" s="730"/>
      <c r="D125" s="318"/>
      <c r="E125" s="319"/>
      <c r="F125" s="320"/>
      <c r="G125" s="320"/>
      <c r="H125" s="321"/>
      <c r="I125" s="321"/>
      <c r="J125" s="320"/>
      <c r="K125" s="354"/>
      <c r="L125" s="352"/>
      <c r="M125" s="353"/>
      <c r="N125" s="321"/>
      <c r="O125" s="321"/>
      <c r="P125" s="321"/>
      <c r="Q125" s="321"/>
      <c r="R125" s="321"/>
      <c r="S125" s="321"/>
      <c r="T125" s="351"/>
      <c r="U125" s="352"/>
      <c r="V125" s="319"/>
      <c r="W125" s="320"/>
      <c r="X125" s="320"/>
      <c r="Y125" s="321"/>
      <c r="Z125" s="321"/>
      <c r="AA125" s="321"/>
      <c r="AB125" s="320"/>
      <c r="AC125" s="380"/>
      <c r="AD125" s="352"/>
      <c r="AE125" s="381">
        <f t="shared" si="35"/>
        <v>0</v>
      </c>
      <c r="AF125" s="381"/>
      <c r="AG125" s="408"/>
      <c r="AH125" s="409">
        <f t="shared" si="36"/>
        <v>0</v>
      </c>
      <c r="AI125" s="410"/>
      <c r="AJ125" s="411">
        <f t="shared" si="37"/>
        <v>0</v>
      </c>
    </row>
    <row r="126" spans="1:39" s="283" customFormat="1" ht="20.25">
      <c r="A126" s="2618" t="s">
        <v>536</v>
      </c>
      <c r="B126" s="729"/>
      <c r="C126" s="730"/>
      <c r="D126" s="318"/>
      <c r="E126" s="319"/>
      <c r="F126" s="320"/>
      <c r="G126" s="320"/>
      <c r="H126" s="321"/>
      <c r="I126" s="321"/>
      <c r="J126" s="320"/>
      <c r="K126" s="354"/>
      <c r="L126" s="352"/>
      <c r="M126" s="353"/>
      <c r="N126" s="321"/>
      <c r="O126" s="321"/>
      <c r="P126" s="321"/>
      <c r="Q126" s="321"/>
      <c r="R126" s="321"/>
      <c r="S126" s="321"/>
      <c r="T126" s="351"/>
      <c r="U126" s="352"/>
      <c r="V126" s="319"/>
      <c r="W126" s="320"/>
      <c r="X126" s="320"/>
      <c r="Y126" s="321"/>
      <c r="Z126" s="321"/>
      <c r="AA126" s="321"/>
      <c r="AB126" s="320"/>
      <c r="AC126" s="380"/>
      <c r="AD126" s="352"/>
      <c r="AE126" s="381">
        <f t="shared" si="35"/>
        <v>0</v>
      </c>
      <c r="AF126" s="381"/>
      <c r="AG126" s="408"/>
      <c r="AH126" s="409">
        <f t="shared" si="36"/>
        <v>0</v>
      </c>
      <c r="AI126" s="410"/>
      <c r="AJ126" s="411">
        <f t="shared" si="37"/>
        <v>0</v>
      </c>
    </row>
    <row r="127" spans="1:39" s="283" customFormat="1" ht="20.25">
      <c r="A127" s="2618" t="s">
        <v>536</v>
      </c>
      <c r="B127" s="729"/>
      <c r="C127" s="730"/>
      <c r="D127" s="318"/>
      <c r="E127" s="319"/>
      <c r="F127" s="320"/>
      <c r="G127" s="320"/>
      <c r="H127" s="321"/>
      <c r="I127" s="321"/>
      <c r="J127" s="320"/>
      <c r="K127" s="354"/>
      <c r="L127" s="352"/>
      <c r="M127" s="353"/>
      <c r="N127" s="321"/>
      <c r="O127" s="321"/>
      <c r="P127" s="321"/>
      <c r="Q127" s="321"/>
      <c r="R127" s="321"/>
      <c r="S127" s="321"/>
      <c r="T127" s="351"/>
      <c r="U127" s="352"/>
      <c r="V127" s="319"/>
      <c r="W127" s="320"/>
      <c r="X127" s="320"/>
      <c r="Y127" s="321"/>
      <c r="Z127" s="321"/>
      <c r="AA127" s="321"/>
      <c r="AB127" s="320"/>
      <c r="AC127" s="380"/>
      <c r="AD127" s="352"/>
      <c r="AE127" s="381">
        <f t="shared" si="35"/>
        <v>0</v>
      </c>
      <c r="AF127" s="381"/>
      <c r="AG127" s="408"/>
      <c r="AH127" s="409">
        <f t="shared" si="36"/>
        <v>0</v>
      </c>
      <c r="AI127" s="410"/>
      <c r="AJ127" s="411">
        <f t="shared" si="37"/>
        <v>0</v>
      </c>
    </row>
    <row r="128" spans="1:39" s="283" customFormat="1" ht="20.25">
      <c r="A128" s="2618" t="s">
        <v>536</v>
      </c>
      <c r="B128" s="729"/>
      <c r="C128" s="729"/>
      <c r="D128" s="3607"/>
      <c r="E128" s="319"/>
      <c r="F128" s="320"/>
      <c r="G128" s="320"/>
      <c r="H128" s="321"/>
      <c r="I128" s="321"/>
      <c r="J128" s="320"/>
      <c r="K128" s="354"/>
      <c r="L128" s="352"/>
      <c r="M128" s="353"/>
      <c r="N128" s="321"/>
      <c r="O128" s="321"/>
      <c r="P128" s="321"/>
      <c r="Q128" s="321"/>
      <c r="R128" s="321"/>
      <c r="S128" s="321"/>
      <c r="T128" s="351"/>
      <c r="U128" s="352"/>
      <c r="V128" s="319"/>
      <c r="W128" s="320"/>
      <c r="X128" s="320"/>
      <c r="Y128" s="321"/>
      <c r="Z128" s="321"/>
      <c r="AA128" s="321"/>
      <c r="AB128" s="320"/>
      <c r="AC128" s="380"/>
      <c r="AD128" s="352"/>
      <c r="AE128" s="381">
        <f t="shared" si="35"/>
        <v>0</v>
      </c>
      <c r="AF128" s="381"/>
      <c r="AG128" s="408"/>
      <c r="AH128" s="409">
        <f t="shared" si="36"/>
        <v>0</v>
      </c>
      <c r="AI128" s="410"/>
      <c r="AJ128" s="411">
        <f t="shared" si="37"/>
        <v>0</v>
      </c>
    </row>
    <row r="129" spans="1:39" s="283" customFormat="1" ht="20.25">
      <c r="A129" s="2618" t="s">
        <v>536</v>
      </c>
      <c r="B129" s="729"/>
      <c r="C129" s="729"/>
      <c r="D129" s="3607"/>
      <c r="E129" s="319"/>
      <c r="F129" s="320"/>
      <c r="G129" s="320"/>
      <c r="H129" s="321"/>
      <c r="I129" s="321"/>
      <c r="J129" s="320"/>
      <c r="K129" s="354"/>
      <c r="L129" s="352"/>
      <c r="M129" s="353"/>
      <c r="N129" s="321"/>
      <c r="O129" s="321"/>
      <c r="P129" s="321"/>
      <c r="Q129" s="321"/>
      <c r="R129" s="321"/>
      <c r="S129" s="321"/>
      <c r="T129" s="351"/>
      <c r="U129" s="352"/>
      <c r="V129" s="319"/>
      <c r="W129" s="320"/>
      <c r="X129" s="320"/>
      <c r="Y129" s="321"/>
      <c r="Z129" s="321"/>
      <c r="AA129" s="321"/>
      <c r="AB129" s="320"/>
      <c r="AC129" s="380"/>
      <c r="AD129" s="352"/>
      <c r="AE129" s="381">
        <f t="shared" si="35"/>
        <v>0</v>
      </c>
      <c r="AF129" s="381"/>
      <c r="AG129" s="408"/>
      <c r="AH129" s="409">
        <f t="shared" si="36"/>
        <v>0</v>
      </c>
      <c r="AI129" s="410"/>
      <c r="AJ129" s="411">
        <f t="shared" si="37"/>
        <v>0</v>
      </c>
    </row>
    <row r="130" spans="1:39" s="283" customFormat="1" ht="20.25">
      <c r="A130" s="2618" t="s">
        <v>536</v>
      </c>
      <c r="B130" s="729"/>
      <c r="C130" s="730"/>
      <c r="D130" s="318"/>
      <c r="E130" s="319"/>
      <c r="F130" s="320"/>
      <c r="G130" s="320"/>
      <c r="H130" s="321"/>
      <c r="I130" s="321"/>
      <c r="J130" s="320"/>
      <c r="K130" s="354"/>
      <c r="L130" s="352"/>
      <c r="M130" s="353"/>
      <c r="N130" s="321"/>
      <c r="O130" s="321"/>
      <c r="P130" s="321"/>
      <c r="Q130" s="321"/>
      <c r="R130" s="321"/>
      <c r="S130" s="321"/>
      <c r="T130" s="351"/>
      <c r="U130" s="352"/>
      <c r="V130" s="319"/>
      <c r="W130" s="320"/>
      <c r="X130" s="320"/>
      <c r="Y130" s="321"/>
      <c r="Z130" s="321"/>
      <c r="AA130" s="321"/>
      <c r="AB130" s="320"/>
      <c r="AC130" s="380"/>
      <c r="AD130" s="352"/>
      <c r="AE130" s="381">
        <f t="shared" si="35"/>
        <v>0</v>
      </c>
      <c r="AF130" s="381"/>
      <c r="AG130" s="408"/>
      <c r="AH130" s="409">
        <f t="shared" si="36"/>
        <v>0</v>
      </c>
      <c r="AI130" s="410"/>
      <c r="AJ130" s="411">
        <f t="shared" si="37"/>
        <v>0</v>
      </c>
    </row>
    <row r="131" spans="1:39" s="283" customFormat="1" ht="21" thickBot="1">
      <c r="A131" s="2563"/>
      <c r="B131" s="2564"/>
      <c r="C131" s="732"/>
      <c r="D131" s="324"/>
      <c r="E131" s="325"/>
      <c r="F131" s="297"/>
      <c r="G131" s="297"/>
      <c r="H131" s="298"/>
      <c r="I131" s="298"/>
      <c r="J131" s="297"/>
      <c r="K131" s="344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si="35"/>
        <v>0</v>
      </c>
      <c r="AF131" s="377"/>
      <c r="AG131" s="390"/>
      <c r="AH131" s="391">
        <f t="shared" si="36"/>
        <v>0</v>
      </c>
      <c r="AI131" s="412"/>
      <c r="AJ131" s="413">
        <f t="shared" si="37"/>
        <v>0</v>
      </c>
    </row>
    <row r="132" spans="1:39" s="284" customFormat="1" ht="18.75" customHeight="1" thickBot="1">
      <c r="A132" s="326" t="s">
        <v>550</v>
      </c>
      <c r="B132" s="327"/>
      <c r="C132" s="327"/>
      <c r="D132" s="328"/>
      <c r="E132" s="329">
        <f t="shared" ref="E132:AJ132" si="38">SUM(E120:E131)</f>
        <v>0</v>
      </c>
      <c r="F132" s="329">
        <f t="shared" si="38"/>
        <v>0</v>
      </c>
      <c r="G132" s="329">
        <f t="shared" si="38"/>
        <v>0</v>
      </c>
      <c r="H132" s="329">
        <f t="shared" si="38"/>
        <v>0</v>
      </c>
      <c r="I132" s="329">
        <f t="shared" si="38"/>
        <v>0</v>
      </c>
      <c r="J132" s="329">
        <f t="shared" si="38"/>
        <v>0</v>
      </c>
      <c r="K132" s="329">
        <f t="shared" si="38"/>
        <v>0</v>
      </c>
      <c r="L132" s="329">
        <f t="shared" si="38"/>
        <v>0</v>
      </c>
      <c r="M132" s="329">
        <f t="shared" si="38"/>
        <v>0</v>
      </c>
      <c r="N132" s="329">
        <f t="shared" si="38"/>
        <v>0</v>
      </c>
      <c r="O132" s="329">
        <f t="shared" si="38"/>
        <v>0</v>
      </c>
      <c r="P132" s="329">
        <f t="shared" si="38"/>
        <v>0</v>
      </c>
      <c r="Q132" s="329">
        <f t="shared" si="38"/>
        <v>0</v>
      </c>
      <c r="R132" s="329">
        <f t="shared" si="38"/>
        <v>0</v>
      </c>
      <c r="S132" s="329">
        <f t="shared" si="38"/>
        <v>0</v>
      </c>
      <c r="T132" s="329">
        <f t="shared" si="38"/>
        <v>0</v>
      </c>
      <c r="U132" s="329">
        <f t="shared" si="38"/>
        <v>0</v>
      </c>
      <c r="V132" s="329">
        <f t="shared" si="38"/>
        <v>0</v>
      </c>
      <c r="W132" s="329">
        <f t="shared" si="38"/>
        <v>0</v>
      </c>
      <c r="X132" s="329">
        <f t="shared" si="38"/>
        <v>0</v>
      </c>
      <c r="Y132" s="329">
        <f t="shared" si="38"/>
        <v>0</v>
      </c>
      <c r="Z132" s="329">
        <f t="shared" si="38"/>
        <v>0</v>
      </c>
      <c r="AA132" s="329">
        <f t="shared" si="38"/>
        <v>0</v>
      </c>
      <c r="AB132" s="329">
        <f t="shared" si="38"/>
        <v>0</v>
      </c>
      <c r="AC132" s="329">
        <f t="shared" si="38"/>
        <v>0</v>
      </c>
      <c r="AD132" s="329">
        <f t="shared" si="38"/>
        <v>0</v>
      </c>
      <c r="AE132" s="329">
        <f t="shared" si="38"/>
        <v>0</v>
      </c>
      <c r="AF132" s="329">
        <f t="shared" si="38"/>
        <v>0</v>
      </c>
      <c r="AG132" s="329">
        <f t="shared" si="38"/>
        <v>0</v>
      </c>
      <c r="AH132" s="329">
        <f t="shared" si="38"/>
        <v>0</v>
      </c>
      <c r="AI132" s="329">
        <f t="shared" si="38"/>
        <v>0</v>
      </c>
      <c r="AJ132" s="329">
        <f t="shared" si="38"/>
        <v>0</v>
      </c>
      <c r="AK132" s="403"/>
      <c r="AL132" s="403"/>
      <c r="AM132" s="403"/>
    </row>
    <row r="133" spans="1:39" ht="20.25">
      <c r="A133" s="2634" t="s">
        <v>182</v>
      </c>
      <c r="B133" s="2566"/>
      <c r="C133" s="2626"/>
      <c r="D133" s="444"/>
      <c r="E133" s="433"/>
      <c r="F133" s="434"/>
      <c r="G133" s="434"/>
      <c r="H133" s="435"/>
      <c r="I133" s="435"/>
      <c r="J133" s="434"/>
      <c r="K133" s="480"/>
      <c r="L133" s="483"/>
      <c r="M133" s="484"/>
      <c r="N133" s="435"/>
      <c r="O133" s="435"/>
      <c r="P133" s="435"/>
      <c r="Q133" s="435"/>
      <c r="R133" s="435"/>
      <c r="S133" s="435"/>
      <c r="T133" s="492"/>
      <c r="U133" s="483"/>
      <c r="V133" s="433"/>
      <c r="W133" s="434"/>
      <c r="X133" s="434"/>
      <c r="Y133" s="435"/>
      <c r="Z133" s="435"/>
      <c r="AA133" s="435"/>
      <c r="AB133" s="434"/>
      <c r="AC133" s="495"/>
      <c r="AD133" s="483"/>
      <c r="AE133" s="496">
        <f t="shared" ref="AE133:AE136" si="39">SUM(E133:AC133)</f>
        <v>0</v>
      </c>
      <c r="AF133" s="497"/>
      <c r="AG133" s="510"/>
      <c r="AH133" s="511">
        <f t="shared" ref="AH133:AH136" si="40">AE133+AF133</f>
        <v>0</v>
      </c>
      <c r="AI133" s="512"/>
      <c r="AJ133" s="513">
        <f t="shared" ref="AJ133:AJ136" si="41">AH133+AI133</f>
        <v>0</v>
      </c>
    </row>
    <row r="134" spans="1:39" ht="20.25">
      <c r="A134" s="2625"/>
      <c r="B134" s="731"/>
      <c r="C134" s="732"/>
      <c r="D134" s="324"/>
      <c r="E134" s="325"/>
      <c r="F134" s="297"/>
      <c r="G134" s="297"/>
      <c r="H134" s="298"/>
      <c r="I134" s="298"/>
      <c r="J134" s="297"/>
      <c r="K134" s="344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39"/>
        <v>0</v>
      </c>
      <c r="AF134" s="377"/>
      <c r="AG134" s="390"/>
      <c r="AH134" s="391">
        <f t="shared" si="40"/>
        <v>0</v>
      </c>
      <c r="AI134" s="412"/>
      <c r="AJ134" s="413">
        <f t="shared" si="41"/>
        <v>0</v>
      </c>
    </row>
    <row r="135" spans="1:39" s="1" customFormat="1" ht="21" customHeight="1">
      <c r="A135" s="2625"/>
      <c r="B135" s="731"/>
      <c r="C135" s="732"/>
      <c r="D135" s="324"/>
      <c r="E135" s="325"/>
      <c r="F135" s="297"/>
      <c r="G135" s="297"/>
      <c r="H135" s="298"/>
      <c r="I135" s="298"/>
      <c r="J135" s="297"/>
      <c r="K135" s="344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39"/>
        <v>0</v>
      </c>
      <c r="AF135" s="377"/>
      <c r="AG135" s="390"/>
      <c r="AH135" s="391">
        <f t="shared" si="40"/>
        <v>0</v>
      </c>
      <c r="AI135" s="412"/>
      <c r="AJ135" s="413">
        <f t="shared" si="41"/>
        <v>0</v>
      </c>
    </row>
    <row r="136" spans="1:39" ht="21" thickBot="1">
      <c r="A136" s="2582"/>
      <c r="B136" s="731"/>
      <c r="C136" s="732"/>
      <c r="D136" s="324"/>
      <c r="E136" s="325"/>
      <c r="F136" s="297"/>
      <c r="G136" s="297"/>
      <c r="H136" s="298"/>
      <c r="I136" s="298"/>
      <c r="J136" s="297"/>
      <c r="K136" s="344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7">
        <f t="shared" si="39"/>
        <v>0</v>
      </c>
      <c r="AF136" s="377"/>
      <c r="AG136" s="390"/>
      <c r="AH136" s="507">
        <f t="shared" si="40"/>
        <v>0</v>
      </c>
      <c r="AI136" s="412"/>
      <c r="AJ136" s="508">
        <f t="shared" si="41"/>
        <v>0</v>
      </c>
    </row>
    <row r="137" spans="1:39" s="276" customFormat="1" ht="21" thickBot="1">
      <c r="A137" s="2619"/>
      <c r="B137" s="2623"/>
      <c r="C137" s="2621"/>
      <c r="D137" s="438"/>
      <c r="E137" s="439">
        <f t="shared" ref="E137:K137" si="42">SUM(E132:E136)</f>
        <v>0</v>
      </c>
      <c r="F137" s="440">
        <f t="shared" si="42"/>
        <v>0</v>
      </c>
      <c r="G137" s="440">
        <f t="shared" si="42"/>
        <v>0</v>
      </c>
      <c r="H137" s="440">
        <f t="shared" si="42"/>
        <v>0</v>
      </c>
      <c r="I137" s="440">
        <f t="shared" si="42"/>
        <v>0</v>
      </c>
      <c r="J137" s="440">
        <f t="shared" si="42"/>
        <v>0</v>
      </c>
      <c r="K137" s="481">
        <f t="shared" si="42"/>
        <v>0</v>
      </c>
      <c r="L137" s="482"/>
      <c r="M137" s="439">
        <f t="shared" ref="M137:T137" si="43">SUM(M132:M136)</f>
        <v>0</v>
      </c>
      <c r="N137" s="440">
        <f t="shared" si="43"/>
        <v>0</v>
      </c>
      <c r="O137" s="440">
        <f t="shared" si="43"/>
        <v>0</v>
      </c>
      <c r="P137" s="440">
        <f t="shared" si="43"/>
        <v>0</v>
      </c>
      <c r="Q137" s="440">
        <f t="shared" si="43"/>
        <v>0</v>
      </c>
      <c r="R137" s="440">
        <f t="shared" si="43"/>
        <v>0</v>
      </c>
      <c r="S137" s="440">
        <f t="shared" si="43"/>
        <v>0</v>
      </c>
      <c r="T137" s="481">
        <f t="shared" si="43"/>
        <v>0</v>
      </c>
      <c r="U137" s="482"/>
      <c r="V137" s="439">
        <f t="shared" ref="V137:AC137" si="44">SUM(V132:V136)</f>
        <v>0</v>
      </c>
      <c r="W137" s="440">
        <f t="shared" si="44"/>
        <v>0</v>
      </c>
      <c r="X137" s="440">
        <f t="shared" si="44"/>
        <v>0</v>
      </c>
      <c r="Y137" s="440">
        <f t="shared" si="44"/>
        <v>0</v>
      </c>
      <c r="Z137" s="440">
        <f t="shared" si="44"/>
        <v>0</v>
      </c>
      <c r="AA137" s="440">
        <f t="shared" si="44"/>
        <v>0</v>
      </c>
      <c r="AB137" s="440">
        <f t="shared" si="44"/>
        <v>0</v>
      </c>
      <c r="AC137" s="481">
        <f t="shared" si="44"/>
        <v>0</v>
      </c>
      <c r="AD137" s="482"/>
      <c r="AE137" s="494">
        <f t="shared" ref="AE137:AJ137" si="45">SUM(AE132:AE136)</f>
        <v>0</v>
      </c>
      <c r="AF137" s="494">
        <f t="shared" si="45"/>
        <v>0</v>
      </c>
      <c r="AG137" s="509"/>
      <c r="AH137" s="514">
        <f t="shared" si="45"/>
        <v>0</v>
      </c>
      <c r="AI137" s="494">
        <f t="shared" si="45"/>
        <v>0</v>
      </c>
      <c r="AJ137" s="509">
        <f t="shared" si="45"/>
        <v>0</v>
      </c>
    </row>
    <row r="138" spans="1:39" s="276" customFormat="1" ht="19.5" thickBot="1">
      <c r="A138" s="522"/>
      <c r="B138" s="523"/>
      <c r="C138" s="523"/>
      <c r="D138" s="524"/>
      <c r="E138" s="525"/>
      <c r="F138" s="525"/>
      <c r="G138" s="525"/>
      <c r="H138" s="525"/>
      <c r="I138" s="525"/>
      <c r="J138" s="525"/>
      <c r="K138" s="525"/>
      <c r="L138" s="572"/>
      <c r="M138" s="573"/>
      <c r="N138" s="573"/>
      <c r="O138" s="573"/>
      <c r="P138" s="573"/>
      <c r="Q138" s="573"/>
      <c r="R138" s="573"/>
      <c r="S138" s="573"/>
      <c r="T138" s="573"/>
      <c r="U138" s="572"/>
      <c r="V138" s="573"/>
      <c r="W138" s="573"/>
      <c r="X138" s="573"/>
      <c r="Y138" s="573"/>
      <c r="Z138" s="573"/>
      <c r="AA138" s="573"/>
      <c r="AB138" s="573"/>
      <c r="AC138" s="573"/>
      <c r="AD138" s="572"/>
      <c r="AE138" s="573"/>
      <c r="AF138" s="573"/>
      <c r="AG138" s="599"/>
      <c r="AH138" s="573"/>
      <c r="AI138" s="573"/>
      <c r="AJ138" s="600"/>
    </row>
    <row r="139" spans="1:39" s="234" customFormat="1" ht="21" thickBot="1">
      <c r="A139" s="528" t="s">
        <v>145</v>
      </c>
      <c r="B139" s="2669"/>
      <c r="C139" s="2668"/>
      <c r="D139" s="528"/>
      <c r="E139" s="529">
        <f t="shared" ref="E139:K139" si="46">E4+E39+E54+E104+E72+E90+E113+E120+E129+E137</f>
        <v>478</v>
      </c>
      <c r="F139" s="529">
        <f t="shared" si="46"/>
        <v>548</v>
      </c>
      <c r="G139" s="529">
        <f t="shared" si="46"/>
        <v>1410</v>
      </c>
      <c r="H139" s="529">
        <f t="shared" si="46"/>
        <v>788</v>
      </c>
      <c r="I139" s="529">
        <f t="shared" si="46"/>
        <v>554</v>
      </c>
      <c r="J139" s="529">
        <f t="shared" si="46"/>
        <v>0</v>
      </c>
      <c r="K139" s="529">
        <f t="shared" si="46"/>
        <v>0</v>
      </c>
      <c r="L139" s="3602">
        <f>L4+L39+L54+L113</f>
        <v>0</v>
      </c>
      <c r="M139" s="529">
        <f t="shared" ref="M139:T139" si="47">M4+M39+M54+M104+M72+M90+M113+M120+M129+M137</f>
        <v>0</v>
      </c>
      <c r="N139" s="529">
        <f t="shared" si="47"/>
        <v>0</v>
      </c>
      <c r="O139" s="529">
        <f t="shared" si="47"/>
        <v>0</v>
      </c>
      <c r="P139" s="529">
        <f t="shared" si="47"/>
        <v>0</v>
      </c>
      <c r="Q139" s="529">
        <f t="shared" si="47"/>
        <v>0</v>
      </c>
      <c r="R139" s="529">
        <f t="shared" si="47"/>
        <v>0</v>
      </c>
      <c r="S139" s="529">
        <f t="shared" si="47"/>
        <v>0</v>
      </c>
      <c r="T139" s="529">
        <f t="shared" si="47"/>
        <v>0</v>
      </c>
      <c r="U139" s="3602"/>
      <c r="V139" s="529">
        <f t="shared" ref="V139:AC139" si="48">V4+V39+V54+V72+V113+V120+V129+V137</f>
        <v>309</v>
      </c>
      <c r="W139" s="529">
        <f t="shared" si="48"/>
        <v>0</v>
      </c>
      <c r="X139" s="529">
        <f t="shared" si="48"/>
        <v>337</v>
      </c>
      <c r="Y139" s="529">
        <f t="shared" si="48"/>
        <v>0</v>
      </c>
      <c r="Z139" s="529">
        <f t="shared" si="48"/>
        <v>0</v>
      </c>
      <c r="AA139" s="529">
        <f t="shared" si="48"/>
        <v>145</v>
      </c>
      <c r="AB139" s="529">
        <f t="shared" si="48"/>
        <v>455</v>
      </c>
      <c r="AC139" s="529">
        <f t="shared" si="48"/>
        <v>692</v>
      </c>
      <c r="AD139" s="3602"/>
      <c r="AE139" s="529">
        <f>AE4+AE39+AE54+AE72+AE113+AE120+AE129+AE137</f>
        <v>5716</v>
      </c>
      <c r="AF139" s="529">
        <f>AF4+AF39+AF54+AF72+AF90+AF104+AF113+AF120+AF129+AF137</f>
        <v>0</v>
      </c>
      <c r="AG139" s="529">
        <f>AG4+AG39+AG54+AG72+AG113+AG120+AG129+AG137</f>
        <v>0</v>
      </c>
      <c r="AH139" s="529">
        <f>AH4+AH39+AH54+AH72+AH113+AH120+AH129+AH137</f>
        <v>5716</v>
      </c>
      <c r="AI139" s="529">
        <f>AI4+AI39+AI54+AI72+AI113+AI120+AI129+AI137</f>
        <v>0</v>
      </c>
      <c r="AJ139" s="529">
        <f>AJ4+AJ39+AJ54+AJ72+AJ113+AJ120+AJ129+AJ137</f>
        <v>5716</v>
      </c>
    </row>
    <row r="140" spans="1:39" s="276" customFormat="1" ht="21" thickBot="1">
      <c r="A140" s="532" t="s">
        <v>152</v>
      </c>
      <c r="B140" s="2671"/>
      <c r="C140" s="2670"/>
      <c r="D140" s="532"/>
      <c r="E140" s="533">
        <f t="shared" ref="E140:K140" si="49">E139/12</f>
        <v>39.833333333333336</v>
      </c>
      <c r="F140" s="534">
        <f t="shared" ref="F140:I140" si="50">F139/20</f>
        <v>27.4</v>
      </c>
      <c r="G140" s="534">
        <f t="shared" si="50"/>
        <v>70.5</v>
      </c>
      <c r="H140" s="534">
        <f t="shared" si="49"/>
        <v>65.666666666666671</v>
      </c>
      <c r="I140" s="534">
        <f t="shared" si="50"/>
        <v>27.7</v>
      </c>
      <c r="J140" s="534">
        <f t="shared" si="49"/>
        <v>0</v>
      </c>
      <c r="K140" s="534">
        <f t="shared" si="49"/>
        <v>0</v>
      </c>
      <c r="L140" s="3599"/>
      <c r="M140" s="576">
        <f t="shared" ref="M140:T140" si="51">M139/20</f>
        <v>0</v>
      </c>
      <c r="N140" s="577">
        <f t="shared" si="51"/>
        <v>0</v>
      </c>
      <c r="O140" s="577">
        <f t="shared" si="51"/>
        <v>0</v>
      </c>
      <c r="P140" s="577">
        <f t="shared" si="51"/>
        <v>0</v>
      </c>
      <c r="Q140" s="2735">
        <f>Q139/30</f>
        <v>0</v>
      </c>
      <c r="R140" s="577">
        <f t="shared" si="51"/>
        <v>0</v>
      </c>
      <c r="S140" s="577">
        <f t="shared" si="51"/>
        <v>0</v>
      </c>
      <c r="T140" s="586">
        <f t="shared" si="51"/>
        <v>0</v>
      </c>
      <c r="U140" s="3599"/>
      <c r="V140" s="576">
        <f t="shared" ref="V140:AC140" si="52">V139/20</f>
        <v>15.45</v>
      </c>
      <c r="W140" s="577">
        <f t="shared" si="52"/>
        <v>0</v>
      </c>
      <c r="X140" s="577">
        <f t="shared" si="52"/>
        <v>16.850000000000001</v>
      </c>
      <c r="Y140" s="577">
        <f t="shared" si="52"/>
        <v>0</v>
      </c>
      <c r="Z140" s="577">
        <f t="shared" si="52"/>
        <v>0</v>
      </c>
      <c r="AA140" s="577">
        <f t="shared" si="52"/>
        <v>7.25</v>
      </c>
      <c r="AB140" s="577">
        <f t="shared" si="52"/>
        <v>22.75</v>
      </c>
      <c r="AC140" s="586">
        <f t="shared" si="52"/>
        <v>34.6</v>
      </c>
      <c r="AD140" s="586"/>
      <c r="AE140" s="586">
        <f>AE139/20</f>
        <v>285.8</v>
      </c>
      <c r="AF140" s="586">
        <f t="shared" ref="AF140:AJ140" si="53">AF139/12</f>
        <v>0</v>
      </c>
      <c r="AG140" s="586">
        <f>AG139/20</f>
        <v>0</v>
      </c>
      <c r="AH140" s="586">
        <f t="shared" si="53"/>
        <v>476.33333333333331</v>
      </c>
      <c r="AI140" s="586">
        <f t="shared" si="53"/>
        <v>0</v>
      </c>
      <c r="AJ140" s="601">
        <f t="shared" si="53"/>
        <v>476.33333333333331</v>
      </c>
    </row>
    <row r="141" spans="1:39" s="234" customFormat="1" ht="24" thickBot="1">
      <c r="A141" s="3755" t="s">
        <v>147</v>
      </c>
      <c r="B141" s="3755"/>
      <c r="C141" s="3755"/>
      <c r="D141" s="3755"/>
      <c r="E141" s="3756"/>
      <c r="F141" s="3756"/>
      <c r="G141" s="3756"/>
      <c r="H141" s="3756"/>
      <c r="I141" s="3756"/>
      <c r="J141" s="3756"/>
      <c r="K141" s="3756"/>
      <c r="L141" s="3755"/>
      <c r="M141" s="3755"/>
      <c r="N141" s="3755"/>
      <c r="O141" s="3755"/>
      <c r="P141" s="3755"/>
      <c r="Q141" s="3755"/>
      <c r="R141" s="3755"/>
      <c r="S141" s="3755"/>
      <c r="T141" s="3755"/>
      <c r="U141" s="3755"/>
      <c r="V141" s="3755"/>
      <c r="W141" s="3755"/>
      <c r="X141" s="3755"/>
      <c r="Y141" s="3755"/>
      <c r="Z141" s="3755"/>
      <c r="AA141" s="3755"/>
      <c r="AB141" s="3755"/>
      <c r="AC141" s="3755"/>
      <c r="AD141" s="3755"/>
      <c r="AE141" s="3755"/>
      <c r="AF141" s="3755"/>
      <c r="AG141" s="3755"/>
      <c r="AH141" s="3755"/>
      <c r="AI141" s="3755"/>
      <c r="AJ141" s="3755"/>
    </row>
    <row r="142" spans="1:39" s="276" customFormat="1" ht="24" thickBot="1">
      <c r="A142" s="3888" t="s">
        <v>4</v>
      </c>
      <c r="B142" s="3889"/>
      <c r="C142" s="3889"/>
      <c r="D142" s="3890"/>
      <c r="E142" s="3891" t="s">
        <v>590</v>
      </c>
      <c r="F142" s="3892"/>
      <c r="G142" s="3892"/>
      <c r="H142" s="3892"/>
      <c r="I142" s="3892"/>
      <c r="J142" s="3892"/>
      <c r="K142" s="3904"/>
      <c r="L142" s="336"/>
      <c r="M142" s="3893" t="s">
        <v>588</v>
      </c>
      <c r="N142" s="3894"/>
      <c r="O142" s="3894"/>
      <c r="P142" s="3894"/>
      <c r="Q142" s="3894"/>
      <c r="R142" s="3894"/>
      <c r="S142" s="3894"/>
      <c r="T142" s="3895"/>
      <c r="U142" s="364"/>
      <c r="V142" s="3893" t="s">
        <v>589</v>
      </c>
      <c r="W142" s="3894"/>
      <c r="X142" s="3894"/>
      <c r="Y142" s="3894"/>
      <c r="Z142" s="3894"/>
      <c r="AA142" s="3894"/>
      <c r="AB142" s="3894"/>
      <c r="AC142" s="3895"/>
      <c r="AD142" s="364"/>
      <c r="AE142" s="3893"/>
      <c r="AF142" s="3894"/>
      <c r="AG142" s="3894"/>
      <c r="AH142" s="3894"/>
      <c r="AI142" s="3894"/>
      <c r="AJ142" s="3895"/>
    </row>
    <row r="143" spans="1:39" s="234" customFormat="1" ht="30.75" thickBot="1">
      <c r="A143" s="535" t="s">
        <v>148</v>
      </c>
      <c r="B143" s="287" t="s">
        <v>68</v>
      </c>
      <c r="C143" s="536" t="s">
        <v>69</v>
      </c>
      <c r="D143" s="536" t="s">
        <v>70</v>
      </c>
      <c r="E143" s="80" t="s">
        <v>549</v>
      </c>
      <c r="F143" s="49" t="s">
        <v>94</v>
      </c>
      <c r="G143" s="49" t="s">
        <v>53</v>
      </c>
      <c r="H143" s="49" t="s">
        <v>136</v>
      </c>
      <c r="I143" s="49" t="s">
        <v>213</v>
      </c>
      <c r="J143" s="49" t="s">
        <v>206</v>
      </c>
      <c r="K143" s="126" t="s">
        <v>213</v>
      </c>
      <c r="L143" s="578"/>
      <c r="M143" s="80" t="s">
        <v>222</v>
      </c>
      <c r="N143" s="49" t="s">
        <v>92</v>
      </c>
      <c r="O143" s="49" t="s">
        <v>251</v>
      </c>
      <c r="P143" s="49" t="s">
        <v>53</v>
      </c>
      <c r="Q143" s="49" t="s">
        <v>94</v>
      </c>
      <c r="R143" s="49" t="s">
        <v>206</v>
      </c>
      <c r="S143" s="126" t="s">
        <v>101</v>
      </c>
      <c r="T143" s="171" t="s">
        <v>497</v>
      </c>
      <c r="U143" s="578"/>
      <c r="V143" s="172" t="s">
        <v>497</v>
      </c>
      <c r="W143" s="103" t="s">
        <v>97</v>
      </c>
      <c r="X143" s="103" t="s">
        <v>124</v>
      </c>
      <c r="Y143" s="103" t="s">
        <v>206</v>
      </c>
      <c r="Z143" s="103" t="s">
        <v>269</v>
      </c>
      <c r="AA143" s="103" t="s">
        <v>96</v>
      </c>
      <c r="AB143" s="179" t="s">
        <v>92</v>
      </c>
      <c r="AC143" s="180" t="s">
        <v>101</v>
      </c>
      <c r="AD143" s="589"/>
      <c r="AE143" s="590" t="s">
        <v>172</v>
      </c>
      <c r="AF143" s="591" t="s">
        <v>80</v>
      </c>
      <c r="AG143" s="602" t="s">
        <v>150</v>
      </c>
      <c r="AH143" s="603" t="s">
        <v>106</v>
      </c>
      <c r="AI143" s="602" t="s">
        <v>173</v>
      </c>
      <c r="AJ143" s="604" t="s">
        <v>108</v>
      </c>
    </row>
    <row r="144" spans="1:39" s="276" customFormat="1" ht="20.25">
      <c r="A144" s="537" t="s">
        <v>621</v>
      </c>
      <c r="B144" s="545"/>
      <c r="C144" s="539"/>
      <c r="D144" s="544">
        <v>46119</v>
      </c>
      <c r="E144" s="541">
        <v>60</v>
      </c>
      <c r="F144" s="542"/>
      <c r="G144" s="542">
        <v>20</v>
      </c>
      <c r="H144" s="543">
        <v>20</v>
      </c>
      <c r="I144" s="543"/>
      <c r="J144" s="543"/>
      <c r="K144" s="579"/>
      <c r="L144" s="580"/>
      <c r="M144" s="581"/>
      <c r="N144" s="543"/>
      <c r="O144" s="543"/>
      <c r="P144" s="543"/>
      <c r="Q144" s="543"/>
      <c r="R144" s="543"/>
      <c r="S144" s="543"/>
      <c r="T144" s="587"/>
      <c r="U144" s="580"/>
      <c r="V144" s="581"/>
      <c r="W144" s="543"/>
      <c r="X144" s="543"/>
      <c r="Y144" s="543"/>
      <c r="Z144" s="543"/>
      <c r="AA144" s="543"/>
      <c r="AB144" s="543"/>
      <c r="AC144" s="592"/>
      <c r="AD144" s="580"/>
      <c r="AE144" s="593">
        <f t="shared" ref="AE144:AE204" si="54">SUM(E144:AC144)</f>
        <v>100</v>
      </c>
      <c r="AF144" s="594"/>
      <c r="AG144" s="593"/>
      <c r="AH144" s="594">
        <f t="shared" ref="AH144:AH204" si="55">AE144+AF144+AG144</f>
        <v>100</v>
      </c>
      <c r="AI144" s="605"/>
      <c r="AJ144" s="606">
        <f t="shared" ref="AJ144:AJ204" si="56">AH144+AI144</f>
        <v>100</v>
      </c>
    </row>
    <row r="145" spans="1:36" s="234" customFormat="1" ht="20.25">
      <c r="A145" s="537" t="s">
        <v>624</v>
      </c>
      <c r="B145" s="545"/>
      <c r="C145" s="539"/>
      <c r="D145" s="544">
        <v>46120</v>
      </c>
      <c r="E145" s="319"/>
      <c r="F145" s="320"/>
      <c r="G145" s="320">
        <v>6</v>
      </c>
      <c r="H145" s="321"/>
      <c r="I145" s="321"/>
      <c r="J145" s="321"/>
      <c r="K145" s="351"/>
      <c r="L145" s="352"/>
      <c r="M145" s="353"/>
      <c r="N145" s="321"/>
      <c r="O145" s="321"/>
      <c r="P145" s="321"/>
      <c r="Q145" s="321"/>
      <c r="R145" s="321"/>
      <c r="S145" s="321"/>
      <c r="T145" s="354"/>
      <c r="U145" s="352"/>
      <c r="V145" s="353"/>
      <c r="W145" s="321"/>
      <c r="X145" s="321"/>
      <c r="Y145" s="321"/>
      <c r="Z145" s="321"/>
      <c r="AA145" s="321"/>
      <c r="AB145" s="321"/>
      <c r="AC145" s="380"/>
      <c r="AD145" s="352"/>
      <c r="AE145" s="408">
        <f t="shared" si="54"/>
        <v>6</v>
      </c>
      <c r="AF145" s="409"/>
      <c r="AG145" s="408"/>
      <c r="AH145" s="409">
        <f t="shared" si="55"/>
        <v>6</v>
      </c>
      <c r="AI145" s="410"/>
      <c r="AJ145" s="411">
        <f t="shared" si="56"/>
        <v>6</v>
      </c>
    </row>
    <row r="146" spans="1:36" s="276" customFormat="1" ht="20.25">
      <c r="A146" s="537" t="s">
        <v>625</v>
      </c>
      <c r="B146" s="545"/>
      <c r="C146" s="539"/>
      <c r="D146" s="544">
        <v>46121</v>
      </c>
      <c r="E146" s="541">
        <v>5</v>
      </c>
      <c r="F146" s="542"/>
      <c r="G146" s="542"/>
      <c r="H146" s="543">
        <v>5</v>
      </c>
      <c r="I146" s="543"/>
      <c r="J146" s="543"/>
      <c r="K146" s="579"/>
      <c r="L146" s="580"/>
      <c r="M146" s="581"/>
      <c r="N146" s="543"/>
      <c r="O146" s="543"/>
      <c r="P146" s="543"/>
      <c r="Q146" s="543"/>
      <c r="R146" s="543"/>
      <c r="S146" s="543"/>
      <c r="T146" s="587"/>
      <c r="U146" s="580"/>
      <c r="V146" s="581"/>
      <c r="W146" s="543"/>
      <c r="X146" s="543"/>
      <c r="Y146" s="543"/>
      <c r="Z146" s="543"/>
      <c r="AA146" s="543"/>
      <c r="AB146" s="543"/>
      <c r="AC146" s="592"/>
      <c r="AD146" s="580"/>
      <c r="AE146" s="593">
        <f t="shared" si="54"/>
        <v>10</v>
      </c>
      <c r="AF146" s="594"/>
      <c r="AG146" s="593"/>
      <c r="AH146" s="594">
        <f t="shared" si="55"/>
        <v>10</v>
      </c>
      <c r="AI146" s="605"/>
      <c r="AJ146" s="606">
        <f t="shared" si="56"/>
        <v>10</v>
      </c>
    </row>
    <row r="147" spans="1:36" s="234" customFormat="1" ht="20.25">
      <c r="A147" s="537" t="s">
        <v>635</v>
      </c>
      <c r="B147" s="548"/>
      <c r="C147" s="549"/>
      <c r="D147" s="544">
        <v>46125</v>
      </c>
      <c r="E147" s="319"/>
      <c r="F147" s="320">
        <v>2</v>
      </c>
      <c r="G147" s="320">
        <v>2</v>
      </c>
      <c r="H147" s="321"/>
      <c r="I147" s="321"/>
      <c r="J147" s="321"/>
      <c r="K147" s="351"/>
      <c r="L147" s="352"/>
      <c r="M147" s="353"/>
      <c r="N147" s="321"/>
      <c r="O147" s="321"/>
      <c r="P147" s="321"/>
      <c r="Q147" s="321"/>
      <c r="R147" s="321"/>
      <c r="S147" s="321"/>
      <c r="T147" s="354"/>
      <c r="U147" s="352"/>
      <c r="V147" s="353"/>
      <c r="W147" s="321"/>
      <c r="X147" s="321"/>
      <c r="Y147" s="321"/>
      <c r="Z147" s="321"/>
      <c r="AA147" s="321"/>
      <c r="AB147" s="321"/>
      <c r="AC147" s="380"/>
      <c r="AD147" s="352"/>
      <c r="AE147" s="408">
        <f t="shared" si="54"/>
        <v>4</v>
      </c>
      <c r="AF147" s="409"/>
      <c r="AG147" s="408"/>
      <c r="AH147" s="409">
        <f t="shared" si="55"/>
        <v>4</v>
      </c>
      <c r="AI147" s="410"/>
      <c r="AJ147" s="411">
        <f t="shared" si="56"/>
        <v>4</v>
      </c>
    </row>
    <row r="148" spans="1:36" s="276" customFormat="1" ht="20.25">
      <c r="A148" s="547" t="s">
        <v>647</v>
      </c>
      <c r="B148" s="548"/>
      <c r="C148" s="549"/>
      <c r="D148" s="544">
        <v>46130</v>
      </c>
      <c r="E148" s="546">
        <v>6</v>
      </c>
      <c r="F148" s="542"/>
      <c r="G148" s="542"/>
      <c r="H148" s="543"/>
      <c r="I148" s="543"/>
      <c r="J148" s="542"/>
      <c r="K148" s="579"/>
      <c r="L148" s="580"/>
      <c r="M148" s="581"/>
      <c r="N148" s="543"/>
      <c r="O148" s="543"/>
      <c r="P148" s="543"/>
      <c r="Q148" s="543"/>
      <c r="R148" s="543"/>
      <c r="S148" s="543"/>
      <c r="T148" s="587"/>
      <c r="U148" s="580"/>
      <c r="V148" s="581"/>
      <c r="W148" s="543"/>
      <c r="X148" s="543"/>
      <c r="Y148" s="543"/>
      <c r="Z148" s="543"/>
      <c r="AA148" s="543"/>
      <c r="AB148" s="543"/>
      <c r="AC148" s="592"/>
      <c r="AD148" s="580"/>
      <c r="AE148" s="593">
        <f t="shared" si="54"/>
        <v>6</v>
      </c>
      <c r="AF148" s="594"/>
      <c r="AG148" s="593"/>
      <c r="AH148" s="594">
        <f t="shared" si="55"/>
        <v>6</v>
      </c>
      <c r="AI148" s="605"/>
      <c r="AJ148" s="606">
        <f t="shared" si="56"/>
        <v>6</v>
      </c>
    </row>
    <row r="149" spans="1:36" s="234" customFormat="1" ht="20.25">
      <c r="A149" s="547" t="s">
        <v>658</v>
      </c>
      <c r="B149" s="796"/>
      <c r="C149" s="797"/>
      <c r="D149" s="544">
        <v>46132</v>
      </c>
      <c r="E149" s="556"/>
      <c r="F149" s="557"/>
      <c r="G149" s="557">
        <v>10</v>
      </c>
      <c r="H149" s="558">
        <v>10</v>
      </c>
      <c r="I149" s="558"/>
      <c r="J149" s="557"/>
      <c r="K149" s="583"/>
      <c r="L149" s="584"/>
      <c r="M149" s="585"/>
      <c r="N149" s="558"/>
      <c r="O149" s="558"/>
      <c r="P149" s="558"/>
      <c r="Q149" s="558"/>
      <c r="R149" s="558"/>
      <c r="S149" s="558"/>
      <c r="T149" s="588"/>
      <c r="U149" s="584"/>
      <c r="V149" s="585"/>
      <c r="W149" s="558"/>
      <c r="X149" s="558"/>
      <c r="Y149" s="558"/>
      <c r="Z149" s="558"/>
      <c r="AA149" s="558"/>
      <c r="AB149" s="558"/>
      <c r="AC149" s="595"/>
      <c r="AD149" s="584"/>
      <c r="AE149" s="596">
        <f t="shared" ref="AE149" si="57">SUM(E149:AC149)</f>
        <v>20</v>
      </c>
      <c r="AF149" s="597"/>
      <c r="AG149" s="596"/>
      <c r="AH149" s="597">
        <f t="shared" si="55"/>
        <v>20</v>
      </c>
      <c r="AI149" s="607"/>
      <c r="AJ149" s="606">
        <f t="shared" si="56"/>
        <v>20</v>
      </c>
    </row>
    <row r="150" spans="1:36" s="276" customFormat="1" ht="20.25">
      <c r="A150" s="551" t="s">
        <v>623</v>
      </c>
      <c r="B150" s="548"/>
      <c r="C150" s="549"/>
      <c r="D150" s="544">
        <v>46133</v>
      </c>
      <c r="E150" s="320"/>
      <c r="F150" s="320"/>
      <c r="G150" s="320">
        <v>5</v>
      </c>
      <c r="H150" s="321"/>
      <c r="I150" s="321"/>
      <c r="J150" s="320"/>
      <c r="K150" s="351"/>
      <c r="L150" s="352"/>
      <c r="M150" s="353"/>
      <c r="N150" s="321"/>
      <c r="O150" s="321"/>
      <c r="P150" s="582"/>
      <c r="Q150" s="321"/>
      <c r="R150" s="321"/>
      <c r="S150" s="321"/>
      <c r="T150" s="354"/>
      <c r="U150" s="352"/>
      <c r="V150" s="353"/>
      <c r="W150" s="321"/>
      <c r="X150" s="321"/>
      <c r="Y150" s="321"/>
      <c r="Z150" s="321"/>
      <c r="AA150" s="321"/>
      <c r="AB150" s="321"/>
      <c r="AC150" s="321"/>
      <c r="AD150" s="545"/>
      <c r="AE150" s="593">
        <f t="shared" si="54"/>
        <v>5</v>
      </c>
      <c r="AF150" s="544"/>
      <c r="AG150" s="408"/>
      <c r="AH150" s="409">
        <f t="shared" si="55"/>
        <v>5</v>
      </c>
      <c r="AI150" s="410"/>
      <c r="AJ150" s="411">
        <f t="shared" si="56"/>
        <v>5</v>
      </c>
    </row>
    <row r="151" spans="1:36" s="234" customFormat="1" ht="20.25">
      <c r="A151" s="561" t="s">
        <v>665</v>
      </c>
      <c r="B151" s="548"/>
      <c r="C151" s="549"/>
      <c r="D151" s="544">
        <v>46134</v>
      </c>
      <c r="E151" s="319"/>
      <c r="F151" s="320"/>
      <c r="G151" s="320">
        <v>7</v>
      </c>
      <c r="H151" s="321">
        <v>8</v>
      </c>
      <c r="I151" s="321"/>
      <c r="J151" s="320"/>
      <c r="K151" s="351"/>
      <c r="L151" s="352"/>
      <c r="M151" s="353"/>
      <c r="N151" s="321"/>
      <c r="O151" s="321"/>
      <c r="P151" s="582"/>
      <c r="Q151" s="321"/>
      <c r="R151" s="321"/>
      <c r="S151" s="321"/>
      <c r="T151" s="354"/>
      <c r="U151" s="352"/>
      <c r="V151" s="353"/>
      <c r="W151" s="321"/>
      <c r="X151" s="321"/>
      <c r="Y151" s="321"/>
      <c r="Z151" s="321"/>
      <c r="AA151" s="321"/>
      <c r="AB151" s="321"/>
      <c r="AC151" s="380"/>
      <c r="AD151" s="352"/>
      <c r="AE151" s="408">
        <f t="shared" ref="AE151" si="58">SUM(E151:AC151)</f>
        <v>15</v>
      </c>
      <c r="AF151" s="409"/>
      <c r="AG151" s="408"/>
      <c r="AH151" s="409">
        <f t="shared" si="55"/>
        <v>15</v>
      </c>
      <c r="AI151" s="410"/>
      <c r="AJ151" s="411">
        <f t="shared" si="56"/>
        <v>15</v>
      </c>
    </row>
    <row r="152" spans="1:36" s="276" customFormat="1" ht="20.25">
      <c r="A152" s="537" t="s">
        <v>629</v>
      </c>
      <c r="B152" s="545"/>
      <c r="C152" s="539"/>
      <c r="D152" s="544">
        <v>46138</v>
      </c>
      <c r="E152" s="541">
        <v>8</v>
      </c>
      <c r="F152" s="542"/>
      <c r="G152" s="542">
        <v>8</v>
      </c>
      <c r="H152" s="543"/>
      <c r="I152" s="543"/>
      <c r="J152" s="542"/>
      <c r="K152" s="579"/>
      <c r="L152" s="580"/>
      <c r="M152" s="581"/>
      <c r="N152" s="543"/>
      <c r="O152" s="543"/>
      <c r="P152" s="558"/>
      <c r="Q152" s="543"/>
      <c r="R152" s="543"/>
      <c r="S152" s="543"/>
      <c r="T152" s="587"/>
      <c r="U152" s="580"/>
      <c r="V152" s="581"/>
      <c r="W152" s="543"/>
      <c r="X152" s="543"/>
      <c r="Y152" s="543"/>
      <c r="Z152" s="543"/>
      <c r="AA152" s="543"/>
      <c r="AB152" s="543"/>
      <c r="AC152" s="592"/>
      <c r="AD152" s="580"/>
      <c r="AE152" s="593">
        <f t="shared" si="54"/>
        <v>16</v>
      </c>
      <c r="AF152" s="594"/>
      <c r="AG152" s="593"/>
      <c r="AH152" s="594">
        <f t="shared" si="55"/>
        <v>16</v>
      </c>
      <c r="AI152" s="605"/>
      <c r="AJ152" s="606">
        <f t="shared" si="56"/>
        <v>16</v>
      </c>
    </row>
    <row r="153" spans="1:36" s="234" customFormat="1" ht="20.25">
      <c r="A153" s="561"/>
      <c r="B153" s="796"/>
      <c r="C153" s="797"/>
      <c r="D153" s="544"/>
      <c r="E153" s="319"/>
      <c r="F153" s="320"/>
      <c r="G153" s="320"/>
      <c r="H153" s="321"/>
      <c r="I153" s="321"/>
      <c r="J153" s="320"/>
      <c r="K153" s="351"/>
      <c r="L153" s="352"/>
      <c r="M153" s="353"/>
      <c r="N153" s="321"/>
      <c r="O153" s="321"/>
      <c r="P153" s="582"/>
      <c r="Q153" s="321"/>
      <c r="R153" s="321"/>
      <c r="S153" s="321"/>
      <c r="T153" s="354"/>
      <c r="U153" s="352"/>
      <c r="V153" s="353"/>
      <c r="W153" s="321"/>
      <c r="X153" s="321"/>
      <c r="Y153" s="321"/>
      <c r="Z153" s="321"/>
      <c r="AA153" s="321"/>
      <c r="AB153" s="321"/>
      <c r="AC153" s="380"/>
      <c r="AD153" s="352"/>
      <c r="AE153" s="408">
        <f t="shared" si="54"/>
        <v>0</v>
      </c>
      <c r="AF153" s="409"/>
      <c r="AG153" s="408"/>
      <c r="AH153" s="409">
        <f t="shared" si="55"/>
        <v>0</v>
      </c>
      <c r="AI153" s="410"/>
      <c r="AJ153" s="411">
        <f t="shared" si="56"/>
        <v>0</v>
      </c>
    </row>
    <row r="154" spans="1:36" s="234" customFormat="1" ht="20.25">
      <c r="A154" s="537"/>
      <c r="B154" s="796"/>
      <c r="C154" s="797"/>
      <c r="D154" s="544"/>
      <c r="E154" s="556"/>
      <c r="F154" s="557"/>
      <c r="G154" s="557"/>
      <c r="H154" s="558"/>
      <c r="I154" s="558"/>
      <c r="J154" s="557"/>
      <c r="K154" s="583"/>
      <c r="L154" s="584"/>
      <c r="M154" s="585"/>
      <c r="N154" s="558"/>
      <c r="O154" s="558"/>
      <c r="P154" s="558"/>
      <c r="Q154" s="558"/>
      <c r="R154" s="558"/>
      <c r="S154" s="558"/>
      <c r="T154" s="588"/>
      <c r="U154" s="584"/>
      <c r="V154" s="585"/>
      <c r="W154" s="558"/>
      <c r="X154" s="558"/>
      <c r="Y154" s="558"/>
      <c r="Z154" s="558"/>
      <c r="AA154" s="558"/>
      <c r="AB154" s="558"/>
      <c r="AC154" s="595"/>
      <c r="AD154" s="584"/>
      <c r="AE154" s="596">
        <f t="shared" si="54"/>
        <v>0</v>
      </c>
      <c r="AF154" s="597"/>
      <c r="AG154" s="596"/>
      <c r="AH154" s="597">
        <f t="shared" si="55"/>
        <v>0</v>
      </c>
      <c r="AI154" s="607"/>
      <c r="AJ154" s="606">
        <f t="shared" si="56"/>
        <v>0</v>
      </c>
    </row>
    <row r="155" spans="1:36" s="276" customFormat="1" ht="20.25">
      <c r="A155" s="547"/>
      <c r="B155" s="548"/>
      <c r="C155" s="549"/>
      <c r="D155" s="544"/>
      <c r="E155" s="319"/>
      <c r="F155" s="320"/>
      <c r="G155" s="320"/>
      <c r="H155" s="321"/>
      <c r="I155" s="321"/>
      <c r="J155" s="320"/>
      <c r="K155" s="351"/>
      <c r="L155" s="352"/>
      <c r="M155" s="353"/>
      <c r="N155" s="321"/>
      <c r="O155" s="321"/>
      <c r="P155" s="582"/>
      <c r="Q155" s="321"/>
      <c r="R155" s="321"/>
      <c r="S155" s="321"/>
      <c r="T155" s="354"/>
      <c r="U155" s="352"/>
      <c r="V155" s="353"/>
      <c r="W155" s="321"/>
      <c r="X155" s="321"/>
      <c r="Y155" s="321"/>
      <c r="Z155" s="321"/>
      <c r="AA155" s="321"/>
      <c r="AB155" s="321"/>
      <c r="AC155" s="380"/>
      <c r="AD155" s="352"/>
      <c r="AE155" s="408">
        <f t="shared" si="54"/>
        <v>0</v>
      </c>
      <c r="AF155" s="409"/>
      <c r="AG155" s="408"/>
      <c r="AH155" s="409">
        <f t="shared" si="55"/>
        <v>0</v>
      </c>
      <c r="AI155" s="410"/>
      <c r="AJ155" s="411">
        <f t="shared" si="56"/>
        <v>0</v>
      </c>
    </row>
    <row r="156" spans="1:36" s="234" customFormat="1" ht="20.25">
      <c r="A156" s="561"/>
      <c r="B156" s="552"/>
      <c r="C156" s="553"/>
      <c r="D156" s="544"/>
      <c r="E156" s="541"/>
      <c r="F156" s="542"/>
      <c r="G156" s="542"/>
      <c r="H156" s="543"/>
      <c r="I156" s="543"/>
      <c r="J156" s="542"/>
      <c r="K156" s="579"/>
      <c r="L156" s="580"/>
      <c r="M156" s="581"/>
      <c r="N156" s="543"/>
      <c r="O156" s="543"/>
      <c r="P156" s="558"/>
      <c r="Q156" s="543"/>
      <c r="R156" s="543"/>
      <c r="S156" s="543"/>
      <c r="T156" s="587"/>
      <c r="U156" s="580"/>
      <c r="V156" s="581"/>
      <c r="W156" s="543"/>
      <c r="X156" s="543"/>
      <c r="Y156" s="543"/>
      <c r="Z156" s="543"/>
      <c r="AA156" s="543"/>
      <c r="AB156" s="543"/>
      <c r="AC156" s="592"/>
      <c r="AD156" s="580"/>
      <c r="AE156" s="593">
        <f t="shared" si="54"/>
        <v>0</v>
      </c>
      <c r="AF156" s="594"/>
      <c r="AG156" s="593"/>
      <c r="AH156" s="594">
        <f t="shared" si="55"/>
        <v>0</v>
      </c>
      <c r="AI156" s="605"/>
      <c r="AJ156" s="606">
        <f t="shared" si="56"/>
        <v>0</v>
      </c>
    </row>
    <row r="157" spans="1:36" s="276" customFormat="1" ht="20.25">
      <c r="A157" s="547"/>
      <c r="B157" s="552"/>
      <c r="C157" s="553"/>
      <c r="D157" s="544"/>
      <c r="E157" s="319"/>
      <c r="F157" s="320"/>
      <c r="G157" s="320"/>
      <c r="H157" s="321"/>
      <c r="I157" s="321"/>
      <c r="J157" s="320"/>
      <c r="K157" s="351"/>
      <c r="L157" s="352"/>
      <c r="M157" s="353"/>
      <c r="N157" s="321"/>
      <c r="O157" s="321"/>
      <c r="P157" s="582"/>
      <c r="Q157" s="321"/>
      <c r="R157" s="321"/>
      <c r="S157" s="321"/>
      <c r="T157" s="354"/>
      <c r="U157" s="352"/>
      <c r="V157" s="353"/>
      <c r="W157" s="321"/>
      <c r="X157" s="321"/>
      <c r="Y157" s="321"/>
      <c r="Z157" s="321"/>
      <c r="AA157" s="321"/>
      <c r="AB157" s="321"/>
      <c r="AC157" s="380"/>
      <c r="AD157" s="352"/>
      <c r="AE157" s="408">
        <f t="shared" si="54"/>
        <v>0</v>
      </c>
      <c r="AF157" s="409"/>
      <c r="AG157" s="408"/>
      <c r="AH157" s="409">
        <f t="shared" si="55"/>
        <v>0</v>
      </c>
      <c r="AI157" s="410"/>
      <c r="AJ157" s="411">
        <f t="shared" si="56"/>
        <v>0</v>
      </c>
    </row>
    <row r="158" spans="1:36" s="234" customFormat="1" ht="20.25">
      <c r="A158" s="547"/>
      <c r="B158" s="552"/>
      <c r="C158" s="553"/>
      <c r="D158" s="544"/>
      <c r="E158" s="541"/>
      <c r="F158" s="542"/>
      <c r="G158" s="542"/>
      <c r="H158" s="543"/>
      <c r="I158" s="543"/>
      <c r="J158" s="542"/>
      <c r="K158" s="579"/>
      <c r="L158" s="580"/>
      <c r="M158" s="581"/>
      <c r="N158" s="543"/>
      <c r="O158" s="543"/>
      <c r="P158" s="558"/>
      <c r="Q158" s="543"/>
      <c r="R158" s="543"/>
      <c r="S158" s="543"/>
      <c r="T158" s="587"/>
      <c r="U158" s="580"/>
      <c r="V158" s="581"/>
      <c r="W158" s="543"/>
      <c r="X158" s="543"/>
      <c r="Y158" s="543"/>
      <c r="Z158" s="543"/>
      <c r="AA158" s="543"/>
      <c r="AB158" s="543"/>
      <c r="AC158" s="592"/>
      <c r="AD158" s="580"/>
      <c r="AE158" s="593">
        <f t="shared" si="54"/>
        <v>0</v>
      </c>
      <c r="AF158" s="594"/>
      <c r="AG158" s="593"/>
      <c r="AH158" s="594">
        <f t="shared" si="55"/>
        <v>0</v>
      </c>
      <c r="AI158" s="605"/>
      <c r="AJ158" s="606">
        <f t="shared" si="56"/>
        <v>0</v>
      </c>
    </row>
    <row r="159" spans="1:36" s="276" customFormat="1" ht="20.25">
      <c r="A159" s="537"/>
      <c r="B159" s="552"/>
      <c r="C159" s="553"/>
      <c r="D159" s="559"/>
      <c r="E159" s="319"/>
      <c r="F159" s="320"/>
      <c r="G159" s="320"/>
      <c r="H159" s="321"/>
      <c r="I159" s="321"/>
      <c r="J159" s="320"/>
      <c r="K159" s="351"/>
      <c r="L159" s="352"/>
      <c r="M159" s="353"/>
      <c r="N159" s="321"/>
      <c r="O159" s="321"/>
      <c r="P159" s="582"/>
      <c r="Q159" s="321"/>
      <c r="R159" s="321"/>
      <c r="S159" s="321"/>
      <c r="T159" s="354"/>
      <c r="U159" s="352"/>
      <c r="V159" s="353"/>
      <c r="W159" s="321"/>
      <c r="X159" s="321"/>
      <c r="Y159" s="321"/>
      <c r="Z159" s="321"/>
      <c r="AA159" s="321"/>
      <c r="AB159" s="321"/>
      <c r="AC159" s="380"/>
      <c r="AD159" s="352"/>
      <c r="AE159" s="408">
        <f t="shared" si="54"/>
        <v>0</v>
      </c>
      <c r="AF159" s="409"/>
      <c r="AG159" s="408"/>
      <c r="AH159" s="409">
        <f t="shared" si="55"/>
        <v>0</v>
      </c>
      <c r="AI159" s="410"/>
      <c r="AJ159" s="411">
        <f t="shared" si="56"/>
        <v>0</v>
      </c>
    </row>
    <row r="160" spans="1:36" s="276" customFormat="1" ht="20.25">
      <c r="A160" s="551"/>
      <c r="B160" s="552"/>
      <c r="C160" s="553"/>
      <c r="D160" s="544"/>
      <c r="E160" s="541"/>
      <c r="F160" s="542"/>
      <c r="G160" s="542"/>
      <c r="H160" s="543"/>
      <c r="I160" s="543"/>
      <c r="J160" s="542"/>
      <c r="K160" s="579"/>
      <c r="L160" s="580"/>
      <c r="M160" s="581"/>
      <c r="N160" s="543"/>
      <c r="O160" s="543"/>
      <c r="P160" s="558"/>
      <c r="Q160" s="543"/>
      <c r="R160" s="543"/>
      <c r="S160" s="543"/>
      <c r="T160" s="587"/>
      <c r="U160" s="580"/>
      <c r="V160" s="581"/>
      <c r="W160" s="543"/>
      <c r="X160" s="543"/>
      <c r="Y160" s="543"/>
      <c r="Z160" s="543"/>
      <c r="AA160" s="543"/>
      <c r="AB160" s="543"/>
      <c r="AC160" s="592"/>
      <c r="AD160" s="580"/>
      <c r="AE160" s="593">
        <f t="shared" si="54"/>
        <v>0</v>
      </c>
      <c r="AF160" s="594"/>
      <c r="AG160" s="593"/>
      <c r="AH160" s="594">
        <f t="shared" si="55"/>
        <v>0</v>
      </c>
      <c r="AI160" s="605"/>
      <c r="AJ160" s="606">
        <f t="shared" si="56"/>
        <v>0</v>
      </c>
    </row>
    <row r="161" spans="1:36" s="276" customFormat="1" ht="20.25">
      <c r="A161" s="537"/>
      <c r="B161" s="552"/>
      <c r="C161" s="553"/>
      <c r="D161" s="544"/>
      <c r="E161" s="319"/>
      <c r="F161" s="320"/>
      <c r="G161" s="320"/>
      <c r="H161" s="321"/>
      <c r="I161" s="321"/>
      <c r="J161" s="320"/>
      <c r="K161" s="351"/>
      <c r="L161" s="352"/>
      <c r="M161" s="353"/>
      <c r="N161" s="321"/>
      <c r="O161" s="321"/>
      <c r="P161" s="321"/>
      <c r="Q161" s="321"/>
      <c r="R161" s="321"/>
      <c r="S161" s="321"/>
      <c r="T161" s="354"/>
      <c r="U161" s="352"/>
      <c r="V161" s="353"/>
      <c r="W161" s="321"/>
      <c r="X161" s="321"/>
      <c r="Y161" s="321"/>
      <c r="Z161" s="321"/>
      <c r="AA161" s="321"/>
      <c r="AB161" s="321"/>
      <c r="AC161" s="380"/>
      <c r="AD161" s="352"/>
      <c r="AE161" s="408">
        <f t="shared" si="54"/>
        <v>0</v>
      </c>
      <c r="AF161" s="409"/>
      <c r="AG161" s="408"/>
      <c r="AH161" s="409">
        <f t="shared" si="55"/>
        <v>0</v>
      </c>
      <c r="AI161" s="410"/>
      <c r="AJ161" s="411">
        <f t="shared" si="56"/>
        <v>0</v>
      </c>
    </row>
    <row r="162" spans="1:36" s="234" customFormat="1" ht="20.25">
      <c r="A162" s="537"/>
      <c r="B162" s="552"/>
      <c r="C162" s="553"/>
      <c r="D162" s="555"/>
      <c r="E162" s="319"/>
      <c r="F162" s="320"/>
      <c r="G162" s="320"/>
      <c r="H162" s="321"/>
      <c r="I162" s="321"/>
      <c r="J162" s="320"/>
      <c r="K162" s="351"/>
      <c r="L162" s="352"/>
      <c r="M162" s="353"/>
      <c r="N162" s="321"/>
      <c r="O162" s="321"/>
      <c r="P162" s="321"/>
      <c r="Q162" s="321"/>
      <c r="R162" s="321"/>
      <c r="S162" s="321"/>
      <c r="T162" s="354"/>
      <c r="U162" s="352"/>
      <c r="V162" s="353"/>
      <c r="W162" s="321"/>
      <c r="X162" s="321"/>
      <c r="Y162" s="321"/>
      <c r="Z162" s="321"/>
      <c r="AA162" s="321"/>
      <c r="AB162" s="321"/>
      <c r="AC162" s="380"/>
      <c r="AD162" s="352"/>
      <c r="AE162" s="408">
        <f t="shared" si="54"/>
        <v>0</v>
      </c>
      <c r="AF162" s="409"/>
      <c r="AG162" s="408"/>
      <c r="AH162" s="409">
        <f t="shared" si="55"/>
        <v>0</v>
      </c>
      <c r="AI162" s="410"/>
      <c r="AJ162" s="411">
        <f t="shared" si="56"/>
        <v>0</v>
      </c>
    </row>
    <row r="163" spans="1:36" s="276" customFormat="1" ht="22.5" customHeight="1">
      <c r="A163" s="551"/>
      <c r="B163" s="563"/>
      <c r="C163" s="553"/>
      <c r="D163" s="544"/>
      <c r="E163" s="541"/>
      <c r="F163" s="542"/>
      <c r="G163" s="542"/>
      <c r="H163" s="543"/>
      <c r="I163" s="543"/>
      <c r="J163" s="542"/>
      <c r="K163" s="579"/>
      <c r="L163" s="580"/>
      <c r="M163" s="581"/>
      <c r="N163" s="543"/>
      <c r="O163" s="543"/>
      <c r="P163" s="543"/>
      <c r="Q163" s="543"/>
      <c r="R163" s="543"/>
      <c r="S163" s="543"/>
      <c r="T163" s="587"/>
      <c r="U163" s="580"/>
      <c r="V163" s="581"/>
      <c r="W163" s="543"/>
      <c r="X163" s="543"/>
      <c r="Y163" s="543"/>
      <c r="Z163" s="543"/>
      <c r="AA163" s="543"/>
      <c r="AB163" s="543"/>
      <c r="AC163" s="592"/>
      <c r="AD163" s="580"/>
      <c r="AE163" s="593">
        <f t="shared" si="54"/>
        <v>0</v>
      </c>
      <c r="AF163" s="594"/>
      <c r="AG163" s="593"/>
      <c r="AH163" s="594">
        <f t="shared" si="55"/>
        <v>0</v>
      </c>
      <c r="AI163" s="605"/>
      <c r="AJ163" s="606">
        <f t="shared" si="56"/>
        <v>0</v>
      </c>
    </row>
    <row r="164" spans="1:36" s="234" customFormat="1" ht="20.25">
      <c r="A164" s="537"/>
      <c r="B164" s="550"/>
      <c r="C164" s="549"/>
      <c r="D164" s="544"/>
      <c r="E164" s="319"/>
      <c r="F164" s="320"/>
      <c r="G164" s="320"/>
      <c r="H164" s="321"/>
      <c r="I164" s="321"/>
      <c r="J164" s="320"/>
      <c r="K164" s="351"/>
      <c r="L164" s="352"/>
      <c r="M164" s="353"/>
      <c r="N164" s="321"/>
      <c r="O164" s="321"/>
      <c r="P164" s="321"/>
      <c r="Q164" s="321"/>
      <c r="R164" s="321"/>
      <c r="S164" s="321"/>
      <c r="T164" s="354"/>
      <c r="U164" s="352"/>
      <c r="V164" s="353"/>
      <c r="W164" s="321"/>
      <c r="X164" s="321"/>
      <c r="Y164" s="321"/>
      <c r="Z164" s="321"/>
      <c r="AA164" s="321"/>
      <c r="AB164" s="321"/>
      <c r="AC164" s="380"/>
      <c r="AD164" s="352"/>
      <c r="AE164" s="408">
        <f t="shared" si="54"/>
        <v>0</v>
      </c>
      <c r="AF164" s="409"/>
      <c r="AG164" s="408"/>
      <c r="AH164" s="409">
        <f t="shared" si="55"/>
        <v>0</v>
      </c>
      <c r="AI164" s="410"/>
      <c r="AJ164" s="411">
        <f t="shared" si="56"/>
        <v>0</v>
      </c>
    </row>
    <row r="165" spans="1:36" s="276" customFormat="1" ht="20.25">
      <c r="A165" s="537"/>
      <c r="B165" s="550"/>
      <c r="C165" s="549"/>
      <c r="D165" s="544"/>
      <c r="E165" s="541"/>
      <c r="F165" s="542"/>
      <c r="G165" s="542"/>
      <c r="H165" s="543"/>
      <c r="I165" s="543"/>
      <c r="J165" s="542"/>
      <c r="K165" s="579"/>
      <c r="L165" s="580"/>
      <c r="M165" s="581"/>
      <c r="N165" s="543"/>
      <c r="O165" s="543"/>
      <c r="P165" s="543"/>
      <c r="Q165" s="543"/>
      <c r="R165" s="543"/>
      <c r="S165" s="543"/>
      <c r="T165" s="587"/>
      <c r="U165" s="580"/>
      <c r="V165" s="581"/>
      <c r="W165" s="543"/>
      <c r="X165" s="543"/>
      <c r="Y165" s="543"/>
      <c r="Z165" s="543"/>
      <c r="AA165" s="543"/>
      <c r="AB165" s="543"/>
      <c r="AC165" s="592"/>
      <c r="AD165" s="580"/>
      <c r="AE165" s="593">
        <f t="shared" si="54"/>
        <v>0</v>
      </c>
      <c r="AF165" s="594"/>
      <c r="AG165" s="593"/>
      <c r="AH165" s="594">
        <f t="shared" si="55"/>
        <v>0</v>
      </c>
      <c r="AI165" s="605"/>
      <c r="AJ165" s="411">
        <f t="shared" si="56"/>
        <v>0</v>
      </c>
    </row>
    <row r="166" spans="1:36" s="234" customFormat="1" ht="20.25">
      <c r="A166" s="537"/>
      <c r="B166" s="550"/>
      <c r="C166" s="549"/>
      <c r="D166" s="544"/>
      <c r="E166" s="319"/>
      <c r="F166" s="320"/>
      <c r="G166" s="320"/>
      <c r="H166" s="321"/>
      <c r="I166" s="321"/>
      <c r="J166" s="320"/>
      <c r="K166" s="351"/>
      <c r="L166" s="352"/>
      <c r="M166" s="353"/>
      <c r="N166" s="321"/>
      <c r="O166" s="321"/>
      <c r="P166" s="321"/>
      <c r="Q166" s="321"/>
      <c r="R166" s="321"/>
      <c r="S166" s="321"/>
      <c r="T166" s="354"/>
      <c r="U166" s="352"/>
      <c r="V166" s="353"/>
      <c r="W166" s="321"/>
      <c r="X166" s="321"/>
      <c r="Y166" s="321"/>
      <c r="Z166" s="321"/>
      <c r="AA166" s="321"/>
      <c r="AB166" s="321"/>
      <c r="AC166" s="380"/>
      <c r="AD166" s="352"/>
      <c r="AE166" s="408">
        <f t="shared" si="54"/>
        <v>0</v>
      </c>
      <c r="AF166" s="409"/>
      <c r="AG166" s="408"/>
      <c r="AH166" s="409">
        <f t="shared" si="55"/>
        <v>0</v>
      </c>
      <c r="AI166" s="410"/>
      <c r="AJ166" s="411">
        <f t="shared" si="56"/>
        <v>0</v>
      </c>
    </row>
    <row r="167" spans="1:36" s="276" customFormat="1" ht="20.25">
      <c r="A167" s="551"/>
      <c r="B167" s="550"/>
      <c r="C167" s="549"/>
      <c r="D167" s="544"/>
      <c r="E167" s="541"/>
      <c r="F167" s="542"/>
      <c r="G167" s="542"/>
      <c r="H167" s="543"/>
      <c r="I167" s="543"/>
      <c r="J167" s="542"/>
      <c r="K167" s="579"/>
      <c r="L167" s="580"/>
      <c r="M167" s="581"/>
      <c r="N167" s="543"/>
      <c r="O167" s="543"/>
      <c r="P167" s="543"/>
      <c r="Q167" s="543"/>
      <c r="R167" s="543"/>
      <c r="S167" s="543"/>
      <c r="T167" s="587"/>
      <c r="U167" s="580"/>
      <c r="V167" s="581"/>
      <c r="W167" s="543"/>
      <c r="X167" s="543"/>
      <c r="Y167" s="543"/>
      <c r="Z167" s="543"/>
      <c r="AA167" s="543"/>
      <c r="AB167" s="543"/>
      <c r="AC167" s="592"/>
      <c r="AD167" s="580"/>
      <c r="AE167" s="593">
        <f t="shared" si="54"/>
        <v>0</v>
      </c>
      <c r="AF167" s="594"/>
      <c r="AG167" s="593"/>
      <c r="AH167" s="594">
        <f t="shared" si="55"/>
        <v>0</v>
      </c>
      <c r="AI167" s="605"/>
      <c r="AJ167" s="606">
        <f t="shared" si="56"/>
        <v>0</v>
      </c>
    </row>
    <row r="168" spans="1:36" s="234" customFormat="1" ht="20.25">
      <c r="A168" s="537"/>
      <c r="B168" s="550"/>
      <c r="C168" s="549"/>
      <c r="D168" s="544"/>
      <c r="E168" s="541"/>
      <c r="F168" s="542"/>
      <c r="G168" s="542"/>
      <c r="H168" s="543"/>
      <c r="I168" s="543"/>
      <c r="J168" s="542"/>
      <c r="K168" s="579"/>
      <c r="L168" s="580"/>
      <c r="M168" s="581"/>
      <c r="N168" s="543"/>
      <c r="O168" s="543"/>
      <c r="P168" s="543"/>
      <c r="Q168" s="543"/>
      <c r="R168" s="543"/>
      <c r="S168" s="543"/>
      <c r="T168" s="587"/>
      <c r="U168" s="580"/>
      <c r="V168" s="581"/>
      <c r="W168" s="543"/>
      <c r="X168" s="543"/>
      <c r="Y168" s="543"/>
      <c r="Z168" s="543"/>
      <c r="AA168" s="543"/>
      <c r="AB168" s="543"/>
      <c r="AC168" s="592"/>
      <c r="AD168" s="580"/>
      <c r="AE168" s="593">
        <f t="shared" si="54"/>
        <v>0</v>
      </c>
      <c r="AF168" s="594"/>
      <c r="AG168" s="593"/>
      <c r="AH168" s="594">
        <f t="shared" si="55"/>
        <v>0</v>
      </c>
      <c r="AI168" s="605"/>
      <c r="AJ168" s="606">
        <f t="shared" si="56"/>
        <v>0</v>
      </c>
    </row>
    <row r="169" spans="1:36" s="276" customFormat="1" ht="20.25">
      <c r="A169" s="551"/>
      <c r="B169" s="550"/>
      <c r="C169" s="549"/>
      <c r="D169" s="544"/>
      <c r="E169" s="541"/>
      <c r="F169" s="542"/>
      <c r="G169" s="542"/>
      <c r="H169" s="543"/>
      <c r="I169" s="543"/>
      <c r="J169" s="542"/>
      <c r="K169" s="579"/>
      <c r="L169" s="580"/>
      <c r="M169" s="581"/>
      <c r="N169" s="543"/>
      <c r="O169" s="543"/>
      <c r="P169" s="543"/>
      <c r="Q169" s="543"/>
      <c r="R169" s="543"/>
      <c r="S169" s="543"/>
      <c r="T169" s="587"/>
      <c r="U169" s="580"/>
      <c r="V169" s="581"/>
      <c r="W169" s="543"/>
      <c r="X169" s="543"/>
      <c r="Y169" s="543"/>
      <c r="Z169" s="543"/>
      <c r="AA169" s="543"/>
      <c r="AB169" s="543"/>
      <c r="AC169" s="592"/>
      <c r="AD169" s="580"/>
      <c r="AE169" s="593">
        <f t="shared" si="54"/>
        <v>0</v>
      </c>
      <c r="AF169" s="594"/>
      <c r="AG169" s="593"/>
      <c r="AH169" s="594">
        <f t="shared" si="55"/>
        <v>0</v>
      </c>
      <c r="AI169" s="605"/>
      <c r="AJ169" s="606">
        <f t="shared" si="56"/>
        <v>0</v>
      </c>
    </row>
    <row r="170" spans="1:36" s="234" customFormat="1" ht="20.25">
      <c r="A170" s="547"/>
      <c r="B170" s="550"/>
      <c r="C170" s="549"/>
      <c r="D170" s="544"/>
      <c r="E170" s="319"/>
      <c r="F170" s="320"/>
      <c r="G170" s="320"/>
      <c r="H170" s="321"/>
      <c r="I170" s="321"/>
      <c r="J170" s="320"/>
      <c r="K170" s="351"/>
      <c r="L170" s="352"/>
      <c r="M170" s="353"/>
      <c r="N170" s="321"/>
      <c r="O170" s="321"/>
      <c r="P170" s="321"/>
      <c r="Q170" s="321"/>
      <c r="R170" s="321"/>
      <c r="S170" s="321"/>
      <c r="T170" s="354"/>
      <c r="U170" s="352"/>
      <c r="V170" s="353"/>
      <c r="W170" s="321"/>
      <c r="X170" s="321"/>
      <c r="Y170" s="321"/>
      <c r="Z170" s="321"/>
      <c r="AA170" s="321"/>
      <c r="AB170" s="321"/>
      <c r="AC170" s="380"/>
      <c r="AD170" s="352"/>
      <c r="AE170" s="408">
        <f t="shared" si="54"/>
        <v>0</v>
      </c>
      <c r="AF170" s="409"/>
      <c r="AG170" s="408"/>
      <c r="AH170" s="409">
        <f t="shared" si="55"/>
        <v>0</v>
      </c>
      <c r="AI170" s="410"/>
      <c r="AJ170" s="411">
        <f t="shared" si="56"/>
        <v>0</v>
      </c>
    </row>
    <row r="171" spans="1:36" s="276" customFormat="1" ht="26.25">
      <c r="A171" s="537"/>
      <c r="B171" s="550"/>
      <c r="C171" s="549"/>
      <c r="D171" s="544"/>
      <c r="E171" s="541"/>
      <c r="F171" s="542"/>
      <c r="G171" s="542"/>
      <c r="H171" s="543"/>
      <c r="I171" s="543"/>
      <c r="J171" s="542"/>
      <c r="K171" s="579"/>
      <c r="L171" s="580"/>
      <c r="M171" s="581"/>
      <c r="N171" s="543"/>
      <c r="O171" s="543"/>
      <c r="P171" s="543"/>
      <c r="Q171" s="543"/>
      <c r="R171" s="543"/>
      <c r="S171" s="543"/>
      <c r="T171" s="587"/>
      <c r="U171" s="580"/>
      <c r="V171" s="581"/>
      <c r="W171" s="543"/>
      <c r="X171" s="543"/>
      <c r="Y171" s="543"/>
      <c r="Z171" s="598"/>
      <c r="AA171" s="543"/>
      <c r="AB171" s="543"/>
      <c r="AC171" s="592"/>
      <c r="AD171" s="580"/>
      <c r="AE171" s="593">
        <f t="shared" si="54"/>
        <v>0</v>
      </c>
      <c r="AF171" s="594"/>
      <c r="AG171" s="593"/>
      <c r="AH171" s="594">
        <f t="shared" si="55"/>
        <v>0</v>
      </c>
      <c r="AI171" s="605"/>
      <c r="AJ171" s="606">
        <f t="shared" si="56"/>
        <v>0</v>
      </c>
    </row>
    <row r="172" spans="1:36" s="234" customFormat="1" ht="20.25">
      <c r="A172" s="561"/>
      <c r="B172" s="550"/>
      <c r="C172" s="549"/>
      <c r="D172" s="544"/>
      <c r="E172" s="319"/>
      <c r="F172" s="320"/>
      <c r="G172" s="320"/>
      <c r="H172" s="321"/>
      <c r="I172" s="321"/>
      <c r="J172" s="320"/>
      <c r="K172" s="351"/>
      <c r="L172" s="352"/>
      <c r="M172" s="353"/>
      <c r="N172" s="321"/>
      <c r="O172" s="321"/>
      <c r="P172" s="321"/>
      <c r="Q172" s="321"/>
      <c r="R172" s="321"/>
      <c r="S172" s="321"/>
      <c r="T172" s="354"/>
      <c r="U172" s="352"/>
      <c r="V172" s="353"/>
      <c r="W172" s="321"/>
      <c r="X172" s="321"/>
      <c r="Y172" s="321"/>
      <c r="Z172" s="543"/>
      <c r="AA172" s="321"/>
      <c r="AB172" s="321"/>
      <c r="AC172" s="380"/>
      <c r="AD172" s="352"/>
      <c r="AE172" s="408">
        <f t="shared" si="54"/>
        <v>0</v>
      </c>
      <c r="AF172" s="409"/>
      <c r="AG172" s="408"/>
      <c r="AH172" s="409">
        <f t="shared" si="55"/>
        <v>0</v>
      </c>
      <c r="AI172" s="410"/>
      <c r="AJ172" s="411">
        <f t="shared" si="56"/>
        <v>0</v>
      </c>
    </row>
    <row r="173" spans="1:36" s="234" customFormat="1" ht="20.25">
      <c r="A173" s="547"/>
      <c r="B173" s="550"/>
      <c r="C173" s="549"/>
      <c r="D173" s="544"/>
      <c r="E173" s="541"/>
      <c r="F173" s="542"/>
      <c r="G173" s="542"/>
      <c r="H173" s="543"/>
      <c r="I173" s="543"/>
      <c r="J173" s="542"/>
      <c r="K173" s="579"/>
      <c r="L173" s="580"/>
      <c r="M173" s="581"/>
      <c r="N173" s="543"/>
      <c r="O173" s="543"/>
      <c r="P173" s="543"/>
      <c r="Q173" s="543"/>
      <c r="R173" s="543"/>
      <c r="S173" s="543"/>
      <c r="T173" s="587"/>
      <c r="U173" s="580"/>
      <c r="V173" s="581"/>
      <c r="W173" s="543"/>
      <c r="X173" s="543"/>
      <c r="Y173" s="543"/>
      <c r="Z173" s="543"/>
      <c r="AA173" s="543"/>
      <c r="AB173" s="543"/>
      <c r="AC173" s="592"/>
      <c r="AD173" s="580"/>
      <c r="AE173" s="593">
        <f t="shared" si="54"/>
        <v>0</v>
      </c>
      <c r="AF173" s="594"/>
      <c r="AG173" s="593"/>
      <c r="AH173" s="594">
        <f t="shared" si="55"/>
        <v>0</v>
      </c>
      <c r="AI173" s="605"/>
      <c r="AJ173" s="606">
        <f t="shared" si="56"/>
        <v>0</v>
      </c>
    </row>
    <row r="174" spans="1:36" s="276" customFormat="1" ht="20.25">
      <c r="A174" s="537"/>
      <c r="B174" s="550"/>
      <c r="C174" s="549"/>
      <c r="D174" s="544"/>
      <c r="E174" s="319"/>
      <c r="F174" s="320"/>
      <c r="G174" s="320"/>
      <c r="H174" s="321"/>
      <c r="I174" s="321"/>
      <c r="J174" s="320"/>
      <c r="K174" s="351"/>
      <c r="L174" s="352"/>
      <c r="M174" s="353"/>
      <c r="N174" s="321"/>
      <c r="O174" s="321"/>
      <c r="P174" s="321"/>
      <c r="Q174" s="321"/>
      <c r="R174" s="321"/>
      <c r="S174" s="321"/>
      <c r="T174" s="354"/>
      <c r="U174" s="352"/>
      <c r="V174" s="353"/>
      <c r="W174" s="321"/>
      <c r="X174" s="321"/>
      <c r="Y174" s="321"/>
      <c r="Z174" s="321"/>
      <c r="AA174" s="321"/>
      <c r="AB174" s="321"/>
      <c r="AC174" s="380"/>
      <c r="AD174" s="352"/>
      <c r="AE174" s="408">
        <f t="shared" si="54"/>
        <v>0</v>
      </c>
      <c r="AF174" s="409"/>
      <c r="AG174" s="408"/>
      <c r="AH174" s="409">
        <f t="shared" si="55"/>
        <v>0</v>
      </c>
      <c r="AI174" s="410"/>
      <c r="AJ174" s="411">
        <f t="shared" si="56"/>
        <v>0</v>
      </c>
    </row>
    <row r="175" spans="1:36" s="276" customFormat="1" ht="20.25">
      <c r="A175" s="537"/>
      <c r="B175" s="552"/>
      <c r="C175" s="552"/>
      <c r="D175" s="544"/>
      <c r="E175" s="541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/>
      <c r="P175" s="543"/>
      <c r="Q175" s="543"/>
      <c r="R175" s="543"/>
      <c r="S175" s="543"/>
      <c r="T175" s="587"/>
      <c r="U175" s="580"/>
      <c r="V175" s="581"/>
      <c r="W175" s="543"/>
      <c r="X175" s="543"/>
      <c r="Y175" s="543"/>
      <c r="Z175" s="543"/>
      <c r="AA175" s="543"/>
      <c r="AB175" s="543"/>
      <c r="AC175" s="592"/>
      <c r="AD175" s="580"/>
      <c r="AE175" s="593">
        <f t="shared" si="54"/>
        <v>0</v>
      </c>
      <c r="AF175" s="594"/>
      <c r="AG175" s="593"/>
      <c r="AH175" s="594">
        <f t="shared" si="55"/>
        <v>0</v>
      </c>
      <c r="AI175" s="605"/>
      <c r="AJ175" s="606">
        <f t="shared" si="56"/>
        <v>0</v>
      </c>
    </row>
    <row r="176" spans="1:36" s="234" customFormat="1" ht="20.25">
      <c r="A176" s="537"/>
      <c r="B176" s="552"/>
      <c r="C176" s="552"/>
      <c r="D176" s="544"/>
      <c r="E176" s="319"/>
      <c r="F176" s="320"/>
      <c r="G176" s="320"/>
      <c r="H176" s="321"/>
      <c r="I176" s="321"/>
      <c r="J176" s="320"/>
      <c r="K176" s="351"/>
      <c r="L176" s="352"/>
      <c r="M176" s="353"/>
      <c r="N176" s="321"/>
      <c r="O176" s="321"/>
      <c r="P176" s="321"/>
      <c r="Q176" s="321"/>
      <c r="R176" s="321"/>
      <c r="S176" s="321"/>
      <c r="T176" s="354"/>
      <c r="U176" s="352"/>
      <c r="V176" s="353"/>
      <c r="W176" s="321"/>
      <c r="X176" s="321"/>
      <c r="Y176" s="321"/>
      <c r="Z176" s="321"/>
      <c r="AA176" s="321"/>
      <c r="AB176" s="321"/>
      <c r="AC176" s="380"/>
      <c r="AD176" s="352"/>
      <c r="AE176" s="408">
        <f t="shared" si="54"/>
        <v>0</v>
      </c>
      <c r="AF176" s="409"/>
      <c r="AG176" s="408"/>
      <c r="AH176" s="409">
        <f t="shared" si="55"/>
        <v>0</v>
      </c>
      <c r="AI176" s="410"/>
      <c r="AJ176" s="411">
        <f t="shared" si="56"/>
        <v>0</v>
      </c>
    </row>
    <row r="177" spans="1:36" s="276" customFormat="1" ht="20.25">
      <c r="A177" s="537"/>
      <c r="B177" s="550"/>
      <c r="C177" s="2647"/>
      <c r="D177" s="544"/>
      <c r="E177" s="541"/>
      <c r="F177" s="542"/>
      <c r="G177" s="542"/>
      <c r="H177" s="543"/>
      <c r="I177" s="543"/>
      <c r="J177" s="542"/>
      <c r="K177" s="579"/>
      <c r="L177" s="580"/>
      <c r="M177" s="581"/>
      <c r="N177" s="543"/>
      <c r="O177" s="543"/>
      <c r="P177" s="543"/>
      <c r="Q177" s="543"/>
      <c r="R177" s="543"/>
      <c r="S177" s="543"/>
      <c r="T177" s="587"/>
      <c r="U177" s="580"/>
      <c r="V177" s="581"/>
      <c r="W177" s="543"/>
      <c r="X177" s="543"/>
      <c r="Y177" s="543"/>
      <c r="Z177" s="543"/>
      <c r="AA177" s="543"/>
      <c r="AB177" s="543"/>
      <c r="AC177" s="592"/>
      <c r="AD177" s="580"/>
      <c r="AE177" s="593">
        <f t="shared" si="54"/>
        <v>0</v>
      </c>
      <c r="AF177" s="594"/>
      <c r="AG177" s="593"/>
      <c r="AH177" s="594">
        <f t="shared" si="55"/>
        <v>0</v>
      </c>
      <c r="AI177" s="605"/>
      <c r="AJ177" s="606">
        <f t="shared" si="56"/>
        <v>0</v>
      </c>
    </row>
    <row r="178" spans="1:36" s="276" customFormat="1" ht="20.25">
      <c r="A178" s="537"/>
      <c r="B178" s="550"/>
      <c r="C178" s="2647"/>
      <c r="D178" s="544"/>
      <c r="E178" s="319"/>
      <c r="F178" s="320"/>
      <c r="G178" s="320"/>
      <c r="H178" s="321"/>
      <c r="I178" s="321"/>
      <c r="J178" s="320"/>
      <c r="K178" s="351"/>
      <c r="L178" s="352"/>
      <c r="M178" s="353"/>
      <c r="N178" s="321"/>
      <c r="O178" s="321"/>
      <c r="P178" s="321"/>
      <c r="Q178" s="321"/>
      <c r="R178" s="321"/>
      <c r="S178" s="321"/>
      <c r="T178" s="354"/>
      <c r="U178" s="352"/>
      <c r="V178" s="353"/>
      <c r="W178" s="321"/>
      <c r="X178" s="321"/>
      <c r="Y178" s="321"/>
      <c r="Z178" s="321"/>
      <c r="AA178" s="321"/>
      <c r="AB178" s="321"/>
      <c r="AC178" s="380"/>
      <c r="AD178" s="352"/>
      <c r="AE178" s="408">
        <f t="shared" si="54"/>
        <v>0</v>
      </c>
      <c r="AF178" s="409"/>
      <c r="AG178" s="408"/>
      <c r="AH178" s="409">
        <f t="shared" si="55"/>
        <v>0</v>
      </c>
      <c r="AI178" s="410"/>
      <c r="AJ178" s="411">
        <f t="shared" si="56"/>
        <v>0</v>
      </c>
    </row>
    <row r="179" spans="1:36" s="234" customFormat="1" ht="20.25">
      <c r="A179" s="537"/>
      <c r="B179" s="554"/>
      <c r="C179" s="554"/>
      <c r="D179" s="555"/>
      <c r="E179" s="541"/>
      <c r="F179" s="542"/>
      <c r="G179" s="542"/>
      <c r="H179" s="543"/>
      <c r="I179" s="543"/>
      <c r="J179" s="542"/>
      <c r="K179" s="579"/>
      <c r="L179" s="580"/>
      <c r="M179" s="581"/>
      <c r="N179" s="543"/>
      <c r="O179" s="543"/>
      <c r="P179" s="543"/>
      <c r="Q179" s="543"/>
      <c r="R179" s="543"/>
      <c r="S179" s="543"/>
      <c r="T179" s="587"/>
      <c r="U179" s="580"/>
      <c r="V179" s="581"/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si="54"/>
        <v>0</v>
      </c>
      <c r="AF179" s="594"/>
      <c r="AG179" s="593"/>
      <c r="AH179" s="594">
        <f t="shared" si="55"/>
        <v>0</v>
      </c>
      <c r="AI179" s="605"/>
      <c r="AJ179" s="606">
        <f t="shared" si="56"/>
        <v>0</v>
      </c>
    </row>
    <row r="180" spans="1:36" s="276" customFormat="1" ht="20.25">
      <c r="A180" s="537"/>
      <c r="B180" s="552"/>
      <c r="C180" s="552"/>
      <c r="D180" s="544"/>
      <c r="E180" s="319"/>
      <c r="F180" s="320"/>
      <c r="G180" s="320"/>
      <c r="H180" s="321"/>
      <c r="I180" s="321"/>
      <c r="J180" s="320"/>
      <c r="K180" s="351"/>
      <c r="L180" s="352"/>
      <c r="M180" s="353"/>
      <c r="N180" s="321"/>
      <c r="O180" s="321"/>
      <c r="P180" s="321"/>
      <c r="Q180" s="321"/>
      <c r="R180" s="321"/>
      <c r="S180" s="321"/>
      <c r="T180" s="354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54"/>
        <v>0</v>
      </c>
      <c r="AF180" s="409"/>
      <c r="AG180" s="408"/>
      <c r="AH180" s="409">
        <f t="shared" si="55"/>
        <v>0</v>
      </c>
      <c r="AI180" s="410"/>
      <c r="AJ180" s="411">
        <f t="shared" si="56"/>
        <v>0</v>
      </c>
    </row>
    <row r="181" spans="1:36" s="276" customFormat="1" ht="20.25">
      <c r="A181" s="547"/>
      <c r="B181" s="552"/>
      <c r="C181" s="552"/>
      <c r="D181" s="544"/>
      <c r="E181" s="319"/>
      <c r="F181" s="320"/>
      <c r="G181" s="320"/>
      <c r="H181" s="321"/>
      <c r="I181" s="321"/>
      <c r="J181" s="320"/>
      <c r="K181" s="351"/>
      <c r="L181" s="352"/>
      <c r="M181" s="353"/>
      <c r="N181" s="321"/>
      <c r="O181" s="321"/>
      <c r="P181" s="321"/>
      <c r="Q181" s="321"/>
      <c r="R181" s="321"/>
      <c r="S181" s="321"/>
      <c r="T181" s="354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408">
        <f t="shared" si="54"/>
        <v>0</v>
      </c>
      <c r="AF181" s="409"/>
      <c r="AG181" s="408"/>
      <c r="AH181" s="409">
        <f t="shared" si="55"/>
        <v>0</v>
      </c>
      <c r="AI181" s="410"/>
      <c r="AJ181" s="411">
        <f t="shared" si="56"/>
        <v>0</v>
      </c>
    </row>
    <row r="182" spans="1:36" s="234" customFormat="1" ht="20.25">
      <c r="A182" s="551"/>
      <c r="B182" s="552"/>
      <c r="C182" s="552"/>
      <c r="D182" s="568"/>
      <c r="E182" s="541"/>
      <c r="F182" s="542"/>
      <c r="G182" s="542"/>
      <c r="H182" s="543"/>
      <c r="I182" s="543"/>
      <c r="J182" s="542"/>
      <c r="K182" s="579"/>
      <c r="L182" s="580"/>
      <c r="M182" s="581"/>
      <c r="N182" s="543"/>
      <c r="O182" s="543"/>
      <c r="P182" s="543"/>
      <c r="Q182" s="543"/>
      <c r="R182" s="543"/>
      <c r="S182" s="543"/>
      <c r="T182" s="587"/>
      <c r="U182" s="580"/>
      <c r="V182" s="581"/>
      <c r="W182" s="543"/>
      <c r="X182" s="543"/>
      <c r="Y182" s="543"/>
      <c r="Z182" s="543"/>
      <c r="AA182" s="543"/>
      <c r="AB182" s="543"/>
      <c r="AC182" s="592"/>
      <c r="AD182" s="580"/>
      <c r="AE182" s="593">
        <f t="shared" si="54"/>
        <v>0</v>
      </c>
      <c r="AF182" s="594"/>
      <c r="AG182" s="593"/>
      <c r="AH182" s="594">
        <f t="shared" si="55"/>
        <v>0</v>
      </c>
      <c r="AI182" s="605"/>
      <c r="AJ182" s="606">
        <f t="shared" si="56"/>
        <v>0</v>
      </c>
    </row>
    <row r="183" spans="1:36" s="276" customFormat="1" ht="20.25">
      <c r="A183" s="551"/>
      <c r="B183" s="563"/>
      <c r="C183" s="552"/>
      <c r="D183" s="318"/>
      <c r="E183" s="54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43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54"/>
        <v>0</v>
      </c>
      <c r="AF183" s="594"/>
      <c r="AG183" s="593"/>
      <c r="AH183" s="594">
        <f t="shared" si="55"/>
        <v>0</v>
      </c>
      <c r="AI183" s="605"/>
      <c r="AJ183" s="606">
        <f t="shared" si="56"/>
        <v>0</v>
      </c>
    </row>
    <row r="184" spans="1:36" s="234" customFormat="1" ht="20.25">
      <c r="A184" s="537"/>
      <c r="B184" s="563"/>
      <c r="C184" s="552"/>
      <c r="D184" s="318"/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54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593">
        <f t="shared" si="54"/>
        <v>0</v>
      </c>
      <c r="AF184" s="409"/>
      <c r="AG184" s="408"/>
      <c r="AH184" s="409">
        <f t="shared" si="55"/>
        <v>0</v>
      </c>
      <c r="AI184" s="410"/>
      <c r="AJ184" s="411">
        <f t="shared" si="56"/>
        <v>0</v>
      </c>
    </row>
    <row r="185" spans="1:36" s="276" customFormat="1" ht="20.25">
      <c r="A185" s="561"/>
      <c r="B185" s="554"/>
      <c r="C185" s="554"/>
      <c r="D185" s="555"/>
      <c r="E185" s="541"/>
      <c r="F185" s="542"/>
      <c r="G185" s="542"/>
      <c r="H185" s="543"/>
      <c r="I185" s="543"/>
      <c r="J185" s="542"/>
      <c r="K185" s="579"/>
      <c r="L185" s="580"/>
      <c r="M185" s="581"/>
      <c r="N185" s="543"/>
      <c r="O185" s="543"/>
      <c r="P185" s="543"/>
      <c r="Q185" s="543"/>
      <c r="R185" s="543"/>
      <c r="S185" s="543"/>
      <c r="T185" s="587"/>
      <c r="U185" s="580"/>
      <c r="V185" s="581"/>
      <c r="W185" s="543"/>
      <c r="X185" s="543"/>
      <c r="Y185" s="543"/>
      <c r="Z185" s="543"/>
      <c r="AA185" s="543"/>
      <c r="AB185" s="543"/>
      <c r="AC185" s="592"/>
      <c r="AD185" s="580"/>
      <c r="AE185" s="593">
        <f t="shared" si="54"/>
        <v>0</v>
      </c>
      <c r="AF185" s="594"/>
      <c r="AG185" s="593"/>
      <c r="AH185" s="594">
        <f t="shared" si="55"/>
        <v>0</v>
      </c>
      <c r="AI185" s="605"/>
      <c r="AJ185" s="606">
        <f t="shared" si="56"/>
        <v>0</v>
      </c>
    </row>
    <row r="186" spans="1:36" s="234" customFormat="1" ht="20.25">
      <c r="A186" s="561"/>
      <c r="B186" s="554"/>
      <c r="C186" s="554"/>
      <c r="D186" s="555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54"/>
        <v>0</v>
      </c>
      <c r="AF186" s="594"/>
      <c r="AG186" s="593"/>
      <c r="AH186" s="594">
        <f t="shared" si="55"/>
        <v>0</v>
      </c>
      <c r="AI186" s="605"/>
      <c r="AJ186" s="606">
        <f t="shared" si="56"/>
        <v>0</v>
      </c>
    </row>
    <row r="187" spans="1:36" s="234" customFormat="1" ht="20.25">
      <c r="A187" s="1180"/>
      <c r="B187" s="727"/>
      <c r="C187" s="727"/>
      <c r="D187" s="1181"/>
      <c r="E187" s="319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54"/>
        <v>0</v>
      </c>
      <c r="AF187" s="409"/>
      <c r="AG187" s="408"/>
      <c r="AH187" s="409">
        <f t="shared" si="55"/>
        <v>0</v>
      </c>
      <c r="AI187" s="410"/>
      <c r="AJ187" s="411">
        <f t="shared" si="56"/>
        <v>0</v>
      </c>
    </row>
    <row r="188" spans="1:36" s="234" customFormat="1" ht="20.25">
      <c r="A188" s="561"/>
      <c r="B188" s="554"/>
      <c r="C188" s="554"/>
      <c r="D188" s="555"/>
      <c r="E188" s="541"/>
      <c r="F188" s="542"/>
      <c r="G188" s="542"/>
      <c r="H188" s="543"/>
      <c r="I188" s="543"/>
      <c r="J188" s="542"/>
      <c r="K188" s="579"/>
      <c r="L188" s="580"/>
      <c r="M188" s="581"/>
      <c r="N188" s="543"/>
      <c r="O188" s="543"/>
      <c r="P188" s="543"/>
      <c r="Q188" s="543"/>
      <c r="R188" s="543"/>
      <c r="S188" s="543"/>
      <c r="T188" s="587"/>
      <c r="U188" s="580"/>
      <c r="V188" s="581"/>
      <c r="W188" s="543"/>
      <c r="X188" s="543"/>
      <c r="Y188" s="543"/>
      <c r="Z188" s="543"/>
      <c r="AA188" s="543"/>
      <c r="AB188" s="543"/>
      <c r="AC188" s="592"/>
      <c r="AD188" s="580"/>
      <c r="AE188" s="593">
        <f t="shared" si="54"/>
        <v>0</v>
      </c>
      <c r="AF188" s="594"/>
      <c r="AG188" s="593"/>
      <c r="AH188" s="594">
        <f t="shared" si="55"/>
        <v>0</v>
      </c>
      <c r="AI188" s="605"/>
      <c r="AJ188" s="606">
        <f t="shared" si="56"/>
        <v>0</v>
      </c>
    </row>
    <row r="189" spans="1:36" s="234" customFormat="1" ht="20.25">
      <c r="A189" s="561"/>
      <c r="B189" s="554"/>
      <c r="C189" s="554"/>
      <c r="D189" s="555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54"/>
        <v>0</v>
      </c>
      <c r="AF189" s="594"/>
      <c r="AG189" s="593"/>
      <c r="AH189" s="594">
        <f t="shared" si="55"/>
        <v>0</v>
      </c>
      <c r="AI189" s="605"/>
      <c r="AJ189" s="606">
        <f t="shared" si="56"/>
        <v>0</v>
      </c>
    </row>
    <row r="190" spans="1:36" s="234" customFormat="1" ht="20.25">
      <c r="A190" s="1180"/>
      <c r="B190" s="727"/>
      <c r="C190" s="727"/>
      <c r="D190" s="1181"/>
      <c r="E190" s="319"/>
      <c r="F190" s="320"/>
      <c r="G190" s="320"/>
      <c r="H190" s="321"/>
      <c r="I190" s="321"/>
      <c r="J190" s="320"/>
      <c r="K190" s="351"/>
      <c r="L190" s="352"/>
      <c r="M190" s="353"/>
      <c r="N190" s="321"/>
      <c r="O190" s="321"/>
      <c r="P190" s="321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408">
        <f t="shared" si="54"/>
        <v>0</v>
      </c>
      <c r="AF190" s="409"/>
      <c r="AG190" s="408"/>
      <c r="AH190" s="409">
        <f t="shared" si="55"/>
        <v>0</v>
      </c>
      <c r="AI190" s="410"/>
      <c r="AJ190" s="411">
        <f t="shared" si="56"/>
        <v>0</v>
      </c>
    </row>
    <row r="191" spans="1:36" s="234" customFormat="1" ht="20.25">
      <c r="A191" s="561"/>
      <c r="B191" s="554"/>
      <c r="C191" s="554"/>
      <c r="D191" s="555"/>
      <c r="E191" s="541"/>
      <c r="F191" s="542"/>
      <c r="G191" s="542"/>
      <c r="H191" s="543"/>
      <c r="I191" s="543"/>
      <c r="J191" s="542"/>
      <c r="K191" s="579"/>
      <c r="L191" s="580"/>
      <c r="M191" s="581"/>
      <c r="N191" s="543"/>
      <c r="O191" s="543"/>
      <c r="P191" s="543"/>
      <c r="Q191" s="543"/>
      <c r="R191" s="543"/>
      <c r="S191" s="543"/>
      <c r="T191" s="58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si="54"/>
        <v>0</v>
      </c>
      <c r="AF191" s="594"/>
      <c r="AG191" s="593"/>
      <c r="AH191" s="594">
        <f t="shared" si="55"/>
        <v>0</v>
      </c>
      <c r="AI191" s="605"/>
      <c r="AJ191" s="606">
        <f t="shared" si="56"/>
        <v>0</v>
      </c>
    </row>
    <row r="192" spans="1:36" s="234" customFormat="1" ht="20.25">
      <c r="A192" s="1180"/>
      <c r="B192" s="727"/>
      <c r="C192" s="727"/>
      <c r="D192" s="1181"/>
      <c r="E192" s="319"/>
      <c r="F192" s="320"/>
      <c r="G192" s="320"/>
      <c r="H192" s="321"/>
      <c r="I192" s="321"/>
      <c r="J192" s="320"/>
      <c r="K192" s="351"/>
      <c r="L192" s="352"/>
      <c r="M192" s="353"/>
      <c r="N192" s="321"/>
      <c r="O192" s="321"/>
      <c r="P192" s="321"/>
      <c r="Q192" s="321"/>
      <c r="R192" s="321"/>
      <c r="S192" s="321"/>
      <c r="T192" s="354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54"/>
        <v>0</v>
      </c>
      <c r="AF192" s="409"/>
      <c r="AG192" s="408"/>
      <c r="AH192" s="409">
        <f t="shared" si="55"/>
        <v>0</v>
      </c>
      <c r="AI192" s="410"/>
      <c r="AJ192" s="411">
        <f t="shared" si="56"/>
        <v>0</v>
      </c>
    </row>
    <row r="193" spans="1:39" s="234" customFormat="1" ht="20.25">
      <c r="A193" s="561"/>
      <c r="B193" s="554"/>
      <c r="C193" s="554"/>
      <c r="D193" s="555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58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si="54"/>
        <v>0</v>
      </c>
      <c r="AF193" s="594"/>
      <c r="AG193" s="593"/>
      <c r="AH193" s="594">
        <f t="shared" si="55"/>
        <v>0</v>
      </c>
      <c r="AI193" s="605"/>
      <c r="AJ193" s="606">
        <f t="shared" si="56"/>
        <v>0</v>
      </c>
    </row>
    <row r="194" spans="1:39" s="234" customFormat="1" ht="20.25">
      <c r="A194" s="1180"/>
      <c r="B194" s="727"/>
      <c r="C194" s="727"/>
      <c r="D194" s="1181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54"/>
        <v>0</v>
      </c>
      <c r="AF194" s="409"/>
      <c r="AG194" s="408"/>
      <c r="AH194" s="409">
        <f t="shared" si="55"/>
        <v>0</v>
      </c>
      <c r="AI194" s="410"/>
      <c r="AJ194" s="411">
        <f t="shared" si="56"/>
        <v>0</v>
      </c>
    </row>
    <row r="195" spans="1:39" s="234" customFormat="1" ht="20.25">
      <c r="A195" s="1180"/>
      <c r="B195" s="727"/>
      <c r="C195" s="727"/>
      <c r="D195" s="1181"/>
      <c r="E195" s="319"/>
      <c r="F195" s="320"/>
      <c r="G195" s="320"/>
      <c r="H195" s="321"/>
      <c r="I195" s="321"/>
      <c r="J195" s="320"/>
      <c r="K195" s="351"/>
      <c r="L195" s="352"/>
      <c r="M195" s="353"/>
      <c r="N195" s="321"/>
      <c r="O195" s="321"/>
      <c r="P195" s="321"/>
      <c r="Q195" s="321"/>
      <c r="R195" s="321"/>
      <c r="S195" s="321"/>
      <c r="T195" s="354"/>
      <c r="U195" s="352"/>
      <c r="V195" s="353"/>
      <c r="W195" s="321"/>
      <c r="X195" s="321"/>
      <c r="Y195" s="321"/>
      <c r="Z195" s="321"/>
      <c r="AA195" s="321"/>
      <c r="AB195" s="321"/>
      <c r="AC195" s="380"/>
      <c r="AD195" s="352"/>
      <c r="AE195" s="408">
        <f t="shared" si="54"/>
        <v>0</v>
      </c>
      <c r="AF195" s="409"/>
      <c r="AG195" s="408"/>
      <c r="AH195" s="409">
        <f t="shared" si="55"/>
        <v>0</v>
      </c>
      <c r="AI195" s="410"/>
      <c r="AJ195" s="411">
        <f t="shared" si="56"/>
        <v>0</v>
      </c>
    </row>
    <row r="196" spans="1:39" s="234" customFormat="1" ht="20.25">
      <c r="A196" s="1180"/>
      <c r="B196" s="727"/>
      <c r="C196" s="727"/>
      <c r="D196" s="1181"/>
      <c r="E196" s="319"/>
      <c r="F196" s="320"/>
      <c r="G196" s="320"/>
      <c r="H196" s="321"/>
      <c r="I196" s="321"/>
      <c r="J196" s="320"/>
      <c r="K196" s="351"/>
      <c r="L196" s="352"/>
      <c r="M196" s="353"/>
      <c r="N196" s="321"/>
      <c r="O196" s="321"/>
      <c r="P196" s="321"/>
      <c r="Q196" s="321"/>
      <c r="R196" s="321"/>
      <c r="S196" s="321"/>
      <c r="T196" s="354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54"/>
        <v>0</v>
      </c>
      <c r="AF196" s="409"/>
      <c r="AG196" s="408"/>
      <c r="AH196" s="409">
        <f t="shared" si="55"/>
        <v>0</v>
      </c>
      <c r="AI196" s="410"/>
      <c r="AJ196" s="411">
        <f t="shared" si="56"/>
        <v>0</v>
      </c>
    </row>
    <row r="197" spans="1:39" ht="20.25">
      <c r="A197" s="1180"/>
      <c r="B197" s="727"/>
      <c r="C197" s="727"/>
      <c r="D197" s="1181"/>
      <c r="E197" s="319"/>
      <c r="F197" s="320"/>
      <c r="G197" s="320"/>
      <c r="H197" s="321"/>
      <c r="I197" s="321"/>
      <c r="J197" s="320"/>
      <c r="K197" s="351"/>
      <c r="L197" s="352"/>
      <c r="M197" s="353"/>
      <c r="N197" s="321"/>
      <c r="O197" s="321"/>
      <c r="P197" s="321"/>
      <c r="Q197" s="321"/>
      <c r="R197" s="321"/>
      <c r="S197" s="321"/>
      <c r="T197" s="354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si="54"/>
        <v>0</v>
      </c>
      <c r="AF197" s="409"/>
      <c r="AG197" s="408"/>
      <c r="AH197" s="409">
        <f t="shared" si="55"/>
        <v>0</v>
      </c>
      <c r="AI197" s="410"/>
      <c r="AJ197" s="411">
        <f t="shared" si="56"/>
        <v>0</v>
      </c>
    </row>
    <row r="198" spans="1:39" ht="20.25">
      <c r="A198" s="1180"/>
      <c r="B198" s="727"/>
      <c r="C198" s="727"/>
      <c r="D198" s="1181"/>
      <c r="E198" s="319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54"/>
        <v>0</v>
      </c>
      <c r="AF198" s="409"/>
      <c r="AG198" s="408"/>
      <c r="AH198" s="409">
        <f t="shared" si="55"/>
        <v>0</v>
      </c>
      <c r="AI198" s="410"/>
      <c r="AJ198" s="411">
        <f t="shared" si="56"/>
        <v>0</v>
      </c>
    </row>
    <row r="199" spans="1:39" s="284" customFormat="1" ht="20.25">
      <c r="A199" s="1180"/>
      <c r="B199" s="727"/>
      <c r="C199" s="727"/>
      <c r="D199" s="1181"/>
      <c r="E199" s="319"/>
      <c r="F199" s="320"/>
      <c r="G199" s="320"/>
      <c r="H199" s="321"/>
      <c r="I199" s="321"/>
      <c r="J199" s="320"/>
      <c r="K199" s="351"/>
      <c r="L199" s="352"/>
      <c r="M199" s="353"/>
      <c r="N199" s="321"/>
      <c r="O199" s="321"/>
      <c r="P199" s="321"/>
      <c r="Q199" s="321"/>
      <c r="R199" s="321"/>
      <c r="S199" s="321"/>
      <c r="T199" s="354"/>
      <c r="U199" s="352"/>
      <c r="V199" s="353"/>
      <c r="W199" s="321"/>
      <c r="X199" s="321"/>
      <c r="Y199" s="321"/>
      <c r="Z199" s="321"/>
      <c r="AA199" s="321"/>
      <c r="AB199" s="321"/>
      <c r="AC199" s="380"/>
      <c r="AD199" s="352"/>
      <c r="AE199" s="408">
        <f t="shared" si="54"/>
        <v>0</v>
      </c>
      <c r="AF199" s="409"/>
      <c r="AG199" s="408"/>
      <c r="AH199" s="409">
        <f t="shared" si="55"/>
        <v>0</v>
      </c>
      <c r="AI199" s="410"/>
      <c r="AJ199" s="411">
        <f t="shared" si="56"/>
        <v>0</v>
      </c>
      <c r="AK199" s="403"/>
      <c r="AL199" s="403"/>
      <c r="AM199" s="403"/>
    </row>
    <row r="200" spans="1:39" s="282" customFormat="1" ht="20.25">
      <c r="A200" s="1180"/>
      <c r="B200" s="727"/>
      <c r="C200" s="727"/>
      <c r="D200" s="1181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54"/>
        <v>0</v>
      </c>
      <c r="AF200" s="409"/>
      <c r="AG200" s="408"/>
      <c r="AH200" s="409">
        <f t="shared" si="55"/>
        <v>0</v>
      </c>
      <c r="AI200" s="410"/>
      <c r="AJ200" s="411">
        <f t="shared" si="56"/>
        <v>0</v>
      </c>
    </row>
    <row r="201" spans="1:39" s="283" customFormat="1" ht="20.25">
      <c r="A201" s="1180"/>
      <c r="B201" s="727"/>
      <c r="C201" s="727"/>
      <c r="D201" s="1181"/>
      <c r="E201" s="319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54"/>
        <v>0</v>
      </c>
      <c r="AF201" s="409"/>
      <c r="AG201" s="408"/>
      <c r="AH201" s="409">
        <f t="shared" si="55"/>
        <v>0</v>
      </c>
      <c r="AI201" s="410"/>
      <c r="AJ201" s="411">
        <f t="shared" si="56"/>
        <v>0</v>
      </c>
    </row>
    <row r="202" spans="1:39" s="283" customFormat="1" ht="20.25">
      <c r="A202" s="2645"/>
      <c r="B202" s="2646"/>
      <c r="C202" s="2646"/>
      <c r="D202" s="2648"/>
      <c r="E202" s="611"/>
      <c r="F202" s="612"/>
      <c r="G202" s="612"/>
      <c r="H202" s="613"/>
      <c r="I202" s="613"/>
      <c r="J202" s="612"/>
      <c r="K202" s="653"/>
      <c r="L202" s="654"/>
      <c r="M202" s="655"/>
      <c r="N202" s="613"/>
      <c r="O202" s="613"/>
      <c r="P202" s="613"/>
      <c r="Q202" s="613"/>
      <c r="R202" s="613"/>
      <c r="S202" s="613"/>
      <c r="T202" s="670"/>
      <c r="U202" s="654"/>
      <c r="V202" s="655"/>
      <c r="W202" s="613"/>
      <c r="X202" s="613"/>
      <c r="Y202" s="613"/>
      <c r="Z202" s="613"/>
      <c r="AA202" s="613"/>
      <c r="AB202" s="613"/>
      <c r="AC202" s="678"/>
      <c r="AD202" s="654"/>
      <c r="AE202" s="679">
        <f t="shared" si="54"/>
        <v>0</v>
      </c>
      <c r="AF202" s="680"/>
      <c r="AG202" s="679"/>
      <c r="AH202" s="680">
        <f t="shared" si="55"/>
        <v>0</v>
      </c>
      <c r="AI202" s="697"/>
      <c r="AJ202" s="698">
        <f t="shared" si="56"/>
        <v>0</v>
      </c>
    </row>
    <row r="203" spans="1:39" s="283" customFormat="1" ht="20.25">
      <c r="A203" s="551"/>
      <c r="B203" s="800"/>
      <c r="C203" s="800"/>
      <c r="D203" s="1183"/>
      <c r="E203" s="617"/>
      <c r="F203" s="618"/>
      <c r="G203" s="618"/>
      <c r="H203" s="619"/>
      <c r="I203" s="619"/>
      <c r="J203" s="618"/>
      <c r="K203" s="656"/>
      <c r="L203" s="657"/>
      <c r="M203" s="658"/>
      <c r="N203" s="619"/>
      <c r="O203" s="619"/>
      <c r="P203" s="619"/>
      <c r="Q203" s="619"/>
      <c r="R203" s="619"/>
      <c r="S203" s="619"/>
      <c r="T203" s="671"/>
      <c r="U203" s="657"/>
      <c r="V203" s="658"/>
      <c r="W203" s="619"/>
      <c r="X203" s="619"/>
      <c r="Y203" s="619"/>
      <c r="Z203" s="619"/>
      <c r="AA203" s="619"/>
      <c r="AB203" s="619"/>
      <c r="AC203" s="681"/>
      <c r="AD203" s="657"/>
      <c r="AE203" s="682">
        <f t="shared" si="54"/>
        <v>0</v>
      </c>
      <c r="AF203" s="683"/>
      <c r="AG203" s="682"/>
      <c r="AH203" s="683">
        <f t="shared" si="55"/>
        <v>0</v>
      </c>
      <c r="AI203" s="699"/>
      <c r="AJ203" s="700">
        <f t="shared" si="56"/>
        <v>0</v>
      </c>
    </row>
    <row r="204" spans="1:39" s="284" customFormat="1" ht="23.25" customHeight="1" thickBot="1">
      <c r="A204" s="802"/>
      <c r="B204" s="803"/>
      <c r="C204" s="803"/>
      <c r="D204" s="2649"/>
      <c r="E204" s="623"/>
      <c r="F204" s="624"/>
      <c r="G204" s="624"/>
      <c r="H204" s="625"/>
      <c r="I204" s="625"/>
      <c r="J204" s="624"/>
      <c r="K204" s="659"/>
      <c r="L204" s="660"/>
      <c r="M204" s="661"/>
      <c r="N204" s="625"/>
      <c r="O204" s="625"/>
      <c r="P204" s="625"/>
      <c r="Q204" s="625"/>
      <c r="R204" s="625"/>
      <c r="S204" s="625"/>
      <c r="T204" s="672"/>
      <c r="U204" s="660"/>
      <c r="V204" s="661"/>
      <c r="W204" s="625"/>
      <c r="X204" s="625"/>
      <c r="Y204" s="625"/>
      <c r="Z204" s="625"/>
      <c r="AA204" s="625"/>
      <c r="AB204" s="625"/>
      <c r="AC204" s="684"/>
      <c r="AD204" s="660"/>
      <c r="AE204" s="685">
        <f t="shared" si="54"/>
        <v>0</v>
      </c>
      <c r="AF204" s="686"/>
      <c r="AG204" s="685"/>
      <c r="AH204" s="686">
        <f t="shared" si="55"/>
        <v>0</v>
      </c>
      <c r="AI204" s="701"/>
      <c r="AJ204" s="702">
        <f t="shared" si="56"/>
        <v>0</v>
      </c>
      <c r="AK204" s="403"/>
      <c r="AL204" s="403"/>
      <c r="AM204" s="403"/>
    </row>
    <row r="205" spans="1:39" s="1" customFormat="1" ht="21" thickBot="1">
      <c r="A205" s="626" t="s">
        <v>151</v>
      </c>
      <c r="B205" s="627"/>
      <c r="C205" s="627"/>
      <c r="D205" s="628"/>
      <c r="E205" s="533">
        <f t="shared" ref="E205:AC205" si="59">SUM(E144:E204)</f>
        <v>79</v>
      </c>
      <c r="F205" s="629">
        <f t="shared" si="59"/>
        <v>2</v>
      </c>
      <c r="G205" s="629">
        <f t="shared" si="59"/>
        <v>58</v>
      </c>
      <c r="H205" s="629">
        <f t="shared" si="59"/>
        <v>43</v>
      </c>
      <c r="I205" s="629">
        <f t="shared" si="59"/>
        <v>0</v>
      </c>
      <c r="J205" s="629">
        <f t="shared" si="59"/>
        <v>0</v>
      </c>
      <c r="K205" s="3600">
        <f t="shared" si="59"/>
        <v>0</v>
      </c>
      <c r="L205" s="3599">
        <f t="shared" si="59"/>
        <v>0</v>
      </c>
      <c r="M205" s="533">
        <f t="shared" si="59"/>
        <v>0</v>
      </c>
      <c r="N205" s="629">
        <f t="shared" si="59"/>
        <v>0</v>
      </c>
      <c r="O205" s="629">
        <f t="shared" si="59"/>
        <v>0</v>
      </c>
      <c r="P205" s="629">
        <f t="shared" si="59"/>
        <v>0</v>
      </c>
      <c r="Q205" s="629">
        <f t="shared" si="59"/>
        <v>0</v>
      </c>
      <c r="R205" s="629">
        <f t="shared" si="59"/>
        <v>0</v>
      </c>
      <c r="S205" s="629">
        <f t="shared" si="59"/>
        <v>0</v>
      </c>
      <c r="T205" s="3600">
        <f t="shared" si="59"/>
        <v>0</v>
      </c>
      <c r="U205" s="3599">
        <f t="shared" si="59"/>
        <v>0</v>
      </c>
      <c r="V205" s="533">
        <f t="shared" si="59"/>
        <v>0</v>
      </c>
      <c r="W205" s="533">
        <f t="shared" si="59"/>
        <v>0</v>
      </c>
      <c r="X205" s="533">
        <f t="shared" si="59"/>
        <v>0</v>
      </c>
      <c r="Y205" s="533">
        <f t="shared" si="59"/>
        <v>0</v>
      </c>
      <c r="Z205" s="533">
        <f t="shared" si="59"/>
        <v>0</v>
      </c>
      <c r="AA205" s="533">
        <f t="shared" si="59"/>
        <v>0</v>
      </c>
      <c r="AB205" s="533">
        <f t="shared" si="59"/>
        <v>0</v>
      </c>
      <c r="AC205" s="533">
        <f t="shared" si="59"/>
        <v>0</v>
      </c>
      <c r="AD205" s="3599"/>
      <c r="AE205" s="3601">
        <f t="shared" ref="AE205:AJ205" si="60">SUM(AE144:AE204)</f>
        <v>182</v>
      </c>
      <c r="AF205" s="3599">
        <f t="shared" si="60"/>
        <v>0</v>
      </c>
      <c r="AG205" s="3601">
        <f t="shared" si="60"/>
        <v>0</v>
      </c>
      <c r="AH205" s="3600">
        <f t="shared" si="60"/>
        <v>182</v>
      </c>
      <c r="AI205" s="3599">
        <f t="shared" si="60"/>
        <v>0</v>
      </c>
      <c r="AJ205" s="3601">
        <f t="shared" si="60"/>
        <v>182</v>
      </c>
    </row>
    <row r="206" spans="1:39" ht="21" thickBot="1">
      <c r="A206" s="530" t="s">
        <v>152</v>
      </c>
      <c r="B206" s="531"/>
      <c r="C206" s="531"/>
      <c r="D206" s="630"/>
      <c r="E206" s="533">
        <f t="shared" ref="E206:G206" si="61">E205/20</f>
        <v>3.95</v>
      </c>
      <c r="F206" s="534">
        <f t="shared" si="61"/>
        <v>0.1</v>
      </c>
      <c r="G206" s="534">
        <f t="shared" si="61"/>
        <v>2.9</v>
      </c>
      <c r="H206" s="534">
        <f t="shared" ref="H206:K206" si="62">H205/12</f>
        <v>3.5833333333333335</v>
      </c>
      <c r="I206" s="534">
        <f t="shared" ref="I206:T206" si="63">I205/20</f>
        <v>0</v>
      </c>
      <c r="J206" s="534">
        <f t="shared" si="62"/>
        <v>0</v>
      </c>
      <c r="K206" s="534">
        <f t="shared" si="62"/>
        <v>0</v>
      </c>
      <c r="L206" s="3599"/>
      <c r="M206" s="576">
        <f t="shared" si="63"/>
        <v>0</v>
      </c>
      <c r="N206" s="577">
        <f t="shared" si="63"/>
        <v>0</v>
      </c>
      <c r="O206" s="577">
        <f t="shared" si="63"/>
        <v>0</v>
      </c>
      <c r="P206" s="577">
        <f t="shared" si="63"/>
        <v>0</v>
      </c>
      <c r="Q206" s="577">
        <f t="shared" si="63"/>
        <v>0</v>
      </c>
      <c r="R206" s="577">
        <f t="shared" si="63"/>
        <v>0</v>
      </c>
      <c r="S206" s="577">
        <f t="shared" si="63"/>
        <v>0</v>
      </c>
      <c r="T206" s="586">
        <f t="shared" si="63"/>
        <v>0</v>
      </c>
      <c r="U206" s="3599"/>
      <c r="V206" s="576">
        <f t="shared" ref="V206:AC206" si="64">V205/20</f>
        <v>0</v>
      </c>
      <c r="W206" s="577">
        <f t="shared" si="64"/>
        <v>0</v>
      </c>
      <c r="X206" s="577">
        <f t="shared" si="64"/>
        <v>0</v>
      </c>
      <c r="Y206" s="577">
        <f t="shared" si="64"/>
        <v>0</v>
      </c>
      <c r="Z206" s="577">
        <f t="shared" si="64"/>
        <v>0</v>
      </c>
      <c r="AA206" s="577">
        <f t="shared" si="64"/>
        <v>0</v>
      </c>
      <c r="AB206" s="577">
        <f t="shared" si="64"/>
        <v>0</v>
      </c>
      <c r="AC206" s="586">
        <f t="shared" si="64"/>
        <v>0</v>
      </c>
      <c r="AD206" s="3599"/>
      <c r="AE206" s="3598">
        <f t="shared" ref="AE206:AE210" si="65">SUM(E206:AC206)</f>
        <v>10.533333333333333</v>
      </c>
      <c r="AF206" s="3601">
        <f t="shared" ref="AF206:AJ206" si="66">AF205/20</f>
        <v>0</v>
      </c>
      <c r="AG206" s="3601">
        <f t="shared" si="66"/>
        <v>0</v>
      </c>
      <c r="AH206" s="3599">
        <f t="shared" si="66"/>
        <v>9.1</v>
      </c>
      <c r="AI206" s="3601">
        <f t="shared" si="66"/>
        <v>0</v>
      </c>
      <c r="AJ206" s="3600">
        <f t="shared" si="66"/>
        <v>9.1</v>
      </c>
    </row>
    <row r="207" spans="1:39" ht="19.5" thickBot="1">
      <c r="A207" s="306"/>
      <c r="B207" s="307"/>
      <c r="C207" s="307"/>
      <c r="D207" s="308"/>
      <c r="E207" s="309"/>
      <c r="F207" s="309"/>
      <c r="G207" s="309"/>
      <c r="H207" s="309"/>
      <c r="I207" s="309"/>
      <c r="J207" s="309"/>
      <c r="K207" s="309"/>
      <c r="L207" s="346"/>
      <c r="M207" s="347"/>
      <c r="N207" s="347"/>
      <c r="O207" s="347"/>
      <c r="P207" s="347"/>
      <c r="Q207" s="347"/>
      <c r="R207" s="347"/>
      <c r="S207" s="347"/>
      <c r="T207" s="347"/>
      <c r="U207" s="346"/>
      <c r="V207" s="347"/>
      <c r="W207" s="347"/>
      <c r="X207" s="347"/>
      <c r="Y207" s="347"/>
      <c r="Z207" s="347"/>
      <c r="AA207" s="347"/>
      <c r="AB207" s="347"/>
      <c r="AC207" s="347"/>
      <c r="AD207" s="346"/>
      <c r="AE207" s="347"/>
      <c r="AF207" s="347"/>
      <c r="AG207" s="347"/>
      <c r="AH207" s="347"/>
      <c r="AI207" s="347"/>
      <c r="AJ207" s="402"/>
    </row>
    <row r="208" spans="1:39" ht="16.5" thickBot="1">
      <c r="A208" s="3881" t="s">
        <v>183</v>
      </c>
      <c r="B208" s="3882"/>
      <c r="C208" s="3883"/>
      <c r="D208" s="288" t="s">
        <v>70</v>
      </c>
      <c r="E208" s="743" t="s">
        <v>190</v>
      </c>
      <c r="F208" s="744" t="s">
        <v>94</v>
      </c>
      <c r="G208" s="744" t="s">
        <v>53</v>
      </c>
      <c r="H208" s="744" t="s">
        <v>252</v>
      </c>
      <c r="I208" s="744" t="s">
        <v>76</v>
      </c>
      <c r="J208" s="744" t="s">
        <v>206</v>
      </c>
      <c r="K208" s="50" t="s">
        <v>272</v>
      </c>
      <c r="L208" s="79"/>
      <c r="M208" s="743" t="s">
        <v>222</v>
      </c>
      <c r="N208" s="744" t="s">
        <v>92</v>
      </c>
      <c r="O208" s="744" t="s">
        <v>251</v>
      </c>
      <c r="P208" s="744" t="s">
        <v>53</v>
      </c>
      <c r="Q208" s="744" t="s">
        <v>94</v>
      </c>
      <c r="R208" s="744" t="s">
        <v>206</v>
      </c>
      <c r="S208" s="50" t="s">
        <v>101</v>
      </c>
      <c r="T208" s="171" t="s">
        <v>497</v>
      </c>
      <c r="U208" s="79"/>
      <c r="V208" s="2654" t="s">
        <v>270</v>
      </c>
      <c r="W208" s="747" t="s">
        <v>94</v>
      </c>
      <c r="X208" s="747" t="s">
        <v>53</v>
      </c>
      <c r="Y208" s="747" t="s">
        <v>206</v>
      </c>
      <c r="Z208" s="747" t="s">
        <v>269</v>
      </c>
      <c r="AA208" s="747" t="s">
        <v>96</v>
      </c>
      <c r="AB208" s="748" t="s">
        <v>92</v>
      </c>
      <c r="AC208" s="180" t="s">
        <v>101</v>
      </c>
      <c r="AD208" s="79"/>
      <c r="AE208" s="371" t="s">
        <v>172</v>
      </c>
      <c r="AF208" s="372" t="s">
        <v>80</v>
      </c>
      <c r="AG208" s="385"/>
      <c r="AH208" s="386" t="s">
        <v>106</v>
      </c>
      <c r="AI208" s="385" t="s">
        <v>173</v>
      </c>
      <c r="AJ208" s="371" t="s">
        <v>108</v>
      </c>
    </row>
    <row r="209" spans="1:37" ht="20.25">
      <c r="A209" s="2650" t="s">
        <v>184</v>
      </c>
      <c r="B209" s="2583"/>
      <c r="C209" s="2626"/>
      <c r="D209" s="2653"/>
      <c r="E209" s="433"/>
      <c r="F209" s="434"/>
      <c r="G209" s="434"/>
      <c r="H209" s="435"/>
      <c r="I209" s="435"/>
      <c r="J209" s="434"/>
      <c r="K209" s="480"/>
      <c r="L209" s="483"/>
      <c r="M209" s="484"/>
      <c r="N209" s="435"/>
      <c r="O209" s="435"/>
      <c r="P209" s="435"/>
      <c r="Q209" s="435"/>
      <c r="R209" s="435"/>
      <c r="S209" s="435"/>
      <c r="T209" s="492"/>
      <c r="U209" s="483"/>
      <c r="V209" s="433"/>
      <c r="W209" s="434"/>
      <c r="X209" s="434"/>
      <c r="Y209" s="435"/>
      <c r="Z209" s="435"/>
      <c r="AA209" s="435"/>
      <c r="AB209" s="434"/>
      <c r="AC209" s="495"/>
      <c r="AD209" s="483"/>
      <c r="AE209" s="496">
        <f t="shared" si="65"/>
        <v>0</v>
      </c>
      <c r="AF209" s="497"/>
      <c r="AG209" s="510"/>
      <c r="AH209" s="511">
        <f>AE209+AF209</f>
        <v>0</v>
      </c>
      <c r="AI209" s="512"/>
      <c r="AJ209" s="703">
        <f>AH209+AI209</f>
        <v>0</v>
      </c>
      <c r="AK209" s="1"/>
    </row>
    <row r="210" spans="1:37" ht="21" thickBot="1">
      <c r="A210" s="2651"/>
      <c r="B210" s="731"/>
      <c r="C210" s="732"/>
      <c r="D210" s="301"/>
      <c r="E210" s="325"/>
      <c r="F210" s="297"/>
      <c r="G210" s="297"/>
      <c r="H210" s="298"/>
      <c r="I210" s="298"/>
      <c r="J210" s="297"/>
      <c r="K210" s="344"/>
      <c r="L210" s="355"/>
      <c r="M210" s="343"/>
      <c r="N210" s="298"/>
      <c r="O210" s="298"/>
      <c r="P210" s="298"/>
      <c r="Q210" s="298"/>
      <c r="R210" s="298"/>
      <c r="S210" s="298"/>
      <c r="T210" s="367"/>
      <c r="U210" s="355"/>
      <c r="V210" s="325"/>
      <c r="W210" s="297"/>
      <c r="X210" s="297"/>
      <c r="Y210" s="298"/>
      <c r="Z210" s="298"/>
      <c r="AA210" s="298"/>
      <c r="AB210" s="297"/>
      <c r="AC210" s="375"/>
      <c r="AD210" s="355"/>
      <c r="AE210" s="377">
        <f t="shared" si="65"/>
        <v>0</v>
      </c>
      <c r="AF210" s="377"/>
      <c r="AG210" s="390"/>
      <c r="AH210" s="507">
        <f>AE210+AF210</f>
        <v>0</v>
      </c>
      <c r="AI210" s="412"/>
      <c r="AJ210" s="508">
        <f>AH210+AI210</f>
        <v>0</v>
      </c>
    </row>
    <row r="211" spans="1:37" ht="21" thickBot="1">
      <c r="A211" s="2652"/>
      <c r="B211" s="2623"/>
      <c r="C211" s="2621"/>
      <c r="D211" s="438"/>
      <c r="E211" s="439">
        <f t="shared" ref="E211:K211" si="67">SUM(E209:E210)</f>
        <v>0</v>
      </c>
      <c r="F211" s="440">
        <f t="shared" si="67"/>
        <v>0</v>
      </c>
      <c r="G211" s="440">
        <f t="shared" si="67"/>
        <v>0</v>
      </c>
      <c r="H211" s="440">
        <f t="shared" si="67"/>
        <v>0</v>
      </c>
      <c r="I211" s="440">
        <f t="shared" si="67"/>
        <v>0</v>
      </c>
      <c r="J211" s="440">
        <f t="shared" si="67"/>
        <v>0</v>
      </c>
      <c r="K211" s="481">
        <f t="shared" si="67"/>
        <v>0</v>
      </c>
      <c r="L211" s="482"/>
      <c r="M211" s="439">
        <f t="shared" ref="M211:T211" si="68">SUM(M209:M210)</f>
        <v>0</v>
      </c>
      <c r="N211" s="440">
        <f t="shared" si="68"/>
        <v>0</v>
      </c>
      <c r="O211" s="440">
        <f t="shared" si="68"/>
        <v>0</v>
      </c>
      <c r="P211" s="440">
        <f t="shared" si="68"/>
        <v>0</v>
      </c>
      <c r="Q211" s="440">
        <f t="shared" si="68"/>
        <v>0</v>
      </c>
      <c r="R211" s="440">
        <f t="shared" si="68"/>
        <v>0</v>
      </c>
      <c r="S211" s="440">
        <f t="shared" si="68"/>
        <v>0</v>
      </c>
      <c r="T211" s="481">
        <f t="shared" si="68"/>
        <v>0</v>
      </c>
      <c r="U211" s="482"/>
      <c r="V211" s="439">
        <f t="shared" ref="V211:AC211" si="69">SUM(V209:V210)</f>
        <v>0</v>
      </c>
      <c r="W211" s="440">
        <f t="shared" si="69"/>
        <v>0</v>
      </c>
      <c r="X211" s="440">
        <f t="shared" si="69"/>
        <v>0</v>
      </c>
      <c r="Y211" s="440">
        <f t="shared" si="69"/>
        <v>0</v>
      </c>
      <c r="Z211" s="440">
        <f t="shared" si="69"/>
        <v>0</v>
      </c>
      <c r="AA211" s="440">
        <f t="shared" si="69"/>
        <v>0</v>
      </c>
      <c r="AB211" s="440">
        <f t="shared" si="69"/>
        <v>0</v>
      </c>
      <c r="AC211" s="481">
        <f t="shared" si="69"/>
        <v>0</v>
      </c>
      <c r="AD211" s="482"/>
      <c r="AE211" s="494">
        <f t="shared" ref="AE211:AJ211" si="70">SUM(AE209:AE210)</f>
        <v>0</v>
      </c>
      <c r="AF211" s="494">
        <f t="shared" si="70"/>
        <v>0</v>
      </c>
      <c r="AG211" s="509"/>
      <c r="AH211" s="514">
        <f t="shared" si="70"/>
        <v>0</v>
      </c>
      <c r="AI211" s="494">
        <f t="shared" si="70"/>
        <v>0</v>
      </c>
      <c r="AJ211" s="509">
        <f t="shared" si="70"/>
        <v>0</v>
      </c>
    </row>
    <row r="212" spans="1:37" ht="18.75">
      <c r="A212" s="522"/>
      <c r="B212" s="523"/>
      <c r="C212" s="523"/>
      <c r="D212" s="524"/>
      <c r="E212" s="525"/>
      <c r="F212" s="525"/>
      <c r="G212" s="525"/>
      <c r="H212" s="525"/>
      <c r="I212" s="525"/>
      <c r="J212" s="525"/>
      <c r="K212" s="525"/>
      <c r="L212" s="572"/>
      <c r="M212" s="573"/>
      <c r="N212" s="573"/>
      <c r="O212" s="573"/>
      <c r="P212" s="573"/>
      <c r="Q212" s="573"/>
      <c r="R212" s="573"/>
      <c r="S212" s="573"/>
      <c r="T212" s="573"/>
      <c r="U212" s="572"/>
      <c r="V212" s="573"/>
      <c r="W212" s="573"/>
      <c r="X212" s="573"/>
      <c r="Y212" s="573"/>
      <c r="Z212" s="573"/>
      <c r="AA212" s="573"/>
      <c r="AB212" s="573"/>
      <c r="AC212" s="573"/>
      <c r="AD212" s="572"/>
      <c r="AE212" s="573"/>
      <c r="AF212" s="573"/>
      <c r="AG212" s="599"/>
      <c r="AH212" s="573"/>
      <c r="AI212" s="573"/>
      <c r="AJ212" s="600"/>
    </row>
    <row r="213" spans="1:37" ht="20.25">
      <c r="A213" s="122"/>
      <c r="B213" s="632"/>
      <c r="C213" s="632"/>
      <c r="D213" s="122"/>
      <c r="E213" s="3901"/>
      <c r="F213" s="3901"/>
      <c r="G213" s="3901"/>
      <c r="H213" s="3901"/>
      <c r="I213" s="3901"/>
      <c r="J213" s="3901"/>
      <c r="K213" s="3901"/>
      <c r="L213" s="3603"/>
      <c r="M213" s="3902"/>
      <c r="N213" s="3902"/>
      <c r="O213" s="3902"/>
      <c r="P213" s="3902"/>
      <c r="Q213" s="3902"/>
      <c r="R213" s="3902"/>
      <c r="S213" s="3902"/>
      <c r="T213" s="3902"/>
      <c r="U213" s="3604"/>
      <c r="V213" s="3903"/>
      <c r="W213" s="3903"/>
      <c r="X213" s="3903"/>
      <c r="Y213" s="3903"/>
      <c r="Z213" s="3903"/>
      <c r="AA213" s="3903"/>
      <c r="AB213" s="3903"/>
      <c r="AC213" s="3903"/>
      <c r="AD213" s="688"/>
      <c r="AE213" s="689"/>
      <c r="AF213" s="3605"/>
      <c r="AG213" s="3605"/>
      <c r="AH213" s="689"/>
      <c r="AI213" s="689"/>
      <c r="AJ213" s="704"/>
    </row>
    <row r="214" spans="1:37" ht="15.75" thickBot="1">
      <c r="A214" s="634"/>
      <c r="B214" s="635"/>
      <c r="C214" s="635"/>
      <c r="D214" s="634"/>
      <c r="E214" s="634"/>
      <c r="F214" s="634"/>
      <c r="G214" s="634"/>
      <c r="H214" s="634"/>
      <c r="I214" s="634"/>
      <c r="J214" s="634"/>
      <c r="K214" s="634"/>
      <c r="L214" s="634"/>
      <c r="M214" s="634"/>
      <c r="N214" s="634"/>
      <c r="O214" s="634"/>
      <c r="P214" s="634"/>
      <c r="Q214" s="634"/>
      <c r="R214" s="634"/>
      <c r="S214" s="634"/>
      <c r="T214" s="634"/>
      <c r="U214" s="634"/>
      <c r="V214" s="634"/>
      <c r="W214" s="634"/>
      <c r="X214" s="634"/>
      <c r="Y214" s="634"/>
      <c r="Z214" s="634"/>
      <c r="AA214" s="634"/>
      <c r="AB214" s="690"/>
      <c r="AC214" s="690"/>
      <c r="AD214" s="690"/>
      <c r="AE214" s="690"/>
      <c r="AF214" s="634"/>
      <c r="AG214" s="634"/>
      <c r="AH214" s="634"/>
      <c r="AI214" s="634"/>
      <c r="AJ214" s="634"/>
    </row>
    <row r="215" spans="1:37" ht="21" thickBot="1">
      <c r="A215" s="2658" t="s">
        <v>185</v>
      </c>
      <c r="B215" s="2660"/>
      <c r="C215" s="2655"/>
      <c r="D215" s="638"/>
      <c r="E215" s="529">
        <f t="shared" ref="E215:K215" si="71">E139-E205+E211</f>
        <v>399</v>
      </c>
      <c r="F215" s="639">
        <f t="shared" si="71"/>
        <v>546</v>
      </c>
      <c r="G215" s="639">
        <f t="shared" si="71"/>
        <v>1352</v>
      </c>
      <c r="H215" s="639">
        <f t="shared" si="71"/>
        <v>745</v>
      </c>
      <c r="I215" s="639">
        <f t="shared" si="71"/>
        <v>554</v>
      </c>
      <c r="J215" s="639">
        <f t="shared" si="71"/>
        <v>0</v>
      </c>
      <c r="K215" s="664">
        <f t="shared" si="71"/>
        <v>0</v>
      </c>
      <c r="L215" s="3602"/>
      <c r="M215" s="665">
        <f t="shared" ref="M215:T215" si="72">M139-M205+M211</f>
        <v>0</v>
      </c>
      <c r="N215" s="665">
        <f t="shared" si="72"/>
        <v>0</v>
      </c>
      <c r="O215" s="665">
        <f t="shared" si="72"/>
        <v>0</v>
      </c>
      <c r="P215" s="665">
        <f t="shared" si="72"/>
        <v>0</v>
      </c>
      <c r="Q215" s="665">
        <f t="shared" si="72"/>
        <v>0</v>
      </c>
      <c r="R215" s="665">
        <f t="shared" si="72"/>
        <v>0</v>
      </c>
      <c r="S215" s="665">
        <f t="shared" si="72"/>
        <v>0</v>
      </c>
      <c r="T215" s="665">
        <f t="shared" si="72"/>
        <v>0</v>
      </c>
      <c r="U215" s="3602"/>
      <c r="V215" s="665">
        <f t="shared" ref="V215:AC215" si="73">V139-V205+V211</f>
        <v>309</v>
      </c>
      <c r="W215" s="666">
        <f t="shared" si="73"/>
        <v>0</v>
      </c>
      <c r="X215" s="666">
        <f t="shared" si="73"/>
        <v>337</v>
      </c>
      <c r="Y215" s="666">
        <f t="shared" si="73"/>
        <v>0</v>
      </c>
      <c r="Z215" s="666">
        <f t="shared" si="73"/>
        <v>0</v>
      </c>
      <c r="AA215" s="666">
        <f t="shared" si="73"/>
        <v>145</v>
      </c>
      <c r="AB215" s="666">
        <f t="shared" si="73"/>
        <v>455</v>
      </c>
      <c r="AC215" s="674">
        <f t="shared" si="73"/>
        <v>692</v>
      </c>
      <c r="AD215" s="691"/>
      <c r="AE215" s="529">
        <f>AE139-AE205+AE211</f>
        <v>5534</v>
      </c>
      <c r="AF215" s="3775">
        <f>AF139-AF205-AG205+AF211</f>
        <v>0</v>
      </c>
      <c r="AG215" s="3884"/>
      <c r="AH215" s="529">
        <f>AH139-AH205+AH211</f>
        <v>5534</v>
      </c>
      <c r="AI215" s="529">
        <f>AI139-AI205+AI211</f>
        <v>0</v>
      </c>
      <c r="AJ215" s="693">
        <f>AJ139-AJ205+AJ211</f>
        <v>5534</v>
      </c>
    </row>
    <row r="216" spans="1:37" ht="32.25" customHeight="1" thickBot="1">
      <c r="A216" s="2659" t="s">
        <v>152</v>
      </c>
      <c r="B216" s="2661"/>
      <c r="C216" s="2656"/>
      <c r="D216" s="642"/>
      <c r="E216" s="529">
        <f>E215/20</f>
        <v>19.95</v>
      </c>
      <c r="F216" s="529">
        <f t="shared" ref="F216:K216" si="74">F215/20</f>
        <v>27.3</v>
      </c>
      <c r="G216" s="529">
        <f>G215/20</f>
        <v>67.599999999999994</v>
      </c>
      <c r="H216" s="529">
        <f t="shared" si="74"/>
        <v>37.25</v>
      </c>
      <c r="I216" s="529">
        <f t="shared" si="74"/>
        <v>27.7</v>
      </c>
      <c r="J216" s="529">
        <v>0</v>
      </c>
      <c r="K216" s="529">
        <f t="shared" si="74"/>
        <v>0</v>
      </c>
      <c r="L216" s="529"/>
      <c r="M216" s="529">
        <f t="shared" ref="M216:T216" si="75">M215/20</f>
        <v>0</v>
      </c>
      <c r="N216" s="529">
        <f t="shared" si="75"/>
        <v>0</v>
      </c>
      <c r="O216" s="529">
        <f t="shared" si="75"/>
        <v>0</v>
      </c>
      <c r="P216" s="529">
        <v>0</v>
      </c>
      <c r="Q216" s="529">
        <f t="shared" si="75"/>
        <v>0</v>
      </c>
      <c r="R216" s="529">
        <v>0</v>
      </c>
      <c r="S216" s="529">
        <f t="shared" si="75"/>
        <v>0</v>
      </c>
      <c r="T216" s="529">
        <f t="shared" si="75"/>
        <v>0</v>
      </c>
      <c r="U216" s="529"/>
      <c r="V216" s="529">
        <f t="shared" ref="V216:AC216" si="76">V215/20</f>
        <v>15.45</v>
      </c>
      <c r="W216" s="529">
        <f t="shared" si="76"/>
        <v>0</v>
      </c>
      <c r="X216" s="529">
        <f t="shared" si="76"/>
        <v>16.850000000000001</v>
      </c>
      <c r="Y216" s="529">
        <f t="shared" si="76"/>
        <v>0</v>
      </c>
      <c r="Z216" s="529">
        <f t="shared" si="76"/>
        <v>0</v>
      </c>
      <c r="AA216" s="529">
        <f t="shared" si="76"/>
        <v>7.25</v>
      </c>
      <c r="AB216" s="529">
        <f t="shared" si="76"/>
        <v>22.75</v>
      </c>
      <c r="AC216" s="529">
        <f t="shared" si="76"/>
        <v>34.6</v>
      </c>
      <c r="AD216" s="692"/>
      <c r="AE216" s="693">
        <f t="shared" ref="AE216:AJ216" si="77">AE215/20</f>
        <v>276.7</v>
      </c>
      <c r="AF216" s="3775">
        <f t="shared" si="77"/>
        <v>0</v>
      </c>
      <c r="AG216" s="3884"/>
      <c r="AH216" s="693">
        <f t="shared" si="77"/>
        <v>276.7</v>
      </c>
      <c r="AI216" s="3602">
        <f t="shared" si="77"/>
        <v>0</v>
      </c>
      <c r="AJ216" s="706">
        <f t="shared" si="77"/>
        <v>276.7</v>
      </c>
    </row>
    <row r="217" spans="1:37" ht="21" thickBot="1">
      <c r="A217" s="645" t="s">
        <v>156</v>
      </c>
      <c r="B217" s="2662"/>
      <c r="C217" s="2657"/>
      <c r="D217" s="645"/>
      <c r="E217" s="3897">
        <f>SUM(E216:K216)</f>
        <v>179.79999999999998</v>
      </c>
      <c r="F217" s="3898"/>
      <c r="G217" s="3898"/>
      <c r="H217" s="3898"/>
      <c r="I217" s="3898"/>
      <c r="J217" s="3898"/>
      <c r="K217" s="3899"/>
      <c r="L217" s="667"/>
      <c r="M217" s="3778">
        <f>SUM(M216:T216)</f>
        <v>0</v>
      </c>
      <c r="N217" s="3779"/>
      <c r="O217" s="3779"/>
      <c r="P217" s="3779"/>
      <c r="Q217" s="3779"/>
      <c r="R217" s="3779"/>
      <c r="S217" s="3779"/>
      <c r="T217" s="3780"/>
      <c r="U217" s="675"/>
      <c r="V217" s="3778">
        <f>SUM(V216:AC216)</f>
        <v>96.9</v>
      </c>
      <c r="W217" s="3779"/>
      <c r="X217" s="3779"/>
      <c r="Y217" s="3779"/>
      <c r="Z217" s="3779"/>
      <c r="AA217" s="3779"/>
      <c r="AB217" s="3779"/>
      <c r="AC217" s="3780"/>
      <c r="AD217" s="694"/>
      <c r="AE217" s="694"/>
      <c r="AF217" s="694"/>
      <c r="AG217" s="694"/>
      <c r="AH217" s="694"/>
      <c r="AI217" s="694"/>
      <c r="AJ217" s="707"/>
    </row>
    <row r="218" spans="1:37" ht="21" thickBot="1">
      <c r="A218" s="646" t="s">
        <v>157</v>
      </c>
      <c r="B218" s="647"/>
      <c r="C218" s="647"/>
      <c r="D218" s="648"/>
      <c r="E218" s="3875">
        <f>SUM(E215:K215)</f>
        <v>3596</v>
      </c>
      <c r="F218" s="3876"/>
      <c r="G218" s="3876"/>
      <c r="H218" s="3876"/>
      <c r="I218" s="3876"/>
      <c r="J218" s="3876"/>
      <c r="K218" s="3900"/>
      <c r="L218" s="669"/>
      <c r="M218" s="3877">
        <f>SUM(M215:T215)</f>
        <v>0</v>
      </c>
      <c r="N218" s="3878"/>
      <c r="O218" s="3878"/>
      <c r="P218" s="3878"/>
      <c r="Q218" s="3878"/>
      <c r="R218" s="3878"/>
      <c r="S218" s="3878"/>
      <c r="T218" s="3879"/>
      <c r="U218" s="676"/>
      <c r="V218" s="3781">
        <f>SUM(V215:AC215)</f>
        <v>1938</v>
      </c>
      <c r="W218" s="3788"/>
      <c r="X218" s="3788"/>
      <c r="Y218" s="3788"/>
      <c r="Z218" s="3788"/>
      <c r="AA218" s="3788"/>
      <c r="AB218" s="3788"/>
      <c r="AC218" s="3880"/>
      <c r="AD218" s="688"/>
      <c r="AE218" s="689"/>
      <c r="AF218" s="3605"/>
      <c r="AG218" s="3605"/>
      <c r="AH218" s="689"/>
      <c r="AI218" s="689"/>
      <c r="AJ218" s="704"/>
    </row>
    <row r="219" spans="1:37">
      <c r="A219" s="634"/>
      <c r="B219" s="635"/>
      <c r="C219" s="635"/>
      <c r="D219" s="649"/>
      <c r="E219" s="634"/>
      <c r="F219" s="634"/>
      <c r="G219" s="634"/>
      <c r="H219" s="634"/>
      <c r="I219" s="634"/>
      <c r="J219" s="634"/>
      <c r="K219" s="634"/>
      <c r="L219" s="634"/>
      <c r="M219" s="634"/>
      <c r="N219" s="634"/>
      <c r="O219" s="634"/>
      <c r="P219" s="634"/>
      <c r="Q219" s="634"/>
      <c r="R219" s="634"/>
      <c r="S219" s="634"/>
      <c r="T219" s="634"/>
      <c r="U219" s="634"/>
      <c r="V219" s="634"/>
      <c r="W219" s="634"/>
      <c r="X219" s="634"/>
      <c r="Y219" s="634"/>
      <c r="Z219" s="634"/>
      <c r="AA219" s="634"/>
      <c r="AB219" s="690"/>
      <c r="AC219" s="690"/>
      <c r="AD219" s="690"/>
      <c r="AE219" s="690"/>
      <c r="AF219" s="634"/>
      <c r="AG219" s="634"/>
      <c r="AH219" s="634"/>
      <c r="AI219" s="634"/>
      <c r="AJ219" s="634"/>
    </row>
    <row r="220" spans="1:37" ht="21" thickBot="1">
      <c r="A220" s="650"/>
      <c r="B220" s="651"/>
      <c r="C220" s="651"/>
      <c r="D220" s="650"/>
      <c r="E220" s="650"/>
      <c r="F220" s="650"/>
      <c r="G220" s="650"/>
      <c r="H220" s="650"/>
      <c r="I220" s="650"/>
      <c r="J220" s="650"/>
      <c r="K220" s="650"/>
      <c r="L220" s="650"/>
      <c r="M220" s="650"/>
      <c r="N220" s="650"/>
      <c r="O220" s="650"/>
      <c r="P220" s="650"/>
      <c r="Q220" s="650"/>
      <c r="R220" s="650"/>
      <c r="S220" s="650"/>
      <c r="T220" s="650"/>
      <c r="U220" s="650"/>
      <c r="V220" s="650"/>
      <c r="W220" s="650"/>
      <c r="X220" s="650"/>
      <c r="Y220" s="650"/>
      <c r="Z220" s="650"/>
      <c r="AA220" s="650"/>
      <c r="AB220" s="650"/>
      <c r="AC220" s="650"/>
      <c r="AD220" s="650"/>
      <c r="AE220" s="650"/>
      <c r="AF220" s="650"/>
      <c r="AG220" s="650"/>
      <c r="AH220" s="650"/>
      <c r="AI220" s="650"/>
      <c r="AJ220" s="650"/>
    </row>
    <row r="221" spans="1:37" ht="27.75" thickBot="1">
      <c r="A221" s="634"/>
      <c r="B221" s="635"/>
      <c r="C221" s="635"/>
      <c r="D221" s="634"/>
      <c r="E221" s="634"/>
      <c r="F221" s="634"/>
      <c r="G221" s="634"/>
      <c r="H221" s="634"/>
      <c r="I221" s="634"/>
      <c r="J221" s="634"/>
      <c r="K221" s="634"/>
      <c r="L221" s="634"/>
      <c r="M221" s="634"/>
      <c r="N221" s="634"/>
      <c r="O221" s="634"/>
      <c r="P221" s="634"/>
      <c r="Q221" s="634"/>
      <c r="R221" s="634"/>
      <c r="S221" s="634"/>
      <c r="T221" s="634"/>
      <c r="U221" s="634"/>
      <c r="V221" s="634"/>
      <c r="W221" s="677"/>
      <c r="X221" s="3857" t="s">
        <v>158</v>
      </c>
      <c r="Y221" s="3858"/>
      <c r="Z221" s="3858"/>
      <c r="AA221" s="3858"/>
      <c r="AB221" s="3859"/>
      <c r="AC221" s="3802">
        <f>'BIG CHAIR'!CI325</f>
        <v>0</v>
      </c>
      <c r="AD221" s="3803"/>
      <c r="AE221" s="3804"/>
      <c r="AF221" s="634"/>
      <c r="AG221" s="634"/>
      <c r="AH221" s="634"/>
      <c r="AI221" s="634"/>
      <c r="AJ221" s="634"/>
    </row>
    <row r="222" spans="1:37" ht="27.75" thickBot="1">
      <c r="A222" s="634"/>
      <c r="B222" s="635"/>
      <c r="C222" s="635"/>
      <c r="D222" s="634"/>
      <c r="E222" s="634"/>
      <c r="F222" s="634"/>
      <c r="G222" s="634"/>
      <c r="H222" s="634"/>
      <c r="I222" s="634"/>
      <c r="J222" s="634"/>
      <c r="K222" s="634"/>
      <c r="L222" s="634"/>
      <c r="M222" s="634"/>
      <c r="N222" s="634"/>
      <c r="O222" s="634"/>
      <c r="P222" s="634"/>
      <c r="Q222" s="634"/>
      <c r="R222" s="634"/>
      <c r="S222" s="634"/>
      <c r="T222" s="634"/>
      <c r="U222" s="634"/>
      <c r="V222" s="634"/>
      <c r="W222" s="677"/>
      <c r="X222" s="3857" t="s">
        <v>159</v>
      </c>
      <c r="Y222" s="3858"/>
      <c r="Z222" s="3858"/>
      <c r="AA222" s="3858"/>
      <c r="AB222" s="3859"/>
      <c r="AC222" s="3872">
        <f>AE215</f>
        <v>5534</v>
      </c>
      <c r="AD222" s="3873"/>
      <c r="AE222" s="3874"/>
      <c r="AF222" s="634"/>
      <c r="AG222" s="634"/>
      <c r="AH222" s="634"/>
      <c r="AI222" s="634"/>
      <c r="AJ222" s="708"/>
    </row>
    <row r="223" spans="1:37" ht="27.75" thickBot="1">
      <c r="A223" s="634"/>
      <c r="B223" s="635"/>
      <c r="C223" s="635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677"/>
      <c r="X223" s="3857" t="s">
        <v>160</v>
      </c>
      <c r="Y223" s="3858"/>
      <c r="Z223" s="3858"/>
      <c r="AA223" s="3858"/>
      <c r="AB223" s="3859"/>
      <c r="AC223" s="3802">
        <f>'BIG CHAIR'!CJ325</f>
        <v>0</v>
      </c>
      <c r="AD223" s="3803"/>
      <c r="AE223" s="3804"/>
      <c r="AF223" s="634"/>
      <c r="AG223" s="634"/>
      <c r="AH223" s="634"/>
      <c r="AI223" s="634"/>
      <c r="AJ223" s="634"/>
    </row>
    <row r="224" spans="1:37" ht="27.75" thickBot="1">
      <c r="A224" s="634"/>
      <c r="B224" s="635"/>
      <c r="C224" s="635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4"/>
      <c r="P224" s="634"/>
      <c r="Q224" s="634"/>
      <c r="R224" s="634"/>
      <c r="S224" s="634"/>
      <c r="T224" s="634"/>
      <c r="U224" s="634"/>
      <c r="V224" s="634"/>
      <c r="W224" s="677"/>
      <c r="X224" s="3857" t="s">
        <v>161</v>
      </c>
      <c r="Y224" s="3858"/>
      <c r="Z224" s="3858"/>
      <c r="AA224" s="3858"/>
      <c r="AB224" s="3858"/>
      <c r="AC224" s="3872">
        <f>AF215</f>
        <v>0</v>
      </c>
      <c r="AD224" s="3803"/>
      <c r="AE224" s="3804"/>
      <c r="AF224" s="634"/>
      <c r="AG224" s="634"/>
      <c r="AH224" s="634"/>
      <c r="AI224" s="634"/>
      <c r="AJ224" s="634"/>
    </row>
    <row r="225" spans="1:36" ht="27.75" thickBot="1">
      <c r="A225" s="634"/>
      <c r="B225" s="635"/>
      <c r="C225" s="635"/>
      <c r="D225" s="634"/>
      <c r="E225" s="634"/>
      <c r="F225" s="634"/>
      <c r="G225" s="634"/>
      <c r="H225" s="634"/>
      <c r="I225" s="634"/>
      <c r="J225" s="634"/>
      <c r="K225" s="634"/>
      <c r="L225" s="634"/>
      <c r="M225" s="634"/>
      <c r="N225" s="634"/>
      <c r="O225" s="634"/>
      <c r="P225" s="634"/>
      <c r="Q225" s="634"/>
      <c r="R225" s="634"/>
      <c r="S225" s="634"/>
      <c r="T225" s="634"/>
      <c r="U225" s="634"/>
      <c r="V225" s="634"/>
      <c r="W225" s="677"/>
      <c r="X225" s="3857" t="s">
        <v>162</v>
      </c>
      <c r="Y225" s="3858"/>
      <c r="Z225" s="3858"/>
      <c r="AA225" s="3858"/>
      <c r="AB225" s="3859"/>
      <c r="AC225" s="3802">
        <f>'Tea Table'!U285</f>
        <v>2676</v>
      </c>
      <c r="AD225" s="3803"/>
      <c r="AE225" s="3804"/>
      <c r="AF225" s="634"/>
      <c r="AG225" s="634"/>
      <c r="AH225" s="634"/>
      <c r="AI225" s="634"/>
      <c r="AJ225" s="634"/>
    </row>
    <row r="226" spans="1:36" ht="27.75" thickBot="1">
      <c r="A226" s="634"/>
      <c r="B226" s="635"/>
      <c r="C226" s="635"/>
      <c r="D226" s="634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4"/>
      <c r="P226" s="634"/>
      <c r="Q226" s="634"/>
      <c r="R226" s="634"/>
      <c r="S226" s="634"/>
      <c r="T226" s="634"/>
      <c r="U226" s="634"/>
      <c r="V226" s="634"/>
      <c r="W226" s="677"/>
      <c r="X226" s="3860" t="s">
        <v>163</v>
      </c>
      <c r="Y226" s="3861"/>
      <c r="Z226" s="3861"/>
      <c r="AA226" s="3861"/>
      <c r="AB226" s="3862"/>
      <c r="AC226" s="3863">
        <f>'Tea Table'!V285</f>
        <v>29</v>
      </c>
      <c r="AD226" s="3864"/>
      <c r="AE226" s="3865"/>
      <c r="AF226" s="634"/>
      <c r="AG226" s="634"/>
      <c r="AH226" s="634"/>
      <c r="AI226" s="634"/>
      <c r="AJ226" s="634"/>
    </row>
    <row r="227" spans="1:36" ht="28.5" thickTop="1" thickBot="1">
      <c r="A227" s="634"/>
      <c r="B227" s="635"/>
      <c r="C227" s="635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77"/>
      <c r="X227" s="3866"/>
      <c r="Y227" s="3867"/>
      <c r="Z227" s="3867"/>
      <c r="AA227" s="3867"/>
      <c r="AB227" s="3868"/>
      <c r="AC227" s="3869"/>
      <c r="AD227" s="3870"/>
      <c r="AE227" s="3871"/>
      <c r="AF227" s="634"/>
      <c r="AG227" s="634"/>
      <c r="AH227" s="634"/>
      <c r="AI227" s="634"/>
      <c r="AJ227" s="634"/>
    </row>
    <row r="228" spans="1:36" ht="27.75" thickBot="1">
      <c r="A228" s="634"/>
      <c r="B228" s="635"/>
      <c r="C228" s="635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4"/>
      <c r="P228" s="634"/>
      <c r="Q228" s="634"/>
      <c r="R228" s="634"/>
      <c r="S228" s="634"/>
      <c r="T228" s="634"/>
      <c r="U228" s="634"/>
      <c r="V228" s="634"/>
      <c r="W228" s="677"/>
      <c r="X228" s="3857" t="s">
        <v>164</v>
      </c>
      <c r="Y228" s="3858"/>
      <c r="Z228" s="3858"/>
      <c r="AA228" s="3858"/>
      <c r="AB228" s="3859"/>
      <c r="AC228" s="3796">
        <f>SUM(AC221:AE227)</f>
        <v>8239</v>
      </c>
      <c r="AD228" s="3797"/>
      <c r="AE228" s="3798"/>
      <c r="AF228" s="634"/>
      <c r="AG228" s="634"/>
      <c r="AH228" s="634"/>
      <c r="AI228" s="634"/>
      <c r="AJ228" s="634"/>
    </row>
    <row r="229" spans="1:36" ht="27.75" thickBot="1">
      <c r="A229" s="634"/>
      <c r="B229" s="635"/>
      <c r="C229" s="635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4"/>
      <c r="S229" s="634"/>
      <c r="T229" s="634"/>
      <c r="U229" s="634"/>
      <c r="V229" s="634"/>
      <c r="W229" s="677"/>
      <c r="X229" s="3857" t="s">
        <v>165</v>
      </c>
      <c r="Y229" s="3858"/>
      <c r="Z229" s="3858"/>
      <c r="AA229" s="3858"/>
      <c r="AB229" s="3859"/>
      <c r="AC229" s="3796">
        <f>AE216+'BIG CHAIR'!CI326+'Tea Table'!U286</f>
        <v>499.7</v>
      </c>
      <c r="AD229" s="3797"/>
      <c r="AE229" s="3798"/>
      <c r="AF229" s="695"/>
      <c r="AG229" s="695"/>
      <c r="AH229" s="695"/>
      <c r="AI229" s="634"/>
      <c r="AJ229" s="634"/>
    </row>
    <row r="230" spans="1:36">
      <c r="B230" s="652"/>
      <c r="C230" s="652"/>
      <c r="AB230" s="696"/>
      <c r="AC230" s="696"/>
      <c r="AD230" s="696"/>
      <c r="AE230" s="696"/>
    </row>
    <row r="231" spans="1:36">
      <c r="B231" s="652"/>
      <c r="C231" s="652"/>
      <c r="AB231" s="696"/>
      <c r="AC231" s="696"/>
      <c r="AD231" s="696"/>
      <c r="AE231" s="696"/>
    </row>
    <row r="232" spans="1:36">
      <c r="B232" s="652"/>
      <c r="C232" s="652"/>
      <c r="AB232" s="696"/>
      <c r="AC232" s="696"/>
      <c r="AD232" s="696"/>
      <c r="AE232" s="696"/>
    </row>
    <row r="233" spans="1:36">
      <c r="B233" s="652"/>
      <c r="C233" s="652"/>
      <c r="AB233" s="696"/>
      <c r="AC233" s="696"/>
      <c r="AD233" s="696"/>
      <c r="AE233" s="696"/>
    </row>
    <row r="234" spans="1:36">
      <c r="B234" s="652"/>
      <c r="C234" s="652"/>
      <c r="AB234" s="696"/>
      <c r="AC234" s="696"/>
      <c r="AD234" s="696"/>
      <c r="AE234" s="696"/>
    </row>
    <row r="235" spans="1:36">
      <c r="B235" s="652"/>
      <c r="C235" s="652"/>
      <c r="AB235" s="696"/>
      <c r="AC235" s="696"/>
      <c r="AD235" s="696"/>
      <c r="AE235" s="696"/>
    </row>
    <row r="236" spans="1:36">
      <c r="B236" s="652"/>
      <c r="C236" s="652"/>
      <c r="AB236" s="696"/>
      <c r="AC236" s="696"/>
      <c r="AD236" s="696"/>
      <c r="AE236" s="696"/>
    </row>
    <row r="237" spans="1:36">
      <c r="B237" s="652"/>
      <c r="C237" s="652"/>
      <c r="AB237" s="696"/>
      <c r="AC237" s="696"/>
      <c r="AD237" s="696"/>
      <c r="AE237" s="696"/>
    </row>
    <row r="238" spans="1:36">
      <c r="B238" s="652"/>
      <c r="C238" s="652"/>
      <c r="AB238" s="696"/>
      <c r="AC238" s="696"/>
      <c r="AD238" s="696"/>
      <c r="AE238" s="696"/>
    </row>
    <row r="239" spans="1:36">
      <c r="B239" s="652"/>
      <c r="C239" s="652"/>
      <c r="AB239" s="696"/>
      <c r="AC239" s="696"/>
      <c r="AD239" s="696"/>
      <c r="AE239" s="696"/>
    </row>
    <row r="240" spans="1:36">
      <c r="B240" s="652"/>
      <c r="C240" s="652"/>
      <c r="AB240" s="696"/>
      <c r="AC240" s="696"/>
      <c r="AD240" s="696"/>
      <c r="AE240" s="696"/>
    </row>
    <row r="241" spans="2:31">
      <c r="B241" s="652"/>
      <c r="C241" s="652"/>
      <c r="AB241" s="696"/>
      <c r="AC241" s="696"/>
      <c r="AD241" s="696"/>
      <c r="AE241" s="696"/>
    </row>
    <row r="242" spans="2:31">
      <c r="B242" s="652"/>
      <c r="C242" s="652"/>
      <c r="AB242" s="696"/>
      <c r="AC242" s="696"/>
      <c r="AD242" s="696"/>
      <c r="AE242" s="696"/>
    </row>
    <row r="243" spans="2:31">
      <c r="B243" s="652"/>
      <c r="C243" s="652"/>
      <c r="AB243" s="696"/>
      <c r="AC243" s="696"/>
      <c r="AD243" s="696"/>
      <c r="AE243" s="696"/>
    </row>
    <row r="244" spans="2:31">
      <c r="B244" s="652"/>
      <c r="C244" s="652"/>
      <c r="AB244" s="696"/>
      <c r="AC244" s="696"/>
      <c r="AD244" s="696"/>
      <c r="AE244" s="696"/>
    </row>
    <row r="245" spans="2:31">
      <c r="B245" s="652"/>
      <c r="C245" s="652"/>
      <c r="AB245" s="696"/>
      <c r="AC245" s="696"/>
      <c r="AD245" s="696"/>
      <c r="AE245" s="696"/>
    </row>
    <row r="246" spans="2:31">
      <c r="B246" s="652"/>
      <c r="C246" s="652"/>
      <c r="AB246" s="696"/>
      <c r="AC246" s="696"/>
      <c r="AD246" s="696"/>
      <c r="AE246" s="696"/>
    </row>
    <row r="247" spans="2:31">
      <c r="B247" s="652"/>
      <c r="C247" s="652"/>
      <c r="AB247" s="696"/>
      <c r="AC247" s="696"/>
      <c r="AD247" s="696"/>
      <c r="AE247" s="696"/>
    </row>
  </sheetData>
  <mergeCells count="41">
    <mergeCell ref="X224:AB224"/>
    <mergeCell ref="AC224:AE224"/>
    <mergeCell ref="X225:AB225"/>
    <mergeCell ref="AC225:AE225"/>
    <mergeCell ref="X229:AB229"/>
    <mergeCell ref="AC229:AE229"/>
    <mergeCell ref="X226:AB226"/>
    <mergeCell ref="AC226:AE226"/>
    <mergeCell ref="X227:AB227"/>
    <mergeCell ref="AC227:AE227"/>
    <mergeCell ref="X228:AB228"/>
    <mergeCell ref="AC228:AE228"/>
    <mergeCell ref="X221:AB221"/>
    <mergeCell ref="AC221:AE221"/>
    <mergeCell ref="X222:AB222"/>
    <mergeCell ref="AC222:AE222"/>
    <mergeCell ref="X223:AB223"/>
    <mergeCell ref="AC223:AE223"/>
    <mergeCell ref="AF215:AG215"/>
    <mergeCell ref="AF216:AG216"/>
    <mergeCell ref="E217:K217"/>
    <mergeCell ref="M217:T217"/>
    <mergeCell ref="V217:AC217"/>
    <mergeCell ref="AE2:AJ2"/>
    <mergeCell ref="A141:AJ141"/>
    <mergeCell ref="A142:D142"/>
    <mergeCell ref="E142:K142"/>
    <mergeCell ref="M142:T142"/>
    <mergeCell ref="V142:AC142"/>
    <mergeCell ref="AE142:AJ142"/>
    <mergeCell ref="A2:D2"/>
    <mergeCell ref="E2:K2"/>
    <mergeCell ref="M2:T2"/>
    <mergeCell ref="V2:AC2"/>
    <mergeCell ref="A208:C208"/>
    <mergeCell ref="E213:K213"/>
    <mergeCell ref="M213:T213"/>
    <mergeCell ref="V213:AC213"/>
    <mergeCell ref="E218:K218"/>
    <mergeCell ref="M218:T218"/>
    <mergeCell ref="V218:AC218"/>
  </mergeCells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47"/>
  <sheetViews>
    <sheetView topLeftCell="A151" zoomScale="96" zoomScaleNormal="96" workbookViewId="0">
      <selection activeCell="A167" sqref="A167"/>
    </sheetView>
  </sheetViews>
  <sheetFormatPr defaultColWidth="9" defaultRowHeight="15"/>
  <cols>
    <col min="1" max="1" width="55.42578125" customWidth="1"/>
    <col min="2" max="2" width="16" style="276" customWidth="1"/>
    <col min="3" max="3" width="14.140625" style="276" customWidth="1"/>
    <col min="4" max="4" width="20.85546875" customWidth="1"/>
    <col min="5" max="10" width="11.5703125" customWidth="1"/>
    <col min="11" max="11" width="18" customWidth="1"/>
    <col min="12" max="12" width="1.42578125" customWidth="1"/>
    <col min="13" max="14" width="13.7109375" customWidth="1"/>
    <col min="15" max="15" width="13.140625" customWidth="1"/>
    <col min="16" max="16" width="15" customWidth="1"/>
    <col min="17" max="19" width="11.5703125" customWidth="1"/>
    <col min="20" max="20" width="17.85546875" bestFit="1" customWidth="1"/>
    <col min="21" max="21" width="1.5703125" customWidth="1"/>
    <col min="22" max="22" width="15.7109375" customWidth="1"/>
    <col min="23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3.25">
      <c r="A2" s="3888" t="s">
        <v>4</v>
      </c>
      <c r="B2" s="3889"/>
      <c r="C2" s="3889"/>
      <c r="D2" s="3896"/>
      <c r="E2" s="3891" t="s">
        <v>266</v>
      </c>
      <c r="F2" s="3892"/>
      <c r="G2" s="3892"/>
      <c r="H2" s="3892"/>
      <c r="I2" s="3892"/>
      <c r="J2" s="3892"/>
      <c r="K2" s="3904"/>
      <c r="L2" s="336"/>
      <c r="M2" s="3893" t="s">
        <v>267</v>
      </c>
      <c r="N2" s="3894"/>
      <c r="O2" s="3894"/>
      <c r="P2" s="3894"/>
      <c r="Q2" s="3894"/>
      <c r="R2" s="3894"/>
      <c r="S2" s="3894"/>
      <c r="T2" s="3895"/>
      <c r="U2" s="364"/>
      <c r="V2" s="3893" t="s">
        <v>268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721" t="s">
        <v>67</v>
      </c>
      <c r="B3" s="722" t="s">
        <v>68</v>
      </c>
      <c r="C3" s="288" t="s">
        <v>69</v>
      </c>
      <c r="D3" s="288" t="s">
        <v>70</v>
      </c>
      <c r="E3" s="80" t="s">
        <v>549</v>
      </c>
      <c r="F3" s="49" t="s">
        <v>94</v>
      </c>
      <c r="G3" s="49" t="s">
        <v>53</v>
      </c>
      <c r="H3" s="49" t="s">
        <v>136</v>
      </c>
      <c r="I3" s="49" t="s">
        <v>76</v>
      </c>
      <c r="J3" s="49" t="s">
        <v>206</v>
      </c>
      <c r="K3" s="126" t="s">
        <v>222</v>
      </c>
      <c r="L3" s="79"/>
      <c r="M3" s="80" t="s">
        <v>222</v>
      </c>
      <c r="N3" s="49" t="s">
        <v>136</v>
      </c>
      <c r="O3" s="49" t="s">
        <v>251</v>
      </c>
      <c r="P3" s="49" t="s">
        <v>53</v>
      </c>
      <c r="Q3" s="49" t="s">
        <v>94</v>
      </c>
      <c r="R3" s="49" t="s">
        <v>206</v>
      </c>
      <c r="S3" s="126" t="s">
        <v>101</v>
      </c>
      <c r="T3" s="171" t="s">
        <v>497</v>
      </c>
      <c r="U3" s="79"/>
      <c r="V3" s="172" t="s">
        <v>497</v>
      </c>
      <c r="W3" s="103" t="s">
        <v>97</v>
      </c>
      <c r="X3" s="103" t="s">
        <v>124</v>
      </c>
      <c r="Y3" s="103" t="s">
        <v>206</v>
      </c>
      <c r="Z3" s="103" t="s">
        <v>269</v>
      </c>
      <c r="AA3" s="103" t="s">
        <v>96</v>
      </c>
      <c r="AB3" s="179" t="s">
        <v>92</v>
      </c>
      <c r="AC3" s="180" t="s">
        <v>101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>
        <v>168</v>
      </c>
      <c r="F4" s="293">
        <v>319</v>
      </c>
      <c r="G4" s="293">
        <v>640</v>
      </c>
      <c r="H4" s="293">
        <v>160</v>
      </c>
      <c r="I4" s="337"/>
      <c r="J4" s="337">
        <v>2</v>
      </c>
      <c r="K4" s="338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>
        <v>64</v>
      </c>
      <c r="W4" s="293"/>
      <c r="X4" s="293">
        <v>276</v>
      </c>
      <c r="Y4" s="337"/>
      <c r="Z4" s="337"/>
      <c r="AA4" s="337">
        <v>1</v>
      </c>
      <c r="AB4" s="293">
        <v>200</v>
      </c>
      <c r="AC4" s="338">
        <v>520</v>
      </c>
      <c r="AD4" s="339"/>
      <c r="AE4" s="373">
        <f>SUM(E4:AC4)</f>
        <v>2350</v>
      </c>
      <c r="AF4" s="374"/>
      <c r="AG4" s="373"/>
      <c r="AH4" s="387">
        <f>AF4+AE4</f>
        <v>2350</v>
      </c>
      <c r="AI4" s="388"/>
      <c r="AJ4" s="389">
        <f t="shared" ref="AJ4:AJ38" si="0">AH4+AI4</f>
        <v>2350</v>
      </c>
    </row>
    <row r="5" spans="1:39" s="283" customFormat="1" ht="21" thickBot="1">
      <c r="A5" s="294" t="s">
        <v>271</v>
      </c>
      <c r="B5" s="2918"/>
      <c r="C5" s="730"/>
      <c r="D5" s="291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" si="1">SUM(E5:AC5)</f>
        <v>0</v>
      </c>
      <c r="AF5" s="377"/>
      <c r="AG5" s="390"/>
      <c r="AH5" s="391">
        <f t="shared" ref="AH5" si="2">AE5+AF5</f>
        <v>0</v>
      </c>
      <c r="AI5" s="392"/>
      <c r="AJ5" s="393">
        <f t="shared" ref="AJ5" si="3">AH5+AI5</f>
        <v>0</v>
      </c>
      <c r="AK5" s="394"/>
      <c r="AL5" s="54"/>
      <c r="AM5" s="394"/>
    </row>
    <row r="6" spans="1:39" s="283" customFormat="1" ht="21" thickBot="1">
      <c r="A6" s="294" t="s">
        <v>271</v>
      </c>
      <c r="B6" s="729"/>
      <c r="C6" s="730"/>
      <c r="D6" s="2920"/>
      <c r="E6" s="296"/>
      <c r="F6" s="297"/>
      <c r="G6" s="297"/>
      <c r="H6" s="298"/>
      <c r="I6" s="298"/>
      <c r="J6" s="297"/>
      <c r="K6" s="341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ref="AE6:AE38" si="4">SUM(E6:AC6)</f>
        <v>0</v>
      </c>
      <c r="AF6" s="377"/>
      <c r="AG6" s="390"/>
      <c r="AH6" s="391">
        <f t="shared" ref="AH6:AH38" si="5">AE6+AF6</f>
        <v>0</v>
      </c>
      <c r="AI6" s="392"/>
      <c r="AJ6" s="393">
        <f t="shared" si="0"/>
        <v>0</v>
      </c>
      <c r="AK6" s="394"/>
      <c r="AL6" s="54"/>
      <c r="AM6" s="394"/>
    </row>
    <row r="7" spans="1:39" s="283" customFormat="1" ht="21" thickBot="1">
      <c r="A7" s="294" t="s">
        <v>110</v>
      </c>
      <c r="B7" s="731"/>
      <c r="C7" s="732"/>
      <c r="D7" s="2920"/>
      <c r="E7" s="296"/>
      <c r="F7" s="297"/>
      <c r="G7" s="297"/>
      <c r="H7" s="298"/>
      <c r="I7" s="298"/>
      <c r="J7" s="297"/>
      <c r="K7" s="344"/>
      <c r="L7" s="342"/>
      <c r="M7" s="298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4"/>
        <v>0</v>
      </c>
      <c r="AF7" s="377"/>
      <c r="AG7" s="390"/>
      <c r="AH7" s="391">
        <f t="shared" si="5"/>
        <v>0</v>
      </c>
      <c r="AI7" s="392"/>
      <c r="AJ7" s="393">
        <f t="shared" si="0"/>
        <v>0</v>
      </c>
      <c r="AK7" s="394"/>
      <c r="AL7" s="54"/>
      <c r="AM7" s="394"/>
    </row>
    <row r="8" spans="1:39" s="283" customFormat="1" ht="21" thickBot="1">
      <c r="A8" s="294" t="s">
        <v>110</v>
      </c>
      <c r="B8" s="731"/>
      <c r="C8" s="732"/>
      <c r="D8" s="709"/>
      <c r="E8" s="296"/>
      <c r="F8" s="297"/>
      <c r="G8" s="297"/>
      <c r="H8" s="298"/>
      <c r="I8" s="298"/>
      <c r="J8" s="297"/>
      <c r="K8" s="341"/>
      <c r="L8" s="342"/>
      <c r="M8" s="298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4"/>
        <v>0</v>
      </c>
      <c r="AF8" s="377"/>
      <c r="AG8" s="390"/>
      <c r="AH8" s="391">
        <f t="shared" si="5"/>
        <v>0</v>
      </c>
      <c r="AI8" s="392"/>
      <c r="AJ8" s="393">
        <f t="shared" si="0"/>
        <v>0</v>
      </c>
      <c r="AK8" s="394"/>
      <c r="AL8" s="54"/>
      <c r="AM8" s="394"/>
    </row>
    <row r="9" spans="1:39" s="283" customFormat="1" ht="21" thickBot="1">
      <c r="A9" s="294" t="s">
        <v>110</v>
      </c>
      <c r="B9" s="731"/>
      <c r="C9" s="732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4"/>
        <v>0</v>
      </c>
      <c r="AF9" s="377"/>
      <c r="AG9" s="390"/>
      <c r="AH9" s="391">
        <f t="shared" si="5"/>
        <v>0</v>
      </c>
      <c r="AI9" s="392"/>
      <c r="AJ9" s="393">
        <f t="shared" si="0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731"/>
      <c r="C10" s="732"/>
      <c r="D10" s="300"/>
      <c r="E10" s="296"/>
      <c r="F10" s="297"/>
      <c r="G10" s="297"/>
      <c r="H10" s="298"/>
      <c r="I10" s="298"/>
      <c r="J10" s="297"/>
      <c r="K10" s="344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4"/>
        <v>0</v>
      </c>
      <c r="AF10" s="377"/>
      <c r="AG10" s="390"/>
      <c r="AH10" s="391">
        <f t="shared" si="5"/>
        <v>0</v>
      </c>
      <c r="AI10" s="392"/>
      <c r="AJ10" s="393">
        <f t="shared" si="0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731"/>
      <c r="C11" s="732"/>
      <c r="D11" s="300"/>
      <c r="E11" s="296"/>
      <c r="F11" s="297"/>
      <c r="G11" s="297"/>
      <c r="H11" s="298"/>
      <c r="I11" s="298"/>
      <c r="J11" s="297"/>
      <c r="K11" s="341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4"/>
        <v>0</v>
      </c>
      <c r="AF11" s="377"/>
      <c r="AG11" s="390"/>
      <c r="AH11" s="391">
        <f t="shared" si="5"/>
        <v>0</v>
      </c>
      <c r="AI11" s="392"/>
      <c r="AJ11" s="393">
        <f t="shared" si="0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731"/>
      <c r="C12" s="732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4"/>
        <v>0</v>
      </c>
      <c r="AF12" s="377"/>
      <c r="AG12" s="390"/>
      <c r="AH12" s="391">
        <f t="shared" si="5"/>
        <v>0</v>
      </c>
      <c r="AI12" s="392"/>
      <c r="AJ12" s="393">
        <f t="shared" si="0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731"/>
      <c r="C13" s="732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4"/>
        <v>0</v>
      </c>
      <c r="AF13" s="377"/>
      <c r="AG13" s="390"/>
      <c r="AH13" s="391">
        <f t="shared" si="5"/>
        <v>0</v>
      </c>
      <c r="AI13" s="392"/>
      <c r="AJ13" s="393">
        <f t="shared" si="0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731"/>
      <c r="C14" s="732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4"/>
        <v>0</v>
      </c>
      <c r="AF14" s="377"/>
      <c r="AG14" s="390"/>
      <c r="AH14" s="391">
        <f t="shared" si="5"/>
        <v>0</v>
      </c>
      <c r="AI14" s="392"/>
      <c r="AJ14" s="393">
        <f t="shared" si="0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731"/>
      <c r="C15" s="732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4"/>
        <v>0</v>
      </c>
      <c r="AF15" s="377"/>
      <c r="AG15" s="390"/>
      <c r="AH15" s="391">
        <f t="shared" si="5"/>
        <v>0</v>
      </c>
      <c r="AI15" s="392"/>
      <c r="AJ15" s="393">
        <f t="shared" si="0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731"/>
      <c r="C16" s="732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4"/>
        <v>0</v>
      </c>
      <c r="AF16" s="377"/>
      <c r="AG16" s="390"/>
      <c r="AH16" s="391">
        <f t="shared" si="5"/>
        <v>0</v>
      </c>
      <c r="AI16" s="392"/>
      <c r="AJ16" s="393">
        <f t="shared" si="0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731"/>
      <c r="C17" s="732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4"/>
        <v>0</v>
      </c>
      <c r="AF17" s="377"/>
      <c r="AG17" s="390"/>
      <c r="AH17" s="391">
        <f t="shared" si="5"/>
        <v>0</v>
      </c>
      <c r="AI17" s="392"/>
      <c r="AJ17" s="393">
        <f t="shared" si="0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731"/>
      <c r="C18" s="732"/>
      <c r="D18" s="300"/>
      <c r="E18" s="296"/>
      <c r="F18" s="297"/>
      <c r="G18" s="297"/>
      <c r="H18" s="298"/>
      <c r="I18" s="298"/>
      <c r="J18" s="297"/>
      <c r="K18" s="344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4"/>
        <v>0</v>
      </c>
      <c r="AF18" s="377"/>
      <c r="AG18" s="390"/>
      <c r="AH18" s="391">
        <f t="shared" si="5"/>
        <v>0</v>
      </c>
      <c r="AI18" s="392"/>
      <c r="AJ18" s="393">
        <f t="shared" si="0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731"/>
      <c r="C19" s="732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4"/>
        <v>0</v>
      </c>
      <c r="AF19" s="377"/>
      <c r="AG19" s="390"/>
      <c r="AH19" s="391">
        <f t="shared" si="5"/>
        <v>0</v>
      </c>
      <c r="AI19" s="392"/>
      <c r="AJ19" s="393">
        <f t="shared" si="0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731"/>
      <c r="C20" s="732"/>
      <c r="D20" s="300"/>
      <c r="E20" s="296"/>
      <c r="F20" s="297"/>
      <c r="G20" s="297"/>
      <c r="H20" s="298"/>
      <c r="I20" s="298"/>
      <c r="J20" s="297"/>
      <c r="K20" s="341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4"/>
        <v>0</v>
      </c>
      <c r="AF20" s="377"/>
      <c r="AG20" s="390"/>
      <c r="AH20" s="391">
        <f t="shared" si="5"/>
        <v>0</v>
      </c>
      <c r="AI20" s="392"/>
      <c r="AJ20" s="393">
        <f t="shared" si="0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731"/>
      <c r="C21" s="732"/>
      <c r="D21" s="300"/>
      <c r="E21" s="296"/>
      <c r="F21" s="297"/>
      <c r="G21" s="297"/>
      <c r="H21" s="298"/>
      <c r="I21" s="298"/>
      <c r="J21" s="297"/>
      <c r="K21" s="345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4"/>
        <v>0</v>
      </c>
      <c r="AF21" s="377"/>
      <c r="AG21" s="390"/>
      <c r="AH21" s="391">
        <f t="shared" si="5"/>
        <v>0</v>
      </c>
      <c r="AI21" s="392"/>
      <c r="AJ21" s="393">
        <f t="shared" si="0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731"/>
      <c r="C22" s="732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4"/>
        <v>0</v>
      </c>
      <c r="AF22" s="377"/>
      <c r="AG22" s="390"/>
      <c r="AH22" s="391">
        <f t="shared" si="5"/>
        <v>0</v>
      </c>
      <c r="AI22" s="392"/>
      <c r="AJ22" s="393">
        <f t="shared" si="0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731"/>
      <c r="C23" s="732"/>
      <c r="D23" s="300"/>
      <c r="E23" s="296"/>
      <c r="F23" s="297"/>
      <c r="G23" s="297"/>
      <c r="H23" s="298"/>
      <c r="I23" s="298"/>
      <c r="J23" s="297"/>
      <c r="K23" s="341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4"/>
        <v>0</v>
      </c>
      <c r="AF23" s="377"/>
      <c r="AG23" s="390"/>
      <c r="AH23" s="391">
        <f t="shared" si="5"/>
        <v>0</v>
      </c>
      <c r="AI23" s="392"/>
      <c r="AJ23" s="393">
        <f t="shared" si="0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731"/>
      <c r="C24" s="732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4"/>
        <v>0</v>
      </c>
      <c r="AF24" s="377"/>
      <c r="AG24" s="390"/>
      <c r="AH24" s="391">
        <f t="shared" si="5"/>
        <v>0</v>
      </c>
      <c r="AI24" s="392"/>
      <c r="AJ24" s="393">
        <f t="shared" si="0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731"/>
      <c r="C25" s="732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4"/>
        <v>0</v>
      </c>
      <c r="AF25" s="377"/>
      <c r="AG25" s="390"/>
      <c r="AH25" s="391">
        <f t="shared" si="5"/>
        <v>0</v>
      </c>
      <c r="AI25" s="392"/>
      <c r="AJ25" s="393">
        <f t="shared" si="0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731"/>
      <c r="C26" s="732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4"/>
        <v>0</v>
      </c>
      <c r="AF26" s="377"/>
      <c r="AG26" s="390"/>
      <c r="AH26" s="391">
        <f t="shared" si="5"/>
        <v>0</v>
      </c>
      <c r="AI26" s="392"/>
      <c r="AJ26" s="393">
        <f t="shared" si="0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731"/>
      <c r="C27" s="732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4"/>
        <v>0</v>
      </c>
      <c r="AF27" s="377"/>
      <c r="AG27" s="390"/>
      <c r="AH27" s="391">
        <f t="shared" si="5"/>
        <v>0</v>
      </c>
      <c r="AI27" s="392"/>
      <c r="AJ27" s="393">
        <f t="shared" si="0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731"/>
      <c r="C28" s="732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4"/>
        <v>0</v>
      </c>
      <c r="AF28" s="377"/>
      <c r="AG28" s="390"/>
      <c r="AH28" s="391">
        <f t="shared" si="5"/>
        <v>0</v>
      </c>
      <c r="AI28" s="392"/>
      <c r="AJ28" s="393">
        <f t="shared" si="0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731"/>
      <c r="C29" s="732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4"/>
        <v>0</v>
      </c>
      <c r="AF29" s="377"/>
      <c r="AG29" s="390"/>
      <c r="AH29" s="391">
        <f t="shared" si="5"/>
        <v>0</v>
      </c>
      <c r="AI29" s="392"/>
      <c r="AJ29" s="393">
        <f t="shared" si="0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731"/>
      <c r="C30" s="732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4"/>
        <v>0</v>
      </c>
      <c r="AF30" s="377"/>
      <c r="AG30" s="390"/>
      <c r="AH30" s="391">
        <f t="shared" si="5"/>
        <v>0</v>
      </c>
      <c r="AI30" s="392"/>
      <c r="AJ30" s="393">
        <f t="shared" si="0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731"/>
      <c r="C31" s="732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4"/>
        <v>0</v>
      </c>
      <c r="AF31" s="377"/>
      <c r="AG31" s="390"/>
      <c r="AH31" s="391">
        <f t="shared" si="5"/>
        <v>0</v>
      </c>
      <c r="AI31" s="392"/>
      <c r="AJ31" s="393">
        <f t="shared" si="0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731"/>
      <c r="C32" s="732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4"/>
        <v>0</v>
      </c>
      <c r="AF32" s="377"/>
      <c r="AG32" s="390"/>
      <c r="AH32" s="391">
        <f t="shared" si="5"/>
        <v>0</v>
      </c>
      <c r="AI32" s="392"/>
      <c r="AJ32" s="393">
        <f t="shared" si="0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731"/>
      <c r="C33" s="732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4"/>
        <v>0</v>
      </c>
      <c r="AF33" s="377"/>
      <c r="AG33" s="390"/>
      <c r="AH33" s="391">
        <f t="shared" si="5"/>
        <v>0</v>
      </c>
      <c r="AI33" s="392"/>
      <c r="AJ33" s="393">
        <f t="shared" si="0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731"/>
      <c r="C34" s="732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4"/>
        <v>0</v>
      </c>
      <c r="AF34" s="377"/>
      <c r="AG34" s="390"/>
      <c r="AH34" s="391">
        <f t="shared" si="5"/>
        <v>0</v>
      </c>
      <c r="AI34" s="392"/>
      <c r="AJ34" s="393">
        <f t="shared" si="0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731"/>
      <c r="C35" s="732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4"/>
        <v>0</v>
      </c>
      <c r="AF35" s="377"/>
      <c r="AG35" s="390"/>
      <c r="AH35" s="391">
        <f t="shared" si="5"/>
        <v>0</v>
      </c>
      <c r="AI35" s="392"/>
      <c r="AJ35" s="393">
        <f t="shared" si="0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731"/>
      <c r="C36" s="732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4"/>
        <v>0</v>
      </c>
      <c r="AF36" s="377"/>
      <c r="AG36" s="390"/>
      <c r="AH36" s="391">
        <f t="shared" si="5"/>
        <v>0</v>
      </c>
      <c r="AI36" s="392"/>
      <c r="AJ36" s="393">
        <f t="shared" si="0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731"/>
      <c r="C37" s="732"/>
      <c r="D37" s="300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4"/>
        <v>0</v>
      </c>
      <c r="AF37" s="377"/>
      <c r="AG37" s="390"/>
      <c r="AH37" s="391">
        <f t="shared" si="5"/>
        <v>0</v>
      </c>
      <c r="AI37" s="392"/>
      <c r="AJ37" s="393">
        <f t="shared" si="0"/>
        <v>0</v>
      </c>
      <c r="AK37" s="394"/>
      <c r="AL37" s="54"/>
      <c r="AM37" s="394"/>
    </row>
    <row r="38" spans="1:39" s="283" customFormat="1" ht="21" thickBot="1">
      <c r="A38" s="294" t="s">
        <v>110</v>
      </c>
      <c r="B38" s="2564"/>
      <c r="C38" s="732"/>
      <c r="D38" s="301"/>
      <c r="E38" s="296"/>
      <c r="F38" s="297"/>
      <c r="G38" s="297"/>
      <c r="H38" s="298"/>
      <c r="I38" s="298"/>
      <c r="J38" s="297"/>
      <c r="K38" s="344"/>
      <c r="L38" s="342"/>
      <c r="M38" s="343"/>
      <c r="N38" s="298"/>
      <c r="O38" s="298"/>
      <c r="P38" s="298"/>
      <c r="Q38" s="298"/>
      <c r="R38" s="298"/>
      <c r="S38" s="298"/>
      <c r="T38" s="367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4"/>
        <v>0</v>
      </c>
      <c r="AF38" s="377"/>
      <c r="AG38" s="390"/>
      <c r="AH38" s="391">
        <f t="shared" si="5"/>
        <v>0</v>
      </c>
      <c r="AI38" s="392"/>
      <c r="AJ38" s="395">
        <f t="shared" si="0"/>
        <v>0</v>
      </c>
      <c r="AK38" s="396" t="s">
        <v>8</v>
      </c>
      <c r="AL38" s="397" t="s">
        <v>23</v>
      </c>
      <c r="AM38" s="398" t="s">
        <v>174</v>
      </c>
    </row>
    <row r="39" spans="1:39" s="284" customFormat="1" ht="19.5" thickBot="1">
      <c r="A39" s="302" t="s">
        <v>175</v>
      </c>
      <c r="B39" s="303"/>
      <c r="C39" s="303"/>
      <c r="D39" s="304"/>
      <c r="E39" s="305">
        <f t="shared" ref="E39:AG39" si="6">SUM(E6:E38)</f>
        <v>0</v>
      </c>
      <c r="F39" s="305">
        <f t="shared" si="6"/>
        <v>0</v>
      </c>
      <c r="G39" s="305">
        <f t="shared" si="6"/>
        <v>0</v>
      </c>
      <c r="H39" s="305">
        <f t="shared" si="6"/>
        <v>0</v>
      </c>
      <c r="I39" s="305">
        <f t="shared" si="6"/>
        <v>0</v>
      </c>
      <c r="J39" s="305">
        <f t="shared" si="6"/>
        <v>0</v>
      </c>
      <c r="K39" s="305">
        <f t="shared" si="6"/>
        <v>0</v>
      </c>
      <c r="L39" s="305">
        <f t="shared" si="6"/>
        <v>0</v>
      </c>
      <c r="M39" s="305">
        <f>SUM(M5:M38)</f>
        <v>0</v>
      </c>
      <c r="N39" s="305">
        <f t="shared" ref="N39:T39" si="7">SUM(N5:N38)</f>
        <v>0</v>
      </c>
      <c r="O39" s="305">
        <f t="shared" si="7"/>
        <v>0</v>
      </c>
      <c r="P39" s="305">
        <f t="shared" si="7"/>
        <v>0</v>
      </c>
      <c r="Q39" s="305">
        <f t="shared" si="7"/>
        <v>0</v>
      </c>
      <c r="R39" s="305">
        <f t="shared" si="7"/>
        <v>0</v>
      </c>
      <c r="S39" s="305">
        <f t="shared" si="7"/>
        <v>0</v>
      </c>
      <c r="T39" s="305">
        <f t="shared" si="7"/>
        <v>0</v>
      </c>
      <c r="U39" s="305">
        <f t="shared" si="6"/>
        <v>0</v>
      </c>
      <c r="V39" s="305">
        <f t="shared" si="6"/>
        <v>0</v>
      </c>
      <c r="W39" s="305">
        <f t="shared" si="6"/>
        <v>0</v>
      </c>
      <c r="X39" s="305">
        <f t="shared" si="6"/>
        <v>0</v>
      </c>
      <c r="Y39" s="305">
        <f t="shared" si="6"/>
        <v>0</v>
      </c>
      <c r="Z39" s="305">
        <f t="shared" si="6"/>
        <v>0</v>
      </c>
      <c r="AA39" s="305">
        <f t="shared" si="6"/>
        <v>0</v>
      </c>
      <c r="AB39" s="305">
        <f t="shared" si="6"/>
        <v>0</v>
      </c>
      <c r="AC39" s="305">
        <f t="shared" si="6"/>
        <v>0</v>
      </c>
      <c r="AD39" s="305">
        <f t="shared" si="6"/>
        <v>0</v>
      </c>
      <c r="AE39" s="305">
        <f>SUM(AE5:AE38)</f>
        <v>0</v>
      </c>
      <c r="AF39" s="305">
        <f>SUM(AF5:AF38)</f>
        <v>0</v>
      </c>
      <c r="AG39" s="305">
        <f t="shared" si="6"/>
        <v>0</v>
      </c>
      <c r="AH39" s="305">
        <f>SUM(AH5:AH38)</f>
        <v>0</v>
      </c>
      <c r="AI39" s="305">
        <f t="shared" ref="AI39:AJ39" si="8">SUM(AI5:AI38)</f>
        <v>0</v>
      </c>
      <c r="AJ39" s="305">
        <f t="shared" si="8"/>
        <v>0</v>
      </c>
      <c r="AK39" s="399">
        <f>'BIG CHAIR'!CL36</f>
        <v>0</v>
      </c>
      <c r="AL39" s="400">
        <f>'Tea Table'!X29</f>
        <v>0</v>
      </c>
      <c r="AM39" s="401">
        <f>AH39+AK39+AL39</f>
        <v>0</v>
      </c>
    </row>
    <row r="40" spans="1:39" s="284" customFormat="1" ht="19.5" thickBot="1">
      <c r="A40" s="306"/>
      <c r="B40" s="307"/>
      <c r="C40" s="307"/>
      <c r="D40" s="308"/>
      <c r="E40" s="309"/>
      <c r="F40" s="309"/>
      <c r="G40" s="309"/>
      <c r="H40" s="309"/>
      <c r="I40" s="309"/>
      <c r="J40" s="309"/>
      <c r="K40" s="309"/>
      <c r="L40" s="346"/>
      <c r="M40" s="347"/>
      <c r="N40" s="347"/>
      <c r="O40" s="347"/>
      <c r="P40" s="347"/>
      <c r="Q40" s="347"/>
      <c r="R40" s="347"/>
      <c r="S40" s="347"/>
      <c r="T40" s="347"/>
      <c r="U40" s="346"/>
      <c r="V40" s="347"/>
      <c r="W40" s="347"/>
      <c r="X40" s="347"/>
      <c r="Y40" s="347"/>
      <c r="Z40" s="347"/>
      <c r="AA40" s="347"/>
      <c r="AB40" s="347"/>
      <c r="AC40" s="347"/>
      <c r="AD40" s="346"/>
      <c r="AE40" s="347"/>
      <c r="AF40" s="347"/>
      <c r="AG40" s="347"/>
      <c r="AH40" s="347"/>
      <c r="AI40" s="347"/>
      <c r="AJ40" s="402"/>
      <c r="AK40" s="403"/>
      <c r="AL40" s="403"/>
      <c r="AM40" s="403"/>
    </row>
    <row r="41" spans="1:39" s="282" customFormat="1" ht="24" thickBot="1">
      <c r="A41" s="2608" t="s">
        <v>117</v>
      </c>
      <c r="B41" s="288" t="s">
        <v>68</v>
      </c>
      <c r="C41" s="722" t="s">
        <v>69</v>
      </c>
      <c r="D41" s="288" t="s">
        <v>70</v>
      </c>
      <c r="E41" s="80" t="s">
        <v>190</v>
      </c>
      <c r="F41" s="49" t="s">
        <v>94</v>
      </c>
      <c r="G41" s="49" t="s">
        <v>53</v>
      </c>
      <c r="H41" s="49" t="s">
        <v>136</v>
      </c>
      <c r="I41" s="49" t="s">
        <v>76</v>
      </c>
      <c r="J41" s="49" t="s">
        <v>206</v>
      </c>
      <c r="K41" s="126" t="s">
        <v>222</v>
      </c>
      <c r="L41" s="79"/>
      <c r="M41" s="80" t="s">
        <v>222</v>
      </c>
      <c r="N41" s="49" t="s">
        <v>92</v>
      </c>
      <c r="O41" s="49" t="s">
        <v>251</v>
      </c>
      <c r="P41" s="49" t="s">
        <v>53</v>
      </c>
      <c r="Q41" s="49" t="s">
        <v>94</v>
      </c>
      <c r="R41" s="49" t="s">
        <v>206</v>
      </c>
      <c r="S41" s="126" t="s">
        <v>101</v>
      </c>
      <c r="T41" s="171" t="s">
        <v>497</v>
      </c>
      <c r="U41" s="79"/>
      <c r="V41" s="172" t="s">
        <v>497</v>
      </c>
      <c r="W41" s="103" t="s">
        <v>97</v>
      </c>
      <c r="X41" s="103" t="s">
        <v>124</v>
      </c>
      <c r="Y41" s="103" t="s">
        <v>206</v>
      </c>
      <c r="Z41" s="103" t="s">
        <v>269</v>
      </c>
      <c r="AA41" s="103" t="s">
        <v>96</v>
      </c>
      <c r="AB41" s="179" t="s">
        <v>92</v>
      </c>
      <c r="AC41" s="180" t="s">
        <v>101</v>
      </c>
      <c r="AD41" s="370"/>
      <c r="AE41" s="371" t="s">
        <v>172</v>
      </c>
      <c r="AF41" s="372" t="s">
        <v>80</v>
      </c>
      <c r="AG41" s="385"/>
      <c r="AH41" s="386" t="s">
        <v>106</v>
      </c>
      <c r="AI41" s="385" t="s">
        <v>173</v>
      </c>
      <c r="AJ41" s="371" t="s">
        <v>108</v>
      </c>
    </row>
    <row r="42" spans="1:39" s="234" customFormat="1" ht="20.25">
      <c r="A42" s="2663" t="s">
        <v>176</v>
      </c>
      <c r="B42" s="724"/>
      <c r="C42" s="725"/>
      <c r="D42" s="312"/>
      <c r="E42" s="313"/>
      <c r="F42" s="314"/>
      <c r="G42" s="314"/>
      <c r="H42" s="315"/>
      <c r="I42" s="315"/>
      <c r="J42" s="314"/>
      <c r="K42" s="348"/>
      <c r="L42" s="349"/>
      <c r="M42" s="350"/>
      <c r="N42" s="315"/>
      <c r="O42" s="315"/>
      <c r="P42" s="315"/>
      <c r="Q42" s="315"/>
      <c r="R42" s="315"/>
      <c r="S42" s="315"/>
      <c r="T42" s="368"/>
      <c r="U42" s="349"/>
      <c r="V42" s="350"/>
      <c r="W42" s="315"/>
      <c r="X42" s="315"/>
      <c r="Y42" s="315"/>
      <c r="Z42" s="315"/>
      <c r="AA42" s="315"/>
      <c r="AB42" s="315"/>
      <c r="AC42" s="378"/>
      <c r="AD42" s="349"/>
      <c r="AE42" s="379">
        <f t="shared" ref="AE42:AE53" si="9">SUM(E42:AC42)</f>
        <v>0</v>
      </c>
      <c r="AF42" s="379"/>
      <c r="AG42" s="404"/>
      <c r="AH42" s="405">
        <f t="shared" ref="AH42:AH53" si="10">AE42+AF42</f>
        <v>0</v>
      </c>
      <c r="AI42" s="406"/>
      <c r="AJ42" s="407">
        <f t="shared" ref="AJ42:AJ53" si="11">AH42+AI42</f>
        <v>0</v>
      </c>
    </row>
    <row r="43" spans="1:39" s="234" customFormat="1" ht="20.25">
      <c r="A43" s="1180" t="s">
        <v>120</v>
      </c>
      <c r="B43" s="727"/>
      <c r="C43" s="728"/>
      <c r="D43" s="318"/>
      <c r="E43" s="319"/>
      <c r="F43" s="320"/>
      <c r="G43" s="320"/>
      <c r="H43" s="321"/>
      <c r="I43" s="321"/>
      <c r="J43" s="320"/>
      <c r="K43" s="351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53"/>
      <c r="W43" s="321"/>
      <c r="X43" s="321"/>
      <c r="Y43" s="321"/>
      <c r="Z43" s="321"/>
      <c r="AA43" s="321"/>
      <c r="AB43" s="321"/>
      <c r="AC43" s="380"/>
      <c r="AD43" s="352"/>
      <c r="AE43" s="381">
        <f t="shared" si="9"/>
        <v>0</v>
      </c>
      <c r="AF43" s="381"/>
      <c r="AG43" s="408"/>
      <c r="AH43" s="409">
        <f t="shared" si="10"/>
        <v>0</v>
      </c>
      <c r="AI43" s="410"/>
      <c r="AJ43" s="411">
        <f t="shared" si="11"/>
        <v>0</v>
      </c>
    </row>
    <row r="44" spans="1:39" s="234" customFormat="1" ht="20.25">
      <c r="A44" s="1180" t="s">
        <v>120</v>
      </c>
      <c r="B44" s="729"/>
      <c r="C44" s="730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9"/>
        <v>0</v>
      </c>
      <c r="AF44" s="381"/>
      <c r="AG44" s="408"/>
      <c r="AH44" s="409">
        <f t="shared" si="10"/>
        <v>0</v>
      </c>
      <c r="AI44" s="410"/>
      <c r="AJ44" s="411">
        <f t="shared" si="11"/>
        <v>0</v>
      </c>
    </row>
    <row r="45" spans="1:39" s="234" customFormat="1" ht="20.25">
      <c r="A45" s="1180" t="s">
        <v>120</v>
      </c>
      <c r="B45" s="729"/>
      <c r="C45" s="730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9"/>
        <v>0</v>
      </c>
      <c r="AF45" s="381"/>
      <c r="AG45" s="408"/>
      <c r="AH45" s="409">
        <f t="shared" si="10"/>
        <v>0</v>
      </c>
      <c r="AI45" s="410"/>
      <c r="AJ45" s="411">
        <f t="shared" si="11"/>
        <v>0</v>
      </c>
    </row>
    <row r="46" spans="1:39" s="234" customFormat="1" ht="20.25">
      <c r="A46" s="1180" t="s">
        <v>120</v>
      </c>
      <c r="B46" s="729"/>
      <c r="C46" s="730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9"/>
        <v>0</v>
      </c>
      <c r="AF46" s="381"/>
      <c r="AG46" s="408"/>
      <c r="AH46" s="409">
        <f t="shared" si="10"/>
        <v>0</v>
      </c>
      <c r="AI46" s="410"/>
      <c r="AJ46" s="411">
        <f t="shared" si="11"/>
        <v>0</v>
      </c>
    </row>
    <row r="47" spans="1:39" s="234" customFormat="1" ht="20.25">
      <c r="A47" s="1180" t="s">
        <v>120</v>
      </c>
      <c r="B47" s="729"/>
      <c r="C47" s="730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9"/>
        <v>0</v>
      </c>
      <c r="AF47" s="381"/>
      <c r="AG47" s="408"/>
      <c r="AH47" s="409">
        <f t="shared" si="10"/>
        <v>0</v>
      </c>
      <c r="AI47" s="410"/>
      <c r="AJ47" s="411">
        <f t="shared" si="11"/>
        <v>0</v>
      </c>
    </row>
    <row r="48" spans="1:39" s="234" customFormat="1" ht="20.25">
      <c r="A48" s="1180" t="s">
        <v>120</v>
      </c>
      <c r="B48" s="729"/>
      <c r="C48" s="730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9"/>
        <v>0</v>
      </c>
      <c r="AF48" s="381"/>
      <c r="AG48" s="408"/>
      <c r="AH48" s="409">
        <f t="shared" si="10"/>
        <v>0</v>
      </c>
      <c r="AI48" s="410"/>
      <c r="AJ48" s="411">
        <f t="shared" si="11"/>
        <v>0</v>
      </c>
    </row>
    <row r="49" spans="1:39" s="234" customFormat="1" ht="20.25">
      <c r="A49" s="1180" t="s">
        <v>120</v>
      </c>
      <c r="B49" s="729"/>
      <c r="C49" s="730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9"/>
        <v>0</v>
      </c>
      <c r="AF49" s="381"/>
      <c r="AG49" s="408"/>
      <c r="AH49" s="409">
        <f t="shared" si="10"/>
        <v>0</v>
      </c>
      <c r="AI49" s="410"/>
      <c r="AJ49" s="411">
        <f t="shared" si="11"/>
        <v>0</v>
      </c>
    </row>
    <row r="50" spans="1:39" s="234" customFormat="1" ht="20.25">
      <c r="A50" s="1180" t="s">
        <v>120</v>
      </c>
      <c r="B50" s="729"/>
      <c r="C50" s="730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9"/>
        <v>0</v>
      </c>
      <c r="AF50" s="381"/>
      <c r="AG50" s="408"/>
      <c r="AH50" s="409">
        <f t="shared" si="10"/>
        <v>0</v>
      </c>
      <c r="AI50" s="410"/>
      <c r="AJ50" s="411">
        <f t="shared" si="11"/>
        <v>0</v>
      </c>
    </row>
    <row r="51" spans="1:39" s="234" customFormat="1" ht="20.25">
      <c r="A51" s="1180" t="s">
        <v>120</v>
      </c>
      <c r="B51" s="729"/>
      <c r="C51" s="730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9"/>
        <v>0</v>
      </c>
      <c r="AF51" s="381"/>
      <c r="AG51" s="408"/>
      <c r="AH51" s="409">
        <f t="shared" si="10"/>
        <v>0</v>
      </c>
      <c r="AI51" s="410"/>
      <c r="AJ51" s="411">
        <f t="shared" si="11"/>
        <v>0</v>
      </c>
    </row>
    <row r="52" spans="1:39" s="234" customFormat="1" ht="21" thickBot="1">
      <c r="A52" s="1180" t="s">
        <v>120</v>
      </c>
      <c r="B52" s="729"/>
      <c r="C52" s="730"/>
      <c r="D52" s="318"/>
      <c r="E52" s="319"/>
      <c r="F52" s="320"/>
      <c r="G52" s="320"/>
      <c r="H52" s="321"/>
      <c r="I52" s="321"/>
      <c r="J52" s="320"/>
      <c r="K52" s="354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9"/>
        <v>0</v>
      </c>
      <c r="AF52" s="381"/>
      <c r="AG52" s="408"/>
      <c r="AH52" s="409">
        <f t="shared" si="10"/>
        <v>0</v>
      </c>
      <c r="AI52" s="410"/>
      <c r="AJ52" s="411">
        <f t="shared" si="11"/>
        <v>0</v>
      </c>
    </row>
    <row r="53" spans="1:39" s="283" customFormat="1" ht="21" thickBot="1">
      <c r="A53" s="2582"/>
      <c r="B53" s="2564"/>
      <c r="C53" s="732"/>
      <c r="D53" s="324"/>
      <c r="E53" s="325"/>
      <c r="F53" s="297"/>
      <c r="G53" s="297"/>
      <c r="H53" s="298"/>
      <c r="I53" s="298"/>
      <c r="J53" s="297"/>
      <c r="K53" s="344"/>
      <c r="L53" s="355"/>
      <c r="M53" s="343"/>
      <c r="N53" s="298"/>
      <c r="O53" s="298"/>
      <c r="P53" s="298"/>
      <c r="Q53" s="298"/>
      <c r="R53" s="298"/>
      <c r="S53" s="298"/>
      <c r="T53" s="367"/>
      <c r="U53" s="355"/>
      <c r="V53" s="325"/>
      <c r="W53" s="297"/>
      <c r="X53" s="297"/>
      <c r="Y53" s="298"/>
      <c r="Z53" s="298"/>
      <c r="AA53" s="298"/>
      <c r="AB53" s="297"/>
      <c r="AC53" s="375"/>
      <c r="AD53" s="355"/>
      <c r="AE53" s="376">
        <f t="shared" si="9"/>
        <v>0</v>
      </c>
      <c r="AF53" s="377"/>
      <c r="AG53" s="390"/>
      <c r="AH53" s="391">
        <f t="shared" si="10"/>
        <v>0</v>
      </c>
      <c r="AI53" s="412"/>
      <c r="AJ53" s="413">
        <f t="shared" si="11"/>
        <v>0</v>
      </c>
      <c r="AK53" s="414" t="s">
        <v>8</v>
      </c>
      <c r="AL53" s="397" t="s">
        <v>23</v>
      </c>
      <c r="AM53" s="415" t="s">
        <v>174</v>
      </c>
    </row>
    <row r="54" spans="1:39" s="284" customFormat="1" ht="19.5" thickBot="1">
      <c r="A54" s="326" t="s">
        <v>177</v>
      </c>
      <c r="B54" s="327"/>
      <c r="C54" s="327"/>
      <c r="D54" s="328"/>
      <c r="E54" s="329">
        <f t="shared" ref="E54:K54" si="12">SUM(E42:E53)</f>
        <v>0</v>
      </c>
      <c r="F54" s="330">
        <f t="shared" si="12"/>
        <v>0</v>
      </c>
      <c r="G54" s="330">
        <f t="shared" si="12"/>
        <v>0</v>
      </c>
      <c r="H54" s="330">
        <f t="shared" si="12"/>
        <v>0</v>
      </c>
      <c r="I54" s="330">
        <f t="shared" si="12"/>
        <v>0</v>
      </c>
      <c r="J54" s="330">
        <f t="shared" si="12"/>
        <v>0</v>
      </c>
      <c r="K54" s="356">
        <f t="shared" si="12"/>
        <v>0</v>
      </c>
      <c r="L54" s="357"/>
      <c r="M54" s="358">
        <f t="shared" ref="M54:T54" si="13">SUM(M42:M53)</f>
        <v>0</v>
      </c>
      <c r="N54" s="359">
        <f t="shared" si="13"/>
        <v>0</v>
      </c>
      <c r="O54" s="359">
        <f t="shared" si="13"/>
        <v>0</v>
      </c>
      <c r="P54" s="359">
        <f t="shared" si="13"/>
        <v>0</v>
      </c>
      <c r="Q54" s="359">
        <f t="shared" si="13"/>
        <v>0</v>
      </c>
      <c r="R54" s="359">
        <f t="shared" si="13"/>
        <v>0</v>
      </c>
      <c r="S54" s="359">
        <f t="shared" si="13"/>
        <v>0</v>
      </c>
      <c r="T54" s="369">
        <f t="shared" si="13"/>
        <v>0</v>
      </c>
      <c r="U54" s="357"/>
      <c r="V54" s="358">
        <f t="shared" ref="V54:AC54" si="14">SUM(V42:V53)</f>
        <v>0</v>
      </c>
      <c r="W54" s="359">
        <f t="shared" si="14"/>
        <v>0</v>
      </c>
      <c r="X54" s="359">
        <f t="shared" si="14"/>
        <v>0</v>
      </c>
      <c r="Y54" s="359">
        <f t="shared" si="14"/>
        <v>0</v>
      </c>
      <c r="Z54" s="359">
        <f t="shared" si="14"/>
        <v>0</v>
      </c>
      <c r="AA54" s="359">
        <f t="shared" si="14"/>
        <v>0</v>
      </c>
      <c r="AB54" s="359">
        <f t="shared" si="14"/>
        <v>0</v>
      </c>
      <c r="AC54" s="369">
        <f t="shared" si="14"/>
        <v>0</v>
      </c>
      <c r="AD54" s="357"/>
      <c r="AE54" s="382">
        <f t="shared" ref="AE54:AJ54" si="15">SUM(AE42:AE53)</f>
        <v>0</v>
      </c>
      <c r="AF54" s="382">
        <f t="shared" si="15"/>
        <v>0</v>
      </c>
      <c r="AG54" s="416">
        <f t="shared" si="15"/>
        <v>0</v>
      </c>
      <c r="AH54" s="417">
        <f t="shared" si="15"/>
        <v>0</v>
      </c>
      <c r="AI54" s="382">
        <f t="shared" si="15"/>
        <v>0</v>
      </c>
      <c r="AJ54" s="418">
        <f t="shared" si="15"/>
        <v>0</v>
      </c>
      <c r="AK54" s="399">
        <f>'BIG CHAIR'!CL77</f>
        <v>14560</v>
      </c>
      <c r="AL54" s="400">
        <f>'Tea Table'!X85</f>
        <v>0</v>
      </c>
      <c r="AM54" s="401">
        <f>AH54+AK54+AL54</f>
        <v>14560</v>
      </c>
    </row>
    <row r="55" spans="1:39" s="284" customFormat="1" ht="18.75">
      <c r="A55" s="306"/>
      <c r="B55" s="307"/>
      <c r="C55" s="307"/>
      <c r="D55" s="308"/>
      <c r="E55" s="309"/>
      <c r="F55" s="309"/>
      <c r="G55" s="309"/>
      <c r="H55" s="309"/>
      <c r="I55" s="309"/>
      <c r="J55" s="309"/>
      <c r="K55" s="309"/>
      <c r="L55" s="346"/>
      <c r="M55" s="347"/>
      <c r="N55" s="347"/>
      <c r="O55" s="347"/>
      <c r="P55" s="347"/>
      <c r="Q55" s="347"/>
      <c r="R55" s="347"/>
      <c r="S55" s="347"/>
      <c r="T55" s="347"/>
      <c r="U55" s="346"/>
      <c r="V55" s="347"/>
      <c r="W55" s="347"/>
      <c r="X55" s="347"/>
      <c r="Y55" s="347"/>
      <c r="Z55" s="347"/>
      <c r="AA55" s="347"/>
      <c r="AB55" s="347"/>
      <c r="AC55" s="347"/>
      <c r="AD55" s="346"/>
      <c r="AE55" s="347"/>
      <c r="AF55" s="347"/>
      <c r="AG55" s="347"/>
      <c r="AH55" s="347"/>
      <c r="AI55" s="347"/>
      <c r="AJ55" s="402"/>
      <c r="AK55" s="403"/>
      <c r="AL55" s="403"/>
      <c r="AM55" s="403"/>
    </row>
    <row r="56" spans="1:39" s="282" customFormat="1" ht="23.25">
      <c r="A56" s="2608" t="s">
        <v>122</v>
      </c>
      <c r="B56" s="288" t="s">
        <v>68</v>
      </c>
      <c r="C56" s="722" t="s">
        <v>69</v>
      </c>
      <c r="D56" s="288" t="s">
        <v>70</v>
      </c>
      <c r="E56" s="80" t="s">
        <v>549</v>
      </c>
      <c r="F56" s="49" t="s">
        <v>94</v>
      </c>
      <c r="G56" s="49" t="s">
        <v>53</v>
      </c>
      <c r="H56" s="49" t="s">
        <v>136</v>
      </c>
      <c r="I56" s="49" t="s">
        <v>76</v>
      </c>
      <c r="J56" s="49" t="s">
        <v>206</v>
      </c>
      <c r="K56" s="126" t="s">
        <v>272</v>
      </c>
      <c r="L56" s="79"/>
      <c r="M56" s="80" t="s">
        <v>222</v>
      </c>
      <c r="N56" s="49" t="s">
        <v>92</v>
      </c>
      <c r="O56" s="49" t="s">
        <v>251</v>
      </c>
      <c r="P56" s="49" t="s">
        <v>53</v>
      </c>
      <c r="Q56" s="49" t="s">
        <v>94</v>
      </c>
      <c r="R56" s="49" t="s">
        <v>206</v>
      </c>
      <c r="S56" s="126" t="s">
        <v>101</v>
      </c>
      <c r="T56" s="171" t="s">
        <v>497</v>
      </c>
      <c r="U56" s="79"/>
      <c r="V56" s="172" t="s">
        <v>497</v>
      </c>
      <c r="W56" s="103" t="s">
        <v>97</v>
      </c>
      <c r="X56" s="103" t="s">
        <v>124</v>
      </c>
      <c r="Y56" s="103" t="s">
        <v>206</v>
      </c>
      <c r="Z56" s="103" t="s">
        <v>269</v>
      </c>
      <c r="AA56" s="103" t="s">
        <v>96</v>
      </c>
      <c r="AB56" s="179" t="s">
        <v>92</v>
      </c>
      <c r="AC56" s="180" t="s">
        <v>101</v>
      </c>
      <c r="AD56" s="370"/>
      <c r="AE56" s="371" t="s">
        <v>172</v>
      </c>
      <c r="AF56" s="372" t="s">
        <v>80</v>
      </c>
      <c r="AG56" s="385"/>
      <c r="AH56" s="386" t="s">
        <v>106</v>
      </c>
      <c r="AI56" s="385" t="s">
        <v>173</v>
      </c>
      <c r="AJ56" s="371" t="s">
        <v>108</v>
      </c>
    </row>
    <row r="57" spans="1:39" s="234" customFormat="1" ht="20.25">
      <c r="A57" s="2663" t="s">
        <v>125</v>
      </c>
      <c r="B57" s="724" t="s">
        <v>472</v>
      </c>
      <c r="C57" s="725"/>
      <c r="D57" s="312"/>
      <c r="E57" s="313"/>
      <c r="F57" s="314"/>
      <c r="G57" s="314"/>
      <c r="H57" s="315"/>
      <c r="I57" s="315"/>
      <c r="J57" s="314"/>
      <c r="K57" s="348"/>
      <c r="L57" s="349"/>
      <c r="M57" s="350"/>
      <c r="N57" s="315"/>
      <c r="O57" s="315"/>
      <c r="P57" s="315"/>
      <c r="Q57" s="315"/>
      <c r="R57" s="315"/>
      <c r="S57" s="315"/>
      <c r="T57" s="348"/>
      <c r="U57" s="349"/>
      <c r="V57" s="350"/>
      <c r="W57" s="315"/>
      <c r="X57" s="315"/>
      <c r="Y57" s="315"/>
      <c r="Z57" s="315"/>
      <c r="AA57" s="315"/>
      <c r="AB57" s="315"/>
      <c r="AC57" s="378"/>
      <c r="AD57" s="349"/>
      <c r="AE57" s="379">
        <f t="shared" ref="AE57:AE71" si="16">SUM(E57:AC57)</f>
        <v>0</v>
      </c>
      <c r="AF57" s="379"/>
      <c r="AG57" s="404"/>
      <c r="AH57" s="405">
        <f t="shared" ref="AH57:AH71" si="17">AE57+AF57</f>
        <v>0</v>
      </c>
      <c r="AI57" s="406"/>
      <c r="AJ57" s="407">
        <f t="shared" ref="AJ57:AJ71" si="18">AH57+AI57</f>
        <v>0</v>
      </c>
    </row>
    <row r="58" spans="1:39" s="234" customFormat="1" ht="20.25">
      <c r="A58" s="2664" t="s">
        <v>125</v>
      </c>
      <c r="B58" s="2666"/>
      <c r="C58" s="2665"/>
      <c r="D58" s="331"/>
      <c r="E58" s="332"/>
      <c r="F58" s="333"/>
      <c r="G58" s="333"/>
      <c r="H58" s="334"/>
      <c r="I58" s="334"/>
      <c r="J58" s="333"/>
      <c r="K58" s="360"/>
      <c r="L58" s="361"/>
      <c r="M58" s="362"/>
      <c r="N58" s="334"/>
      <c r="O58" s="334"/>
      <c r="P58" s="334"/>
      <c r="Q58" s="334"/>
      <c r="R58" s="334"/>
      <c r="S58" s="334"/>
      <c r="T58" s="360"/>
      <c r="U58" s="361"/>
      <c r="V58" s="362"/>
      <c r="W58" s="334"/>
      <c r="X58" s="334"/>
      <c r="Y58" s="334"/>
      <c r="Z58" s="334"/>
      <c r="AA58" s="334"/>
      <c r="AB58" s="334"/>
      <c r="AC58" s="383"/>
      <c r="AD58" s="361"/>
      <c r="AE58" s="384">
        <f t="shared" ref="AE58" si="19">SUM(E58:AC58)</f>
        <v>0</v>
      </c>
      <c r="AF58" s="384"/>
      <c r="AG58" s="419"/>
      <c r="AH58" s="420">
        <f t="shared" ref="AH58" si="20">AE58+AF58</f>
        <v>0</v>
      </c>
      <c r="AI58" s="421"/>
      <c r="AJ58" s="422">
        <f t="shared" ref="AJ58" si="21">AH58+AI58</f>
        <v>0</v>
      </c>
    </row>
    <row r="59" spans="1:39" s="234" customFormat="1" ht="20.25">
      <c r="A59" s="1180" t="s">
        <v>125</v>
      </c>
      <c r="B59" s="727"/>
      <c r="C59" s="728"/>
      <c r="D59" s="318"/>
      <c r="E59" s="319"/>
      <c r="F59" s="320"/>
      <c r="G59" s="320"/>
      <c r="H59" s="321"/>
      <c r="I59" s="321"/>
      <c r="J59" s="320"/>
      <c r="K59" s="351"/>
      <c r="L59" s="352"/>
      <c r="M59" s="353"/>
      <c r="N59" s="320"/>
      <c r="O59" s="320"/>
      <c r="P59" s="321"/>
      <c r="Q59" s="321"/>
      <c r="R59" s="321"/>
      <c r="S59" s="320"/>
      <c r="T59" s="351"/>
      <c r="U59" s="352"/>
      <c r="V59" s="353"/>
      <c r="W59" s="321"/>
      <c r="X59" s="321"/>
      <c r="Y59" s="321"/>
      <c r="Z59" s="321"/>
      <c r="AA59" s="321"/>
      <c r="AB59" s="321"/>
      <c r="AC59" s="380"/>
      <c r="AD59" s="352"/>
      <c r="AE59" s="381">
        <f t="shared" si="16"/>
        <v>0</v>
      </c>
      <c r="AF59" s="381"/>
      <c r="AG59" s="408"/>
      <c r="AH59" s="409">
        <f t="shared" si="17"/>
        <v>0</v>
      </c>
      <c r="AI59" s="410"/>
      <c r="AJ59" s="411">
        <f t="shared" si="18"/>
        <v>0</v>
      </c>
    </row>
    <row r="60" spans="1:39" s="234" customFormat="1" ht="20.25">
      <c r="A60" s="1180" t="s">
        <v>125</v>
      </c>
      <c r="B60" s="729"/>
      <c r="C60" s="730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si="16"/>
        <v>0</v>
      </c>
      <c r="AF60" s="381"/>
      <c r="AG60" s="408"/>
      <c r="AH60" s="409">
        <f t="shared" si="17"/>
        <v>0</v>
      </c>
      <c r="AI60" s="410"/>
      <c r="AJ60" s="411">
        <f t="shared" si="18"/>
        <v>0</v>
      </c>
    </row>
    <row r="61" spans="1:39" s="234" customFormat="1" ht="20.25">
      <c r="A61" s="1180" t="s">
        <v>125</v>
      </c>
      <c r="B61" s="729"/>
      <c r="C61" s="730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6"/>
        <v>0</v>
      </c>
      <c r="AF61" s="381"/>
      <c r="AG61" s="408"/>
      <c r="AH61" s="409">
        <f t="shared" si="17"/>
        <v>0</v>
      </c>
      <c r="AI61" s="410"/>
      <c r="AJ61" s="411">
        <f t="shared" si="18"/>
        <v>0</v>
      </c>
    </row>
    <row r="62" spans="1:39" s="234" customFormat="1" ht="20.25">
      <c r="A62" s="1180" t="s">
        <v>125</v>
      </c>
      <c r="B62" s="729"/>
      <c r="C62" s="730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6"/>
        <v>0</v>
      </c>
      <c r="AF62" s="381"/>
      <c r="AG62" s="408"/>
      <c r="AH62" s="409">
        <f t="shared" si="17"/>
        <v>0</v>
      </c>
      <c r="AI62" s="410"/>
      <c r="AJ62" s="411">
        <f t="shared" si="18"/>
        <v>0</v>
      </c>
    </row>
    <row r="63" spans="1:39" s="234" customFormat="1" ht="20.25">
      <c r="A63" s="1180" t="s">
        <v>125</v>
      </c>
      <c r="B63" s="729"/>
      <c r="C63" s="730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6"/>
        <v>0</v>
      </c>
      <c r="AF63" s="381"/>
      <c r="AG63" s="408"/>
      <c r="AH63" s="409">
        <f t="shared" si="17"/>
        <v>0</v>
      </c>
      <c r="AI63" s="410"/>
      <c r="AJ63" s="411">
        <f t="shared" si="18"/>
        <v>0</v>
      </c>
    </row>
    <row r="64" spans="1:39" s="234" customFormat="1" ht="20.25">
      <c r="A64" s="1180" t="s">
        <v>125</v>
      </c>
      <c r="B64" s="729"/>
      <c r="C64" s="730"/>
      <c r="D64" s="318"/>
      <c r="E64" s="319"/>
      <c r="F64" s="320"/>
      <c r="G64" s="320"/>
      <c r="H64" s="321"/>
      <c r="I64" s="321"/>
      <c r="J64" s="320"/>
      <c r="K64" s="363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6"/>
        <v>0</v>
      </c>
      <c r="AF64" s="381"/>
      <c r="AG64" s="408"/>
      <c r="AH64" s="409">
        <f t="shared" si="17"/>
        <v>0</v>
      </c>
      <c r="AI64" s="410"/>
      <c r="AJ64" s="411">
        <f t="shared" si="18"/>
        <v>0</v>
      </c>
    </row>
    <row r="65" spans="1:39" s="234" customFormat="1" ht="20.25">
      <c r="A65" s="1180" t="s">
        <v>125</v>
      </c>
      <c r="B65" s="729"/>
      <c r="C65" s="730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6"/>
        <v>0</v>
      </c>
      <c r="AF65" s="381"/>
      <c r="AG65" s="408"/>
      <c r="AH65" s="409">
        <f t="shared" si="17"/>
        <v>0</v>
      </c>
      <c r="AI65" s="410"/>
      <c r="AJ65" s="411">
        <f t="shared" si="18"/>
        <v>0</v>
      </c>
    </row>
    <row r="66" spans="1:39" s="234" customFormat="1" ht="20.25">
      <c r="A66" s="1180" t="s">
        <v>125</v>
      </c>
      <c r="B66" s="729"/>
      <c r="C66" s="730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6"/>
        <v>0</v>
      </c>
      <c r="AF66" s="381"/>
      <c r="AG66" s="408"/>
      <c r="AH66" s="409">
        <f t="shared" si="17"/>
        <v>0</v>
      </c>
      <c r="AI66" s="410"/>
      <c r="AJ66" s="411">
        <f t="shared" si="18"/>
        <v>0</v>
      </c>
    </row>
    <row r="67" spans="1:39" s="234" customFormat="1" ht="20.25">
      <c r="A67" s="1180" t="s">
        <v>125</v>
      </c>
      <c r="B67" s="729"/>
      <c r="C67" s="730"/>
      <c r="D67" s="318"/>
      <c r="E67" s="319"/>
      <c r="F67" s="320"/>
      <c r="G67" s="320"/>
      <c r="H67" s="321"/>
      <c r="I67" s="321"/>
      <c r="J67" s="320"/>
      <c r="K67" s="354"/>
      <c r="L67" s="352"/>
      <c r="M67" s="353"/>
      <c r="N67" s="321"/>
      <c r="O67" s="321"/>
      <c r="P67" s="321"/>
      <c r="Q67" s="321"/>
      <c r="R67" s="321"/>
      <c r="S67" s="321"/>
      <c r="T67" s="351"/>
      <c r="U67" s="352"/>
      <c r="V67" s="319"/>
      <c r="W67" s="320"/>
      <c r="X67" s="320"/>
      <c r="Y67" s="321"/>
      <c r="Z67" s="321"/>
      <c r="AA67" s="321"/>
      <c r="AB67" s="320"/>
      <c r="AC67" s="380"/>
      <c r="AD67" s="352"/>
      <c r="AE67" s="381">
        <f t="shared" si="16"/>
        <v>0</v>
      </c>
      <c r="AF67" s="381"/>
      <c r="AG67" s="408"/>
      <c r="AH67" s="409">
        <f t="shared" si="17"/>
        <v>0</v>
      </c>
      <c r="AI67" s="410"/>
      <c r="AJ67" s="411">
        <f t="shared" si="18"/>
        <v>0</v>
      </c>
    </row>
    <row r="68" spans="1:39" s="234" customFormat="1" ht="21" thickBot="1">
      <c r="A68" s="1180" t="s">
        <v>125</v>
      </c>
      <c r="B68" s="729"/>
      <c r="C68" s="730"/>
      <c r="D68" s="318"/>
      <c r="E68" s="319"/>
      <c r="F68" s="320"/>
      <c r="G68" s="320"/>
      <c r="H68" s="321"/>
      <c r="I68" s="321"/>
      <c r="J68" s="320"/>
      <c r="K68" s="354"/>
      <c r="L68" s="352"/>
      <c r="M68" s="353"/>
      <c r="N68" s="321"/>
      <c r="O68" s="321"/>
      <c r="P68" s="321"/>
      <c r="Q68" s="321"/>
      <c r="R68" s="321"/>
      <c r="S68" s="321"/>
      <c r="T68" s="351"/>
      <c r="U68" s="352"/>
      <c r="V68" s="319"/>
      <c r="W68" s="320"/>
      <c r="X68" s="320"/>
      <c r="Y68" s="321"/>
      <c r="Z68" s="321"/>
      <c r="AA68" s="321"/>
      <c r="AB68" s="320"/>
      <c r="AC68" s="380"/>
      <c r="AD68" s="352"/>
      <c r="AE68" s="381">
        <f t="shared" ref="AE68" si="22">SUM(E68:AC68)</f>
        <v>0</v>
      </c>
      <c r="AF68" s="381"/>
      <c r="AG68" s="408"/>
      <c r="AH68" s="409">
        <f t="shared" ref="AH68" si="23">AE68+AF68</f>
        <v>0</v>
      </c>
      <c r="AI68" s="410"/>
      <c r="AJ68" s="411">
        <f t="shared" ref="AJ68" si="24">AH68+AI68</f>
        <v>0</v>
      </c>
    </row>
    <row r="69" spans="1:39" s="283" customFormat="1" ht="21" thickBot="1">
      <c r="A69" s="1180" t="s">
        <v>125</v>
      </c>
      <c r="B69" s="729"/>
      <c r="C69" s="730"/>
      <c r="D69" s="318"/>
      <c r="E69" s="319"/>
      <c r="F69" s="320"/>
      <c r="G69" s="320"/>
      <c r="H69" s="321"/>
      <c r="I69" s="321"/>
      <c r="J69" s="320"/>
      <c r="K69" s="354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/>
      <c r="Z69" s="321"/>
      <c r="AA69" s="321"/>
      <c r="AB69" s="320"/>
      <c r="AC69" s="380"/>
      <c r="AD69" s="352"/>
      <c r="AE69" s="381">
        <f t="shared" ref="AE69" si="25">SUM(E69:AC69)</f>
        <v>0</v>
      </c>
      <c r="AF69" s="381"/>
      <c r="AG69" s="408"/>
      <c r="AH69" s="409">
        <f t="shared" ref="AH69" si="26">AE69+AF69</f>
        <v>0</v>
      </c>
      <c r="AI69" s="410"/>
      <c r="AJ69" s="411">
        <f t="shared" ref="AJ69" si="27">AH69+AI69</f>
        <v>0</v>
      </c>
      <c r="AK69" s="414" t="s">
        <v>8</v>
      </c>
      <c r="AL69" s="397" t="s">
        <v>23</v>
      </c>
      <c r="AM69" s="415" t="s">
        <v>174</v>
      </c>
    </row>
    <row r="70" spans="1:39" s="284" customFormat="1" ht="21" thickBot="1">
      <c r="A70" s="1180" t="s">
        <v>125</v>
      </c>
      <c r="B70" s="729"/>
      <c r="C70" s="730"/>
      <c r="D70" s="318"/>
      <c r="E70" s="319"/>
      <c r="F70" s="320"/>
      <c r="G70" s="320"/>
      <c r="H70" s="321"/>
      <c r="I70" s="321"/>
      <c r="J70" s="320"/>
      <c r="K70" s="354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16"/>
        <v>0</v>
      </c>
      <c r="AF70" s="381"/>
      <c r="AG70" s="408"/>
      <c r="AH70" s="409">
        <f t="shared" si="17"/>
        <v>0</v>
      </c>
      <c r="AI70" s="410"/>
      <c r="AJ70" s="411">
        <f t="shared" si="18"/>
        <v>0</v>
      </c>
      <c r="AK70" s="399">
        <f>'BIG CHAIR'!CL91</f>
        <v>0</v>
      </c>
      <c r="AL70" s="400">
        <f>'Tea Table'!X181</f>
        <v>0</v>
      </c>
      <c r="AM70" s="401">
        <f>AH72+AK70+AL70</f>
        <v>0</v>
      </c>
    </row>
    <row r="71" spans="1:39" ht="21" thickBot="1">
      <c r="A71" s="2582"/>
      <c r="B71" s="731"/>
      <c r="C71" s="732"/>
      <c r="D71" s="324"/>
      <c r="E71" s="325"/>
      <c r="F71" s="297"/>
      <c r="G71" s="297"/>
      <c r="H71" s="298"/>
      <c r="I71" s="298"/>
      <c r="J71" s="297"/>
      <c r="K71" s="344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325"/>
      <c r="W71" s="297"/>
      <c r="X71" s="297"/>
      <c r="Y71" s="298"/>
      <c r="Z71" s="298"/>
      <c r="AA71" s="298"/>
      <c r="AB71" s="297"/>
      <c r="AC71" s="375"/>
      <c r="AD71" s="355"/>
      <c r="AE71" s="376">
        <f t="shared" si="16"/>
        <v>0</v>
      </c>
      <c r="AF71" s="377"/>
      <c r="AG71" s="390"/>
      <c r="AH71" s="391">
        <f t="shared" si="17"/>
        <v>0</v>
      </c>
      <c r="AI71" s="412"/>
      <c r="AJ71" s="413">
        <f t="shared" si="18"/>
        <v>0</v>
      </c>
      <c r="AK71" s="282"/>
      <c r="AL71" s="282"/>
      <c r="AM71" s="282"/>
    </row>
    <row r="72" spans="1:39" ht="19.5" thickBot="1">
      <c r="A72" s="302" t="s">
        <v>126</v>
      </c>
      <c r="B72" s="303"/>
      <c r="C72" s="734"/>
      <c r="D72" s="328"/>
      <c r="E72" s="329">
        <f t="shared" ref="E72:K72" si="28">SUM(E57:E71)</f>
        <v>0</v>
      </c>
      <c r="F72" s="329">
        <f t="shared" si="28"/>
        <v>0</v>
      </c>
      <c r="G72" s="329">
        <f t="shared" si="28"/>
        <v>0</v>
      </c>
      <c r="H72" s="329">
        <f t="shared" si="28"/>
        <v>0</v>
      </c>
      <c r="I72" s="329">
        <f t="shared" si="28"/>
        <v>0</v>
      </c>
      <c r="J72" s="329">
        <f t="shared" si="28"/>
        <v>0</v>
      </c>
      <c r="K72" s="329">
        <f t="shared" si="28"/>
        <v>0</v>
      </c>
      <c r="L72" s="357"/>
      <c r="M72" s="358">
        <f t="shared" ref="M72:T72" si="29">SUM(M57:M71)</f>
        <v>0</v>
      </c>
      <c r="N72" s="359">
        <f t="shared" si="29"/>
        <v>0</v>
      </c>
      <c r="O72" s="359">
        <f t="shared" si="29"/>
        <v>0</v>
      </c>
      <c r="P72" s="359">
        <f t="shared" si="29"/>
        <v>0</v>
      </c>
      <c r="Q72" s="359">
        <f t="shared" si="29"/>
        <v>0</v>
      </c>
      <c r="R72" s="359">
        <f t="shared" si="29"/>
        <v>0</v>
      </c>
      <c r="S72" s="359">
        <f t="shared" si="29"/>
        <v>0</v>
      </c>
      <c r="T72" s="369">
        <f t="shared" si="29"/>
        <v>0</v>
      </c>
      <c r="U72" s="357"/>
      <c r="V72" s="358">
        <f t="shared" ref="V72:AC72" si="30">SUM(V57:V71)</f>
        <v>0</v>
      </c>
      <c r="W72" s="359">
        <f t="shared" si="30"/>
        <v>0</v>
      </c>
      <c r="X72" s="359">
        <f t="shared" si="30"/>
        <v>0</v>
      </c>
      <c r="Y72" s="359">
        <f t="shared" si="30"/>
        <v>0</v>
      </c>
      <c r="Z72" s="359">
        <f t="shared" si="30"/>
        <v>0</v>
      </c>
      <c r="AA72" s="359">
        <f t="shared" si="30"/>
        <v>0</v>
      </c>
      <c r="AB72" s="359">
        <f t="shared" si="30"/>
        <v>0</v>
      </c>
      <c r="AC72" s="369">
        <f t="shared" si="30"/>
        <v>0</v>
      </c>
      <c r="AD72" s="357"/>
      <c r="AE72" s="382">
        <f t="shared" ref="AE72:AJ72" si="31">SUM(AE57:AE71)</f>
        <v>0</v>
      </c>
      <c r="AF72" s="382">
        <f t="shared" si="31"/>
        <v>0</v>
      </c>
      <c r="AG72" s="416">
        <f t="shared" si="31"/>
        <v>0</v>
      </c>
      <c r="AH72" s="417">
        <f t="shared" si="31"/>
        <v>0</v>
      </c>
      <c r="AI72" s="382">
        <f t="shared" si="31"/>
        <v>0</v>
      </c>
      <c r="AJ72" s="418">
        <f t="shared" si="31"/>
        <v>0</v>
      </c>
      <c r="AK72" s="234"/>
      <c r="AL72" s="234"/>
      <c r="AM72" s="234"/>
    </row>
    <row r="73" spans="1:39" ht="24" thickBot="1">
      <c r="A73" s="721" t="s">
        <v>127</v>
      </c>
      <c r="B73" s="288" t="s">
        <v>68</v>
      </c>
      <c r="C73" s="722" t="s">
        <v>69</v>
      </c>
      <c r="D73" s="288" t="s">
        <v>70</v>
      </c>
      <c r="E73" s="80"/>
      <c r="F73" s="49"/>
      <c r="G73" s="49" t="s">
        <v>53</v>
      </c>
      <c r="H73" s="49" t="s">
        <v>136</v>
      </c>
      <c r="I73" s="49" t="s">
        <v>76</v>
      </c>
      <c r="J73" s="49" t="s">
        <v>206</v>
      </c>
      <c r="K73" s="126" t="s">
        <v>272</v>
      </c>
      <c r="L73" s="79"/>
      <c r="M73" s="80" t="s">
        <v>136</v>
      </c>
      <c r="N73" s="49" t="s">
        <v>92</v>
      </c>
      <c r="O73" s="49" t="s">
        <v>549</v>
      </c>
      <c r="P73" s="49" t="s">
        <v>53</v>
      </c>
      <c r="Q73" s="49" t="s">
        <v>94</v>
      </c>
      <c r="R73" s="49" t="s">
        <v>206</v>
      </c>
      <c r="S73" s="126" t="s">
        <v>101</v>
      </c>
      <c r="T73" s="171" t="s">
        <v>580</v>
      </c>
      <c r="U73" s="79"/>
      <c r="V73" s="172" t="s">
        <v>497</v>
      </c>
      <c r="W73" s="103" t="s">
        <v>97</v>
      </c>
      <c r="X73" s="103" t="s">
        <v>124</v>
      </c>
      <c r="Y73" s="103" t="s">
        <v>206</v>
      </c>
      <c r="Z73" s="103" t="s">
        <v>269</v>
      </c>
      <c r="AA73" s="103" t="s">
        <v>96</v>
      </c>
      <c r="AB73" s="179" t="s">
        <v>92</v>
      </c>
      <c r="AC73" s="180" t="s">
        <v>101</v>
      </c>
      <c r="AD73" s="370"/>
      <c r="AE73" s="371" t="s">
        <v>172</v>
      </c>
      <c r="AF73" s="372" t="s">
        <v>80</v>
      </c>
      <c r="AG73" s="385"/>
      <c r="AH73" s="386" t="s">
        <v>106</v>
      </c>
      <c r="AI73" s="385" t="s">
        <v>173</v>
      </c>
      <c r="AJ73" s="371" t="s">
        <v>108</v>
      </c>
      <c r="AK73" s="234"/>
      <c r="AL73" s="234"/>
      <c r="AM73" s="234"/>
    </row>
    <row r="74" spans="1:39" ht="20.25">
      <c r="A74" s="3135" t="s">
        <v>128</v>
      </c>
      <c r="B74" s="724"/>
      <c r="C74" s="725"/>
      <c r="D74" s="312"/>
      <c r="E74" s="313"/>
      <c r="F74" s="314"/>
      <c r="G74" s="314"/>
      <c r="H74" s="315"/>
      <c r="I74" s="315"/>
      <c r="J74" s="314"/>
      <c r="K74" s="348"/>
      <c r="L74" s="349"/>
      <c r="M74" s="350"/>
      <c r="N74" s="315"/>
      <c r="O74" s="315"/>
      <c r="P74" s="315"/>
      <c r="Q74" s="315"/>
      <c r="R74" s="315"/>
      <c r="S74" s="315"/>
      <c r="T74" s="348"/>
      <c r="U74" s="349"/>
      <c r="V74" s="350"/>
      <c r="W74" s="315"/>
      <c r="X74" s="315"/>
      <c r="Y74" s="315"/>
      <c r="Z74" s="315"/>
      <c r="AA74" s="315"/>
      <c r="AB74" s="315"/>
      <c r="AC74" s="378"/>
      <c r="AD74" s="349"/>
      <c r="AE74" s="379">
        <f t="shared" ref="AE74:AE89" si="32">SUM(E74:AC74)</f>
        <v>0</v>
      </c>
      <c r="AF74" s="379"/>
      <c r="AG74" s="404"/>
      <c r="AH74" s="405">
        <f t="shared" ref="AH74:AH89" si="33">AE74+AF74</f>
        <v>0</v>
      </c>
      <c r="AI74" s="406"/>
      <c r="AJ74" s="407">
        <f t="shared" ref="AJ74:AJ89" si="34">AH74+AI74</f>
        <v>0</v>
      </c>
      <c r="AK74" s="234"/>
      <c r="AL74" s="234"/>
      <c r="AM74" s="234"/>
    </row>
    <row r="75" spans="1:39" ht="20.25">
      <c r="A75" s="2667" t="s">
        <v>128</v>
      </c>
      <c r="B75" s="727"/>
      <c r="C75" s="728"/>
      <c r="D75" s="318"/>
      <c r="E75" s="319"/>
      <c r="F75" s="320"/>
      <c r="G75" s="320"/>
      <c r="H75" s="321"/>
      <c r="I75" s="321"/>
      <c r="J75" s="320"/>
      <c r="K75" s="351"/>
      <c r="L75" s="352"/>
      <c r="M75" s="353"/>
      <c r="N75" s="320"/>
      <c r="O75" s="320"/>
      <c r="P75" s="321"/>
      <c r="Q75" s="321"/>
      <c r="R75" s="321"/>
      <c r="S75" s="320"/>
      <c r="T75" s="351"/>
      <c r="U75" s="352"/>
      <c r="V75" s="353"/>
      <c r="W75" s="321"/>
      <c r="X75" s="321"/>
      <c r="Y75" s="321"/>
      <c r="Z75" s="321"/>
      <c r="AA75" s="321"/>
      <c r="AB75" s="321"/>
      <c r="AC75" s="380"/>
      <c r="AD75" s="352"/>
      <c r="AE75" s="381">
        <f t="shared" si="32"/>
        <v>0</v>
      </c>
      <c r="AF75" s="381"/>
      <c r="AG75" s="408"/>
      <c r="AH75" s="409">
        <f t="shared" si="33"/>
        <v>0</v>
      </c>
      <c r="AI75" s="410"/>
      <c r="AJ75" s="411">
        <f t="shared" si="34"/>
        <v>0</v>
      </c>
      <c r="AK75" s="234"/>
      <c r="AL75" s="234"/>
      <c r="AM75" s="234"/>
    </row>
    <row r="76" spans="1:39" ht="20.25">
      <c r="A76" s="2667" t="s">
        <v>128</v>
      </c>
      <c r="B76" s="729"/>
      <c r="C76" s="730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32"/>
        <v>0</v>
      </c>
      <c r="AF76" s="381"/>
      <c r="AG76" s="408"/>
      <c r="AH76" s="409">
        <f t="shared" si="33"/>
        <v>0</v>
      </c>
      <c r="AI76" s="410"/>
      <c r="AJ76" s="411">
        <f t="shared" si="34"/>
        <v>0</v>
      </c>
      <c r="AK76" s="234"/>
      <c r="AL76" s="234"/>
      <c r="AM76" s="234"/>
    </row>
    <row r="77" spans="1:39" ht="20.25">
      <c r="A77" s="2667" t="s">
        <v>128</v>
      </c>
      <c r="B77" s="729"/>
      <c r="C77" s="730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32"/>
        <v>0</v>
      </c>
      <c r="AF77" s="381"/>
      <c r="AG77" s="408"/>
      <c r="AH77" s="409">
        <f>AE77+AF77</f>
        <v>0</v>
      </c>
      <c r="AI77" s="410"/>
      <c r="AJ77" s="411">
        <f t="shared" si="34"/>
        <v>0</v>
      </c>
      <c r="AK77" s="234"/>
      <c r="AL77" s="234"/>
      <c r="AM77" s="234"/>
    </row>
    <row r="78" spans="1:39" ht="20.25">
      <c r="A78" s="2667" t="s">
        <v>128</v>
      </c>
      <c r="B78" s="729"/>
      <c r="C78" s="730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32"/>
        <v>0</v>
      </c>
      <c r="AF78" s="381"/>
      <c r="AG78" s="408"/>
      <c r="AH78" s="409">
        <f t="shared" si="33"/>
        <v>0</v>
      </c>
      <c r="AI78" s="410"/>
      <c r="AJ78" s="411">
        <f t="shared" si="34"/>
        <v>0</v>
      </c>
      <c r="AK78" s="234"/>
      <c r="AL78" s="234"/>
      <c r="AM78" s="234"/>
    </row>
    <row r="79" spans="1:39" ht="20.25">
      <c r="A79" s="2667" t="s">
        <v>128</v>
      </c>
      <c r="B79" s="729"/>
      <c r="C79" s="730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32"/>
        <v>0</v>
      </c>
      <c r="AF79" s="381"/>
      <c r="AG79" s="408"/>
      <c r="AH79" s="409">
        <f t="shared" si="33"/>
        <v>0</v>
      </c>
      <c r="AI79" s="410"/>
      <c r="AJ79" s="411">
        <f t="shared" si="34"/>
        <v>0</v>
      </c>
      <c r="AK79" s="234"/>
      <c r="AL79" s="234"/>
      <c r="AM79" s="234"/>
    </row>
    <row r="80" spans="1:39" ht="20.25">
      <c r="A80" s="2667" t="s">
        <v>128</v>
      </c>
      <c r="B80" s="729"/>
      <c r="C80" s="730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32"/>
        <v>0</v>
      </c>
      <c r="AF80" s="381"/>
      <c r="AG80" s="408"/>
      <c r="AH80" s="409">
        <f t="shared" si="33"/>
        <v>0</v>
      </c>
      <c r="AI80" s="410"/>
      <c r="AJ80" s="411">
        <f t="shared" si="34"/>
        <v>0</v>
      </c>
      <c r="AK80" s="234"/>
      <c r="AL80" s="234"/>
      <c r="AM80" s="234"/>
    </row>
    <row r="81" spans="1:39" ht="20.25">
      <c r="A81" s="2667" t="s">
        <v>128</v>
      </c>
      <c r="B81" s="729"/>
      <c r="C81" s="730"/>
      <c r="D81" s="318"/>
      <c r="E81" s="319"/>
      <c r="F81" s="320"/>
      <c r="G81" s="320"/>
      <c r="H81" s="321"/>
      <c r="I81" s="321"/>
      <c r="J81" s="320"/>
      <c r="K81" s="354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32"/>
        <v>0</v>
      </c>
      <c r="AF81" s="381"/>
      <c r="AG81" s="408"/>
      <c r="AH81" s="409">
        <f t="shared" si="33"/>
        <v>0</v>
      </c>
      <c r="AI81" s="410"/>
      <c r="AJ81" s="411">
        <f t="shared" si="34"/>
        <v>0</v>
      </c>
      <c r="AK81" s="234"/>
      <c r="AL81" s="234"/>
      <c r="AM81" s="234"/>
    </row>
    <row r="82" spans="1:39" ht="21" thickBot="1">
      <c r="A82" s="2667" t="s">
        <v>128</v>
      </c>
      <c r="B82" s="729"/>
      <c r="C82" s="730"/>
      <c r="D82" s="318"/>
      <c r="E82" s="319"/>
      <c r="F82" s="320"/>
      <c r="G82" s="320"/>
      <c r="H82" s="321"/>
      <c r="I82" s="321"/>
      <c r="J82" s="320"/>
      <c r="K82" s="354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32"/>
        <v>0</v>
      </c>
      <c r="AF82" s="381"/>
      <c r="AG82" s="408"/>
      <c r="AH82" s="409">
        <f t="shared" si="33"/>
        <v>0</v>
      </c>
      <c r="AI82" s="410"/>
      <c r="AJ82" s="411">
        <f t="shared" si="34"/>
        <v>0</v>
      </c>
      <c r="AK82" s="234"/>
      <c r="AL82" s="234"/>
      <c r="AM82" s="234"/>
    </row>
    <row r="83" spans="1:39" ht="21" thickBot="1">
      <c r="A83" s="2667" t="s">
        <v>128</v>
      </c>
      <c r="B83" s="729"/>
      <c r="C83" s="730"/>
      <c r="D83" s="318"/>
      <c r="E83" s="319"/>
      <c r="F83" s="320"/>
      <c r="G83" s="320"/>
      <c r="H83" s="321"/>
      <c r="I83" s="321"/>
      <c r="J83" s="320"/>
      <c r="K83" s="354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32"/>
        <v>0</v>
      </c>
      <c r="AF83" s="381"/>
      <c r="AG83" s="408"/>
      <c r="AH83" s="409">
        <f t="shared" si="33"/>
        <v>0</v>
      </c>
      <c r="AI83" s="410"/>
      <c r="AJ83" s="411">
        <f t="shared" si="34"/>
        <v>0</v>
      </c>
      <c r="AK83" s="414" t="s">
        <v>8</v>
      </c>
      <c r="AL83" s="397" t="s">
        <v>23</v>
      </c>
      <c r="AM83" s="415" t="s">
        <v>174</v>
      </c>
    </row>
    <row r="84" spans="1:39" ht="21" thickBot="1">
      <c r="A84" s="2618" t="s">
        <v>128</v>
      </c>
      <c r="B84" s="724"/>
      <c r="C84" s="725"/>
      <c r="D84" s="312"/>
      <c r="E84" s="313"/>
      <c r="F84" s="314"/>
      <c r="G84" s="314"/>
      <c r="H84" s="315"/>
      <c r="I84" s="315"/>
      <c r="J84" s="314"/>
      <c r="K84" s="477"/>
      <c r="L84" s="349"/>
      <c r="M84" s="350"/>
      <c r="N84" s="315"/>
      <c r="O84" s="315"/>
      <c r="P84" s="315"/>
      <c r="Q84" s="315"/>
      <c r="R84" s="315"/>
      <c r="S84" s="315"/>
      <c r="T84" s="348"/>
      <c r="U84" s="349"/>
      <c r="V84" s="350"/>
      <c r="W84" s="315"/>
      <c r="X84" s="315"/>
      <c r="Y84" s="315"/>
      <c r="Z84" s="315"/>
      <c r="AA84" s="315"/>
      <c r="AB84" s="315"/>
      <c r="AC84" s="378"/>
      <c r="AD84" s="349"/>
      <c r="AE84" s="379">
        <f t="shared" ref="AE84:AE85" si="35">SUM(E84:AC84)</f>
        <v>0</v>
      </c>
      <c r="AF84" s="379"/>
      <c r="AG84" s="404"/>
      <c r="AH84" s="405">
        <f t="shared" si="33"/>
        <v>0</v>
      </c>
      <c r="AI84" s="406"/>
      <c r="AJ84" s="407">
        <f t="shared" si="34"/>
        <v>0</v>
      </c>
      <c r="AK84" s="399">
        <f>'BIG CHAIR'!CL105</f>
        <v>0</v>
      </c>
      <c r="AL84" s="400">
        <f>'Tea Table'!X195</f>
        <v>0</v>
      </c>
      <c r="AM84" s="401">
        <f>AH90+AK84+AL84</f>
        <v>0</v>
      </c>
    </row>
    <row r="85" spans="1:39" ht="21" thickBot="1">
      <c r="A85" s="2618" t="s">
        <v>128</v>
      </c>
      <c r="B85" s="724"/>
      <c r="C85" s="725"/>
      <c r="D85" s="312"/>
      <c r="E85" s="313"/>
      <c r="F85" s="314"/>
      <c r="G85" s="314"/>
      <c r="H85" s="315"/>
      <c r="I85" s="315"/>
      <c r="J85" s="314"/>
      <c r="K85" s="477"/>
      <c r="L85" s="349"/>
      <c r="M85" s="350"/>
      <c r="N85" s="315"/>
      <c r="O85" s="315"/>
      <c r="P85" s="315"/>
      <c r="Q85" s="315"/>
      <c r="R85" s="315"/>
      <c r="S85" s="315"/>
      <c r="T85" s="348"/>
      <c r="U85" s="349"/>
      <c r="V85" s="350"/>
      <c r="W85" s="315"/>
      <c r="X85" s="315"/>
      <c r="Y85" s="315"/>
      <c r="Z85" s="315"/>
      <c r="AA85" s="315"/>
      <c r="AB85" s="315"/>
      <c r="AC85" s="378"/>
      <c r="AD85" s="349"/>
      <c r="AE85" s="379">
        <f t="shared" si="35"/>
        <v>0</v>
      </c>
      <c r="AF85" s="379"/>
      <c r="AG85" s="404"/>
      <c r="AH85" s="405">
        <f t="shared" si="33"/>
        <v>0</v>
      </c>
      <c r="AI85" s="406"/>
      <c r="AJ85" s="407">
        <f t="shared" si="34"/>
        <v>0</v>
      </c>
      <c r="AK85" s="282"/>
      <c r="AL85" s="282"/>
      <c r="AM85" s="282"/>
    </row>
    <row r="86" spans="1:39" ht="21" thickBot="1">
      <c r="A86" s="2667" t="s">
        <v>128</v>
      </c>
      <c r="B86" s="729"/>
      <c r="C86" s="730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527"/>
      <c r="AB86" s="320"/>
      <c r="AC86" s="380"/>
      <c r="AD86" s="352"/>
      <c r="AE86" s="381">
        <f t="shared" ref="AE86:AE87" si="36">SUM(E86:AC86)</f>
        <v>0</v>
      </c>
      <c r="AF86" s="381"/>
      <c r="AG86" s="408"/>
      <c r="AH86" s="409">
        <f t="shared" ref="AH86:AH87" si="37">AE86+AF86</f>
        <v>0</v>
      </c>
      <c r="AI86" s="410"/>
      <c r="AJ86" s="411">
        <f t="shared" ref="AJ86:AJ87" si="38">AH86+AI86</f>
        <v>0</v>
      </c>
      <c r="AK86" s="234"/>
      <c r="AL86" s="234"/>
      <c r="AM86" s="234"/>
    </row>
    <row r="87" spans="1:39" ht="21" thickBot="1">
      <c r="A87" s="2667" t="s">
        <v>128</v>
      </c>
      <c r="B87" s="729"/>
      <c r="C87" s="730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527"/>
      <c r="AB87" s="320"/>
      <c r="AC87" s="380"/>
      <c r="AD87" s="352"/>
      <c r="AE87" s="381">
        <f t="shared" si="36"/>
        <v>0</v>
      </c>
      <c r="AF87" s="381"/>
      <c r="AG87" s="408"/>
      <c r="AH87" s="409">
        <f t="shared" si="37"/>
        <v>0</v>
      </c>
      <c r="AI87" s="410"/>
      <c r="AJ87" s="411">
        <f t="shared" si="38"/>
        <v>0</v>
      </c>
      <c r="AK87" s="234"/>
      <c r="AL87" s="234"/>
      <c r="AM87" s="234"/>
    </row>
    <row r="88" spans="1:39" ht="20.25">
      <c r="A88" s="2667" t="s">
        <v>128</v>
      </c>
      <c r="B88" s="729"/>
      <c r="C88" s="730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527"/>
      <c r="AB88" s="320"/>
      <c r="AC88" s="380"/>
      <c r="AD88" s="352"/>
      <c r="AE88" s="381">
        <f t="shared" si="32"/>
        <v>0</v>
      </c>
      <c r="AF88" s="381"/>
      <c r="AG88" s="408"/>
      <c r="AH88" s="409">
        <f t="shared" si="33"/>
        <v>0</v>
      </c>
      <c r="AI88" s="410"/>
      <c r="AJ88" s="411">
        <f t="shared" si="34"/>
        <v>0</v>
      </c>
      <c r="AK88" s="234"/>
      <c r="AL88" s="234"/>
      <c r="AM88" s="234"/>
    </row>
    <row r="89" spans="1:39" ht="21" thickBot="1">
      <c r="A89" s="2582"/>
      <c r="B89" s="731"/>
      <c r="C89" s="732"/>
      <c r="D89" s="324"/>
      <c r="E89" s="325"/>
      <c r="F89" s="297"/>
      <c r="G89" s="297"/>
      <c r="H89" s="298"/>
      <c r="I89" s="298"/>
      <c r="J89" s="297"/>
      <c r="K89" s="344"/>
      <c r="L89" s="355"/>
      <c r="M89" s="343"/>
      <c r="N89" s="298"/>
      <c r="O89" s="298"/>
      <c r="P89" s="298"/>
      <c r="Q89" s="298"/>
      <c r="R89" s="298"/>
      <c r="S89" s="298"/>
      <c r="T89" s="367"/>
      <c r="U89" s="355"/>
      <c r="V89" s="325"/>
      <c r="W89" s="297"/>
      <c r="X89" s="297"/>
      <c r="Y89" s="298"/>
      <c r="Z89" s="298"/>
      <c r="AA89" s="298"/>
      <c r="AB89" s="297"/>
      <c r="AC89" s="375"/>
      <c r="AD89" s="355"/>
      <c r="AE89" s="376">
        <f t="shared" si="32"/>
        <v>0</v>
      </c>
      <c r="AF89" s="377"/>
      <c r="AG89" s="390"/>
      <c r="AH89" s="391">
        <f t="shared" si="33"/>
        <v>0</v>
      </c>
      <c r="AI89" s="412"/>
      <c r="AJ89" s="413">
        <f t="shared" si="34"/>
        <v>0</v>
      </c>
      <c r="AK89" s="234"/>
      <c r="AL89" s="234"/>
      <c r="AM89" s="234"/>
    </row>
    <row r="90" spans="1:39" ht="19.5" thickBot="1">
      <c r="A90" s="302" t="s">
        <v>129</v>
      </c>
      <c r="B90" s="303"/>
      <c r="C90" s="734"/>
      <c r="D90" s="328"/>
      <c r="E90" s="329">
        <f t="shared" ref="E90:AJ90" si="39">SUM(E74:E89)</f>
        <v>0</v>
      </c>
      <c r="F90" s="329">
        <f t="shared" si="39"/>
        <v>0</v>
      </c>
      <c r="G90" s="329">
        <f t="shared" si="39"/>
        <v>0</v>
      </c>
      <c r="H90" s="329">
        <f t="shared" si="39"/>
        <v>0</v>
      </c>
      <c r="I90" s="329">
        <f t="shared" si="39"/>
        <v>0</v>
      </c>
      <c r="J90" s="329">
        <f t="shared" si="39"/>
        <v>0</v>
      </c>
      <c r="K90" s="329">
        <f t="shared" si="39"/>
        <v>0</v>
      </c>
      <c r="L90" s="329">
        <f t="shared" si="39"/>
        <v>0</v>
      </c>
      <c r="M90" s="329">
        <f t="shared" si="39"/>
        <v>0</v>
      </c>
      <c r="N90" s="329">
        <f t="shared" si="39"/>
        <v>0</v>
      </c>
      <c r="O90" s="329">
        <f t="shared" si="39"/>
        <v>0</v>
      </c>
      <c r="P90" s="329">
        <f t="shared" si="39"/>
        <v>0</v>
      </c>
      <c r="Q90" s="329">
        <f t="shared" si="39"/>
        <v>0</v>
      </c>
      <c r="R90" s="329">
        <f t="shared" si="39"/>
        <v>0</v>
      </c>
      <c r="S90" s="329">
        <f t="shared" si="39"/>
        <v>0</v>
      </c>
      <c r="T90" s="329">
        <f t="shared" si="39"/>
        <v>0</v>
      </c>
      <c r="U90" s="329">
        <f t="shared" si="39"/>
        <v>0</v>
      </c>
      <c r="V90" s="329">
        <f t="shared" si="39"/>
        <v>0</v>
      </c>
      <c r="W90" s="329">
        <f t="shared" si="39"/>
        <v>0</v>
      </c>
      <c r="X90" s="329">
        <f t="shared" si="39"/>
        <v>0</v>
      </c>
      <c r="Y90" s="329">
        <f t="shared" si="39"/>
        <v>0</v>
      </c>
      <c r="Z90" s="329">
        <f t="shared" si="39"/>
        <v>0</v>
      </c>
      <c r="AA90" s="329">
        <f t="shared" si="39"/>
        <v>0</v>
      </c>
      <c r="AB90" s="329">
        <f t="shared" si="39"/>
        <v>0</v>
      </c>
      <c r="AC90" s="329">
        <f t="shared" si="39"/>
        <v>0</v>
      </c>
      <c r="AD90" s="329">
        <f t="shared" si="39"/>
        <v>0</v>
      </c>
      <c r="AE90" s="329">
        <f t="shared" si="39"/>
        <v>0</v>
      </c>
      <c r="AF90" s="329">
        <f t="shared" si="39"/>
        <v>0</v>
      </c>
      <c r="AG90" s="329">
        <f t="shared" si="39"/>
        <v>0</v>
      </c>
      <c r="AH90" s="329">
        <f t="shared" si="39"/>
        <v>0</v>
      </c>
      <c r="AI90" s="329">
        <f t="shared" si="39"/>
        <v>0</v>
      </c>
      <c r="AJ90" s="329">
        <f t="shared" si="39"/>
        <v>0</v>
      </c>
      <c r="AK90" s="234"/>
      <c r="AL90" s="234"/>
      <c r="AM90" s="234"/>
    </row>
    <row r="91" spans="1:39" ht="24" thickBot="1">
      <c r="A91" s="721" t="s">
        <v>130</v>
      </c>
      <c r="B91" s="722" t="s">
        <v>68</v>
      </c>
      <c r="C91" s="287" t="s">
        <v>69</v>
      </c>
      <c r="D91" s="288" t="s">
        <v>70</v>
      </c>
      <c r="E91" s="80" t="s">
        <v>190</v>
      </c>
      <c r="F91" s="49" t="s">
        <v>94</v>
      </c>
      <c r="G91" s="49" t="s">
        <v>53</v>
      </c>
      <c r="H91" s="49" t="s">
        <v>136</v>
      </c>
      <c r="I91" s="49" t="s">
        <v>76</v>
      </c>
      <c r="J91" s="49" t="s">
        <v>206</v>
      </c>
      <c r="K91" s="126" t="s">
        <v>272</v>
      </c>
      <c r="L91" s="79"/>
      <c r="M91" s="80" t="s">
        <v>222</v>
      </c>
      <c r="N91" s="49" t="s">
        <v>92</v>
      </c>
      <c r="O91" s="49" t="s">
        <v>251</v>
      </c>
      <c r="P91" s="49" t="s">
        <v>53</v>
      </c>
      <c r="Q91" s="49" t="s">
        <v>94</v>
      </c>
      <c r="R91" s="49" t="s">
        <v>206</v>
      </c>
      <c r="S91" s="126" t="s">
        <v>101</v>
      </c>
      <c r="T91" s="171" t="s">
        <v>497</v>
      </c>
      <c r="U91" s="79"/>
      <c r="V91" s="172" t="s">
        <v>497</v>
      </c>
      <c r="W91" s="103" t="s">
        <v>97</v>
      </c>
      <c r="X91" s="103" t="s">
        <v>124</v>
      </c>
      <c r="Y91" s="103" t="s">
        <v>206</v>
      </c>
      <c r="Z91" s="103" t="s">
        <v>269</v>
      </c>
      <c r="AA91" s="103" t="s">
        <v>96</v>
      </c>
      <c r="AB91" s="179" t="s">
        <v>92</v>
      </c>
      <c r="AC91" s="180" t="s">
        <v>101</v>
      </c>
      <c r="AD91" s="370"/>
      <c r="AE91" s="371" t="s">
        <v>172</v>
      </c>
      <c r="AF91" s="372" t="s">
        <v>80</v>
      </c>
      <c r="AG91" s="385"/>
      <c r="AH91" s="386" t="s">
        <v>106</v>
      </c>
      <c r="AI91" s="385" t="s">
        <v>173</v>
      </c>
      <c r="AJ91" s="371" t="s">
        <v>108</v>
      </c>
      <c r="AK91" s="234"/>
      <c r="AL91" s="234"/>
      <c r="AM91" s="234"/>
    </row>
    <row r="92" spans="1:39" ht="20.25">
      <c r="A92" s="2618" t="s">
        <v>131</v>
      </c>
      <c r="B92" s="724" t="s">
        <v>472</v>
      </c>
      <c r="C92" s="725"/>
      <c r="D92" s="312"/>
      <c r="E92" s="313"/>
      <c r="F92" s="314"/>
      <c r="G92" s="314"/>
      <c r="H92" s="315"/>
      <c r="I92" s="315"/>
      <c r="J92" s="314"/>
      <c r="K92" s="477"/>
      <c r="L92" s="349"/>
      <c r="M92" s="350"/>
      <c r="N92" s="315"/>
      <c r="O92" s="315"/>
      <c r="P92" s="315"/>
      <c r="Q92" s="315"/>
      <c r="R92" s="315"/>
      <c r="S92" s="315"/>
      <c r="T92" s="348"/>
      <c r="U92" s="349"/>
      <c r="V92" s="350"/>
      <c r="W92" s="315"/>
      <c r="X92" s="315"/>
      <c r="Y92" s="315"/>
      <c r="Z92" s="315"/>
      <c r="AA92" s="315"/>
      <c r="AB92" s="315"/>
      <c r="AC92" s="378"/>
      <c r="AD92" s="349"/>
      <c r="AE92" s="379">
        <f t="shared" ref="AE92:AE103" si="40">SUM(E92:AC92)</f>
        <v>0</v>
      </c>
      <c r="AF92" s="379"/>
      <c r="AG92" s="404"/>
      <c r="AH92" s="405">
        <f t="shared" ref="AH92:AH103" si="41">AE92+AF92</f>
        <v>0</v>
      </c>
      <c r="AI92" s="406"/>
      <c r="AJ92" s="407">
        <f t="shared" ref="AJ92:AJ103" si="42">AH92+AI92</f>
        <v>0</v>
      </c>
      <c r="AK92" s="234"/>
      <c r="AL92" s="234"/>
      <c r="AM92" s="234"/>
    </row>
    <row r="93" spans="1:39" ht="20.25">
      <c r="A93" s="726" t="s">
        <v>131</v>
      </c>
      <c r="B93" s="727"/>
      <c r="C93" s="728"/>
      <c r="D93" s="318"/>
      <c r="E93" s="319"/>
      <c r="F93" s="320"/>
      <c r="G93" s="320"/>
      <c r="H93" s="321"/>
      <c r="I93" s="321"/>
      <c r="J93" s="320"/>
      <c r="K93" s="351"/>
      <c r="L93" s="352"/>
      <c r="M93" s="353"/>
      <c r="N93" s="320"/>
      <c r="O93" s="320"/>
      <c r="P93" s="321"/>
      <c r="Q93" s="321"/>
      <c r="R93" s="321"/>
      <c r="S93" s="320"/>
      <c r="T93" s="351"/>
      <c r="U93" s="352"/>
      <c r="V93" s="353"/>
      <c r="W93" s="321"/>
      <c r="X93" s="321"/>
      <c r="Y93" s="321"/>
      <c r="Z93" s="321"/>
      <c r="AA93" s="321"/>
      <c r="AB93" s="321"/>
      <c r="AC93" s="380"/>
      <c r="AD93" s="352"/>
      <c r="AE93" s="381">
        <f t="shared" si="40"/>
        <v>0</v>
      </c>
      <c r="AF93" s="381"/>
      <c r="AG93" s="408"/>
      <c r="AH93" s="409">
        <f t="shared" si="41"/>
        <v>0</v>
      </c>
      <c r="AI93" s="410"/>
      <c r="AJ93" s="411">
        <f t="shared" si="42"/>
        <v>0</v>
      </c>
      <c r="AK93" s="234"/>
      <c r="AL93" s="234"/>
      <c r="AM93" s="234"/>
    </row>
    <row r="94" spans="1:39" ht="20.25">
      <c r="A94" s="726" t="s">
        <v>131</v>
      </c>
      <c r="B94" s="729"/>
      <c r="C94" s="730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40"/>
        <v>0</v>
      </c>
      <c r="AF94" s="381"/>
      <c r="AG94" s="408"/>
      <c r="AH94" s="409">
        <f t="shared" si="41"/>
        <v>0</v>
      </c>
      <c r="AI94" s="410"/>
      <c r="AJ94" s="411">
        <f t="shared" si="42"/>
        <v>0</v>
      </c>
      <c r="AK94" s="234"/>
      <c r="AL94" s="234"/>
      <c r="AM94" s="234"/>
    </row>
    <row r="95" spans="1:39" ht="20.25">
      <c r="A95" s="726" t="s">
        <v>131</v>
      </c>
      <c r="B95" s="729"/>
      <c r="C95" s="730"/>
      <c r="D95" s="318"/>
      <c r="E95" s="319"/>
      <c r="F95" s="320"/>
      <c r="G95" s="320"/>
      <c r="H95" s="321"/>
      <c r="I95" s="321"/>
      <c r="J95" s="320"/>
      <c r="K95" s="354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40"/>
        <v>0</v>
      </c>
      <c r="AF95" s="381"/>
      <c r="AG95" s="408"/>
      <c r="AH95" s="409">
        <f t="shared" si="41"/>
        <v>0</v>
      </c>
      <c r="AI95" s="410"/>
      <c r="AJ95" s="411">
        <f t="shared" si="42"/>
        <v>0</v>
      </c>
      <c r="AK95" s="234"/>
      <c r="AL95" s="234"/>
      <c r="AM95" s="234"/>
    </row>
    <row r="96" spans="1:39" ht="21" thickBot="1">
      <c r="A96" s="726" t="s">
        <v>131</v>
      </c>
      <c r="B96" s="729"/>
      <c r="C96" s="730"/>
      <c r="D96" s="318"/>
      <c r="E96" s="319"/>
      <c r="F96" s="320"/>
      <c r="G96" s="320"/>
      <c r="H96" s="321"/>
      <c r="I96" s="321"/>
      <c r="J96" s="320"/>
      <c r="K96" s="354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40"/>
        <v>0</v>
      </c>
      <c r="AF96" s="381"/>
      <c r="AG96" s="408"/>
      <c r="AH96" s="409">
        <f t="shared" si="41"/>
        <v>0</v>
      </c>
      <c r="AI96" s="410"/>
      <c r="AJ96" s="411">
        <f t="shared" si="42"/>
        <v>0</v>
      </c>
      <c r="AK96" s="234"/>
      <c r="AL96" s="234"/>
      <c r="AM96" s="234"/>
    </row>
    <row r="97" spans="1:39" ht="21" thickBot="1">
      <c r="A97" s="726" t="s">
        <v>131</v>
      </c>
      <c r="B97" s="729"/>
      <c r="C97" s="730"/>
      <c r="D97" s="318"/>
      <c r="E97" s="319"/>
      <c r="F97" s="320"/>
      <c r="G97" s="320"/>
      <c r="H97" s="321"/>
      <c r="I97" s="321"/>
      <c r="J97" s="320"/>
      <c r="K97" s="354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40"/>
        <v>0</v>
      </c>
      <c r="AF97" s="381"/>
      <c r="AG97" s="408"/>
      <c r="AH97" s="409">
        <f t="shared" si="41"/>
        <v>0</v>
      </c>
      <c r="AI97" s="410"/>
      <c r="AJ97" s="411">
        <f t="shared" si="42"/>
        <v>0</v>
      </c>
      <c r="AK97" s="414" t="s">
        <v>8</v>
      </c>
      <c r="AL97" s="397" t="s">
        <v>23</v>
      </c>
      <c r="AM97" s="415" t="s">
        <v>174</v>
      </c>
    </row>
    <row r="98" spans="1:39" ht="21" thickBot="1">
      <c r="A98" s="726" t="s">
        <v>131</v>
      </c>
      <c r="B98" s="729"/>
      <c r="C98" s="730"/>
      <c r="D98" s="318"/>
      <c r="E98" s="319"/>
      <c r="F98" s="320"/>
      <c r="G98" s="320"/>
      <c r="H98" s="321"/>
      <c r="I98" s="321"/>
      <c r="J98" s="320"/>
      <c r="K98" s="354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40"/>
        <v>0</v>
      </c>
      <c r="AF98" s="381"/>
      <c r="AG98" s="408"/>
      <c r="AH98" s="409">
        <f t="shared" si="41"/>
        <v>0</v>
      </c>
      <c r="AI98" s="410"/>
      <c r="AJ98" s="411">
        <f t="shared" si="42"/>
        <v>0</v>
      </c>
      <c r="AK98" s="399">
        <f>'BIG CHAIR'!CL119</f>
        <v>0</v>
      </c>
      <c r="AL98" s="400">
        <f>'Tea Table'!X207</f>
        <v>120</v>
      </c>
      <c r="AM98" s="401">
        <f>AH104+AK98+AL98</f>
        <v>120</v>
      </c>
    </row>
    <row r="99" spans="1:39" ht="20.25">
      <c r="A99" s="726" t="s">
        <v>131</v>
      </c>
      <c r="B99" s="729"/>
      <c r="C99" s="730"/>
      <c r="D99" s="318"/>
      <c r="E99" s="319"/>
      <c r="F99" s="320"/>
      <c r="G99" s="320"/>
      <c r="H99" s="321"/>
      <c r="I99" s="321"/>
      <c r="J99" s="320"/>
      <c r="K99" s="354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40"/>
        <v>0</v>
      </c>
      <c r="AF99" s="381"/>
      <c r="AG99" s="408"/>
      <c r="AH99" s="409">
        <f t="shared" si="41"/>
        <v>0</v>
      </c>
      <c r="AI99" s="410"/>
      <c r="AJ99" s="411">
        <f t="shared" si="42"/>
        <v>0</v>
      </c>
    </row>
    <row r="100" spans="1:39" s="284" customFormat="1" ht="18.75" customHeight="1">
      <c r="A100" s="1180" t="s">
        <v>131</v>
      </c>
      <c r="B100" s="729"/>
      <c r="C100" s="729"/>
      <c r="D100" s="729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40"/>
        <v>0</v>
      </c>
      <c r="AF100" s="381"/>
      <c r="AG100" s="408"/>
      <c r="AH100" s="409">
        <f t="shared" si="41"/>
        <v>0</v>
      </c>
      <c r="AI100" s="410"/>
      <c r="AJ100" s="411">
        <f t="shared" si="42"/>
        <v>0</v>
      </c>
      <c r="AK100" s="403"/>
      <c r="AL100" s="403"/>
      <c r="AM100" s="403"/>
    </row>
    <row r="101" spans="1:39" s="282" customFormat="1" ht="20.25">
      <c r="A101" s="1180" t="s">
        <v>131</v>
      </c>
      <c r="B101" s="729"/>
      <c r="C101" s="729"/>
      <c r="D101" s="729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40"/>
        <v>0</v>
      </c>
      <c r="AF101" s="381"/>
      <c r="AG101" s="408"/>
      <c r="AH101" s="409">
        <f t="shared" si="41"/>
        <v>0</v>
      </c>
      <c r="AI101" s="410"/>
      <c r="AJ101" s="411">
        <f t="shared" si="42"/>
        <v>0</v>
      </c>
    </row>
    <row r="102" spans="1:39" s="283" customFormat="1" ht="20.25">
      <c r="A102" s="726" t="s">
        <v>131</v>
      </c>
      <c r="B102" s="729"/>
      <c r="C102" s="730"/>
      <c r="D102" s="318"/>
      <c r="E102" s="319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40"/>
        <v>0</v>
      </c>
      <c r="AF102" s="381"/>
      <c r="AG102" s="408"/>
      <c r="AH102" s="409">
        <f t="shared" si="41"/>
        <v>0</v>
      </c>
      <c r="AI102" s="410"/>
      <c r="AJ102" s="411">
        <f t="shared" si="42"/>
        <v>0</v>
      </c>
    </row>
    <row r="103" spans="1:39" s="283" customFormat="1" ht="21" thickBot="1">
      <c r="A103" s="2563"/>
      <c r="B103" s="2564"/>
      <c r="C103" s="732"/>
      <c r="D103" s="324"/>
      <c r="E103" s="325"/>
      <c r="F103" s="297"/>
      <c r="G103" s="297"/>
      <c r="H103" s="298"/>
      <c r="I103" s="298"/>
      <c r="J103" s="297"/>
      <c r="K103" s="344"/>
      <c r="L103" s="355"/>
      <c r="M103" s="343"/>
      <c r="N103" s="298"/>
      <c r="O103" s="298"/>
      <c r="P103" s="298"/>
      <c r="Q103" s="298"/>
      <c r="R103" s="298"/>
      <c r="S103" s="298"/>
      <c r="T103" s="367"/>
      <c r="U103" s="355"/>
      <c r="V103" s="325"/>
      <c r="W103" s="297"/>
      <c r="X103" s="297"/>
      <c r="Y103" s="298"/>
      <c r="Z103" s="298"/>
      <c r="AA103" s="298"/>
      <c r="AB103" s="297"/>
      <c r="AC103" s="375"/>
      <c r="AD103" s="355"/>
      <c r="AE103" s="376">
        <f t="shared" si="40"/>
        <v>0</v>
      </c>
      <c r="AF103" s="377"/>
      <c r="AG103" s="390"/>
      <c r="AH103" s="391">
        <f t="shared" si="41"/>
        <v>0</v>
      </c>
      <c r="AI103" s="412"/>
      <c r="AJ103" s="413">
        <f t="shared" si="42"/>
        <v>0</v>
      </c>
    </row>
    <row r="104" spans="1:39" s="283" customFormat="1" ht="19.5" thickBot="1">
      <c r="A104" s="326" t="s">
        <v>216</v>
      </c>
      <c r="B104" s="327"/>
      <c r="C104" s="327"/>
      <c r="D104" s="328"/>
      <c r="E104" s="329">
        <f t="shared" ref="E104:AJ104" si="43">SUM(E92:E103)</f>
        <v>0</v>
      </c>
      <c r="F104" s="329">
        <f t="shared" si="43"/>
        <v>0</v>
      </c>
      <c r="G104" s="329">
        <f t="shared" si="43"/>
        <v>0</v>
      </c>
      <c r="H104" s="329">
        <f t="shared" si="43"/>
        <v>0</v>
      </c>
      <c r="I104" s="329">
        <f t="shared" si="43"/>
        <v>0</v>
      </c>
      <c r="J104" s="329">
        <f t="shared" si="43"/>
        <v>0</v>
      </c>
      <c r="K104" s="329">
        <f t="shared" si="43"/>
        <v>0</v>
      </c>
      <c r="L104" s="329">
        <f t="shared" si="43"/>
        <v>0</v>
      </c>
      <c r="M104" s="329">
        <f t="shared" si="43"/>
        <v>0</v>
      </c>
      <c r="N104" s="329">
        <f t="shared" si="43"/>
        <v>0</v>
      </c>
      <c r="O104" s="329">
        <f t="shared" si="43"/>
        <v>0</v>
      </c>
      <c r="P104" s="329">
        <f t="shared" si="43"/>
        <v>0</v>
      </c>
      <c r="Q104" s="329">
        <f t="shared" si="43"/>
        <v>0</v>
      </c>
      <c r="R104" s="329">
        <f t="shared" si="43"/>
        <v>0</v>
      </c>
      <c r="S104" s="329">
        <f t="shared" si="43"/>
        <v>0</v>
      </c>
      <c r="T104" s="329">
        <f t="shared" si="43"/>
        <v>0</v>
      </c>
      <c r="U104" s="329">
        <f t="shared" si="43"/>
        <v>0</v>
      </c>
      <c r="V104" s="329">
        <f t="shared" si="43"/>
        <v>0</v>
      </c>
      <c r="W104" s="329">
        <f t="shared" si="43"/>
        <v>0</v>
      </c>
      <c r="X104" s="329">
        <f t="shared" si="43"/>
        <v>0</v>
      </c>
      <c r="Y104" s="329">
        <f t="shared" si="43"/>
        <v>0</v>
      </c>
      <c r="Z104" s="329">
        <f t="shared" si="43"/>
        <v>0</v>
      </c>
      <c r="AA104" s="329">
        <f t="shared" si="43"/>
        <v>0</v>
      </c>
      <c r="AB104" s="329">
        <f t="shared" si="43"/>
        <v>0</v>
      </c>
      <c r="AC104" s="329">
        <f t="shared" si="43"/>
        <v>0</v>
      </c>
      <c r="AD104" s="329">
        <f t="shared" si="43"/>
        <v>0</v>
      </c>
      <c r="AE104" s="329">
        <f t="shared" si="43"/>
        <v>0</v>
      </c>
      <c r="AF104" s="329">
        <f t="shared" si="43"/>
        <v>0</v>
      </c>
      <c r="AG104" s="329">
        <f t="shared" si="43"/>
        <v>0</v>
      </c>
      <c r="AH104" s="329">
        <f t="shared" si="43"/>
        <v>0</v>
      </c>
      <c r="AI104" s="329">
        <f t="shared" si="43"/>
        <v>0</v>
      </c>
      <c r="AJ104" s="329">
        <f t="shared" si="43"/>
        <v>0</v>
      </c>
    </row>
    <row r="105" spans="1:39" s="283" customFormat="1">
      <c r="A105"/>
      <c r="B105" s="276"/>
      <c r="C105" s="276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9" s="283" customFormat="1" ht="19.5" thickBot="1">
      <c r="A106" s="425"/>
      <c r="B106" s="426"/>
      <c r="C106" s="426"/>
      <c r="D106" s="427"/>
      <c r="E106" s="428"/>
      <c r="F106" s="428"/>
      <c r="G106" s="428"/>
      <c r="H106" s="428"/>
      <c r="I106" s="428"/>
      <c r="J106" s="428"/>
      <c r="K106" s="428"/>
      <c r="L106" s="478"/>
      <c r="M106" s="479"/>
      <c r="N106" s="479"/>
      <c r="O106" s="479"/>
      <c r="P106" s="479"/>
      <c r="Q106" s="479"/>
      <c r="R106" s="479"/>
      <c r="S106" s="479"/>
      <c r="T106" s="479"/>
      <c r="U106" s="478"/>
      <c r="V106" s="479"/>
      <c r="W106" s="479"/>
      <c r="X106" s="479"/>
      <c r="Y106" s="479"/>
      <c r="Z106" s="479"/>
      <c r="AA106" s="479"/>
      <c r="AB106" s="479"/>
      <c r="AC106" s="479"/>
      <c r="AD106" s="478"/>
      <c r="AE106" s="479"/>
      <c r="AF106" s="479"/>
      <c r="AG106" s="479"/>
      <c r="AH106" s="479"/>
      <c r="AI106" s="479"/>
      <c r="AJ106" s="506"/>
    </row>
    <row r="107" spans="1:39" s="283" customFormat="1" ht="16.5" thickBot="1">
      <c r="A107" s="2587" t="s">
        <v>179</v>
      </c>
      <c r="B107" s="288" t="s">
        <v>68</v>
      </c>
      <c r="C107" s="722" t="s">
        <v>69</v>
      </c>
      <c r="D107" s="288" t="s">
        <v>70</v>
      </c>
      <c r="E107" s="80" t="s">
        <v>190</v>
      </c>
      <c r="F107" s="49" t="s">
        <v>94</v>
      </c>
      <c r="G107" s="49" t="s">
        <v>53</v>
      </c>
      <c r="H107" s="49" t="s">
        <v>136</v>
      </c>
      <c r="I107" s="49" t="s">
        <v>76</v>
      </c>
      <c r="J107" s="49" t="s">
        <v>206</v>
      </c>
      <c r="K107" s="126" t="s">
        <v>272</v>
      </c>
      <c r="L107" s="79"/>
      <c r="M107" s="80" t="s">
        <v>222</v>
      </c>
      <c r="N107" s="49" t="s">
        <v>92</v>
      </c>
      <c r="O107" s="49" t="s">
        <v>251</v>
      </c>
      <c r="P107" s="49" t="s">
        <v>53</v>
      </c>
      <c r="Q107" s="49" t="s">
        <v>94</v>
      </c>
      <c r="R107" s="49" t="s">
        <v>206</v>
      </c>
      <c r="S107" s="126" t="s">
        <v>101</v>
      </c>
      <c r="T107" s="171" t="s">
        <v>497</v>
      </c>
      <c r="U107" s="79"/>
      <c r="V107" s="172" t="s">
        <v>497</v>
      </c>
      <c r="W107" s="103" t="s">
        <v>97</v>
      </c>
      <c r="X107" s="103" t="s">
        <v>124</v>
      </c>
      <c r="Y107" s="103" t="s">
        <v>206</v>
      </c>
      <c r="Z107" s="103" t="s">
        <v>269</v>
      </c>
      <c r="AA107" s="103" t="s">
        <v>96</v>
      </c>
      <c r="AB107" s="179" t="s">
        <v>92</v>
      </c>
      <c r="AC107" s="180" t="s">
        <v>101</v>
      </c>
      <c r="AD107" s="79"/>
      <c r="AE107" s="371" t="s">
        <v>172</v>
      </c>
      <c r="AF107" s="372" t="s">
        <v>80</v>
      </c>
      <c r="AG107" s="385"/>
      <c r="AH107" s="386" t="s">
        <v>106</v>
      </c>
      <c r="AI107" s="385" t="s">
        <v>173</v>
      </c>
      <c r="AJ107" s="371" t="s">
        <v>108</v>
      </c>
    </row>
    <row r="108" spans="1:39" s="284" customFormat="1" ht="8.25" customHeight="1">
      <c r="A108" s="294"/>
      <c r="B108" s="2622"/>
      <c r="C108" s="2620"/>
      <c r="D108" s="432"/>
      <c r="E108" s="433"/>
      <c r="F108" s="434"/>
      <c r="G108" s="434"/>
      <c r="H108" s="435"/>
      <c r="I108" s="435"/>
      <c r="J108" s="434"/>
      <c r="K108" s="480"/>
      <c r="L108" s="355"/>
      <c r="M108" s="343"/>
      <c r="N108" s="298"/>
      <c r="O108" s="298"/>
      <c r="P108" s="298"/>
      <c r="Q108" s="298"/>
      <c r="R108" s="298"/>
      <c r="S108" s="298"/>
      <c r="T108" s="367"/>
      <c r="U108" s="355"/>
      <c r="V108" s="325"/>
      <c r="W108" s="297"/>
      <c r="X108" s="297"/>
      <c r="Y108" s="298"/>
      <c r="Z108" s="298"/>
      <c r="AA108" s="298"/>
      <c r="AB108" s="297"/>
      <c r="AC108" s="375"/>
      <c r="AD108" s="355"/>
      <c r="AE108" s="377">
        <f t="shared" ref="AE108:AE112" si="44">SUM(E108:AC108)</f>
        <v>0</v>
      </c>
      <c r="AF108" s="377"/>
      <c r="AG108" s="390"/>
      <c r="AH108" s="507">
        <f t="shared" ref="AH108:AH112" si="45">AE108+AF108</f>
        <v>0</v>
      </c>
      <c r="AI108" s="412"/>
      <c r="AJ108" s="508">
        <f t="shared" ref="AJ108:AJ112" si="46">AH108+AI108</f>
        <v>0</v>
      </c>
      <c r="AK108" s="403"/>
      <c r="AL108" s="403"/>
      <c r="AM108" s="403"/>
    </row>
    <row r="109" spans="1:39" s="282" customFormat="1" ht="20.25">
      <c r="A109" s="2582"/>
      <c r="B109" s="731"/>
      <c r="C109" s="732"/>
      <c r="D109" s="324"/>
      <c r="E109" s="325"/>
      <c r="F109" s="297"/>
      <c r="G109" s="297"/>
      <c r="H109" s="298"/>
      <c r="I109" s="298"/>
      <c r="J109" s="297"/>
      <c r="K109" s="344"/>
      <c r="L109" s="355"/>
      <c r="M109" s="343"/>
      <c r="N109" s="298"/>
      <c r="O109" s="298"/>
      <c r="P109" s="298"/>
      <c r="Q109" s="298"/>
      <c r="R109" s="298"/>
      <c r="S109" s="298"/>
      <c r="T109" s="367"/>
      <c r="U109" s="355"/>
      <c r="V109" s="325"/>
      <c r="W109" s="297"/>
      <c r="X109" s="297"/>
      <c r="Y109" s="298"/>
      <c r="Z109" s="298"/>
      <c r="AA109" s="298"/>
      <c r="AB109" s="297"/>
      <c r="AC109" s="375"/>
      <c r="AD109" s="355"/>
      <c r="AE109" s="377">
        <f t="shared" si="44"/>
        <v>0</v>
      </c>
      <c r="AF109" s="377"/>
      <c r="AG109" s="390"/>
      <c r="AH109" s="507">
        <f t="shared" si="45"/>
        <v>0</v>
      </c>
      <c r="AI109" s="412"/>
      <c r="AJ109" s="508">
        <f t="shared" si="46"/>
        <v>0</v>
      </c>
    </row>
    <row r="110" spans="1:39" s="283" customFormat="1" ht="20.25">
      <c r="A110" s="2582"/>
      <c r="B110" s="731"/>
      <c r="C110" s="732"/>
      <c r="D110" s="324"/>
      <c r="E110" s="325"/>
      <c r="F110" s="297"/>
      <c r="G110" s="297"/>
      <c r="H110" s="298"/>
      <c r="I110" s="298"/>
      <c r="J110" s="297"/>
      <c r="K110" s="344"/>
      <c r="L110" s="355"/>
      <c r="M110" s="343"/>
      <c r="N110" s="298"/>
      <c r="O110" s="298"/>
      <c r="P110" s="298"/>
      <c r="Q110" s="298"/>
      <c r="R110" s="298"/>
      <c r="S110" s="298"/>
      <c r="T110" s="367"/>
      <c r="U110" s="355"/>
      <c r="V110" s="325"/>
      <c r="W110" s="297"/>
      <c r="X110" s="297"/>
      <c r="Y110" s="298"/>
      <c r="Z110" s="298"/>
      <c r="AA110" s="298"/>
      <c r="AB110" s="297"/>
      <c r="AC110" s="375"/>
      <c r="AD110" s="355"/>
      <c r="AE110" s="377">
        <f t="shared" si="44"/>
        <v>0</v>
      </c>
      <c r="AF110" s="377"/>
      <c r="AG110" s="390"/>
      <c r="AH110" s="507">
        <f t="shared" si="45"/>
        <v>0</v>
      </c>
      <c r="AI110" s="412"/>
      <c r="AJ110" s="508">
        <f t="shared" si="46"/>
        <v>0</v>
      </c>
    </row>
    <row r="111" spans="1:39" s="283" customFormat="1" ht="20.25">
      <c r="A111" s="2582"/>
      <c r="B111" s="731"/>
      <c r="C111" s="732"/>
      <c r="D111" s="324"/>
      <c r="E111" s="325"/>
      <c r="F111" s="297"/>
      <c r="G111" s="297"/>
      <c r="H111" s="298"/>
      <c r="I111" s="298"/>
      <c r="J111" s="297"/>
      <c r="K111" s="344"/>
      <c r="L111" s="355"/>
      <c r="M111" s="343"/>
      <c r="N111" s="298"/>
      <c r="O111" s="298"/>
      <c r="P111" s="298"/>
      <c r="Q111" s="298"/>
      <c r="R111" s="298"/>
      <c r="S111" s="298"/>
      <c r="T111" s="367"/>
      <c r="U111" s="355"/>
      <c r="V111" s="325"/>
      <c r="W111" s="297"/>
      <c r="X111" s="297"/>
      <c r="Y111" s="298"/>
      <c r="Z111" s="298"/>
      <c r="AA111" s="298"/>
      <c r="AB111" s="297"/>
      <c r="AC111" s="375"/>
      <c r="AD111" s="355"/>
      <c r="AE111" s="377">
        <f t="shared" si="44"/>
        <v>0</v>
      </c>
      <c r="AF111" s="377"/>
      <c r="AG111" s="390"/>
      <c r="AH111" s="507">
        <f t="shared" si="45"/>
        <v>0</v>
      </c>
      <c r="AI111" s="412"/>
      <c r="AJ111" s="508">
        <f t="shared" si="46"/>
        <v>0</v>
      </c>
    </row>
    <row r="112" spans="1:39" s="283" customFormat="1" ht="21" thickBot="1">
      <c r="A112" s="2582"/>
      <c r="B112" s="731"/>
      <c r="C112" s="732"/>
      <c r="D112" s="324"/>
      <c r="E112" s="325"/>
      <c r="F112" s="297"/>
      <c r="G112" s="297"/>
      <c r="H112" s="298"/>
      <c r="I112" s="298"/>
      <c r="J112" s="297"/>
      <c r="K112" s="344"/>
      <c r="L112" s="355"/>
      <c r="M112" s="343"/>
      <c r="N112" s="298"/>
      <c r="O112" s="298"/>
      <c r="P112" s="298"/>
      <c r="Q112" s="298"/>
      <c r="R112" s="298"/>
      <c r="S112" s="298"/>
      <c r="T112" s="367"/>
      <c r="U112" s="355"/>
      <c r="V112" s="325"/>
      <c r="W112" s="297"/>
      <c r="X112" s="297"/>
      <c r="Y112" s="298"/>
      <c r="Z112" s="298"/>
      <c r="AA112" s="298"/>
      <c r="AB112" s="297"/>
      <c r="AC112" s="375"/>
      <c r="AD112" s="355"/>
      <c r="AE112" s="377">
        <f t="shared" si="44"/>
        <v>0</v>
      </c>
      <c r="AF112" s="377"/>
      <c r="AG112" s="390"/>
      <c r="AH112" s="507">
        <f t="shared" si="45"/>
        <v>0</v>
      </c>
      <c r="AI112" s="412"/>
      <c r="AJ112" s="508">
        <f t="shared" si="46"/>
        <v>0</v>
      </c>
    </row>
    <row r="113" spans="1:39" s="283" customFormat="1" ht="21" thickBot="1">
      <c r="A113" s="2619"/>
      <c r="B113" s="2623"/>
      <c r="C113" s="2621"/>
      <c r="D113" s="438"/>
      <c r="E113" s="439">
        <f t="shared" ref="E113:K113" si="47">SUM(E108:E112)</f>
        <v>0</v>
      </c>
      <c r="F113" s="440">
        <f t="shared" si="47"/>
        <v>0</v>
      </c>
      <c r="G113" s="440">
        <f t="shared" si="47"/>
        <v>0</v>
      </c>
      <c r="H113" s="440">
        <f t="shared" si="47"/>
        <v>0</v>
      </c>
      <c r="I113" s="440">
        <f t="shared" si="47"/>
        <v>0</v>
      </c>
      <c r="J113" s="440">
        <f t="shared" si="47"/>
        <v>0</v>
      </c>
      <c r="K113" s="481">
        <f t="shared" si="47"/>
        <v>0</v>
      </c>
      <c r="L113" s="482"/>
      <c r="M113" s="439">
        <f t="shared" ref="M113:T113" si="48">SUM(M108:M112)</f>
        <v>0</v>
      </c>
      <c r="N113" s="440">
        <f t="shared" si="48"/>
        <v>0</v>
      </c>
      <c r="O113" s="440">
        <f t="shared" si="48"/>
        <v>0</v>
      </c>
      <c r="P113" s="440">
        <f t="shared" si="48"/>
        <v>0</v>
      </c>
      <c r="Q113" s="440">
        <f t="shared" si="48"/>
        <v>0</v>
      </c>
      <c r="R113" s="440">
        <f t="shared" si="48"/>
        <v>0</v>
      </c>
      <c r="S113" s="440">
        <f t="shared" si="48"/>
        <v>0</v>
      </c>
      <c r="T113" s="481">
        <f t="shared" si="48"/>
        <v>0</v>
      </c>
      <c r="U113" s="482"/>
      <c r="V113" s="439">
        <f t="shared" ref="V113:AC113" si="49">SUM(V108:V112)</f>
        <v>0</v>
      </c>
      <c r="W113" s="440">
        <f t="shared" si="49"/>
        <v>0</v>
      </c>
      <c r="X113" s="440">
        <f t="shared" si="49"/>
        <v>0</v>
      </c>
      <c r="Y113" s="440">
        <f t="shared" si="49"/>
        <v>0</v>
      </c>
      <c r="Z113" s="440">
        <f t="shared" si="49"/>
        <v>0</v>
      </c>
      <c r="AA113" s="440">
        <f t="shared" si="49"/>
        <v>0</v>
      </c>
      <c r="AB113" s="440">
        <f t="shared" si="49"/>
        <v>0</v>
      </c>
      <c r="AC113" s="481">
        <f t="shared" si="49"/>
        <v>0</v>
      </c>
      <c r="AD113" s="482"/>
      <c r="AE113" s="494">
        <f t="shared" ref="AE113:AJ113" si="50">SUM(AE108:AE112)</f>
        <v>0</v>
      </c>
      <c r="AF113" s="494">
        <f t="shared" si="50"/>
        <v>0</v>
      </c>
      <c r="AG113" s="494">
        <f t="shared" si="50"/>
        <v>0</v>
      </c>
      <c r="AH113" s="509">
        <f t="shared" si="50"/>
        <v>0</v>
      </c>
      <c r="AI113" s="494">
        <f t="shared" si="50"/>
        <v>0</v>
      </c>
      <c r="AJ113" s="509">
        <f t="shared" si="50"/>
        <v>0</v>
      </c>
    </row>
    <row r="114" spans="1:39" s="283" customFormat="1" ht="19.5" thickBot="1">
      <c r="A114" s="425"/>
      <c r="B114" s="426"/>
      <c r="C114" s="426"/>
      <c r="D114" s="427"/>
      <c r="E114" s="428"/>
      <c r="F114" s="428"/>
      <c r="G114" s="428"/>
      <c r="H114" s="428"/>
      <c r="I114" s="428"/>
      <c r="J114" s="428"/>
      <c r="K114" s="428"/>
      <c r="L114" s="478"/>
      <c r="M114" s="479"/>
      <c r="N114" s="479"/>
      <c r="O114" s="479"/>
      <c r="P114" s="479"/>
      <c r="Q114" s="479"/>
      <c r="R114" s="479"/>
      <c r="S114" s="479"/>
      <c r="T114" s="479"/>
      <c r="U114" s="478"/>
      <c r="V114" s="479"/>
      <c r="W114" s="479"/>
      <c r="X114" s="479"/>
      <c r="Y114" s="479"/>
      <c r="Z114" s="479"/>
      <c r="AA114" s="479"/>
      <c r="AB114" s="479"/>
      <c r="AC114" s="479"/>
      <c r="AD114" s="478"/>
      <c r="AE114" s="479"/>
      <c r="AF114" s="479"/>
      <c r="AG114" s="479"/>
      <c r="AH114" s="479"/>
      <c r="AI114" s="479"/>
      <c r="AJ114" s="506"/>
    </row>
    <row r="115" spans="1:39" s="284" customFormat="1" ht="8.25" customHeight="1" thickBot="1">
      <c r="A115" s="441" t="s">
        <v>135</v>
      </c>
      <c r="B115" s="288" t="s">
        <v>68</v>
      </c>
      <c r="C115" s="722" t="s">
        <v>69</v>
      </c>
      <c r="D115" s="288" t="s">
        <v>70</v>
      </c>
      <c r="E115" s="80" t="s">
        <v>190</v>
      </c>
      <c r="F115" s="49" t="s">
        <v>94</v>
      </c>
      <c r="G115" s="49" t="s">
        <v>53</v>
      </c>
      <c r="H115" s="49" t="s">
        <v>136</v>
      </c>
      <c r="I115" s="49" t="s">
        <v>76</v>
      </c>
      <c r="J115" s="49" t="s">
        <v>206</v>
      </c>
      <c r="K115" s="126" t="s">
        <v>272</v>
      </c>
      <c r="L115" s="79"/>
      <c r="M115" s="80" t="s">
        <v>222</v>
      </c>
      <c r="N115" s="49" t="s">
        <v>92</v>
      </c>
      <c r="O115" s="49" t="s">
        <v>251</v>
      </c>
      <c r="P115" s="49" t="s">
        <v>53</v>
      </c>
      <c r="Q115" s="49" t="s">
        <v>94</v>
      </c>
      <c r="R115" s="49" t="s">
        <v>206</v>
      </c>
      <c r="S115" s="126" t="s">
        <v>101</v>
      </c>
      <c r="T115" s="171" t="s">
        <v>497</v>
      </c>
      <c r="U115" s="79"/>
      <c r="V115" s="172" t="s">
        <v>497</v>
      </c>
      <c r="W115" s="103" t="s">
        <v>97</v>
      </c>
      <c r="X115" s="103" t="s">
        <v>124</v>
      </c>
      <c r="Y115" s="103" t="s">
        <v>206</v>
      </c>
      <c r="Z115" s="103" t="s">
        <v>269</v>
      </c>
      <c r="AA115" s="103" t="s">
        <v>96</v>
      </c>
      <c r="AB115" s="179" t="s">
        <v>92</v>
      </c>
      <c r="AC115" s="180" t="s">
        <v>101</v>
      </c>
      <c r="AD115" s="79"/>
      <c r="AE115" s="371" t="s">
        <v>172</v>
      </c>
      <c r="AF115" s="372" t="s">
        <v>80</v>
      </c>
      <c r="AG115" s="385"/>
      <c r="AH115" s="386" t="s">
        <v>106</v>
      </c>
      <c r="AI115" s="385" t="s">
        <v>173</v>
      </c>
      <c r="AJ115" s="371" t="s">
        <v>108</v>
      </c>
      <c r="AK115" s="403"/>
      <c r="AL115" s="403"/>
      <c r="AM115" s="403"/>
    </row>
    <row r="116" spans="1:39" s="282" customFormat="1" ht="20.25">
      <c r="A116" s="2624"/>
      <c r="B116" s="2566"/>
      <c r="C116" s="2626"/>
      <c r="D116" s="444"/>
      <c r="E116" s="433"/>
      <c r="F116" s="434"/>
      <c r="G116" s="434"/>
      <c r="H116" s="435"/>
      <c r="I116" s="435"/>
      <c r="J116" s="434"/>
      <c r="K116" s="480"/>
      <c r="L116" s="483"/>
      <c r="M116" s="484"/>
      <c r="N116" s="435"/>
      <c r="O116" s="435"/>
      <c r="P116" s="435"/>
      <c r="Q116" s="435"/>
      <c r="R116" s="435"/>
      <c r="S116" s="435"/>
      <c r="T116" s="492"/>
      <c r="U116" s="483"/>
      <c r="V116" s="433"/>
      <c r="W116" s="434"/>
      <c r="X116" s="434"/>
      <c r="Y116" s="435"/>
      <c r="Z116" s="435"/>
      <c r="AA116" s="435"/>
      <c r="AB116" s="434"/>
      <c r="AC116" s="495"/>
      <c r="AD116" s="483"/>
      <c r="AE116" s="496">
        <f t="shared" ref="AE116:AE119" si="51">SUM(E116:AC116)</f>
        <v>0</v>
      </c>
      <c r="AF116" s="497"/>
      <c r="AG116" s="510"/>
      <c r="AH116" s="511">
        <f t="shared" ref="AH116:AH119" si="52">AE116+AF116</f>
        <v>0</v>
      </c>
      <c r="AI116" s="512"/>
      <c r="AJ116" s="513">
        <f t="shared" ref="AJ116:AJ119" si="53">AH116+AI116</f>
        <v>0</v>
      </c>
    </row>
    <row r="117" spans="1:39" s="283" customFormat="1" ht="20.25">
      <c r="A117" s="2625"/>
      <c r="B117" s="731"/>
      <c r="C117" s="732"/>
      <c r="D117" s="324"/>
      <c r="E117" s="325"/>
      <c r="F117" s="297"/>
      <c r="G117" s="297"/>
      <c r="H117" s="298"/>
      <c r="I117" s="298"/>
      <c r="J117" s="297"/>
      <c r="K117" s="344"/>
      <c r="L117" s="355"/>
      <c r="M117" s="343"/>
      <c r="N117" s="298"/>
      <c r="O117" s="298"/>
      <c r="P117" s="298"/>
      <c r="Q117" s="298"/>
      <c r="R117" s="298"/>
      <c r="S117" s="298"/>
      <c r="T117" s="367"/>
      <c r="U117" s="355"/>
      <c r="V117" s="325"/>
      <c r="W117" s="297"/>
      <c r="X117" s="297"/>
      <c r="Y117" s="298"/>
      <c r="Z117" s="298"/>
      <c r="AA117" s="298"/>
      <c r="AB117" s="297"/>
      <c r="AC117" s="375"/>
      <c r="AD117" s="355"/>
      <c r="AE117" s="376">
        <f t="shared" si="51"/>
        <v>0</v>
      </c>
      <c r="AF117" s="377"/>
      <c r="AG117" s="390"/>
      <c r="AH117" s="391">
        <f t="shared" si="52"/>
        <v>0</v>
      </c>
      <c r="AI117" s="412"/>
      <c r="AJ117" s="413">
        <f t="shared" si="53"/>
        <v>0</v>
      </c>
    </row>
    <row r="118" spans="1:39" s="283" customFormat="1" ht="20.25">
      <c r="A118" s="2625"/>
      <c r="B118" s="731"/>
      <c r="C118" s="732"/>
      <c r="D118" s="324"/>
      <c r="E118" s="325"/>
      <c r="F118" s="297"/>
      <c r="G118" s="297"/>
      <c r="H118" s="298"/>
      <c r="I118" s="298"/>
      <c r="J118" s="297"/>
      <c r="K118" s="344"/>
      <c r="L118" s="355"/>
      <c r="M118" s="343"/>
      <c r="N118" s="298"/>
      <c r="O118" s="298"/>
      <c r="P118" s="298"/>
      <c r="Q118" s="298"/>
      <c r="R118" s="298"/>
      <c r="S118" s="298"/>
      <c r="T118" s="367"/>
      <c r="U118" s="355"/>
      <c r="V118" s="325"/>
      <c r="W118" s="297"/>
      <c r="X118" s="297"/>
      <c r="Y118" s="298"/>
      <c r="Z118" s="298"/>
      <c r="AA118" s="298"/>
      <c r="AB118" s="297"/>
      <c r="AC118" s="375"/>
      <c r="AD118" s="355"/>
      <c r="AE118" s="376">
        <f t="shared" si="51"/>
        <v>0</v>
      </c>
      <c r="AF118" s="377"/>
      <c r="AG118" s="390"/>
      <c r="AH118" s="391">
        <f t="shared" si="52"/>
        <v>0</v>
      </c>
      <c r="AI118" s="412"/>
      <c r="AJ118" s="413">
        <f t="shared" si="53"/>
        <v>0</v>
      </c>
    </row>
    <row r="119" spans="1:39" s="283" customFormat="1" ht="21" thickBot="1">
      <c r="A119" s="2582"/>
      <c r="B119" s="731"/>
      <c r="C119" s="732"/>
      <c r="D119" s="324"/>
      <c r="E119" s="325"/>
      <c r="F119" s="297"/>
      <c r="G119" s="297"/>
      <c r="H119" s="298"/>
      <c r="I119" s="298"/>
      <c r="J119" s="297"/>
      <c r="K119" s="344"/>
      <c r="L119" s="355"/>
      <c r="M119" s="343"/>
      <c r="N119" s="298"/>
      <c r="O119" s="298"/>
      <c r="P119" s="298"/>
      <c r="Q119" s="298"/>
      <c r="R119" s="298"/>
      <c r="S119" s="298"/>
      <c r="T119" s="367"/>
      <c r="U119" s="355"/>
      <c r="V119" s="325"/>
      <c r="W119" s="297"/>
      <c r="X119" s="297"/>
      <c r="Y119" s="298"/>
      <c r="Z119" s="298"/>
      <c r="AA119" s="298"/>
      <c r="AB119" s="297"/>
      <c r="AC119" s="375"/>
      <c r="AD119" s="355"/>
      <c r="AE119" s="377">
        <f t="shared" si="51"/>
        <v>0</v>
      </c>
      <c r="AF119" s="377"/>
      <c r="AG119" s="390"/>
      <c r="AH119" s="507">
        <f t="shared" si="52"/>
        <v>0</v>
      </c>
      <c r="AI119" s="412"/>
      <c r="AJ119" s="508">
        <f t="shared" si="53"/>
        <v>0</v>
      </c>
    </row>
    <row r="120" spans="1:39" s="283" customFormat="1" ht="21" thickBot="1">
      <c r="A120" s="2619"/>
      <c r="B120" s="2623"/>
      <c r="C120" s="2621"/>
      <c r="D120" s="438"/>
      <c r="E120" s="439">
        <f t="shared" ref="E120:K120" si="54">SUM(E117:E119)</f>
        <v>0</v>
      </c>
      <c r="F120" s="440">
        <f t="shared" si="54"/>
        <v>0</v>
      </c>
      <c r="G120" s="440">
        <f t="shared" si="54"/>
        <v>0</v>
      </c>
      <c r="H120" s="440">
        <f t="shared" si="54"/>
        <v>0</v>
      </c>
      <c r="I120" s="440">
        <f t="shared" si="54"/>
        <v>0</v>
      </c>
      <c r="J120" s="440">
        <f t="shared" si="54"/>
        <v>0</v>
      </c>
      <c r="K120" s="481">
        <f t="shared" si="54"/>
        <v>0</v>
      </c>
      <c r="L120" s="482"/>
      <c r="M120" s="439">
        <f t="shared" ref="M120:T120" si="55">SUM(M117:M119)</f>
        <v>0</v>
      </c>
      <c r="N120" s="440">
        <f t="shared" si="55"/>
        <v>0</v>
      </c>
      <c r="O120" s="440">
        <f t="shared" si="55"/>
        <v>0</v>
      </c>
      <c r="P120" s="440">
        <f t="shared" si="55"/>
        <v>0</v>
      </c>
      <c r="Q120" s="440">
        <f t="shared" si="55"/>
        <v>0</v>
      </c>
      <c r="R120" s="440">
        <f t="shared" si="55"/>
        <v>0</v>
      </c>
      <c r="S120" s="440">
        <f t="shared" si="55"/>
        <v>0</v>
      </c>
      <c r="T120" s="481">
        <f t="shared" si="55"/>
        <v>0</v>
      </c>
      <c r="U120" s="482"/>
      <c r="V120" s="439">
        <f t="shared" ref="V120:AC120" si="56">SUM(V117:V119)</f>
        <v>0</v>
      </c>
      <c r="W120" s="440">
        <f t="shared" si="56"/>
        <v>0</v>
      </c>
      <c r="X120" s="440">
        <f t="shared" si="56"/>
        <v>0</v>
      </c>
      <c r="Y120" s="440">
        <f t="shared" si="56"/>
        <v>0</v>
      </c>
      <c r="Z120" s="440">
        <f t="shared" si="56"/>
        <v>0</v>
      </c>
      <c r="AA120" s="440">
        <f t="shared" si="56"/>
        <v>0</v>
      </c>
      <c r="AB120" s="440">
        <f t="shared" si="56"/>
        <v>0</v>
      </c>
      <c r="AC120" s="481">
        <f t="shared" si="56"/>
        <v>0</v>
      </c>
      <c r="AD120" s="482"/>
      <c r="AE120" s="494">
        <f t="shared" ref="AE120:AJ120" si="57">SUM(AE116:AE119)</f>
        <v>0</v>
      </c>
      <c r="AF120" s="494">
        <f t="shared" si="57"/>
        <v>0</v>
      </c>
      <c r="AG120" s="509"/>
      <c r="AH120" s="514">
        <f t="shared" si="57"/>
        <v>0</v>
      </c>
      <c r="AI120" s="494">
        <f t="shared" si="57"/>
        <v>0</v>
      </c>
      <c r="AJ120" s="515">
        <f t="shared" si="57"/>
        <v>0</v>
      </c>
    </row>
    <row r="121" spans="1:39" s="283" customFormat="1" ht="19.5" thickBot="1">
      <c r="A121" s="425"/>
      <c r="B121" s="426"/>
      <c r="C121" s="426"/>
      <c r="D121" s="427"/>
      <c r="E121" s="428"/>
      <c r="F121" s="428"/>
      <c r="G121" s="428"/>
      <c r="H121" s="428"/>
      <c r="I121" s="428"/>
      <c r="J121" s="428"/>
      <c r="K121" s="428"/>
      <c r="L121" s="478"/>
      <c r="M121" s="479"/>
      <c r="N121" s="479"/>
      <c r="O121" s="479"/>
      <c r="P121" s="479"/>
      <c r="Q121" s="479"/>
      <c r="R121" s="479"/>
      <c r="S121" s="479"/>
      <c r="T121" s="479"/>
      <c r="U121" s="478"/>
      <c r="V121" s="479"/>
      <c r="W121" s="479"/>
      <c r="X121" s="479"/>
      <c r="Y121" s="479"/>
      <c r="Z121" s="479"/>
      <c r="AA121" s="479"/>
      <c r="AB121" s="479"/>
      <c r="AC121" s="479"/>
      <c r="AD121" s="478"/>
      <c r="AE121" s="479"/>
      <c r="AF121" s="479"/>
      <c r="AG121" s="479"/>
      <c r="AH121" s="479"/>
      <c r="AI121" s="479"/>
      <c r="AJ121" s="506"/>
    </row>
    <row r="122" spans="1:39" s="283" customFormat="1" ht="16.5" thickBot="1">
      <c r="A122" s="446" t="s">
        <v>140</v>
      </c>
      <c r="B122" s="288" t="s">
        <v>68</v>
      </c>
      <c r="C122" s="2630" t="s">
        <v>69</v>
      </c>
      <c r="D122" s="448" t="s">
        <v>70</v>
      </c>
      <c r="E122" s="80" t="s">
        <v>190</v>
      </c>
      <c r="F122" s="49" t="s">
        <v>94</v>
      </c>
      <c r="G122" s="49" t="s">
        <v>53</v>
      </c>
      <c r="H122" s="49" t="s">
        <v>136</v>
      </c>
      <c r="I122" s="49" t="s">
        <v>76</v>
      </c>
      <c r="J122" s="49" t="s">
        <v>206</v>
      </c>
      <c r="K122" s="126" t="s">
        <v>272</v>
      </c>
      <c r="L122" s="79"/>
      <c r="M122" s="80" t="s">
        <v>222</v>
      </c>
      <c r="N122" s="49" t="s">
        <v>92</v>
      </c>
      <c r="O122" s="49" t="s">
        <v>251</v>
      </c>
      <c r="P122" s="49" t="s">
        <v>53</v>
      </c>
      <c r="Q122" s="49" t="s">
        <v>94</v>
      </c>
      <c r="R122" s="49" t="s">
        <v>206</v>
      </c>
      <c r="S122" s="126" t="s">
        <v>101</v>
      </c>
      <c r="T122" s="171" t="s">
        <v>497</v>
      </c>
      <c r="U122" s="79"/>
      <c r="V122" s="172" t="s">
        <v>497</v>
      </c>
      <c r="W122" s="103" t="s">
        <v>97</v>
      </c>
      <c r="X122" s="103" t="s">
        <v>124</v>
      </c>
      <c r="Y122" s="103" t="s">
        <v>206</v>
      </c>
      <c r="Z122" s="103" t="s">
        <v>269</v>
      </c>
      <c r="AA122" s="103" t="s">
        <v>96</v>
      </c>
      <c r="AB122" s="179" t="s">
        <v>92</v>
      </c>
      <c r="AC122" s="180" t="s">
        <v>101</v>
      </c>
      <c r="AD122" s="79"/>
      <c r="AE122" s="371" t="s">
        <v>172</v>
      </c>
      <c r="AF122" s="498" t="s">
        <v>80</v>
      </c>
      <c r="AG122" s="385"/>
      <c r="AH122" s="386" t="s">
        <v>106</v>
      </c>
      <c r="AI122" s="385" t="s">
        <v>173</v>
      </c>
      <c r="AJ122" s="371" t="s">
        <v>108</v>
      </c>
    </row>
    <row r="123" spans="1:39" s="283" customFormat="1" ht="20.25">
      <c r="A123" s="2627" t="s">
        <v>180</v>
      </c>
      <c r="B123" s="2633"/>
      <c r="C123" s="2631"/>
      <c r="D123" s="451"/>
      <c r="E123" s="452"/>
      <c r="F123" s="453"/>
      <c r="G123" s="453"/>
      <c r="H123" s="454"/>
      <c r="I123" s="454"/>
      <c r="J123" s="453"/>
      <c r="K123" s="485"/>
      <c r="L123" s="355"/>
      <c r="M123" s="343"/>
      <c r="N123" s="298"/>
      <c r="O123" s="298"/>
      <c r="P123" s="298"/>
      <c r="Q123" s="298"/>
      <c r="R123" s="435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ref="AE123:AE128" si="58">SUM(E123:AC123)</f>
        <v>0</v>
      </c>
      <c r="AF123" s="499"/>
      <c r="AG123" s="516"/>
      <c r="AH123" s="391">
        <f t="shared" ref="AH123:AH128" si="59">AE123+AF123</f>
        <v>0</v>
      </c>
      <c r="AI123" s="412"/>
      <c r="AJ123" s="413">
        <f t="shared" ref="AJ123:AJ128" si="60">AH123+AI123</f>
        <v>0</v>
      </c>
    </row>
    <row r="124" spans="1:39" s="284" customFormat="1" ht="8.25" customHeight="1">
      <c r="A124" s="2625"/>
      <c r="B124" s="2598"/>
      <c r="C124" s="2614"/>
      <c r="D124" s="456"/>
      <c r="E124" s="457"/>
      <c r="F124" s="458"/>
      <c r="G124" s="458"/>
      <c r="H124" s="459"/>
      <c r="I124" s="459"/>
      <c r="J124" s="458"/>
      <c r="K124" s="486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58"/>
        <v>0</v>
      </c>
      <c r="AF124" s="500"/>
      <c r="AG124" s="516"/>
      <c r="AH124" s="391">
        <f t="shared" si="59"/>
        <v>0</v>
      </c>
      <c r="AI124" s="412"/>
      <c r="AJ124" s="413">
        <f t="shared" si="60"/>
        <v>0</v>
      </c>
      <c r="AK124" s="403"/>
      <c r="AL124" s="403"/>
      <c r="AM124" s="403"/>
    </row>
    <row r="125" spans="1:39" s="282" customFormat="1" ht="20.25">
      <c r="A125" s="2624"/>
      <c r="B125" s="2598"/>
      <c r="C125" s="2614"/>
      <c r="D125" s="456"/>
      <c r="E125" s="457"/>
      <c r="F125" s="458"/>
      <c r="G125" s="458"/>
      <c r="H125" s="459"/>
      <c r="I125" s="459"/>
      <c r="J125" s="458"/>
      <c r="K125" s="486"/>
      <c r="L125" s="483"/>
      <c r="M125" s="484"/>
      <c r="N125" s="435"/>
      <c r="O125" s="435"/>
      <c r="P125" s="435"/>
      <c r="Q125" s="435"/>
      <c r="R125" s="435"/>
      <c r="S125" s="435"/>
      <c r="T125" s="492"/>
      <c r="U125" s="483"/>
      <c r="V125" s="433"/>
      <c r="W125" s="434"/>
      <c r="X125" s="434"/>
      <c r="Y125" s="435"/>
      <c r="Z125" s="435"/>
      <c r="AA125" s="435"/>
      <c r="AB125" s="434"/>
      <c r="AC125" s="495"/>
      <c r="AD125" s="483"/>
      <c r="AE125" s="496">
        <f t="shared" si="58"/>
        <v>0</v>
      </c>
      <c r="AF125" s="500"/>
      <c r="AG125" s="517"/>
      <c r="AH125" s="511">
        <f t="shared" si="59"/>
        <v>0</v>
      </c>
      <c r="AI125" s="512"/>
      <c r="AJ125" s="513">
        <f t="shared" si="60"/>
        <v>0</v>
      </c>
    </row>
    <row r="126" spans="1:39" s="283" customFormat="1" ht="20.25">
      <c r="A126" s="2625"/>
      <c r="B126" s="2598"/>
      <c r="C126" s="2614"/>
      <c r="D126" s="456"/>
      <c r="E126" s="457"/>
      <c r="F126" s="458"/>
      <c r="G126" s="458"/>
      <c r="H126" s="459"/>
      <c r="I126" s="459"/>
      <c r="J126" s="458"/>
      <c r="K126" s="486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/>
      <c r="X126" s="297"/>
      <c r="Y126" s="298"/>
      <c r="Z126" s="298"/>
      <c r="AA126" s="298"/>
      <c r="AB126" s="297"/>
      <c r="AC126" s="375"/>
      <c r="AD126" s="355"/>
      <c r="AE126" s="376">
        <f t="shared" si="58"/>
        <v>0</v>
      </c>
      <c r="AF126" s="500"/>
      <c r="AG126" s="516"/>
      <c r="AH126" s="391">
        <f t="shared" si="59"/>
        <v>0</v>
      </c>
      <c r="AI126" s="412"/>
      <c r="AJ126" s="413">
        <f t="shared" si="60"/>
        <v>0</v>
      </c>
    </row>
    <row r="127" spans="1:39" s="283" customFormat="1" ht="20.25">
      <c r="A127" s="2625"/>
      <c r="B127" s="2598"/>
      <c r="C127" s="2614"/>
      <c r="D127" s="456"/>
      <c r="E127" s="457"/>
      <c r="F127" s="458"/>
      <c r="G127" s="458"/>
      <c r="H127" s="459"/>
      <c r="I127" s="459"/>
      <c r="J127" s="458"/>
      <c r="K127" s="486"/>
      <c r="L127" s="355"/>
      <c r="M127" s="343"/>
      <c r="N127" s="298"/>
      <c r="O127" s="298"/>
      <c r="P127" s="298"/>
      <c r="Q127" s="298"/>
      <c r="R127" s="298"/>
      <c r="S127" s="298"/>
      <c r="T127" s="367"/>
      <c r="U127" s="355"/>
      <c r="V127" s="325"/>
      <c r="W127" s="297"/>
      <c r="X127" s="297"/>
      <c r="Y127" s="298"/>
      <c r="Z127" s="298"/>
      <c r="AA127" s="298"/>
      <c r="AB127" s="297"/>
      <c r="AC127" s="375"/>
      <c r="AD127" s="355"/>
      <c r="AE127" s="376">
        <f t="shared" si="58"/>
        <v>0</v>
      </c>
      <c r="AF127" s="500"/>
      <c r="AG127" s="516"/>
      <c r="AH127" s="391">
        <f t="shared" si="59"/>
        <v>0</v>
      </c>
      <c r="AI127" s="412"/>
      <c r="AJ127" s="413">
        <f t="shared" si="60"/>
        <v>0</v>
      </c>
    </row>
    <row r="128" spans="1:39" s="283" customFormat="1" ht="21" thickBot="1">
      <c r="A128" s="2628"/>
      <c r="B128" s="2564"/>
      <c r="C128" s="2632"/>
      <c r="D128" s="462"/>
      <c r="E128" s="463"/>
      <c r="F128" s="464"/>
      <c r="G128" s="464"/>
      <c r="H128" s="465"/>
      <c r="I128" s="465"/>
      <c r="J128" s="464"/>
      <c r="K128" s="487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7">
        <f t="shared" si="58"/>
        <v>0</v>
      </c>
      <c r="AF128" s="501"/>
      <c r="AG128" s="516"/>
      <c r="AH128" s="507">
        <f t="shared" si="59"/>
        <v>0</v>
      </c>
      <c r="AI128" s="412"/>
      <c r="AJ128" s="508">
        <f t="shared" si="60"/>
        <v>0</v>
      </c>
    </row>
    <row r="129" spans="1:39" s="283" customFormat="1" ht="21" thickBot="1">
      <c r="A129" s="2629"/>
      <c r="B129" s="2611"/>
      <c r="C129" s="2615"/>
      <c r="D129" s="468"/>
      <c r="E129" s="469">
        <f t="shared" ref="E129:K129" si="61">SUM(E125:E128)</f>
        <v>0</v>
      </c>
      <c r="F129" s="470">
        <f t="shared" si="61"/>
        <v>0</v>
      </c>
      <c r="G129" s="470">
        <f t="shared" si="61"/>
        <v>0</v>
      </c>
      <c r="H129" s="470">
        <f t="shared" si="61"/>
        <v>0</v>
      </c>
      <c r="I129" s="470">
        <f t="shared" si="61"/>
        <v>0</v>
      </c>
      <c r="J129" s="470">
        <f t="shared" si="61"/>
        <v>0</v>
      </c>
      <c r="K129" s="488">
        <f t="shared" si="61"/>
        <v>0</v>
      </c>
      <c r="L129" s="482"/>
      <c r="M129" s="439">
        <f t="shared" ref="M129:T129" si="62">SUM(M125:M128)</f>
        <v>0</v>
      </c>
      <c r="N129" s="440">
        <f t="shared" si="62"/>
        <v>0</v>
      </c>
      <c r="O129" s="440">
        <f t="shared" si="62"/>
        <v>0</v>
      </c>
      <c r="P129" s="440">
        <f t="shared" si="62"/>
        <v>0</v>
      </c>
      <c r="Q129" s="440">
        <f t="shared" si="62"/>
        <v>0</v>
      </c>
      <c r="R129" s="440">
        <f t="shared" si="62"/>
        <v>0</v>
      </c>
      <c r="S129" s="440">
        <f t="shared" si="62"/>
        <v>0</v>
      </c>
      <c r="T129" s="481">
        <f t="shared" si="62"/>
        <v>0</v>
      </c>
      <c r="U129" s="482"/>
      <c r="V129" s="439">
        <f t="shared" ref="V129:AC129" si="63">SUM(V125:V128)</f>
        <v>0</v>
      </c>
      <c r="W129" s="440">
        <f t="shared" si="63"/>
        <v>0</v>
      </c>
      <c r="X129" s="440">
        <f t="shared" si="63"/>
        <v>0</v>
      </c>
      <c r="Y129" s="440">
        <f t="shared" si="63"/>
        <v>0</v>
      </c>
      <c r="Z129" s="440">
        <f t="shared" si="63"/>
        <v>0</v>
      </c>
      <c r="AA129" s="440">
        <f t="shared" si="63"/>
        <v>0</v>
      </c>
      <c r="AB129" s="440">
        <f t="shared" si="63"/>
        <v>0</v>
      </c>
      <c r="AC129" s="481">
        <f t="shared" si="63"/>
        <v>0</v>
      </c>
      <c r="AD129" s="482"/>
      <c r="AE129" s="494">
        <f t="shared" ref="AE129:AJ129" si="64">SUM(AE123:AE128)</f>
        <v>0</v>
      </c>
      <c r="AF129" s="502">
        <f t="shared" si="64"/>
        <v>0</v>
      </c>
      <c r="AG129" s="509"/>
      <c r="AH129" s="514">
        <f t="shared" si="64"/>
        <v>0</v>
      </c>
      <c r="AI129" s="494">
        <f t="shared" si="64"/>
        <v>0</v>
      </c>
      <c r="AJ129" s="515">
        <f t="shared" si="64"/>
        <v>0</v>
      </c>
    </row>
    <row r="130" spans="1:39" s="283" customFormat="1" ht="19.5" thickBot="1">
      <c r="A130" s="425"/>
      <c r="B130" s="426"/>
      <c r="C130" s="426"/>
      <c r="D130" s="427"/>
      <c r="E130" s="428"/>
      <c r="F130" s="428"/>
      <c r="G130" s="428"/>
      <c r="H130" s="428"/>
      <c r="I130" s="428"/>
      <c r="J130" s="428"/>
      <c r="K130" s="428"/>
      <c r="L130" s="478"/>
      <c r="M130" s="479"/>
      <c r="N130" s="479"/>
      <c r="O130" s="479"/>
      <c r="P130" s="479"/>
      <c r="Q130" s="479"/>
      <c r="R130" s="479"/>
      <c r="S130" s="479"/>
      <c r="T130" s="479"/>
      <c r="U130" s="478"/>
      <c r="V130" s="479"/>
      <c r="W130" s="479"/>
      <c r="X130" s="479"/>
      <c r="Y130" s="479"/>
      <c r="Z130" s="479"/>
      <c r="AA130" s="479"/>
      <c r="AB130" s="479"/>
      <c r="AC130" s="479"/>
      <c r="AD130" s="478"/>
      <c r="AE130" s="479"/>
      <c r="AF130" s="479"/>
      <c r="AG130" s="479"/>
      <c r="AH130" s="479"/>
      <c r="AI130" s="479"/>
      <c r="AJ130" s="506"/>
    </row>
    <row r="131" spans="1:39" s="283" customFormat="1" ht="18.75" thickBot="1">
      <c r="A131" s="441" t="s">
        <v>143</v>
      </c>
      <c r="B131" s="287" t="s">
        <v>68</v>
      </c>
      <c r="C131" s="287" t="s">
        <v>69</v>
      </c>
      <c r="D131" s="288" t="s">
        <v>70</v>
      </c>
      <c r="E131" s="80" t="s">
        <v>190</v>
      </c>
      <c r="F131" s="49" t="s">
        <v>94</v>
      </c>
      <c r="G131" s="49" t="s">
        <v>53</v>
      </c>
      <c r="H131" s="49" t="s">
        <v>136</v>
      </c>
      <c r="I131" s="49" t="s">
        <v>76</v>
      </c>
      <c r="J131" s="49" t="s">
        <v>206</v>
      </c>
      <c r="K131" s="126" t="s">
        <v>272</v>
      </c>
      <c r="L131" s="370"/>
      <c r="M131" s="80" t="s">
        <v>222</v>
      </c>
      <c r="N131" s="49" t="s">
        <v>92</v>
      </c>
      <c r="O131" s="49" t="s">
        <v>251</v>
      </c>
      <c r="P131" s="49" t="s">
        <v>53</v>
      </c>
      <c r="Q131" s="49" t="s">
        <v>94</v>
      </c>
      <c r="R131" s="49" t="s">
        <v>206</v>
      </c>
      <c r="S131" s="126" t="s">
        <v>101</v>
      </c>
      <c r="T131" s="171" t="s">
        <v>497</v>
      </c>
      <c r="U131" s="370"/>
      <c r="V131" s="172" t="s">
        <v>497</v>
      </c>
      <c r="W131" s="103" t="s">
        <v>97</v>
      </c>
      <c r="X131" s="103" t="s">
        <v>124</v>
      </c>
      <c r="Y131" s="103" t="s">
        <v>206</v>
      </c>
      <c r="Z131" s="103" t="s">
        <v>269</v>
      </c>
      <c r="AA131" s="103" t="s">
        <v>96</v>
      </c>
      <c r="AB131" s="179" t="s">
        <v>92</v>
      </c>
      <c r="AC131" s="2640" t="s">
        <v>101</v>
      </c>
      <c r="AD131" s="370"/>
      <c r="AE131" s="2641" t="s">
        <v>172</v>
      </c>
      <c r="AF131" s="498" t="s">
        <v>80</v>
      </c>
      <c r="AG131" s="2642"/>
      <c r="AH131" s="2643" t="s">
        <v>106</v>
      </c>
      <c r="AI131" s="2642" t="s">
        <v>173</v>
      </c>
      <c r="AJ131" s="2641" t="s">
        <v>108</v>
      </c>
    </row>
    <row r="132" spans="1:39" s="284" customFormat="1" ht="8.25" customHeight="1" thickBot="1">
      <c r="A132" s="2635" t="s">
        <v>181</v>
      </c>
      <c r="B132" s="2636"/>
      <c r="C132" s="2637"/>
      <c r="D132" s="2638"/>
      <c r="E132" s="2570"/>
      <c r="F132" s="2571"/>
      <c r="G132" s="2571"/>
      <c r="H132" s="2572"/>
      <c r="I132" s="2572"/>
      <c r="J132" s="2571"/>
      <c r="K132" s="2644"/>
      <c r="L132" s="2573"/>
      <c r="M132" s="2574"/>
      <c r="N132" s="2572"/>
      <c r="O132" s="2572"/>
      <c r="P132" s="2572"/>
      <c r="Q132" s="2572"/>
      <c r="R132" s="2572"/>
      <c r="S132" s="2572"/>
      <c r="T132" s="2575"/>
      <c r="U132" s="2573"/>
      <c r="V132" s="2570"/>
      <c r="W132" s="2571"/>
      <c r="X132" s="2571"/>
      <c r="Y132" s="2572"/>
      <c r="Z132" s="2572"/>
      <c r="AA132" s="2572"/>
      <c r="AB132" s="2571"/>
      <c r="AC132" s="2576"/>
      <c r="AD132" s="2573"/>
      <c r="AE132" s="2577">
        <f t="shared" ref="AE132:AE136" si="65">SUM(E132:AC132)</f>
        <v>0</v>
      </c>
      <c r="AF132" s="2577"/>
      <c r="AG132" s="2578"/>
      <c r="AH132" s="2579">
        <f t="shared" ref="AH132:AH136" si="66">AE132+AF132</f>
        <v>0</v>
      </c>
      <c r="AI132" s="2580"/>
      <c r="AJ132" s="2581">
        <f t="shared" ref="AJ132:AJ136" si="67">AH132+AI132</f>
        <v>0</v>
      </c>
      <c r="AK132" s="403"/>
      <c r="AL132" s="403"/>
      <c r="AM132" s="403"/>
    </row>
    <row r="133" spans="1:39" ht="20.25">
      <c r="A133" s="2634" t="s">
        <v>182</v>
      </c>
      <c r="B133" s="2566"/>
      <c r="C133" s="2626"/>
      <c r="D133" s="444"/>
      <c r="E133" s="433"/>
      <c r="F133" s="434"/>
      <c r="G133" s="434"/>
      <c r="H133" s="435"/>
      <c r="I133" s="435"/>
      <c r="J133" s="434"/>
      <c r="K133" s="480"/>
      <c r="L133" s="483"/>
      <c r="M133" s="484"/>
      <c r="N133" s="435"/>
      <c r="O133" s="435"/>
      <c r="P133" s="435"/>
      <c r="Q133" s="435"/>
      <c r="R133" s="435"/>
      <c r="S133" s="435"/>
      <c r="T133" s="492"/>
      <c r="U133" s="483"/>
      <c r="V133" s="433"/>
      <c r="W133" s="434"/>
      <c r="X133" s="434"/>
      <c r="Y133" s="435"/>
      <c r="Z133" s="435"/>
      <c r="AA133" s="435"/>
      <c r="AB133" s="434"/>
      <c r="AC133" s="495"/>
      <c r="AD133" s="483"/>
      <c r="AE133" s="496">
        <f t="shared" si="65"/>
        <v>0</v>
      </c>
      <c r="AF133" s="497"/>
      <c r="AG133" s="510"/>
      <c r="AH133" s="511">
        <f t="shared" si="66"/>
        <v>0</v>
      </c>
      <c r="AI133" s="512"/>
      <c r="AJ133" s="513">
        <f t="shared" si="67"/>
        <v>0</v>
      </c>
    </row>
    <row r="134" spans="1:39" ht="20.25">
      <c r="A134" s="2625"/>
      <c r="B134" s="731"/>
      <c r="C134" s="732"/>
      <c r="D134" s="324"/>
      <c r="E134" s="325"/>
      <c r="F134" s="297"/>
      <c r="G134" s="297"/>
      <c r="H134" s="298"/>
      <c r="I134" s="298"/>
      <c r="J134" s="297"/>
      <c r="K134" s="344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65"/>
        <v>0</v>
      </c>
      <c r="AF134" s="377"/>
      <c r="AG134" s="390"/>
      <c r="AH134" s="391">
        <f t="shared" si="66"/>
        <v>0</v>
      </c>
      <c r="AI134" s="412"/>
      <c r="AJ134" s="413">
        <f t="shared" si="67"/>
        <v>0</v>
      </c>
    </row>
    <row r="135" spans="1:39" s="1" customFormat="1" ht="21" customHeight="1">
      <c r="A135" s="2625"/>
      <c r="B135" s="731"/>
      <c r="C135" s="732"/>
      <c r="D135" s="324"/>
      <c r="E135" s="325"/>
      <c r="F135" s="297"/>
      <c r="G135" s="297"/>
      <c r="H135" s="298"/>
      <c r="I135" s="298"/>
      <c r="J135" s="297"/>
      <c r="K135" s="344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65"/>
        <v>0</v>
      </c>
      <c r="AF135" s="377"/>
      <c r="AG135" s="390"/>
      <c r="AH135" s="391">
        <f t="shared" si="66"/>
        <v>0</v>
      </c>
      <c r="AI135" s="412"/>
      <c r="AJ135" s="413">
        <f t="shared" si="67"/>
        <v>0</v>
      </c>
    </row>
    <row r="136" spans="1:39" ht="21" thickBot="1">
      <c r="A136" s="2582"/>
      <c r="B136" s="731"/>
      <c r="C136" s="732"/>
      <c r="D136" s="324"/>
      <c r="E136" s="325"/>
      <c r="F136" s="297"/>
      <c r="G136" s="297"/>
      <c r="H136" s="298"/>
      <c r="I136" s="298"/>
      <c r="J136" s="297"/>
      <c r="K136" s="344"/>
      <c r="L136" s="355"/>
      <c r="M136" s="343"/>
      <c r="N136" s="298"/>
      <c r="O136" s="298"/>
      <c r="P136" s="298"/>
      <c r="Q136" s="298"/>
      <c r="R136" s="298"/>
      <c r="S136" s="298"/>
      <c r="T136" s="367"/>
      <c r="U136" s="355"/>
      <c r="V136" s="325"/>
      <c r="W136" s="297"/>
      <c r="X136" s="297"/>
      <c r="Y136" s="298"/>
      <c r="Z136" s="298"/>
      <c r="AA136" s="298"/>
      <c r="AB136" s="297"/>
      <c r="AC136" s="375"/>
      <c r="AD136" s="355"/>
      <c r="AE136" s="377">
        <f t="shared" si="65"/>
        <v>0</v>
      </c>
      <c r="AF136" s="377"/>
      <c r="AG136" s="390"/>
      <c r="AH136" s="507">
        <f t="shared" si="66"/>
        <v>0</v>
      </c>
      <c r="AI136" s="412"/>
      <c r="AJ136" s="508">
        <f t="shared" si="67"/>
        <v>0</v>
      </c>
    </row>
    <row r="137" spans="1:39" s="276" customFormat="1" ht="21" thickBot="1">
      <c r="A137" s="2619"/>
      <c r="B137" s="2623"/>
      <c r="C137" s="2621"/>
      <c r="D137" s="438"/>
      <c r="E137" s="439">
        <f t="shared" ref="E137:K137" si="68">SUM(E132:E136)</f>
        <v>0</v>
      </c>
      <c r="F137" s="440">
        <f t="shared" si="68"/>
        <v>0</v>
      </c>
      <c r="G137" s="440">
        <f t="shared" si="68"/>
        <v>0</v>
      </c>
      <c r="H137" s="440">
        <f t="shared" si="68"/>
        <v>0</v>
      </c>
      <c r="I137" s="440">
        <f t="shared" si="68"/>
        <v>0</v>
      </c>
      <c r="J137" s="440">
        <f t="shared" si="68"/>
        <v>0</v>
      </c>
      <c r="K137" s="481">
        <f t="shared" si="68"/>
        <v>0</v>
      </c>
      <c r="L137" s="482"/>
      <c r="M137" s="439">
        <f t="shared" ref="M137:T137" si="69">SUM(M132:M136)</f>
        <v>0</v>
      </c>
      <c r="N137" s="440">
        <f t="shared" si="69"/>
        <v>0</v>
      </c>
      <c r="O137" s="440">
        <f t="shared" si="69"/>
        <v>0</v>
      </c>
      <c r="P137" s="440">
        <f t="shared" si="69"/>
        <v>0</v>
      </c>
      <c r="Q137" s="440">
        <f t="shared" si="69"/>
        <v>0</v>
      </c>
      <c r="R137" s="440">
        <f t="shared" si="69"/>
        <v>0</v>
      </c>
      <c r="S137" s="440">
        <f t="shared" si="69"/>
        <v>0</v>
      </c>
      <c r="T137" s="481">
        <f t="shared" si="69"/>
        <v>0</v>
      </c>
      <c r="U137" s="482"/>
      <c r="V137" s="439">
        <f t="shared" ref="V137:AC137" si="70">SUM(V132:V136)</f>
        <v>0</v>
      </c>
      <c r="W137" s="440">
        <f t="shared" si="70"/>
        <v>0</v>
      </c>
      <c r="X137" s="440">
        <f t="shared" si="70"/>
        <v>0</v>
      </c>
      <c r="Y137" s="440">
        <f t="shared" si="70"/>
        <v>0</v>
      </c>
      <c r="Z137" s="440">
        <f t="shared" si="70"/>
        <v>0</v>
      </c>
      <c r="AA137" s="440">
        <f t="shared" si="70"/>
        <v>0</v>
      </c>
      <c r="AB137" s="440">
        <f t="shared" si="70"/>
        <v>0</v>
      </c>
      <c r="AC137" s="481">
        <f t="shared" si="70"/>
        <v>0</v>
      </c>
      <c r="AD137" s="482"/>
      <c r="AE137" s="494">
        <f t="shared" ref="AE137:AJ137" si="71">SUM(AE132:AE136)</f>
        <v>0</v>
      </c>
      <c r="AF137" s="494">
        <f t="shared" si="71"/>
        <v>0</v>
      </c>
      <c r="AG137" s="509"/>
      <c r="AH137" s="514">
        <f t="shared" si="71"/>
        <v>0</v>
      </c>
      <c r="AI137" s="494">
        <f t="shared" si="71"/>
        <v>0</v>
      </c>
      <c r="AJ137" s="509">
        <f t="shared" si="71"/>
        <v>0</v>
      </c>
    </row>
    <row r="138" spans="1:39" s="276" customFormat="1" ht="19.5" thickBot="1">
      <c r="A138" s="522"/>
      <c r="B138" s="523"/>
      <c r="C138" s="523"/>
      <c r="D138" s="524"/>
      <c r="E138" s="525"/>
      <c r="F138" s="525"/>
      <c r="G138" s="525"/>
      <c r="H138" s="525"/>
      <c r="I138" s="525"/>
      <c r="J138" s="525"/>
      <c r="K138" s="525"/>
      <c r="L138" s="572"/>
      <c r="M138" s="573"/>
      <c r="N138" s="573"/>
      <c r="O138" s="573"/>
      <c r="P138" s="573"/>
      <c r="Q138" s="573"/>
      <c r="R138" s="573"/>
      <c r="S138" s="573"/>
      <c r="T138" s="573"/>
      <c r="U138" s="572"/>
      <c r="V138" s="573"/>
      <c r="W138" s="573"/>
      <c r="X138" s="573"/>
      <c r="Y138" s="573"/>
      <c r="Z138" s="573"/>
      <c r="AA138" s="573"/>
      <c r="AB138" s="573"/>
      <c r="AC138" s="573"/>
      <c r="AD138" s="572"/>
      <c r="AE138" s="573"/>
      <c r="AF138" s="573"/>
      <c r="AG138" s="599"/>
      <c r="AH138" s="573"/>
      <c r="AI138" s="573"/>
      <c r="AJ138" s="600"/>
    </row>
    <row r="139" spans="1:39" s="234" customFormat="1" ht="21" thickBot="1">
      <c r="A139" s="528" t="s">
        <v>145</v>
      </c>
      <c r="B139" s="2669"/>
      <c r="C139" s="2668"/>
      <c r="D139" s="528"/>
      <c r="E139" s="529">
        <f t="shared" ref="E139:K139" si="72">E4+E39+E54+E104+E72+E90+E113+E120+E129+E137</f>
        <v>168</v>
      </c>
      <c r="F139" s="529">
        <f t="shared" si="72"/>
        <v>319</v>
      </c>
      <c r="G139" s="529">
        <f t="shared" si="72"/>
        <v>640</v>
      </c>
      <c r="H139" s="529">
        <f t="shared" si="72"/>
        <v>160</v>
      </c>
      <c r="I139" s="529">
        <f t="shared" si="72"/>
        <v>0</v>
      </c>
      <c r="J139" s="529">
        <f t="shared" si="72"/>
        <v>2</v>
      </c>
      <c r="K139" s="529">
        <f t="shared" si="72"/>
        <v>0</v>
      </c>
      <c r="L139" s="574">
        <f>L4+L39+L54+L113</f>
        <v>0</v>
      </c>
      <c r="M139" s="529">
        <f t="shared" ref="M139:T139" si="73">M4+M39+M54+M104+M72+M90+M113+M120+M129+M137</f>
        <v>0</v>
      </c>
      <c r="N139" s="529">
        <f t="shared" si="73"/>
        <v>0</v>
      </c>
      <c r="O139" s="529">
        <f t="shared" si="73"/>
        <v>0</v>
      </c>
      <c r="P139" s="529">
        <f t="shared" si="73"/>
        <v>0</v>
      </c>
      <c r="Q139" s="529">
        <f t="shared" si="73"/>
        <v>0</v>
      </c>
      <c r="R139" s="529">
        <f t="shared" si="73"/>
        <v>0</v>
      </c>
      <c r="S139" s="529">
        <f t="shared" si="73"/>
        <v>0</v>
      </c>
      <c r="T139" s="529">
        <f t="shared" si="73"/>
        <v>0</v>
      </c>
      <c r="U139" s="574"/>
      <c r="V139" s="529">
        <f t="shared" ref="V139:AC139" si="74">V4+V39+V54+V72+V113+V120+V129+V137</f>
        <v>64</v>
      </c>
      <c r="W139" s="529">
        <f t="shared" si="74"/>
        <v>0</v>
      </c>
      <c r="X139" s="529">
        <f t="shared" si="74"/>
        <v>276</v>
      </c>
      <c r="Y139" s="529">
        <f t="shared" si="74"/>
        <v>0</v>
      </c>
      <c r="Z139" s="529">
        <f t="shared" si="74"/>
        <v>0</v>
      </c>
      <c r="AA139" s="529">
        <f t="shared" si="74"/>
        <v>1</v>
      </c>
      <c r="AB139" s="529">
        <f t="shared" si="74"/>
        <v>200</v>
      </c>
      <c r="AC139" s="529">
        <f t="shared" si="74"/>
        <v>520</v>
      </c>
      <c r="AD139" s="574"/>
      <c r="AE139" s="529">
        <f>AE4+AE39+AE54+AE72+AE113+AE120+AE129+AE137</f>
        <v>2350</v>
      </c>
      <c r="AF139" s="529">
        <f>AF4+AF39+AF54+AF72+AF90+AF104+AF113+AF120+AF129+AF137</f>
        <v>0</v>
      </c>
      <c r="AG139" s="529">
        <f>AG4+AG39+AG54+AG72+AG113+AG120+AG129+AG137</f>
        <v>0</v>
      </c>
      <c r="AH139" s="529">
        <f>AH4+AH39+AH54+AH72+AH113+AH120+AH129+AH137</f>
        <v>2350</v>
      </c>
      <c r="AI139" s="529">
        <f>AI4+AI39+AI54+AI72+AI113+AI120+AI129+AI137</f>
        <v>0</v>
      </c>
      <c r="AJ139" s="529">
        <f>AJ4+AJ39+AJ54+AJ72+AJ113+AJ120+AJ129+AJ137</f>
        <v>2350</v>
      </c>
    </row>
    <row r="140" spans="1:39" s="276" customFormat="1" ht="21" thickBot="1">
      <c r="A140" s="532" t="s">
        <v>152</v>
      </c>
      <c r="B140" s="2671"/>
      <c r="C140" s="2670"/>
      <c r="D140" s="532"/>
      <c r="E140" s="533">
        <f t="shared" ref="E140:K140" si="75">E139/12</f>
        <v>14</v>
      </c>
      <c r="F140" s="534">
        <f t="shared" ref="F140:I140" si="76">F139/20</f>
        <v>15.95</v>
      </c>
      <c r="G140" s="534">
        <f t="shared" si="76"/>
        <v>32</v>
      </c>
      <c r="H140" s="534">
        <f t="shared" si="75"/>
        <v>13.333333333333334</v>
      </c>
      <c r="I140" s="534">
        <f t="shared" si="76"/>
        <v>0</v>
      </c>
      <c r="J140" s="534">
        <f t="shared" si="75"/>
        <v>0.16666666666666666</v>
      </c>
      <c r="K140" s="534">
        <f t="shared" si="75"/>
        <v>0</v>
      </c>
      <c r="L140" s="575"/>
      <c r="M140" s="576">
        <f t="shared" ref="M140:T140" si="77">M139/20</f>
        <v>0</v>
      </c>
      <c r="N140" s="577">
        <f t="shared" si="77"/>
        <v>0</v>
      </c>
      <c r="O140" s="577">
        <f t="shared" si="77"/>
        <v>0</v>
      </c>
      <c r="P140" s="577">
        <f t="shared" si="77"/>
        <v>0</v>
      </c>
      <c r="Q140" s="2735">
        <f>Q139/30</f>
        <v>0</v>
      </c>
      <c r="R140" s="577">
        <f t="shared" si="77"/>
        <v>0</v>
      </c>
      <c r="S140" s="577">
        <f t="shared" si="77"/>
        <v>0</v>
      </c>
      <c r="T140" s="586">
        <f t="shared" si="77"/>
        <v>0</v>
      </c>
      <c r="U140" s="575"/>
      <c r="V140" s="576">
        <f t="shared" ref="V140:AC140" si="78">V139/20</f>
        <v>3.2</v>
      </c>
      <c r="W140" s="577">
        <f t="shared" si="78"/>
        <v>0</v>
      </c>
      <c r="X140" s="577">
        <f t="shared" si="78"/>
        <v>13.8</v>
      </c>
      <c r="Y140" s="577">
        <f t="shared" si="78"/>
        <v>0</v>
      </c>
      <c r="Z140" s="577">
        <f t="shared" si="78"/>
        <v>0</v>
      </c>
      <c r="AA140" s="577">
        <f t="shared" si="78"/>
        <v>0.05</v>
      </c>
      <c r="AB140" s="577">
        <f t="shared" si="78"/>
        <v>10</v>
      </c>
      <c r="AC140" s="586">
        <f t="shared" si="78"/>
        <v>26</v>
      </c>
      <c r="AD140" s="586"/>
      <c r="AE140" s="586">
        <f>AE139/20</f>
        <v>117.5</v>
      </c>
      <c r="AF140" s="586">
        <f t="shared" ref="AF140:AJ140" si="79">AF139/12</f>
        <v>0</v>
      </c>
      <c r="AG140" s="586">
        <f>AG139/20</f>
        <v>0</v>
      </c>
      <c r="AH140" s="586">
        <f t="shared" si="79"/>
        <v>195.83333333333334</v>
      </c>
      <c r="AI140" s="586">
        <f t="shared" si="79"/>
        <v>0</v>
      </c>
      <c r="AJ140" s="601">
        <f t="shared" si="79"/>
        <v>195.83333333333334</v>
      </c>
    </row>
    <row r="141" spans="1:39" s="234" customFormat="1" ht="24" thickBot="1">
      <c r="A141" s="3755" t="s">
        <v>147</v>
      </c>
      <c r="B141" s="3755"/>
      <c r="C141" s="3755"/>
      <c r="D141" s="3755"/>
      <c r="E141" s="3756"/>
      <c r="F141" s="3756"/>
      <c r="G141" s="3756"/>
      <c r="H141" s="3756"/>
      <c r="I141" s="3756"/>
      <c r="J141" s="3756"/>
      <c r="K141" s="3756"/>
      <c r="L141" s="3755"/>
      <c r="M141" s="3755"/>
      <c r="N141" s="3755"/>
      <c r="O141" s="3755"/>
      <c r="P141" s="3755"/>
      <c r="Q141" s="3755"/>
      <c r="R141" s="3755"/>
      <c r="S141" s="3755"/>
      <c r="T141" s="3755"/>
      <c r="U141" s="3755"/>
      <c r="V141" s="3755"/>
      <c r="W141" s="3755"/>
      <c r="X141" s="3755"/>
      <c r="Y141" s="3755"/>
      <c r="Z141" s="3755"/>
      <c r="AA141" s="3755"/>
      <c r="AB141" s="3755"/>
      <c r="AC141" s="3755"/>
      <c r="AD141" s="3755"/>
      <c r="AE141" s="3755"/>
      <c r="AF141" s="3755"/>
      <c r="AG141" s="3755"/>
      <c r="AH141" s="3755"/>
      <c r="AI141" s="3755"/>
      <c r="AJ141" s="3755"/>
    </row>
    <row r="142" spans="1:39" s="276" customFormat="1" ht="24" thickBot="1">
      <c r="A142" s="3888" t="s">
        <v>4</v>
      </c>
      <c r="B142" s="3889"/>
      <c r="C142" s="3889"/>
      <c r="D142" s="3890"/>
      <c r="E142" s="3891" t="s">
        <v>266</v>
      </c>
      <c r="F142" s="3892"/>
      <c r="G142" s="3892"/>
      <c r="H142" s="3892"/>
      <c r="I142" s="3892"/>
      <c r="J142" s="3892"/>
      <c r="K142" s="3904"/>
      <c r="L142" s="336"/>
      <c r="M142" s="3893" t="s">
        <v>267</v>
      </c>
      <c r="N142" s="3894"/>
      <c r="O142" s="3894"/>
      <c r="P142" s="3894"/>
      <c r="Q142" s="3894"/>
      <c r="R142" s="3894"/>
      <c r="S142" s="3894"/>
      <c r="T142" s="3895"/>
      <c r="U142" s="364"/>
      <c r="V142" s="3893" t="s">
        <v>268</v>
      </c>
      <c r="W142" s="3894"/>
      <c r="X142" s="3894"/>
      <c r="Y142" s="3894"/>
      <c r="Z142" s="3894"/>
      <c r="AA142" s="3894"/>
      <c r="AB142" s="3894"/>
      <c r="AC142" s="3895"/>
      <c r="AD142" s="364"/>
      <c r="AE142" s="3893"/>
      <c r="AF142" s="3894"/>
      <c r="AG142" s="3894"/>
      <c r="AH142" s="3894"/>
      <c r="AI142" s="3894"/>
      <c r="AJ142" s="3895"/>
    </row>
    <row r="143" spans="1:39" s="234" customFormat="1" ht="30.75" thickBot="1">
      <c r="A143" s="535" t="s">
        <v>148</v>
      </c>
      <c r="B143" s="287" t="s">
        <v>68</v>
      </c>
      <c r="C143" s="536" t="s">
        <v>69</v>
      </c>
      <c r="D143" s="536" t="s">
        <v>70</v>
      </c>
      <c r="E143" s="80" t="s">
        <v>549</v>
      </c>
      <c r="F143" s="49" t="s">
        <v>94</v>
      </c>
      <c r="G143" s="49" t="s">
        <v>53</v>
      </c>
      <c r="H143" s="49" t="s">
        <v>136</v>
      </c>
      <c r="I143" s="49" t="s">
        <v>76</v>
      </c>
      <c r="J143" s="49" t="s">
        <v>206</v>
      </c>
      <c r="K143" s="126" t="s">
        <v>272</v>
      </c>
      <c r="L143" s="578"/>
      <c r="M143" s="80" t="s">
        <v>222</v>
      </c>
      <c r="N143" s="49" t="s">
        <v>92</v>
      </c>
      <c r="O143" s="49" t="s">
        <v>251</v>
      </c>
      <c r="P143" s="49" t="s">
        <v>53</v>
      </c>
      <c r="Q143" s="49" t="s">
        <v>94</v>
      </c>
      <c r="R143" s="49" t="s">
        <v>206</v>
      </c>
      <c r="S143" s="126" t="s">
        <v>101</v>
      </c>
      <c r="T143" s="171" t="s">
        <v>497</v>
      </c>
      <c r="U143" s="578"/>
      <c r="V143" s="172" t="s">
        <v>497</v>
      </c>
      <c r="W143" s="103" t="s">
        <v>97</v>
      </c>
      <c r="X143" s="103" t="s">
        <v>124</v>
      </c>
      <c r="Y143" s="103" t="s">
        <v>206</v>
      </c>
      <c r="Z143" s="103" t="s">
        <v>269</v>
      </c>
      <c r="AA143" s="103" t="s">
        <v>96</v>
      </c>
      <c r="AB143" s="179" t="s">
        <v>92</v>
      </c>
      <c r="AC143" s="180" t="s">
        <v>101</v>
      </c>
      <c r="AD143" s="589"/>
      <c r="AE143" s="590" t="s">
        <v>172</v>
      </c>
      <c r="AF143" s="591" t="s">
        <v>80</v>
      </c>
      <c r="AG143" s="602" t="s">
        <v>150</v>
      </c>
      <c r="AH143" s="603" t="s">
        <v>106</v>
      </c>
      <c r="AI143" s="602" t="s">
        <v>173</v>
      </c>
      <c r="AJ143" s="604" t="s">
        <v>108</v>
      </c>
    </row>
    <row r="144" spans="1:39" s="276" customFormat="1" ht="20.25">
      <c r="A144" s="547" t="s">
        <v>618</v>
      </c>
      <c r="B144" s="545"/>
      <c r="C144" s="539"/>
      <c r="D144" s="544">
        <v>46116</v>
      </c>
      <c r="E144" s="541"/>
      <c r="F144" s="542">
        <v>5</v>
      </c>
      <c r="G144" s="542">
        <v>5</v>
      </c>
      <c r="H144" s="543"/>
      <c r="I144" s="543"/>
      <c r="J144" s="543"/>
      <c r="K144" s="579"/>
      <c r="L144" s="580"/>
      <c r="M144" s="581"/>
      <c r="N144" s="543"/>
      <c r="O144" s="543"/>
      <c r="P144" s="543"/>
      <c r="Q144" s="543"/>
      <c r="R144" s="543"/>
      <c r="S144" s="543"/>
      <c r="T144" s="587"/>
      <c r="U144" s="580"/>
      <c r="V144" s="581"/>
      <c r="W144" s="543"/>
      <c r="X144" s="543"/>
      <c r="Y144" s="543"/>
      <c r="Z144" s="543"/>
      <c r="AA144" s="543"/>
      <c r="AB144" s="543"/>
      <c r="AC144" s="592"/>
      <c r="AD144" s="580"/>
      <c r="AE144" s="593">
        <f t="shared" ref="AE144:AE204" si="80">SUM(E144:AC144)</f>
        <v>10</v>
      </c>
      <c r="AF144" s="594"/>
      <c r="AG144" s="593"/>
      <c r="AH144" s="594">
        <f t="shared" ref="AH144:AH204" si="81">AE144+AF144+AG144</f>
        <v>10</v>
      </c>
      <c r="AI144" s="605"/>
      <c r="AJ144" s="606">
        <f t="shared" ref="AJ144:AJ204" si="82">AH144+AI144</f>
        <v>10</v>
      </c>
    </row>
    <row r="145" spans="1:36" s="234" customFormat="1" ht="20.25">
      <c r="A145" s="537" t="s">
        <v>619</v>
      </c>
      <c r="B145" s="545"/>
      <c r="C145" s="539"/>
      <c r="D145" s="544">
        <v>46116</v>
      </c>
      <c r="E145" s="319">
        <v>10</v>
      </c>
      <c r="F145" s="320"/>
      <c r="G145" s="320"/>
      <c r="H145" s="321">
        <v>10</v>
      </c>
      <c r="I145" s="321"/>
      <c r="J145" s="321"/>
      <c r="K145" s="351"/>
      <c r="L145" s="352"/>
      <c r="M145" s="353"/>
      <c r="N145" s="321"/>
      <c r="O145" s="321"/>
      <c r="P145" s="321"/>
      <c r="Q145" s="321"/>
      <c r="R145" s="321"/>
      <c r="S145" s="321"/>
      <c r="T145" s="354"/>
      <c r="U145" s="352"/>
      <c r="V145" s="353"/>
      <c r="W145" s="321"/>
      <c r="X145" s="321"/>
      <c r="Y145" s="321"/>
      <c r="Z145" s="321"/>
      <c r="AA145" s="321"/>
      <c r="AB145" s="321"/>
      <c r="AC145" s="380"/>
      <c r="AD145" s="352"/>
      <c r="AE145" s="408">
        <f t="shared" si="80"/>
        <v>20</v>
      </c>
      <c r="AF145" s="409"/>
      <c r="AG145" s="408"/>
      <c r="AH145" s="409">
        <f t="shared" si="81"/>
        <v>20</v>
      </c>
      <c r="AI145" s="410"/>
      <c r="AJ145" s="411">
        <f t="shared" si="82"/>
        <v>20</v>
      </c>
    </row>
    <row r="146" spans="1:36" s="276" customFormat="1" ht="20.25">
      <c r="A146" s="537" t="s">
        <v>624</v>
      </c>
      <c r="B146" s="545"/>
      <c r="C146" s="539"/>
      <c r="D146" s="544">
        <v>46120</v>
      </c>
      <c r="E146" s="541"/>
      <c r="F146" s="542"/>
      <c r="G146" s="542">
        <v>6</v>
      </c>
      <c r="H146" s="543"/>
      <c r="I146" s="543"/>
      <c r="J146" s="543"/>
      <c r="K146" s="579"/>
      <c r="L146" s="580"/>
      <c r="M146" s="581"/>
      <c r="N146" s="543"/>
      <c r="O146" s="543"/>
      <c r="P146" s="543"/>
      <c r="Q146" s="543"/>
      <c r="R146" s="543"/>
      <c r="S146" s="543"/>
      <c r="T146" s="587"/>
      <c r="U146" s="580"/>
      <c r="V146" s="581"/>
      <c r="W146" s="543"/>
      <c r="X146" s="543"/>
      <c r="Y146" s="543"/>
      <c r="Z146" s="543"/>
      <c r="AA146" s="543"/>
      <c r="AB146" s="543"/>
      <c r="AC146" s="592"/>
      <c r="AD146" s="580"/>
      <c r="AE146" s="593">
        <f t="shared" si="80"/>
        <v>6</v>
      </c>
      <c r="AF146" s="594"/>
      <c r="AG146" s="593"/>
      <c r="AH146" s="594">
        <f t="shared" si="81"/>
        <v>6</v>
      </c>
      <c r="AI146" s="605"/>
      <c r="AJ146" s="606">
        <f t="shared" si="82"/>
        <v>6</v>
      </c>
    </row>
    <row r="147" spans="1:36" s="234" customFormat="1" ht="20.25">
      <c r="A147" s="537" t="s">
        <v>625</v>
      </c>
      <c r="B147" s="548"/>
      <c r="C147" s="549"/>
      <c r="D147" s="544">
        <v>46121</v>
      </c>
      <c r="E147" s="319">
        <v>15</v>
      </c>
      <c r="F147" s="320"/>
      <c r="G147" s="320"/>
      <c r="H147" s="321">
        <v>15</v>
      </c>
      <c r="I147" s="321"/>
      <c r="J147" s="321"/>
      <c r="K147" s="351"/>
      <c r="L147" s="352"/>
      <c r="M147" s="353"/>
      <c r="N147" s="321"/>
      <c r="O147" s="321"/>
      <c r="P147" s="321"/>
      <c r="Q147" s="321"/>
      <c r="R147" s="321"/>
      <c r="S147" s="321"/>
      <c r="T147" s="354"/>
      <c r="U147" s="352"/>
      <c r="V147" s="353"/>
      <c r="W147" s="321"/>
      <c r="X147" s="321"/>
      <c r="Y147" s="321"/>
      <c r="Z147" s="321"/>
      <c r="AA147" s="321"/>
      <c r="AB147" s="321"/>
      <c r="AC147" s="380"/>
      <c r="AD147" s="352"/>
      <c r="AE147" s="408">
        <f t="shared" si="80"/>
        <v>30</v>
      </c>
      <c r="AF147" s="409"/>
      <c r="AG147" s="408"/>
      <c r="AH147" s="409">
        <f t="shared" si="81"/>
        <v>30</v>
      </c>
      <c r="AI147" s="410"/>
      <c r="AJ147" s="411">
        <f t="shared" si="82"/>
        <v>30</v>
      </c>
    </row>
    <row r="148" spans="1:36" s="276" customFormat="1" ht="20.25">
      <c r="A148" s="537" t="s">
        <v>628</v>
      </c>
      <c r="B148" s="548"/>
      <c r="C148" s="549"/>
      <c r="D148" s="544">
        <v>46122</v>
      </c>
      <c r="E148" s="546"/>
      <c r="F148" s="542">
        <v>5</v>
      </c>
      <c r="G148" s="542">
        <v>5</v>
      </c>
      <c r="H148" s="543"/>
      <c r="I148" s="543"/>
      <c r="J148" s="542"/>
      <c r="K148" s="579"/>
      <c r="L148" s="580"/>
      <c r="M148" s="581"/>
      <c r="N148" s="543"/>
      <c r="O148" s="543"/>
      <c r="P148" s="543"/>
      <c r="Q148" s="543"/>
      <c r="R148" s="543"/>
      <c r="S148" s="543"/>
      <c r="T148" s="587"/>
      <c r="U148" s="580"/>
      <c r="V148" s="581"/>
      <c r="W148" s="543"/>
      <c r="X148" s="543"/>
      <c r="Y148" s="543"/>
      <c r="Z148" s="543"/>
      <c r="AA148" s="543"/>
      <c r="AB148" s="543"/>
      <c r="AC148" s="592"/>
      <c r="AD148" s="580"/>
      <c r="AE148" s="593">
        <f t="shared" si="80"/>
        <v>10</v>
      </c>
      <c r="AF148" s="594"/>
      <c r="AG148" s="593"/>
      <c r="AH148" s="594">
        <f t="shared" si="81"/>
        <v>10</v>
      </c>
      <c r="AI148" s="605"/>
      <c r="AJ148" s="606">
        <f t="shared" si="82"/>
        <v>10</v>
      </c>
    </row>
    <row r="149" spans="1:36" s="234" customFormat="1" ht="20.25">
      <c r="A149" s="537" t="s">
        <v>629</v>
      </c>
      <c r="B149" s="796"/>
      <c r="C149" s="797"/>
      <c r="D149" s="544">
        <v>46122</v>
      </c>
      <c r="E149" s="556"/>
      <c r="F149" s="557"/>
      <c r="G149" s="557">
        <v>10</v>
      </c>
      <c r="H149" s="558"/>
      <c r="I149" s="558"/>
      <c r="J149" s="557"/>
      <c r="K149" s="583"/>
      <c r="L149" s="584"/>
      <c r="M149" s="585"/>
      <c r="N149" s="558"/>
      <c r="O149" s="558"/>
      <c r="P149" s="558"/>
      <c r="Q149" s="558"/>
      <c r="R149" s="558"/>
      <c r="S149" s="558"/>
      <c r="T149" s="588"/>
      <c r="U149" s="584"/>
      <c r="V149" s="585"/>
      <c r="W149" s="558"/>
      <c r="X149" s="558"/>
      <c r="Y149" s="558"/>
      <c r="Z149" s="558"/>
      <c r="AA149" s="558"/>
      <c r="AB149" s="558"/>
      <c r="AC149" s="595"/>
      <c r="AD149" s="584"/>
      <c r="AE149" s="596">
        <f t="shared" ref="AE149" si="83">SUM(E149:AC149)</f>
        <v>10</v>
      </c>
      <c r="AF149" s="597"/>
      <c r="AG149" s="596"/>
      <c r="AH149" s="597">
        <f t="shared" ref="AH149" si="84">AE149+AF149+AG149</f>
        <v>10</v>
      </c>
      <c r="AI149" s="607"/>
      <c r="AJ149" s="606">
        <f t="shared" ref="AJ149" si="85">AH149+AI149</f>
        <v>10</v>
      </c>
    </row>
    <row r="150" spans="1:36" s="276" customFormat="1" ht="20.25">
      <c r="A150" s="537" t="s">
        <v>633</v>
      </c>
      <c r="B150" s="548"/>
      <c r="C150" s="549"/>
      <c r="D150" s="544">
        <v>46124</v>
      </c>
      <c r="E150" s="320">
        <v>10</v>
      </c>
      <c r="F150" s="320">
        <v>20</v>
      </c>
      <c r="G150" s="320"/>
      <c r="H150" s="321">
        <v>10</v>
      </c>
      <c r="I150" s="321"/>
      <c r="J150" s="320"/>
      <c r="K150" s="351"/>
      <c r="L150" s="352"/>
      <c r="M150" s="353"/>
      <c r="N150" s="321"/>
      <c r="O150" s="321"/>
      <c r="P150" s="582"/>
      <c r="Q150" s="321"/>
      <c r="R150" s="321"/>
      <c r="S150" s="321"/>
      <c r="T150" s="354"/>
      <c r="U150" s="352"/>
      <c r="V150" s="353"/>
      <c r="W150" s="321"/>
      <c r="X150" s="321"/>
      <c r="Y150" s="321"/>
      <c r="Z150" s="321"/>
      <c r="AA150" s="321"/>
      <c r="AB150" s="321"/>
      <c r="AC150" s="321"/>
      <c r="AD150" s="545"/>
      <c r="AE150" s="593">
        <f t="shared" si="80"/>
        <v>40</v>
      </c>
      <c r="AF150" s="544"/>
      <c r="AG150" s="408"/>
      <c r="AH150" s="409">
        <f t="shared" si="81"/>
        <v>40</v>
      </c>
      <c r="AI150" s="410"/>
      <c r="AJ150" s="411">
        <f t="shared" si="82"/>
        <v>40</v>
      </c>
    </row>
    <row r="151" spans="1:36" s="234" customFormat="1" ht="20.25">
      <c r="A151" s="537" t="s">
        <v>635</v>
      </c>
      <c r="B151" s="548"/>
      <c r="C151" s="549"/>
      <c r="D151" s="544">
        <v>46125</v>
      </c>
      <c r="E151" s="319"/>
      <c r="F151" s="320">
        <v>6</v>
      </c>
      <c r="G151" s="320">
        <v>6</v>
      </c>
      <c r="H151" s="321"/>
      <c r="I151" s="321"/>
      <c r="J151" s="320"/>
      <c r="K151" s="351"/>
      <c r="L151" s="352"/>
      <c r="M151" s="353"/>
      <c r="N151" s="321"/>
      <c r="O151" s="321"/>
      <c r="P151" s="582"/>
      <c r="Q151" s="321"/>
      <c r="R151" s="321"/>
      <c r="S151" s="321"/>
      <c r="T151" s="354"/>
      <c r="U151" s="352"/>
      <c r="V151" s="353"/>
      <c r="W151" s="321"/>
      <c r="X151" s="321"/>
      <c r="Y151" s="321"/>
      <c r="Z151" s="321"/>
      <c r="AA151" s="321"/>
      <c r="AB151" s="321"/>
      <c r="AC151" s="380"/>
      <c r="AD151" s="352"/>
      <c r="AE151" s="408">
        <f t="shared" ref="AE151" si="86">SUM(E151:AC151)</f>
        <v>12</v>
      </c>
      <c r="AF151" s="409"/>
      <c r="AG151" s="408"/>
      <c r="AH151" s="409">
        <f t="shared" ref="AH151" si="87">AE151+AF151+AG151</f>
        <v>12</v>
      </c>
      <c r="AI151" s="410"/>
      <c r="AJ151" s="411">
        <f t="shared" ref="AJ151" si="88">AH151+AI151</f>
        <v>12</v>
      </c>
    </row>
    <row r="152" spans="1:36" s="276" customFormat="1" ht="20.25">
      <c r="A152" s="537" t="s">
        <v>637</v>
      </c>
      <c r="B152" s="545"/>
      <c r="C152" s="539"/>
      <c r="D152" s="544">
        <v>46126</v>
      </c>
      <c r="E152" s="541"/>
      <c r="F152" s="542">
        <v>30</v>
      </c>
      <c r="G152" s="542">
        <v>10</v>
      </c>
      <c r="H152" s="543"/>
      <c r="I152" s="543"/>
      <c r="J152" s="542"/>
      <c r="K152" s="579"/>
      <c r="L152" s="580"/>
      <c r="M152" s="581"/>
      <c r="N152" s="543"/>
      <c r="O152" s="543"/>
      <c r="P152" s="558"/>
      <c r="Q152" s="543"/>
      <c r="R152" s="543"/>
      <c r="S152" s="543"/>
      <c r="T152" s="587"/>
      <c r="U152" s="580"/>
      <c r="V152" s="581"/>
      <c r="W152" s="543"/>
      <c r="X152" s="543"/>
      <c r="Y152" s="543"/>
      <c r="Z152" s="543"/>
      <c r="AA152" s="543"/>
      <c r="AB152" s="543"/>
      <c r="AC152" s="592"/>
      <c r="AD152" s="580"/>
      <c r="AE152" s="593">
        <f t="shared" si="80"/>
        <v>40</v>
      </c>
      <c r="AF152" s="594"/>
      <c r="AG152" s="593"/>
      <c r="AH152" s="594">
        <f t="shared" si="81"/>
        <v>40</v>
      </c>
      <c r="AI152" s="605"/>
      <c r="AJ152" s="606">
        <f t="shared" si="82"/>
        <v>40</v>
      </c>
    </row>
    <row r="153" spans="1:36" s="234" customFormat="1" ht="20.25">
      <c r="A153" s="547" t="s">
        <v>629</v>
      </c>
      <c r="B153" s="796"/>
      <c r="C153" s="797"/>
      <c r="D153" s="544">
        <v>46129</v>
      </c>
      <c r="E153" s="319"/>
      <c r="F153" s="320"/>
      <c r="G153" s="320">
        <v>15</v>
      </c>
      <c r="H153" s="321"/>
      <c r="I153" s="321"/>
      <c r="J153" s="320"/>
      <c r="K153" s="351"/>
      <c r="L153" s="352"/>
      <c r="M153" s="353"/>
      <c r="N153" s="321"/>
      <c r="O153" s="321"/>
      <c r="P153" s="582"/>
      <c r="Q153" s="321"/>
      <c r="R153" s="321"/>
      <c r="S153" s="321"/>
      <c r="T153" s="354"/>
      <c r="U153" s="352"/>
      <c r="V153" s="353"/>
      <c r="W153" s="321"/>
      <c r="X153" s="321"/>
      <c r="Y153" s="321"/>
      <c r="Z153" s="321"/>
      <c r="AA153" s="321"/>
      <c r="AB153" s="321"/>
      <c r="AC153" s="380"/>
      <c r="AD153" s="352"/>
      <c r="AE153" s="408">
        <f t="shared" si="80"/>
        <v>15</v>
      </c>
      <c r="AF153" s="409"/>
      <c r="AG153" s="408"/>
      <c r="AH153" s="409">
        <f t="shared" si="81"/>
        <v>15</v>
      </c>
      <c r="AI153" s="410"/>
      <c r="AJ153" s="411">
        <f t="shared" si="82"/>
        <v>15</v>
      </c>
    </row>
    <row r="154" spans="1:36" s="234" customFormat="1" ht="20.25">
      <c r="A154" s="561" t="s">
        <v>619</v>
      </c>
      <c r="B154" s="796"/>
      <c r="C154" s="797"/>
      <c r="D154" s="544">
        <v>46130</v>
      </c>
      <c r="E154" s="556"/>
      <c r="F154" s="557">
        <v>5</v>
      </c>
      <c r="G154" s="557">
        <v>5</v>
      </c>
      <c r="H154" s="558"/>
      <c r="I154" s="558"/>
      <c r="J154" s="557"/>
      <c r="K154" s="583"/>
      <c r="L154" s="584"/>
      <c r="M154" s="585"/>
      <c r="N154" s="558"/>
      <c r="O154" s="558"/>
      <c r="P154" s="558"/>
      <c r="Q154" s="558"/>
      <c r="R154" s="558"/>
      <c r="S154" s="558"/>
      <c r="T154" s="588"/>
      <c r="U154" s="584"/>
      <c r="V154" s="585"/>
      <c r="W154" s="558"/>
      <c r="X154" s="558"/>
      <c r="Y154" s="558"/>
      <c r="Z154" s="558"/>
      <c r="AA154" s="558"/>
      <c r="AB154" s="558"/>
      <c r="AC154" s="595"/>
      <c r="AD154" s="584"/>
      <c r="AE154" s="596">
        <f t="shared" si="80"/>
        <v>10</v>
      </c>
      <c r="AF154" s="597"/>
      <c r="AG154" s="596"/>
      <c r="AH154" s="597">
        <f t="shared" si="81"/>
        <v>10</v>
      </c>
      <c r="AI154" s="607"/>
      <c r="AJ154" s="606">
        <f t="shared" si="82"/>
        <v>10</v>
      </c>
    </row>
    <row r="155" spans="1:36" s="276" customFormat="1" ht="20.25">
      <c r="A155" s="547" t="s">
        <v>653</v>
      </c>
      <c r="B155" s="548"/>
      <c r="C155" s="549"/>
      <c r="D155" s="544">
        <v>46130</v>
      </c>
      <c r="E155" s="319"/>
      <c r="F155" s="320"/>
      <c r="G155" s="320">
        <v>25</v>
      </c>
      <c r="H155" s="321"/>
      <c r="I155" s="321"/>
      <c r="J155" s="320">
        <v>2</v>
      </c>
      <c r="K155" s="351"/>
      <c r="L155" s="352"/>
      <c r="M155" s="353"/>
      <c r="N155" s="321"/>
      <c r="O155" s="321"/>
      <c r="P155" s="582"/>
      <c r="Q155" s="321"/>
      <c r="R155" s="321"/>
      <c r="S155" s="321"/>
      <c r="T155" s="354"/>
      <c r="U155" s="352"/>
      <c r="V155" s="353"/>
      <c r="W155" s="321"/>
      <c r="X155" s="321">
        <v>10</v>
      </c>
      <c r="Y155" s="321"/>
      <c r="Z155" s="321"/>
      <c r="AA155" s="321"/>
      <c r="AB155" s="321">
        <v>6</v>
      </c>
      <c r="AC155" s="380">
        <v>10</v>
      </c>
      <c r="AD155" s="352"/>
      <c r="AE155" s="408">
        <f t="shared" si="80"/>
        <v>53</v>
      </c>
      <c r="AF155" s="409"/>
      <c r="AG155" s="408"/>
      <c r="AH155" s="409">
        <f t="shared" si="81"/>
        <v>53</v>
      </c>
      <c r="AI155" s="410"/>
      <c r="AJ155" s="411">
        <f t="shared" si="82"/>
        <v>53</v>
      </c>
    </row>
    <row r="156" spans="1:36" s="234" customFormat="1" ht="20.25">
      <c r="A156" s="561" t="s">
        <v>656</v>
      </c>
      <c r="B156" s="552"/>
      <c r="C156" s="553"/>
      <c r="D156" s="544">
        <v>46131</v>
      </c>
      <c r="E156" s="541">
        <v>2</v>
      </c>
      <c r="F156" s="542">
        <v>5</v>
      </c>
      <c r="G156" s="542">
        <v>5</v>
      </c>
      <c r="H156" s="543"/>
      <c r="I156" s="543"/>
      <c r="J156" s="542"/>
      <c r="K156" s="579"/>
      <c r="L156" s="580"/>
      <c r="M156" s="581"/>
      <c r="N156" s="543"/>
      <c r="O156" s="543"/>
      <c r="P156" s="558"/>
      <c r="Q156" s="543"/>
      <c r="R156" s="543"/>
      <c r="S156" s="543"/>
      <c r="T156" s="587"/>
      <c r="U156" s="580"/>
      <c r="V156" s="581"/>
      <c r="W156" s="543"/>
      <c r="X156" s="543"/>
      <c r="Y156" s="543"/>
      <c r="Z156" s="543"/>
      <c r="AA156" s="543"/>
      <c r="AB156" s="543"/>
      <c r="AC156" s="592"/>
      <c r="AD156" s="580"/>
      <c r="AE156" s="593">
        <f t="shared" si="80"/>
        <v>12</v>
      </c>
      <c r="AF156" s="594"/>
      <c r="AG156" s="593"/>
      <c r="AH156" s="594">
        <f t="shared" si="81"/>
        <v>12</v>
      </c>
      <c r="AI156" s="605"/>
      <c r="AJ156" s="606">
        <f t="shared" si="82"/>
        <v>12</v>
      </c>
    </row>
    <row r="157" spans="1:36" s="276" customFormat="1" ht="20.25">
      <c r="A157" s="547" t="s">
        <v>658</v>
      </c>
      <c r="B157" s="552"/>
      <c r="C157" s="553"/>
      <c r="D157" s="544">
        <v>46132</v>
      </c>
      <c r="E157" s="319"/>
      <c r="F157" s="320">
        <v>5</v>
      </c>
      <c r="G157" s="320">
        <v>5</v>
      </c>
      <c r="H157" s="321">
        <v>10</v>
      </c>
      <c r="I157" s="321"/>
      <c r="J157" s="320"/>
      <c r="K157" s="351"/>
      <c r="L157" s="352"/>
      <c r="M157" s="353"/>
      <c r="N157" s="321"/>
      <c r="O157" s="321"/>
      <c r="P157" s="582"/>
      <c r="Q157" s="321"/>
      <c r="R157" s="321"/>
      <c r="S157" s="321"/>
      <c r="T157" s="354"/>
      <c r="U157" s="352"/>
      <c r="V157" s="353"/>
      <c r="W157" s="321"/>
      <c r="X157" s="321"/>
      <c r="Y157" s="321"/>
      <c r="Z157" s="321"/>
      <c r="AA157" s="321"/>
      <c r="AB157" s="321"/>
      <c r="AC157" s="380"/>
      <c r="AD157" s="352"/>
      <c r="AE157" s="408">
        <f t="shared" si="80"/>
        <v>20</v>
      </c>
      <c r="AF157" s="409"/>
      <c r="AG157" s="408"/>
      <c r="AH157" s="409">
        <f t="shared" si="81"/>
        <v>20</v>
      </c>
      <c r="AI157" s="410"/>
      <c r="AJ157" s="411">
        <f t="shared" si="82"/>
        <v>20</v>
      </c>
    </row>
    <row r="158" spans="1:36" s="234" customFormat="1" ht="20.25">
      <c r="A158" s="547" t="s">
        <v>660</v>
      </c>
      <c r="B158" s="552"/>
      <c r="C158" s="553"/>
      <c r="D158" s="544">
        <v>46133</v>
      </c>
      <c r="E158" s="541"/>
      <c r="F158" s="542"/>
      <c r="G158" s="542">
        <v>10</v>
      </c>
      <c r="H158" s="543"/>
      <c r="I158" s="543"/>
      <c r="J158" s="542"/>
      <c r="K158" s="579"/>
      <c r="L158" s="580"/>
      <c r="M158" s="581"/>
      <c r="N158" s="543"/>
      <c r="O158" s="543"/>
      <c r="P158" s="558"/>
      <c r="Q158" s="543"/>
      <c r="R158" s="543"/>
      <c r="S158" s="543"/>
      <c r="T158" s="587"/>
      <c r="U158" s="580"/>
      <c r="V158" s="581"/>
      <c r="W158" s="543"/>
      <c r="X158" s="543"/>
      <c r="Y158" s="543"/>
      <c r="Z158" s="543"/>
      <c r="AA158" s="543"/>
      <c r="AB158" s="543"/>
      <c r="AC158" s="592"/>
      <c r="AD158" s="580"/>
      <c r="AE158" s="593">
        <f t="shared" si="80"/>
        <v>10</v>
      </c>
      <c r="AF158" s="594"/>
      <c r="AG158" s="593"/>
      <c r="AH158" s="594">
        <f t="shared" si="81"/>
        <v>10</v>
      </c>
      <c r="AI158" s="605"/>
      <c r="AJ158" s="606">
        <f t="shared" si="82"/>
        <v>10</v>
      </c>
    </row>
    <row r="159" spans="1:36" s="276" customFormat="1" ht="20.25">
      <c r="A159" s="551" t="s">
        <v>623</v>
      </c>
      <c r="B159" s="552"/>
      <c r="C159" s="553"/>
      <c r="D159" s="559">
        <v>46133</v>
      </c>
      <c r="E159" s="319"/>
      <c r="F159" s="320"/>
      <c r="G159" s="320">
        <v>6</v>
      </c>
      <c r="H159" s="321"/>
      <c r="I159" s="321"/>
      <c r="J159" s="320"/>
      <c r="K159" s="351"/>
      <c r="L159" s="352"/>
      <c r="M159" s="353"/>
      <c r="N159" s="321"/>
      <c r="O159" s="321"/>
      <c r="P159" s="582"/>
      <c r="Q159" s="321"/>
      <c r="R159" s="321"/>
      <c r="S159" s="321"/>
      <c r="T159" s="354"/>
      <c r="U159" s="352"/>
      <c r="V159" s="353"/>
      <c r="W159" s="321"/>
      <c r="X159" s="321"/>
      <c r="Y159" s="321"/>
      <c r="Z159" s="321"/>
      <c r="AA159" s="321"/>
      <c r="AB159" s="321"/>
      <c r="AC159" s="380"/>
      <c r="AD159" s="352"/>
      <c r="AE159" s="408">
        <f t="shared" si="80"/>
        <v>6</v>
      </c>
      <c r="AF159" s="409"/>
      <c r="AG159" s="408"/>
      <c r="AH159" s="409">
        <f t="shared" si="81"/>
        <v>6</v>
      </c>
      <c r="AI159" s="410"/>
      <c r="AJ159" s="411">
        <f t="shared" si="82"/>
        <v>6</v>
      </c>
    </row>
    <row r="160" spans="1:36" s="276" customFormat="1" ht="20.25">
      <c r="A160" s="537" t="s">
        <v>668</v>
      </c>
      <c r="B160" s="552"/>
      <c r="C160" s="553"/>
      <c r="D160" s="544">
        <v>46135</v>
      </c>
      <c r="E160" s="541"/>
      <c r="F160" s="542"/>
      <c r="G160" s="542">
        <v>10</v>
      </c>
      <c r="H160" s="543"/>
      <c r="I160" s="543"/>
      <c r="J160" s="542"/>
      <c r="K160" s="579"/>
      <c r="L160" s="580"/>
      <c r="M160" s="581"/>
      <c r="N160" s="543"/>
      <c r="O160" s="543"/>
      <c r="P160" s="558"/>
      <c r="Q160" s="543"/>
      <c r="R160" s="543"/>
      <c r="S160" s="543"/>
      <c r="T160" s="587"/>
      <c r="U160" s="580"/>
      <c r="V160" s="581"/>
      <c r="W160" s="543"/>
      <c r="X160" s="543"/>
      <c r="Y160" s="543"/>
      <c r="Z160" s="543"/>
      <c r="AA160" s="543"/>
      <c r="AB160" s="543"/>
      <c r="AC160" s="592"/>
      <c r="AD160" s="580"/>
      <c r="AE160" s="593">
        <f t="shared" si="80"/>
        <v>10</v>
      </c>
      <c r="AF160" s="594"/>
      <c r="AG160" s="593"/>
      <c r="AH160" s="594">
        <f t="shared" si="81"/>
        <v>10</v>
      </c>
      <c r="AI160" s="605"/>
      <c r="AJ160" s="606">
        <f t="shared" si="82"/>
        <v>10</v>
      </c>
    </row>
    <row r="161" spans="1:36" s="276" customFormat="1" ht="20.25">
      <c r="A161" s="547" t="s">
        <v>676</v>
      </c>
      <c r="B161" s="552"/>
      <c r="C161" s="553"/>
      <c r="D161" s="544">
        <v>46138</v>
      </c>
      <c r="E161" s="319">
        <v>5</v>
      </c>
      <c r="F161" s="320">
        <v>10</v>
      </c>
      <c r="G161" s="320"/>
      <c r="H161" s="321">
        <v>5</v>
      </c>
      <c r="I161" s="321"/>
      <c r="J161" s="320"/>
      <c r="K161" s="351"/>
      <c r="L161" s="352"/>
      <c r="M161" s="353"/>
      <c r="N161" s="321"/>
      <c r="O161" s="321"/>
      <c r="P161" s="321"/>
      <c r="Q161" s="321"/>
      <c r="R161" s="321"/>
      <c r="S161" s="321"/>
      <c r="T161" s="354"/>
      <c r="U161" s="352"/>
      <c r="V161" s="353"/>
      <c r="W161" s="321"/>
      <c r="X161" s="321"/>
      <c r="Y161" s="321"/>
      <c r="Z161" s="321"/>
      <c r="AA161" s="321"/>
      <c r="AB161" s="321"/>
      <c r="AC161" s="380"/>
      <c r="AD161" s="352"/>
      <c r="AE161" s="408">
        <f t="shared" si="80"/>
        <v>20</v>
      </c>
      <c r="AF161" s="409"/>
      <c r="AG161" s="408"/>
      <c r="AH161" s="409">
        <f t="shared" si="81"/>
        <v>20</v>
      </c>
      <c r="AI161" s="410"/>
      <c r="AJ161" s="411">
        <f t="shared" si="82"/>
        <v>20</v>
      </c>
    </row>
    <row r="162" spans="1:36" s="234" customFormat="1" ht="20.25">
      <c r="A162" s="537" t="s">
        <v>629</v>
      </c>
      <c r="B162" s="552"/>
      <c r="C162" s="553"/>
      <c r="D162" s="555">
        <v>46138</v>
      </c>
      <c r="E162" s="319"/>
      <c r="F162" s="320">
        <v>5</v>
      </c>
      <c r="G162" s="320">
        <v>5</v>
      </c>
      <c r="H162" s="321"/>
      <c r="I162" s="321"/>
      <c r="J162" s="320"/>
      <c r="K162" s="351"/>
      <c r="L162" s="352"/>
      <c r="M162" s="353"/>
      <c r="N162" s="321"/>
      <c r="O162" s="321"/>
      <c r="P162" s="321"/>
      <c r="Q162" s="321"/>
      <c r="R162" s="321"/>
      <c r="S162" s="321"/>
      <c r="T162" s="354"/>
      <c r="U162" s="352"/>
      <c r="V162" s="353"/>
      <c r="W162" s="321"/>
      <c r="X162" s="321"/>
      <c r="Y162" s="321"/>
      <c r="Z162" s="321"/>
      <c r="AA162" s="321"/>
      <c r="AB162" s="321"/>
      <c r="AC162" s="380"/>
      <c r="AD162" s="352"/>
      <c r="AE162" s="408">
        <f t="shared" si="80"/>
        <v>10</v>
      </c>
      <c r="AF162" s="409"/>
      <c r="AG162" s="408"/>
      <c r="AH162" s="409">
        <f t="shared" si="81"/>
        <v>10</v>
      </c>
      <c r="AI162" s="410"/>
      <c r="AJ162" s="411">
        <f t="shared" si="82"/>
        <v>10</v>
      </c>
    </row>
    <row r="163" spans="1:36" s="276" customFormat="1" ht="22.5" customHeight="1">
      <c r="A163" s="547" t="s">
        <v>683</v>
      </c>
      <c r="B163" s="563"/>
      <c r="C163" s="553"/>
      <c r="D163" s="544">
        <v>46140</v>
      </c>
      <c r="E163" s="541">
        <v>10</v>
      </c>
      <c r="F163" s="542">
        <v>10</v>
      </c>
      <c r="G163" s="542">
        <v>10</v>
      </c>
      <c r="H163" s="543">
        <v>10</v>
      </c>
      <c r="I163" s="543"/>
      <c r="J163" s="542"/>
      <c r="K163" s="579"/>
      <c r="L163" s="580"/>
      <c r="M163" s="581"/>
      <c r="N163" s="543"/>
      <c r="O163" s="543"/>
      <c r="P163" s="543"/>
      <c r="Q163" s="543"/>
      <c r="R163" s="543"/>
      <c r="S163" s="543"/>
      <c r="T163" s="587"/>
      <c r="U163" s="580"/>
      <c r="V163" s="581"/>
      <c r="W163" s="543"/>
      <c r="X163" s="543"/>
      <c r="Y163" s="543"/>
      <c r="Z163" s="543"/>
      <c r="AA163" s="543"/>
      <c r="AB163" s="543"/>
      <c r="AC163" s="592"/>
      <c r="AD163" s="580"/>
      <c r="AE163" s="593">
        <f t="shared" si="80"/>
        <v>40</v>
      </c>
      <c r="AF163" s="594"/>
      <c r="AG163" s="593"/>
      <c r="AH163" s="594">
        <f t="shared" si="81"/>
        <v>40</v>
      </c>
      <c r="AI163" s="605"/>
      <c r="AJ163" s="606">
        <f t="shared" si="82"/>
        <v>40</v>
      </c>
    </row>
    <row r="164" spans="1:36" s="234" customFormat="1" ht="20.25">
      <c r="A164" s="537" t="s">
        <v>684</v>
      </c>
      <c r="B164" s="550"/>
      <c r="C164" s="549"/>
      <c r="D164" s="544">
        <v>46140</v>
      </c>
      <c r="E164" s="319">
        <v>15</v>
      </c>
      <c r="F164" s="320">
        <v>15</v>
      </c>
      <c r="G164" s="320"/>
      <c r="H164" s="321">
        <v>15</v>
      </c>
      <c r="I164" s="321"/>
      <c r="J164" s="320"/>
      <c r="K164" s="351"/>
      <c r="L164" s="352"/>
      <c r="M164" s="353"/>
      <c r="N164" s="321"/>
      <c r="O164" s="321"/>
      <c r="P164" s="321"/>
      <c r="Q164" s="321"/>
      <c r="R164" s="321"/>
      <c r="S164" s="321"/>
      <c r="T164" s="354"/>
      <c r="U164" s="352"/>
      <c r="V164" s="353"/>
      <c r="W164" s="321"/>
      <c r="X164" s="321"/>
      <c r="Y164" s="321"/>
      <c r="Z164" s="321"/>
      <c r="AA164" s="321"/>
      <c r="AB164" s="321"/>
      <c r="AC164" s="380"/>
      <c r="AD164" s="352"/>
      <c r="AE164" s="408">
        <f t="shared" si="80"/>
        <v>45</v>
      </c>
      <c r="AF164" s="409"/>
      <c r="AG164" s="408"/>
      <c r="AH164" s="409">
        <f t="shared" si="81"/>
        <v>45</v>
      </c>
      <c r="AI164" s="410"/>
      <c r="AJ164" s="411">
        <f t="shared" si="82"/>
        <v>45</v>
      </c>
    </row>
    <row r="165" spans="1:36" s="276" customFormat="1" ht="20.25">
      <c r="A165" s="551" t="s">
        <v>637</v>
      </c>
      <c r="B165" s="550"/>
      <c r="C165" s="549"/>
      <c r="D165" s="544">
        <v>46141</v>
      </c>
      <c r="E165" s="541"/>
      <c r="F165" s="542">
        <v>12</v>
      </c>
      <c r="G165" s="542"/>
      <c r="H165" s="543"/>
      <c r="I165" s="543"/>
      <c r="J165" s="542"/>
      <c r="K165" s="579"/>
      <c r="L165" s="580"/>
      <c r="M165" s="581"/>
      <c r="N165" s="543"/>
      <c r="O165" s="543"/>
      <c r="P165" s="543"/>
      <c r="Q165" s="543"/>
      <c r="R165" s="543"/>
      <c r="S165" s="543"/>
      <c r="T165" s="587"/>
      <c r="U165" s="580"/>
      <c r="V165" s="581"/>
      <c r="W165" s="543"/>
      <c r="X165" s="543"/>
      <c r="Y165" s="543"/>
      <c r="Z165" s="543"/>
      <c r="AA165" s="543"/>
      <c r="AB165" s="543"/>
      <c r="AC165" s="592"/>
      <c r="AD165" s="580"/>
      <c r="AE165" s="593">
        <f t="shared" si="80"/>
        <v>12</v>
      </c>
      <c r="AF165" s="594"/>
      <c r="AG165" s="593"/>
      <c r="AH165" s="594">
        <f t="shared" si="81"/>
        <v>12</v>
      </c>
      <c r="AI165" s="605"/>
      <c r="AJ165" s="411">
        <f t="shared" si="82"/>
        <v>12</v>
      </c>
    </row>
    <row r="166" spans="1:36" s="234" customFormat="1" ht="20.25">
      <c r="A166" s="537" t="s">
        <v>687</v>
      </c>
      <c r="B166" s="550"/>
      <c r="C166" s="549"/>
      <c r="D166" s="544">
        <v>46141</v>
      </c>
      <c r="E166" s="319">
        <v>10</v>
      </c>
      <c r="F166" s="320">
        <v>4</v>
      </c>
      <c r="G166" s="320"/>
      <c r="H166" s="321">
        <v>10</v>
      </c>
      <c r="I166" s="321"/>
      <c r="J166" s="320"/>
      <c r="K166" s="351"/>
      <c r="L166" s="352"/>
      <c r="M166" s="353"/>
      <c r="N166" s="321"/>
      <c r="O166" s="321"/>
      <c r="P166" s="321"/>
      <c r="Q166" s="321"/>
      <c r="R166" s="321"/>
      <c r="S166" s="321"/>
      <c r="T166" s="354"/>
      <c r="U166" s="352"/>
      <c r="V166" s="353"/>
      <c r="W166" s="321"/>
      <c r="X166" s="321"/>
      <c r="Y166" s="321"/>
      <c r="Z166" s="321"/>
      <c r="AA166" s="321"/>
      <c r="AB166" s="321"/>
      <c r="AC166" s="380"/>
      <c r="AD166" s="352"/>
      <c r="AE166" s="408">
        <f t="shared" si="80"/>
        <v>24</v>
      </c>
      <c r="AF166" s="409"/>
      <c r="AG166" s="408"/>
      <c r="AH166" s="409">
        <f t="shared" si="81"/>
        <v>24</v>
      </c>
      <c r="AI166" s="410"/>
      <c r="AJ166" s="411">
        <f t="shared" si="82"/>
        <v>24</v>
      </c>
    </row>
    <row r="167" spans="1:36" s="276" customFormat="1" ht="20.25">
      <c r="A167" s="551" t="s">
        <v>619</v>
      </c>
      <c r="B167" s="550"/>
      <c r="C167" s="549"/>
      <c r="D167" s="544">
        <v>46142</v>
      </c>
      <c r="E167" s="541"/>
      <c r="F167" s="542">
        <v>10</v>
      </c>
      <c r="G167" s="542">
        <v>10</v>
      </c>
      <c r="H167" s="543">
        <v>5</v>
      </c>
      <c r="I167" s="543"/>
      <c r="J167" s="542"/>
      <c r="K167" s="579"/>
      <c r="L167" s="580"/>
      <c r="M167" s="581"/>
      <c r="N167" s="543"/>
      <c r="O167" s="543"/>
      <c r="P167" s="543"/>
      <c r="Q167" s="543"/>
      <c r="R167" s="543"/>
      <c r="S167" s="543"/>
      <c r="T167" s="587"/>
      <c r="U167" s="580"/>
      <c r="V167" s="581"/>
      <c r="W167" s="543"/>
      <c r="X167" s="543"/>
      <c r="Y167" s="543"/>
      <c r="Z167" s="543"/>
      <c r="AA167" s="543"/>
      <c r="AB167" s="543"/>
      <c r="AC167" s="592"/>
      <c r="AD167" s="580"/>
      <c r="AE167" s="593">
        <f t="shared" si="80"/>
        <v>25</v>
      </c>
      <c r="AF167" s="594"/>
      <c r="AG167" s="593"/>
      <c r="AH167" s="594">
        <f t="shared" si="81"/>
        <v>25</v>
      </c>
      <c r="AI167" s="605"/>
      <c r="AJ167" s="606">
        <f t="shared" si="82"/>
        <v>25</v>
      </c>
    </row>
    <row r="168" spans="1:36" s="234" customFormat="1" ht="20.25">
      <c r="A168" s="551"/>
      <c r="B168" s="550"/>
      <c r="C168" s="549"/>
      <c r="D168" s="544"/>
      <c r="E168" s="541"/>
      <c r="F168" s="542"/>
      <c r="G168" s="542"/>
      <c r="H168" s="543"/>
      <c r="I168" s="543"/>
      <c r="J168" s="542"/>
      <c r="K168" s="579"/>
      <c r="L168" s="580"/>
      <c r="M168" s="581"/>
      <c r="N168" s="543"/>
      <c r="O168" s="543"/>
      <c r="P168" s="543"/>
      <c r="Q168" s="543"/>
      <c r="R168" s="543"/>
      <c r="S168" s="543"/>
      <c r="T168" s="587"/>
      <c r="U168" s="580"/>
      <c r="V168" s="581"/>
      <c r="W168" s="543"/>
      <c r="X168" s="543"/>
      <c r="Y168" s="543"/>
      <c r="Z168" s="543"/>
      <c r="AA168" s="543"/>
      <c r="AB168" s="543"/>
      <c r="AC168" s="592"/>
      <c r="AD168" s="580"/>
      <c r="AE168" s="593">
        <f t="shared" si="80"/>
        <v>0</v>
      </c>
      <c r="AF168" s="594"/>
      <c r="AG168" s="593"/>
      <c r="AH168" s="594">
        <f t="shared" si="81"/>
        <v>0</v>
      </c>
      <c r="AI168" s="605"/>
      <c r="AJ168" s="606">
        <f t="shared" si="82"/>
        <v>0</v>
      </c>
    </row>
    <row r="169" spans="1:36" s="276" customFormat="1" ht="20.25">
      <c r="A169" s="537"/>
      <c r="B169" s="550"/>
      <c r="C169" s="549"/>
      <c r="D169" s="544"/>
      <c r="E169" s="541"/>
      <c r="F169" s="542"/>
      <c r="G169" s="542"/>
      <c r="H169" s="543"/>
      <c r="I169" s="543"/>
      <c r="J169" s="542"/>
      <c r="K169" s="579"/>
      <c r="L169" s="580"/>
      <c r="M169" s="581"/>
      <c r="N169" s="543"/>
      <c r="O169" s="543"/>
      <c r="P169" s="543"/>
      <c r="Q169" s="543"/>
      <c r="R169" s="543"/>
      <c r="S169" s="543"/>
      <c r="T169" s="587"/>
      <c r="U169" s="580"/>
      <c r="V169" s="581"/>
      <c r="W169" s="543"/>
      <c r="X169" s="543"/>
      <c r="Y169" s="543"/>
      <c r="Z169" s="543"/>
      <c r="AA169" s="543"/>
      <c r="AB169" s="543"/>
      <c r="AC169" s="592"/>
      <c r="AD169" s="580"/>
      <c r="AE169" s="593">
        <f t="shared" si="80"/>
        <v>0</v>
      </c>
      <c r="AF169" s="594"/>
      <c r="AG169" s="593"/>
      <c r="AH169" s="594">
        <f t="shared" si="81"/>
        <v>0</v>
      </c>
      <c r="AI169" s="605"/>
      <c r="AJ169" s="606">
        <f t="shared" si="82"/>
        <v>0</v>
      </c>
    </row>
    <row r="170" spans="1:36" s="234" customFormat="1" ht="20.25">
      <c r="A170" s="537"/>
      <c r="B170" s="550"/>
      <c r="C170" s="549"/>
      <c r="D170" s="544"/>
      <c r="E170" s="319"/>
      <c r="F170" s="320"/>
      <c r="G170" s="320"/>
      <c r="H170" s="321"/>
      <c r="I170" s="321"/>
      <c r="J170" s="320"/>
      <c r="K170" s="351"/>
      <c r="L170" s="352"/>
      <c r="M170" s="353"/>
      <c r="N170" s="321"/>
      <c r="O170" s="321"/>
      <c r="P170" s="321"/>
      <c r="Q170" s="321"/>
      <c r="R170" s="321"/>
      <c r="S170" s="321"/>
      <c r="T170" s="354"/>
      <c r="U170" s="352"/>
      <c r="V170" s="353"/>
      <c r="W170" s="321"/>
      <c r="X170" s="321"/>
      <c r="Y170" s="321"/>
      <c r="Z170" s="321"/>
      <c r="AA170" s="321"/>
      <c r="AB170" s="321"/>
      <c r="AC170" s="380"/>
      <c r="AD170" s="352"/>
      <c r="AE170" s="408">
        <f t="shared" si="80"/>
        <v>0</v>
      </c>
      <c r="AF170" s="409"/>
      <c r="AG170" s="408"/>
      <c r="AH170" s="409">
        <f t="shared" si="81"/>
        <v>0</v>
      </c>
      <c r="AI170" s="410"/>
      <c r="AJ170" s="411">
        <f t="shared" si="82"/>
        <v>0</v>
      </c>
    </row>
    <row r="171" spans="1:36" s="276" customFormat="1" ht="26.25">
      <c r="A171" s="537"/>
      <c r="B171" s="550"/>
      <c r="C171" s="549"/>
      <c r="D171" s="544"/>
      <c r="E171" s="541"/>
      <c r="F171" s="542"/>
      <c r="G171" s="542"/>
      <c r="H171" s="543"/>
      <c r="I171" s="543"/>
      <c r="J171" s="542"/>
      <c r="K171" s="579"/>
      <c r="L171" s="580"/>
      <c r="M171" s="581"/>
      <c r="N171" s="543"/>
      <c r="O171" s="543"/>
      <c r="P171" s="543"/>
      <c r="Q171" s="543"/>
      <c r="R171" s="543"/>
      <c r="S171" s="543"/>
      <c r="T171" s="587"/>
      <c r="U171" s="580"/>
      <c r="V171" s="581"/>
      <c r="W171" s="543"/>
      <c r="X171" s="543"/>
      <c r="Y171" s="543"/>
      <c r="Z171" s="598"/>
      <c r="AA171" s="543"/>
      <c r="AB171" s="543"/>
      <c r="AC171" s="592"/>
      <c r="AD171" s="580"/>
      <c r="AE171" s="593">
        <f t="shared" si="80"/>
        <v>0</v>
      </c>
      <c r="AF171" s="594"/>
      <c r="AG171" s="593"/>
      <c r="AH171" s="594">
        <f t="shared" si="81"/>
        <v>0</v>
      </c>
      <c r="AI171" s="605"/>
      <c r="AJ171" s="606">
        <f t="shared" si="82"/>
        <v>0</v>
      </c>
    </row>
    <row r="172" spans="1:36" s="234" customFormat="1" ht="20.25">
      <c r="A172" s="537"/>
      <c r="B172" s="550"/>
      <c r="C172" s="549"/>
      <c r="D172" s="544"/>
      <c r="E172" s="319"/>
      <c r="F172" s="320"/>
      <c r="G172" s="320"/>
      <c r="H172" s="321"/>
      <c r="I172" s="321"/>
      <c r="J172" s="320"/>
      <c r="K172" s="351"/>
      <c r="L172" s="352"/>
      <c r="M172" s="353"/>
      <c r="N172" s="321"/>
      <c r="O172" s="321"/>
      <c r="P172" s="321"/>
      <c r="Q172" s="321"/>
      <c r="R172" s="321"/>
      <c r="S172" s="321"/>
      <c r="T172" s="354"/>
      <c r="U172" s="352"/>
      <c r="V172" s="353"/>
      <c r="W172" s="321"/>
      <c r="X172" s="321"/>
      <c r="Y172" s="321"/>
      <c r="Z172" s="543"/>
      <c r="AA172" s="321"/>
      <c r="AB172" s="321"/>
      <c r="AC172" s="380"/>
      <c r="AD172" s="352"/>
      <c r="AE172" s="408">
        <f t="shared" si="80"/>
        <v>0</v>
      </c>
      <c r="AF172" s="409"/>
      <c r="AG172" s="408"/>
      <c r="AH172" s="409">
        <f t="shared" si="81"/>
        <v>0</v>
      </c>
      <c r="AI172" s="410"/>
      <c r="AJ172" s="411">
        <f t="shared" si="82"/>
        <v>0</v>
      </c>
    </row>
    <row r="173" spans="1:36" s="234" customFormat="1" ht="20.25">
      <c r="A173" s="551"/>
      <c r="B173" s="550"/>
      <c r="C173" s="549"/>
      <c r="D173" s="544"/>
      <c r="E173" s="541"/>
      <c r="F173" s="542"/>
      <c r="G173" s="542"/>
      <c r="H173" s="543"/>
      <c r="I173" s="543"/>
      <c r="J173" s="542"/>
      <c r="K173" s="579"/>
      <c r="L173" s="580"/>
      <c r="M173" s="581"/>
      <c r="N173" s="543"/>
      <c r="O173" s="543"/>
      <c r="P173" s="543"/>
      <c r="Q173" s="543"/>
      <c r="R173" s="543"/>
      <c r="S173" s="543"/>
      <c r="T173" s="587"/>
      <c r="U173" s="580"/>
      <c r="V173" s="581"/>
      <c r="W173" s="543"/>
      <c r="X173" s="543"/>
      <c r="Y173" s="543"/>
      <c r="Z173" s="543"/>
      <c r="AA173" s="543"/>
      <c r="AB173" s="543"/>
      <c r="AC173" s="592"/>
      <c r="AD173" s="580"/>
      <c r="AE173" s="593">
        <f t="shared" si="80"/>
        <v>0</v>
      </c>
      <c r="AF173" s="594"/>
      <c r="AG173" s="593"/>
      <c r="AH173" s="594">
        <f t="shared" si="81"/>
        <v>0</v>
      </c>
      <c r="AI173" s="605"/>
      <c r="AJ173" s="606">
        <f t="shared" si="82"/>
        <v>0</v>
      </c>
    </row>
    <row r="174" spans="1:36" s="276" customFormat="1" ht="20.25">
      <c r="A174" s="537"/>
      <c r="B174" s="550"/>
      <c r="C174" s="549"/>
      <c r="D174" s="544"/>
      <c r="E174" s="319"/>
      <c r="F174" s="320"/>
      <c r="G174" s="320"/>
      <c r="H174" s="321"/>
      <c r="I174" s="321"/>
      <c r="J174" s="320"/>
      <c r="K174" s="351"/>
      <c r="L174" s="352"/>
      <c r="M174" s="353"/>
      <c r="N174" s="321"/>
      <c r="O174" s="321"/>
      <c r="P174" s="321"/>
      <c r="Q174" s="321"/>
      <c r="R174" s="321"/>
      <c r="S174" s="321"/>
      <c r="T174" s="354"/>
      <c r="U174" s="352"/>
      <c r="V174" s="353"/>
      <c r="W174" s="321"/>
      <c r="X174" s="321"/>
      <c r="Y174" s="321"/>
      <c r="Z174" s="321"/>
      <c r="AA174" s="321"/>
      <c r="AB174" s="321"/>
      <c r="AC174" s="380"/>
      <c r="AD174" s="352"/>
      <c r="AE174" s="408">
        <f t="shared" si="80"/>
        <v>0</v>
      </c>
      <c r="AF174" s="409"/>
      <c r="AG174" s="408"/>
      <c r="AH174" s="409">
        <f t="shared" si="81"/>
        <v>0</v>
      </c>
      <c r="AI174" s="410"/>
      <c r="AJ174" s="411">
        <f t="shared" si="82"/>
        <v>0</v>
      </c>
    </row>
    <row r="175" spans="1:36" s="276" customFormat="1" ht="20.25">
      <c r="A175" s="537"/>
      <c r="B175" s="552"/>
      <c r="C175" s="552"/>
      <c r="D175" s="544"/>
      <c r="E175" s="541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/>
      <c r="P175" s="543"/>
      <c r="Q175" s="543"/>
      <c r="R175" s="543"/>
      <c r="S175" s="543"/>
      <c r="T175" s="587"/>
      <c r="U175" s="580"/>
      <c r="V175" s="581"/>
      <c r="W175" s="543"/>
      <c r="X175" s="543"/>
      <c r="Y175" s="543"/>
      <c r="Z175" s="543"/>
      <c r="AA175" s="543"/>
      <c r="AB175" s="543"/>
      <c r="AC175" s="592"/>
      <c r="AD175" s="580"/>
      <c r="AE175" s="593">
        <f t="shared" si="80"/>
        <v>0</v>
      </c>
      <c r="AF175" s="594"/>
      <c r="AG175" s="593"/>
      <c r="AH175" s="594">
        <f t="shared" si="81"/>
        <v>0</v>
      </c>
      <c r="AI175" s="605"/>
      <c r="AJ175" s="606">
        <f t="shared" si="82"/>
        <v>0</v>
      </c>
    </row>
    <row r="176" spans="1:36" s="234" customFormat="1" ht="20.25">
      <c r="A176" s="551"/>
      <c r="B176" s="552"/>
      <c r="C176" s="552"/>
      <c r="D176" s="544"/>
      <c r="E176" s="319"/>
      <c r="F176" s="320"/>
      <c r="G176" s="320"/>
      <c r="H176" s="321"/>
      <c r="I176" s="321"/>
      <c r="J176" s="320"/>
      <c r="K176" s="351"/>
      <c r="L176" s="352"/>
      <c r="M176" s="353"/>
      <c r="N176" s="321"/>
      <c r="O176" s="321"/>
      <c r="P176" s="321"/>
      <c r="Q176" s="321"/>
      <c r="R176" s="321"/>
      <c r="S176" s="321"/>
      <c r="T176" s="354"/>
      <c r="U176" s="352"/>
      <c r="V176" s="353"/>
      <c r="W176" s="321"/>
      <c r="X176" s="321"/>
      <c r="Y176" s="321"/>
      <c r="Z176" s="321"/>
      <c r="AA176" s="321"/>
      <c r="AB176" s="321"/>
      <c r="AC176" s="380"/>
      <c r="AD176" s="352"/>
      <c r="AE176" s="408">
        <f t="shared" si="80"/>
        <v>0</v>
      </c>
      <c r="AF176" s="409"/>
      <c r="AG176" s="408"/>
      <c r="AH176" s="409">
        <f t="shared" si="81"/>
        <v>0</v>
      </c>
      <c r="AI176" s="410"/>
      <c r="AJ176" s="411">
        <f t="shared" si="82"/>
        <v>0</v>
      </c>
    </row>
    <row r="177" spans="1:36" s="276" customFormat="1" ht="20.25">
      <c r="A177" s="537"/>
      <c r="B177" s="550"/>
      <c r="C177" s="2647"/>
      <c r="D177" s="544"/>
      <c r="E177" s="541"/>
      <c r="F177" s="542"/>
      <c r="G177" s="542"/>
      <c r="H177" s="543"/>
      <c r="I177" s="543"/>
      <c r="J177" s="542"/>
      <c r="K177" s="579"/>
      <c r="L177" s="580"/>
      <c r="M177" s="581"/>
      <c r="N177" s="543"/>
      <c r="O177" s="543"/>
      <c r="P177" s="543"/>
      <c r="Q177" s="543"/>
      <c r="R177" s="543"/>
      <c r="S177" s="543"/>
      <c r="T177" s="587"/>
      <c r="U177" s="580"/>
      <c r="V177" s="581"/>
      <c r="W177" s="543"/>
      <c r="X177" s="543"/>
      <c r="Y177" s="543"/>
      <c r="Z177" s="543"/>
      <c r="AA177" s="543"/>
      <c r="AB177" s="543"/>
      <c r="AC177" s="592"/>
      <c r="AD177" s="580"/>
      <c r="AE177" s="593">
        <f t="shared" si="80"/>
        <v>0</v>
      </c>
      <c r="AF177" s="594"/>
      <c r="AG177" s="593"/>
      <c r="AH177" s="594">
        <f t="shared" si="81"/>
        <v>0</v>
      </c>
      <c r="AI177" s="605"/>
      <c r="AJ177" s="606">
        <f t="shared" si="82"/>
        <v>0</v>
      </c>
    </row>
    <row r="178" spans="1:36" s="276" customFormat="1" ht="20.25">
      <c r="A178" s="537"/>
      <c r="B178" s="550"/>
      <c r="C178" s="2647"/>
      <c r="D178" s="544"/>
      <c r="E178" s="319"/>
      <c r="F178" s="320"/>
      <c r="G178" s="320"/>
      <c r="H178" s="321"/>
      <c r="I178" s="321"/>
      <c r="J178" s="320"/>
      <c r="K178" s="351"/>
      <c r="L178" s="352"/>
      <c r="M178" s="353"/>
      <c r="N178" s="321"/>
      <c r="O178" s="321"/>
      <c r="P178" s="321"/>
      <c r="Q178" s="321"/>
      <c r="R178" s="321"/>
      <c r="S178" s="321"/>
      <c r="T178" s="354"/>
      <c r="U178" s="352"/>
      <c r="V178" s="353"/>
      <c r="W178" s="321"/>
      <c r="X178" s="321"/>
      <c r="Y178" s="321"/>
      <c r="Z178" s="321"/>
      <c r="AA178" s="321"/>
      <c r="AB178" s="321"/>
      <c r="AC178" s="380"/>
      <c r="AD178" s="352"/>
      <c r="AE178" s="408">
        <f t="shared" si="80"/>
        <v>0</v>
      </c>
      <c r="AF178" s="409"/>
      <c r="AG178" s="408"/>
      <c r="AH178" s="409">
        <f t="shared" si="81"/>
        <v>0</v>
      </c>
      <c r="AI178" s="410"/>
      <c r="AJ178" s="411">
        <f t="shared" si="82"/>
        <v>0</v>
      </c>
    </row>
    <row r="179" spans="1:36" s="234" customFormat="1" ht="20.25">
      <c r="A179" s="537"/>
      <c r="B179" s="554"/>
      <c r="C179" s="554"/>
      <c r="D179" s="555"/>
      <c r="E179" s="541"/>
      <c r="F179" s="542"/>
      <c r="G179" s="542"/>
      <c r="H179" s="543"/>
      <c r="I179" s="543"/>
      <c r="J179" s="542"/>
      <c r="K179" s="579"/>
      <c r="L179" s="580"/>
      <c r="M179" s="581"/>
      <c r="N179" s="543"/>
      <c r="O179" s="543"/>
      <c r="P179" s="543"/>
      <c r="Q179" s="543"/>
      <c r="R179" s="543"/>
      <c r="S179" s="543"/>
      <c r="T179" s="587"/>
      <c r="U179" s="580"/>
      <c r="V179" s="581"/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si="80"/>
        <v>0</v>
      </c>
      <c r="AF179" s="594"/>
      <c r="AG179" s="593"/>
      <c r="AH179" s="594">
        <f t="shared" si="81"/>
        <v>0</v>
      </c>
      <c r="AI179" s="605"/>
      <c r="AJ179" s="606">
        <f t="shared" si="82"/>
        <v>0</v>
      </c>
    </row>
    <row r="180" spans="1:36" s="276" customFormat="1" ht="20.25">
      <c r="A180" s="537"/>
      <c r="B180" s="552"/>
      <c r="C180" s="552"/>
      <c r="D180" s="544"/>
      <c r="E180" s="319"/>
      <c r="F180" s="320"/>
      <c r="G180" s="320"/>
      <c r="H180" s="321"/>
      <c r="I180" s="321"/>
      <c r="J180" s="320"/>
      <c r="K180" s="351"/>
      <c r="L180" s="352"/>
      <c r="M180" s="353"/>
      <c r="N180" s="321"/>
      <c r="O180" s="321"/>
      <c r="P180" s="321"/>
      <c r="Q180" s="321"/>
      <c r="R180" s="321"/>
      <c r="S180" s="321"/>
      <c r="T180" s="354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80"/>
        <v>0</v>
      </c>
      <c r="AF180" s="409"/>
      <c r="AG180" s="408"/>
      <c r="AH180" s="409">
        <f t="shared" si="81"/>
        <v>0</v>
      </c>
      <c r="AI180" s="410"/>
      <c r="AJ180" s="411">
        <f t="shared" si="82"/>
        <v>0</v>
      </c>
    </row>
    <row r="181" spans="1:36" s="276" customFormat="1" ht="20.25">
      <c r="A181" s="547"/>
      <c r="B181" s="552"/>
      <c r="C181" s="552"/>
      <c r="D181" s="544"/>
      <c r="E181" s="319"/>
      <c r="F181" s="320"/>
      <c r="G181" s="320"/>
      <c r="H181" s="321"/>
      <c r="I181" s="321"/>
      <c r="J181" s="320"/>
      <c r="K181" s="351"/>
      <c r="L181" s="352"/>
      <c r="M181" s="353"/>
      <c r="N181" s="321"/>
      <c r="O181" s="321"/>
      <c r="P181" s="321"/>
      <c r="Q181" s="321"/>
      <c r="R181" s="321"/>
      <c r="S181" s="321"/>
      <c r="T181" s="354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408">
        <f t="shared" si="80"/>
        <v>0</v>
      </c>
      <c r="AF181" s="409"/>
      <c r="AG181" s="408"/>
      <c r="AH181" s="409">
        <f t="shared" si="81"/>
        <v>0</v>
      </c>
      <c r="AI181" s="410"/>
      <c r="AJ181" s="411">
        <f t="shared" si="82"/>
        <v>0</v>
      </c>
    </row>
    <row r="182" spans="1:36" s="234" customFormat="1" ht="20.25">
      <c r="A182" s="551"/>
      <c r="B182" s="552"/>
      <c r="C182" s="552"/>
      <c r="D182" s="568"/>
      <c r="E182" s="541"/>
      <c r="F182" s="542"/>
      <c r="G182" s="542"/>
      <c r="H182" s="543"/>
      <c r="I182" s="543"/>
      <c r="J182" s="542"/>
      <c r="K182" s="579"/>
      <c r="L182" s="580"/>
      <c r="M182" s="581"/>
      <c r="N182" s="543"/>
      <c r="O182" s="543"/>
      <c r="P182" s="543"/>
      <c r="Q182" s="543"/>
      <c r="R182" s="543"/>
      <c r="S182" s="543"/>
      <c r="T182" s="587"/>
      <c r="U182" s="580"/>
      <c r="V182" s="581"/>
      <c r="W182" s="543"/>
      <c r="X182" s="543"/>
      <c r="Y182" s="543"/>
      <c r="Z182" s="543"/>
      <c r="AA182" s="543"/>
      <c r="AB182" s="543"/>
      <c r="AC182" s="592"/>
      <c r="AD182" s="580"/>
      <c r="AE182" s="593">
        <f t="shared" si="80"/>
        <v>0</v>
      </c>
      <c r="AF182" s="594"/>
      <c r="AG182" s="593"/>
      <c r="AH182" s="594">
        <f t="shared" si="81"/>
        <v>0</v>
      </c>
      <c r="AI182" s="605"/>
      <c r="AJ182" s="606">
        <f t="shared" si="82"/>
        <v>0</v>
      </c>
    </row>
    <row r="183" spans="1:36" s="276" customFormat="1" ht="20.25">
      <c r="A183" s="551"/>
      <c r="B183" s="563"/>
      <c r="C183" s="552"/>
      <c r="D183" s="318"/>
      <c r="E183" s="54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43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80"/>
        <v>0</v>
      </c>
      <c r="AF183" s="594"/>
      <c r="AG183" s="593"/>
      <c r="AH183" s="594">
        <f t="shared" si="81"/>
        <v>0</v>
      </c>
      <c r="AI183" s="605"/>
      <c r="AJ183" s="606">
        <f t="shared" si="82"/>
        <v>0</v>
      </c>
    </row>
    <row r="184" spans="1:36" s="234" customFormat="1" ht="20.25">
      <c r="A184" s="537"/>
      <c r="B184" s="563"/>
      <c r="C184" s="552"/>
      <c r="D184" s="318"/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54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593">
        <f t="shared" si="80"/>
        <v>0</v>
      </c>
      <c r="AF184" s="409"/>
      <c r="AG184" s="408"/>
      <c r="AH184" s="409">
        <f t="shared" si="81"/>
        <v>0</v>
      </c>
      <c r="AI184" s="410"/>
      <c r="AJ184" s="411">
        <f t="shared" si="82"/>
        <v>0</v>
      </c>
    </row>
    <row r="185" spans="1:36" s="276" customFormat="1" ht="20.25">
      <c r="A185" s="561"/>
      <c r="B185" s="554"/>
      <c r="C185" s="554"/>
      <c r="D185" s="555"/>
      <c r="E185" s="541"/>
      <c r="F185" s="542"/>
      <c r="G185" s="542"/>
      <c r="H185" s="543"/>
      <c r="I185" s="543"/>
      <c r="J185" s="542"/>
      <c r="K185" s="579"/>
      <c r="L185" s="580"/>
      <c r="M185" s="581"/>
      <c r="N185" s="543"/>
      <c r="O185" s="543"/>
      <c r="P185" s="543"/>
      <c r="Q185" s="543"/>
      <c r="R185" s="543"/>
      <c r="S185" s="543"/>
      <c r="T185" s="587"/>
      <c r="U185" s="580"/>
      <c r="V185" s="581"/>
      <c r="W185" s="543"/>
      <c r="X185" s="543"/>
      <c r="Y185" s="543"/>
      <c r="Z185" s="543"/>
      <c r="AA185" s="543"/>
      <c r="AB185" s="543"/>
      <c r="AC185" s="592"/>
      <c r="AD185" s="580"/>
      <c r="AE185" s="593">
        <f t="shared" si="80"/>
        <v>0</v>
      </c>
      <c r="AF185" s="594"/>
      <c r="AG185" s="593"/>
      <c r="AH185" s="594">
        <f t="shared" si="81"/>
        <v>0</v>
      </c>
      <c r="AI185" s="605"/>
      <c r="AJ185" s="606">
        <f t="shared" si="82"/>
        <v>0</v>
      </c>
    </row>
    <row r="186" spans="1:36" s="234" customFormat="1" ht="20.25">
      <c r="A186" s="561"/>
      <c r="B186" s="554"/>
      <c r="C186" s="554"/>
      <c r="D186" s="555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80"/>
        <v>0</v>
      </c>
      <c r="AF186" s="594"/>
      <c r="AG186" s="593"/>
      <c r="AH186" s="594">
        <f t="shared" si="81"/>
        <v>0</v>
      </c>
      <c r="AI186" s="605"/>
      <c r="AJ186" s="606">
        <f t="shared" si="82"/>
        <v>0</v>
      </c>
    </row>
    <row r="187" spans="1:36" s="234" customFormat="1" ht="20.25">
      <c r="A187" s="1180"/>
      <c r="B187" s="727"/>
      <c r="C187" s="727"/>
      <c r="D187" s="1181"/>
      <c r="E187" s="319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321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80"/>
        <v>0</v>
      </c>
      <c r="AF187" s="409"/>
      <c r="AG187" s="408"/>
      <c r="AH187" s="409">
        <f t="shared" si="81"/>
        <v>0</v>
      </c>
      <c r="AI187" s="410"/>
      <c r="AJ187" s="411">
        <f t="shared" si="82"/>
        <v>0</v>
      </c>
    </row>
    <row r="188" spans="1:36" s="234" customFormat="1" ht="20.25">
      <c r="A188" s="561"/>
      <c r="B188" s="554"/>
      <c r="C188" s="554"/>
      <c r="D188" s="555"/>
      <c r="E188" s="541"/>
      <c r="F188" s="542"/>
      <c r="G188" s="542"/>
      <c r="H188" s="543"/>
      <c r="I188" s="543"/>
      <c r="J188" s="542"/>
      <c r="K188" s="579"/>
      <c r="L188" s="580"/>
      <c r="M188" s="581"/>
      <c r="N188" s="543"/>
      <c r="O188" s="543"/>
      <c r="P188" s="543"/>
      <c r="Q188" s="543"/>
      <c r="R188" s="543"/>
      <c r="S188" s="543"/>
      <c r="T188" s="587"/>
      <c r="U188" s="580"/>
      <c r="V188" s="581"/>
      <c r="W188" s="543"/>
      <c r="X188" s="543"/>
      <c r="Y188" s="543"/>
      <c r="Z188" s="543"/>
      <c r="AA188" s="543"/>
      <c r="AB188" s="543"/>
      <c r="AC188" s="592"/>
      <c r="AD188" s="580"/>
      <c r="AE188" s="593">
        <f t="shared" si="80"/>
        <v>0</v>
      </c>
      <c r="AF188" s="594"/>
      <c r="AG188" s="593"/>
      <c r="AH188" s="594">
        <f t="shared" si="81"/>
        <v>0</v>
      </c>
      <c r="AI188" s="605"/>
      <c r="AJ188" s="606">
        <f t="shared" si="82"/>
        <v>0</v>
      </c>
    </row>
    <row r="189" spans="1:36" s="234" customFormat="1" ht="20.25">
      <c r="A189" s="561"/>
      <c r="B189" s="554"/>
      <c r="C189" s="554"/>
      <c r="D189" s="555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80"/>
        <v>0</v>
      </c>
      <c r="AF189" s="594"/>
      <c r="AG189" s="593"/>
      <c r="AH189" s="594">
        <f t="shared" si="81"/>
        <v>0</v>
      </c>
      <c r="AI189" s="605"/>
      <c r="AJ189" s="606">
        <f t="shared" si="82"/>
        <v>0</v>
      </c>
    </row>
    <row r="190" spans="1:36" s="234" customFormat="1" ht="20.25">
      <c r="A190" s="1180"/>
      <c r="B190" s="727"/>
      <c r="C190" s="727"/>
      <c r="D190" s="1181"/>
      <c r="E190" s="319"/>
      <c r="F190" s="320"/>
      <c r="G190" s="320"/>
      <c r="H190" s="321"/>
      <c r="I190" s="321"/>
      <c r="J190" s="320"/>
      <c r="K190" s="351"/>
      <c r="L190" s="352"/>
      <c r="M190" s="353"/>
      <c r="N190" s="321"/>
      <c r="O190" s="321"/>
      <c r="P190" s="321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408">
        <f t="shared" si="80"/>
        <v>0</v>
      </c>
      <c r="AF190" s="409"/>
      <c r="AG190" s="408"/>
      <c r="AH190" s="409">
        <f t="shared" si="81"/>
        <v>0</v>
      </c>
      <c r="AI190" s="410"/>
      <c r="AJ190" s="411">
        <f t="shared" si="82"/>
        <v>0</v>
      </c>
    </row>
    <row r="191" spans="1:36" s="234" customFormat="1" ht="20.25">
      <c r="A191" s="561"/>
      <c r="B191" s="554"/>
      <c r="C191" s="554"/>
      <c r="D191" s="555"/>
      <c r="E191" s="541"/>
      <c r="F191" s="542"/>
      <c r="G191" s="542"/>
      <c r="H191" s="543"/>
      <c r="I191" s="543"/>
      <c r="J191" s="542"/>
      <c r="K191" s="579"/>
      <c r="L191" s="580"/>
      <c r="M191" s="581"/>
      <c r="N191" s="543"/>
      <c r="O191" s="543"/>
      <c r="P191" s="543"/>
      <c r="Q191" s="543"/>
      <c r="R191" s="543"/>
      <c r="S191" s="543"/>
      <c r="T191" s="58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si="80"/>
        <v>0</v>
      </c>
      <c r="AF191" s="594"/>
      <c r="AG191" s="593"/>
      <c r="AH191" s="594">
        <f t="shared" si="81"/>
        <v>0</v>
      </c>
      <c r="AI191" s="605"/>
      <c r="AJ191" s="606">
        <f t="shared" si="82"/>
        <v>0</v>
      </c>
    </row>
    <row r="192" spans="1:36" s="234" customFormat="1" ht="20.25">
      <c r="A192" s="1180"/>
      <c r="B192" s="727"/>
      <c r="C192" s="727"/>
      <c r="D192" s="1181"/>
      <c r="E192" s="319"/>
      <c r="F192" s="320"/>
      <c r="G192" s="320"/>
      <c r="H192" s="321"/>
      <c r="I192" s="321"/>
      <c r="J192" s="320"/>
      <c r="K192" s="351"/>
      <c r="L192" s="352"/>
      <c r="M192" s="353"/>
      <c r="N192" s="321"/>
      <c r="O192" s="321"/>
      <c r="P192" s="321"/>
      <c r="Q192" s="321"/>
      <c r="R192" s="321"/>
      <c r="S192" s="321"/>
      <c r="T192" s="354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80"/>
        <v>0</v>
      </c>
      <c r="AF192" s="409"/>
      <c r="AG192" s="408"/>
      <c r="AH192" s="409">
        <f t="shared" si="81"/>
        <v>0</v>
      </c>
      <c r="AI192" s="410"/>
      <c r="AJ192" s="411">
        <f t="shared" si="82"/>
        <v>0</v>
      </c>
    </row>
    <row r="193" spans="1:39" s="234" customFormat="1" ht="20.25">
      <c r="A193" s="561"/>
      <c r="B193" s="554"/>
      <c r="C193" s="554"/>
      <c r="D193" s="555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58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si="80"/>
        <v>0</v>
      </c>
      <c r="AF193" s="594"/>
      <c r="AG193" s="593"/>
      <c r="AH193" s="594">
        <f t="shared" si="81"/>
        <v>0</v>
      </c>
      <c r="AI193" s="605"/>
      <c r="AJ193" s="606">
        <f t="shared" si="82"/>
        <v>0</v>
      </c>
    </row>
    <row r="194" spans="1:39" s="234" customFormat="1" ht="20.25">
      <c r="A194" s="1180"/>
      <c r="B194" s="727"/>
      <c r="C194" s="727"/>
      <c r="D194" s="1181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80"/>
        <v>0</v>
      </c>
      <c r="AF194" s="409"/>
      <c r="AG194" s="408"/>
      <c r="AH194" s="409">
        <f t="shared" si="81"/>
        <v>0</v>
      </c>
      <c r="AI194" s="410"/>
      <c r="AJ194" s="411">
        <f t="shared" si="82"/>
        <v>0</v>
      </c>
    </row>
    <row r="195" spans="1:39" s="234" customFormat="1" ht="20.25">
      <c r="A195" s="1180"/>
      <c r="B195" s="727"/>
      <c r="C195" s="727"/>
      <c r="D195" s="1181"/>
      <c r="E195" s="319"/>
      <c r="F195" s="320"/>
      <c r="G195" s="320"/>
      <c r="H195" s="321"/>
      <c r="I195" s="321"/>
      <c r="J195" s="320"/>
      <c r="K195" s="351"/>
      <c r="L195" s="352"/>
      <c r="M195" s="353"/>
      <c r="N195" s="321"/>
      <c r="O195" s="321"/>
      <c r="P195" s="321"/>
      <c r="Q195" s="321"/>
      <c r="R195" s="321"/>
      <c r="S195" s="321"/>
      <c r="T195" s="354"/>
      <c r="U195" s="352"/>
      <c r="V195" s="353"/>
      <c r="W195" s="321"/>
      <c r="X195" s="321"/>
      <c r="Y195" s="321"/>
      <c r="Z195" s="321"/>
      <c r="AA195" s="321"/>
      <c r="AB195" s="321"/>
      <c r="AC195" s="380"/>
      <c r="AD195" s="352"/>
      <c r="AE195" s="408">
        <f t="shared" si="80"/>
        <v>0</v>
      </c>
      <c r="AF195" s="409"/>
      <c r="AG195" s="408"/>
      <c r="AH195" s="409">
        <f t="shared" si="81"/>
        <v>0</v>
      </c>
      <c r="AI195" s="410"/>
      <c r="AJ195" s="411">
        <f t="shared" si="82"/>
        <v>0</v>
      </c>
    </row>
    <row r="196" spans="1:39" s="234" customFormat="1" ht="20.25">
      <c r="A196" s="1180"/>
      <c r="B196" s="727"/>
      <c r="C196" s="727"/>
      <c r="D196" s="1181"/>
      <c r="E196" s="319"/>
      <c r="F196" s="320"/>
      <c r="G196" s="320"/>
      <c r="H196" s="321"/>
      <c r="I196" s="321"/>
      <c r="J196" s="320"/>
      <c r="K196" s="351"/>
      <c r="L196" s="352"/>
      <c r="M196" s="353"/>
      <c r="N196" s="321"/>
      <c r="O196" s="321"/>
      <c r="P196" s="321"/>
      <c r="Q196" s="321"/>
      <c r="R196" s="321"/>
      <c r="S196" s="321"/>
      <c r="T196" s="354"/>
      <c r="U196" s="352"/>
      <c r="V196" s="353"/>
      <c r="W196" s="321"/>
      <c r="X196" s="321"/>
      <c r="Y196" s="321"/>
      <c r="Z196" s="321"/>
      <c r="AA196" s="321"/>
      <c r="AB196" s="321"/>
      <c r="AC196" s="380"/>
      <c r="AD196" s="352"/>
      <c r="AE196" s="408">
        <f t="shared" si="80"/>
        <v>0</v>
      </c>
      <c r="AF196" s="409"/>
      <c r="AG196" s="408"/>
      <c r="AH196" s="409">
        <f t="shared" si="81"/>
        <v>0</v>
      </c>
      <c r="AI196" s="410"/>
      <c r="AJ196" s="411">
        <f t="shared" si="82"/>
        <v>0</v>
      </c>
    </row>
    <row r="197" spans="1:39" ht="20.25">
      <c r="A197" s="1180"/>
      <c r="B197" s="727"/>
      <c r="C197" s="727"/>
      <c r="D197" s="1181"/>
      <c r="E197" s="319"/>
      <c r="F197" s="320"/>
      <c r="G197" s="320"/>
      <c r="H197" s="321"/>
      <c r="I197" s="321"/>
      <c r="J197" s="320"/>
      <c r="K197" s="351"/>
      <c r="L197" s="352"/>
      <c r="M197" s="353"/>
      <c r="N197" s="321"/>
      <c r="O197" s="321"/>
      <c r="P197" s="321"/>
      <c r="Q197" s="321"/>
      <c r="R197" s="321"/>
      <c r="S197" s="321"/>
      <c r="T197" s="354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si="80"/>
        <v>0</v>
      </c>
      <c r="AF197" s="409"/>
      <c r="AG197" s="408"/>
      <c r="AH197" s="409">
        <f t="shared" si="81"/>
        <v>0</v>
      </c>
      <c r="AI197" s="410"/>
      <c r="AJ197" s="411">
        <f t="shared" si="82"/>
        <v>0</v>
      </c>
    </row>
    <row r="198" spans="1:39" ht="20.25">
      <c r="A198" s="1180"/>
      <c r="B198" s="727"/>
      <c r="C198" s="727"/>
      <c r="D198" s="1181"/>
      <c r="E198" s="319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80"/>
        <v>0</v>
      </c>
      <c r="AF198" s="409"/>
      <c r="AG198" s="408"/>
      <c r="AH198" s="409">
        <f t="shared" si="81"/>
        <v>0</v>
      </c>
      <c r="AI198" s="410"/>
      <c r="AJ198" s="411">
        <f t="shared" si="82"/>
        <v>0</v>
      </c>
    </row>
    <row r="199" spans="1:39" s="284" customFormat="1" ht="20.25">
      <c r="A199" s="1180"/>
      <c r="B199" s="727"/>
      <c r="C199" s="727"/>
      <c r="D199" s="1181"/>
      <c r="E199" s="319"/>
      <c r="F199" s="320"/>
      <c r="G199" s="320"/>
      <c r="H199" s="321"/>
      <c r="I199" s="321"/>
      <c r="J199" s="320"/>
      <c r="K199" s="351"/>
      <c r="L199" s="352"/>
      <c r="M199" s="353"/>
      <c r="N199" s="321"/>
      <c r="O199" s="321"/>
      <c r="P199" s="321"/>
      <c r="Q199" s="321"/>
      <c r="R199" s="321"/>
      <c r="S199" s="321"/>
      <c r="T199" s="354"/>
      <c r="U199" s="352"/>
      <c r="V199" s="353"/>
      <c r="W199" s="321"/>
      <c r="X199" s="321"/>
      <c r="Y199" s="321"/>
      <c r="Z199" s="321"/>
      <c r="AA199" s="321"/>
      <c r="AB199" s="321"/>
      <c r="AC199" s="380"/>
      <c r="AD199" s="352"/>
      <c r="AE199" s="408">
        <f t="shared" si="80"/>
        <v>0</v>
      </c>
      <c r="AF199" s="409"/>
      <c r="AG199" s="408"/>
      <c r="AH199" s="409">
        <f t="shared" si="81"/>
        <v>0</v>
      </c>
      <c r="AI199" s="410"/>
      <c r="AJ199" s="411">
        <f t="shared" si="82"/>
        <v>0</v>
      </c>
      <c r="AK199" s="403"/>
      <c r="AL199" s="403"/>
      <c r="AM199" s="403"/>
    </row>
    <row r="200" spans="1:39" s="282" customFormat="1" ht="20.25">
      <c r="A200" s="1180"/>
      <c r="B200" s="727"/>
      <c r="C200" s="727"/>
      <c r="D200" s="1181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80"/>
        <v>0</v>
      </c>
      <c r="AF200" s="409"/>
      <c r="AG200" s="408"/>
      <c r="AH200" s="409">
        <f t="shared" si="81"/>
        <v>0</v>
      </c>
      <c r="AI200" s="410"/>
      <c r="AJ200" s="411">
        <f t="shared" si="82"/>
        <v>0</v>
      </c>
    </row>
    <row r="201" spans="1:39" s="283" customFormat="1" ht="20.25">
      <c r="A201" s="1180"/>
      <c r="B201" s="727"/>
      <c r="C201" s="727"/>
      <c r="D201" s="1181"/>
      <c r="E201" s="319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80"/>
        <v>0</v>
      </c>
      <c r="AF201" s="409"/>
      <c r="AG201" s="408"/>
      <c r="AH201" s="409">
        <f t="shared" si="81"/>
        <v>0</v>
      </c>
      <c r="AI201" s="410"/>
      <c r="AJ201" s="411">
        <f t="shared" si="82"/>
        <v>0</v>
      </c>
    </row>
    <row r="202" spans="1:39" s="283" customFormat="1" ht="20.25">
      <c r="A202" s="2645"/>
      <c r="B202" s="2646"/>
      <c r="C202" s="2646"/>
      <c r="D202" s="2648"/>
      <c r="E202" s="611"/>
      <c r="F202" s="612"/>
      <c r="G202" s="612"/>
      <c r="H202" s="613"/>
      <c r="I202" s="613"/>
      <c r="J202" s="612"/>
      <c r="K202" s="653"/>
      <c r="L202" s="654"/>
      <c r="M202" s="655"/>
      <c r="N202" s="613"/>
      <c r="O202" s="613"/>
      <c r="P202" s="613"/>
      <c r="Q202" s="613"/>
      <c r="R202" s="613"/>
      <c r="S202" s="613"/>
      <c r="T202" s="670"/>
      <c r="U202" s="654"/>
      <c r="V202" s="655"/>
      <c r="W202" s="613"/>
      <c r="X202" s="613"/>
      <c r="Y202" s="613"/>
      <c r="Z202" s="613"/>
      <c r="AA202" s="613"/>
      <c r="AB202" s="613"/>
      <c r="AC202" s="678"/>
      <c r="AD202" s="654"/>
      <c r="AE202" s="679">
        <f t="shared" si="80"/>
        <v>0</v>
      </c>
      <c r="AF202" s="680"/>
      <c r="AG202" s="679"/>
      <c r="AH202" s="680">
        <f t="shared" si="81"/>
        <v>0</v>
      </c>
      <c r="AI202" s="697"/>
      <c r="AJ202" s="698">
        <f t="shared" si="82"/>
        <v>0</v>
      </c>
    </row>
    <row r="203" spans="1:39" s="283" customFormat="1" ht="20.25">
      <c r="A203" s="551"/>
      <c r="B203" s="800"/>
      <c r="C203" s="800"/>
      <c r="D203" s="1183"/>
      <c r="E203" s="617"/>
      <c r="F203" s="618"/>
      <c r="G203" s="618"/>
      <c r="H203" s="619"/>
      <c r="I203" s="619"/>
      <c r="J203" s="618"/>
      <c r="K203" s="656"/>
      <c r="L203" s="657"/>
      <c r="M203" s="658"/>
      <c r="N203" s="619"/>
      <c r="O203" s="619"/>
      <c r="P203" s="619"/>
      <c r="Q203" s="619"/>
      <c r="R203" s="619"/>
      <c r="S203" s="619"/>
      <c r="T203" s="671"/>
      <c r="U203" s="657"/>
      <c r="V203" s="658"/>
      <c r="W203" s="619"/>
      <c r="X203" s="619"/>
      <c r="Y203" s="619"/>
      <c r="Z203" s="619"/>
      <c r="AA203" s="619"/>
      <c r="AB203" s="619"/>
      <c r="AC203" s="681"/>
      <c r="AD203" s="657"/>
      <c r="AE203" s="682">
        <f t="shared" si="80"/>
        <v>0</v>
      </c>
      <c r="AF203" s="683"/>
      <c r="AG203" s="682"/>
      <c r="AH203" s="683">
        <f t="shared" si="81"/>
        <v>0</v>
      </c>
      <c r="AI203" s="699"/>
      <c r="AJ203" s="700">
        <f t="shared" si="82"/>
        <v>0</v>
      </c>
    </row>
    <row r="204" spans="1:39" s="284" customFormat="1" ht="23.25" customHeight="1" thickBot="1">
      <c r="A204" s="802"/>
      <c r="B204" s="803"/>
      <c r="C204" s="803"/>
      <c r="D204" s="2649"/>
      <c r="E204" s="623"/>
      <c r="F204" s="624"/>
      <c r="G204" s="624"/>
      <c r="H204" s="625"/>
      <c r="I204" s="625"/>
      <c r="J204" s="624"/>
      <c r="K204" s="659"/>
      <c r="L204" s="660"/>
      <c r="M204" s="661"/>
      <c r="N204" s="625"/>
      <c r="O204" s="625"/>
      <c r="P204" s="625"/>
      <c r="Q204" s="625"/>
      <c r="R204" s="625"/>
      <c r="S204" s="625"/>
      <c r="T204" s="672"/>
      <c r="U204" s="660"/>
      <c r="V204" s="661"/>
      <c r="W204" s="625"/>
      <c r="X204" s="625"/>
      <c r="Y204" s="625"/>
      <c r="Z204" s="625"/>
      <c r="AA204" s="625"/>
      <c r="AB204" s="625"/>
      <c r="AC204" s="684"/>
      <c r="AD204" s="660"/>
      <c r="AE204" s="685">
        <f t="shared" si="80"/>
        <v>0</v>
      </c>
      <c r="AF204" s="686"/>
      <c r="AG204" s="685"/>
      <c r="AH204" s="686">
        <f t="shared" si="81"/>
        <v>0</v>
      </c>
      <c r="AI204" s="701"/>
      <c r="AJ204" s="702">
        <f t="shared" si="82"/>
        <v>0</v>
      </c>
      <c r="AK204" s="403"/>
      <c r="AL204" s="403"/>
      <c r="AM204" s="403"/>
    </row>
    <row r="205" spans="1:39" s="1" customFormat="1" ht="21" thickBot="1">
      <c r="A205" s="626" t="s">
        <v>151</v>
      </c>
      <c r="B205" s="627"/>
      <c r="C205" s="627"/>
      <c r="D205" s="628"/>
      <c r="E205" s="533">
        <f t="shared" ref="E205:AC205" si="89">SUM(E144:E204)</f>
        <v>77</v>
      </c>
      <c r="F205" s="629">
        <f t="shared" si="89"/>
        <v>147</v>
      </c>
      <c r="G205" s="629">
        <f t="shared" si="89"/>
        <v>148</v>
      </c>
      <c r="H205" s="629">
        <f t="shared" si="89"/>
        <v>90</v>
      </c>
      <c r="I205" s="629">
        <f t="shared" si="89"/>
        <v>0</v>
      </c>
      <c r="J205" s="629">
        <f t="shared" si="89"/>
        <v>2</v>
      </c>
      <c r="K205" s="662">
        <f t="shared" si="89"/>
        <v>0</v>
      </c>
      <c r="L205" s="575">
        <f t="shared" si="89"/>
        <v>0</v>
      </c>
      <c r="M205" s="533">
        <f t="shared" si="89"/>
        <v>0</v>
      </c>
      <c r="N205" s="629">
        <f t="shared" si="89"/>
        <v>0</v>
      </c>
      <c r="O205" s="629">
        <f t="shared" si="89"/>
        <v>0</v>
      </c>
      <c r="P205" s="629">
        <f t="shared" si="89"/>
        <v>0</v>
      </c>
      <c r="Q205" s="629">
        <f t="shared" si="89"/>
        <v>0</v>
      </c>
      <c r="R205" s="629">
        <f t="shared" si="89"/>
        <v>0</v>
      </c>
      <c r="S205" s="629">
        <f t="shared" si="89"/>
        <v>0</v>
      </c>
      <c r="T205" s="662">
        <f t="shared" si="89"/>
        <v>0</v>
      </c>
      <c r="U205" s="575">
        <f t="shared" si="89"/>
        <v>0</v>
      </c>
      <c r="V205" s="533">
        <f t="shared" si="89"/>
        <v>0</v>
      </c>
      <c r="W205" s="533">
        <f t="shared" si="89"/>
        <v>0</v>
      </c>
      <c r="X205" s="533">
        <f t="shared" si="89"/>
        <v>10</v>
      </c>
      <c r="Y205" s="533">
        <f t="shared" si="89"/>
        <v>0</v>
      </c>
      <c r="Z205" s="533">
        <f t="shared" si="89"/>
        <v>0</v>
      </c>
      <c r="AA205" s="533">
        <f t="shared" si="89"/>
        <v>0</v>
      </c>
      <c r="AB205" s="533">
        <f t="shared" si="89"/>
        <v>6</v>
      </c>
      <c r="AC205" s="533">
        <f t="shared" si="89"/>
        <v>10</v>
      </c>
      <c r="AD205" s="575"/>
      <c r="AE205" s="687">
        <f t="shared" ref="AE205:AJ205" si="90">SUM(AE144:AE204)</f>
        <v>490</v>
      </c>
      <c r="AF205" s="575">
        <f t="shared" si="90"/>
        <v>0</v>
      </c>
      <c r="AG205" s="687">
        <f t="shared" si="90"/>
        <v>0</v>
      </c>
      <c r="AH205" s="662">
        <f t="shared" si="90"/>
        <v>490</v>
      </c>
      <c r="AI205" s="575">
        <f t="shared" si="90"/>
        <v>0</v>
      </c>
      <c r="AJ205" s="687">
        <f t="shared" si="90"/>
        <v>490</v>
      </c>
    </row>
    <row r="206" spans="1:39" ht="21" thickBot="1">
      <c r="A206" s="530" t="s">
        <v>152</v>
      </c>
      <c r="B206" s="531"/>
      <c r="C206" s="531"/>
      <c r="D206" s="630"/>
      <c r="E206" s="533">
        <f t="shared" ref="E206:G206" si="91">E205/20</f>
        <v>3.85</v>
      </c>
      <c r="F206" s="534">
        <f t="shared" si="91"/>
        <v>7.35</v>
      </c>
      <c r="G206" s="534">
        <f t="shared" si="91"/>
        <v>7.4</v>
      </c>
      <c r="H206" s="534">
        <f t="shared" ref="H206:K206" si="92">H205/12</f>
        <v>7.5</v>
      </c>
      <c r="I206" s="534">
        <f t="shared" ref="I206:T206" si="93">I205/20</f>
        <v>0</v>
      </c>
      <c r="J206" s="534">
        <f t="shared" si="92"/>
        <v>0.16666666666666666</v>
      </c>
      <c r="K206" s="534">
        <f t="shared" si="92"/>
        <v>0</v>
      </c>
      <c r="L206" s="575"/>
      <c r="M206" s="576">
        <f t="shared" si="93"/>
        <v>0</v>
      </c>
      <c r="N206" s="577">
        <f t="shared" si="93"/>
        <v>0</v>
      </c>
      <c r="O206" s="577">
        <f t="shared" si="93"/>
        <v>0</v>
      </c>
      <c r="P206" s="577">
        <f t="shared" si="93"/>
        <v>0</v>
      </c>
      <c r="Q206" s="577">
        <f t="shared" si="93"/>
        <v>0</v>
      </c>
      <c r="R206" s="577">
        <f t="shared" si="93"/>
        <v>0</v>
      </c>
      <c r="S206" s="577">
        <f t="shared" si="93"/>
        <v>0</v>
      </c>
      <c r="T206" s="586">
        <f t="shared" si="93"/>
        <v>0</v>
      </c>
      <c r="U206" s="575"/>
      <c r="V206" s="576">
        <f t="shared" ref="V206:AC206" si="94">V205/20</f>
        <v>0</v>
      </c>
      <c r="W206" s="577">
        <f t="shared" si="94"/>
        <v>0</v>
      </c>
      <c r="X206" s="577">
        <f t="shared" si="94"/>
        <v>0.5</v>
      </c>
      <c r="Y206" s="577">
        <f t="shared" si="94"/>
        <v>0</v>
      </c>
      <c r="Z206" s="577">
        <f t="shared" si="94"/>
        <v>0</v>
      </c>
      <c r="AA206" s="577">
        <f t="shared" si="94"/>
        <v>0</v>
      </c>
      <c r="AB206" s="577">
        <f t="shared" si="94"/>
        <v>0.3</v>
      </c>
      <c r="AC206" s="586">
        <f t="shared" si="94"/>
        <v>0.5</v>
      </c>
      <c r="AD206" s="575"/>
      <c r="AE206" s="668">
        <f t="shared" ref="AE206:AE210" si="95">SUM(E206:AC206)</f>
        <v>27.56666666666667</v>
      </c>
      <c r="AF206" s="687">
        <f t="shared" ref="AF206:AJ206" si="96">AF205/20</f>
        <v>0</v>
      </c>
      <c r="AG206" s="687">
        <f t="shared" si="96"/>
        <v>0</v>
      </c>
      <c r="AH206" s="575">
        <f t="shared" si="96"/>
        <v>24.5</v>
      </c>
      <c r="AI206" s="687">
        <f t="shared" si="96"/>
        <v>0</v>
      </c>
      <c r="AJ206" s="662">
        <f t="shared" si="96"/>
        <v>24.5</v>
      </c>
    </row>
    <row r="207" spans="1:39" ht="19.5" thickBot="1">
      <c r="A207" s="306"/>
      <c r="B207" s="307"/>
      <c r="C207" s="307"/>
      <c r="D207" s="308"/>
      <c r="E207" s="309"/>
      <c r="F207" s="309"/>
      <c r="G207" s="309"/>
      <c r="H207" s="309"/>
      <c r="I207" s="309"/>
      <c r="J207" s="309"/>
      <c r="K207" s="309"/>
      <c r="L207" s="346"/>
      <c r="M207" s="347"/>
      <c r="N207" s="347"/>
      <c r="O207" s="347"/>
      <c r="P207" s="347"/>
      <c r="Q207" s="347"/>
      <c r="R207" s="347"/>
      <c r="S207" s="347"/>
      <c r="T207" s="347"/>
      <c r="U207" s="346"/>
      <c r="V207" s="347"/>
      <c r="W207" s="347"/>
      <c r="X207" s="347"/>
      <c r="Y207" s="347"/>
      <c r="Z207" s="347"/>
      <c r="AA207" s="347"/>
      <c r="AB207" s="347"/>
      <c r="AC207" s="347"/>
      <c r="AD207" s="346"/>
      <c r="AE207" s="347"/>
      <c r="AF207" s="347"/>
      <c r="AG207" s="347"/>
      <c r="AH207" s="347"/>
      <c r="AI207" s="347"/>
      <c r="AJ207" s="402"/>
    </row>
    <row r="208" spans="1:39" ht="16.5" thickBot="1">
      <c r="A208" s="3881" t="s">
        <v>183</v>
      </c>
      <c r="B208" s="3882"/>
      <c r="C208" s="3883"/>
      <c r="D208" s="288" t="s">
        <v>70</v>
      </c>
      <c r="E208" s="743" t="s">
        <v>190</v>
      </c>
      <c r="F208" s="744" t="s">
        <v>94</v>
      </c>
      <c r="G208" s="744" t="s">
        <v>53</v>
      </c>
      <c r="H208" s="744" t="s">
        <v>252</v>
      </c>
      <c r="I208" s="744" t="s">
        <v>76</v>
      </c>
      <c r="J208" s="744" t="s">
        <v>206</v>
      </c>
      <c r="K208" s="50" t="s">
        <v>272</v>
      </c>
      <c r="L208" s="79"/>
      <c r="M208" s="743" t="s">
        <v>222</v>
      </c>
      <c r="N208" s="744" t="s">
        <v>92</v>
      </c>
      <c r="O208" s="744" t="s">
        <v>251</v>
      </c>
      <c r="P208" s="744" t="s">
        <v>53</v>
      </c>
      <c r="Q208" s="744" t="s">
        <v>94</v>
      </c>
      <c r="R208" s="744" t="s">
        <v>206</v>
      </c>
      <c r="S208" s="50" t="s">
        <v>101</v>
      </c>
      <c r="T208" s="171" t="s">
        <v>269</v>
      </c>
      <c r="U208" s="79"/>
      <c r="V208" s="2654" t="s">
        <v>270</v>
      </c>
      <c r="W208" s="747" t="s">
        <v>94</v>
      </c>
      <c r="X208" s="747" t="s">
        <v>53</v>
      </c>
      <c r="Y208" s="747" t="s">
        <v>206</v>
      </c>
      <c r="Z208" s="747" t="s">
        <v>269</v>
      </c>
      <c r="AA208" s="747" t="s">
        <v>96</v>
      </c>
      <c r="AB208" s="748" t="s">
        <v>92</v>
      </c>
      <c r="AC208" s="180" t="s">
        <v>101</v>
      </c>
      <c r="AD208" s="79"/>
      <c r="AE208" s="371" t="s">
        <v>172</v>
      </c>
      <c r="AF208" s="372" t="s">
        <v>80</v>
      </c>
      <c r="AG208" s="385"/>
      <c r="AH208" s="386" t="s">
        <v>106</v>
      </c>
      <c r="AI208" s="385" t="s">
        <v>173</v>
      </c>
      <c r="AJ208" s="371" t="s">
        <v>108</v>
      </c>
    </row>
    <row r="209" spans="1:37" ht="20.25">
      <c r="A209" s="2650" t="s">
        <v>184</v>
      </c>
      <c r="B209" s="2583"/>
      <c r="C209" s="2626"/>
      <c r="D209" s="2653"/>
      <c r="E209" s="433"/>
      <c r="F209" s="434"/>
      <c r="G209" s="434"/>
      <c r="H209" s="435"/>
      <c r="I209" s="435"/>
      <c r="J209" s="434"/>
      <c r="K209" s="480"/>
      <c r="L209" s="483"/>
      <c r="M209" s="484"/>
      <c r="N209" s="435"/>
      <c r="O209" s="435"/>
      <c r="P209" s="435"/>
      <c r="Q209" s="435"/>
      <c r="R209" s="435"/>
      <c r="S209" s="435"/>
      <c r="T209" s="492"/>
      <c r="U209" s="483"/>
      <c r="V209" s="433"/>
      <c r="W209" s="434"/>
      <c r="X209" s="434"/>
      <c r="Y209" s="435"/>
      <c r="Z209" s="435"/>
      <c r="AA209" s="435"/>
      <c r="AB209" s="434"/>
      <c r="AC209" s="495"/>
      <c r="AD209" s="483"/>
      <c r="AE209" s="496">
        <f t="shared" si="95"/>
        <v>0</v>
      </c>
      <c r="AF209" s="497"/>
      <c r="AG209" s="510"/>
      <c r="AH209" s="511">
        <f>AE209+AF209</f>
        <v>0</v>
      </c>
      <c r="AI209" s="512"/>
      <c r="AJ209" s="703">
        <f>AH209+AI209</f>
        <v>0</v>
      </c>
      <c r="AK209" s="1"/>
    </row>
    <row r="210" spans="1:37" ht="21" thickBot="1">
      <c r="A210" s="2651"/>
      <c r="B210" s="731"/>
      <c r="C210" s="732"/>
      <c r="D210" s="301"/>
      <c r="E210" s="325"/>
      <c r="F210" s="297"/>
      <c r="G210" s="297"/>
      <c r="H210" s="298"/>
      <c r="I210" s="298"/>
      <c r="J210" s="297"/>
      <c r="K210" s="344"/>
      <c r="L210" s="355"/>
      <c r="M210" s="343"/>
      <c r="N210" s="298"/>
      <c r="O210" s="298"/>
      <c r="P210" s="298"/>
      <c r="Q210" s="298"/>
      <c r="R210" s="298"/>
      <c r="S210" s="298"/>
      <c r="T210" s="367"/>
      <c r="U210" s="355"/>
      <c r="V210" s="325"/>
      <c r="W210" s="297"/>
      <c r="X210" s="297"/>
      <c r="Y210" s="298"/>
      <c r="Z210" s="298"/>
      <c r="AA210" s="298"/>
      <c r="AB210" s="297"/>
      <c r="AC210" s="375"/>
      <c r="AD210" s="355"/>
      <c r="AE210" s="377">
        <f t="shared" si="95"/>
        <v>0</v>
      </c>
      <c r="AF210" s="377"/>
      <c r="AG210" s="390"/>
      <c r="AH210" s="507">
        <f>AE210+AF210</f>
        <v>0</v>
      </c>
      <c r="AI210" s="412"/>
      <c r="AJ210" s="508">
        <f>AH210+AI210</f>
        <v>0</v>
      </c>
    </row>
    <row r="211" spans="1:37" ht="21" thickBot="1">
      <c r="A211" s="2652"/>
      <c r="B211" s="2623"/>
      <c r="C211" s="2621"/>
      <c r="D211" s="438"/>
      <c r="E211" s="439">
        <f t="shared" ref="E211:K211" si="97">SUM(E209:E210)</f>
        <v>0</v>
      </c>
      <c r="F211" s="440">
        <f t="shared" si="97"/>
        <v>0</v>
      </c>
      <c r="G211" s="440">
        <f t="shared" si="97"/>
        <v>0</v>
      </c>
      <c r="H211" s="440">
        <f t="shared" si="97"/>
        <v>0</v>
      </c>
      <c r="I211" s="440">
        <f t="shared" si="97"/>
        <v>0</v>
      </c>
      <c r="J211" s="440">
        <f t="shared" si="97"/>
        <v>0</v>
      </c>
      <c r="K211" s="481">
        <f t="shared" si="97"/>
        <v>0</v>
      </c>
      <c r="L211" s="482"/>
      <c r="M211" s="439">
        <f t="shared" ref="M211:T211" si="98">SUM(M209:M210)</f>
        <v>0</v>
      </c>
      <c r="N211" s="440">
        <f t="shared" si="98"/>
        <v>0</v>
      </c>
      <c r="O211" s="440">
        <f t="shared" si="98"/>
        <v>0</v>
      </c>
      <c r="P211" s="440">
        <f t="shared" si="98"/>
        <v>0</v>
      </c>
      <c r="Q211" s="440">
        <f t="shared" si="98"/>
        <v>0</v>
      </c>
      <c r="R211" s="440">
        <f t="shared" si="98"/>
        <v>0</v>
      </c>
      <c r="S211" s="440">
        <f t="shared" si="98"/>
        <v>0</v>
      </c>
      <c r="T211" s="481">
        <f t="shared" si="98"/>
        <v>0</v>
      </c>
      <c r="U211" s="482"/>
      <c r="V211" s="439">
        <f t="shared" ref="V211:AC211" si="99">SUM(V209:V210)</f>
        <v>0</v>
      </c>
      <c r="W211" s="440">
        <f t="shared" si="99"/>
        <v>0</v>
      </c>
      <c r="X211" s="440">
        <f t="shared" si="99"/>
        <v>0</v>
      </c>
      <c r="Y211" s="440">
        <f t="shared" si="99"/>
        <v>0</v>
      </c>
      <c r="Z211" s="440">
        <f t="shared" si="99"/>
        <v>0</v>
      </c>
      <c r="AA211" s="440">
        <f t="shared" si="99"/>
        <v>0</v>
      </c>
      <c r="AB211" s="440">
        <f t="shared" si="99"/>
        <v>0</v>
      </c>
      <c r="AC211" s="481">
        <f t="shared" si="99"/>
        <v>0</v>
      </c>
      <c r="AD211" s="482"/>
      <c r="AE211" s="494">
        <f t="shared" ref="AE211:AJ211" si="100">SUM(AE209:AE210)</f>
        <v>0</v>
      </c>
      <c r="AF211" s="494">
        <f t="shared" si="100"/>
        <v>0</v>
      </c>
      <c r="AG211" s="509"/>
      <c r="AH211" s="514">
        <f t="shared" si="100"/>
        <v>0</v>
      </c>
      <c r="AI211" s="494">
        <f t="shared" si="100"/>
        <v>0</v>
      </c>
      <c r="AJ211" s="509">
        <f t="shared" si="100"/>
        <v>0</v>
      </c>
    </row>
    <row r="212" spans="1:37" ht="18.75">
      <c r="A212" s="522"/>
      <c r="B212" s="523"/>
      <c r="C212" s="523"/>
      <c r="D212" s="524"/>
      <c r="E212" s="525"/>
      <c r="F212" s="525"/>
      <c r="G212" s="525"/>
      <c r="H212" s="525"/>
      <c r="I212" s="525"/>
      <c r="J212" s="525"/>
      <c r="K212" s="525"/>
      <c r="L212" s="572"/>
      <c r="M212" s="573"/>
      <c r="N212" s="573"/>
      <c r="O212" s="573"/>
      <c r="P212" s="573"/>
      <c r="Q212" s="573"/>
      <c r="R212" s="573"/>
      <c r="S212" s="573"/>
      <c r="T212" s="573"/>
      <c r="U212" s="572"/>
      <c r="V212" s="573"/>
      <c r="W212" s="573"/>
      <c r="X212" s="573"/>
      <c r="Y212" s="573"/>
      <c r="Z212" s="573"/>
      <c r="AA212" s="573"/>
      <c r="AB212" s="573"/>
      <c r="AC212" s="573"/>
      <c r="AD212" s="572"/>
      <c r="AE212" s="573"/>
      <c r="AF212" s="573"/>
      <c r="AG212" s="599"/>
      <c r="AH212" s="573"/>
      <c r="AI212" s="573"/>
      <c r="AJ212" s="600"/>
    </row>
    <row r="213" spans="1:37" ht="20.25">
      <c r="A213" s="122"/>
      <c r="B213" s="632"/>
      <c r="C213" s="632"/>
      <c r="D213" s="122"/>
      <c r="E213" s="3901"/>
      <c r="F213" s="3901"/>
      <c r="G213" s="3901"/>
      <c r="H213" s="3901"/>
      <c r="I213" s="3901"/>
      <c r="J213" s="3901"/>
      <c r="K213" s="3901"/>
      <c r="L213" s="633"/>
      <c r="M213" s="3902"/>
      <c r="N213" s="3902"/>
      <c r="O213" s="3902"/>
      <c r="P213" s="3902"/>
      <c r="Q213" s="3902"/>
      <c r="R213" s="3902"/>
      <c r="S213" s="3902"/>
      <c r="T213" s="3902"/>
      <c r="U213" s="663"/>
      <c r="V213" s="3903"/>
      <c r="W213" s="3903"/>
      <c r="X213" s="3903"/>
      <c r="Y213" s="3903"/>
      <c r="Z213" s="3903"/>
      <c r="AA213" s="3903"/>
      <c r="AB213" s="3903"/>
      <c r="AC213" s="3903"/>
      <c r="AD213" s="688"/>
      <c r="AE213" s="689"/>
      <c r="AF213" s="673"/>
      <c r="AG213" s="673"/>
      <c r="AH213" s="689"/>
      <c r="AI213" s="689"/>
      <c r="AJ213" s="704"/>
    </row>
    <row r="214" spans="1:37" ht="15.75" thickBot="1">
      <c r="A214" s="634"/>
      <c r="B214" s="635"/>
      <c r="C214" s="635"/>
      <c r="D214" s="634"/>
      <c r="E214" s="634"/>
      <c r="F214" s="634"/>
      <c r="G214" s="634"/>
      <c r="H214" s="634"/>
      <c r="I214" s="634"/>
      <c r="J214" s="634"/>
      <c r="K214" s="634"/>
      <c r="L214" s="634"/>
      <c r="M214" s="634"/>
      <c r="N214" s="634"/>
      <c r="O214" s="634"/>
      <c r="P214" s="634"/>
      <c r="Q214" s="634"/>
      <c r="R214" s="634"/>
      <c r="S214" s="634"/>
      <c r="T214" s="634"/>
      <c r="U214" s="634"/>
      <c r="V214" s="634"/>
      <c r="W214" s="634"/>
      <c r="X214" s="634"/>
      <c r="Y214" s="634"/>
      <c r="Z214" s="634"/>
      <c r="AA214" s="634"/>
      <c r="AB214" s="690"/>
      <c r="AC214" s="690"/>
      <c r="AD214" s="690"/>
      <c r="AE214" s="690"/>
      <c r="AF214" s="634"/>
      <c r="AG214" s="634"/>
      <c r="AH214" s="634"/>
      <c r="AI214" s="634"/>
      <c r="AJ214" s="634"/>
    </row>
    <row r="215" spans="1:37" ht="21" thickBot="1">
      <c r="A215" s="2658" t="s">
        <v>185</v>
      </c>
      <c r="B215" s="2660"/>
      <c r="C215" s="2655"/>
      <c r="D215" s="638"/>
      <c r="E215" s="529">
        <f t="shared" ref="E215:K215" si="101">E139-E205+E211</f>
        <v>91</v>
      </c>
      <c r="F215" s="639">
        <f t="shared" si="101"/>
        <v>172</v>
      </c>
      <c r="G215" s="639">
        <f t="shared" si="101"/>
        <v>492</v>
      </c>
      <c r="H215" s="639">
        <f t="shared" si="101"/>
        <v>70</v>
      </c>
      <c r="I215" s="639">
        <f t="shared" si="101"/>
        <v>0</v>
      </c>
      <c r="J215" s="639">
        <f t="shared" si="101"/>
        <v>0</v>
      </c>
      <c r="K215" s="664">
        <f t="shared" si="101"/>
        <v>0</v>
      </c>
      <c r="L215" s="574"/>
      <c r="M215" s="665">
        <f t="shared" ref="M215:T215" si="102">M139-M205+M211</f>
        <v>0</v>
      </c>
      <c r="N215" s="665">
        <f t="shared" si="102"/>
        <v>0</v>
      </c>
      <c r="O215" s="665">
        <f t="shared" si="102"/>
        <v>0</v>
      </c>
      <c r="P215" s="665">
        <f t="shared" si="102"/>
        <v>0</v>
      </c>
      <c r="Q215" s="665">
        <f t="shared" si="102"/>
        <v>0</v>
      </c>
      <c r="R215" s="665">
        <f t="shared" si="102"/>
        <v>0</v>
      </c>
      <c r="S215" s="665">
        <f t="shared" si="102"/>
        <v>0</v>
      </c>
      <c r="T215" s="665">
        <f t="shared" si="102"/>
        <v>0</v>
      </c>
      <c r="U215" s="574"/>
      <c r="V215" s="665">
        <f t="shared" ref="V215:AC215" si="103">V139-V205+V211</f>
        <v>64</v>
      </c>
      <c r="W215" s="666">
        <f t="shared" si="103"/>
        <v>0</v>
      </c>
      <c r="X215" s="666">
        <f t="shared" si="103"/>
        <v>266</v>
      </c>
      <c r="Y215" s="666">
        <f t="shared" si="103"/>
        <v>0</v>
      </c>
      <c r="Z215" s="666">
        <f t="shared" si="103"/>
        <v>0</v>
      </c>
      <c r="AA215" s="666">
        <f t="shared" si="103"/>
        <v>1</v>
      </c>
      <c r="AB215" s="666">
        <f t="shared" si="103"/>
        <v>194</v>
      </c>
      <c r="AC215" s="674">
        <f t="shared" si="103"/>
        <v>510</v>
      </c>
      <c r="AD215" s="691"/>
      <c r="AE215" s="529">
        <f>AE139-AE205+AE211</f>
        <v>1860</v>
      </c>
      <c r="AF215" s="3775">
        <f>AF139-AF205-AG205+AF211</f>
        <v>0</v>
      </c>
      <c r="AG215" s="3884"/>
      <c r="AH215" s="529">
        <f>AH139-AH205+AH211</f>
        <v>1860</v>
      </c>
      <c r="AI215" s="529">
        <f>AI139-AI205+AI211</f>
        <v>0</v>
      </c>
      <c r="AJ215" s="693">
        <f>AJ139-AJ205+AJ211</f>
        <v>1860</v>
      </c>
    </row>
    <row r="216" spans="1:37" ht="32.25" customHeight="1" thickBot="1">
      <c r="A216" s="2659" t="s">
        <v>152</v>
      </c>
      <c r="B216" s="2661"/>
      <c r="C216" s="2656"/>
      <c r="D216" s="642"/>
      <c r="E216" s="529">
        <f>E215/20</f>
        <v>4.55</v>
      </c>
      <c r="F216" s="529">
        <f t="shared" ref="F216:K216" si="104">F215/20</f>
        <v>8.6</v>
      </c>
      <c r="G216" s="529">
        <v>0</v>
      </c>
      <c r="H216" s="529">
        <f t="shared" si="104"/>
        <v>3.5</v>
      </c>
      <c r="I216" s="529">
        <f t="shared" si="104"/>
        <v>0</v>
      </c>
      <c r="J216" s="529">
        <v>0</v>
      </c>
      <c r="K216" s="529">
        <f t="shared" si="104"/>
        <v>0</v>
      </c>
      <c r="L216" s="529"/>
      <c r="M216" s="529">
        <f t="shared" ref="M216:T216" si="105">M215/20</f>
        <v>0</v>
      </c>
      <c r="N216" s="529">
        <f t="shared" si="105"/>
        <v>0</v>
      </c>
      <c r="O216" s="529">
        <f t="shared" si="105"/>
        <v>0</v>
      </c>
      <c r="P216" s="529">
        <v>0</v>
      </c>
      <c r="Q216" s="529">
        <f t="shared" si="105"/>
        <v>0</v>
      </c>
      <c r="R216" s="529">
        <v>0</v>
      </c>
      <c r="S216" s="529">
        <f t="shared" si="105"/>
        <v>0</v>
      </c>
      <c r="T216" s="529">
        <f t="shared" si="105"/>
        <v>0</v>
      </c>
      <c r="U216" s="529"/>
      <c r="V216" s="529">
        <f t="shared" ref="V216:AC216" si="106">V215/20</f>
        <v>3.2</v>
      </c>
      <c r="W216" s="529">
        <f t="shared" si="106"/>
        <v>0</v>
      </c>
      <c r="X216" s="529">
        <f t="shared" si="106"/>
        <v>13.3</v>
      </c>
      <c r="Y216" s="529">
        <f t="shared" si="106"/>
        <v>0</v>
      </c>
      <c r="Z216" s="529">
        <f t="shared" si="106"/>
        <v>0</v>
      </c>
      <c r="AA216" s="529">
        <f t="shared" si="106"/>
        <v>0.05</v>
      </c>
      <c r="AB216" s="529">
        <f t="shared" si="106"/>
        <v>9.6999999999999993</v>
      </c>
      <c r="AC216" s="529">
        <f t="shared" si="106"/>
        <v>25.5</v>
      </c>
      <c r="AD216" s="692"/>
      <c r="AE216" s="693">
        <f t="shared" ref="AE216:AJ216" si="107">AE215/20</f>
        <v>93</v>
      </c>
      <c r="AF216" s="3775">
        <f t="shared" si="107"/>
        <v>0</v>
      </c>
      <c r="AG216" s="3884"/>
      <c r="AH216" s="693">
        <f t="shared" si="107"/>
        <v>93</v>
      </c>
      <c r="AI216" s="574">
        <f t="shared" si="107"/>
        <v>0</v>
      </c>
      <c r="AJ216" s="706">
        <f t="shared" si="107"/>
        <v>93</v>
      </c>
    </row>
    <row r="217" spans="1:37" ht="21" thickBot="1">
      <c r="A217" s="645" t="s">
        <v>156</v>
      </c>
      <c r="B217" s="2662"/>
      <c r="C217" s="2657"/>
      <c r="D217" s="645"/>
      <c r="E217" s="3897">
        <f>SUM(E216:K216)</f>
        <v>16.649999999999999</v>
      </c>
      <c r="F217" s="3898"/>
      <c r="G217" s="3898"/>
      <c r="H217" s="3898"/>
      <c r="I217" s="3898"/>
      <c r="J217" s="3898"/>
      <c r="K217" s="3899"/>
      <c r="L217" s="667"/>
      <c r="M217" s="3778">
        <f>SUM(M216:T216)</f>
        <v>0</v>
      </c>
      <c r="N217" s="3779"/>
      <c r="O217" s="3779"/>
      <c r="P217" s="3779"/>
      <c r="Q217" s="3779"/>
      <c r="R217" s="3779"/>
      <c r="S217" s="3779"/>
      <c r="T217" s="3780"/>
      <c r="U217" s="675"/>
      <c r="V217" s="3778">
        <f>SUM(V216:AC216)</f>
        <v>51.75</v>
      </c>
      <c r="W217" s="3779"/>
      <c r="X217" s="3779"/>
      <c r="Y217" s="3779"/>
      <c r="Z217" s="3779"/>
      <c r="AA217" s="3779"/>
      <c r="AB217" s="3779"/>
      <c r="AC217" s="3780"/>
      <c r="AD217" s="694"/>
      <c r="AE217" s="694"/>
      <c r="AF217" s="694"/>
      <c r="AG217" s="694"/>
      <c r="AH217" s="694"/>
      <c r="AI217" s="694"/>
      <c r="AJ217" s="707"/>
    </row>
    <row r="218" spans="1:37" ht="21" thickBot="1">
      <c r="A218" s="646" t="s">
        <v>157</v>
      </c>
      <c r="B218" s="647"/>
      <c r="C218" s="647"/>
      <c r="D218" s="648"/>
      <c r="E218" s="3875">
        <f>SUM(E215:K215)</f>
        <v>825</v>
      </c>
      <c r="F218" s="3876"/>
      <c r="G218" s="3876"/>
      <c r="H218" s="3876"/>
      <c r="I218" s="3876"/>
      <c r="J218" s="3876"/>
      <c r="K218" s="3900"/>
      <c r="L218" s="669"/>
      <c r="M218" s="3877">
        <f>SUM(M215:T215)</f>
        <v>0</v>
      </c>
      <c r="N218" s="3878"/>
      <c r="O218" s="3878"/>
      <c r="P218" s="3878"/>
      <c r="Q218" s="3878"/>
      <c r="R218" s="3878"/>
      <c r="S218" s="3878"/>
      <c r="T218" s="3879"/>
      <c r="U218" s="676"/>
      <c r="V218" s="3781">
        <f>SUM(V215:AC215)</f>
        <v>1035</v>
      </c>
      <c r="W218" s="3788"/>
      <c r="X218" s="3788"/>
      <c r="Y218" s="3788"/>
      <c r="Z218" s="3788"/>
      <c r="AA218" s="3788"/>
      <c r="AB218" s="3788"/>
      <c r="AC218" s="3880"/>
      <c r="AD218" s="688"/>
      <c r="AE218" s="689"/>
      <c r="AF218" s="673"/>
      <c r="AG218" s="673"/>
      <c r="AH218" s="689"/>
      <c r="AI218" s="689"/>
      <c r="AJ218" s="704"/>
    </row>
    <row r="219" spans="1:37">
      <c r="A219" s="634"/>
      <c r="B219" s="635"/>
      <c r="C219" s="635"/>
      <c r="D219" s="649"/>
      <c r="E219" s="634"/>
      <c r="F219" s="634"/>
      <c r="G219" s="634"/>
      <c r="H219" s="634"/>
      <c r="I219" s="634"/>
      <c r="J219" s="634"/>
      <c r="K219" s="634"/>
      <c r="L219" s="634"/>
      <c r="M219" s="634"/>
      <c r="N219" s="634"/>
      <c r="O219" s="634"/>
      <c r="P219" s="634"/>
      <c r="Q219" s="634"/>
      <c r="R219" s="634"/>
      <c r="S219" s="634"/>
      <c r="T219" s="634"/>
      <c r="U219" s="634"/>
      <c r="V219" s="634"/>
      <c r="W219" s="634"/>
      <c r="X219" s="634"/>
      <c r="Y219" s="634"/>
      <c r="Z219" s="634"/>
      <c r="AA219" s="634"/>
      <c r="AB219" s="690"/>
      <c r="AC219" s="690"/>
      <c r="AD219" s="690"/>
      <c r="AE219" s="690"/>
      <c r="AF219" s="634"/>
      <c r="AG219" s="634"/>
      <c r="AH219" s="634"/>
      <c r="AI219" s="634"/>
      <c r="AJ219" s="634"/>
    </row>
    <row r="220" spans="1:37" ht="21" thickBot="1">
      <c r="A220" s="650"/>
      <c r="B220" s="651"/>
      <c r="C220" s="651"/>
      <c r="D220" s="650"/>
      <c r="E220" s="650"/>
      <c r="F220" s="650"/>
      <c r="G220" s="650"/>
      <c r="H220" s="650"/>
      <c r="I220" s="650"/>
      <c r="J220" s="650"/>
      <c r="K220" s="650"/>
      <c r="L220" s="650"/>
      <c r="M220" s="650"/>
      <c r="N220" s="650"/>
      <c r="O220" s="650"/>
      <c r="P220" s="650"/>
      <c r="Q220" s="650"/>
      <c r="R220" s="650"/>
      <c r="S220" s="650"/>
      <c r="T220" s="650"/>
      <c r="U220" s="650"/>
      <c r="V220" s="650"/>
      <c r="W220" s="650"/>
      <c r="X220" s="650"/>
      <c r="Y220" s="650"/>
      <c r="Z220" s="650"/>
      <c r="AA220" s="650"/>
      <c r="AB220" s="650"/>
      <c r="AC220" s="650"/>
      <c r="AD220" s="650"/>
      <c r="AE220" s="650"/>
      <c r="AF220" s="650"/>
      <c r="AG220" s="650"/>
      <c r="AH220" s="650"/>
      <c r="AI220" s="650"/>
      <c r="AJ220" s="650"/>
    </row>
    <row r="221" spans="1:37" ht="27.75" thickBot="1">
      <c r="A221" s="634"/>
      <c r="B221" s="635"/>
      <c r="C221" s="635"/>
      <c r="D221" s="634"/>
      <c r="E221" s="634"/>
      <c r="F221" s="634"/>
      <c r="G221" s="634"/>
      <c r="H221" s="634"/>
      <c r="I221" s="634"/>
      <c r="J221" s="634"/>
      <c r="K221" s="634"/>
      <c r="L221" s="634"/>
      <c r="M221" s="634"/>
      <c r="N221" s="634"/>
      <c r="O221" s="634"/>
      <c r="P221" s="634"/>
      <c r="Q221" s="634"/>
      <c r="R221" s="634"/>
      <c r="S221" s="634"/>
      <c r="T221" s="634"/>
      <c r="U221" s="634"/>
      <c r="V221" s="634"/>
      <c r="W221" s="677"/>
      <c r="X221" s="3857" t="s">
        <v>158</v>
      </c>
      <c r="Y221" s="3858"/>
      <c r="Z221" s="3858"/>
      <c r="AA221" s="3858"/>
      <c r="AB221" s="3859"/>
      <c r="AC221" s="3802">
        <f>'BIG CHAIR'!CI325</f>
        <v>0</v>
      </c>
      <c r="AD221" s="3803"/>
      <c r="AE221" s="3804"/>
      <c r="AF221" s="634"/>
      <c r="AG221" s="634"/>
      <c r="AH221" s="634"/>
      <c r="AI221" s="634"/>
      <c r="AJ221" s="634"/>
    </row>
    <row r="222" spans="1:37" ht="27.75" thickBot="1">
      <c r="A222" s="634"/>
      <c r="B222" s="635"/>
      <c r="C222" s="635"/>
      <c r="D222" s="634"/>
      <c r="E222" s="634"/>
      <c r="F222" s="634"/>
      <c r="G222" s="634"/>
      <c r="H222" s="634"/>
      <c r="I222" s="634"/>
      <c r="J222" s="634"/>
      <c r="K222" s="634"/>
      <c r="L222" s="634"/>
      <c r="M222" s="634"/>
      <c r="N222" s="634"/>
      <c r="O222" s="634"/>
      <c r="P222" s="634"/>
      <c r="Q222" s="634"/>
      <c r="R222" s="634"/>
      <c r="S222" s="634"/>
      <c r="T222" s="634"/>
      <c r="U222" s="634"/>
      <c r="V222" s="634"/>
      <c r="W222" s="677"/>
      <c r="X222" s="3857" t="s">
        <v>159</v>
      </c>
      <c r="Y222" s="3858"/>
      <c r="Z222" s="3858"/>
      <c r="AA222" s="3858"/>
      <c r="AB222" s="3859"/>
      <c r="AC222" s="3872">
        <f>AE215</f>
        <v>1860</v>
      </c>
      <c r="AD222" s="3873"/>
      <c r="AE222" s="3874"/>
      <c r="AF222" s="634"/>
      <c r="AG222" s="634"/>
      <c r="AH222" s="634"/>
      <c r="AI222" s="634"/>
      <c r="AJ222" s="708"/>
    </row>
    <row r="223" spans="1:37" ht="27.75" thickBot="1">
      <c r="A223" s="634"/>
      <c r="B223" s="635"/>
      <c r="C223" s="635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677"/>
      <c r="X223" s="3857" t="s">
        <v>160</v>
      </c>
      <c r="Y223" s="3858"/>
      <c r="Z223" s="3858"/>
      <c r="AA223" s="3858"/>
      <c r="AB223" s="3859"/>
      <c r="AC223" s="3802">
        <f>'BIG CHAIR'!CJ325</f>
        <v>0</v>
      </c>
      <c r="AD223" s="3803"/>
      <c r="AE223" s="3804"/>
      <c r="AF223" s="634"/>
      <c r="AG223" s="634"/>
      <c r="AH223" s="634"/>
      <c r="AI223" s="634"/>
      <c r="AJ223" s="634"/>
    </row>
    <row r="224" spans="1:37" ht="27.75" thickBot="1">
      <c r="A224" s="634"/>
      <c r="B224" s="635"/>
      <c r="C224" s="635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4"/>
      <c r="P224" s="634"/>
      <c r="Q224" s="634"/>
      <c r="R224" s="634"/>
      <c r="S224" s="634"/>
      <c r="T224" s="634"/>
      <c r="U224" s="634"/>
      <c r="V224" s="634"/>
      <c r="W224" s="677"/>
      <c r="X224" s="3857" t="s">
        <v>161</v>
      </c>
      <c r="Y224" s="3858"/>
      <c r="Z224" s="3858"/>
      <c r="AA224" s="3858"/>
      <c r="AB224" s="3858"/>
      <c r="AC224" s="3872">
        <f>AF215</f>
        <v>0</v>
      </c>
      <c r="AD224" s="3803"/>
      <c r="AE224" s="3804"/>
      <c r="AF224" s="634"/>
      <c r="AG224" s="634"/>
      <c r="AH224" s="634"/>
      <c r="AI224" s="634"/>
      <c r="AJ224" s="634"/>
    </row>
    <row r="225" spans="1:36" ht="27.75" thickBot="1">
      <c r="A225" s="634"/>
      <c r="B225" s="635"/>
      <c r="C225" s="635"/>
      <c r="D225" s="634"/>
      <c r="E225" s="634"/>
      <c r="F225" s="634"/>
      <c r="G225" s="634"/>
      <c r="H225" s="634"/>
      <c r="I225" s="634"/>
      <c r="J225" s="634"/>
      <c r="K225" s="634"/>
      <c r="L225" s="634"/>
      <c r="M225" s="634"/>
      <c r="N225" s="634"/>
      <c r="O225" s="634"/>
      <c r="P225" s="634"/>
      <c r="Q225" s="634"/>
      <c r="R225" s="634"/>
      <c r="S225" s="634"/>
      <c r="T225" s="634"/>
      <c r="U225" s="634"/>
      <c r="V225" s="634"/>
      <c r="W225" s="677"/>
      <c r="X225" s="3857" t="s">
        <v>162</v>
      </c>
      <c r="Y225" s="3858"/>
      <c r="Z225" s="3858"/>
      <c r="AA225" s="3858"/>
      <c r="AB225" s="3859"/>
      <c r="AC225" s="3802">
        <f>'Tea Table'!U285</f>
        <v>2676</v>
      </c>
      <c r="AD225" s="3803"/>
      <c r="AE225" s="3804"/>
      <c r="AF225" s="634"/>
      <c r="AG225" s="634"/>
      <c r="AH225" s="634"/>
      <c r="AI225" s="634"/>
      <c r="AJ225" s="634"/>
    </row>
    <row r="226" spans="1:36" ht="27.75" thickBot="1">
      <c r="A226" s="634"/>
      <c r="B226" s="635"/>
      <c r="C226" s="635"/>
      <c r="D226" s="634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4"/>
      <c r="P226" s="634"/>
      <c r="Q226" s="634"/>
      <c r="R226" s="634"/>
      <c r="S226" s="634"/>
      <c r="T226" s="634"/>
      <c r="U226" s="634"/>
      <c r="V226" s="634"/>
      <c r="W226" s="677"/>
      <c r="X226" s="3860" t="s">
        <v>163</v>
      </c>
      <c r="Y226" s="3861"/>
      <c r="Z226" s="3861"/>
      <c r="AA226" s="3861"/>
      <c r="AB226" s="3862"/>
      <c r="AC226" s="3863">
        <f>'Tea Table'!V285</f>
        <v>29</v>
      </c>
      <c r="AD226" s="3864"/>
      <c r="AE226" s="3865"/>
      <c r="AF226" s="634"/>
      <c r="AG226" s="634"/>
      <c r="AH226" s="634"/>
      <c r="AI226" s="634"/>
      <c r="AJ226" s="634"/>
    </row>
    <row r="227" spans="1:36" ht="28.5" thickTop="1" thickBot="1">
      <c r="A227" s="634"/>
      <c r="B227" s="635"/>
      <c r="C227" s="635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77"/>
      <c r="X227" s="3866"/>
      <c r="Y227" s="3867"/>
      <c r="Z227" s="3867"/>
      <c r="AA227" s="3867"/>
      <c r="AB227" s="3868"/>
      <c r="AC227" s="3869"/>
      <c r="AD227" s="3870"/>
      <c r="AE227" s="3871"/>
      <c r="AF227" s="634"/>
      <c r="AG227" s="634"/>
      <c r="AH227" s="634"/>
      <c r="AI227" s="634"/>
      <c r="AJ227" s="634"/>
    </row>
    <row r="228" spans="1:36" ht="27.75" thickBot="1">
      <c r="A228" s="634"/>
      <c r="B228" s="635"/>
      <c r="C228" s="635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4"/>
      <c r="P228" s="634"/>
      <c r="Q228" s="634"/>
      <c r="R228" s="634"/>
      <c r="S228" s="634"/>
      <c r="T228" s="634"/>
      <c r="U228" s="634"/>
      <c r="V228" s="634"/>
      <c r="W228" s="677"/>
      <c r="X228" s="3857" t="s">
        <v>164</v>
      </c>
      <c r="Y228" s="3858"/>
      <c r="Z228" s="3858"/>
      <c r="AA228" s="3858"/>
      <c r="AB228" s="3859"/>
      <c r="AC228" s="3796">
        <f>SUM(AC221:AE227)</f>
        <v>4565</v>
      </c>
      <c r="AD228" s="3797"/>
      <c r="AE228" s="3798"/>
      <c r="AF228" s="634"/>
      <c r="AG228" s="634"/>
      <c r="AH228" s="634"/>
      <c r="AI228" s="634"/>
      <c r="AJ228" s="634"/>
    </row>
    <row r="229" spans="1:36" ht="27.75" thickBot="1">
      <c r="A229" s="634"/>
      <c r="B229" s="635"/>
      <c r="C229" s="635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4"/>
      <c r="S229" s="634"/>
      <c r="T229" s="634"/>
      <c r="U229" s="634"/>
      <c r="V229" s="634"/>
      <c r="W229" s="677"/>
      <c r="X229" s="3857" t="s">
        <v>165</v>
      </c>
      <c r="Y229" s="3858"/>
      <c r="Z229" s="3858"/>
      <c r="AA229" s="3858"/>
      <c r="AB229" s="3859"/>
      <c r="AC229" s="3796">
        <f>AE216+'BIG CHAIR'!CI326+'Tea Table'!U286</f>
        <v>316</v>
      </c>
      <c r="AD229" s="3797"/>
      <c r="AE229" s="3798"/>
      <c r="AF229" s="695"/>
      <c r="AG229" s="695"/>
      <c r="AH229" s="695"/>
      <c r="AI229" s="634"/>
      <c r="AJ229" s="634"/>
    </row>
    <row r="230" spans="1:36">
      <c r="B230" s="652"/>
      <c r="C230" s="652"/>
      <c r="AB230" s="696"/>
      <c r="AC230" s="696"/>
      <c r="AD230" s="696"/>
      <c r="AE230" s="696"/>
    </row>
    <row r="231" spans="1:36">
      <c r="B231" s="652"/>
      <c r="C231" s="652"/>
      <c r="AB231" s="696"/>
      <c r="AC231" s="696"/>
      <c r="AD231" s="696"/>
      <c r="AE231" s="696"/>
    </row>
    <row r="232" spans="1:36">
      <c r="B232" s="652"/>
      <c r="C232" s="652"/>
      <c r="AB232" s="696"/>
      <c r="AC232" s="696"/>
      <c r="AD232" s="696"/>
      <c r="AE232" s="696"/>
    </row>
    <row r="233" spans="1:36">
      <c r="B233" s="652"/>
      <c r="C233" s="652"/>
      <c r="AB233" s="696"/>
      <c r="AC233" s="696"/>
      <c r="AD233" s="696"/>
      <c r="AE233" s="696"/>
    </row>
    <row r="234" spans="1:36">
      <c r="B234" s="652"/>
      <c r="C234" s="652"/>
      <c r="AB234" s="696"/>
      <c r="AC234" s="696"/>
      <c r="AD234" s="696"/>
      <c r="AE234" s="696"/>
    </row>
    <row r="235" spans="1:36">
      <c r="B235" s="652"/>
      <c r="C235" s="652"/>
      <c r="AB235" s="696"/>
      <c r="AC235" s="696"/>
      <c r="AD235" s="696"/>
      <c r="AE235" s="696"/>
    </row>
    <row r="236" spans="1:36">
      <c r="B236" s="652"/>
      <c r="C236" s="652"/>
      <c r="AB236" s="696"/>
      <c r="AC236" s="696"/>
      <c r="AD236" s="696"/>
      <c r="AE236" s="696"/>
    </row>
    <row r="237" spans="1:36">
      <c r="B237" s="652"/>
      <c r="C237" s="652"/>
      <c r="AB237" s="696"/>
      <c r="AC237" s="696"/>
      <c r="AD237" s="696"/>
      <c r="AE237" s="696"/>
    </row>
    <row r="238" spans="1:36">
      <c r="B238" s="652"/>
      <c r="C238" s="652"/>
      <c r="AB238" s="696"/>
      <c r="AC238" s="696"/>
      <c r="AD238" s="696"/>
      <c r="AE238" s="696"/>
    </row>
    <row r="239" spans="1:36">
      <c r="B239" s="652"/>
      <c r="C239" s="652"/>
      <c r="AB239" s="696"/>
      <c r="AC239" s="696"/>
      <c r="AD239" s="696"/>
      <c r="AE239" s="696"/>
    </row>
    <row r="240" spans="1:36">
      <c r="B240" s="652"/>
      <c r="C240" s="652"/>
      <c r="AB240" s="696"/>
      <c r="AC240" s="696"/>
      <c r="AD240" s="696"/>
      <c r="AE240" s="696"/>
    </row>
    <row r="241" spans="2:31">
      <c r="B241" s="652"/>
      <c r="C241" s="652"/>
      <c r="AB241" s="696"/>
      <c r="AC241" s="696"/>
      <c r="AD241" s="696"/>
      <c r="AE241" s="696"/>
    </row>
    <row r="242" spans="2:31">
      <c r="B242" s="652"/>
      <c r="C242" s="652"/>
      <c r="AB242" s="696"/>
      <c r="AC242" s="696"/>
      <c r="AD242" s="696"/>
      <c r="AE242" s="696"/>
    </row>
    <row r="243" spans="2:31">
      <c r="B243" s="652"/>
      <c r="C243" s="652"/>
      <c r="AB243" s="696"/>
      <c r="AC243" s="696"/>
      <c r="AD243" s="696"/>
      <c r="AE243" s="696"/>
    </row>
    <row r="244" spans="2:31">
      <c r="B244" s="652"/>
      <c r="C244" s="652"/>
      <c r="AB244" s="696"/>
      <c r="AC244" s="696"/>
      <c r="AD244" s="696"/>
      <c r="AE244" s="696"/>
    </row>
    <row r="245" spans="2:31">
      <c r="B245" s="652"/>
      <c r="C245" s="652"/>
      <c r="AB245" s="696"/>
      <c r="AC245" s="696"/>
      <c r="AD245" s="696"/>
      <c r="AE245" s="696"/>
    </row>
    <row r="246" spans="2:31">
      <c r="B246" s="652"/>
      <c r="C246" s="652"/>
      <c r="AB246" s="696"/>
      <c r="AC246" s="696"/>
      <c r="AD246" s="696"/>
      <c r="AE246" s="696"/>
    </row>
    <row r="247" spans="2:31">
      <c r="B247" s="652"/>
      <c r="C247" s="652"/>
      <c r="AB247" s="696"/>
      <c r="AC247" s="696"/>
      <c r="AD247" s="696"/>
      <c r="AE247" s="696"/>
    </row>
  </sheetData>
  <mergeCells count="41">
    <mergeCell ref="A2:D2"/>
    <mergeCell ref="E2:K2"/>
    <mergeCell ref="M2:T2"/>
    <mergeCell ref="V2:AC2"/>
    <mergeCell ref="AE2:AJ2"/>
    <mergeCell ref="A141:AJ141"/>
    <mergeCell ref="A142:D142"/>
    <mergeCell ref="E142:K142"/>
    <mergeCell ref="M142:T142"/>
    <mergeCell ref="V142:AC142"/>
    <mergeCell ref="AE142:AJ142"/>
    <mergeCell ref="A208:C208"/>
    <mergeCell ref="E213:K213"/>
    <mergeCell ref="M213:T213"/>
    <mergeCell ref="V213:AC213"/>
    <mergeCell ref="AF215:AG215"/>
    <mergeCell ref="AF216:AG216"/>
    <mergeCell ref="E217:K217"/>
    <mergeCell ref="M217:T217"/>
    <mergeCell ref="V217:AC217"/>
    <mergeCell ref="E218:K218"/>
    <mergeCell ref="M218:T218"/>
    <mergeCell ref="V218:AC218"/>
    <mergeCell ref="X221:AB221"/>
    <mergeCell ref="AC221:AE221"/>
    <mergeCell ref="X222:AB222"/>
    <mergeCell ref="AC222:AE222"/>
    <mergeCell ref="X223:AB223"/>
    <mergeCell ref="AC223:AE223"/>
    <mergeCell ref="X224:AB224"/>
    <mergeCell ref="AC224:AE224"/>
    <mergeCell ref="X225:AB225"/>
    <mergeCell ref="AC225:AE225"/>
    <mergeCell ref="X226:AB226"/>
    <mergeCell ref="AC226:AE226"/>
    <mergeCell ref="X227:AB227"/>
    <mergeCell ref="AC227:AE227"/>
    <mergeCell ref="X228:AB228"/>
    <mergeCell ref="AC228:AE228"/>
    <mergeCell ref="X229:AB229"/>
    <mergeCell ref="AC229:AE229"/>
  </mergeCells>
  <pageMargins left="0.75" right="0.75" top="1" bottom="1" header="0.51180555555555596" footer="0.51180555555555596"/>
  <pageSetup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90"/>
  <sheetViews>
    <sheetView topLeftCell="A175" workbookViewId="0">
      <selection activeCell="A181" sqref="A181"/>
    </sheetView>
  </sheetViews>
  <sheetFormatPr defaultColWidth="9" defaultRowHeight="15"/>
  <cols>
    <col min="1" max="1" width="58.42578125" customWidth="1"/>
    <col min="2" max="2" width="19.28515625" style="276" customWidth="1"/>
    <col min="3" max="3" width="14.140625" style="276" customWidth="1"/>
    <col min="4" max="4" width="20.85546875" customWidth="1"/>
    <col min="5" max="5" width="14.7109375" bestFit="1" customWidth="1"/>
    <col min="6" max="6" width="13" bestFit="1" customWidth="1"/>
    <col min="7" max="7" width="12.140625" customWidth="1"/>
    <col min="8" max="8" width="16.7109375" bestFit="1" customWidth="1"/>
    <col min="9" max="9" width="9.7109375" customWidth="1"/>
    <col min="10" max="10" width="16.5703125" customWidth="1"/>
    <col min="11" max="11" width="18" customWidth="1"/>
    <col min="12" max="12" width="1.42578125" customWidth="1"/>
    <col min="13" max="14" width="13.7109375" customWidth="1"/>
    <col min="15" max="15" width="16.7109375" customWidth="1"/>
    <col min="16" max="17" width="11.5703125" customWidth="1"/>
    <col min="18" max="18" width="14" customWidth="1"/>
    <col min="19" max="19" width="11.5703125" customWidth="1"/>
    <col min="20" max="20" width="15.140625" customWidth="1"/>
    <col min="21" max="21" width="1.5703125" customWidth="1"/>
    <col min="22" max="22" width="15.7109375" customWidth="1"/>
    <col min="23" max="23" width="16" customWidth="1"/>
    <col min="24" max="24" width="11.5703125" customWidth="1"/>
    <col min="25" max="25" width="13.5703125" customWidth="1"/>
    <col min="26" max="26" width="12.85546875" customWidth="1"/>
    <col min="27" max="27" width="11.5703125" customWidth="1"/>
    <col min="28" max="28" width="18.140625" bestFit="1" customWidth="1"/>
    <col min="29" max="29" width="11.5703125" customWidth="1"/>
    <col min="30" max="30" width="1.28515625" customWidth="1"/>
    <col min="31" max="31" width="13.7109375" customWidth="1"/>
    <col min="32" max="32" width="12.8554687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7" thickBot="1">
      <c r="A1" s="285" t="s">
        <v>374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517</v>
      </c>
      <c r="F2" s="3892"/>
      <c r="G2" s="3892"/>
      <c r="H2" s="3892"/>
      <c r="I2" s="3892"/>
      <c r="J2" s="3892"/>
      <c r="K2" s="3904"/>
      <c r="L2" s="336"/>
      <c r="M2" s="3893"/>
      <c r="N2" s="3894"/>
      <c r="O2" s="3894"/>
      <c r="P2" s="3894"/>
      <c r="Q2" s="3894"/>
      <c r="R2" s="3894"/>
      <c r="S2" s="3894"/>
      <c r="T2" s="3895"/>
      <c r="U2" s="364"/>
      <c r="V2" s="3893"/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2697"/>
      <c r="F3" s="2698" t="s">
        <v>304</v>
      </c>
      <c r="G3" s="2698" t="s">
        <v>92</v>
      </c>
      <c r="H3" s="2698" t="s">
        <v>101</v>
      </c>
      <c r="I3" s="2698" t="s">
        <v>96</v>
      </c>
      <c r="J3" s="3496" t="s">
        <v>123</v>
      </c>
      <c r="K3" s="2702" t="s">
        <v>95</v>
      </c>
      <c r="L3" s="2699"/>
      <c r="M3" s="2697" t="s">
        <v>513</v>
      </c>
      <c r="N3" s="2698" t="s">
        <v>514</v>
      </c>
      <c r="O3" s="2698" t="s">
        <v>170</v>
      </c>
      <c r="P3" s="2698" t="s">
        <v>469</v>
      </c>
      <c r="Q3" s="2698" t="s">
        <v>213</v>
      </c>
      <c r="R3" s="2698" t="s">
        <v>549</v>
      </c>
      <c r="S3" s="2702"/>
      <c r="T3" s="2700"/>
      <c r="U3" s="2699"/>
      <c r="V3" s="2697"/>
      <c r="W3" s="2698"/>
      <c r="X3" s="2698"/>
      <c r="Y3" s="2698"/>
      <c r="Z3" s="2698"/>
      <c r="AA3" s="2698"/>
      <c r="AB3" s="2702"/>
      <c r="AC3" s="2700"/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471</v>
      </c>
      <c r="C4" s="290"/>
      <c r="D4" s="291"/>
      <c r="E4" s="292"/>
      <c r="F4" s="293">
        <f>33*6</f>
        <v>198</v>
      </c>
      <c r="G4" s="293">
        <f>38*6</f>
        <v>228</v>
      </c>
      <c r="H4" s="293">
        <f>42*6</f>
        <v>252</v>
      </c>
      <c r="I4" s="337">
        <f>18*6</f>
        <v>108</v>
      </c>
      <c r="J4" s="337">
        <f>60*6</f>
        <v>360</v>
      </c>
      <c r="K4" s="338"/>
      <c r="L4" s="339"/>
      <c r="M4" s="340">
        <f>79*6</f>
        <v>474</v>
      </c>
      <c r="N4" s="293"/>
      <c r="O4" s="337">
        <f>140*6</f>
        <v>840</v>
      </c>
      <c r="P4" s="337"/>
      <c r="Q4" s="337">
        <f>53*6</f>
        <v>318</v>
      </c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2778</v>
      </c>
      <c r="AF4" s="373">
        <f>2*6</f>
        <v>12</v>
      </c>
      <c r="AG4" s="373"/>
      <c r="AH4" s="373">
        <f>AE4+AF4</f>
        <v>2790</v>
      </c>
      <c r="AI4" s="373"/>
      <c r="AJ4" s="373">
        <f>SUM(E4:AC4)</f>
        <v>2778</v>
      </c>
    </row>
    <row r="5" spans="1:39" s="283" customFormat="1" ht="21" thickBot="1">
      <c r="A5" s="294" t="s">
        <v>110</v>
      </c>
      <c r="B5" s="299"/>
      <c r="C5" s="299"/>
      <c r="D5" s="709"/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37" si="0">SUM(E5:AC5)</f>
        <v>0</v>
      </c>
      <c r="AF5" s="377"/>
      <c r="AG5" s="390"/>
      <c r="AH5" s="391">
        <f>AE5+AF5</f>
        <v>0</v>
      </c>
      <c r="AI5" s="392"/>
      <c r="AJ5" s="393">
        <f>AH5+AI5</f>
        <v>0</v>
      </c>
      <c r="AK5" s="394"/>
      <c r="AL5" s="54"/>
      <c r="AM5" s="394"/>
    </row>
    <row r="6" spans="1:39" s="283" customFormat="1" ht="21" thickBot="1">
      <c r="A6" s="294" t="s">
        <v>110</v>
      </c>
      <c r="B6" s="299"/>
      <c r="C6" s="299"/>
      <c r="D6" s="709"/>
      <c r="E6" s="296"/>
      <c r="F6" s="297"/>
      <c r="G6" s="297"/>
      <c r="H6" s="298"/>
      <c r="I6" s="298"/>
      <c r="J6" s="297"/>
      <c r="K6" s="344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0</v>
      </c>
      <c r="AF6" s="377"/>
      <c r="AG6" s="390"/>
      <c r="AH6" s="391">
        <f t="shared" ref="AH6:AH37" si="1">AE6+AF6</f>
        <v>0</v>
      </c>
      <c r="AI6" s="392"/>
      <c r="AJ6" s="393">
        <f t="shared" ref="AJ6:AJ37" si="2">AH6+AI6</f>
        <v>0</v>
      </c>
      <c r="AK6" s="394"/>
      <c r="AL6" s="54"/>
      <c r="AM6" s="394"/>
    </row>
    <row r="7" spans="1:39" s="283" customFormat="1" ht="21" thickBot="1">
      <c r="A7" s="294" t="s">
        <v>110</v>
      </c>
      <c r="B7" s="299"/>
      <c r="C7" s="299"/>
      <c r="D7" s="300"/>
      <c r="E7" s="296"/>
      <c r="F7" s="297"/>
      <c r="G7" s="297"/>
      <c r="H7" s="298"/>
      <c r="I7" s="298"/>
      <c r="J7" s="297"/>
      <c r="K7" s="341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0</v>
      </c>
      <c r="AF7" s="377"/>
      <c r="AG7" s="390"/>
      <c r="AH7" s="391">
        <f t="shared" si="1"/>
        <v>0</v>
      </c>
      <c r="AI7" s="392"/>
      <c r="AJ7" s="393">
        <f t="shared" si="2"/>
        <v>0</v>
      </c>
      <c r="AK7" s="394"/>
      <c r="AL7" s="54"/>
      <c r="AM7" s="394"/>
    </row>
    <row r="8" spans="1:39" s="283" customFormat="1" ht="21" thickBot="1">
      <c r="A8" s="294" t="s">
        <v>110</v>
      </c>
      <c r="B8" s="299"/>
      <c r="C8" s="299"/>
      <c r="D8" s="300"/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0</v>
      </c>
      <c r="AF8" s="377"/>
      <c r="AG8" s="390"/>
      <c r="AH8" s="391">
        <f t="shared" si="1"/>
        <v>0</v>
      </c>
      <c r="AI8" s="392"/>
      <c r="AJ8" s="393">
        <f t="shared" si="2"/>
        <v>0</v>
      </c>
      <c r="AK8" s="394"/>
      <c r="AL8" s="54"/>
      <c r="AM8" s="394"/>
    </row>
    <row r="9" spans="1:39" s="283" customFormat="1" ht="21" thickBot="1">
      <c r="A9" s="294" t="s">
        <v>110</v>
      </c>
      <c r="B9" s="299"/>
      <c r="C9" s="299"/>
      <c r="D9" s="300"/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0</v>
      </c>
      <c r="AF9" s="377"/>
      <c r="AG9" s="390"/>
      <c r="AH9" s="391">
        <f t="shared" si="1"/>
        <v>0</v>
      </c>
      <c r="AI9" s="392"/>
      <c r="AJ9" s="393">
        <f t="shared" si="2"/>
        <v>0</v>
      </c>
      <c r="AK9" s="394"/>
      <c r="AL9" s="54"/>
      <c r="AM9" s="394"/>
    </row>
    <row r="10" spans="1:39" s="283" customFormat="1" ht="21" thickBot="1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2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2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0"/>
        <v>0</v>
      </c>
      <c r="AF12" s="377"/>
      <c r="AG12" s="390"/>
      <c r="AH12" s="391">
        <f t="shared" si="1"/>
        <v>0</v>
      </c>
      <c r="AI12" s="392"/>
      <c r="AJ12" s="393">
        <f t="shared" si="2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0"/>
        <v>0</v>
      </c>
      <c r="AF13" s="377"/>
      <c r="AG13" s="390"/>
      <c r="AH13" s="391">
        <f t="shared" si="1"/>
        <v>0</v>
      </c>
      <c r="AI13" s="392"/>
      <c r="AJ13" s="393">
        <f t="shared" si="2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0"/>
        <v>0</v>
      </c>
      <c r="AF14" s="377"/>
      <c r="AG14" s="390"/>
      <c r="AH14" s="391">
        <f t="shared" si="1"/>
        <v>0</v>
      </c>
      <c r="AI14" s="392"/>
      <c r="AJ14" s="393">
        <f t="shared" si="2"/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0"/>
        <v>0</v>
      </c>
      <c r="AF15" s="377"/>
      <c r="AG15" s="390"/>
      <c r="AH15" s="391">
        <f t="shared" si="1"/>
        <v>0</v>
      </c>
      <c r="AI15" s="392"/>
      <c r="AJ15" s="393">
        <f t="shared" si="2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0"/>
        <v>0</v>
      </c>
      <c r="AF16" s="377"/>
      <c r="AG16" s="390"/>
      <c r="AH16" s="391">
        <f t="shared" si="1"/>
        <v>0</v>
      </c>
      <c r="AI16" s="392"/>
      <c r="AJ16" s="393">
        <f t="shared" si="2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0"/>
        <v>0</v>
      </c>
      <c r="AF17" s="377"/>
      <c r="AG17" s="390"/>
      <c r="AH17" s="391">
        <f t="shared" si="1"/>
        <v>0</v>
      </c>
      <c r="AI17" s="392"/>
      <c r="AJ17" s="393">
        <f t="shared" si="2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0"/>
        <v>0</v>
      </c>
      <c r="AF18" s="377"/>
      <c r="AG18" s="390"/>
      <c r="AH18" s="391">
        <f t="shared" si="1"/>
        <v>0</v>
      </c>
      <c r="AI18" s="392"/>
      <c r="AJ18" s="393">
        <f t="shared" si="2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0"/>
        <v>0</v>
      </c>
      <c r="AF19" s="377"/>
      <c r="AG19" s="390"/>
      <c r="AH19" s="391">
        <f t="shared" si="1"/>
        <v>0</v>
      </c>
      <c r="AI19" s="392"/>
      <c r="AJ19" s="393">
        <f t="shared" si="2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0"/>
        <v>0</v>
      </c>
      <c r="AF20" s="377"/>
      <c r="AG20" s="390"/>
      <c r="AH20" s="391">
        <f t="shared" si="1"/>
        <v>0</v>
      </c>
      <c r="AI20" s="392"/>
      <c r="AJ20" s="393">
        <f t="shared" si="2"/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0"/>
        <v>0</v>
      </c>
      <c r="AF21" s="377"/>
      <c r="AG21" s="390"/>
      <c r="AH21" s="391">
        <f t="shared" si="1"/>
        <v>0</v>
      </c>
      <c r="AI21" s="392"/>
      <c r="AJ21" s="393">
        <f t="shared" si="2"/>
        <v>0</v>
      </c>
      <c r="AK21" s="394"/>
      <c r="AL21" s="54"/>
      <c r="AM21" s="394"/>
    </row>
    <row r="22" spans="1:39" s="283" customFormat="1" ht="21" thickBot="1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0"/>
        <v>0</v>
      </c>
      <c r="AF22" s="377"/>
      <c r="AG22" s="390"/>
      <c r="AH22" s="391">
        <f t="shared" si="1"/>
        <v>0</v>
      </c>
      <c r="AI22" s="392"/>
      <c r="AJ22" s="393">
        <f t="shared" si="2"/>
        <v>0</v>
      </c>
      <c r="AK22" s="394"/>
      <c r="AL22" s="54"/>
      <c r="AM22" s="394"/>
    </row>
    <row r="23" spans="1:39" s="283" customFormat="1" ht="21" thickBot="1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0"/>
        <v>0</v>
      </c>
      <c r="AF23" s="377"/>
      <c r="AG23" s="390"/>
      <c r="AH23" s="391">
        <f t="shared" si="1"/>
        <v>0</v>
      </c>
      <c r="AI23" s="392"/>
      <c r="AJ23" s="393">
        <f t="shared" si="2"/>
        <v>0</v>
      </c>
      <c r="AK23" s="394"/>
      <c r="AL23" s="54"/>
      <c r="AM23" s="394"/>
    </row>
    <row r="24" spans="1:39" s="283" customFormat="1" ht="21" thickBot="1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0"/>
        <v>0</v>
      </c>
      <c r="AF24" s="377"/>
      <c r="AG24" s="390"/>
      <c r="AH24" s="391">
        <f t="shared" si="1"/>
        <v>0</v>
      </c>
      <c r="AI24" s="392"/>
      <c r="AJ24" s="393">
        <f t="shared" si="2"/>
        <v>0</v>
      </c>
      <c r="AK24" s="394"/>
      <c r="AL24" s="54"/>
      <c r="AM24" s="394"/>
    </row>
    <row r="25" spans="1:39" s="283" customFormat="1" ht="21" thickBot="1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0"/>
        <v>0</v>
      </c>
      <c r="AF25" s="377"/>
      <c r="AG25" s="390"/>
      <c r="AH25" s="391">
        <f t="shared" si="1"/>
        <v>0</v>
      </c>
      <c r="AI25" s="392"/>
      <c r="AJ25" s="393">
        <f t="shared" si="2"/>
        <v>0</v>
      </c>
      <c r="AK25" s="394"/>
      <c r="AL25" s="54"/>
      <c r="AM25" s="394"/>
    </row>
    <row r="26" spans="1:39" s="283" customFormat="1" ht="21" thickBot="1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0"/>
        <v>0</v>
      </c>
      <c r="AF26" s="377"/>
      <c r="AG26" s="390"/>
      <c r="AH26" s="391">
        <f t="shared" si="1"/>
        <v>0</v>
      </c>
      <c r="AI26" s="392"/>
      <c r="AJ26" s="393">
        <f t="shared" si="2"/>
        <v>0</v>
      </c>
      <c r="AK26" s="394"/>
      <c r="AL26" s="54"/>
      <c r="AM26" s="394"/>
    </row>
    <row r="27" spans="1:39" s="283" customFormat="1" ht="21" thickBot="1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0"/>
        <v>0</v>
      </c>
      <c r="AF27" s="377"/>
      <c r="AG27" s="390"/>
      <c r="AH27" s="391">
        <f t="shared" si="1"/>
        <v>0</v>
      </c>
      <c r="AI27" s="392"/>
      <c r="AJ27" s="393">
        <f t="shared" si="2"/>
        <v>0</v>
      </c>
      <c r="AK27" s="394"/>
      <c r="AL27" s="54"/>
      <c r="AM27" s="394"/>
    </row>
    <row r="28" spans="1:39" s="283" customFormat="1" ht="21" thickBot="1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0"/>
        <v>0</v>
      </c>
      <c r="AF28" s="377"/>
      <c r="AG28" s="390"/>
      <c r="AH28" s="391">
        <f t="shared" si="1"/>
        <v>0</v>
      </c>
      <c r="AI28" s="392"/>
      <c r="AJ28" s="393">
        <f t="shared" si="2"/>
        <v>0</v>
      </c>
      <c r="AK28" s="394"/>
      <c r="AL28" s="54"/>
      <c r="AM28" s="394"/>
    </row>
    <row r="29" spans="1:39" s="283" customFormat="1" ht="21" thickBot="1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0"/>
        <v>0</v>
      </c>
      <c r="AF29" s="377"/>
      <c r="AG29" s="390"/>
      <c r="AH29" s="391">
        <f t="shared" si="1"/>
        <v>0</v>
      </c>
      <c r="AI29" s="392"/>
      <c r="AJ29" s="393">
        <f t="shared" si="2"/>
        <v>0</v>
      </c>
      <c r="AK29" s="394"/>
      <c r="AL29" s="54"/>
      <c r="AM29" s="394"/>
    </row>
    <row r="30" spans="1:39" s="283" customFormat="1" ht="21" thickBot="1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0"/>
        <v>0</v>
      </c>
      <c r="AF30" s="377"/>
      <c r="AG30" s="390"/>
      <c r="AH30" s="391">
        <f t="shared" si="1"/>
        <v>0</v>
      </c>
      <c r="AI30" s="392"/>
      <c r="AJ30" s="393">
        <f t="shared" si="2"/>
        <v>0</v>
      </c>
      <c r="AK30" s="394"/>
      <c r="AL30" s="54"/>
      <c r="AM30" s="394"/>
    </row>
    <row r="31" spans="1:39" s="283" customFormat="1" ht="21" thickBot="1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0"/>
        <v>0</v>
      </c>
      <c r="AF31" s="377"/>
      <c r="AG31" s="390"/>
      <c r="AH31" s="391">
        <f t="shared" si="1"/>
        <v>0</v>
      </c>
      <c r="AI31" s="392"/>
      <c r="AJ31" s="393">
        <f t="shared" si="2"/>
        <v>0</v>
      </c>
      <c r="AK31" s="394"/>
      <c r="AL31" s="54"/>
      <c r="AM31" s="394"/>
    </row>
    <row r="32" spans="1:39" s="283" customFormat="1" ht="21" thickBot="1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0"/>
        <v>0</v>
      </c>
      <c r="AF32" s="377"/>
      <c r="AG32" s="390"/>
      <c r="AH32" s="391">
        <f t="shared" si="1"/>
        <v>0</v>
      </c>
      <c r="AI32" s="392"/>
      <c r="AJ32" s="393">
        <f t="shared" si="2"/>
        <v>0</v>
      </c>
      <c r="AK32" s="394"/>
      <c r="AL32" s="54"/>
      <c r="AM32" s="394"/>
    </row>
    <row r="33" spans="1:39" s="283" customFormat="1" ht="21" thickBot="1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0"/>
        <v>0</v>
      </c>
      <c r="AF33" s="377"/>
      <c r="AG33" s="390"/>
      <c r="AH33" s="391">
        <f t="shared" si="1"/>
        <v>0</v>
      </c>
      <c r="AI33" s="392"/>
      <c r="AJ33" s="393">
        <f t="shared" si="2"/>
        <v>0</v>
      </c>
      <c r="AK33" s="394"/>
      <c r="AL33" s="54"/>
      <c r="AM33" s="394"/>
    </row>
    <row r="34" spans="1:39" s="283" customFormat="1" ht="21" thickBot="1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0"/>
        <v>0</v>
      </c>
      <c r="AF34" s="377"/>
      <c r="AG34" s="390"/>
      <c r="AH34" s="391">
        <f t="shared" si="1"/>
        <v>0</v>
      </c>
      <c r="AI34" s="392"/>
      <c r="AJ34" s="393">
        <f t="shared" si="2"/>
        <v>0</v>
      </c>
      <c r="AK34" s="394"/>
      <c r="AL34" s="54"/>
      <c r="AM34" s="394"/>
    </row>
    <row r="35" spans="1:39" s="283" customFormat="1" ht="21" thickBot="1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0"/>
        <v>0</v>
      </c>
      <c r="AF35" s="377"/>
      <c r="AG35" s="390"/>
      <c r="AH35" s="391">
        <f t="shared" si="1"/>
        <v>0</v>
      </c>
      <c r="AI35" s="392"/>
      <c r="AJ35" s="393">
        <f t="shared" si="2"/>
        <v>0</v>
      </c>
      <c r="AK35" s="394"/>
      <c r="AL35" s="54"/>
      <c r="AM35" s="394"/>
    </row>
    <row r="36" spans="1:39" s="283" customFormat="1" ht="21" thickBot="1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0"/>
        <v>0</v>
      </c>
      <c r="AF36" s="377"/>
      <c r="AG36" s="390"/>
      <c r="AH36" s="391">
        <f t="shared" si="1"/>
        <v>0</v>
      </c>
      <c r="AI36" s="392"/>
      <c r="AJ36" s="393">
        <f t="shared" si="2"/>
        <v>0</v>
      </c>
      <c r="AK36" s="394"/>
      <c r="AL36" s="54"/>
      <c r="AM36" s="394"/>
    </row>
    <row r="37" spans="1:39" s="283" customFormat="1" ht="21" thickBot="1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0"/>
        <v>0</v>
      </c>
      <c r="AF37" s="377"/>
      <c r="AG37" s="390"/>
      <c r="AH37" s="391">
        <f t="shared" si="1"/>
        <v>0</v>
      </c>
      <c r="AI37" s="392"/>
      <c r="AJ37" s="395">
        <f t="shared" si="2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9.5" thickBot="1">
      <c r="A38" s="302" t="s">
        <v>175</v>
      </c>
      <c r="B38" s="303"/>
      <c r="C38" s="303"/>
      <c r="D38" s="304"/>
      <c r="E38" s="305">
        <f t="shared" ref="E38:AJ38" si="3">SUM(E5:E37)</f>
        <v>0</v>
      </c>
      <c r="F38" s="305">
        <f t="shared" si="3"/>
        <v>0</v>
      </c>
      <c r="G38" s="305">
        <f t="shared" si="3"/>
        <v>0</v>
      </c>
      <c r="H38" s="305">
        <f t="shared" si="3"/>
        <v>0</v>
      </c>
      <c r="I38" s="305">
        <f t="shared" si="3"/>
        <v>0</v>
      </c>
      <c r="J38" s="305">
        <f t="shared" si="3"/>
        <v>0</v>
      </c>
      <c r="K38" s="305">
        <f t="shared" si="3"/>
        <v>0</v>
      </c>
      <c r="L38" s="305">
        <f t="shared" si="3"/>
        <v>0</v>
      </c>
      <c r="M38" s="305">
        <f t="shared" si="3"/>
        <v>0</v>
      </c>
      <c r="N38" s="305">
        <f t="shared" si="3"/>
        <v>0</v>
      </c>
      <c r="O38" s="305">
        <f t="shared" si="3"/>
        <v>0</v>
      </c>
      <c r="P38" s="305">
        <f t="shared" si="3"/>
        <v>0</v>
      </c>
      <c r="Q38" s="305">
        <f t="shared" si="3"/>
        <v>0</v>
      </c>
      <c r="R38" s="305">
        <f t="shared" si="3"/>
        <v>0</v>
      </c>
      <c r="S38" s="305">
        <f t="shared" si="3"/>
        <v>0</v>
      </c>
      <c r="T38" s="812">
        <f t="shared" si="3"/>
        <v>0</v>
      </c>
      <c r="U38" s="305">
        <f t="shared" si="3"/>
        <v>0</v>
      </c>
      <c r="V38" s="305">
        <f t="shared" si="3"/>
        <v>0</v>
      </c>
      <c r="W38" s="305">
        <f t="shared" si="3"/>
        <v>0</v>
      </c>
      <c r="X38" s="305">
        <f t="shared" si="3"/>
        <v>0</v>
      </c>
      <c r="Y38" s="305">
        <f t="shared" si="3"/>
        <v>0</v>
      </c>
      <c r="Z38" s="305">
        <f t="shared" si="3"/>
        <v>0</v>
      </c>
      <c r="AA38" s="305">
        <f t="shared" si="3"/>
        <v>0</v>
      </c>
      <c r="AB38" s="305">
        <f t="shared" si="3"/>
        <v>0</v>
      </c>
      <c r="AC38" s="305">
        <f t="shared" si="3"/>
        <v>0</v>
      </c>
      <c r="AD38" s="305">
        <f t="shared" si="3"/>
        <v>0</v>
      </c>
      <c r="AE38" s="305">
        <f t="shared" si="3"/>
        <v>0</v>
      </c>
      <c r="AF38" s="305">
        <f t="shared" si="3"/>
        <v>0</v>
      </c>
      <c r="AG38" s="305">
        <f t="shared" si="3"/>
        <v>0</v>
      </c>
      <c r="AH38" s="305">
        <f t="shared" si="3"/>
        <v>0</v>
      </c>
      <c r="AI38" s="305">
        <f t="shared" si="3"/>
        <v>0</v>
      </c>
      <c r="AJ38" s="305">
        <f t="shared" si="3"/>
        <v>0</v>
      </c>
      <c r="AK38" s="399">
        <f>'BIG CHAIR'!CL36</f>
        <v>0</v>
      </c>
      <c r="AL38" s="400">
        <f>'Tea Table'!X29</f>
        <v>0</v>
      </c>
      <c r="AM38" s="401">
        <f>AH38+AK38+AL38</f>
        <v>0</v>
      </c>
    </row>
    <row r="39" spans="1:39" s="284" customFormat="1" ht="24" thickBot="1">
      <c r="A39" s="306"/>
      <c r="B39" s="307"/>
      <c r="C39" s="307"/>
      <c r="D39" s="308"/>
      <c r="E39" s="3891"/>
      <c r="F39" s="3892"/>
      <c r="G39" s="3892"/>
      <c r="H39" s="3892"/>
      <c r="I39" s="3892"/>
      <c r="J39" s="3892"/>
      <c r="K39" s="3904"/>
      <c r="L39" s="336"/>
      <c r="M39" s="3893"/>
      <c r="N39" s="3894"/>
      <c r="O39" s="3894"/>
      <c r="P39" s="3894"/>
      <c r="Q39" s="3894"/>
      <c r="R39" s="3894"/>
      <c r="S39" s="3894"/>
      <c r="T39" s="3895"/>
      <c r="U39" s="364"/>
      <c r="V39" s="3893"/>
      <c r="W39" s="3894"/>
      <c r="X39" s="3894"/>
      <c r="Y39" s="3894"/>
      <c r="Z39" s="3894"/>
      <c r="AA39" s="3894"/>
      <c r="AB39" s="3894"/>
      <c r="AC39" s="3895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86" t="s">
        <v>117</v>
      </c>
      <c r="B40" s="287" t="s">
        <v>68</v>
      </c>
      <c r="C40" s="287" t="s">
        <v>69</v>
      </c>
      <c r="D40" s="288" t="s">
        <v>70</v>
      </c>
      <c r="E40" s="2697"/>
      <c r="F40" s="2698" t="s">
        <v>304</v>
      </c>
      <c r="G40" s="2698" t="s">
        <v>92</v>
      </c>
      <c r="H40" s="2698" t="s">
        <v>101</v>
      </c>
      <c r="I40" s="2698"/>
      <c r="J40" s="3496" t="s">
        <v>123</v>
      </c>
      <c r="K40" s="2702"/>
      <c r="L40" s="2699"/>
      <c r="M40" s="2697" t="s">
        <v>513</v>
      </c>
      <c r="N40" s="2698" t="s">
        <v>514</v>
      </c>
      <c r="O40" s="2698" t="s">
        <v>170</v>
      </c>
      <c r="P40" s="2698" t="s">
        <v>469</v>
      </c>
      <c r="Q40" s="2698"/>
      <c r="R40" s="2698"/>
      <c r="S40" s="2702"/>
      <c r="T40" s="2700"/>
      <c r="U40" s="2699"/>
      <c r="V40" s="2697"/>
      <c r="W40" s="2698"/>
      <c r="X40" s="2698"/>
      <c r="Y40" s="2698"/>
      <c r="Z40" s="2698"/>
      <c r="AA40" s="2698"/>
      <c r="AB40" s="2702"/>
      <c r="AC40" s="2700"/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0.25">
      <c r="A41" s="310" t="s">
        <v>176</v>
      </c>
      <c r="B41" s="311"/>
      <c r="C41" s="311"/>
      <c r="D41" s="312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 t="shared" ref="AE41:AE51" si="4"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316" t="s">
        <v>120</v>
      </c>
      <c r="B42" s="317"/>
      <c r="C42" s="317"/>
      <c r="D42" s="318"/>
      <c r="E42" s="319"/>
      <c r="F42" s="320"/>
      <c r="G42" s="320"/>
      <c r="H42" s="321"/>
      <c r="I42" s="321"/>
      <c r="J42" s="320"/>
      <c r="K42" s="351"/>
      <c r="L42" s="352"/>
      <c r="M42" s="353"/>
      <c r="N42" s="320"/>
      <c r="O42" s="320"/>
      <c r="P42" s="321"/>
      <c r="Q42" s="321"/>
      <c r="R42" s="321"/>
      <c r="S42" s="320"/>
      <c r="T42" s="351"/>
      <c r="U42" s="352"/>
      <c r="V42" s="353"/>
      <c r="W42" s="321"/>
      <c r="X42" s="321"/>
      <c r="Y42" s="321"/>
      <c r="Z42" s="321"/>
      <c r="AA42" s="321"/>
      <c r="AB42" s="321"/>
      <c r="AC42" s="380"/>
      <c r="AD42" s="352"/>
      <c r="AE42" s="381">
        <f t="shared" si="4"/>
        <v>0</v>
      </c>
      <c r="AF42" s="381"/>
      <c r="AG42" s="408"/>
      <c r="AH42" s="409">
        <f t="shared" ref="AH42:AH52" si="5">AE42+AF42</f>
        <v>0</v>
      </c>
      <c r="AI42" s="410"/>
      <c r="AJ42" s="411">
        <f>AH42+AI42</f>
        <v>0</v>
      </c>
    </row>
    <row r="43" spans="1:39" s="234" customFormat="1" ht="20.25">
      <c r="A43" s="316" t="s">
        <v>120</v>
      </c>
      <c r="B43" s="295"/>
      <c r="C43" s="295"/>
      <c r="D43" s="318"/>
      <c r="E43" s="319"/>
      <c r="F43" s="320"/>
      <c r="G43" s="320"/>
      <c r="H43" s="321"/>
      <c r="I43" s="321"/>
      <c r="J43" s="320"/>
      <c r="K43" s="354"/>
      <c r="L43" s="352"/>
      <c r="M43" s="353"/>
      <c r="N43" s="321"/>
      <c r="O43" s="321"/>
      <c r="P43" s="321"/>
      <c r="Q43" s="321"/>
      <c r="R43" s="321"/>
      <c r="S43" s="321"/>
      <c r="T43" s="351"/>
      <c r="U43" s="352"/>
      <c r="V43" s="319"/>
      <c r="W43" s="320"/>
      <c r="X43" s="320"/>
      <c r="Y43" s="321"/>
      <c r="Z43" s="321"/>
      <c r="AA43" s="321"/>
      <c r="AB43" s="320"/>
      <c r="AC43" s="380"/>
      <c r="AD43" s="352"/>
      <c r="AE43" s="381">
        <f t="shared" si="4"/>
        <v>0</v>
      </c>
      <c r="AF43" s="381"/>
      <c r="AG43" s="408"/>
      <c r="AH43" s="409">
        <f t="shared" si="5"/>
        <v>0</v>
      </c>
      <c r="AI43" s="410"/>
      <c r="AJ43" s="411">
        <f>AH43+AI43</f>
        <v>0</v>
      </c>
    </row>
    <row r="44" spans="1:39" s="234" customFormat="1" ht="20.25">
      <c r="A44" s="316" t="s">
        <v>120</v>
      </c>
      <c r="B44" s="295"/>
      <c r="C44" s="295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4"/>
        <v>0</v>
      </c>
      <c r="AF44" s="381"/>
      <c r="AG44" s="408"/>
      <c r="AH44" s="409">
        <f t="shared" si="5"/>
        <v>0</v>
      </c>
      <c r="AI44" s="410"/>
      <c r="AJ44" s="411">
        <f>AH44+AI44</f>
        <v>0</v>
      </c>
    </row>
    <row r="45" spans="1:39" s="234" customFormat="1" ht="20.25">
      <c r="A45" s="316" t="s">
        <v>120</v>
      </c>
      <c r="B45" s="295"/>
      <c r="C45" s="295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4"/>
        <v>0</v>
      </c>
      <c r="AF45" s="381"/>
      <c r="AG45" s="408"/>
      <c r="AH45" s="409">
        <f t="shared" si="5"/>
        <v>0</v>
      </c>
      <c r="AI45" s="410"/>
      <c r="AJ45" s="411">
        <f t="shared" ref="AJ45:AJ52" si="6">AH45+AI45</f>
        <v>0</v>
      </c>
    </row>
    <row r="46" spans="1:39" s="234" customFormat="1" ht="20.25">
      <c r="A46" s="316" t="s">
        <v>120</v>
      </c>
      <c r="B46" s="295"/>
      <c r="C46" s="295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ref="AE46" si="7">SUM(E46:AC46)</f>
        <v>0</v>
      </c>
      <c r="AF46" s="381"/>
      <c r="AG46" s="408"/>
      <c r="AH46" s="409">
        <f t="shared" si="5"/>
        <v>0</v>
      </c>
      <c r="AI46" s="410"/>
      <c r="AJ46" s="411">
        <f t="shared" si="6"/>
        <v>0</v>
      </c>
    </row>
    <row r="47" spans="1:39" s="234" customFormat="1" ht="20.25">
      <c r="A47" s="316" t="s">
        <v>120</v>
      </c>
      <c r="B47" s="295"/>
      <c r="C47" s="295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4"/>
        <v>0</v>
      </c>
      <c r="AF47" s="381"/>
      <c r="AG47" s="408"/>
      <c r="AH47" s="409">
        <f t="shared" si="5"/>
        <v>0</v>
      </c>
      <c r="AI47" s="410"/>
      <c r="AJ47" s="411">
        <f t="shared" si="6"/>
        <v>0</v>
      </c>
    </row>
    <row r="48" spans="1:39" s="234" customFormat="1" ht="20.25">
      <c r="A48" s="316" t="s">
        <v>120</v>
      </c>
      <c r="B48" s="295"/>
      <c r="C48" s="295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4"/>
        <v>0</v>
      </c>
      <c r="AF48" s="381"/>
      <c r="AG48" s="408"/>
      <c r="AH48" s="409">
        <f t="shared" si="5"/>
        <v>0</v>
      </c>
      <c r="AI48" s="410"/>
      <c r="AJ48" s="411">
        <f t="shared" si="6"/>
        <v>0</v>
      </c>
    </row>
    <row r="49" spans="1:39" s="234" customFormat="1" ht="20.25">
      <c r="A49" s="316" t="s">
        <v>120</v>
      </c>
      <c r="B49" s="295"/>
      <c r="C49" s="295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ref="AE49:AE50" si="8">SUM(E49:AC49)</f>
        <v>0</v>
      </c>
      <c r="AF49" s="381"/>
      <c r="AG49" s="408"/>
      <c r="AH49" s="409">
        <f t="shared" si="5"/>
        <v>0</v>
      </c>
      <c r="AI49" s="410"/>
      <c r="AJ49" s="411">
        <f t="shared" si="6"/>
        <v>0</v>
      </c>
    </row>
    <row r="50" spans="1:39" s="234" customFormat="1" ht="20.25">
      <c r="A50" s="316" t="s">
        <v>120</v>
      </c>
      <c r="B50" s="295"/>
      <c r="C50" s="295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8"/>
        <v>0</v>
      </c>
      <c r="AF50" s="381"/>
      <c r="AG50" s="408"/>
      <c r="AH50" s="409">
        <f t="shared" si="5"/>
        <v>0</v>
      </c>
      <c r="AI50" s="410"/>
      <c r="AJ50" s="411">
        <f t="shared" si="6"/>
        <v>0</v>
      </c>
    </row>
    <row r="51" spans="1:39" s="234" customFormat="1" ht="21" thickBot="1">
      <c r="A51" s="316" t="s">
        <v>120</v>
      </c>
      <c r="B51" s="295"/>
      <c r="C51" s="295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4"/>
        <v>0</v>
      </c>
      <c r="AF51" s="381"/>
      <c r="AG51" s="408"/>
      <c r="AH51" s="409">
        <f t="shared" si="5"/>
        <v>0</v>
      </c>
      <c r="AI51" s="410"/>
      <c r="AJ51" s="411">
        <f t="shared" si="6"/>
        <v>0</v>
      </c>
    </row>
    <row r="52" spans="1:39" s="283" customFormat="1" ht="21" thickBot="1">
      <c r="A52" s="322"/>
      <c r="B52" s="323"/>
      <c r="C52" s="323"/>
      <c r="D52" s="324"/>
      <c r="E52" s="325"/>
      <c r="F52" s="297"/>
      <c r="G52" s="297"/>
      <c r="H52" s="298"/>
      <c r="I52" s="298"/>
      <c r="J52" s="297"/>
      <c r="K52" s="344"/>
      <c r="L52" s="355"/>
      <c r="M52" s="343"/>
      <c r="N52" s="298"/>
      <c r="O52" s="298"/>
      <c r="P52" s="298"/>
      <c r="Q52" s="298"/>
      <c r="R52" s="298"/>
      <c r="S52" s="298"/>
      <c r="T52" s="367"/>
      <c r="U52" s="355"/>
      <c r="V52" s="325"/>
      <c r="W52" s="297"/>
      <c r="X52" s="297"/>
      <c r="Y52" s="298"/>
      <c r="Z52" s="298"/>
      <c r="AA52" s="298"/>
      <c r="AB52" s="297"/>
      <c r="AC52" s="375"/>
      <c r="AD52" s="355"/>
      <c r="AE52" s="376">
        <f t="shared" ref="AE52" si="9">SUM(E52:AC52)</f>
        <v>0</v>
      </c>
      <c r="AF52" s="377"/>
      <c r="AG52" s="390"/>
      <c r="AH52" s="391">
        <f t="shared" si="5"/>
        <v>0</v>
      </c>
      <c r="AI52" s="412"/>
      <c r="AJ52" s="413">
        <f t="shared" si="6"/>
        <v>0</v>
      </c>
      <c r="AK52" s="414" t="s">
        <v>8</v>
      </c>
      <c r="AL52" s="397" t="s">
        <v>23</v>
      </c>
      <c r="AM52" s="415" t="s">
        <v>174</v>
      </c>
    </row>
    <row r="53" spans="1:39" s="284" customFormat="1" ht="19.5" thickBot="1">
      <c r="A53" s="326" t="s">
        <v>177</v>
      </c>
      <c r="B53" s="327"/>
      <c r="C53" s="327"/>
      <c r="D53" s="328"/>
      <c r="E53" s="329">
        <f t="shared" ref="E53:K53" si="10">SUM(E41:E52)</f>
        <v>0</v>
      </c>
      <c r="F53" s="330">
        <f t="shared" si="10"/>
        <v>0</v>
      </c>
      <c r="G53" s="330">
        <f t="shared" si="10"/>
        <v>0</v>
      </c>
      <c r="H53" s="330">
        <f t="shared" si="10"/>
        <v>0</v>
      </c>
      <c r="I53" s="330">
        <f t="shared" si="10"/>
        <v>0</v>
      </c>
      <c r="J53" s="330">
        <f t="shared" si="10"/>
        <v>0</v>
      </c>
      <c r="K53" s="356">
        <f t="shared" si="10"/>
        <v>0</v>
      </c>
      <c r="L53" s="357"/>
      <c r="M53" s="358">
        <f>SUM(M41:M52)</f>
        <v>0</v>
      </c>
      <c r="N53" s="359">
        <f>SUM(N41:N52)</f>
        <v>0</v>
      </c>
      <c r="O53" s="359">
        <f>SUM(O41:O52)</f>
        <v>0</v>
      </c>
      <c r="P53" s="359">
        <f>SUM(P41:P52)</f>
        <v>0</v>
      </c>
      <c r="Q53" s="359">
        <f t="shared" ref="Q53:T53" si="11">SUM(Q41:Q52)</f>
        <v>0</v>
      </c>
      <c r="R53" s="359">
        <f t="shared" si="11"/>
        <v>0</v>
      </c>
      <c r="S53" s="359">
        <f t="shared" si="11"/>
        <v>0</v>
      </c>
      <c r="T53" s="369">
        <f t="shared" si="11"/>
        <v>0</v>
      </c>
      <c r="U53" s="357"/>
      <c r="V53" s="358">
        <f t="shared" ref="V53:AC53" si="12">SUM(V41:V52)</f>
        <v>0</v>
      </c>
      <c r="W53" s="359">
        <f t="shared" si="12"/>
        <v>0</v>
      </c>
      <c r="X53" s="359">
        <f t="shared" si="12"/>
        <v>0</v>
      </c>
      <c r="Y53" s="359">
        <f t="shared" si="12"/>
        <v>0</v>
      </c>
      <c r="Z53" s="359">
        <f t="shared" si="12"/>
        <v>0</v>
      </c>
      <c r="AA53" s="359">
        <f t="shared" si="12"/>
        <v>0</v>
      </c>
      <c r="AB53" s="359">
        <f t="shared" si="12"/>
        <v>0</v>
      </c>
      <c r="AC53" s="369">
        <f t="shared" si="12"/>
        <v>0</v>
      </c>
      <c r="AD53" s="357"/>
      <c r="AE53" s="382">
        <f>SUM(AE41:AE52)</f>
        <v>0</v>
      </c>
      <c r="AF53" s="382">
        <f>SUM(AF41:AF52)</f>
        <v>0</v>
      </c>
      <c r="AG53" s="416">
        <f t="shared" ref="AG53:AJ53" si="13">SUM(AG41:AG52)</f>
        <v>0</v>
      </c>
      <c r="AH53" s="417">
        <f t="shared" si="13"/>
        <v>0</v>
      </c>
      <c r="AI53" s="382">
        <f t="shared" si="13"/>
        <v>0</v>
      </c>
      <c r="AJ53" s="418">
        <f t="shared" si="13"/>
        <v>0</v>
      </c>
      <c r="AK53" s="399">
        <f>'BIG CHAIR'!CL77</f>
        <v>14560</v>
      </c>
      <c r="AL53" s="400">
        <f>'Tea Table'!X85</f>
        <v>0</v>
      </c>
      <c r="AM53" s="401">
        <f>AH53+AK53+AL53</f>
        <v>14560</v>
      </c>
    </row>
    <row r="54" spans="1:39" s="284" customFormat="1" ht="24" thickBot="1">
      <c r="A54" s="306"/>
      <c r="B54" s="307"/>
      <c r="C54" s="307"/>
      <c r="D54" s="308"/>
      <c r="E54" s="3891">
        <v>501</v>
      </c>
      <c r="F54" s="3892"/>
      <c r="G54" s="3892"/>
      <c r="H54" s="3892"/>
      <c r="I54" s="3892"/>
      <c r="J54" s="3892"/>
      <c r="K54" s="3904"/>
      <c r="L54" s="336"/>
      <c r="M54" s="3893">
        <v>502</v>
      </c>
      <c r="N54" s="3894"/>
      <c r="O54" s="3894"/>
      <c r="P54" s="3894"/>
      <c r="Q54" s="3894"/>
      <c r="R54" s="3894"/>
      <c r="S54" s="3894"/>
      <c r="T54" s="3895"/>
      <c r="U54" s="364"/>
      <c r="V54" s="3893">
        <v>503</v>
      </c>
      <c r="W54" s="3894"/>
      <c r="X54" s="3894"/>
      <c r="Y54" s="3894"/>
      <c r="Z54" s="3894"/>
      <c r="AA54" s="3894"/>
      <c r="AB54" s="3894"/>
      <c r="AC54" s="3895"/>
      <c r="AD54" s="346"/>
      <c r="AE54" s="347"/>
      <c r="AF54" s="347"/>
      <c r="AG54" s="347"/>
      <c r="AH54" s="347"/>
      <c r="AI54" s="347"/>
      <c r="AJ54" s="402"/>
      <c r="AK54" s="403"/>
      <c r="AL54" s="403"/>
      <c r="AM54" s="403"/>
    </row>
    <row r="55" spans="1:39" s="282" customFormat="1" ht="24" thickBot="1">
      <c r="A55" s="286" t="s">
        <v>122</v>
      </c>
      <c r="B55" s="287" t="s">
        <v>68</v>
      </c>
      <c r="C55" s="287" t="s">
        <v>69</v>
      </c>
      <c r="D55" s="288" t="s">
        <v>70</v>
      </c>
      <c r="E55" s="2697"/>
      <c r="F55" s="2698" t="s">
        <v>304</v>
      </c>
      <c r="G55" s="2698" t="s">
        <v>92</v>
      </c>
      <c r="H55" s="2698" t="s">
        <v>101</v>
      </c>
      <c r="I55" s="2698"/>
      <c r="J55" s="3496" t="s">
        <v>123</v>
      </c>
      <c r="K55" s="2702"/>
      <c r="L55" s="2699"/>
      <c r="M55" s="2697" t="s">
        <v>513</v>
      </c>
      <c r="N55" s="2698" t="s">
        <v>514</v>
      </c>
      <c r="O55" s="2698" t="s">
        <v>170</v>
      </c>
      <c r="P55" s="2698" t="s">
        <v>469</v>
      </c>
      <c r="Q55" s="2698"/>
      <c r="R55" s="2698"/>
      <c r="S55" s="2702"/>
      <c r="T55" s="2700"/>
      <c r="U55" s="2699"/>
      <c r="V55" s="2697"/>
      <c r="W55" s="2698"/>
      <c r="X55" s="2698"/>
      <c r="Y55" s="2698"/>
      <c r="Z55" s="2698"/>
      <c r="AA55" s="2698"/>
      <c r="AB55" s="2702"/>
      <c r="AC55" s="2700"/>
      <c r="AD55" s="370"/>
      <c r="AE55" s="371" t="s">
        <v>172</v>
      </c>
      <c r="AF55" s="372" t="s">
        <v>80</v>
      </c>
      <c r="AG55" s="385"/>
      <c r="AH55" s="386" t="s">
        <v>106</v>
      </c>
      <c r="AI55" s="385" t="s">
        <v>173</v>
      </c>
      <c r="AJ55" s="371" t="s">
        <v>108</v>
      </c>
    </row>
    <row r="56" spans="1:39" s="234" customFormat="1" ht="20.25">
      <c r="A56" s="310" t="s">
        <v>125</v>
      </c>
      <c r="B56" s="311"/>
      <c r="C56" s="311"/>
      <c r="D56" s="312"/>
      <c r="E56" s="313"/>
      <c r="F56" s="313"/>
      <c r="G56" s="314"/>
      <c r="H56" s="315"/>
      <c r="I56" s="315"/>
      <c r="J56" s="314"/>
      <c r="K56" s="348"/>
      <c r="L56" s="349"/>
      <c r="M56" s="350"/>
      <c r="N56" s="315"/>
      <c r="O56" s="315"/>
      <c r="P56" s="315"/>
      <c r="Q56" s="315"/>
      <c r="R56" s="315"/>
      <c r="S56" s="315"/>
      <c r="T56" s="348"/>
      <c r="U56" s="349"/>
      <c r="V56" s="350"/>
      <c r="W56" s="315"/>
      <c r="X56" s="315"/>
      <c r="Y56" s="315"/>
      <c r="Z56" s="315"/>
      <c r="AA56" s="315"/>
      <c r="AB56" s="315"/>
      <c r="AC56" s="378"/>
      <c r="AD56" s="349"/>
      <c r="AE56" s="379">
        <f t="shared" ref="AE56:AE59" si="14">SUM(E56:AC56)</f>
        <v>0</v>
      </c>
      <c r="AF56" s="379"/>
      <c r="AG56" s="404"/>
      <c r="AH56" s="405">
        <f>AE56+AF56</f>
        <v>0</v>
      </c>
      <c r="AI56" s="406"/>
      <c r="AJ56" s="407">
        <f>AH56+AI56</f>
        <v>0</v>
      </c>
    </row>
    <row r="57" spans="1:39" s="234" customFormat="1" ht="20.25">
      <c r="A57" s="316" t="s">
        <v>125</v>
      </c>
      <c r="B57" s="317"/>
      <c r="C57" s="317"/>
      <c r="D57" s="318"/>
      <c r="E57" s="319"/>
      <c r="F57" s="319"/>
      <c r="G57" s="320"/>
      <c r="H57" s="321"/>
      <c r="I57" s="321"/>
      <c r="J57" s="320"/>
      <c r="K57" s="351"/>
      <c r="L57" s="352"/>
      <c r="M57" s="353"/>
      <c r="N57" s="320"/>
      <c r="O57" s="320"/>
      <c r="P57" s="321"/>
      <c r="Q57" s="321"/>
      <c r="R57" s="321"/>
      <c r="S57" s="320"/>
      <c r="T57" s="351"/>
      <c r="U57" s="352"/>
      <c r="V57" s="353"/>
      <c r="W57" s="321"/>
      <c r="X57" s="321"/>
      <c r="Y57" s="321"/>
      <c r="Z57" s="321"/>
      <c r="AA57" s="321"/>
      <c r="AB57" s="321"/>
      <c r="AC57" s="380"/>
      <c r="AD57" s="352"/>
      <c r="AE57" s="381">
        <f t="shared" si="14"/>
        <v>0</v>
      </c>
      <c r="AF57" s="381"/>
      <c r="AG57" s="408"/>
      <c r="AH57" s="409">
        <f t="shared" ref="AH57:AH71" si="15">AE57+AF57</f>
        <v>0</v>
      </c>
      <c r="AI57" s="410"/>
      <c r="AJ57" s="411">
        <f>AH57+AI57</f>
        <v>0</v>
      </c>
    </row>
    <row r="58" spans="1:39" s="234" customFormat="1" ht="20.25">
      <c r="A58" s="316" t="s">
        <v>125</v>
      </c>
      <c r="B58" s="710"/>
      <c r="C58" s="295"/>
      <c r="D58" s="318"/>
      <c r="E58" s="319"/>
      <c r="F58" s="319"/>
      <c r="G58" s="320"/>
      <c r="H58" s="321"/>
      <c r="I58" s="321"/>
      <c r="J58" s="320"/>
      <c r="K58" s="354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4"/>
        <v>0</v>
      </c>
      <c r="AF58" s="381"/>
      <c r="AG58" s="408"/>
      <c r="AH58" s="409">
        <f t="shared" si="15"/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318"/>
      <c r="E59" s="319"/>
      <c r="F59" s="319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14"/>
        <v>0</v>
      </c>
      <c r="AF59" s="381"/>
      <c r="AG59" s="408"/>
      <c r="AH59" s="409">
        <f t="shared" si="15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ref="AE60:AE71" si="16">SUM(E60:AC60)</f>
        <v>0</v>
      </c>
      <c r="AF60" s="381"/>
      <c r="AG60" s="408"/>
      <c r="AH60" s="409">
        <f t="shared" si="15"/>
        <v>0</v>
      </c>
      <c r="AI60" s="410"/>
      <c r="AJ60" s="411">
        <f t="shared" ref="AJ60:AJ71" si="17">AH60+AI60</f>
        <v>0</v>
      </c>
    </row>
    <row r="61" spans="1:39" s="234" customFormat="1" ht="20.25">
      <c r="A61" s="316" t="s">
        <v>125</v>
      </c>
      <c r="B61" s="295"/>
      <c r="C61" s="295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si="16"/>
        <v>0</v>
      </c>
      <c r="AF61" s="381"/>
      <c r="AG61" s="408"/>
      <c r="AH61" s="409">
        <f t="shared" si="15"/>
        <v>0</v>
      </c>
      <c r="AI61" s="410"/>
      <c r="AJ61" s="411">
        <f t="shared" si="17"/>
        <v>0</v>
      </c>
    </row>
    <row r="62" spans="1:39" s="234" customFormat="1" ht="20.25">
      <c r="A62" s="316" t="s">
        <v>125</v>
      </c>
      <c r="B62" s="295"/>
      <c r="C62" s="295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16"/>
        <v>0</v>
      </c>
      <c r="AF62" s="381"/>
      <c r="AG62" s="408"/>
      <c r="AH62" s="409">
        <f t="shared" si="15"/>
        <v>0</v>
      </c>
      <c r="AI62" s="410"/>
      <c r="AJ62" s="411">
        <f t="shared" si="17"/>
        <v>0</v>
      </c>
    </row>
    <row r="63" spans="1:39" s="234" customFormat="1" ht="20.25">
      <c r="A63" s="316" t="s">
        <v>125</v>
      </c>
      <c r="B63" s="295"/>
      <c r="C63" s="295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16"/>
        <v>0</v>
      </c>
      <c r="AF63" s="381"/>
      <c r="AG63" s="408"/>
      <c r="AH63" s="409">
        <f t="shared" si="15"/>
        <v>0</v>
      </c>
      <c r="AI63" s="410"/>
      <c r="AJ63" s="411">
        <f t="shared" si="17"/>
        <v>0</v>
      </c>
    </row>
    <row r="64" spans="1:39" s="234" customFormat="1" ht="20.25">
      <c r="A64" s="316" t="s">
        <v>125</v>
      </c>
      <c r="B64" s="295"/>
      <c r="C64" s="295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16"/>
        <v>0</v>
      </c>
      <c r="AF64" s="381"/>
      <c r="AG64" s="408"/>
      <c r="AH64" s="409">
        <f t="shared" si="15"/>
        <v>0</v>
      </c>
      <c r="AI64" s="410"/>
      <c r="AJ64" s="411">
        <f t="shared" si="17"/>
        <v>0</v>
      </c>
    </row>
    <row r="65" spans="1:39" s="234" customFormat="1" ht="20.25">
      <c r="A65" s="316" t="s">
        <v>125</v>
      </c>
      <c r="B65" s="295"/>
      <c r="C65" s="295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16"/>
        <v>0</v>
      </c>
      <c r="AF65" s="381"/>
      <c r="AG65" s="408"/>
      <c r="AH65" s="409">
        <f t="shared" si="15"/>
        <v>0</v>
      </c>
      <c r="AI65" s="410"/>
      <c r="AJ65" s="411">
        <f t="shared" si="17"/>
        <v>0</v>
      </c>
    </row>
    <row r="66" spans="1:39" s="234" customFormat="1" ht="20.25">
      <c r="A66" s="316" t="s">
        <v>125</v>
      </c>
      <c r="B66" s="295"/>
      <c r="C66" s="295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16"/>
        <v>0</v>
      </c>
      <c r="AF66" s="381"/>
      <c r="AG66" s="408"/>
      <c r="AH66" s="409">
        <f t="shared" si="15"/>
        <v>0</v>
      </c>
      <c r="AI66" s="410"/>
      <c r="AJ66" s="411">
        <f t="shared" si="17"/>
        <v>0</v>
      </c>
    </row>
    <row r="67" spans="1:39" s="234" customFormat="1" ht="20.25">
      <c r="A67" s="316" t="s">
        <v>125</v>
      </c>
      <c r="B67" s="295"/>
      <c r="C67" s="295"/>
      <c r="D67" s="318"/>
      <c r="E67" s="319"/>
      <c r="F67" s="320"/>
      <c r="G67" s="320"/>
      <c r="H67" s="321"/>
      <c r="I67" s="321"/>
      <c r="J67" s="320"/>
      <c r="K67" s="354"/>
      <c r="L67" s="352"/>
      <c r="M67" s="353"/>
      <c r="N67" s="321"/>
      <c r="O67" s="321"/>
      <c r="P67" s="321"/>
      <c r="Q67" s="321"/>
      <c r="R67" s="321"/>
      <c r="S67" s="321"/>
      <c r="T67" s="351"/>
      <c r="U67" s="352"/>
      <c r="V67" s="319"/>
      <c r="W67" s="320"/>
      <c r="X67" s="320"/>
      <c r="Y67" s="321"/>
      <c r="Z67" s="321"/>
      <c r="AA67" s="321"/>
      <c r="AB67" s="320"/>
      <c r="AC67" s="380"/>
      <c r="AD67" s="352"/>
      <c r="AE67" s="381">
        <f t="shared" si="16"/>
        <v>0</v>
      </c>
      <c r="AF67" s="381"/>
      <c r="AG67" s="408"/>
      <c r="AH67" s="409">
        <f t="shared" si="15"/>
        <v>0</v>
      </c>
      <c r="AI67" s="410"/>
      <c r="AJ67" s="411">
        <f t="shared" si="17"/>
        <v>0</v>
      </c>
    </row>
    <row r="68" spans="1:39" s="234" customFormat="1" ht="20.25">
      <c r="A68" s="316" t="s">
        <v>125</v>
      </c>
      <c r="B68" s="295"/>
      <c r="C68" s="295"/>
      <c r="D68" s="318"/>
      <c r="E68" s="319"/>
      <c r="F68" s="320"/>
      <c r="G68" s="320"/>
      <c r="H68" s="321"/>
      <c r="I68" s="321"/>
      <c r="J68" s="320"/>
      <c r="K68" s="354"/>
      <c r="L68" s="352"/>
      <c r="M68" s="353"/>
      <c r="N68" s="321"/>
      <c r="O68" s="321"/>
      <c r="P68" s="321"/>
      <c r="Q68" s="321"/>
      <c r="R68" s="321"/>
      <c r="S68" s="321"/>
      <c r="T68" s="351"/>
      <c r="U68" s="352"/>
      <c r="V68" s="319"/>
      <c r="W68" s="320"/>
      <c r="X68" s="320"/>
      <c r="Y68" s="321"/>
      <c r="Z68" s="321"/>
      <c r="AA68" s="321"/>
      <c r="AB68" s="320"/>
      <c r="AC68" s="380"/>
      <c r="AD68" s="352"/>
      <c r="AE68" s="381">
        <f t="shared" si="16"/>
        <v>0</v>
      </c>
      <c r="AF68" s="381"/>
      <c r="AG68" s="408"/>
      <c r="AH68" s="409">
        <f t="shared" si="15"/>
        <v>0</v>
      </c>
      <c r="AI68" s="410"/>
      <c r="AJ68" s="411">
        <f t="shared" si="17"/>
        <v>0</v>
      </c>
    </row>
    <row r="69" spans="1:39" s="234" customFormat="1" ht="20.25">
      <c r="A69" s="316" t="s">
        <v>125</v>
      </c>
      <c r="B69" s="295"/>
      <c r="C69" s="295"/>
      <c r="D69" s="318"/>
      <c r="E69" s="319"/>
      <c r="F69" s="320"/>
      <c r="G69" s="320"/>
      <c r="H69" s="321"/>
      <c r="I69" s="321"/>
      <c r="J69" s="320"/>
      <c r="K69" s="354"/>
      <c r="L69" s="352"/>
      <c r="M69" s="353"/>
      <c r="N69" s="321"/>
      <c r="O69" s="321"/>
      <c r="P69" s="321"/>
      <c r="Q69" s="321"/>
      <c r="R69" s="321"/>
      <c r="S69" s="321"/>
      <c r="T69" s="351"/>
      <c r="U69" s="352"/>
      <c r="V69" s="319"/>
      <c r="W69" s="320"/>
      <c r="X69" s="320"/>
      <c r="Y69" s="321"/>
      <c r="Z69" s="321"/>
      <c r="AA69" s="321"/>
      <c r="AB69" s="320"/>
      <c r="AC69" s="380"/>
      <c r="AD69" s="352"/>
      <c r="AE69" s="381">
        <f t="shared" si="16"/>
        <v>0</v>
      </c>
      <c r="AF69" s="381"/>
      <c r="AG69" s="408"/>
      <c r="AH69" s="409">
        <f t="shared" si="15"/>
        <v>0</v>
      </c>
      <c r="AI69" s="410"/>
      <c r="AJ69" s="411">
        <f t="shared" si="17"/>
        <v>0</v>
      </c>
    </row>
    <row r="70" spans="1:39" s="234" customFormat="1" ht="21" thickBot="1">
      <c r="A70" s="316" t="s">
        <v>125</v>
      </c>
      <c r="B70" s="295"/>
      <c r="C70" s="295"/>
      <c r="D70" s="318"/>
      <c r="E70" s="319"/>
      <c r="F70" s="320"/>
      <c r="G70" s="320"/>
      <c r="H70" s="321"/>
      <c r="I70" s="321"/>
      <c r="J70" s="320"/>
      <c r="K70" s="354"/>
      <c r="L70" s="352"/>
      <c r="M70" s="353"/>
      <c r="N70" s="321"/>
      <c r="O70" s="321"/>
      <c r="P70" s="321"/>
      <c r="Q70" s="321"/>
      <c r="R70" s="321"/>
      <c r="S70" s="321"/>
      <c r="T70" s="351"/>
      <c r="U70" s="352"/>
      <c r="V70" s="319"/>
      <c r="W70" s="320"/>
      <c r="X70" s="320"/>
      <c r="Y70" s="321"/>
      <c r="Z70" s="321"/>
      <c r="AA70" s="321"/>
      <c r="AB70" s="320"/>
      <c r="AC70" s="380"/>
      <c r="AD70" s="352"/>
      <c r="AE70" s="381">
        <f t="shared" si="16"/>
        <v>0</v>
      </c>
      <c r="AF70" s="381"/>
      <c r="AG70" s="408"/>
      <c r="AH70" s="409">
        <f t="shared" si="15"/>
        <v>0</v>
      </c>
      <c r="AI70" s="410"/>
      <c r="AJ70" s="411">
        <f t="shared" si="17"/>
        <v>0</v>
      </c>
    </row>
    <row r="71" spans="1:39" s="283" customFormat="1" ht="21" thickBot="1">
      <c r="A71" s="316" t="s">
        <v>125</v>
      </c>
      <c r="B71" s="323"/>
      <c r="C71" s="323"/>
      <c r="D71" s="324"/>
      <c r="E71" s="325"/>
      <c r="F71" s="297"/>
      <c r="G71" s="297"/>
      <c r="H71" s="298"/>
      <c r="I71" s="298"/>
      <c r="J71" s="297"/>
      <c r="K71" s="344"/>
      <c r="L71" s="355"/>
      <c r="M71" s="343"/>
      <c r="N71" s="298"/>
      <c r="O71" s="298"/>
      <c r="P71" s="298"/>
      <c r="Q71" s="298"/>
      <c r="R71" s="298"/>
      <c r="S71" s="298"/>
      <c r="T71" s="367"/>
      <c r="U71" s="355"/>
      <c r="V71" s="325"/>
      <c r="W71" s="297"/>
      <c r="X71" s="297"/>
      <c r="Y71" s="298"/>
      <c r="Z71" s="298"/>
      <c r="AA71" s="298"/>
      <c r="AB71" s="297"/>
      <c r="AC71" s="375"/>
      <c r="AD71" s="355"/>
      <c r="AE71" s="376">
        <f t="shared" si="16"/>
        <v>0</v>
      </c>
      <c r="AF71" s="377"/>
      <c r="AG71" s="390"/>
      <c r="AH71" s="391">
        <f t="shared" si="15"/>
        <v>0</v>
      </c>
      <c r="AI71" s="412"/>
      <c r="AJ71" s="413">
        <f t="shared" si="17"/>
        <v>0</v>
      </c>
      <c r="AK71" s="414" t="s">
        <v>8</v>
      </c>
      <c r="AL71" s="397" t="s">
        <v>23</v>
      </c>
      <c r="AM71" s="415" t="s">
        <v>174</v>
      </c>
    </row>
    <row r="72" spans="1:39" s="284" customFormat="1" ht="19.5" thickBot="1">
      <c r="A72" s="326" t="s">
        <v>126</v>
      </c>
      <c r="B72" s="327"/>
      <c r="C72" s="327"/>
      <c r="D72" s="328"/>
      <c r="E72" s="852">
        <f t="shared" ref="E72:K72" si="18">SUM(E56:E71)</f>
        <v>0</v>
      </c>
      <c r="F72" s="330">
        <f t="shared" si="18"/>
        <v>0</v>
      </c>
      <c r="G72" s="330">
        <f t="shared" si="18"/>
        <v>0</v>
      </c>
      <c r="H72" s="330">
        <f t="shared" si="18"/>
        <v>0</v>
      </c>
      <c r="I72" s="330">
        <f t="shared" si="18"/>
        <v>0</v>
      </c>
      <c r="J72" s="330">
        <f t="shared" si="18"/>
        <v>0</v>
      </c>
      <c r="K72" s="356">
        <f t="shared" si="18"/>
        <v>0</v>
      </c>
      <c r="L72" s="357"/>
      <c r="M72" s="358">
        <f>SUM(M56:M71)</f>
        <v>0</v>
      </c>
      <c r="N72" s="359">
        <f>SUM(N56:N71)</f>
        <v>0</v>
      </c>
      <c r="O72" s="359">
        <f>SUM(O56:O71)</f>
        <v>0</v>
      </c>
      <c r="P72" s="359">
        <f>SUM(P56:P71)</f>
        <v>0</v>
      </c>
      <c r="Q72" s="359">
        <f t="shared" ref="Q72:T72" si="19">SUM(Q56:Q71)</f>
        <v>0</v>
      </c>
      <c r="R72" s="359">
        <f t="shared" si="19"/>
        <v>0</v>
      </c>
      <c r="S72" s="359">
        <f t="shared" si="19"/>
        <v>0</v>
      </c>
      <c r="T72" s="369">
        <f t="shared" si="19"/>
        <v>0</v>
      </c>
      <c r="U72" s="357"/>
      <c r="V72" s="358">
        <f t="shared" ref="V72:AC72" si="20">SUM(V56:V71)</f>
        <v>0</v>
      </c>
      <c r="W72" s="359">
        <f t="shared" si="20"/>
        <v>0</v>
      </c>
      <c r="X72" s="359">
        <f t="shared" si="20"/>
        <v>0</v>
      </c>
      <c r="Y72" s="359">
        <f t="shared" si="20"/>
        <v>0</v>
      </c>
      <c r="Z72" s="359">
        <f t="shared" si="20"/>
        <v>0</v>
      </c>
      <c r="AA72" s="359">
        <f t="shared" si="20"/>
        <v>0</v>
      </c>
      <c r="AB72" s="359">
        <f t="shared" si="20"/>
        <v>0</v>
      </c>
      <c r="AC72" s="369">
        <f t="shared" si="20"/>
        <v>0</v>
      </c>
      <c r="AD72" s="357"/>
      <c r="AE72" s="382">
        <f>SUM(AE56:AE71)</f>
        <v>0</v>
      </c>
      <c r="AF72" s="382">
        <f>SUM(AF56:AF71)</f>
        <v>0</v>
      </c>
      <c r="AG72" s="416">
        <f t="shared" ref="AG72:AJ72" si="21">SUM(AG56:AG71)</f>
        <v>0</v>
      </c>
      <c r="AH72" s="417">
        <f t="shared" si="21"/>
        <v>0</v>
      </c>
      <c r="AI72" s="382">
        <f t="shared" si="21"/>
        <v>0</v>
      </c>
      <c r="AJ72" s="418">
        <f t="shared" si="21"/>
        <v>0</v>
      </c>
      <c r="AK72" s="399">
        <f>'BIG CHAIR'!CL91</f>
        <v>0</v>
      </c>
      <c r="AL72" s="400">
        <f>'Tea Table'!X181</f>
        <v>0</v>
      </c>
      <c r="AM72" s="401">
        <f>AH72+AK72+AL72</f>
        <v>0</v>
      </c>
    </row>
    <row r="73" spans="1:39" ht="24" thickBot="1">
      <c r="A73" s="721" t="s">
        <v>127</v>
      </c>
      <c r="B73" s="3474" t="s">
        <v>68</v>
      </c>
      <c r="C73" s="287" t="s">
        <v>69</v>
      </c>
      <c r="D73" s="288" t="s">
        <v>70</v>
      </c>
      <c r="E73" s="2697"/>
      <c r="F73" s="2698" t="s">
        <v>304</v>
      </c>
      <c r="G73" s="2698" t="s">
        <v>92</v>
      </c>
      <c r="H73" s="2698" t="s">
        <v>101</v>
      </c>
      <c r="I73" s="2698"/>
      <c r="J73" s="3496" t="s">
        <v>123</v>
      </c>
      <c r="K73" s="2702"/>
      <c r="L73" s="2699"/>
      <c r="M73" s="2697" t="s">
        <v>513</v>
      </c>
      <c r="N73" s="2698" t="s">
        <v>514</v>
      </c>
      <c r="O73" s="2698" t="s">
        <v>170</v>
      </c>
      <c r="P73" s="2698" t="s">
        <v>469</v>
      </c>
      <c r="Q73" s="2698"/>
      <c r="R73" s="2698"/>
      <c r="S73" s="2702"/>
      <c r="T73" s="2700"/>
      <c r="U73" s="2699"/>
      <c r="V73" s="2697"/>
      <c r="W73" s="2698"/>
      <c r="X73" s="2698"/>
      <c r="Y73" s="2698"/>
      <c r="Z73" s="2698"/>
      <c r="AA73" s="2698"/>
      <c r="AB73" s="2702"/>
      <c r="AC73" s="2700"/>
      <c r="AD73" s="370"/>
      <c r="AE73" s="371" t="s">
        <v>172</v>
      </c>
      <c r="AF73" s="372" t="s">
        <v>80</v>
      </c>
      <c r="AG73" s="385"/>
      <c r="AH73" s="386" t="s">
        <v>106</v>
      </c>
      <c r="AI73" s="385" t="s">
        <v>173</v>
      </c>
      <c r="AJ73" s="371" t="s">
        <v>108</v>
      </c>
      <c r="AK73" s="282"/>
      <c r="AL73" s="282"/>
      <c r="AM73" s="282"/>
    </row>
    <row r="74" spans="1:39" ht="20.25">
      <c r="A74" s="792" t="s">
        <v>128</v>
      </c>
      <c r="B74" s="311"/>
      <c r="C74" s="311"/>
      <c r="D74" s="312"/>
      <c r="E74" s="313"/>
      <c r="F74" s="314"/>
      <c r="G74" s="314"/>
      <c r="H74" s="315"/>
      <c r="I74" s="315"/>
      <c r="J74" s="314"/>
      <c r="K74" s="348"/>
      <c r="L74" s="349"/>
      <c r="M74" s="350"/>
      <c r="N74" s="315"/>
      <c r="O74" s="315"/>
      <c r="P74" s="315"/>
      <c r="Q74" s="315"/>
      <c r="R74" s="315"/>
      <c r="S74" s="315"/>
      <c r="T74" s="348"/>
      <c r="U74" s="349"/>
      <c r="V74" s="350"/>
      <c r="W74" s="315"/>
      <c r="X74" s="315"/>
      <c r="Y74" s="315"/>
      <c r="Z74" s="315"/>
      <c r="AA74" s="315"/>
      <c r="AB74" s="315"/>
      <c r="AC74" s="378"/>
      <c r="AD74" s="349"/>
      <c r="AE74" s="379">
        <f t="shared" ref="AE74:AE77" si="22">SUM(E74:AC74)</f>
        <v>0</v>
      </c>
      <c r="AF74" s="379"/>
      <c r="AG74" s="404"/>
      <c r="AH74" s="405">
        <f>AE74+AF74</f>
        <v>0</v>
      </c>
      <c r="AI74" s="406"/>
      <c r="AJ74" s="407">
        <f>AH74+AI74</f>
        <v>0</v>
      </c>
      <c r="AK74" s="234"/>
      <c r="AL74" s="234"/>
      <c r="AM74" s="234"/>
    </row>
    <row r="75" spans="1:39" ht="20.25">
      <c r="A75" s="424" t="s">
        <v>128</v>
      </c>
      <c r="B75" s="317"/>
      <c r="C75" s="317"/>
      <c r="D75" s="318"/>
      <c r="E75" s="319"/>
      <c r="F75" s="320"/>
      <c r="G75" s="320"/>
      <c r="H75" s="321"/>
      <c r="I75" s="321"/>
      <c r="J75" s="320"/>
      <c r="K75" s="351"/>
      <c r="L75" s="352"/>
      <c r="M75" s="353"/>
      <c r="N75" s="320"/>
      <c r="O75" s="320"/>
      <c r="P75" s="321"/>
      <c r="Q75" s="321"/>
      <c r="R75" s="321"/>
      <c r="S75" s="320"/>
      <c r="T75" s="351"/>
      <c r="U75" s="352"/>
      <c r="V75" s="353"/>
      <c r="W75" s="321"/>
      <c r="X75" s="321"/>
      <c r="Y75" s="321"/>
      <c r="Z75" s="321"/>
      <c r="AA75" s="321"/>
      <c r="AB75" s="321"/>
      <c r="AC75" s="380"/>
      <c r="AD75" s="352"/>
      <c r="AE75" s="381">
        <f t="shared" si="22"/>
        <v>0</v>
      </c>
      <c r="AF75" s="381"/>
      <c r="AG75" s="408"/>
      <c r="AH75" s="409">
        <f t="shared" ref="AH75:AH92" si="23">AE75+AF75</f>
        <v>0</v>
      </c>
      <c r="AI75" s="410"/>
      <c r="AJ75" s="411">
        <f>AH75+AI75</f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22"/>
        <v>0</v>
      </c>
      <c r="AF76" s="381"/>
      <c r="AG76" s="408"/>
      <c r="AH76" s="409">
        <f t="shared" si="23"/>
        <v>0</v>
      </c>
      <c r="AI76" s="410"/>
      <c r="AJ76" s="411">
        <f>AH76+AI76</f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22"/>
        <v>0</v>
      </c>
      <c r="AF77" s="381"/>
      <c r="AG77" s="408"/>
      <c r="AH77" s="409">
        <f t="shared" si="23"/>
        <v>0</v>
      </c>
      <c r="AI77" s="410"/>
      <c r="AJ77" s="411">
        <f>AH77+AI77</f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ref="AE78:AE92" si="24">SUM(E78:AC78)</f>
        <v>0</v>
      </c>
      <c r="AF78" s="381"/>
      <c r="AG78" s="408"/>
      <c r="AH78" s="409">
        <f t="shared" si="23"/>
        <v>0</v>
      </c>
      <c r="AI78" s="410"/>
      <c r="AJ78" s="411">
        <f t="shared" ref="AJ78:AJ92" si="25">AH78+AI78</f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24"/>
        <v>0</v>
      </c>
      <c r="AF79" s="381"/>
      <c r="AG79" s="408"/>
      <c r="AH79" s="409">
        <f t="shared" si="23"/>
        <v>0</v>
      </c>
      <c r="AI79" s="410"/>
      <c r="AJ79" s="411">
        <f t="shared" si="25"/>
        <v>0</v>
      </c>
      <c r="AK79" s="234"/>
      <c r="AL79" s="234"/>
      <c r="AM79" s="234"/>
    </row>
    <row r="80" spans="1:39" ht="20.25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24"/>
        <v>0</v>
      </c>
      <c r="AF80" s="381"/>
      <c r="AG80" s="408"/>
      <c r="AH80" s="409">
        <f t="shared" si="23"/>
        <v>0</v>
      </c>
      <c r="AI80" s="410"/>
      <c r="AJ80" s="411">
        <f t="shared" si="25"/>
        <v>0</v>
      </c>
      <c r="AK80" s="234"/>
      <c r="AL80" s="234"/>
      <c r="AM80" s="234"/>
    </row>
    <row r="81" spans="1:39" ht="20.25">
      <c r="A81" s="424" t="s">
        <v>128</v>
      </c>
      <c r="B81" s="295"/>
      <c r="C81" s="295"/>
      <c r="D81" s="318"/>
      <c r="E81" s="319"/>
      <c r="F81" s="320"/>
      <c r="G81" s="320"/>
      <c r="H81" s="321"/>
      <c r="I81" s="321"/>
      <c r="J81" s="320"/>
      <c r="K81" s="354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24"/>
        <v>0</v>
      </c>
      <c r="AF81" s="381"/>
      <c r="AG81" s="408"/>
      <c r="AH81" s="409">
        <f t="shared" si="23"/>
        <v>0</v>
      </c>
      <c r="AI81" s="410"/>
      <c r="AJ81" s="411">
        <f t="shared" si="25"/>
        <v>0</v>
      </c>
      <c r="AK81" s="234"/>
      <c r="AL81" s="234"/>
      <c r="AM81" s="234"/>
    </row>
    <row r="82" spans="1:39" ht="20.25">
      <c r="A82" s="424" t="s">
        <v>128</v>
      </c>
      <c r="B82" s="295"/>
      <c r="C82" s="295"/>
      <c r="D82" s="318"/>
      <c r="E82" s="319"/>
      <c r="F82" s="320"/>
      <c r="G82" s="320"/>
      <c r="H82" s="321"/>
      <c r="I82" s="321"/>
      <c r="J82" s="320"/>
      <c r="K82" s="354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24"/>
        <v>0</v>
      </c>
      <c r="AF82" s="381"/>
      <c r="AG82" s="408"/>
      <c r="AH82" s="409">
        <f t="shared" si="23"/>
        <v>0</v>
      </c>
      <c r="AI82" s="410"/>
      <c r="AJ82" s="411">
        <f t="shared" si="25"/>
        <v>0</v>
      </c>
      <c r="AK82" s="234"/>
      <c r="AL82" s="234"/>
      <c r="AM82" s="234"/>
    </row>
    <row r="83" spans="1:39" ht="20.25">
      <c r="A83" s="424" t="s">
        <v>128</v>
      </c>
      <c r="B83" s="295"/>
      <c r="C83" s="295"/>
      <c r="D83" s="318"/>
      <c r="E83" s="319"/>
      <c r="F83" s="320"/>
      <c r="G83" s="320"/>
      <c r="H83" s="321"/>
      <c r="I83" s="321"/>
      <c r="J83" s="320"/>
      <c r="K83" s="354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24"/>
        <v>0</v>
      </c>
      <c r="AF83" s="381"/>
      <c r="AG83" s="408"/>
      <c r="AH83" s="409">
        <f t="shared" si="23"/>
        <v>0</v>
      </c>
      <c r="AI83" s="410"/>
      <c r="AJ83" s="411">
        <f t="shared" si="25"/>
        <v>0</v>
      </c>
      <c r="AK83" s="234"/>
      <c r="AL83" s="234"/>
      <c r="AM83" s="234"/>
    </row>
    <row r="84" spans="1:39" ht="20.25">
      <c r="A84" s="424" t="s">
        <v>128</v>
      </c>
      <c r="B84" s="295"/>
      <c r="C84" s="295"/>
      <c r="D84" s="318"/>
      <c r="E84" s="319"/>
      <c r="F84" s="320"/>
      <c r="G84" s="320"/>
      <c r="H84" s="321"/>
      <c r="I84" s="321"/>
      <c r="J84" s="320"/>
      <c r="K84" s="354"/>
      <c r="L84" s="352"/>
      <c r="M84" s="353"/>
      <c r="N84" s="321"/>
      <c r="O84" s="321"/>
      <c r="P84" s="321"/>
      <c r="Q84" s="321"/>
      <c r="R84" s="321"/>
      <c r="S84" s="321"/>
      <c r="T84" s="351"/>
      <c r="U84" s="352"/>
      <c r="V84" s="319"/>
      <c r="W84" s="320"/>
      <c r="X84" s="320"/>
      <c r="Y84" s="321"/>
      <c r="Z84" s="321"/>
      <c r="AA84" s="321"/>
      <c r="AB84" s="320"/>
      <c r="AC84" s="380"/>
      <c r="AD84" s="352"/>
      <c r="AE84" s="381">
        <f t="shared" si="24"/>
        <v>0</v>
      </c>
      <c r="AF84" s="381"/>
      <c r="AG84" s="408"/>
      <c r="AH84" s="409">
        <f t="shared" si="23"/>
        <v>0</v>
      </c>
      <c r="AI84" s="410"/>
      <c r="AJ84" s="411">
        <f t="shared" si="25"/>
        <v>0</v>
      </c>
      <c r="AK84" s="234"/>
      <c r="AL84" s="234"/>
      <c r="AM84" s="234"/>
    </row>
    <row r="85" spans="1:39" ht="20.25">
      <c r="A85" s="424" t="s">
        <v>128</v>
      </c>
      <c r="B85" s="295"/>
      <c r="C85" s="295"/>
      <c r="D85" s="318"/>
      <c r="E85" s="319"/>
      <c r="F85" s="320"/>
      <c r="G85" s="320"/>
      <c r="H85" s="321"/>
      <c r="I85" s="321"/>
      <c r="J85" s="320"/>
      <c r="K85" s="354"/>
      <c r="L85" s="352"/>
      <c r="M85" s="353"/>
      <c r="N85" s="321"/>
      <c r="O85" s="321"/>
      <c r="P85" s="321"/>
      <c r="Q85" s="321"/>
      <c r="R85" s="321"/>
      <c r="S85" s="321"/>
      <c r="T85" s="351"/>
      <c r="U85" s="352"/>
      <c r="V85" s="319"/>
      <c r="W85" s="320"/>
      <c r="X85" s="320"/>
      <c r="Y85" s="321"/>
      <c r="Z85" s="321"/>
      <c r="AA85" s="321"/>
      <c r="AB85" s="320"/>
      <c r="AC85" s="380"/>
      <c r="AD85" s="352"/>
      <c r="AE85" s="381">
        <f t="shared" si="24"/>
        <v>0</v>
      </c>
      <c r="AF85" s="381"/>
      <c r="AG85" s="408"/>
      <c r="AH85" s="409">
        <f t="shared" si="23"/>
        <v>0</v>
      </c>
      <c r="AI85" s="410"/>
      <c r="AJ85" s="411">
        <f t="shared" si="25"/>
        <v>0</v>
      </c>
      <c r="AK85" s="234"/>
      <c r="AL85" s="234"/>
      <c r="AM85" s="234"/>
    </row>
    <row r="86" spans="1:39" ht="20.25">
      <c r="A86" s="424" t="s">
        <v>128</v>
      </c>
      <c r="B86" s="295"/>
      <c r="C86" s="295"/>
      <c r="D86" s="318"/>
      <c r="E86" s="319"/>
      <c r="F86" s="320"/>
      <c r="G86" s="320"/>
      <c r="H86" s="321"/>
      <c r="I86" s="321"/>
      <c r="J86" s="320"/>
      <c r="K86" s="354"/>
      <c r="L86" s="352"/>
      <c r="M86" s="353"/>
      <c r="N86" s="321"/>
      <c r="O86" s="321"/>
      <c r="P86" s="321"/>
      <c r="Q86" s="321"/>
      <c r="R86" s="321"/>
      <c r="S86" s="321"/>
      <c r="T86" s="351"/>
      <c r="U86" s="352"/>
      <c r="V86" s="319"/>
      <c r="W86" s="320"/>
      <c r="X86" s="320"/>
      <c r="Y86" s="321"/>
      <c r="Z86" s="321"/>
      <c r="AA86" s="321"/>
      <c r="AB86" s="320"/>
      <c r="AC86" s="380"/>
      <c r="AD86" s="352"/>
      <c r="AE86" s="381">
        <f t="shared" si="24"/>
        <v>0</v>
      </c>
      <c r="AF86" s="381"/>
      <c r="AG86" s="408"/>
      <c r="AH86" s="409">
        <f t="shared" si="23"/>
        <v>0</v>
      </c>
      <c r="AI86" s="410"/>
      <c r="AJ86" s="411">
        <f t="shared" si="25"/>
        <v>0</v>
      </c>
      <c r="AK86" s="234"/>
      <c r="AL86" s="234"/>
      <c r="AM86" s="234"/>
    </row>
    <row r="87" spans="1:39" ht="20.25">
      <c r="A87" s="424" t="s">
        <v>128</v>
      </c>
      <c r="B87" s="295"/>
      <c r="C87" s="295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24"/>
        <v>0</v>
      </c>
      <c r="AF87" s="381"/>
      <c r="AG87" s="408"/>
      <c r="AH87" s="409">
        <f t="shared" si="23"/>
        <v>0</v>
      </c>
      <c r="AI87" s="410"/>
      <c r="AJ87" s="411">
        <f t="shared" si="25"/>
        <v>0</v>
      </c>
      <c r="AK87" s="234"/>
      <c r="AL87" s="234"/>
      <c r="AM87" s="234"/>
    </row>
    <row r="88" spans="1:39" ht="20.25">
      <c r="A88" s="424" t="s">
        <v>128</v>
      </c>
      <c r="B88" s="295"/>
      <c r="C88" s="295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si="24"/>
        <v>0</v>
      </c>
      <c r="AF88" s="381"/>
      <c r="AG88" s="408"/>
      <c r="AH88" s="409">
        <f t="shared" si="23"/>
        <v>0</v>
      </c>
      <c r="AI88" s="410"/>
      <c r="AJ88" s="411">
        <f t="shared" si="25"/>
        <v>0</v>
      </c>
      <c r="AK88" s="234"/>
      <c r="AL88" s="234"/>
      <c r="AM88" s="234"/>
    </row>
    <row r="89" spans="1:39" ht="20.25">
      <c r="A89" s="424" t="s">
        <v>128</v>
      </c>
      <c r="B89" s="295"/>
      <c r="C89" s="295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si="24"/>
        <v>0</v>
      </c>
      <c r="AF89" s="381"/>
      <c r="AG89" s="408"/>
      <c r="AH89" s="409">
        <f t="shared" si="23"/>
        <v>0</v>
      </c>
      <c r="AI89" s="410"/>
      <c r="AJ89" s="411">
        <f t="shared" si="25"/>
        <v>0</v>
      </c>
      <c r="AK89" s="234"/>
      <c r="AL89" s="234"/>
      <c r="AM89" s="234"/>
    </row>
    <row r="90" spans="1:39" ht="20.25">
      <c r="A90" s="424" t="s">
        <v>128</v>
      </c>
      <c r="B90" s="295"/>
      <c r="C90" s="295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24"/>
        <v>0</v>
      </c>
      <c r="AF90" s="381"/>
      <c r="AG90" s="408"/>
      <c r="AH90" s="409">
        <f t="shared" si="23"/>
        <v>0</v>
      </c>
      <c r="AI90" s="410"/>
      <c r="AJ90" s="411">
        <f t="shared" si="25"/>
        <v>0</v>
      </c>
      <c r="AK90" s="234"/>
      <c r="AL90" s="234"/>
      <c r="AM90" s="234"/>
    </row>
    <row r="91" spans="1:39" ht="21" thickBot="1">
      <c r="A91" s="424" t="s">
        <v>128</v>
      </c>
      <c r="B91" s="295"/>
      <c r="C91" s="295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24"/>
        <v>0</v>
      </c>
      <c r="AF91" s="381"/>
      <c r="AG91" s="408"/>
      <c r="AH91" s="409">
        <f t="shared" si="23"/>
        <v>0</v>
      </c>
      <c r="AI91" s="410"/>
      <c r="AJ91" s="411">
        <f t="shared" si="25"/>
        <v>0</v>
      </c>
      <c r="AK91" s="234"/>
      <c r="AL91" s="234"/>
      <c r="AM91" s="234"/>
    </row>
    <row r="92" spans="1:39" ht="21" thickBot="1">
      <c r="A92" s="322"/>
      <c r="B92" s="323"/>
      <c r="C92" s="323"/>
      <c r="D92" s="324"/>
      <c r="E92" s="325"/>
      <c r="F92" s="297"/>
      <c r="G92" s="297"/>
      <c r="H92" s="298"/>
      <c r="I92" s="298"/>
      <c r="J92" s="297"/>
      <c r="K92" s="344"/>
      <c r="L92" s="355"/>
      <c r="M92" s="343"/>
      <c r="N92" s="298"/>
      <c r="O92" s="298"/>
      <c r="P92" s="298"/>
      <c r="Q92" s="298"/>
      <c r="R92" s="298"/>
      <c r="S92" s="298"/>
      <c r="T92" s="367"/>
      <c r="U92" s="355"/>
      <c r="V92" s="325"/>
      <c r="W92" s="297"/>
      <c r="X92" s="297"/>
      <c r="Y92" s="298"/>
      <c r="Z92" s="298"/>
      <c r="AA92" s="298"/>
      <c r="AB92" s="297"/>
      <c r="AC92" s="375"/>
      <c r="AD92" s="355"/>
      <c r="AE92" s="376">
        <f t="shared" si="24"/>
        <v>0</v>
      </c>
      <c r="AF92" s="377"/>
      <c r="AG92" s="390"/>
      <c r="AH92" s="391">
        <f t="shared" si="23"/>
        <v>0</v>
      </c>
      <c r="AI92" s="412"/>
      <c r="AJ92" s="413">
        <f t="shared" si="25"/>
        <v>0</v>
      </c>
      <c r="AK92" s="414" t="s">
        <v>8</v>
      </c>
      <c r="AL92" s="397" t="s">
        <v>23</v>
      </c>
      <c r="AM92" s="415" t="s">
        <v>174</v>
      </c>
    </row>
    <row r="93" spans="1:39" ht="19.5" thickBot="1">
      <c r="A93" s="326" t="s">
        <v>129</v>
      </c>
      <c r="B93" s="327"/>
      <c r="C93" s="327"/>
      <c r="D93" s="328"/>
      <c r="E93" s="329">
        <f>SUM(E74:E92)</f>
        <v>0</v>
      </c>
      <c r="F93" s="329">
        <f t="shared" ref="F93:AJ93" si="26">SUM(F74:F92)</f>
        <v>0</v>
      </c>
      <c r="G93" s="329">
        <f t="shared" si="26"/>
        <v>0</v>
      </c>
      <c r="H93" s="329">
        <f t="shared" si="26"/>
        <v>0</v>
      </c>
      <c r="I93" s="329">
        <f t="shared" si="26"/>
        <v>0</v>
      </c>
      <c r="J93" s="329">
        <f t="shared" si="26"/>
        <v>0</v>
      </c>
      <c r="K93" s="329">
        <f t="shared" si="26"/>
        <v>0</v>
      </c>
      <c r="L93" s="329"/>
      <c r="M93" s="329">
        <f t="shared" si="26"/>
        <v>0</v>
      </c>
      <c r="N93" s="329">
        <f t="shared" si="26"/>
        <v>0</v>
      </c>
      <c r="O93" s="329">
        <f t="shared" si="26"/>
        <v>0</v>
      </c>
      <c r="P93" s="329">
        <f t="shared" si="26"/>
        <v>0</v>
      </c>
      <c r="Q93" s="329">
        <f t="shared" si="26"/>
        <v>0</v>
      </c>
      <c r="R93" s="329">
        <f t="shared" si="26"/>
        <v>0</v>
      </c>
      <c r="S93" s="329">
        <f t="shared" si="26"/>
        <v>0</v>
      </c>
      <c r="T93" s="329">
        <f t="shared" si="26"/>
        <v>0</v>
      </c>
      <c r="U93" s="329">
        <f t="shared" si="26"/>
        <v>0</v>
      </c>
      <c r="V93" s="329">
        <f t="shared" si="26"/>
        <v>0</v>
      </c>
      <c r="W93" s="329">
        <f t="shared" si="26"/>
        <v>0</v>
      </c>
      <c r="X93" s="329">
        <f t="shared" si="26"/>
        <v>0</v>
      </c>
      <c r="Y93" s="329">
        <f t="shared" si="26"/>
        <v>0</v>
      </c>
      <c r="Z93" s="329">
        <f t="shared" si="26"/>
        <v>0</v>
      </c>
      <c r="AA93" s="329">
        <f t="shared" si="26"/>
        <v>0</v>
      </c>
      <c r="AB93" s="329">
        <f t="shared" si="26"/>
        <v>0</v>
      </c>
      <c r="AC93" s="329">
        <f t="shared" si="26"/>
        <v>0</v>
      </c>
      <c r="AD93" s="329">
        <f t="shared" si="26"/>
        <v>0</v>
      </c>
      <c r="AE93" s="329">
        <f t="shared" si="26"/>
        <v>0</v>
      </c>
      <c r="AF93" s="329">
        <f t="shared" si="26"/>
        <v>0</v>
      </c>
      <c r="AG93" s="329">
        <f t="shared" si="26"/>
        <v>0</v>
      </c>
      <c r="AH93" s="329">
        <f t="shared" si="26"/>
        <v>0</v>
      </c>
      <c r="AI93" s="329">
        <f t="shared" si="26"/>
        <v>0</v>
      </c>
      <c r="AJ93" s="329">
        <f t="shared" si="26"/>
        <v>0</v>
      </c>
      <c r="AK93" s="399">
        <f>'BIG CHAIR'!CL105</f>
        <v>0</v>
      </c>
      <c r="AL93" s="400">
        <f>'Tea Table'!X195</f>
        <v>0</v>
      </c>
      <c r="AM93" s="401">
        <f>AH93+AK93+AL93</f>
        <v>0</v>
      </c>
    </row>
    <row r="94" spans="1:39" ht="24" thickBot="1">
      <c r="A94" s="721" t="s">
        <v>130</v>
      </c>
      <c r="B94" s="3474" t="s">
        <v>68</v>
      </c>
      <c r="C94" s="287" t="s">
        <v>69</v>
      </c>
      <c r="D94" s="288" t="s">
        <v>70</v>
      </c>
      <c r="E94" s="2697"/>
      <c r="F94" s="2698" t="s">
        <v>304</v>
      </c>
      <c r="G94" s="2698" t="s">
        <v>92</v>
      </c>
      <c r="H94" s="2698" t="s">
        <v>101</v>
      </c>
      <c r="I94" s="2698" t="s">
        <v>96</v>
      </c>
      <c r="J94" s="3496" t="s">
        <v>123</v>
      </c>
      <c r="K94" s="2702"/>
      <c r="L94" s="2699"/>
      <c r="M94" s="2697" t="s">
        <v>513</v>
      </c>
      <c r="N94" s="2698" t="s">
        <v>514</v>
      </c>
      <c r="O94" s="2698" t="s">
        <v>170</v>
      </c>
      <c r="P94" s="2698" t="s">
        <v>469</v>
      </c>
      <c r="Q94" s="2698"/>
      <c r="R94" s="2698"/>
      <c r="S94" s="2702"/>
      <c r="T94" s="2700"/>
      <c r="U94" s="2699"/>
      <c r="V94" s="2697"/>
      <c r="W94" s="2698"/>
      <c r="X94" s="2698"/>
      <c r="Y94" s="2698"/>
      <c r="Z94" s="2698"/>
      <c r="AA94" s="2698"/>
      <c r="AB94" s="2702"/>
      <c r="AC94" s="2700"/>
      <c r="AD94" s="370"/>
      <c r="AE94" s="371" t="s">
        <v>172</v>
      </c>
      <c r="AF94" s="372" t="s">
        <v>80</v>
      </c>
      <c r="AG94" s="385"/>
      <c r="AH94" s="386" t="s">
        <v>106</v>
      </c>
      <c r="AI94" s="385" t="s">
        <v>173</v>
      </c>
      <c r="AJ94" s="371" t="s">
        <v>108</v>
      </c>
      <c r="AK94" s="282"/>
      <c r="AL94" s="282"/>
      <c r="AM94" s="282"/>
    </row>
    <row r="95" spans="1:39" ht="20.25">
      <c r="A95" s="792" t="s">
        <v>131</v>
      </c>
      <c r="B95" s="311"/>
      <c r="C95" s="311"/>
      <c r="D95" s="312"/>
      <c r="E95" s="313"/>
      <c r="F95" s="314"/>
      <c r="G95" s="314"/>
      <c r="H95" s="315"/>
      <c r="I95" s="315"/>
      <c r="J95" s="314"/>
      <c r="K95" s="348"/>
      <c r="L95" s="349"/>
      <c r="M95" s="350"/>
      <c r="N95" s="315"/>
      <c r="O95" s="315"/>
      <c r="P95" s="315"/>
      <c r="Q95" s="315"/>
      <c r="R95" s="315"/>
      <c r="S95" s="315"/>
      <c r="T95" s="348"/>
      <c r="U95" s="349"/>
      <c r="V95" s="350"/>
      <c r="W95" s="315"/>
      <c r="X95" s="315"/>
      <c r="Y95" s="315"/>
      <c r="Z95" s="315"/>
      <c r="AA95" s="315"/>
      <c r="AB95" s="315"/>
      <c r="AC95" s="378"/>
      <c r="AD95" s="349"/>
      <c r="AE95" s="379">
        <f t="shared" ref="AE95:AE98" si="27">SUM(E95:AC95)</f>
        <v>0</v>
      </c>
      <c r="AF95" s="379"/>
      <c r="AG95" s="404"/>
      <c r="AH95" s="405">
        <f>AE95+AF95</f>
        <v>0</v>
      </c>
      <c r="AI95" s="406"/>
      <c r="AJ95" s="407">
        <f>AH95+AI95</f>
        <v>0</v>
      </c>
      <c r="AK95" s="234"/>
      <c r="AL95" s="234"/>
      <c r="AM95" s="234"/>
    </row>
    <row r="96" spans="1:39" ht="20.25">
      <c r="A96" s="792" t="s">
        <v>131</v>
      </c>
      <c r="B96" s="317"/>
      <c r="C96" s="317"/>
      <c r="D96" s="318"/>
      <c r="E96" s="319"/>
      <c r="F96" s="320"/>
      <c r="G96" s="320"/>
      <c r="H96" s="321"/>
      <c r="I96" s="321"/>
      <c r="J96" s="320"/>
      <c r="K96" s="351"/>
      <c r="L96" s="352"/>
      <c r="M96" s="353"/>
      <c r="N96" s="320"/>
      <c r="O96" s="320"/>
      <c r="P96" s="321"/>
      <c r="Q96" s="321"/>
      <c r="R96" s="321"/>
      <c r="S96" s="320"/>
      <c r="T96" s="351"/>
      <c r="U96" s="352"/>
      <c r="V96" s="353"/>
      <c r="W96" s="321"/>
      <c r="X96" s="321"/>
      <c r="Y96" s="321"/>
      <c r="Z96" s="321"/>
      <c r="AA96" s="321"/>
      <c r="AB96" s="321"/>
      <c r="AC96" s="380"/>
      <c r="AD96" s="352"/>
      <c r="AE96" s="381">
        <f t="shared" si="27"/>
        <v>0</v>
      </c>
      <c r="AF96" s="381"/>
      <c r="AG96" s="408"/>
      <c r="AH96" s="409">
        <f t="shared" ref="AH96:AH113" si="28">AE96+AF96</f>
        <v>0</v>
      </c>
      <c r="AI96" s="410"/>
      <c r="AJ96" s="411">
        <f>AH96+AI96</f>
        <v>0</v>
      </c>
      <c r="AK96" s="234"/>
      <c r="AL96" s="234"/>
      <c r="AM96" s="234"/>
    </row>
    <row r="97" spans="1:39" ht="20.25">
      <c r="A97" s="792" t="s">
        <v>131</v>
      </c>
      <c r="B97" s="295"/>
      <c r="C97" s="295"/>
      <c r="D97" s="318"/>
      <c r="E97" s="319"/>
      <c r="F97" s="320"/>
      <c r="G97" s="320"/>
      <c r="H97" s="321"/>
      <c r="I97" s="321"/>
      <c r="J97" s="320"/>
      <c r="K97" s="354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27"/>
        <v>0</v>
      </c>
      <c r="AF97" s="381"/>
      <c r="AG97" s="408"/>
      <c r="AH97" s="409">
        <f t="shared" si="28"/>
        <v>0</v>
      </c>
      <c r="AI97" s="410"/>
      <c r="AJ97" s="411">
        <f>AH97+AI97</f>
        <v>0</v>
      </c>
      <c r="AK97" s="234"/>
      <c r="AL97" s="234"/>
      <c r="AM97" s="234"/>
    </row>
    <row r="98" spans="1:39" ht="20.25">
      <c r="A98" s="792" t="s">
        <v>131</v>
      </c>
      <c r="B98" s="295"/>
      <c r="C98" s="295"/>
      <c r="D98" s="318"/>
      <c r="E98" s="319"/>
      <c r="F98" s="320"/>
      <c r="G98" s="320"/>
      <c r="H98" s="321"/>
      <c r="I98" s="321"/>
      <c r="J98" s="320"/>
      <c r="K98" s="354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27"/>
        <v>0</v>
      </c>
      <c r="AF98" s="381"/>
      <c r="AG98" s="408"/>
      <c r="AH98" s="409">
        <f t="shared" si="28"/>
        <v>0</v>
      </c>
      <c r="AI98" s="410"/>
      <c r="AJ98" s="411">
        <f>AH98+AI98</f>
        <v>0</v>
      </c>
      <c r="AK98" s="234"/>
      <c r="AL98" s="234"/>
      <c r="AM98" s="234"/>
    </row>
    <row r="99" spans="1:39" ht="20.25">
      <c r="A99" s="792" t="s">
        <v>131</v>
      </c>
      <c r="B99" s="295"/>
      <c r="C99" s="295"/>
      <c r="D99" s="318"/>
      <c r="E99" s="319"/>
      <c r="F99" s="320"/>
      <c r="G99" s="320"/>
      <c r="H99" s="321"/>
      <c r="I99" s="321"/>
      <c r="J99" s="320"/>
      <c r="K99" s="354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ref="AE99:AE113" si="29">SUM(E99:AC99)</f>
        <v>0</v>
      </c>
      <c r="AF99" s="381"/>
      <c r="AG99" s="408"/>
      <c r="AH99" s="409">
        <f t="shared" si="28"/>
        <v>0</v>
      </c>
      <c r="AI99" s="410"/>
      <c r="AJ99" s="411">
        <f t="shared" ref="AJ99:AJ113" si="30">AH99+AI99</f>
        <v>0</v>
      </c>
      <c r="AK99" s="234"/>
      <c r="AL99" s="234"/>
      <c r="AM99" s="234"/>
    </row>
    <row r="100" spans="1:39" ht="20.25">
      <c r="A100" s="792" t="s">
        <v>131</v>
      </c>
      <c r="B100" s="295"/>
      <c r="C100" s="295"/>
      <c r="D100" s="318"/>
      <c r="E100" s="319"/>
      <c r="F100" s="320"/>
      <c r="G100" s="320"/>
      <c r="H100" s="321"/>
      <c r="I100" s="321"/>
      <c r="J100" s="320"/>
      <c r="K100" s="354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29"/>
        <v>0</v>
      </c>
      <c r="AF100" s="381"/>
      <c r="AG100" s="408"/>
      <c r="AH100" s="409">
        <f t="shared" si="28"/>
        <v>0</v>
      </c>
      <c r="AI100" s="410"/>
      <c r="AJ100" s="411">
        <f t="shared" si="30"/>
        <v>0</v>
      </c>
      <c r="AK100" s="234"/>
      <c r="AL100" s="234"/>
      <c r="AM100" s="234"/>
    </row>
    <row r="101" spans="1:39" ht="20.25">
      <c r="A101" s="792" t="s">
        <v>131</v>
      </c>
      <c r="B101" s="295"/>
      <c r="C101" s="295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29"/>
        <v>0</v>
      </c>
      <c r="AF101" s="381"/>
      <c r="AG101" s="408"/>
      <c r="AH101" s="409">
        <f t="shared" si="28"/>
        <v>0</v>
      </c>
      <c r="AI101" s="410"/>
      <c r="AJ101" s="411">
        <f t="shared" si="30"/>
        <v>0</v>
      </c>
      <c r="AK101" s="234"/>
      <c r="AL101" s="234"/>
      <c r="AM101" s="234"/>
    </row>
    <row r="102" spans="1:39" ht="20.25">
      <c r="A102" s="792" t="s">
        <v>131</v>
      </c>
      <c r="B102" s="295"/>
      <c r="C102" s="295"/>
      <c r="D102" s="318"/>
      <c r="E102" s="319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29"/>
        <v>0</v>
      </c>
      <c r="AF102" s="381"/>
      <c r="AG102" s="408"/>
      <c r="AH102" s="409">
        <f t="shared" si="28"/>
        <v>0</v>
      </c>
      <c r="AI102" s="410"/>
      <c r="AJ102" s="411">
        <f t="shared" si="30"/>
        <v>0</v>
      </c>
      <c r="AK102" s="234"/>
      <c r="AL102" s="234"/>
      <c r="AM102" s="234"/>
    </row>
    <row r="103" spans="1:39" ht="20.25">
      <c r="A103" s="792" t="s">
        <v>131</v>
      </c>
      <c r="B103" s="295"/>
      <c r="C103" s="295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si="29"/>
        <v>0</v>
      </c>
      <c r="AF103" s="381"/>
      <c r="AG103" s="408"/>
      <c r="AH103" s="409">
        <f t="shared" si="28"/>
        <v>0</v>
      </c>
      <c r="AI103" s="410"/>
      <c r="AJ103" s="411">
        <f t="shared" si="30"/>
        <v>0</v>
      </c>
      <c r="AK103" s="234"/>
      <c r="AL103" s="234"/>
      <c r="AM103" s="234"/>
    </row>
    <row r="104" spans="1:39" ht="20.25">
      <c r="A104" s="792" t="s">
        <v>131</v>
      </c>
      <c r="B104" s="295"/>
      <c r="C104" s="295"/>
      <c r="D104" s="318"/>
      <c r="E104" s="319"/>
      <c r="F104" s="320"/>
      <c r="G104" s="320"/>
      <c r="H104" s="321"/>
      <c r="I104" s="321"/>
      <c r="J104" s="320"/>
      <c r="K104" s="354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29"/>
        <v>0</v>
      </c>
      <c r="AF104" s="381"/>
      <c r="AG104" s="408"/>
      <c r="AH104" s="409">
        <f t="shared" si="28"/>
        <v>0</v>
      </c>
      <c r="AI104" s="410"/>
      <c r="AJ104" s="411">
        <f t="shared" si="30"/>
        <v>0</v>
      </c>
      <c r="AK104" s="234"/>
      <c r="AL104" s="234"/>
      <c r="AM104" s="234"/>
    </row>
    <row r="105" spans="1:39" ht="20.25">
      <c r="A105" s="792" t="s">
        <v>131</v>
      </c>
      <c r="B105" s="295"/>
      <c r="C105" s="295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29"/>
        <v>0</v>
      </c>
      <c r="AF105" s="381"/>
      <c r="AG105" s="408"/>
      <c r="AH105" s="409">
        <f t="shared" si="28"/>
        <v>0</v>
      </c>
      <c r="AI105" s="410"/>
      <c r="AJ105" s="411">
        <f t="shared" si="30"/>
        <v>0</v>
      </c>
      <c r="AK105" s="234"/>
      <c r="AL105" s="234"/>
      <c r="AM105" s="234"/>
    </row>
    <row r="106" spans="1:39" ht="20.25">
      <c r="A106" s="792" t="s">
        <v>131</v>
      </c>
      <c r="B106" s="295"/>
      <c r="C106" s="295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29"/>
        <v>0</v>
      </c>
      <c r="AF106" s="381"/>
      <c r="AG106" s="408"/>
      <c r="AH106" s="409">
        <f t="shared" si="28"/>
        <v>0</v>
      </c>
      <c r="AI106" s="410"/>
      <c r="AJ106" s="411">
        <f t="shared" si="30"/>
        <v>0</v>
      </c>
      <c r="AK106" s="234"/>
      <c r="AL106" s="234"/>
      <c r="AM106" s="234"/>
    </row>
    <row r="107" spans="1:39" ht="20.25">
      <c r="A107" s="792" t="s">
        <v>131</v>
      </c>
      <c r="B107" s="295"/>
      <c r="C107" s="295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29"/>
        <v>0</v>
      </c>
      <c r="AF107" s="381"/>
      <c r="AG107" s="408"/>
      <c r="AH107" s="409">
        <f t="shared" si="28"/>
        <v>0</v>
      </c>
      <c r="AI107" s="410"/>
      <c r="AJ107" s="411">
        <f t="shared" si="30"/>
        <v>0</v>
      </c>
      <c r="AK107" s="234"/>
      <c r="AL107" s="234"/>
      <c r="AM107" s="234"/>
    </row>
    <row r="108" spans="1:39" ht="20.25">
      <c r="A108" s="792" t="s">
        <v>131</v>
      </c>
      <c r="B108" s="295"/>
      <c r="C108" s="295"/>
      <c r="D108" s="318"/>
      <c r="E108" s="319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29"/>
        <v>0</v>
      </c>
      <c r="AF108" s="381"/>
      <c r="AG108" s="408"/>
      <c r="AH108" s="409">
        <f t="shared" si="28"/>
        <v>0</v>
      </c>
      <c r="AI108" s="410"/>
      <c r="AJ108" s="411">
        <f t="shared" si="30"/>
        <v>0</v>
      </c>
      <c r="AK108" s="234"/>
      <c r="AL108" s="234"/>
      <c r="AM108" s="234"/>
    </row>
    <row r="109" spans="1:39" ht="20.25">
      <c r="A109" s="792" t="s">
        <v>131</v>
      </c>
      <c r="B109" s="295"/>
      <c r="C109" s="295"/>
      <c r="D109" s="318"/>
      <c r="E109" s="319"/>
      <c r="F109" s="320"/>
      <c r="G109" s="320"/>
      <c r="H109" s="321"/>
      <c r="I109" s="321"/>
      <c r="J109" s="320"/>
      <c r="K109" s="354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29"/>
        <v>0</v>
      </c>
      <c r="AF109" s="381"/>
      <c r="AG109" s="408"/>
      <c r="AH109" s="409">
        <f t="shared" si="28"/>
        <v>0</v>
      </c>
      <c r="AI109" s="410"/>
      <c r="AJ109" s="411">
        <f t="shared" si="30"/>
        <v>0</v>
      </c>
      <c r="AK109" s="234"/>
      <c r="AL109" s="234"/>
      <c r="AM109" s="234"/>
    </row>
    <row r="110" spans="1:39" ht="20.25">
      <c r="A110" s="792" t="s">
        <v>131</v>
      </c>
      <c r="B110" s="295"/>
      <c r="C110" s="295"/>
      <c r="D110" s="318"/>
      <c r="E110" s="319"/>
      <c r="F110" s="320"/>
      <c r="G110" s="320"/>
      <c r="H110" s="321"/>
      <c r="I110" s="321"/>
      <c r="J110" s="320"/>
      <c r="K110" s="354"/>
      <c r="L110" s="352"/>
      <c r="M110" s="353"/>
      <c r="N110" s="321"/>
      <c r="O110" s="321"/>
      <c r="P110" s="321"/>
      <c r="Q110" s="321"/>
      <c r="R110" s="321"/>
      <c r="S110" s="321"/>
      <c r="T110" s="351"/>
      <c r="U110" s="352"/>
      <c r="V110" s="319"/>
      <c r="W110" s="320"/>
      <c r="X110" s="320"/>
      <c r="Y110" s="321"/>
      <c r="Z110" s="321"/>
      <c r="AA110" s="321"/>
      <c r="AB110" s="320"/>
      <c r="AC110" s="380"/>
      <c r="AD110" s="352"/>
      <c r="AE110" s="381">
        <f t="shared" si="29"/>
        <v>0</v>
      </c>
      <c r="AF110" s="381"/>
      <c r="AG110" s="408"/>
      <c r="AH110" s="409">
        <f t="shared" si="28"/>
        <v>0</v>
      </c>
      <c r="AI110" s="410"/>
      <c r="AJ110" s="411">
        <f t="shared" si="30"/>
        <v>0</v>
      </c>
      <c r="AK110" s="234"/>
      <c r="AL110" s="234"/>
      <c r="AM110" s="234"/>
    </row>
    <row r="111" spans="1:39" ht="20.25">
      <c r="A111" s="792" t="s">
        <v>131</v>
      </c>
      <c r="B111" s="295"/>
      <c r="C111" s="295"/>
      <c r="D111" s="318"/>
      <c r="E111" s="319"/>
      <c r="F111" s="320"/>
      <c r="G111" s="320"/>
      <c r="H111" s="321"/>
      <c r="I111" s="321"/>
      <c r="J111" s="320"/>
      <c r="K111" s="354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29"/>
        <v>0</v>
      </c>
      <c r="AF111" s="381"/>
      <c r="AG111" s="408"/>
      <c r="AH111" s="409">
        <f t="shared" si="28"/>
        <v>0</v>
      </c>
      <c r="AI111" s="410"/>
      <c r="AJ111" s="411">
        <f t="shared" si="30"/>
        <v>0</v>
      </c>
      <c r="AK111" s="234"/>
      <c r="AL111" s="234"/>
      <c r="AM111" s="234"/>
    </row>
    <row r="112" spans="1:39" ht="21" thickBot="1">
      <c r="A112" s="792" t="s">
        <v>131</v>
      </c>
      <c r="B112" s="295"/>
      <c r="C112" s="295"/>
      <c r="D112" s="318"/>
      <c r="E112" s="319"/>
      <c r="F112" s="320"/>
      <c r="G112" s="320"/>
      <c r="H112" s="321"/>
      <c r="I112" s="321"/>
      <c r="J112" s="320"/>
      <c r="K112" s="354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29"/>
        <v>0</v>
      </c>
      <c r="AF112" s="381"/>
      <c r="AG112" s="408"/>
      <c r="AH112" s="409">
        <f t="shared" si="28"/>
        <v>0</v>
      </c>
      <c r="AI112" s="410"/>
      <c r="AJ112" s="411">
        <f t="shared" si="30"/>
        <v>0</v>
      </c>
      <c r="AK112" s="234"/>
      <c r="AL112" s="234"/>
      <c r="AM112" s="234"/>
    </row>
    <row r="113" spans="1:39" ht="21" thickBot="1">
      <c r="A113" s="322"/>
      <c r="B113" s="323"/>
      <c r="C113" s="323"/>
      <c r="D113" s="324"/>
      <c r="E113" s="325"/>
      <c r="F113" s="297"/>
      <c r="G113" s="297"/>
      <c r="H113" s="298"/>
      <c r="I113" s="298"/>
      <c r="J113" s="297"/>
      <c r="K113" s="344"/>
      <c r="L113" s="355"/>
      <c r="M113" s="343"/>
      <c r="N113" s="298"/>
      <c r="O113" s="298"/>
      <c r="P113" s="298"/>
      <c r="Q113" s="298"/>
      <c r="R113" s="298"/>
      <c r="S113" s="298"/>
      <c r="T113" s="367"/>
      <c r="U113" s="355"/>
      <c r="V113" s="325"/>
      <c r="W113" s="297"/>
      <c r="X113" s="297"/>
      <c r="Y113" s="298"/>
      <c r="Z113" s="298"/>
      <c r="AA113" s="298"/>
      <c r="AB113" s="297"/>
      <c r="AC113" s="375"/>
      <c r="AD113" s="355"/>
      <c r="AE113" s="376">
        <f t="shared" si="29"/>
        <v>0</v>
      </c>
      <c r="AF113" s="377"/>
      <c r="AG113" s="390"/>
      <c r="AH113" s="391">
        <f t="shared" si="28"/>
        <v>0</v>
      </c>
      <c r="AI113" s="412"/>
      <c r="AJ113" s="413">
        <f t="shared" si="30"/>
        <v>0</v>
      </c>
      <c r="AK113" s="414" t="s">
        <v>8</v>
      </c>
      <c r="AL113" s="397" t="s">
        <v>23</v>
      </c>
      <c r="AM113" s="415" t="s">
        <v>174</v>
      </c>
    </row>
    <row r="114" spans="1:39" ht="19.5" thickBot="1">
      <c r="A114" s="326" t="s">
        <v>132</v>
      </c>
      <c r="B114" s="327"/>
      <c r="C114" s="327"/>
      <c r="D114" s="328"/>
      <c r="E114" s="329">
        <f>SUM(E95:E113)</f>
        <v>0</v>
      </c>
      <c r="F114" s="329">
        <f t="shared" ref="F114:K114" si="31">SUM(F95:F113)</f>
        <v>0</v>
      </c>
      <c r="G114" s="329">
        <f t="shared" si="31"/>
        <v>0</v>
      </c>
      <c r="H114" s="329">
        <f t="shared" si="31"/>
        <v>0</v>
      </c>
      <c r="I114" s="329">
        <f t="shared" si="31"/>
        <v>0</v>
      </c>
      <c r="J114" s="329">
        <f t="shared" si="31"/>
        <v>0</v>
      </c>
      <c r="K114" s="329">
        <f t="shared" si="31"/>
        <v>0</v>
      </c>
      <c r="L114" s="329"/>
      <c r="M114" s="329">
        <f t="shared" ref="M114:AJ114" si="32">SUM(M95:M113)</f>
        <v>0</v>
      </c>
      <c r="N114" s="329">
        <f t="shared" si="32"/>
        <v>0</v>
      </c>
      <c r="O114" s="329">
        <f t="shared" si="32"/>
        <v>0</v>
      </c>
      <c r="P114" s="329">
        <f t="shared" si="32"/>
        <v>0</v>
      </c>
      <c r="Q114" s="329">
        <f t="shared" si="32"/>
        <v>0</v>
      </c>
      <c r="R114" s="329">
        <f t="shared" si="32"/>
        <v>0</v>
      </c>
      <c r="S114" s="329">
        <f t="shared" si="32"/>
        <v>0</v>
      </c>
      <c r="T114" s="329">
        <f t="shared" si="32"/>
        <v>0</v>
      </c>
      <c r="U114" s="329">
        <f t="shared" si="32"/>
        <v>0</v>
      </c>
      <c r="V114" s="329">
        <f t="shared" si="32"/>
        <v>0</v>
      </c>
      <c r="W114" s="329">
        <f t="shared" si="32"/>
        <v>0</v>
      </c>
      <c r="X114" s="329">
        <f t="shared" si="32"/>
        <v>0</v>
      </c>
      <c r="Y114" s="329">
        <f t="shared" si="32"/>
        <v>0</v>
      </c>
      <c r="Z114" s="329">
        <f t="shared" si="32"/>
        <v>0</v>
      </c>
      <c r="AA114" s="329">
        <f t="shared" si="32"/>
        <v>0</v>
      </c>
      <c r="AB114" s="329">
        <f t="shared" si="32"/>
        <v>0</v>
      </c>
      <c r="AC114" s="329">
        <f t="shared" si="32"/>
        <v>0</v>
      </c>
      <c r="AD114" s="329">
        <f t="shared" si="32"/>
        <v>0</v>
      </c>
      <c r="AE114" s="329">
        <f t="shared" si="32"/>
        <v>0</v>
      </c>
      <c r="AF114" s="329">
        <f t="shared" si="32"/>
        <v>0</v>
      </c>
      <c r="AG114" s="329">
        <f t="shared" si="32"/>
        <v>0</v>
      </c>
      <c r="AH114" s="329">
        <f t="shared" si="32"/>
        <v>0</v>
      </c>
      <c r="AI114" s="329">
        <f t="shared" si="32"/>
        <v>0</v>
      </c>
      <c r="AJ114" s="329">
        <f t="shared" si="32"/>
        <v>0</v>
      </c>
      <c r="AK114" s="399">
        <f>'BIG CHAIR'!CL126</f>
        <v>0</v>
      </c>
      <c r="AL114" s="400">
        <f>'Tea Table'!X220</f>
        <v>72</v>
      </c>
      <c r="AM114" s="401">
        <f>AH114+AK114+AL114</f>
        <v>72</v>
      </c>
    </row>
    <row r="115" spans="1:39" ht="24" thickBot="1">
      <c r="A115" s="853"/>
      <c r="B115" s="327"/>
      <c r="C115" s="327"/>
      <c r="D115" s="328"/>
      <c r="E115" s="3891">
        <v>501</v>
      </c>
      <c r="F115" s="3892"/>
      <c r="G115" s="3892"/>
      <c r="H115" s="3892"/>
      <c r="I115" s="3892"/>
      <c r="J115" s="3892"/>
      <c r="K115" s="3904"/>
      <c r="L115" s="336"/>
      <c r="M115" s="3893">
        <v>502</v>
      </c>
      <c r="N115" s="3894"/>
      <c r="O115" s="3894"/>
      <c r="P115" s="3894"/>
      <c r="Q115" s="3894"/>
      <c r="R115" s="3894"/>
      <c r="S115" s="3894"/>
      <c r="T115" s="3895"/>
      <c r="U115" s="364"/>
      <c r="V115" s="3893">
        <v>503</v>
      </c>
      <c r="W115" s="3894"/>
      <c r="X115" s="3894"/>
      <c r="Y115" s="3894"/>
      <c r="Z115" s="3894"/>
      <c r="AA115" s="3894"/>
      <c r="AB115" s="3894"/>
      <c r="AC115" s="3895"/>
      <c r="AD115" s="859"/>
      <c r="AE115" s="857"/>
      <c r="AF115" s="858"/>
      <c r="AG115" s="857"/>
      <c r="AH115" s="858"/>
      <c r="AI115" s="857"/>
      <c r="AJ115" s="857"/>
      <c r="AK115" s="403"/>
      <c r="AL115" s="403"/>
      <c r="AM115" s="403"/>
    </row>
    <row r="116" spans="1:39" ht="24" thickBot="1">
      <c r="A116" s="721" t="s">
        <v>393</v>
      </c>
      <c r="B116" s="3474" t="s">
        <v>68</v>
      </c>
      <c r="C116" s="287" t="s">
        <v>69</v>
      </c>
      <c r="D116" s="288" t="s">
        <v>70</v>
      </c>
      <c r="E116" s="2697"/>
      <c r="F116" s="2698" t="s">
        <v>304</v>
      </c>
      <c r="G116" s="2698" t="s">
        <v>92</v>
      </c>
      <c r="H116" s="2698" t="s">
        <v>101</v>
      </c>
      <c r="I116" s="2698"/>
      <c r="J116" s="3496" t="s">
        <v>123</v>
      </c>
      <c r="K116" s="2702"/>
      <c r="L116" s="2699"/>
      <c r="M116" s="2697" t="s">
        <v>513</v>
      </c>
      <c r="N116" s="2698" t="s">
        <v>514</v>
      </c>
      <c r="O116" s="2698" t="s">
        <v>170</v>
      </c>
      <c r="P116" s="2698" t="s">
        <v>469</v>
      </c>
      <c r="Q116" s="2698"/>
      <c r="R116" s="2698"/>
      <c r="S116" s="2702"/>
      <c r="T116" s="2700"/>
      <c r="U116" s="2699"/>
      <c r="V116" s="2697"/>
      <c r="W116" s="2698"/>
      <c r="X116" s="2698"/>
      <c r="Y116" s="2698"/>
      <c r="Z116" s="2698"/>
      <c r="AA116" s="2698"/>
      <c r="AB116" s="2702"/>
      <c r="AC116" s="2700"/>
      <c r="AD116" s="370"/>
      <c r="AE116" s="371" t="s">
        <v>172</v>
      </c>
      <c r="AF116" s="372" t="s">
        <v>80</v>
      </c>
      <c r="AG116" s="385"/>
      <c r="AH116" s="386" t="s">
        <v>106</v>
      </c>
      <c r="AI116" s="385" t="s">
        <v>173</v>
      </c>
      <c r="AJ116" s="371" t="s">
        <v>108</v>
      </c>
      <c r="AK116" s="282"/>
      <c r="AL116" s="282"/>
      <c r="AM116" s="282"/>
    </row>
    <row r="117" spans="1:39" ht="20.25">
      <c r="A117" s="792" t="s">
        <v>392</v>
      </c>
      <c r="B117" s="295"/>
      <c r="C117" s="295"/>
      <c r="D117" s="318"/>
      <c r="E117" s="319"/>
      <c r="F117" s="320"/>
      <c r="G117" s="320"/>
      <c r="H117" s="321"/>
      <c r="I117" s="321"/>
      <c r="J117" s="320"/>
      <c r="K117" s="354"/>
      <c r="L117" s="352"/>
      <c r="M117" s="353"/>
      <c r="N117" s="321"/>
      <c r="O117" s="321"/>
      <c r="P117" s="321"/>
      <c r="Q117" s="321"/>
      <c r="R117" s="321"/>
      <c r="S117" s="321"/>
      <c r="T117" s="351"/>
      <c r="U117" s="352"/>
      <c r="V117" s="319"/>
      <c r="W117" s="320"/>
      <c r="X117" s="320"/>
      <c r="Y117" s="321"/>
      <c r="Z117" s="321"/>
      <c r="AA117" s="321"/>
      <c r="AB117" s="320"/>
      <c r="AC117" s="380"/>
      <c r="AD117" s="352"/>
      <c r="AE117" s="381">
        <f>SUM(E117:AC117)</f>
        <v>0</v>
      </c>
      <c r="AF117" s="381"/>
      <c r="AG117" s="408"/>
      <c r="AH117" s="409">
        <f>AE117+AF117</f>
        <v>0</v>
      </c>
      <c r="AI117" s="410"/>
      <c r="AJ117" s="411">
        <f>AH117+AI117</f>
        <v>0</v>
      </c>
      <c r="AK117" s="234"/>
      <c r="AL117" s="234"/>
      <c r="AM117" s="234"/>
    </row>
    <row r="118" spans="1:39" ht="20.25">
      <c r="A118" s="792" t="s">
        <v>392</v>
      </c>
      <c r="B118" s="295"/>
      <c r="C118" s="295"/>
      <c r="D118" s="318"/>
      <c r="E118" s="319"/>
      <c r="F118" s="320"/>
      <c r="G118" s="320"/>
      <c r="H118" s="321"/>
      <c r="I118" s="321"/>
      <c r="J118" s="320"/>
      <c r="K118" s="354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ref="AE118:AE135" si="33">SUM(E118:AC118)</f>
        <v>0</v>
      </c>
      <c r="AF118" s="381"/>
      <c r="AG118" s="408"/>
      <c r="AH118" s="409">
        <f t="shared" ref="AH118:AH135" si="34">AE118+AF118</f>
        <v>0</v>
      </c>
      <c r="AI118" s="410"/>
      <c r="AJ118" s="411">
        <f t="shared" ref="AJ118:AJ135" si="35">AH118+AI118</f>
        <v>0</v>
      </c>
      <c r="AK118" s="234"/>
      <c r="AL118" s="234"/>
      <c r="AM118" s="234"/>
    </row>
    <row r="119" spans="1:39" ht="20.25">
      <c r="A119" s="792" t="s">
        <v>392</v>
      </c>
      <c r="B119" s="295"/>
      <c r="C119" s="295"/>
      <c r="D119" s="318"/>
      <c r="E119" s="319"/>
      <c r="F119" s="320"/>
      <c r="G119" s="320"/>
      <c r="H119" s="321"/>
      <c r="I119" s="321"/>
      <c r="J119" s="320"/>
      <c r="K119" s="354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33"/>
        <v>0</v>
      </c>
      <c r="AF119" s="381"/>
      <c r="AG119" s="408"/>
      <c r="AH119" s="409">
        <f t="shared" si="34"/>
        <v>0</v>
      </c>
      <c r="AI119" s="410"/>
      <c r="AJ119" s="411">
        <f t="shared" si="35"/>
        <v>0</v>
      </c>
      <c r="AK119" s="234"/>
      <c r="AL119" s="234"/>
      <c r="AM119" s="234"/>
    </row>
    <row r="120" spans="1:39" ht="20.25">
      <c r="A120" s="792" t="s">
        <v>392</v>
      </c>
      <c r="B120" s="295"/>
      <c r="C120" s="295"/>
      <c r="D120" s="318"/>
      <c r="E120" s="319"/>
      <c r="F120" s="320"/>
      <c r="G120" s="320"/>
      <c r="H120" s="321"/>
      <c r="I120" s="321"/>
      <c r="J120" s="320"/>
      <c r="K120" s="354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si="33"/>
        <v>0</v>
      </c>
      <c r="AF120" s="381"/>
      <c r="AG120" s="408"/>
      <c r="AH120" s="409">
        <f t="shared" si="34"/>
        <v>0</v>
      </c>
      <c r="AI120" s="410"/>
      <c r="AJ120" s="411">
        <f t="shared" si="35"/>
        <v>0</v>
      </c>
      <c r="AK120" s="234"/>
      <c r="AL120" s="234"/>
      <c r="AM120" s="234"/>
    </row>
    <row r="121" spans="1:39" ht="20.25">
      <c r="A121" s="792" t="s">
        <v>392</v>
      </c>
      <c r="B121" s="295"/>
      <c r="C121" s="295"/>
      <c r="D121" s="318"/>
      <c r="E121" s="319"/>
      <c r="F121" s="320"/>
      <c r="G121" s="320"/>
      <c r="H121" s="321"/>
      <c r="I121" s="321"/>
      <c r="J121" s="320"/>
      <c r="K121" s="354"/>
      <c r="L121" s="352"/>
      <c r="M121" s="353"/>
      <c r="N121" s="321"/>
      <c r="O121" s="321"/>
      <c r="P121" s="321"/>
      <c r="Q121" s="321"/>
      <c r="R121" s="321"/>
      <c r="S121" s="321"/>
      <c r="T121" s="351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si="33"/>
        <v>0</v>
      </c>
      <c r="AF121" s="381"/>
      <c r="AG121" s="408"/>
      <c r="AH121" s="409">
        <f t="shared" si="34"/>
        <v>0</v>
      </c>
      <c r="AI121" s="410"/>
      <c r="AJ121" s="411">
        <f t="shared" si="35"/>
        <v>0</v>
      </c>
      <c r="AK121" s="234"/>
      <c r="AL121" s="234"/>
      <c r="AM121" s="234"/>
    </row>
    <row r="122" spans="1:39" ht="20.25">
      <c r="A122" s="792" t="s">
        <v>392</v>
      </c>
      <c r="B122" s="295"/>
      <c r="C122" s="295"/>
      <c r="D122" s="318"/>
      <c r="E122" s="319"/>
      <c r="F122" s="320"/>
      <c r="G122" s="320"/>
      <c r="H122" s="321"/>
      <c r="I122" s="321"/>
      <c r="J122" s="320"/>
      <c r="K122" s="354"/>
      <c r="L122" s="352"/>
      <c r="M122" s="353"/>
      <c r="N122" s="321"/>
      <c r="O122" s="321"/>
      <c r="P122" s="321"/>
      <c r="Q122" s="321"/>
      <c r="R122" s="321"/>
      <c r="S122" s="321"/>
      <c r="T122" s="351"/>
      <c r="U122" s="352"/>
      <c r="V122" s="319"/>
      <c r="W122" s="320"/>
      <c r="X122" s="320"/>
      <c r="Y122" s="321"/>
      <c r="Z122" s="321"/>
      <c r="AA122" s="321"/>
      <c r="AB122" s="320"/>
      <c r="AC122" s="380"/>
      <c r="AD122" s="352"/>
      <c r="AE122" s="381">
        <f t="shared" si="33"/>
        <v>0</v>
      </c>
      <c r="AF122" s="381"/>
      <c r="AG122" s="408"/>
      <c r="AH122" s="409">
        <f t="shared" si="34"/>
        <v>0</v>
      </c>
      <c r="AI122" s="410"/>
      <c r="AJ122" s="411">
        <f t="shared" si="35"/>
        <v>0</v>
      </c>
      <c r="AK122" s="234"/>
      <c r="AL122" s="234"/>
      <c r="AM122" s="234"/>
    </row>
    <row r="123" spans="1:39" ht="20.25">
      <c r="A123" s="792" t="s">
        <v>392</v>
      </c>
      <c r="B123" s="295"/>
      <c r="C123" s="295"/>
      <c r="D123" s="318"/>
      <c r="E123" s="319"/>
      <c r="F123" s="320"/>
      <c r="G123" s="320"/>
      <c r="H123" s="321"/>
      <c r="I123" s="321"/>
      <c r="J123" s="320"/>
      <c r="K123" s="354"/>
      <c r="L123" s="352"/>
      <c r="M123" s="353"/>
      <c r="N123" s="321"/>
      <c r="O123" s="321"/>
      <c r="P123" s="321"/>
      <c r="Q123" s="321"/>
      <c r="R123" s="321"/>
      <c r="S123" s="321"/>
      <c r="T123" s="351"/>
      <c r="U123" s="352"/>
      <c r="V123" s="319"/>
      <c r="W123" s="320"/>
      <c r="X123" s="320"/>
      <c r="Y123" s="321"/>
      <c r="Z123" s="321"/>
      <c r="AA123" s="321"/>
      <c r="AB123" s="320"/>
      <c r="AC123" s="380"/>
      <c r="AD123" s="352"/>
      <c r="AE123" s="381">
        <f t="shared" si="33"/>
        <v>0</v>
      </c>
      <c r="AF123" s="381"/>
      <c r="AG123" s="408"/>
      <c r="AH123" s="409">
        <f t="shared" si="34"/>
        <v>0</v>
      </c>
      <c r="AI123" s="410"/>
      <c r="AJ123" s="411">
        <f t="shared" si="35"/>
        <v>0</v>
      </c>
      <c r="AK123" s="234"/>
      <c r="AL123" s="234"/>
      <c r="AM123" s="234"/>
    </row>
    <row r="124" spans="1:39" ht="21" thickBot="1">
      <c r="A124" s="792" t="s">
        <v>392</v>
      </c>
      <c r="B124" s="295"/>
      <c r="C124" s="295"/>
      <c r="D124" s="318"/>
      <c r="E124" s="319"/>
      <c r="F124" s="320"/>
      <c r="G124" s="320"/>
      <c r="H124" s="321"/>
      <c r="I124" s="321"/>
      <c r="J124" s="320"/>
      <c r="K124" s="354"/>
      <c r="L124" s="352"/>
      <c r="M124" s="353"/>
      <c r="N124" s="321"/>
      <c r="O124" s="321"/>
      <c r="P124" s="321"/>
      <c r="Q124" s="321"/>
      <c r="R124" s="321"/>
      <c r="S124" s="321"/>
      <c r="T124" s="351"/>
      <c r="U124" s="352"/>
      <c r="V124" s="319"/>
      <c r="W124" s="320"/>
      <c r="X124" s="320"/>
      <c r="Y124" s="321"/>
      <c r="Z124" s="321"/>
      <c r="AA124" s="321"/>
      <c r="AB124" s="320"/>
      <c r="AC124" s="380"/>
      <c r="AD124" s="352"/>
      <c r="AE124" s="381">
        <f t="shared" si="33"/>
        <v>0</v>
      </c>
      <c r="AF124" s="381"/>
      <c r="AG124" s="408"/>
      <c r="AH124" s="409">
        <f t="shared" si="34"/>
        <v>0</v>
      </c>
      <c r="AI124" s="410"/>
      <c r="AJ124" s="411">
        <f t="shared" si="35"/>
        <v>0</v>
      </c>
      <c r="AK124" s="234"/>
      <c r="AL124" s="234"/>
      <c r="AM124" s="234"/>
    </row>
    <row r="125" spans="1:39" ht="21" thickBot="1">
      <c r="A125" s="792" t="s">
        <v>392</v>
      </c>
      <c r="B125" s="323"/>
      <c r="C125" s="323"/>
      <c r="D125" s="324"/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6">
        <f t="shared" si="33"/>
        <v>0</v>
      </c>
      <c r="AF125" s="377"/>
      <c r="AG125" s="390"/>
      <c r="AH125" s="391">
        <f t="shared" si="34"/>
        <v>0</v>
      </c>
      <c r="AI125" s="412"/>
      <c r="AJ125" s="413">
        <f t="shared" si="35"/>
        <v>0</v>
      </c>
      <c r="AK125" s="414" t="s">
        <v>8</v>
      </c>
      <c r="AL125" s="397" t="s">
        <v>23</v>
      </c>
      <c r="AM125" s="415" t="s">
        <v>174</v>
      </c>
    </row>
    <row r="126" spans="1:39" ht="21" thickBot="1">
      <c r="A126" s="792" t="s">
        <v>392</v>
      </c>
      <c r="B126" s="323"/>
      <c r="C126" s="323"/>
      <c r="D126" s="324"/>
      <c r="E126" s="325"/>
      <c r="F126" s="297"/>
      <c r="G126" s="297"/>
      <c r="H126" s="298"/>
      <c r="I126" s="298"/>
      <c r="J126" s="297"/>
      <c r="K126" s="344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/>
      <c r="X126" s="297"/>
      <c r="Y126" s="298"/>
      <c r="Z126" s="298"/>
      <c r="AA126" s="298"/>
      <c r="AB126" s="297"/>
      <c r="AC126" s="375"/>
      <c r="AD126" s="355"/>
      <c r="AE126" s="376">
        <f t="shared" si="33"/>
        <v>0</v>
      </c>
      <c r="AF126" s="377"/>
      <c r="AG126" s="390"/>
      <c r="AH126" s="391">
        <f t="shared" si="34"/>
        <v>0</v>
      </c>
      <c r="AI126" s="412"/>
      <c r="AJ126" s="413">
        <f t="shared" si="35"/>
        <v>0</v>
      </c>
      <c r="AK126" s="414" t="s">
        <v>8</v>
      </c>
      <c r="AL126" s="397" t="s">
        <v>23</v>
      </c>
      <c r="AM126" s="415" t="s">
        <v>174</v>
      </c>
    </row>
    <row r="127" spans="1:39" ht="21" thickBot="1">
      <c r="A127" s="792" t="s">
        <v>392</v>
      </c>
      <c r="B127" s="323"/>
      <c r="C127" s="323"/>
      <c r="D127" s="324"/>
      <c r="E127" s="325"/>
      <c r="F127" s="297"/>
      <c r="G127" s="297"/>
      <c r="H127" s="298"/>
      <c r="I127" s="298"/>
      <c r="J127" s="297"/>
      <c r="K127" s="344"/>
      <c r="L127" s="355"/>
      <c r="M127" s="343"/>
      <c r="N127" s="298"/>
      <c r="O127" s="298"/>
      <c r="P127" s="298"/>
      <c r="Q127" s="298"/>
      <c r="R127" s="298"/>
      <c r="S127" s="298"/>
      <c r="T127" s="367"/>
      <c r="U127" s="355"/>
      <c r="V127" s="325"/>
      <c r="W127" s="297"/>
      <c r="X127" s="297"/>
      <c r="Y127" s="298"/>
      <c r="Z127" s="298"/>
      <c r="AA127" s="298"/>
      <c r="AB127" s="297"/>
      <c r="AC127" s="375"/>
      <c r="AD127" s="355"/>
      <c r="AE127" s="376">
        <f t="shared" si="33"/>
        <v>0</v>
      </c>
      <c r="AF127" s="377"/>
      <c r="AG127" s="390"/>
      <c r="AH127" s="391">
        <f t="shared" si="34"/>
        <v>0</v>
      </c>
      <c r="AI127" s="412"/>
      <c r="AJ127" s="413">
        <f t="shared" si="35"/>
        <v>0</v>
      </c>
      <c r="AK127" s="414" t="s">
        <v>8</v>
      </c>
      <c r="AL127" s="397" t="s">
        <v>23</v>
      </c>
      <c r="AM127" s="415" t="s">
        <v>174</v>
      </c>
    </row>
    <row r="128" spans="1:39" ht="21" thickBot="1">
      <c r="A128" s="792" t="s">
        <v>392</v>
      </c>
      <c r="B128" s="323"/>
      <c r="C128" s="323"/>
      <c r="D128" s="324"/>
      <c r="E128" s="325"/>
      <c r="F128" s="297"/>
      <c r="G128" s="297"/>
      <c r="H128" s="298"/>
      <c r="I128" s="298"/>
      <c r="J128" s="297"/>
      <c r="K128" s="344"/>
      <c r="L128" s="355"/>
      <c r="M128" s="343"/>
      <c r="N128" s="298"/>
      <c r="O128" s="298"/>
      <c r="P128" s="298"/>
      <c r="Q128" s="298"/>
      <c r="R128" s="298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6">
        <f t="shared" si="33"/>
        <v>0</v>
      </c>
      <c r="AF128" s="377"/>
      <c r="AG128" s="390"/>
      <c r="AH128" s="391">
        <f t="shared" si="34"/>
        <v>0</v>
      </c>
      <c r="AI128" s="412"/>
      <c r="AJ128" s="413">
        <f t="shared" si="35"/>
        <v>0</v>
      </c>
      <c r="AK128" s="414" t="s">
        <v>8</v>
      </c>
      <c r="AL128" s="397" t="s">
        <v>23</v>
      </c>
      <c r="AM128" s="415" t="s">
        <v>174</v>
      </c>
    </row>
    <row r="129" spans="1:39" ht="21" thickBot="1">
      <c r="A129" s="792" t="s">
        <v>392</v>
      </c>
      <c r="B129" s="323"/>
      <c r="C129" s="323"/>
      <c r="D129" s="324"/>
      <c r="E129" s="325"/>
      <c r="F129" s="297"/>
      <c r="G129" s="297"/>
      <c r="H129" s="298"/>
      <c r="I129" s="298"/>
      <c r="J129" s="297"/>
      <c r="K129" s="344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6">
        <f t="shared" si="33"/>
        <v>0</v>
      </c>
      <c r="AF129" s="377"/>
      <c r="AG129" s="390"/>
      <c r="AH129" s="391">
        <f t="shared" si="34"/>
        <v>0</v>
      </c>
      <c r="AI129" s="412"/>
      <c r="AJ129" s="413">
        <f t="shared" si="35"/>
        <v>0</v>
      </c>
      <c r="AK129" s="414" t="s">
        <v>8</v>
      </c>
      <c r="AL129" s="397" t="s">
        <v>23</v>
      </c>
      <c r="AM129" s="415" t="s">
        <v>174</v>
      </c>
    </row>
    <row r="130" spans="1:39" ht="21" thickBot="1">
      <c r="A130" s="792" t="s">
        <v>392</v>
      </c>
      <c r="B130" s="323"/>
      <c r="C130" s="323"/>
      <c r="D130" s="324"/>
      <c r="E130" s="325"/>
      <c r="F130" s="297"/>
      <c r="G130" s="297"/>
      <c r="H130" s="298"/>
      <c r="I130" s="298"/>
      <c r="J130" s="297"/>
      <c r="K130" s="344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6">
        <f t="shared" si="33"/>
        <v>0</v>
      </c>
      <c r="AF130" s="377"/>
      <c r="AG130" s="390"/>
      <c r="AH130" s="391">
        <f t="shared" si="34"/>
        <v>0</v>
      </c>
      <c r="AI130" s="412"/>
      <c r="AJ130" s="413">
        <f t="shared" si="35"/>
        <v>0</v>
      </c>
      <c r="AK130" s="414" t="s">
        <v>8</v>
      </c>
      <c r="AL130" s="397" t="s">
        <v>23</v>
      </c>
      <c r="AM130" s="415" t="s">
        <v>174</v>
      </c>
    </row>
    <row r="131" spans="1:39" ht="21" thickBot="1">
      <c r="A131" s="792" t="s">
        <v>392</v>
      </c>
      <c r="B131" s="323"/>
      <c r="C131" s="323"/>
      <c r="D131" s="324"/>
      <c r="E131" s="325"/>
      <c r="F131" s="297"/>
      <c r="G131" s="297"/>
      <c r="H131" s="298"/>
      <c r="I131" s="298"/>
      <c r="J131" s="297"/>
      <c r="K131" s="344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ref="AE131:AE132" si="36">SUM(E131:AC131)</f>
        <v>0</v>
      </c>
      <c r="AF131" s="377"/>
      <c r="AG131" s="390"/>
      <c r="AH131" s="391">
        <f t="shared" si="34"/>
        <v>0</v>
      </c>
      <c r="AI131" s="412"/>
      <c r="AJ131" s="413">
        <f t="shared" si="35"/>
        <v>0</v>
      </c>
      <c r="AK131" s="414" t="s">
        <v>8</v>
      </c>
      <c r="AL131" s="397" t="s">
        <v>23</v>
      </c>
      <c r="AM131" s="415" t="s">
        <v>174</v>
      </c>
    </row>
    <row r="132" spans="1:39" ht="21" thickBot="1">
      <c r="A132" s="792" t="s">
        <v>392</v>
      </c>
      <c r="B132" s="323"/>
      <c r="C132" s="323"/>
      <c r="D132" s="324"/>
      <c r="E132" s="325"/>
      <c r="F132" s="297"/>
      <c r="G132" s="297"/>
      <c r="H132" s="298"/>
      <c r="I132" s="298"/>
      <c r="J132" s="297"/>
      <c r="K132" s="344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6">
        <f t="shared" si="36"/>
        <v>0</v>
      </c>
      <c r="AF132" s="377"/>
      <c r="AG132" s="390"/>
      <c r="AH132" s="391">
        <f t="shared" si="34"/>
        <v>0</v>
      </c>
      <c r="AI132" s="412"/>
      <c r="AJ132" s="413">
        <f t="shared" si="35"/>
        <v>0</v>
      </c>
      <c r="AK132" s="414" t="s">
        <v>8</v>
      </c>
      <c r="AL132" s="397" t="s">
        <v>23</v>
      </c>
      <c r="AM132" s="415" t="s">
        <v>174</v>
      </c>
    </row>
    <row r="133" spans="1:39" ht="21" thickBot="1">
      <c r="A133" s="792" t="s">
        <v>392</v>
      </c>
      <c r="B133" s="323"/>
      <c r="C133" s="323"/>
      <c r="D133" s="324"/>
      <c r="E133" s="325"/>
      <c r="F133" s="297"/>
      <c r="G133" s="297"/>
      <c r="H133" s="298"/>
      <c r="I133" s="298"/>
      <c r="J133" s="297"/>
      <c r="K133" s="344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33"/>
        <v>0</v>
      </c>
      <c r="AF133" s="377"/>
      <c r="AG133" s="390"/>
      <c r="AH133" s="391">
        <f t="shared" si="34"/>
        <v>0</v>
      </c>
      <c r="AI133" s="412"/>
      <c r="AJ133" s="413">
        <f t="shared" si="35"/>
        <v>0</v>
      </c>
      <c r="AK133" s="414" t="s">
        <v>8</v>
      </c>
      <c r="AL133" s="397" t="s">
        <v>23</v>
      </c>
      <c r="AM133" s="415" t="s">
        <v>174</v>
      </c>
    </row>
    <row r="134" spans="1:39" ht="21" thickBot="1">
      <c r="A134" s="792" t="s">
        <v>392</v>
      </c>
      <c r="B134" s="323"/>
      <c r="C134" s="323"/>
      <c r="D134" s="324"/>
      <c r="E134" s="325"/>
      <c r="F134" s="297"/>
      <c r="G134" s="297"/>
      <c r="H134" s="298"/>
      <c r="I134" s="298"/>
      <c r="J134" s="297"/>
      <c r="K134" s="344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33"/>
        <v>0</v>
      </c>
      <c r="AF134" s="377"/>
      <c r="AG134" s="390"/>
      <c r="AH134" s="391">
        <f t="shared" si="34"/>
        <v>0</v>
      </c>
      <c r="AI134" s="412"/>
      <c r="AJ134" s="413">
        <f t="shared" si="35"/>
        <v>0</v>
      </c>
      <c r="AK134" s="414" t="s">
        <v>8</v>
      </c>
      <c r="AL134" s="397" t="s">
        <v>23</v>
      </c>
      <c r="AM134" s="415" t="s">
        <v>174</v>
      </c>
    </row>
    <row r="135" spans="1:39" ht="21" thickBot="1">
      <c r="A135" s="792" t="s">
        <v>392</v>
      </c>
      <c r="B135" s="323"/>
      <c r="C135" s="323"/>
      <c r="D135" s="324"/>
      <c r="E135" s="325"/>
      <c r="F135" s="297"/>
      <c r="G135" s="297"/>
      <c r="H135" s="298"/>
      <c r="I135" s="298"/>
      <c r="J135" s="297"/>
      <c r="K135" s="344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6">
        <f t="shared" si="33"/>
        <v>0</v>
      </c>
      <c r="AF135" s="377"/>
      <c r="AG135" s="390"/>
      <c r="AH135" s="391">
        <f t="shared" si="34"/>
        <v>0</v>
      </c>
      <c r="AI135" s="412"/>
      <c r="AJ135" s="413">
        <f t="shared" si="35"/>
        <v>0</v>
      </c>
      <c r="AK135" s="414" t="s">
        <v>8</v>
      </c>
      <c r="AL135" s="397" t="s">
        <v>23</v>
      </c>
      <c r="AM135" s="415" t="s">
        <v>174</v>
      </c>
    </row>
    <row r="136" spans="1:39" ht="19.5" thickBot="1">
      <c r="A136" s="792" t="s">
        <v>392</v>
      </c>
      <c r="B136" s="327"/>
      <c r="C136" s="327"/>
      <c r="D136" s="328"/>
      <c r="E136" s="329">
        <f>SUM(E117:E135)</f>
        <v>0</v>
      </c>
      <c r="F136" s="329">
        <f t="shared" ref="F136:AJ136" si="37">SUM(F117:F135)</f>
        <v>0</v>
      </c>
      <c r="G136" s="329">
        <f t="shared" si="37"/>
        <v>0</v>
      </c>
      <c r="H136" s="329">
        <f t="shared" si="37"/>
        <v>0</v>
      </c>
      <c r="I136" s="329">
        <f t="shared" si="37"/>
        <v>0</v>
      </c>
      <c r="J136" s="329">
        <f t="shared" si="37"/>
        <v>0</v>
      </c>
      <c r="K136" s="329">
        <f t="shared" si="37"/>
        <v>0</v>
      </c>
      <c r="L136" s="329">
        <f t="shared" si="37"/>
        <v>0</v>
      </c>
      <c r="M136" s="329">
        <f t="shared" si="37"/>
        <v>0</v>
      </c>
      <c r="N136" s="329">
        <f t="shared" si="37"/>
        <v>0</v>
      </c>
      <c r="O136" s="329">
        <f t="shared" si="37"/>
        <v>0</v>
      </c>
      <c r="P136" s="329">
        <f t="shared" si="37"/>
        <v>0</v>
      </c>
      <c r="Q136" s="329">
        <f t="shared" si="37"/>
        <v>0</v>
      </c>
      <c r="R136" s="329">
        <f t="shared" si="37"/>
        <v>0</v>
      </c>
      <c r="S136" s="329">
        <f t="shared" si="37"/>
        <v>0</v>
      </c>
      <c r="T136" s="329">
        <f t="shared" si="37"/>
        <v>0</v>
      </c>
      <c r="U136" s="329">
        <f t="shared" si="37"/>
        <v>0</v>
      </c>
      <c r="V136" s="329">
        <f t="shared" si="37"/>
        <v>0</v>
      </c>
      <c r="W136" s="329">
        <f t="shared" si="37"/>
        <v>0</v>
      </c>
      <c r="X136" s="329">
        <f t="shared" si="37"/>
        <v>0</v>
      </c>
      <c r="Y136" s="329">
        <f t="shared" si="37"/>
        <v>0</v>
      </c>
      <c r="Z136" s="329">
        <f t="shared" si="37"/>
        <v>0</v>
      </c>
      <c r="AA136" s="329">
        <f t="shared" si="37"/>
        <v>0</v>
      </c>
      <c r="AB136" s="329">
        <f t="shared" si="37"/>
        <v>0</v>
      </c>
      <c r="AC136" s="329">
        <f t="shared" si="37"/>
        <v>0</v>
      </c>
      <c r="AD136" s="329"/>
      <c r="AE136" s="329">
        <f t="shared" si="37"/>
        <v>0</v>
      </c>
      <c r="AF136" s="329">
        <f t="shared" si="37"/>
        <v>0</v>
      </c>
      <c r="AG136" s="329">
        <f t="shared" si="37"/>
        <v>0</v>
      </c>
      <c r="AH136" s="329">
        <f t="shared" si="37"/>
        <v>0</v>
      </c>
      <c r="AI136" s="329">
        <f t="shared" si="37"/>
        <v>0</v>
      </c>
      <c r="AJ136" s="329">
        <f t="shared" si="37"/>
        <v>0</v>
      </c>
      <c r="AK136" s="399">
        <f>'BIG CHAIR'!CL119</f>
        <v>0</v>
      </c>
      <c r="AL136" s="400">
        <f>'Tea Table'!X207</f>
        <v>120</v>
      </c>
      <c r="AM136" s="401">
        <f>AH136+AK136+AL136</f>
        <v>120</v>
      </c>
    </row>
    <row r="137" spans="1:39" ht="24" thickBot="1">
      <c r="E137" s="3891">
        <v>501</v>
      </c>
      <c r="F137" s="3892"/>
      <c r="G137" s="3892"/>
      <c r="H137" s="3892"/>
      <c r="I137" s="3892"/>
      <c r="J137" s="3892"/>
      <c r="K137" s="3904"/>
      <c r="L137" s="336"/>
      <c r="M137" s="3893">
        <v>502</v>
      </c>
      <c r="N137" s="3894"/>
      <c r="O137" s="3894"/>
      <c r="P137" s="3894"/>
      <c r="Q137" s="3894"/>
      <c r="R137" s="3894"/>
      <c r="S137" s="3894"/>
      <c r="T137" s="3895"/>
      <c r="U137" s="364"/>
      <c r="V137" s="3893">
        <v>503</v>
      </c>
      <c r="W137" s="3894"/>
      <c r="X137" s="3894"/>
      <c r="Y137" s="3894"/>
      <c r="Z137" s="3894"/>
      <c r="AA137" s="3894"/>
      <c r="AB137" s="3894"/>
      <c r="AC137" s="3895"/>
    </row>
    <row r="138" spans="1:39" s="284" customFormat="1" ht="8.25" customHeight="1" thickBot="1">
      <c r="A138" s="425"/>
      <c r="B138" s="426"/>
      <c r="C138" s="426"/>
      <c r="D138" s="427"/>
      <c r="E138" s="428"/>
      <c r="F138" s="428"/>
      <c r="G138" s="428"/>
      <c r="H138" s="428"/>
      <c r="I138" s="428"/>
      <c r="J138" s="428"/>
      <c r="K138" s="428"/>
      <c r="L138" s="478"/>
      <c r="M138" s="479"/>
      <c r="N138" s="479"/>
      <c r="O138" s="479"/>
      <c r="P138" s="479"/>
      <c r="Q138" s="479"/>
      <c r="R138" s="479"/>
      <c r="S138" s="479"/>
      <c r="T138" s="479"/>
      <c r="U138" s="478"/>
      <c r="V138" s="479"/>
      <c r="W138" s="479"/>
      <c r="X138" s="479"/>
      <c r="Y138" s="479"/>
      <c r="Z138" s="479"/>
      <c r="AA138" s="479"/>
      <c r="AB138" s="479"/>
      <c r="AC138" s="479"/>
      <c r="AD138" s="478"/>
      <c r="AE138" s="479"/>
      <c r="AF138" s="479"/>
      <c r="AG138" s="479"/>
      <c r="AH138" s="479"/>
      <c r="AI138" s="479"/>
      <c r="AJ138" s="506"/>
      <c r="AK138" s="403"/>
      <c r="AL138" s="403"/>
      <c r="AM138" s="403"/>
    </row>
    <row r="139" spans="1:39" s="282" customFormat="1" ht="18.75" thickBot="1">
      <c r="A139" s="429" t="s">
        <v>179</v>
      </c>
      <c r="B139" s="287" t="s">
        <v>68</v>
      </c>
      <c r="C139" s="287" t="s">
        <v>69</v>
      </c>
      <c r="D139" s="288" t="s">
        <v>70</v>
      </c>
      <c r="E139" s="2697"/>
      <c r="F139" s="2698" t="s">
        <v>304</v>
      </c>
      <c r="G139" s="2698" t="s">
        <v>92</v>
      </c>
      <c r="H139" s="2698" t="s">
        <v>101</v>
      </c>
      <c r="I139" s="2698"/>
      <c r="J139" s="3496" t="s">
        <v>123</v>
      </c>
      <c r="K139" s="2702"/>
      <c r="L139" s="2699"/>
      <c r="M139" s="2697" t="s">
        <v>513</v>
      </c>
      <c r="N139" s="2698" t="s">
        <v>514</v>
      </c>
      <c r="O139" s="2698" t="s">
        <v>170</v>
      </c>
      <c r="P139" s="2698" t="s">
        <v>469</v>
      </c>
      <c r="Q139" s="2698"/>
      <c r="R139" s="2698"/>
      <c r="S139" s="2702"/>
      <c r="T139" s="2700"/>
      <c r="U139" s="2699"/>
      <c r="V139" s="2697"/>
      <c r="W139" s="2698"/>
      <c r="X139" s="2698"/>
      <c r="Y139" s="2698"/>
      <c r="Z139" s="2698"/>
      <c r="AA139" s="2698"/>
      <c r="AB139" s="2702"/>
      <c r="AC139" s="2700"/>
      <c r="AD139" s="79"/>
      <c r="AE139" s="371" t="s">
        <v>172</v>
      </c>
      <c r="AF139" s="372" t="s">
        <v>80</v>
      </c>
      <c r="AG139" s="385"/>
      <c r="AH139" s="386" t="s">
        <v>106</v>
      </c>
      <c r="AI139" s="385" t="s">
        <v>173</v>
      </c>
      <c r="AJ139" s="371" t="s">
        <v>108</v>
      </c>
    </row>
    <row r="140" spans="1:39" s="283" customFormat="1" ht="20.25">
      <c r="A140" s="430"/>
      <c r="B140" s="431"/>
      <c r="C140" s="431"/>
      <c r="D140" s="432"/>
      <c r="E140" s="325"/>
      <c r="F140" s="297"/>
      <c r="G140" s="297"/>
      <c r="H140" s="298"/>
      <c r="I140" s="298"/>
      <c r="J140" s="297"/>
      <c r="K140" s="344"/>
      <c r="L140" s="355"/>
      <c r="M140" s="343"/>
      <c r="N140" s="435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7">
        <f t="shared" ref="AE140:AE142" si="38">SUM(E140:AC140)</f>
        <v>0</v>
      </c>
      <c r="AF140" s="377"/>
      <c r="AG140" s="390"/>
      <c r="AH140" s="507">
        <f t="shared" ref="AH140:AH144" si="39">AE140+AF140</f>
        <v>0</v>
      </c>
      <c r="AI140" s="412"/>
      <c r="AJ140" s="508">
        <f>AH140+AI140</f>
        <v>0</v>
      </c>
    </row>
    <row r="141" spans="1:39" s="283" customFormat="1" ht="20.25">
      <c r="A141" s="322"/>
      <c r="B141" s="323"/>
      <c r="C141" s="323"/>
      <c r="D141" s="324"/>
      <c r="E141" s="325"/>
      <c r="F141" s="297"/>
      <c r="G141" s="297"/>
      <c r="H141" s="298"/>
      <c r="I141" s="298"/>
      <c r="J141" s="297"/>
      <c r="K141" s="344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7">
        <f t="shared" ref="AE141" si="40">SUM(E141:AC141)</f>
        <v>0</v>
      </c>
      <c r="AF141" s="377"/>
      <c r="AG141" s="390"/>
      <c r="AH141" s="507">
        <f t="shared" si="39"/>
        <v>0</v>
      </c>
      <c r="AI141" s="412"/>
      <c r="AJ141" s="508">
        <f>AH141+AI141</f>
        <v>0</v>
      </c>
    </row>
    <row r="142" spans="1:39" s="283" customFormat="1" ht="20.25">
      <c r="A142" s="322"/>
      <c r="B142" s="323"/>
      <c r="C142" s="323"/>
      <c r="D142" s="324"/>
      <c r="E142" s="325"/>
      <c r="F142" s="297"/>
      <c r="G142" s="297"/>
      <c r="H142" s="298"/>
      <c r="I142" s="298"/>
      <c r="J142" s="297"/>
      <c r="K142" s="344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7">
        <f t="shared" si="38"/>
        <v>0</v>
      </c>
      <c r="AF142" s="377"/>
      <c r="AG142" s="390"/>
      <c r="AH142" s="507">
        <f t="shared" si="39"/>
        <v>0</v>
      </c>
      <c r="AI142" s="412"/>
      <c r="AJ142" s="508">
        <f>AH142+AI142</f>
        <v>0</v>
      </c>
    </row>
    <row r="143" spans="1:39" s="283" customFormat="1" ht="20.25">
      <c r="A143" s="322"/>
      <c r="B143" s="323"/>
      <c r="C143" s="323"/>
      <c r="D143" s="324"/>
      <c r="E143" s="325"/>
      <c r="F143" s="297"/>
      <c r="G143" s="297"/>
      <c r="H143" s="298"/>
      <c r="I143" s="298"/>
      <c r="J143" s="297"/>
      <c r="K143" s="344"/>
      <c r="L143" s="355"/>
      <c r="M143" s="343"/>
      <c r="N143" s="298"/>
      <c r="O143" s="298"/>
      <c r="P143" s="298"/>
      <c r="Q143" s="298"/>
      <c r="R143" s="298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7">
        <f t="shared" ref="AE143:AE144" si="41">SUM(E143:AC143)</f>
        <v>0</v>
      </c>
      <c r="AF143" s="377"/>
      <c r="AG143" s="390"/>
      <c r="AH143" s="507">
        <f t="shared" si="39"/>
        <v>0</v>
      </c>
      <c r="AI143" s="412"/>
      <c r="AJ143" s="508">
        <f>AH143+AI143</f>
        <v>0</v>
      </c>
    </row>
    <row r="144" spans="1:39" s="283" customFormat="1" ht="21" thickBot="1">
      <c r="A144" s="322"/>
      <c r="B144" s="323"/>
      <c r="C144" s="323"/>
      <c r="D144" s="324"/>
      <c r="E144" s="325"/>
      <c r="F144" s="297"/>
      <c r="G144" s="297"/>
      <c r="H144" s="298"/>
      <c r="I144" s="298"/>
      <c r="J144" s="297"/>
      <c r="K144" s="344"/>
      <c r="L144" s="355"/>
      <c r="M144" s="343"/>
      <c r="N144" s="298"/>
      <c r="O144" s="298"/>
      <c r="P144" s="298"/>
      <c r="Q144" s="298"/>
      <c r="R144" s="298"/>
      <c r="S144" s="298"/>
      <c r="T144" s="367"/>
      <c r="U144" s="355"/>
      <c r="V144" s="325"/>
      <c r="W144" s="297"/>
      <c r="X144" s="297"/>
      <c r="Y144" s="298"/>
      <c r="Z144" s="298"/>
      <c r="AA144" s="298"/>
      <c r="AB144" s="297"/>
      <c r="AC144" s="375"/>
      <c r="AD144" s="355"/>
      <c r="AE144" s="377">
        <f t="shared" si="41"/>
        <v>0</v>
      </c>
      <c r="AF144" s="377"/>
      <c r="AG144" s="390"/>
      <c r="AH144" s="507">
        <f t="shared" si="39"/>
        <v>0</v>
      </c>
      <c r="AI144" s="412"/>
      <c r="AJ144" s="508">
        <f t="shared" ref="AJ144" si="42">AH144+AI144</f>
        <v>0</v>
      </c>
    </row>
    <row r="145" spans="1:39" s="283" customFormat="1" ht="21" thickBot="1">
      <c r="A145" s="436"/>
      <c r="B145" s="437"/>
      <c r="C145" s="437"/>
      <c r="D145" s="438"/>
      <c r="E145" s="439">
        <f t="shared" ref="E145:K145" si="43">SUM(E140:E144)</f>
        <v>0</v>
      </c>
      <c r="F145" s="440">
        <f t="shared" si="43"/>
        <v>0</v>
      </c>
      <c r="G145" s="440">
        <f t="shared" si="43"/>
        <v>0</v>
      </c>
      <c r="H145" s="440">
        <f t="shared" si="43"/>
        <v>0</v>
      </c>
      <c r="I145" s="440">
        <f t="shared" si="43"/>
        <v>0</v>
      </c>
      <c r="J145" s="440">
        <f t="shared" si="43"/>
        <v>0</v>
      </c>
      <c r="K145" s="481">
        <f t="shared" si="43"/>
        <v>0</v>
      </c>
      <c r="L145" s="482"/>
      <c r="M145" s="439">
        <f t="shared" ref="M145:T145" si="44">SUM(M140:M144)</f>
        <v>0</v>
      </c>
      <c r="N145" s="440">
        <f t="shared" si="44"/>
        <v>0</v>
      </c>
      <c r="O145" s="440">
        <f t="shared" si="44"/>
        <v>0</v>
      </c>
      <c r="P145" s="440">
        <f t="shared" si="44"/>
        <v>0</v>
      </c>
      <c r="Q145" s="440">
        <f t="shared" si="44"/>
        <v>0</v>
      </c>
      <c r="R145" s="440">
        <f t="shared" si="44"/>
        <v>0</v>
      </c>
      <c r="S145" s="440">
        <f t="shared" si="44"/>
        <v>0</v>
      </c>
      <c r="T145" s="481">
        <f t="shared" si="44"/>
        <v>0</v>
      </c>
      <c r="U145" s="482"/>
      <c r="V145" s="439">
        <f t="shared" ref="V145:AC145" si="45">SUM(V140:V144)</f>
        <v>0</v>
      </c>
      <c r="W145" s="440">
        <f t="shared" si="45"/>
        <v>0</v>
      </c>
      <c r="X145" s="440">
        <f t="shared" si="45"/>
        <v>0</v>
      </c>
      <c r="Y145" s="440">
        <f t="shared" si="45"/>
        <v>0</v>
      </c>
      <c r="Z145" s="440">
        <f t="shared" si="45"/>
        <v>0</v>
      </c>
      <c r="AA145" s="440">
        <f t="shared" si="45"/>
        <v>0</v>
      </c>
      <c r="AB145" s="440">
        <f t="shared" si="45"/>
        <v>0</v>
      </c>
      <c r="AC145" s="481">
        <f t="shared" si="45"/>
        <v>0</v>
      </c>
      <c r="AD145" s="482"/>
      <c r="AE145" s="494">
        <f>SUM(AE140:AE144)</f>
        <v>0</v>
      </c>
      <c r="AF145" s="494">
        <f t="shared" ref="AF145:AJ145" si="46">SUM(AF140:AF144)</f>
        <v>0</v>
      </c>
      <c r="AG145" s="494">
        <f t="shared" si="46"/>
        <v>0</v>
      </c>
      <c r="AH145" s="509">
        <f t="shared" si="46"/>
        <v>0</v>
      </c>
      <c r="AI145" s="494">
        <f t="shared" si="46"/>
        <v>0</v>
      </c>
      <c r="AJ145" s="509">
        <f t="shared" si="46"/>
        <v>0</v>
      </c>
    </row>
    <row r="146" spans="1:39" s="284" customFormat="1" ht="8.25" customHeight="1" thickBot="1">
      <c r="A146" s="425"/>
      <c r="B146" s="426"/>
      <c r="C146" s="426"/>
      <c r="D146" s="427"/>
      <c r="E146" s="428"/>
      <c r="F146" s="428"/>
      <c r="G146" s="428"/>
      <c r="H146" s="428"/>
      <c r="I146" s="428"/>
      <c r="J146" s="428"/>
      <c r="K146" s="428"/>
      <c r="L146" s="478"/>
      <c r="M146" s="479"/>
      <c r="N146" s="479"/>
      <c r="O146" s="479"/>
      <c r="P146" s="479"/>
      <c r="Q146" s="479"/>
      <c r="R146" s="479"/>
      <c r="S146" s="479"/>
      <c r="T146" s="479"/>
      <c r="U146" s="478"/>
      <c r="V146" s="479"/>
      <c r="W146" s="479"/>
      <c r="X146" s="479"/>
      <c r="Y146" s="479"/>
      <c r="Z146" s="479"/>
      <c r="AA146" s="479"/>
      <c r="AB146" s="479"/>
      <c r="AC146" s="479"/>
      <c r="AD146" s="478"/>
      <c r="AE146" s="479"/>
      <c r="AF146" s="479"/>
      <c r="AG146" s="479"/>
      <c r="AH146" s="479"/>
      <c r="AI146" s="479"/>
      <c r="AJ146" s="506"/>
      <c r="AK146" s="403"/>
      <c r="AL146" s="403"/>
      <c r="AM146" s="403"/>
    </row>
    <row r="147" spans="1:39" s="282" customFormat="1" ht="18.75" thickBot="1">
      <c r="A147" s="3475" t="s">
        <v>135</v>
      </c>
      <c r="B147" s="287" t="s">
        <v>68</v>
      </c>
      <c r="C147" s="287" t="s">
        <v>69</v>
      </c>
      <c r="D147" s="288" t="s">
        <v>70</v>
      </c>
      <c r="E147" s="2697"/>
      <c r="F147" s="2698" t="s">
        <v>304</v>
      </c>
      <c r="G147" s="2698" t="s">
        <v>92</v>
      </c>
      <c r="H147" s="2698" t="s">
        <v>101</v>
      </c>
      <c r="I147" s="2698"/>
      <c r="J147" s="3496" t="s">
        <v>123</v>
      </c>
      <c r="K147" s="2702"/>
      <c r="L147" s="2699"/>
      <c r="M147" s="2697" t="s">
        <v>513</v>
      </c>
      <c r="N147" s="2698" t="s">
        <v>514</v>
      </c>
      <c r="O147" s="2698" t="s">
        <v>170</v>
      </c>
      <c r="P147" s="2698" t="s">
        <v>469</v>
      </c>
      <c r="Q147" s="2698"/>
      <c r="R147" s="2698"/>
      <c r="S147" s="2702"/>
      <c r="T147" s="2700"/>
      <c r="U147" s="2699"/>
      <c r="V147" s="2697"/>
      <c r="W147" s="2698"/>
      <c r="X147" s="2698"/>
      <c r="Y147" s="2698"/>
      <c r="Z147" s="2698"/>
      <c r="AA147" s="2698"/>
      <c r="AB147" s="2702"/>
      <c r="AC147" s="2700"/>
      <c r="AD147" s="79"/>
      <c r="AE147" s="371" t="s">
        <v>172</v>
      </c>
      <c r="AF147" s="372" t="s">
        <v>80</v>
      </c>
      <c r="AG147" s="385"/>
      <c r="AH147" s="386" t="s">
        <v>106</v>
      </c>
      <c r="AI147" s="385" t="s">
        <v>173</v>
      </c>
      <c r="AJ147" s="371" t="s">
        <v>108</v>
      </c>
    </row>
    <row r="148" spans="1:39" s="283" customFormat="1" ht="20.25">
      <c r="A148" s="442"/>
      <c r="B148" s="443"/>
      <c r="C148" s="443"/>
      <c r="D148" s="444"/>
      <c r="E148" s="433"/>
      <c r="F148" s="434"/>
      <c r="G148" s="434"/>
      <c r="H148" s="435"/>
      <c r="I148" s="435"/>
      <c r="J148" s="434"/>
      <c r="K148" s="480"/>
      <c r="L148" s="483"/>
      <c r="M148" s="484"/>
      <c r="N148" s="435"/>
      <c r="O148" s="435"/>
      <c r="P148" s="435"/>
      <c r="Q148" s="435"/>
      <c r="R148" s="435"/>
      <c r="S148" s="435"/>
      <c r="T148" s="492"/>
      <c r="U148" s="483"/>
      <c r="V148" s="433"/>
      <c r="W148" s="434"/>
      <c r="X148" s="434"/>
      <c r="Y148" s="435"/>
      <c r="Z148" s="435"/>
      <c r="AA148" s="435"/>
      <c r="AB148" s="434"/>
      <c r="AC148" s="495"/>
      <c r="AD148" s="483"/>
      <c r="AE148" s="496">
        <f t="shared" ref="AE148:AE151" si="47">SUM(E148:AC148)</f>
        <v>0</v>
      </c>
      <c r="AF148" s="497"/>
      <c r="AG148" s="510"/>
      <c r="AH148" s="511">
        <f t="shared" ref="AH148:AH151" si="48">AE148+AF148</f>
        <v>0</v>
      </c>
      <c r="AI148" s="512"/>
      <c r="AJ148" s="513">
        <f>AH148+AI148</f>
        <v>0</v>
      </c>
    </row>
    <row r="149" spans="1:39" s="283" customFormat="1" ht="20.25">
      <c r="A149" s="445"/>
      <c r="B149" s="323"/>
      <c r="C149" s="323"/>
      <c r="D149" s="324"/>
      <c r="E149" s="325"/>
      <c r="F149" s="297"/>
      <c r="G149" s="297"/>
      <c r="H149" s="298"/>
      <c r="I149" s="298"/>
      <c r="J149" s="297"/>
      <c r="K149" s="344"/>
      <c r="L149" s="355"/>
      <c r="M149" s="343"/>
      <c r="N149" s="298"/>
      <c r="O149" s="298"/>
      <c r="P149" s="298"/>
      <c r="Q149" s="298"/>
      <c r="R149" s="298"/>
      <c r="S149" s="298"/>
      <c r="T149" s="367"/>
      <c r="U149" s="355"/>
      <c r="V149" s="325"/>
      <c r="W149" s="297"/>
      <c r="X149" s="297"/>
      <c r="Y149" s="298"/>
      <c r="Z149" s="298"/>
      <c r="AA149" s="298"/>
      <c r="AB149" s="297"/>
      <c r="AC149" s="375"/>
      <c r="AD149" s="355"/>
      <c r="AE149" s="376">
        <f t="shared" si="47"/>
        <v>0</v>
      </c>
      <c r="AF149" s="377"/>
      <c r="AG149" s="390"/>
      <c r="AH149" s="391">
        <f t="shared" si="48"/>
        <v>0</v>
      </c>
      <c r="AI149" s="412"/>
      <c r="AJ149" s="413">
        <f t="shared" ref="AJ149:AJ151" si="49">AH149+AI149</f>
        <v>0</v>
      </c>
    </row>
    <row r="150" spans="1:39" s="283" customFormat="1" ht="20.25">
      <c r="A150" s="445"/>
      <c r="B150" s="323"/>
      <c r="C150" s="323"/>
      <c r="D150" s="324"/>
      <c r="E150" s="325"/>
      <c r="F150" s="297"/>
      <c r="G150" s="297"/>
      <c r="H150" s="298"/>
      <c r="I150" s="298"/>
      <c r="J150" s="297"/>
      <c r="K150" s="344"/>
      <c r="L150" s="355"/>
      <c r="M150" s="343"/>
      <c r="N150" s="298"/>
      <c r="O150" s="298"/>
      <c r="P150" s="298"/>
      <c r="Q150" s="298"/>
      <c r="R150" s="298"/>
      <c r="S150" s="298"/>
      <c r="T150" s="367"/>
      <c r="U150" s="355"/>
      <c r="V150" s="325"/>
      <c r="W150" s="297"/>
      <c r="X150" s="297"/>
      <c r="Y150" s="298"/>
      <c r="Z150" s="298"/>
      <c r="AA150" s="298"/>
      <c r="AB150" s="297"/>
      <c r="AC150" s="375"/>
      <c r="AD150" s="355"/>
      <c r="AE150" s="376">
        <f t="shared" si="47"/>
        <v>0</v>
      </c>
      <c r="AF150" s="377"/>
      <c r="AG150" s="390"/>
      <c r="AH150" s="391">
        <f t="shared" si="48"/>
        <v>0</v>
      </c>
      <c r="AI150" s="412"/>
      <c r="AJ150" s="413">
        <f t="shared" si="49"/>
        <v>0</v>
      </c>
    </row>
    <row r="151" spans="1:39" s="283" customFormat="1" ht="21" thickBot="1">
      <c r="A151" s="322"/>
      <c r="B151" s="323"/>
      <c r="C151" s="323"/>
      <c r="D151" s="324"/>
      <c r="E151" s="325"/>
      <c r="F151" s="297"/>
      <c r="G151" s="297"/>
      <c r="H151" s="298"/>
      <c r="I151" s="298"/>
      <c r="J151" s="297"/>
      <c r="K151" s="344"/>
      <c r="L151" s="355"/>
      <c r="M151" s="343"/>
      <c r="N151" s="298"/>
      <c r="O151" s="298"/>
      <c r="P151" s="298"/>
      <c r="Q151" s="298"/>
      <c r="R151" s="298"/>
      <c r="S151" s="298"/>
      <c r="T151" s="367"/>
      <c r="U151" s="355"/>
      <c r="V151" s="325"/>
      <c r="W151" s="297"/>
      <c r="X151" s="297"/>
      <c r="Y151" s="298"/>
      <c r="Z151" s="298"/>
      <c r="AA151" s="298"/>
      <c r="AB151" s="297"/>
      <c r="AC151" s="375"/>
      <c r="AD151" s="355"/>
      <c r="AE151" s="377">
        <f t="shared" si="47"/>
        <v>0</v>
      </c>
      <c r="AF151" s="377"/>
      <c r="AG151" s="390"/>
      <c r="AH151" s="507">
        <f t="shared" si="48"/>
        <v>0</v>
      </c>
      <c r="AI151" s="412"/>
      <c r="AJ151" s="508">
        <f t="shared" si="49"/>
        <v>0</v>
      </c>
    </row>
    <row r="152" spans="1:39" s="283" customFormat="1" ht="21" thickBot="1">
      <c r="A152" s="436"/>
      <c r="B152" s="437"/>
      <c r="C152" s="437"/>
      <c r="D152" s="438"/>
      <c r="E152" s="439">
        <f t="shared" ref="E152:K152" si="50">SUM(E149:E151)</f>
        <v>0</v>
      </c>
      <c r="F152" s="440">
        <f t="shared" si="50"/>
        <v>0</v>
      </c>
      <c r="G152" s="440">
        <f t="shared" si="50"/>
        <v>0</v>
      </c>
      <c r="H152" s="440">
        <f t="shared" si="50"/>
        <v>0</v>
      </c>
      <c r="I152" s="440">
        <f t="shared" si="50"/>
        <v>0</v>
      </c>
      <c r="J152" s="440">
        <f t="shared" si="50"/>
        <v>0</v>
      </c>
      <c r="K152" s="481">
        <f t="shared" si="50"/>
        <v>0</v>
      </c>
      <c r="L152" s="482"/>
      <c r="M152" s="439">
        <f t="shared" ref="M152:T152" si="51">SUM(M149:M151)</f>
        <v>0</v>
      </c>
      <c r="N152" s="440">
        <f t="shared" si="51"/>
        <v>0</v>
      </c>
      <c r="O152" s="440">
        <f t="shared" si="51"/>
        <v>0</v>
      </c>
      <c r="P152" s="440">
        <f t="shared" si="51"/>
        <v>0</v>
      </c>
      <c r="Q152" s="440">
        <f t="shared" si="51"/>
        <v>0</v>
      </c>
      <c r="R152" s="440">
        <f t="shared" si="51"/>
        <v>0</v>
      </c>
      <c r="S152" s="440">
        <f t="shared" si="51"/>
        <v>0</v>
      </c>
      <c r="T152" s="481">
        <f t="shared" si="51"/>
        <v>0</v>
      </c>
      <c r="U152" s="482"/>
      <c r="V152" s="439">
        <f t="shared" ref="V152:AC152" si="52">SUM(V149:V151)</f>
        <v>0</v>
      </c>
      <c r="W152" s="440">
        <f t="shared" si="52"/>
        <v>0</v>
      </c>
      <c r="X152" s="440">
        <f t="shared" si="52"/>
        <v>0</v>
      </c>
      <c r="Y152" s="440">
        <f t="shared" si="52"/>
        <v>0</v>
      </c>
      <c r="Z152" s="440">
        <f t="shared" si="52"/>
        <v>0</v>
      </c>
      <c r="AA152" s="440">
        <f t="shared" si="52"/>
        <v>0</v>
      </c>
      <c r="AB152" s="440">
        <f t="shared" si="52"/>
        <v>0</v>
      </c>
      <c r="AC152" s="481">
        <f t="shared" si="52"/>
        <v>0</v>
      </c>
      <c r="AD152" s="482"/>
      <c r="AE152" s="494">
        <f>SUM(AE148:AE151)</f>
        <v>0</v>
      </c>
      <c r="AF152" s="494">
        <f>SUM(AF148:AF151)</f>
        <v>0</v>
      </c>
      <c r="AG152" s="509"/>
      <c r="AH152" s="514">
        <f>SUM(AH148:AH151)</f>
        <v>0</v>
      </c>
      <c r="AI152" s="494">
        <f>SUM(AI148:AI151)</f>
        <v>0</v>
      </c>
      <c r="AJ152" s="515">
        <f>SUM(AJ148:AJ151)</f>
        <v>0</v>
      </c>
    </row>
    <row r="153" spans="1:39" s="284" customFormat="1" ht="8.25" customHeight="1" thickBot="1">
      <c r="A153" s="425"/>
      <c r="B153" s="426"/>
      <c r="C153" s="426"/>
      <c r="D153" s="427"/>
      <c r="E153" s="428"/>
      <c r="F153" s="428"/>
      <c r="G153" s="428"/>
      <c r="H153" s="428"/>
      <c r="I153" s="428"/>
      <c r="J153" s="428"/>
      <c r="K153" s="428"/>
      <c r="L153" s="478"/>
      <c r="M153" s="479"/>
      <c r="N153" s="479"/>
      <c r="O153" s="479"/>
      <c r="P153" s="479"/>
      <c r="Q153" s="479"/>
      <c r="R153" s="479"/>
      <c r="S153" s="479"/>
      <c r="T153" s="479"/>
      <c r="U153" s="478"/>
      <c r="V153" s="479"/>
      <c r="W153" s="479"/>
      <c r="X153" s="479"/>
      <c r="Y153" s="479"/>
      <c r="Z153" s="479"/>
      <c r="AA153" s="479"/>
      <c r="AB153" s="479"/>
      <c r="AC153" s="479"/>
      <c r="AD153" s="478"/>
      <c r="AE153" s="479"/>
      <c r="AF153" s="479"/>
      <c r="AG153" s="479"/>
      <c r="AH153" s="479"/>
      <c r="AI153" s="479"/>
      <c r="AJ153" s="506"/>
      <c r="AK153" s="403"/>
      <c r="AL153" s="403"/>
      <c r="AM153" s="403"/>
    </row>
    <row r="154" spans="1:39" s="282" customFormat="1" ht="18.75" thickBot="1">
      <c r="A154" s="446" t="s">
        <v>140</v>
      </c>
      <c r="B154" s="287" t="s">
        <v>68</v>
      </c>
      <c r="C154" s="447" t="s">
        <v>69</v>
      </c>
      <c r="D154" s="448" t="s">
        <v>70</v>
      </c>
      <c r="E154" s="2697"/>
      <c r="F154" s="2698" t="s">
        <v>304</v>
      </c>
      <c r="G154" s="2698" t="s">
        <v>92</v>
      </c>
      <c r="H154" s="2698" t="s">
        <v>101</v>
      </c>
      <c r="I154" s="2698"/>
      <c r="J154" s="3496" t="s">
        <v>123</v>
      </c>
      <c r="K154" s="2702"/>
      <c r="L154" s="2699"/>
      <c r="M154" s="2697" t="s">
        <v>513</v>
      </c>
      <c r="N154" s="2698" t="s">
        <v>514</v>
      </c>
      <c r="O154" s="2698" t="s">
        <v>170</v>
      </c>
      <c r="P154" s="2698" t="s">
        <v>469</v>
      </c>
      <c r="Q154" s="2698"/>
      <c r="R154" s="2698"/>
      <c r="S154" s="2702"/>
      <c r="T154" s="2700"/>
      <c r="U154" s="2699"/>
      <c r="V154" s="2697"/>
      <c r="W154" s="2698"/>
      <c r="X154" s="2698"/>
      <c r="Y154" s="2698"/>
      <c r="Z154" s="2698"/>
      <c r="AA154" s="2698"/>
      <c r="AB154" s="2702"/>
      <c r="AC154" s="2700"/>
      <c r="AD154" s="79"/>
      <c r="AE154" s="371" t="s">
        <v>172</v>
      </c>
      <c r="AF154" s="498" t="s">
        <v>80</v>
      </c>
      <c r="AG154" s="385"/>
      <c r="AH154" s="386" t="s">
        <v>106</v>
      </c>
      <c r="AI154" s="385" t="s">
        <v>173</v>
      </c>
      <c r="AJ154" s="371" t="s">
        <v>108</v>
      </c>
    </row>
    <row r="155" spans="1:39" s="283" customFormat="1" ht="20.25">
      <c r="A155" s="449" t="s">
        <v>180</v>
      </c>
      <c r="B155" s="450"/>
      <c r="C155" s="450"/>
      <c r="D155" s="451"/>
      <c r="E155" s="452"/>
      <c r="F155" s="453"/>
      <c r="G155" s="453"/>
      <c r="H155" s="454"/>
      <c r="I155" s="454"/>
      <c r="J155" s="453"/>
      <c r="K155" s="485"/>
      <c r="L155" s="355"/>
      <c r="M155" s="343"/>
      <c r="N155" s="435"/>
      <c r="O155" s="298"/>
      <c r="P155" s="298"/>
      <c r="Q155" s="298"/>
      <c r="R155" s="435"/>
      <c r="S155" s="298"/>
      <c r="T155" s="367"/>
      <c r="U155" s="355"/>
      <c r="V155" s="325"/>
      <c r="W155" s="297"/>
      <c r="X155" s="297"/>
      <c r="Y155" s="298"/>
      <c r="Z155" s="298"/>
      <c r="AA155" s="298"/>
      <c r="AB155" s="297"/>
      <c r="AC155" s="375"/>
      <c r="AD155" s="355"/>
      <c r="AE155" s="376">
        <f t="shared" ref="AE155:AE160" si="53">SUM(E155:AC155)</f>
        <v>0</v>
      </c>
      <c r="AF155" s="499"/>
      <c r="AG155" s="516"/>
      <c r="AH155" s="391">
        <f t="shared" ref="AH155:AH160" si="54">AE155+AF155</f>
        <v>0</v>
      </c>
      <c r="AI155" s="412"/>
      <c r="AJ155" s="413">
        <f>AH155+AI155</f>
        <v>0</v>
      </c>
    </row>
    <row r="156" spans="1:39" s="283" customFormat="1" ht="20.25">
      <c r="A156" s="445"/>
      <c r="B156" s="455"/>
      <c r="C156" s="455"/>
      <c r="D156" s="456"/>
      <c r="E156" s="457"/>
      <c r="F156" s="458"/>
      <c r="G156" s="458"/>
      <c r="H156" s="459"/>
      <c r="I156" s="459"/>
      <c r="J156" s="458"/>
      <c r="K156" s="486"/>
      <c r="L156" s="355"/>
      <c r="M156" s="343"/>
      <c r="N156" s="298"/>
      <c r="O156" s="298"/>
      <c r="P156" s="298"/>
      <c r="Q156" s="298"/>
      <c r="R156" s="298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6">
        <f t="shared" si="53"/>
        <v>0</v>
      </c>
      <c r="AF156" s="500"/>
      <c r="AG156" s="516"/>
      <c r="AH156" s="391">
        <f t="shared" si="54"/>
        <v>0</v>
      </c>
      <c r="AI156" s="412"/>
      <c r="AJ156" s="413">
        <f t="shared" ref="AJ156:AJ160" si="55">AH156+AI156</f>
        <v>0</v>
      </c>
    </row>
    <row r="157" spans="1:39" s="283" customFormat="1" ht="20.25">
      <c r="A157" s="442"/>
      <c r="B157" s="455"/>
      <c r="C157" s="455"/>
      <c r="D157" s="456"/>
      <c r="E157" s="457"/>
      <c r="F157" s="458"/>
      <c r="G157" s="458"/>
      <c r="H157" s="459"/>
      <c r="I157" s="459"/>
      <c r="J157" s="458"/>
      <c r="K157" s="486"/>
      <c r="L157" s="483"/>
      <c r="M157" s="484"/>
      <c r="N157" s="435"/>
      <c r="O157" s="435"/>
      <c r="P157" s="435"/>
      <c r="Q157" s="435"/>
      <c r="R157" s="435"/>
      <c r="S157" s="435"/>
      <c r="T157" s="492"/>
      <c r="U157" s="483"/>
      <c r="V157" s="433"/>
      <c r="W157" s="434"/>
      <c r="X157" s="434"/>
      <c r="Y157" s="435"/>
      <c r="Z157" s="435"/>
      <c r="AA157" s="435"/>
      <c r="AB157" s="434"/>
      <c r="AC157" s="495"/>
      <c r="AD157" s="483"/>
      <c r="AE157" s="496">
        <f t="shared" si="53"/>
        <v>0</v>
      </c>
      <c r="AF157" s="500"/>
      <c r="AG157" s="517"/>
      <c r="AH157" s="511">
        <f t="shared" si="54"/>
        <v>0</v>
      </c>
      <c r="AI157" s="512"/>
      <c r="AJ157" s="513">
        <f t="shared" si="55"/>
        <v>0</v>
      </c>
    </row>
    <row r="158" spans="1:39" s="283" customFormat="1" ht="20.25">
      <c r="A158" s="445"/>
      <c r="B158" s="455"/>
      <c r="C158" s="455"/>
      <c r="D158" s="456"/>
      <c r="E158" s="457"/>
      <c r="F158" s="458"/>
      <c r="G158" s="458"/>
      <c r="H158" s="459"/>
      <c r="I158" s="459"/>
      <c r="J158" s="458"/>
      <c r="K158" s="486"/>
      <c r="L158" s="355"/>
      <c r="M158" s="343"/>
      <c r="N158" s="298"/>
      <c r="O158" s="298"/>
      <c r="P158" s="298"/>
      <c r="Q158" s="298"/>
      <c r="R158" s="298"/>
      <c r="S158" s="298"/>
      <c r="T158" s="367"/>
      <c r="U158" s="355"/>
      <c r="V158" s="325"/>
      <c r="W158" s="297"/>
      <c r="X158" s="297"/>
      <c r="Y158" s="298"/>
      <c r="Z158" s="298"/>
      <c r="AA158" s="298"/>
      <c r="AB158" s="297"/>
      <c r="AC158" s="375"/>
      <c r="AD158" s="355"/>
      <c r="AE158" s="376">
        <f t="shared" si="53"/>
        <v>0</v>
      </c>
      <c r="AF158" s="500"/>
      <c r="AG158" s="516"/>
      <c r="AH158" s="391">
        <f t="shared" si="54"/>
        <v>0</v>
      </c>
      <c r="AI158" s="412"/>
      <c r="AJ158" s="413">
        <f t="shared" si="55"/>
        <v>0</v>
      </c>
    </row>
    <row r="159" spans="1:39" s="283" customFormat="1" ht="20.25">
      <c r="A159" s="445"/>
      <c r="B159" s="455"/>
      <c r="C159" s="455"/>
      <c r="D159" s="456"/>
      <c r="E159" s="457"/>
      <c r="F159" s="458"/>
      <c r="G159" s="458"/>
      <c r="H159" s="459"/>
      <c r="I159" s="459"/>
      <c r="J159" s="458"/>
      <c r="K159" s="486"/>
      <c r="L159" s="355"/>
      <c r="M159" s="343"/>
      <c r="N159" s="298"/>
      <c r="O159" s="298"/>
      <c r="P159" s="298"/>
      <c r="Q159" s="298"/>
      <c r="R159" s="298"/>
      <c r="S159" s="298"/>
      <c r="T159" s="367"/>
      <c r="U159" s="355"/>
      <c r="V159" s="325"/>
      <c r="W159" s="297"/>
      <c r="X159" s="297"/>
      <c r="Y159" s="298"/>
      <c r="Z159" s="298"/>
      <c r="AA159" s="298"/>
      <c r="AB159" s="297"/>
      <c r="AC159" s="375"/>
      <c r="AD159" s="355"/>
      <c r="AE159" s="376">
        <f t="shared" si="53"/>
        <v>0</v>
      </c>
      <c r="AF159" s="500"/>
      <c r="AG159" s="516"/>
      <c r="AH159" s="391">
        <f t="shared" si="54"/>
        <v>0</v>
      </c>
      <c r="AI159" s="412"/>
      <c r="AJ159" s="413">
        <f t="shared" si="55"/>
        <v>0</v>
      </c>
    </row>
    <row r="160" spans="1:39" s="283" customFormat="1" ht="21" thickBot="1">
      <c r="A160" s="460"/>
      <c r="B160" s="461"/>
      <c r="C160" s="461"/>
      <c r="D160" s="462"/>
      <c r="E160" s="463"/>
      <c r="F160" s="464"/>
      <c r="G160" s="464"/>
      <c r="H160" s="465"/>
      <c r="I160" s="465"/>
      <c r="J160" s="464"/>
      <c r="K160" s="487"/>
      <c r="L160" s="355"/>
      <c r="M160" s="343"/>
      <c r="N160" s="298"/>
      <c r="O160" s="298"/>
      <c r="P160" s="298"/>
      <c r="Q160" s="298"/>
      <c r="R160" s="298"/>
      <c r="S160" s="298"/>
      <c r="T160" s="367"/>
      <c r="U160" s="355"/>
      <c r="V160" s="325"/>
      <c r="W160" s="297"/>
      <c r="X160" s="297"/>
      <c r="Y160" s="298"/>
      <c r="Z160" s="298"/>
      <c r="AA160" s="298"/>
      <c r="AB160" s="297"/>
      <c r="AC160" s="375"/>
      <c r="AD160" s="355"/>
      <c r="AE160" s="377">
        <f t="shared" si="53"/>
        <v>0</v>
      </c>
      <c r="AF160" s="501"/>
      <c r="AG160" s="516"/>
      <c r="AH160" s="507">
        <f t="shared" si="54"/>
        <v>0</v>
      </c>
      <c r="AI160" s="412"/>
      <c r="AJ160" s="508">
        <f t="shared" si="55"/>
        <v>0</v>
      </c>
    </row>
    <row r="161" spans="1:39" s="283" customFormat="1" ht="21" thickBot="1">
      <c r="A161" s="466"/>
      <c r="B161" s="467"/>
      <c r="C161" s="467"/>
      <c r="D161" s="468"/>
      <c r="E161" s="469">
        <f t="shared" ref="E161:K161" si="56">SUM(E157:E160)</f>
        <v>0</v>
      </c>
      <c r="F161" s="470">
        <f t="shared" si="56"/>
        <v>0</v>
      </c>
      <c r="G161" s="470">
        <f t="shared" si="56"/>
        <v>0</v>
      </c>
      <c r="H161" s="470">
        <f t="shared" si="56"/>
        <v>0</v>
      </c>
      <c r="I161" s="470">
        <f t="shared" si="56"/>
        <v>0</v>
      </c>
      <c r="J161" s="470">
        <f t="shared" si="56"/>
        <v>0</v>
      </c>
      <c r="K161" s="488">
        <f t="shared" si="56"/>
        <v>0</v>
      </c>
      <c r="L161" s="482"/>
      <c r="M161" s="439">
        <f t="shared" ref="M161:T161" si="57">SUM(M157:M160)</f>
        <v>0</v>
      </c>
      <c r="N161" s="440">
        <f t="shared" si="57"/>
        <v>0</v>
      </c>
      <c r="O161" s="440">
        <f t="shared" si="57"/>
        <v>0</v>
      </c>
      <c r="P161" s="440">
        <f t="shared" si="57"/>
        <v>0</v>
      </c>
      <c r="Q161" s="440">
        <f t="shared" si="57"/>
        <v>0</v>
      </c>
      <c r="R161" s="440">
        <f t="shared" si="57"/>
        <v>0</v>
      </c>
      <c r="S161" s="440">
        <f t="shared" si="57"/>
        <v>0</v>
      </c>
      <c r="T161" s="481">
        <f t="shared" si="57"/>
        <v>0</v>
      </c>
      <c r="U161" s="482"/>
      <c r="V161" s="439">
        <f t="shared" ref="V161:AC161" si="58">SUM(V157:V160)</f>
        <v>0</v>
      </c>
      <c r="W161" s="440">
        <f t="shared" si="58"/>
        <v>0</v>
      </c>
      <c r="X161" s="440">
        <f t="shared" si="58"/>
        <v>0</v>
      </c>
      <c r="Y161" s="440">
        <f t="shared" si="58"/>
        <v>0</v>
      </c>
      <c r="Z161" s="440">
        <f t="shared" si="58"/>
        <v>0</v>
      </c>
      <c r="AA161" s="440">
        <f t="shared" si="58"/>
        <v>0</v>
      </c>
      <c r="AB161" s="440">
        <f t="shared" si="58"/>
        <v>0</v>
      </c>
      <c r="AC161" s="481">
        <f t="shared" si="58"/>
        <v>0</v>
      </c>
      <c r="AD161" s="482"/>
      <c r="AE161" s="494">
        <f>SUM(AE155:AE160)</f>
        <v>0</v>
      </c>
      <c r="AF161" s="502">
        <f>SUM(AF155:AF160)</f>
        <v>0</v>
      </c>
      <c r="AG161" s="509"/>
      <c r="AH161" s="514">
        <f>SUM(AH155:AH160)</f>
        <v>0</v>
      </c>
      <c r="AI161" s="494">
        <f>SUM(AI155:AI160)</f>
        <v>0</v>
      </c>
      <c r="AJ161" s="515">
        <f>SUM(AJ155:AJ160)</f>
        <v>0</v>
      </c>
    </row>
    <row r="162" spans="1:39" s="284" customFormat="1" ht="8.25" customHeight="1" thickBot="1">
      <c r="A162" s="425"/>
      <c r="B162" s="426"/>
      <c r="C162" s="426"/>
      <c r="D162" s="427"/>
      <c r="E162" s="428"/>
      <c r="F162" s="428"/>
      <c r="G162" s="428"/>
      <c r="H162" s="428"/>
      <c r="I162" s="428"/>
      <c r="J162" s="428"/>
      <c r="K162" s="428"/>
      <c r="L162" s="478"/>
      <c r="M162" s="479"/>
      <c r="N162" s="479"/>
      <c r="O162" s="479"/>
      <c r="P162" s="479"/>
      <c r="Q162" s="479"/>
      <c r="R162" s="479"/>
      <c r="S162" s="479"/>
      <c r="T162" s="479"/>
      <c r="U162" s="478"/>
      <c r="V162" s="479"/>
      <c r="W162" s="479"/>
      <c r="X162" s="479"/>
      <c r="Y162" s="479"/>
      <c r="Z162" s="479"/>
      <c r="AA162" s="479"/>
      <c r="AB162" s="479"/>
      <c r="AC162" s="479"/>
      <c r="AD162" s="478"/>
      <c r="AE162" s="479"/>
      <c r="AF162" s="479"/>
      <c r="AG162" s="479"/>
      <c r="AH162" s="479"/>
      <c r="AI162" s="479"/>
      <c r="AJ162" s="506"/>
      <c r="AK162" s="403"/>
      <c r="AL162" s="403"/>
      <c r="AM162" s="403"/>
    </row>
    <row r="163" spans="1:39" s="282" customFormat="1" ht="18.75" thickBot="1">
      <c r="A163" s="3475" t="s">
        <v>143</v>
      </c>
      <c r="B163" s="287" t="s">
        <v>68</v>
      </c>
      <c r="C163" s="287" t="s">
        <v>69</v>
      </c>
      <c r="D163" s="288" t="s">
        <v>70</v>
      </c>
      <c r="E163" s="2697"/>
      <c r="F163" s="2698" t="s">
        <v>304</v>
      </c>
      <c r="G163" s="2698" t="s">
        <v>92</v>
      </c>
      <c r="H163" s="2698" t="s">
        <v>101</v>
      </c>
      <c r="I163" s="2698"/>
      <c r="J163" s="3496" t="s">
        <v>123</v>
      </c>
      <c r="K163" s="2702"/>
      <c r="L163" s="2699"/>
      <c r="M163" s="2697" t="s">
        <v>513</v>
      </c>
      <c r="N163" s="2698" t="s">
        <v>514</v>
      </c>
      <c r="O163" s="2698" t="s">
        <v>170</v>
      </c>
      <c r="P163" s="2698" t="s">
        <v>469</v>
      </c>
      <c r="Q163" s="2698"/>
      <c r="R163" s="2698"/>
      <c r="S163" s="2702"/>
      <c r="T163" s="2700"/>
      <c r="U163" s="2699"/>
      <c r="V163" s="2697"/>
      <c r="W163" s="2698"/>
      <c r="X163" s="2698"/>
      <c r="Y163" s="2698"/>
      <c r="Z163" s="2698"/>
      <c r="AA163" s="2698"/>
      <c r="AB163" s="2702"/>
      <c r="AC163" s="2700"/>
      <c r="AD163" s="79"/>
      <c r="AE163" s="371" t="s">
        <v>172</v>
      </c>
      <c r="AF163" s="372" t="s">
        <v>80</v>
      </c>
      <c r="AG163" s="385"/>
      <c r="AH163" s="386" t="s">
        <v>106</v>
      </c>
      <c r="AI163" s="385" t="s">
        <v>173</v>
      </c>
      <c r="AJ163" s="371" t="s">
        <v>108</v>
      </c>
    </row>
    <row r="164" spans="1:39" s="283" customFormat="1" ht="20.25">
      <c r="A164" s="471" t="s">
        <v>181</v>
      </c>
      <c r="B164" s="472"/>
      <c r="C164" s="472"/>
      <c r="D164" s="473"/>
      <c r="E164" s="474"/>
      <c r="F164" s="475"/>
      <c r="G164" s="475"/>
      <c r="H164" s="476"/>
      <c r="I164" s="476"/>
      <c r="J164" s="475"/>
      <c r="K164" s="489"/>
      <c r="L164" s="490"/>
      <c r="M164" s="491"/>
      <c r="N164" s="476"/>
      <c r="O164" s="476"/>
      <c r="P164" s="476"/>
      <c r="Q164" s="476"/>
      <c r="R164" s="476"/>
      <c r="S164" s="476"/>
      <c r="T164" s="493"/>
      <c r="U164" s="490"/>
      <c r="V164" s="474"/>
      <c r="W164" s="475"/>
      <c r="X164" s="475"/>
      <c r="Y164" s="476"/>
      <c r="Z164" s="476"/>
      <c r="AA164" s="476"/>
      <c r="AB164" s="475"/>
      <c r="AC164" s="503"/>
      <c r="AD164" s="490"/>
      <c r="AE164" s="504">
        <f t="shared" ref="AE164:AE168" si="59">SUM(E164:AC164)</f>
        <v>0</v>
      </c>
      <c r="AF164" s="505"/>
      <c r="AG164" s="518"/>
      <c r="AH164" s="519">
        <f t="shared" ref="AH164:AH168" si="60">AE164+AF164</f>
        <v>0</v>
      </c>
      <c r="AI164" s="520"/>
      <c r="AJ164" s="521">
        <f>AH164+AI164</f>
        <v>0</v>
      </c>
    </row>
    <row r="165" spans="1:39" s="283" customFormat="1" ht="20.25">
      <c r="A165" s="445" t="s">
        <v>182</v>
      </c>
      <c r="B165" s="323"/>
      <c r="C165" s="323"/>
      <c r="D165" s="324"/>
      <c r="E165" s="325"/>
      <c r="F165" s="297"/>
      <c r="G165" s="297"/>
      <c r="H165" s="298"/>
      <c r="I165" s="298"/>
      <c r="J165" s="297"/>
      <c r="K165" s="344"/>
      <c r="L165" s="355"/>
      <c r="M165" s="343"/>
      <c r="N165" s="298"/>
      <c r="O165" s="298"/>
      <c r="P165" s="298"/>
      <c r="Q165" s="298"/>
      <c r="R165" s="298"/>
      <c r="S165" s="298"/>
      <c r="T165" s="367"/>
      <c r="U165" s="355"/>
      <c r="V165" s="325"/>
      <c r="W165" s="297"/>
      <c r="X165" s="297"/>
      <c r="Y165" s="298"/>
      <c r="Z165" s="298"/>
      <c r="AA165" s="298"/>
      <c r="AB165" s="297"/>
      <c r="AC165" s="375"/>
      <c r="AD165" s="355"/>
      <c r="AE165" s="376">
        <f t="shared" si="59"/>
        <v>0</v>
      </c>
      <c r="AF165" s="377"/>
      <c r="AG165" s="390"/>
      <c r="AH165" s="391">
        <f t="shared" si="60"/>
        <v>0</v>
      </c>
      <c r="AI165" s="412"/>
      <c r="AJ165" s="413">
        <f t="shared" ref="AJ165:AJ168" si="61">AH165+AI165</f>
        <v>0</v>
      </c>
    </row>
    <row r="166" spans="1:39" s="283" customFormat="1" ht="20.25">
      <c r="A166" s="445"/>
      <c r="B166" s="323"/>
      <c r="C166" s="323"/>
      <c r="D166" s="324"/>
      <c r="E166" s="325"/>
      <c r="F166" s="297"/>
      <c r="G166" s="297"/>
      <c r="H166" s="298"/>
      <c r="I166" s="298"/>
      <c r="J166" s="297"/>
      <c r="K166" s="344"/>
      <c r="L166" s="355"/>
      <c r="M166" s="343"/>
      <c r="N166" s="298"/>
      <c r="O166" s="298"/>
      <c r="P166" s="298"/>
      <c r="Q166" s="298"/>
      <c r="R166" s="298"/>
      <c r="S166" s="298"/>
      <c r="T166" s="367"/>
      <c r="U166" s="355"/>
      <c r="V166" s="325"/>
      <c r="W166" s="297"/>
      <c r="X166" s="297"/>
      <c r="Y166" s="298"/>
      <c r="Z166" s="298"/>
      <c r="AA166" s="298"/>
      <c r="AB166" s="297"/>
      <c r="AC166" s="375"/>
      <c r="AD166" s="355"/>
      <c r="AE166" s="376">
        <f t="shared" si="59"/>
        <v>0</v>
      </c>
      <c r="AF166" s="377"/>
      <c r="AG166" s="390"/>
      <c r="AH166" s="391">
        <f t="shared" si="60"/>
        <v>0</v>
      </c>
      <c r="AI166" s="412"/>
      <c r="AJ166" s="413">
        <f t="shared" si="61"/>
        <v>0</v>
      </c>
    </row>
    <row r="167" spans="1:39" s="283" customFormat="1" ht="20.25">
      <c r="A167" s="445"/>
      <c r="B167" s="323"/>
      <c r="C167" s="323"/>
      <c r="D167" s="324"/>
      <c r="E167" s="325"/>
      <c r="F167" s="297"/>
      <c r="G167" s="297"/>
      <c r="H167" s="298"/>
      <c r="I167" s="298"/>
      <c r="J167" s="297"/>
      <c r="K167" s="344"/>
      <c r="L167" s="355"/>
      <c r="M167" s="343"/>
      <c r="N167" s="298"/>
      <c r="O167" s="298"/>
      <c r="P167" s="298"/>
      <c r="Q167" s="298"/>
      <c r="R167" s="298"/>
      <c r="S167" s="298"/>
      <c r="T167" s="367"/>
      <c r="U167" s="355"/>
      <c r="V167" s="325"/>
      <c r="W167" s="297"/>
      <c r="X167" s="297"/>
      <c r="Y167" s="298"/>
      <c r="Z167" s="298"/>
      <c r="AA167" s="298"/>
      <c r="AB167" s="297"/>
      <c r="AC167" s="375"/>
      <c r="AD167" s="355"/>
      <c r="AE167" s="376">
        <f t="shared" si="59"/>
        <v>0</v>
      </c>
      <c r="AF167" s="377"/>
      <c r="AG167" s="390"/>
      <c r="AH167" s="391">
        <f t="shared" si="60"/>
        <v>0</v>
      </c>
      <c r="AI167" s="412"/>
      <c r="AJ167" s="413">
        <f t="shared" si="61"/>
        <v>0</v>
      </c>
    </row>
    <row r="168" spans="1:39" s="283" customFormat="1" ht="21" thickBot="1">
      <c r="A168" s="322"/>
      <c r="B168" s="323"/>
      <c r="C168" s="323"/>
      <c r="D168" s="324"/>
      <c r="E168" s="325"/>
      <c r="F168" s="297"/>
      <c r="G168" s="297"/>
      <c r="H168" s="298"/>
      <c r="I168" s="298"/>
      <c r="J168" s="297"/>
      <c r="K168" s="344"/>
      <c r="L168" s="355"/>
      <c r="M168" s="343"/>
      <c r="N168" s="298"/>
      <c r="O168" s="298"/>
      <c r="P168" s="298"/>
      <c r="Q168" s="298"/>
      <c r="R168" s="298"/>
      <c r="S168" s="298"/>
      <c r="T168" s="367"/>
      <c r="U168" s="355"/>
      <c r="V168" s="325"/>
      <c r="W168" s="297"/>
      <c r="X168" s="297"/>
      <c r="Y168" s="298"/>
      <c r="Z168" s="298"/>
      <c r="AA168" s="298"/>
      <c r="AB168" s="297"/>
      <c r="AC168" s="375"/>
      <c r="AD168" s="355"/>
      <c r="AE168" s="377">
        <f t="shared" si="59"/>
        <v>0</v>
      </c>
      <c r="AF168" s="377"/>
      <c r="AG168" s="390"/>
      <c r="AH168" s="507">
        <f t="shared" si="60"/>
        <v>0</v>
      </c>
      <c r="AI168" s="412"/>
      <c r="AJ168" s="508">
        <f t="shared" si="61"/>
        <v>0</v>
      </c>
    </row>
    <row r="169" spans="1:39" s="283" customFormat="1" ht="21" thickBot="1">
      <c r="A169" s="436"/>
      <c r="B169" s="437"/>
      <c r="C169" s="437"/>
      <c r="D169" s="438"/>
      <c r="E169" s="439">
        <f t="shared" ref="E169:K169" si="62">SUM(E164:E168)</f>
        <v>0</v>
      </c>
      <c r="F169" s="440">
        <f t="shared" si="62"/>
        <v>0</v>
      </c>
      <c r="G169" s="440">
        <f t="shared" si="62"/>
        <v>0</v>
      </c>
      <c r="H169" s="440">
        <f t="shared" si="62"/>
        <v>0</v>
      </c>
      <c r="I169" s="440">
        <f t="shared" si="62"/>
        <v>0</v>
      </c>
      <c r="J169" s="440">
        <f t="shared" si="62"/>
        <v>0</v>
      </c>
      <c r="K169" s="481">
        <f t="shared" si="62"/>
        <v>0</v>
      </c>
      <c r="L169" s="482"/>
      <c r="M169" s="439">
        <f t="shared" ref="M169:T169" si="63">SUM(M164:M168)</f>
        <v>0</v>
      </c>
      <c r="N169" s="440">
        <f t="shared" si="63"/>
        <v>0</v>
      </c>
      <c r="O169" s="440">
        <f t="shared" si="63"/>
        <v>0</v>
      </c>
      <c r="P169" s="440">
        <f t="shared" si="63"/>
        <v>0</v>
      </c>
      <c r="Q169" s="440">
        <f t="shared" si="63"/>
        <v>0</v>
      </c>
      <c r="R169" s="440">
        <f t="shared" si="63"/>
        <v>0</v>
      </c>
      <c r="S169" s="440">
        <f t="shared" si="63"/>
        <v>0</v>
      </c>
      <c r="T169" s="481">
        <f t="shared" si="63"/>
        <v>0</v>
      </c>
      <c r="U169" s="482"/>
      <c r="V169" s="439">
        <f t="shared" ref="V169:AC169" si="64">SUM(V164:V168)</f>
        <v>0</v>
      </c>
      <c r="W169" s="440">
        <f t="shared" si="64"/>
        <v>0</v>
      </c>
      <c r="X169" s="440">
        <f t="shared" si="64"/>
        <v>0</v>
      </c>
      <c r="Y169" s="440">
        <f t="shared" si="64"/>
        <v>0</v>
      </c>
      <c r="Z169" s="440">
        <f t="shared" si="64"/>
        <v>0</v>
      </c>
      <c r="AA169" s="440">
        <f t="shared" si="64"/>
        <v>0</v>
      </c>
      <c r="AB169" s="440">
        <f t="shared" si="64"/>
        <v>0</v>
      </c>
      <c r="AC169" s="481">
        <f t="shared" si="64"/>
        <v>0</v>
      </c>
      <c r="AD169" s="482"/>
      <c r="AE169" s="494">
        <f>SUM(AE164:AE168)</f>
        <v>0</v>
      </c>
      <c r="AF169" s="494">
        <f>SUM(AF164:AF168)</f>
        <v>0</v>
      </c>
      <c r="AG169" s="509"/>
      <c r="AH169" s="514">
        <f>SUM(AH164:AH168)</f>
        <v>0</v>
      </c>
      <c r="AI169" s="494">
        <f>SUM(AI164:AI168)</f>
        <v>0</v>
      </c>
      <c r="AJ169" s="509">
        <f>SUM(AJ164:AJ168)</f>
        <v>0</v>
      </c>
    </row>
    <row r="170" spans="1:39" s="284" customFormat="1" ht="8.25" customHeight="1" thickBot="1">
      <c r="A170" s="522"/>
      <c r="B170" s="523"/>
      <c r="C170" s="523"/>
      <c r="D170" s="524"/>
      <c r="E170" s="525"/>
      <c r="F170" s="525"/>
      <c r="G170" s="525"/>
      <c r="H170" s="525"/>
      <c r="I170" s="525"/>
      <c r="J170" s="525"/>
      <c r="K170" s="525"/>
      <c r="L170" s="572"/>
      <c r="M170" s="573"/>
      <c r="N170" s="573"/>
      <c r="O170" s="573"/>
      <c r="P170" s="573"/>
      <c r="Q170" s="573"/>
      <c r="R170" s="573"/>
      <c r="S170" s="573"/>
      <c r="T170" s="573"/>
      <c r="U170" s="572"/>
      <c r="V170" s="573"/>
      <c r="W170" s="573"/>
      <c r="X170" s="573"/>
      <c r="Y170" s="573"/>
      <c r="Z170" s="573"/>
      <c r="AA170" s="573"/>
      <c r="AB170" s="573"/>
      <c r="AC170" s="573"/>
      <c r="AD170" s="572"/>
      <c r="AE170" s="573"/>
      <c r="AF170" s="573"/>
      <c r="AG170" s="599"/>
      <c r="AH170" s="573"/>
      <c r="AI170" s="573"/>
      <c r="AJ170" s="600"/>
      <c r="AK170" s="403"/>
      <c r="AL170" s="403"/>
      <c r="AM170" s="403"/>
    </row>
    <row r="171" spans="1:39" ht="21" thickBot="1">
      <c r="A171" s="526" t="s">
        <v>145</v>
      </c>
      <c r="B171" s="527"/>
      <c r="C171" s="527"/>
      <c r="D171" s="528"/>
      <c r="E171" s="529">
        <f>E4+E38+E53+E72+E93+E145+E152+E161+E169+E136+E114</f>
        <v>0</v>
      </c>
      <c r="F171" s="529">
        <f t="shared" ref="F171:K171" si="65">F4+F38+F53+F72+F93+F145+F152+F161+F169+F136+F114</f>
        <v>198</v>
      </c>
      <c r="G171" s="529">
        <f t="shared" si="65"/>
        <v>228</v>
      </c>
      <c r="H171" s="529">
        <f t="shared" si="65"/>
        <v>252</v>
      </c>
      <c r="I171" s="529">
        <f t="shared" si="65"/>
        <v>108</v>
      </c>
      <c r="J171" s="529">
        <f t="shared" si="65"/>
        <v>360</v>
      </c>
      <c r="K171" s="529">
        <f t="shared" si="65"/>
        <v>0</v>
      </c>
      <c r="L171" s="529"/>
      <c r="M171" s="529">
        <f>M4+M38+M53+M72+M93+M145+M152+M161+M169+M136+M114</f>
        <v>474</v>
      </c>
      <c r="N171" s="529">
        <f t="shared" ref="N171:T171" si="66">N4+N38+N53+N72+N93+N145+N152+N161+N169+N136+N114</f>
        <v>0</v>
      </c>
      <c r="O171" s="529">
        <f t="shared" si="66"/>
        <v>840</v>
      </c>
      <c r="P171" s="529">
        <f t="shared" si="66"/>
        <v>0</v>
      </c>
      <c r="Q171" s="529">
        <f t="shared" si="66"/>
        <v>318</v>
      </c>
      <c r="R171" s="529">
        <f t="shared" si="66"/>
        <v>0</v>
      </c>
      <c r="S171" s="529">
        <f t="shared" si="66"/>
        <v>0</v>
      </c>
      <c r="T171" s="529">
        <f t="shared" si="66"/>
        <v>0</v>
      </c>
      <c r="U171" s="529"/>
      <c r="V171" s="529">
        <f>V4+V38+V53+V72+V93+V145+V152+V161+V169+V136+V114</f>
        <v>0</v>
      </c>
      <c r="W171" s="529">
        <f t="shared" ref="W171:AC171" si="67">W4+W38+W53+W72+W93+W145+W152+W161+W169+W136+W114</f>
        <v>0</v>
      </c>
      <c r="X171" s="529">
        <f t="shared" si="67"/>
        <v>0</v>
      </c>
      <c r="Y171" s="529">
        <f t="shared" si="67"/>
        <v>0</v>
      </c>
      <c r="Z171" s="529">
        <f t="shared" si="67"/>
        <v>0</v>
      </c>
      <c r="AA171" s="529">
        <f t="shared" si="67"/>
        <v>0</v>
      </c>
      <c r="AB171" s="529">
        <f t="shared" si="67"/>
        <v>0</v>
      </c>
      <c r="AC171" s="529">
        <f t="shared" si="67"/>
        <v>0</v>
      </c>
      <c r="AD171" s="529"/>
      <c r="AE171" s="529">
        <f>AE4+AE38+AE53+AE72+AE93+AE145+AE152+AE161+AE169+AE136+AE114</f>
        <v>2778</v>
      </c>
      <c r="AF171" s="529">
        <f t="shared" ref="AF171:AI171" si="68">AF4+AF38+AF53+AF72+AF93+AF145+AF152+AF161+AF169+AF136+AF114</f>
        <v>12</v>
      </c>
      <c r="AG171" s="529">
        <f t="shared" si="68"/>
        <v>0</v>
      </c>
      <c r="AH171" s="529">
        <f t="shared" si="68"/>
        <v>2790</v>
      </c>
      <c r="AI171" s="529">
        <f t="shared" si="68"/>
        <v>0</v>
      </c>
      <c r="AJ171" s="529">
        <f>AJ4+AJ38+AJ53+AJ72+AJ93+AJ145+AJ152+AJ161+AJ169+AJ136+AJ114</f>
        <v>2778</v>
      </c>
    </row>
    <row r="172" spans="1:39" ht="21" thickBot="1">
      <c r="A172" s="530" t="s">
        <v>152</v>
      </c>
      <c r="B172" s="531"/>
      <c r="C172" s="531"/>
      <c r="D172" s="532"/>
      <c r="E172" s="533">
        <f t="shared" ref="E172:K172" si="69">E171/6</f>
        <v>0</v>
      </c>
      <c r="F172" s="533">
        <f t="shared" si="69"/>
        <v>33</v>
      </c>
      <c r="G172" s="533">
        <f t="shared" si="69"/>
        <v>38</v>
      </c>
      <c r="H172" s="533">
        <f t="shared" si="69"/>
        <v>42</v>
      </c>
      <c r="I172" s="533">
        <f t="shared" si="69"/>
        <v>18</v>
      </c>
      <c r="J172" s="533">
        <f t="shared" si="69"/>
        <v>60</v>
      </c>
      <c r="K172" s="533">
        <f t="shared" si="69"/>
        <v>0</v>
      </c>
      <c r="L172" s="533"/>
      <c r="M172" s="533">
        <f t="shared" ref="M172:T172" si="70">M171/6</f>
        <v>79</v>
      </c>
      <c r="N172" s="533">
        <f t="shared" si="70"/>
        <v>0</v>
      </c>
      <c r="O172" s="533">
        <f t="shared" si="70"/>
        <v>140</v>
      </c>
      <c r="P172" s="533">
        <f t="shared" si="70"/>
        <v>0</v>
      </c>
      <c r="Q172" s="533">
        <f t="shared" si="70"/>
        <v>53</v>
      </c>
      <c r="R172" s="533">
        <f t="shared" si="70"/>
        <v>0</v>
      </c>
      <c r="S172" s="533">
        <f t="shared" si="70"/>
        <v>0</v>
      </c>
      <c r="T172" s="533">
        <f t="shared" si="70"/>
        <v>0</v>
      </c>
      <c r="U172" s="533"/>
      <c r="V172" s="533">
        <f t="shared" ref="V172:AC172" si="71">V171/6</f>
        <v>0</v>
      </c>
      <c r="W172" s="533">
        <f t="shared" si="71"/>
        <v>0</v>
      </c>
      <c r="X172" s="533">
        <f t="shared" si="71"/>
        <v>0</v>
      </c>
      <c r="Y172" s="533">
        <f t="shared" si="71"/>
        <v>0</v>
      </c>
      <c r="Z172" s="533">
        <f t="shared" si="71"/>
        <v>0</v>
      </c>
      <c r="AA172" s="533">
        <f t="shared" si="71"/>
        <v>0</v>
      </c>
      <c r="AB172" s="533">
        <f t="shared" si="71"/>
        <v>0</v>
      </c>
      <c r="AC172" s="533">
        <f t="shared" si="71"/>
        <v>0</v>
      </c>
      <c r="AD172" s="533"/>
      <c r="AE172" s="533">
        <f t="shared" ref="AE172:AJ172" si="72">AE171/6</f>
        <v>463</v>
      </c>
      <c r="AF172" s="533">
        <f t="shared" si="72"/>
        <v>2</v>
      </c>
      <c r="AG172" s="533">
        <f t="shared" si="72"/>
        <v>0</v>
      </c>
      <c r="AH172" s="533">
        <f t="shared" si="72"/>
        <v>465</v>
      </c>
      <c r="AI172" s="533">
        <f t="shared" si="72"/>
        <v>0</v>
      </c>
      <c r="AJ172" s="533">
        <f t="shared" si="72"/>
        <v>463</v>
      </c>
    </row>
    <row r="173" spans="1:39" s="1" customFormat="1" ht="21" customHeight="1" thickBot="1">
      <c r="A173" s="3755" t="s">
        <v>147</v>
      </c>
      <c r="B173" s="3755"/>
      <c r="C173" s="3755"/>
      <c r="D173" s="3755"/>
      <c r="E173" s="3756"/>
      <c r="F173" s="3756"/>
      <c r="G173" s="3756"/>
      <c r="H173" s="3756"/>
      <c r="I173" s="3756"/>
      <c r="J173" s="3756"/>
      <c r="K173" s="3756"/>
      <c r="L173" s="3755"/>
      <c r="M173" s="3755"/>
      <c r="N173" s="3755"/>
      <c r="O173" s="3755"/>
      <c r="P173" s="3755"/>
      <c r="Q173" s="3755"/>
      <c r="R173" s="3755"/>
      <c r="S173" s="3755"/>
      <c r="T173" s="3755"/>
      <c r="U173" s="3755"/>
      <c r="V173" s="3755"/>
      <c r="W173" s="3755"/>
      <c r="X173" s="3755"/>
      <c r="Y173" s="3755"/>
      <c r="Z173" s="3755"/>
      <c r="AA173" s="3755"/>
      <c r="AB173" s="3755"/>
      <c r="AC173" s="3755"/>
      <c r="AD173" s="3755"/>
      <c r="AE173" s="3755"/>
      <c r="AF173" s="3755"/>
      <c r="AG173" s="3755"/>
      <c r="AH173" s="3755"/>
      <c r="AI173" s="3755"/>
      <c r="AJ173" s="3755"/>
    </row>
    <row r="174" spans="1:39" ht="24" thickBot="1">
      <c r="A174" s="3888" t="s">
        <v>4</v>
      </c>
      <c r="B174" s="3889"/>
      <c r="C174" s="3889"/>
      <c r="D174" s="3890"/>
      <c r="E174" s="3891" t="s">
        <v>544</v>
      </c>
      <c r="F174" s="3892"/>
      <c r="G174" s="3892"/>
      <c r="H174" s="3892"/>
      <c r="I174" s="3892"/>
      <c r="J174" s="3892"/>
      <c r="K174" s="3904"/>
      <c r="L174" s="336"/>
      <c r="M174" s="3893"/>
      <c r="N174" s="3894"/>
      <c r="O174" s="3894"/>
      <c r="P174" s="3894"/>
      <c r="Q174" s="3894"/>
      <c r="R174" s="3894"/>
      <c r="S174" s="3894"/>
      <c r="T174" s="3895"/>
      <c r="U174" s="364"/>
      <c r="V174" s="3893"/>
      <c r="W174" s="3894"/>
      <c r="X174" s="3894"/>
      <c r="Y174" s="3894"/>
      <c r="Z174" s="3894"/>
      <c r="AA174" s="3894"/>
      <c r="AB174" s="3894"/>
      <c r="AC174" s="3895"/>
      <c r="AD174" s="364"/>
      <c r="AE174" s="3893"/>
      <c r="AF174" s="3894"/>
      <c r="AG174" s="3894"/>
      <c r="AH174" s="3894"/>
      <c r="AI174" s="3894"/>
      <c r="AJ174" s="3895"/>
    </row>
    <row r="175" spans="1:39" s="276" customFormat="1" ht="30.75" thickBot="1">
      <c r="A175" s="535" t="s">
        <v>148</v>
      </c>
      <c r="B175" s="287" t="s">
        <v>68</v>
      </c>
      <c r="C175" s="536" t="s">
        <v>69</v>
      </c>
      <c r="D175" s="536" t="s">
        <v>70</v>
      </c>
      <c r="E175" s="2697"/>
      <c r="F175" s="2698" t="s">
        <v>304</v>
      </c>
      <c r="G175" s="2698" t="s">
        <v>92</v>
      </c>
      <c r="H175" s="2698" t="s">
        <v>101</v>
      </c>
      <c r="I175" s="2698" t="s">
        <v>96</v>
      </c>
      <c r="J175" s="3496" t="s">
        <v>123</v>
      </c>
      <c r="K175" s="2702" t="s">
        <v>95</v>
      </c>
      <c r="L175" s="2699"/>
      <c r="M175" s="2697" t="s">
        <v>513</v>
      </c>
      <c r="N175" s="2698" t="s">
        <v>514</v>
      </c>
      <c r="O175" s="2698" t="s">
        <v>170</v>
      </c>
      <c r="P175" s="2698" t="s">
        <v>469</v>
      </c>
      <c r="Q175" s="2698" t="s">
        <v>213</v>
      </c>
      <c r="R175" s="2698" t="s">
        <v>549</v>
      </c>
      <c r="S175" s="2702"/>
      <c r="T175" s="2700"/>
      <c r="U175" s="2699"/>
      <c r="V175" s="2697"/>
      <c r="W175" s="2698"/>
      <c r="X175" s="2698"/>
      <c r="Y175" s="2698"/>
      <c r="Z175" s="2698"/>
      <c r="AA175" s="2698"/>
      <c r="AB175" s="2702"/>
      <c r="AC175" s="2700"/>
      <c r="AD175" s="589"/>
      <c r="AE175" s="590" t="s">
        <v>172</v>
      </c>
      <c r="AF175" s="591" t="s">
        <v>80</v>
      </c>
      <c r="AG175" s="602" t="s">
        <v>150</v>
      </c>
      <c r="AH175" s="603" t="s">
        <v>106</v>
      </c>
      <c r="AI175" s="602" t="s">
        <v>173</v>
      </c>
      <c r="AJ175" s="604" t="s">
        <v>108</v>
      </c>
    </row>
    <row r="176" spans="1:39" s="234" customFormat="1" ht="20.25">
      <c r="A176" s="537" t="s">
        <v>635</v>
      </c>
      <c r="B176" s="545"/>
      <c r="C176" s="539"/>
      <c r="D176" s="544">
        <v>46125</v>
      </c>
      <c r="E176" s="332"/>
      <c r="F176" s="333"/>
      <c r="G176" s="333">
        <f>1*6</f>
        <v>6</v>
      </c>
      <c r="H176" s="334">
        <f>1*6</f>
        <v>6</v>
      </c>
      <c r="I176" s="334"/>
      <c r="J176" s="333"/>
      <c r="K176" s="798"/>
      <c r="L176" s="361"/>
      <c r="M176" s="362">
        <f>1*6</f>
        <v>6</v>
      </c>
      <c r="N176" s="334"/>
      <c r="O176" s="334">
        <f>1*6</f>
        <v>6</v>
      </c>
      <c r="P176" s="334"/>
      <c r="Q176" s="334"/>
      <c r="R176" s="334"/>
      <c r="S176" s="334"/>
      <c r="T176" s="818"/>
      <c r="U176" s="361"/>
      <c r="V176" s="362"/>
      <c r="W176" s="334"/>
      <c r="X176" s="334"/>
      <c r="Y176" s="334"/>
      <c r="Z176" s="334"/>
      <c r="AA176" s="334"/>
      <c r="AB176" s="334"/>
      <c r="AC176" s="383"/>
      <c r="AD176" s="361"/>
      <c r="AE176" s="419">
        <f t="shared" ref="AE176" si="73">SUM(E176:AC176)</f>
        <v>24</v>
      </c>
      <c r="AF176" s="420"/>
      <c r="AG176" s="419"/>
      <c r="AH176" s="420">
        <f>AE176+AF176+AG176</f>
        <v>24</v>
      </c>
      <c r="AI176" s="421"/>
      <c r="AJ176" s="422">
        <f>AH176+AI176</f>
        <v>24</v>
      </c>
    </row>
    <row r="177" spans="1:36" s="276" customFormat="1" ht="20.25">
      <c r="A177" s="551" t="s">
        <v>623</v>
      </c>
      <c r="B177" s="545"/>
      <c r="C177" s="539"/>
      <c r="D177" s="544">
        <v>46126</v>
      </c>
      <c r="E177" s="541"/>
      <c r="F177" s="542"/>
      <c r="G177" s="542"/>
      <c r="H177" s="543"/>
      <c r="I177" s="543"/>
      <c r="J177" s="542"/>
      <c r="K177" s="579"/>
      <c r="L177" s="580"/>
      <c r="M177" s="581"/>
      <c r="N177" s="543"/>
      <c r="O177" s="543">
        <f>1*6</f>
        <v>6</v>
      </c>
      <c r="P177" s="543"/>
      <c r="Q177" s="543"/>
      <c r="R177" s="542"/>
      <c r="S177" s="543"/>
      <c r="T177" s="587"/>
      <c r="U177" s="580"/>
      <c r="V177" s="581"/>
      <c r="W177" s="543"/>
      <c r="X177" s="543"/>
      <c r="Y177" s="543"/>
      <c r="Z177" s="543"/>
      <c r="AA177" s="543"/>
      <c r="AB177" s="543"/>
      <c r="AC177" s="592"/>
      <c r="AD177" s="580"/>
      <c r="AE177" s="593">
        <f t="shared" ref="AE177:AE180" si="74">SUM(E177:AC177)</f>
        <v>6</v>
      </c>
      <c r="AF177" s="594"/>
      <c r="AG177" s="593"/>
      <c r="AH177" s="594">
        <f t="shared" ref="AH177:AH244" si="75">AE177+AF177+AG177</f>
        <v>6</v>
      </c>
      <c r="AI177" s="605"/>
      <c r="AJ177" s="606">
        <f t="shared" ref="AJ177:AJ244" si="76">AH177+AI177</f>
        <v>6</v>
      </c>
    </row>
    <row r="178" spans="1:36" s="234" customFormat="1" ht="20.25">
      <c r="A178" s="547" t="s">
        <v>653</v>
      </c>
      <c r="B178" s="545"/>
      <c r="C178" s="539"/>
      <c r="D178" s="544">
        <v>46130</v>
      </c>
      <c r="E178" s="319"/>
      <c r="F178" s="320">
        <f>6*6</f>
        <v>36</v>
      </c>
      <c r="G178" s="320">
        <f>4*6</f>
        <v>24</v>
      </c>
      <c r="H178" s="321">
        <f>6*6</f>
        <v>36</v>
      </c>
      <c r="I178" s="321"/>
      <c r="J178" s="320"/>
      <c r="K178" s="351"/>
      <c r="L178" s="352"/>
      <c r="M178" s="353">
        <f>4*6</f>
        <v>24</v>
      </c>
      <c r="N178" s="321"/>
      <c r="O178" s="321"/>
      <c r="P178" s="582"/>
      <c r="Q178" s="321"/>
      <c r="R178" s="321"/>
      <c r="S178" s="321"/>
      <c r="T178" s="354"/>
      <c r="U178" s="352"/>
      <c r="V178" s="353"/>
      <c r="W178" s="321"/>
      <c r="X178" s="321"/>
      <c r="Y178" s="321"/>
      <c r="Z178" s="321"/>
      <c r="AA178" s="321"/>
      <c r="AB178" s="321"/>
      <c r="AC178" s="380"/>
      <c r="AD178" s="352"/>
      <c r="AE178" s="408">
        <f t="shared" si="74"/>
        <v>120</v>
      </c>
      <c r="AF178" s="409"/>
      <c r="AG178" s="408"/>
      <c r="AH178" s="409">
        <f t="shared" si="75"/>
        <v>120</v>
      </c>
      <c r="AI178" s="410"/>
      <c r="AJ178" s="411">
        <f t="shared" si="76"/>
        <v>120</v>
      </c>
    </row>
    <row r="179" spans="1:36" s="276" customFormat="1" ht="20.25">
      <c r="A179" s="547" t="s">
        <v>658</v>
      </c>
      <c r="B179" s="545"/>
      <c r="C179" s="539"/>
      <c r="D179" s="544">
        <v>46132</v>
      </c>
      <c r="E179" s="541"/>
      <c r="F179" s="542">
        <f>4*6</f>
        <v>24</v>
      </c>
      <c r="G179" s="542">
        <f>3*6</f>
        <v>18</v>
      </c>
      <c r="H179" s="543">
        <f>3*6</f>
        <v>18</v>
      </c>
      <c r="I179" s="543"/>
      <c r="J179" s="542"/>
      <c r="K179" s="579"/>
      <c r="L179" s="580"/>
      <c r="M179" s="581"/>
      <c r="N179" s="543"/>
      <c r="O179" s="543"/>
      <c r="P179" s="558"/>
      <c r="Q179" s="543"/>
      <c r="R179" s="543"/>
      <c r="S179" s="543"/>
      <c r="T179" s="587"/>
      <c r="U179" s="580"/>
      <c r="V179" s="581"/>
      <c r="W179" s="543"/>
      <c r="X179" s="543"/>
      <c r="Y179" s="543"/>
      <c r="Z179" s="543"/>
      <c r="AA179" s="543"/>
      <c r="AB179" s="543"/>
      <c r="AC179" s="592"/>
      <c r="AD179" s="580"/>
      <c r="AE179" s="593">
        <f t="shared" ref="AE179" si="77">SUM(E179:AC179)</f>
        <v>60</v>
      </c>
      <c r="AF179" s="594"/>
      <c r="AG179" s="593"/>
      <c r="AH179" s="594">
        <f t="shared" si="75"/>
        <v>60</v>
      </c>
      <c r="AI179" s="605"/>
      <c r="AJ179" s="606">
        <f t="shared" si="76"/>
        <v>60</v>
      </c>
    </row>
    <row r="180" spans="1:36" s="234" customFormat="1" ht="20.25">
      <c r="A180" s="547" t="s">
        <v>677</v>
      </c>
      <c r="B180" s="548"/>
      <c r="C180" s="549"/>
      <c r="D180" s="544">
        <v>46138</v>
      </c>
      <c r="E180" s="319"/>
      <c r="F180" s="320"/>
      <c r="G180" s="320"/>
      <c r="H180" s="321"/>
      <c r="I180" s="321"/>
      <c r="J180" s="320"/>
      <c r="K180" s="351"/>
      <c r="L180" s="352"/>
      <c r="M180" s="353">
        <f>4*6</f>
        <v>24</v>
      </c>
      <c r="N180" s="321"/>
      <c r="O180" s="321"/>
      <c r="P180" s="582"/>
      <c r="Q180" s="321"/>
      <c r="R180" s="321"/>
      <c r="S180" s="321"/>
      <c r="T180" s="363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74"/>
        <v>24</v>
      </c>
      <c r="AF180" s="409"/>
      <c r="AG180" s="408"/>
      <c r="AH180" s="409">
        <f t="shared" si="75"/>
        <v>24</v>
      </c>
      <c r="AI180" s="410"/>
      <c r="AJ180" s="411">
        <f t="shared" si="76"/>
        <v>24</v>
      </c>
    </row>
    <row r="181" spans="1:36" s="276" customFormat="1" ht="20.25">
      <c r="A181" s="547" t="s">
        <v>683</v>
      </c>
      <c r="B181" s="552"/>
      <c r="C181" s="553"/>
      <c r="D181" s="555">
        <v>46140</v>
      </c>
      <c r="E181" s="556"/>
      <c r="F181" s="557">
        <f>2*6</f>
        <v>12</v>
      </c>
      <c r="G181" s="557">
        <f>2*6</f>
        <v>12</v>
      </c>
      <c r="H181" s="558">
        <f>2*6</f>
        <v>12</v>
      </c>
      <c r="I181" s="558"/>
      <c r="J181" s="557"/>
      <c r="K181" s="583"/>
      <c r="L181" s="584"/>
      <c r="M181" s="585"/>
      <c r="N181" s="558"/>
      <c r="O181" s="558"/>
      <c r="P181" s="558"/>
      <c r="Q181" s="558"/>
      <c r="R181" s="558"/>
      <c r="S181" s="558"/>
      <c r="T181" s="819"/>
      <c r="U181" s="584"/>
      <c r="V181" s="585"/>
      <c r="W181" s="558"/>
      <c r="X181" s="558"/>
      <c r="Y181" s="558"/>
      <c r="Z181" s="558"/>
      <c r="AA181" s="558"/>
      <c r="AB181" s="558"/>
      <c r="AC181" s="595"/>
      <c r="AD181" s="584"/>
      <c r="AE181" s="596">
        <f t="shared" ref="AE181:AE247" si="78">SUM(E181:AC181)</f>
        <v>36</v>
      </c>
      <c r="AF181" s="597"/>
      <c r="AG181" s="596"/>
      <c r="AH181" s="597">
        <f t="shared" si="75"/>
        <v>36</v>
      </c>
      <c r="AI181" s="607"/>
      <c r="AJ181" s="606">
        <f t="shared" si="76"/>
        <v>36</v>
      </c>
    </row>
    <row r="182" spans="1:36" s="234" customFormat="1" ht="20.25">
      <c r="A182" s="547"/>
      <c r="B182" s="545"/>
      <c r="C182" s="539"/>
      <c r="D182" s="544"/>
      <c r="E182" s="319"/>
      <c r="F182" s="320"/>
      <c r="G182" s="320"/>
      <c r="H182" s="321"/>
      <c r="I182" s="321"/>
      <c r="J182" s="320"/>
      <c r="K182" s="351"/>
      <c r="L182" s="352"/>
      <c r="M182" s="353"/>
      <c r="N182" s="321"/>
      <c r="O182" s="321"/>
      <c r="P182" s="582"/>
      <c r="Q182" s="321"/>
      <c r="R182" s="321"/>
      <c r="S182" s="321"/>
      <c r="T182" s="354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78"/>
        <v>0</v>
      </c>
      <c r="AF182" s="409"/>
      <c r="AG182" s="408"/>
      <c r="AH182" s="409">
        <f t="shared" si="75"/>
        <v>0</v>
      </c>
      <c r="AI182" s="410"/>
      <c r="AJ182" s="411">
        <f t="shared" si="76"/>
        <v>0</v>
      </c>
    </row>
    <row r="183" spans="1:36" s="276" customFormat="1" ht="20.25">
      <c r="A183" s="551"/>
      <c r="B183" s="796"/>
      <c r="C183" s="797"/>
      <c r="D183" s="544"/>
      <c r="E183" s="319"/>
      <c r="F183" s="320"/>
      <c r="G183" s="320"/>
      <c r="H183" s="321"/>
      <c r="I183" s="321"/>
      <c r="J183" s="320"/>
      <c r="K183" s="351"/>
      <c r="L183" s="352"/>
      <c r="M183" s="353"/>
      <c r="N183" s="321"/>
      <c r="O183" s="321"/>
      <c r="P183" s="582"/>
      <c r="Q183" s="321"/>
      <c r="R183" s="321"/>
      <c r="S183" s="321"/>
      <c r="T183" s="354"/>
      <c r="U183" s="352"/>
      <c r="V183" s="353"/>
      <c r="W183" s="321"/>
      <c r="X183" s="321"/>
      <c r="Y183" s="321"/>
      <c r="Z183" s="321"/>
      <c r="AA183" s="321"/>
      <c r="AB183" s="321"/>
      <c r="AC183" s="380"/>
      <c r="AD183" s="352"/>
      <c r="AE183" s="408">
        <f t="shared" ref="AE183" si="79">SUM(E183:AC183)</f>
        <v>0</v>
      </c>
      <c r="AF183" s="409"/>
      <c r="AG183" s="408"/>
      <c r="AH183" s="409">
        <f t="shared" ref="AH183" si="80">AE183+AF183+AG183</f>
        <v>0</v>
      </c>
      <c r="AI183" s="410"/>
      <c r="AJ183" s="411">
        <f t="shared" ref="AJ183" si="81">AH183+AI183</f>
        <v>0</v>
      </c>
    </row>
    <row r="184" spans="1:36" s="234" customFormat="1" ht="20.25">
      <c r="A184" s="547"/>
      <c r="B184" s="550"/>
      <c r="C184" s="539"/>
      <c r="D184" s="544"/>
      <c r="E184" s="541"/>
      <c r="F184" s="542"/>
      <c r="G184" s="542"/>
      <c r="H184" s="543"/>
      <c r="I184" s="543"/>
      <c r="J184" s="542"/>
      <c r="K184" s="579"/>
      <c r="L184" s="580"/>
      <c r="M184" s="581"/>
      <c r="N184" s="543"/>
      <c r="O184" s="543"/>
      <c r="P184" s="558"/>
      <c r="Q184" s="543"/>
      <c r="R184" s="543"/>
      <c r="S184" s="543"/>
      <c r="T184" s="587"/>
      <c r="U184" s="580"/>
      <c r="V184" s="581"/>
      <c r="W184" s="543"/>
      <c r="X184" s="543"/>
      <c r="Y184" s="543"/>
      <c r="Z184" s="543"/>
      <c r="AA184" s="543"/>
      <c r="AB184" s="543"/>
      <c r="AC184" s="592"/>
      <c r="AD184" s="580"/>
      <c r="AE184" s="593">
        <f t="shared" si="78"/>
        <v>0</v>
      </c>
      <c r="AF184" s="594"/>
      <c r="AG184" s="593"/>
      <c r="AH184" s="594">
        <f t="shared" si="75"/>
        <v>0</v>
      </c>
      <c r="AI184" s="605"/>
      <c r="AJ184" s="606">
        <f t="shared" si="76"/>
        <v>0</v>
      </c>
    </row>
    <row r="185" spans="1:36" s="276" customFormat="1" ht="20.25">
      <c r="A185" s="537"/>
      <c r="B185" s="796"/>
      <c r="C185" s="797"/>
      <c r="D185" s="544"/>
      <c r="E185" s="319"/>
      <c r="F185" s="320"/>
      <c r="G185" s="320"/>
      <c r="H185" s="321"/>
      <c r="I185" s="321"/>
      <c r="J185" s="320"/>
      <c r="K185" s="351"/>
      <c r="L185" s="352"/>
      <c r="M185" s="353"/>
      <c r="N185" s="321"/>
      <c r="O185" s="321"/>
      <c r="P185" s="582"/>
      <c r="Q185" s="321"/>
      <c r="R185" s="321"/>
      <c r="S185" s="321"/>
      <c r="T185" s="354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si="78"/>
        <v>0</v>
      </c>
      <c r="AF185" s="409"/>
      <c r="AG185" s="408"/>
      <c r="AH185" s="409">
        <f t="shared" si="75"/>
        <v>0</v>
      </c>
      <c r="AI185" s="410"/>
      <c r="AJ185" s="411">
        <f t="shared" si="76"/>
        <v>0</v>
      </c>
    </row>
    <row r="186" spans="1:36" s="234" customFormat="1" ht="20.25">
      <c r="A186" s="537"/>
      <c r="B186" s="796"/>
      <c r="C186" s="797"/>
      <c r="D186" s="544"/>
      <c r="E186" s="319"/>
      <c r="F186" s="320"/>
      <c r="G186" s="320"/>
      <c r="H186" s="321"/>
      <c r="I186" s="321"/>
      <c r="J186" s="320"/>
      <c r="K186" s="351"/>
      <c r="L186" s="352"/>
      <c r="M186" s="353"/>
      <c r="N186" s="321"/>
      <c r="O186" s="321"/>
      <c r="P186" s="582"/>
      <c r="Q186" s="321"/>
      <c r="R186" s="321"/>
      <c r="S186" s="321"/>
      <c r="T186" s="354"/>
      <c r="U186" s="352"/>
      <c r="V186" s="353"/>
      <c r="W186" s="321"/>
      <c r="X186" s="321"/>
      <c r="Y186" s="321"/>
      <c r="Z186" s="321"/>
      <c r="AA186" s="321"/>
      <c r="AB186" s="321"/>
      <c r="AC186" s="380"/>
      <c r="AD186" s="352"/>
      <c r="AE186" s="408">
        <f t="shared" si="78"/>
        <v>0</v>
      </c>
      <c r="AF186" s="409"/>
      <c r="AG186" s="408"/>
      <c r="AH186" s="409">
        <f t="shared" si="75"/>
        <v>0</v>
      </c>
      <c r="AI186" s="410"/>
      <c r="AJ186" s="411">
        <f t="shared" si="76"/>
        <v>0</v>
      </c>
    </row>
    <row r="187" spans="1:36" s="276" customFormat="1" ht="20.25">
      <c r="A187" s="537"/>
      <c r="B187" s="796"/>
      <c r="C187" s="797"/>
      <c r="D187" s="544"/>
      <c r="E187" s="319"/>
      <c r="F187" s="320"/>
      <c r="G187" s="320"/>
      <c r="H187" s="321"/>
      <c r="I187" s="321"/>
      <c r="J187" s="320"/>
      <c r="K187" s="351"/>
      <c r="L187" s="352"/>
      <c r="M187" s="353"/>
      <c r="N187" s="321"/>
      <c r="O187" s="321"/>
      <c r="P187" s="582"/>
      <c r="Q187" s="321"/>
      <c r="R187" s="321"/>
      <c r="S187" s="321"/>
      <c r="T187" s="354"/>
      <c r="U187" s="352"/>
      <c r="V187" s="353"/>
      <c r="W187" s="321"/>
      <c r="X187" s="321"/>
      <c r="Y187" s="321"/>
      <c r="Z187" s="321"/>
      <c r="AA187" s="321"/>
      <c r="AB187" s="321"/>
      <c r="AC187" s="380"/>
      <c r="AD187" s="352"/>
      <c r="AE187" s="408">
        <f t="shared" si="78"/>
        <v>0</v>
      </c>
      <c r="AF187" s="409"/>
      <c r="AG187" s="408"/>
      <c r="AH187" s="409">
        <f t="shared" si="75"/>
        <v>0</v>
      </c>
      <c r="AI187" s="410"/>
      <c r="AJ187" s="411">
        <f t="shared" si="76"/>
        <v>0</v>
      </c>
    </row>
    <row r="188" spans="1:36" s="234" customFormat="1" ht="20.25">
      <c r="A188" s="537"/>
      <c r="B188" s="796"/>
      <c r="C188" s="797"/>
      <c r="D188" s="544"/>
      <c r="E188" s="319"/>
      <c r="F188" s="320"/>
      <c r="G188" s="320"/>
      <c r="H188" s="321"/>
      <c r="I188" s="321"/>
      <c r="J188" s="320"/>
      <c r="K188" s="351"/>
      <c r="L188" s="352"/>
      <c r="M188" s="353"/>
      <c r="N188" s="321"/>
      <c r="O188" s="321"/>
      <c r="P188" s="582"/>
      <c r="Q188" s="321"/>
      <c r="R188" s="321"/>
      <c r="S188" s="321"/>
      <c r="T188" s="354"/>
      <c r="U188" s="352"/>
      <c r="V188" s="353"/>
      <c r="W188" s="321"/>
      <c r="X188" s="321"/>
      <c r="Y188" s="321"/>
      <c r="Z188" s="321"/>
      <c r="AA188" s="321"/>
      <c r="AB188" s="321"/>
      <c r="AC188" s="380"/>
      <c r="AD188" s="352"/>
      <c r="AE188" s="408">
        <f t="shared" si="78"/>
        <v>0</v>
      </c>
      <c r="AF188" s="409"/>
      <c r="AG188" s="408"/>
      <c r="AH188" s="409">
        <f t="shared" si="75"/>
        <v>0</v>
      </c>
      <c r="AI188" s="410"/>
      <c r="AJ188" s="411">
        <f t="shared" si="76"/>
        <v>0</v>
      </c>
    </row>
    <row r="189" spans="1:36" s="234" customFormat="1" ht="20.25">
      <c r="A189" s="537"/>
      <c r="B189" s="796"/>
      <c r="C189" s="797"/>
      <c r="D189" s="544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58"/>
      <c r="Q189" s="543"/>
      <c r="R189" s="543"/>
      <c r="S189" s="543"/>
      <c r="T189" s="863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si="78"/>
        <v>0</v>
      </c>
      <c r="AF189" s="594"/>
      <c r="AG189" s="593"/>
      <c r="AH189" s="594">
        <f t="shared" si="75"/>
        <v>0</v>
      </c>
      <c r="AI189" s="605"/>
      <c r="AJ189" s="606">
        <f t="shared" si="76"/>
        <v>0</v>
      </c>
    </row>
    <row r="190" spans="1:36" s="276" customFormat="1" ht="20.25">
      <c r="A190" s="537"/>
      <c r="B190" s="796"/>
      <c r="C190" s="797"/>
      <c r="D190" s="544"/>
      <c r="E190" s="319"/>
      <c r="F190" s="320"/>
      <c r="G190" s="320"/>
      <c r="H190" s="321"/>
      <c r="I190" s="321"/>
      <c r="J190" s="320"/>
      <c r="K190" s="351"/>
      <c r="L190" s="352"/>
      <c r="M190" s="353"/>
      <c r="N190" s="321"/>
      <c r="O190" s="321"/>
      <c r="P190" s="582"/>
      <c r="Q190" s="321"/>
      <c r="R190" s="321"/>
      <c r="S190" s="321"/>
      <c r="T190" s="354"/>
      <c r="U190" s="352"/>
      <c r="V190" s="353"/>
      <c r="W190" s="321"/>
      <c r="X190" s="321"/>
      <c r="Y190" s="321"/>
      <c r="Z190" s="321"/>
      <c r="AA190" s="321"/>
      <c r="AB190" s="321"/>
      <c r="AC190" s="380"/>
      <c r="AD190" s="352"/>
      <c r="AE190" s="408">
        <f t="shared" si="78"/>
        <v>0</v>
      </c>
      <c r="AF190" s="409"/>
      <c r="AG190" s="408"/>
      <c r="AH190" s="409">
        <f t="shared" si="75"/>
        <v>0</v>
      </c>
      <c r="AI190" s="410"/>
      <c r="AJ190" s="411">
        <f t="shared" si="76"/>
        <v>0</v>
      </c>
    </row>
    <row r="191" spans="1:36" s="234" customFormat="1" ht="20.25">
      <c r="A191" s="551"/>
      <c r="B191" s="548"/>
      <c r="C191" s="549"/>
      <c r="D191" s="544"/>
      <c r="E191" s="861"/>
      <c r="F191" s="542"/>
      <c r="G191" s="542"/>
      <c r="H191" s="543"/>
      <c r="I191" s="543"/>
      <c r="J191" s="542"/>
      <c r="K191" s="579"/>
      <c r="L191" s="580"/>
      <c r="M191" s="581"/>
      <c r="N191" s="543"/>
      <c r="O191" s="543"/>
      <c r="P191" s="558"/>
      <c r="Q191" s="543"/>
      <c r="R191" s="543"/>
      <c r="S191" s="543"/>
      <c r="T191" s="587"/>
      <c r="U191" s="580"/>
      <c r="V191" s="581"/>
      <c r="W191" s="543"/>
      <c r="X191" s="543"/>
      <c r="Y191" s="543"/>
      <c r="Z191" s="543"/>
      <c r="AA191" s="543"/>
      <c r="AB191" s="543"/>
      <c r="AC191" s="592"/>
      <c r="AD191" s="580"/>
      <c r="AE191" s="593">
        <f t="shared" si="78"/>
        <v>0</v>
      </c>
      <c r="AF191" s="594"/>
      <c r="AG191" s="593"/>
      <c r="AH191" s="594">
        <f t="shared" si="75"/>
        <v>0</v>
      </c>
      <c r="AI191" s="605"/>
      <c r="AJ191" s="606">
        <f t="shared" si="76"/>
        <v>0</v>
      </c>
    </row>
    <row r="192" spans="1:36" s="276" customFormat="1" ht="20.25">
      <c r="A192" s="1111"/>
      <c r="B192" s="552"/>
      <c r="C192" s="553"/>
      <c r="D192" s="544"/>
      <c r="E192" s="319"/>
      <c r="F192" s="320"/>
      <c r="G192" s="320"/>
      <c r="H192" s="321"/>
      <c r="I192" s="321"/>
      <c r="J192" s="320"/>
      <c r="K192" s="351"/>
      <c r="L192" s="352"/>
      <c r="M192" s="353"/>
      <c r="N192" s="321"/>
      <c r="O192" s="321"/>
      <c r="P192" s="321"/>
      <c r="Q192" s="321"/>
      <c r="R192" s="321"/>
      <c r="S192" s="321"/>
      <c r="T192" s="363"/>
      <c r="U192" s="352"/>
      <c r="V192" s="353"/>
      <c r="W192" s="321"/>
      <c r="X192" s="321"/>
      <c r="Y192" s="321"/>
      <c r="Z192" s="321"/>
      <c r="AA192" s="321"/>
      <c r="AB192" s="321"/>
      <c r="AC192" s="380"/>
      <c r="AD192" s="352"/>
      <c r="AE192" s="408">
        <f t="shared" si="78"/>
        <v>0</v>
      </c>
      <c r="AF192" s="409"/>
      <c r="AG192" s="408"/>
      <c r="AH192" s="409">
        <f t="shared" si="75"/>
        <v>0</v>
      </c>
      <c r="AI192" s="410"/>
      <c r="AJ192" s="411">
        <f t="shared" si="76"/>
        <v>0</v>
      </c>
    </row>
    <row r="193" spans="1:36" s="234" customFormat="1" ht="20.25">
      <c r="A193" s="537"/>
      <c r="B193" s="550"/>
      <c r="C193" s="539"/>
      <c r="D193" s="555"/>
      <c r="E193" s="319"/>
      <c r="F193" s="319"/>
      <c r="G193" s="320"/>
      <c r="H193" s="321"/>
      <c r="I193" s="321"/>
      <c r="J193" s="320"/>
      <c r="K193" s="351"/>
      <c r="L193" s="352"/>
      <c r="M193" s="353"/>
      <c r="N193" s="321"/>
      <c r="O193" s="321"/>
      <c r="P193" s="321"/>
      <c r="Q193" s="321"/>
      <c r="R193" s="321"/>
      <c r="S193" s="321"/>
      <c r="T193" s="354"/>
      <c r="U193" s="352"/>
      <c r="V193" s="353"/>
      <c r="W193" s="321"/>
      <c r="X193" s="321"/>
      <c r="Y193" s="321"/>
      <c r="Z193" s="321"/>
      <c r="AA193" s="321"/>
      <c r="AB193" s="321"/>
      <c r="AC193" s="380"/>
      <c r="AD193" s="352"/>
      <c r="AE193" s="408">
        <f t="shared" si="78"/>
        <v>0</v>
      </c>
      <c r="AF193" s="409"/>
      <c r="AG193" s="408"/>
      <c r="AH193" s="409">
        <f t="shared" si="75"/>
        <v>0</v>
      </c>
      <c r="AI193" s="410"/>
      <c r="AJ193" s="411">
        <f t="shared" si="76"/>
        <v>0</v>
      </c>
    </row>
    <row r="194" spans="1:36" s="276" customFormat="1" ht="21" thickBot="1">
      <c r="A194" s="537"/>
      <c r="B194" s="552"/>
      <c r="C194" s="553"/>
      <c r="D194" s="544"/>
      <c r="E194" s="541"/>
      <c r="F194" s="541"/>
      <c r="G194" s="542"/>
      <c r="H194" s="543"/>
      <c r="I194" s="543"/>
      <c r="J194" s="542"/>
      <c r="K194" s="579"/>
      <c r="L194" s="580"/>
      <c r="M194" s="581"/>
      <c r="N194" s="543"/>
      <c r="O194" s="543"/>
      <c r="P194" s="543"/>
      <c r="Q194" s="543"/>
      <c r="R194" s="543"/>
      <c r="S194" s="543"/>
      <c r="T194" s="587"/>
      <c r="U194" s="580"/>
      <c r="V194" s="581"/>
      <c r="W194" s="543"/>
      <c r="X194" s="543"/>
      <c r="Y194" s="543"/>
      <c r="Z194" s="543"/>
      <c r="AA194" s="543"/>
      <c r="AB194" s="543"/>
      <c r="AC194" s="592"/>
      <c r="AD194" s="580"/>
      <c r="AE194" s="593">
        <f t="shared" si="78"/>
        <v>0</v>
      </c>
      <c r="AF194" s="594"/>
      <c r="AG194" s="593"/>
      <c r="AH194" s="594">
        <f t="shared" si="75"/>
        <v>0</v>
      </c>
      <c r="AI194" s="605"/>
      <c r="AJ194" s="606">
        <f t="shared" si="76"/>
        <v>0</v>
      </c>
    </row>
    <row r="195" spans="1:36" s="276" customFormat="1" ht="21" thickBot="1">
      <c r="A195" s="1111"/>
      <c r="B195" s="552"/>
      <c r="C195" s="553"/>
      <c r="D195" s="2569"/>
      <c r="E195" s="319"/>
      <c r="F195" s="319"/>
      <c r="G195" s="320"/>
      <c r="H195" s="321"/>
      <c r="I195" s="321"/>
      <c r="J195" s="320"/>
      <c r="K195" s="351"/>
      <c r="L195" s="352"/>
      <c r="M195" s="353"/>
      <c r="N195" s="321"/>
      <c r="O195" s="321"/>
      <c r="P195" s="321"/>
      <c r="Q195" s="321"/>
      <c r="R195" s="321"/>
      <c r="S195" s="321"/>
      <c r="T195" s="354"/>
      <c r="U195" s="352"/>
      <c r="V195" s="353"/>
      <c r="W195" s="321"/>
      <c r="X195" s="321"/>
      <c r="Y195" s="321"/>
      <c r="Z195" s="321"/>
      <c r="AA195" s="321"/>
      <c r="AB195" s="321"/>
      <c r="AC195" s="380"/>
      <c r="AD195" s="352"/>
      <c r="AE195" s="408">
        <f t="shared" si="78"/>
        <v>0</v>
      </c>
      <c r="AF195" s="409"/>
      <c r="AG195" s="408"/>
      <c r="AH195" s="409">
        <f t="shared" si="75"/>
        <v>0</v>
      </c>
      <c r="AI195" s="410"/>
      <c r="AJ195" s="411">
        <f t="shared" si="76"/>
        <v>0</v>
      </c>
    </row>
    <row r="196" spans="1:36" s="234" customFormat="1" ht="20.25">
      <c r="A196" s="537"/>
      <c r="B196" s="552"/>
      <c r="C196" s="553"/>
      <c r="D196" s="544"/>
      <c r="E196" s="541"/>
      <c r="F196" s="541"/>
      <c r="G196" s="542"/>
      <c r="H196" s="543"/>
      <c r="I196" s="543"/>
      <c r="J196" s="542"/>
      <c r="K196" s="579"/>
      <c r="L196" s="580"/>
      <c r="M196" s="581"/>
      <c r="N196" s="543"/>
      <c r="O196" s="543"/>
      <c r="P196" s="543"/>
      <c r="Q196" s="543"/>
      <c r="R196" s="543"/>
      <c r="S196" s="543"/>
      <c r="T196" s="587"/>
      <c r="U196" s="580"/>
      <c r="V196" s="581"/>
      <c r="W196" s="543"/>
      <c r="X196" s="543"/>
      <c r="Y196" s="543"/>
      <c r="Z196" s="543"/>
      <c r="AA196" s="543"/>
      <c r="AB196" s="543"/>
      <c r="AC196" s="592"/>
      <c r="AD196" s="580"/>
      <c r="AE196" s="593">
        <f t="shared" si="78"/>
        <v>0</v>
      </c>
      <c r="AF196" s="594"/>
      <c r="AG196" s="593"/>
      <c r="AH196" s="594">
        <f t="shared" si="75"/>
        <v>0</v>
      </c>
      <c r="AI196" s="605"/>
      <c r="AJ196" s="606">
        <f t="shared" si="76"/>
        <v>0</v>
      </c>
    </row>
    <row r="197" spans="1:36" s="276" customFormat="1" ht="20.25">
      <c r="A197" s="551"/>
      <c r="B197" s="552"/>
      <c r="C197" s="553"/>
      <c r="D197" s="544"/>
      <c r="E197" s="319"/>
      <c r="F197" s="319"/>
      <c r="G197" s="320"/>
      <c r="H197" s="321"/>
      <c r="I197" s="321"/>
      <c r="J197" s="320"/>
      <c r="K197" s="351"/>
      <c r="L197" s="352"/>
      <c r="M197" s="353"/>
      <c r="N197" s="321"/>
      <c r="O197" s="321"/>
      <c r="P197" s="321"/>
      <c r="Q197" s="321"/>
      <c r="R197" s="321"/>
      <c r="S197" s="321"/>
      <c r="T197" s="354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si="78"/>
        <v>0</v>
      </c>
      <c r="AF197" s="409"/>
      <c r="AG197" s="408"/>
      <c r="AH197" s="409">
        <f t="shared" si="75"/>
        <v>0</v>
      </c>
      <c r="AI197" s="410"/>
      <c r="AJ197" s="411">
        <f t="shared" si="76"/>
        <v>0</v>
      </c>
    </row>
    <row r="198" spans="1:36" s="234" customFormat="1" ht="20.25">
      <c r="A198" s="547"/>
      <c r="B198" s="552"/>
      <c r="C198" s="553"/>
      <c r="D198" s="544"/>
      <c r="E198" s="541"/>
      <c r="F198" s="541"/>
      <c r="G198" s="542"/>
      <c r="H198" s="543"/>
      <c r="I198" s="543"/>
      <c r="J198" s="542"/>
      <c r="K198" s="579"/>
      <c r="L198" s="580"/>
      <c r="M198" s="581"/>
      <c r="N198" s="543"/>
      <c r="O198" s="543"/>
      <c r="P198" s="543"/>
      <c r="Q198" s="543"/>
      <c r="R198" s="543"/>
      <c r="S198" s="543"/>
      <c r="T198" s="587"/>
      <c r="U198" s="580"/>
      <c r="V198" s="581"/>
      <c r="W198" s="543"/>
      <c r="X198" s="543"/>
      <c r="Y198" s="543"/>
      <c r="Z198" s="543"/>
      <c r="AA198" s="543"/>
      <c r="AB198" s="543"/>
      <c r="AC198" s="592"/>
      <c r="AD198" s="580"/>
      <c r="AE198" s="593">
        <f t="shared" si="78"/>
        <v>0</v>
      </c>
      <c r="AF198" s="594"/>
      <c r="AG198" s="593"/>
      <c r="AH198" s="594">
        <f t="shared" si="75"/>
        <v>0</v>
      </c>
      <c r="AI198" s="605"/>
      <c r="AJ198" s="606">
        <f t="shared" si="76"/>
        <v>0</v>
      </c>
    </row>
    <row r="199" spans="1:36" s="276" customFormat="1" ht="20.25">
      <c r="A199" s="551"/>
      <c r="B199" s="552"/>
      <c r="C199" s="553"/>
      <c r="D199" s="559"/>
      <c r="E199" s="541"/>
      <c r="F199" s="542"/>
      <c r="G199" s="542"/>
      <c r="H199" s="543"/>
      <c r="I199" s="543"/>
      <c r="J199" s="542"/>
      <c r="K199" s="579"/>
      <c r="L199" s="580"/>
      <c r="M199" s="581"/>
      <c r="N199" s="543"/>
      <c r="O199" s="543"/>
      <c r="P199" s="543"/>
      <c r="Q199" s="543"/>
      <c r="R199" s="543"/>
      <c r="S199" s="543"/>
      <c r="T199" s="767"/>
      <c r="U199" s="580"/>
      <c r="V199" s="581"/>
      <c r="W199" s="543"/>
      <c r="X199" s="543"/>
      <c r="Y199" s="543"/>
      <c r="Z199" s="543"/>
      <c r="AA199" s="543"/>
      <c r="AB199" s="543"/>
      <c r="AC199" s="592"/>
      <c r="AD199" s="580"/>
      <c r="AE199" s="593">
        <f t="shared" si="78"/>
        <v>0</v>
      </c>
      <c r="AF199" s="594"/>
      <c r="AG199" s="593"/>
      <c r="AH199" s="594">
        <f t="shared" si="75"/>
        <v>0</v>
      </c>
      <c r="AI199" s="605"/>
      <c r="AJ199" s="606">
        <f t="shared" si="76"/>
        <v>0</v>
      </c>
    </row>
    <row r="200" spans="1:36" s="276" customFormat="1" ht="20.25">
      <c r="A200" s="551"/>
      <c r="B200" s="552"/>
      <c r="C200" s="553"/>
      <c r="D200" s="544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78"/>
        <v>0</v>
      </c>
      <c r="AF200" s="409"/>
      <c r="AG200" s="408"/>
      <c r="AH200" s="409">
        <f t="shared" si="75"/>
        <v>0</v>
      </c>
      <c r="AI200" s="410"/>
      <c r="AJ200" s="411">
        <f t="shared" si="76"/>
        <v>0</v>
      </c>
    </row>
    <row r="201" spans="1:36" s="234" customFormat="1" ht="20.25">
      <c r="A201" s="547"/>
      <c r="B201" s="552"/>
      <c r="C201" s="553"/>
      <c r="D201" s="544"/>
      <c r="E201" s="541"/>
      <c r="F201" s="542"/>
      <c r="G201" s="542"/>
      <c r="H201" s="543"/>
      <c r="I201" s="543"/>
      <c r="J201" s="542"/>
      <c r="K201" s="579"/>
      <c r="L201" s="580"/>
      <c r="M201" s="581"/>
      <c r="N201" s="543"/>
      <c r="O201" s="543"/>
      <c r="P201" s="543"/>
      <c r="Q201" s="543"/>
      <c r="R201" s="543"/>
      <c r="S201" s="543"/>
      <c r="T201" s="767"/>
      <c r="U201" s="580"/>
      <c r="V201" s="581"/>
      <c r="W201" s="543"/>
      <c r="X201" s="543"/>
      <c r="Y201" s="543"/>
      <c r="Z201" s="543"/>
      <c r="AA201" s="543"/>
      <c r="AB201" s="543"/>
      <c r="AC201" s="592"/>
      <c r="AD201" s="580"/>
      <c r="AE201" s="593">
        <f t="shared" si="78"/>
        <v>0</v>
      </c>
      <c r="AF201" s="594"/>
      <c r="AG201" s="593"/>
      <c r="AH201" s="594">
        <f t="shared" si="75"/>
        <v>0</v>
      </c>
      <c r="AI201" s="605"/>
      <c r="AJ201" s="606">
        <f t="shared" si="76"/>
        <v>0</v>
      </c>
    </row>
    <row r="202" spans="1:36" s="276" customFormat="1" ht="20.25">
      <c r="A202" s="537"/>
      <c r="B202" s="552"/>
      <c r="C202" s="553"/>
      <c r="D202" s="544"/>
      <c r="E202" s="319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54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78"/>
        <v>0</v>
      </c>
      <c r="AF202" s="409"/>
      <c r="AG202" s="408"/>
      <c r="AH202" s="409">
        <f t="shared" si="75"/>
        <v>0</v>
      </c>
      <c r="AI202" s="410"/>
      <c r="AJ202" s="411">
        <f t="shared" si="76"/>
        <v>0</v>
      </c>
    </row>
    <row r="203" spans="1:36" s="276" customFormat="1" ht="20.25">
      <c r="A203" s="551"/>
      <c r="B203" s="563"/>
      <c r="C203" s="553"/>
      <c r="D203" s="544"/>
      <c r="E203" s="541"/>
      <c r="F203" s="542"/>
      <c r="G203" s="542"/>
      <c r="H203" s="543"/>
      <c r="I203" s="543"/>
      <c r="J203" s="542"/>
      <c r="K203" s="579"/>
      <c r="L203" s="580"/>
      <c r="M203" s="581"/>
      <c r="N203" s="543"/>
      <c r="O203" s="543"/>
      <c r="P203" s="543"/>
      <c r="Q203" s="543"/>
      <c r="R203" s="543"/>
      <c r="S203" s="543"/>
      <c r="T203" s="587"/>
      <c r="U203" s="580"/>
      <c r="V203" s="581"/>
      <c r="W203" s="543"/>
      <c r="X203" s="543"/>
      <c r="Y203" s="543"/>
      <c r="Z203" s="543"/>
      <c r="AA203" s="543"/>
      <c r="AB203" s="543"/>
      <c r="AC203" s="592"/>
      <c r="AD203" s="580"/>
      <c r="AE203" s="593">
        <f t="shared" si="78"/>
        <v>0</v>
      </c>
      <c r="AF203" s="594"/>
      <c r="AG203" s="593"/>
      <c r="AH203" s="594">
        <f t="shared" si="75"/>
        <v>0</v>
      </c>
      <c r="AI203" s="605"/>
      <c r="AJ203" s="606">
        <f t="shared" si="76"/>
        <v>0</v>
      </c>
    </row>
    <row r="204" spans="1:36" s="234" customFormat="1" ht="20.25">
      <c r="A204" s="537"/>
      <c r="B204" s="552"/>
      <c r="C204" s="553"/>
      <c r="D204" s="544"/>
      <c r="E204" s="541"/>
      <c r="F204" s="542"/>
      <c r="G204" s="542"/>
      <c r="H204" s="543"/>
      <c r="I204" s="543"/>
      <c r="J204" s="542"/>
      <c r="K204" s="579"/>
      <c r="L204" s="580"/>
      <c r="M204" s="581"/>
      <c r="N204" s="543"/>
      <c r="O204" s="543"/>
      <c r="P204" s="543"/>
      <c r="Q204" s="543"/>
      <c r="R204" s="543"/>
      <c r="S204" s="543"/>
      <c r="T204" s="587"/>
      <c r="U204" s="580"/>
      <c r="V204" s="581"/>
      <c r="W204" s="543"/>
      <c r="X204" s="543"/>
      <c r="Y204" s="543"/>
      <c r="Z204" s="543"/>
      <c r="AA204" s="543"/>
      <c r="AB204" s="543"/>
      <c r="AC204" s="592"/>
      <c r="AD204" s="580"/>
      <c r="AE204" s="593">
        <f t="shared" si="78"/>
        <v>0</v>
      </c>
      <c r="AF204" s="594"/>
      <c r="AG204" s="593"/>
      <c r="AH204" s="594">
        <f t="shared" si="75"/>
        <v>0</v>
      </c>
      <c r="AI204" s="605"/>
      <c r="AJ204" s="606">
        <f t="shared" si="76"/>
        <v>0</v>
      </c>
    </row>
    <row r="205" spans="1:36" s="276" customFormat="1" ht="20.25">
      <c r="A205" s="537"/>
      <c r="B205" s="538"/>
      <c r="C205" s="3079"/>
      <c r="D205" s="544"/>
      <c r="E205" s="319"/>
      <c r="F205" s="320"/>
      <c r="G205" s="320"/>
      <c r="H205" s="321"/>
      <c r="I205" s="321"/>
      <c r="J205" s="320"/>
      <c r="K205" s="351"/>
      <c r="L205" s="352"/>
      <c r="M205" s="353"/>
      <c r="N205" s="321"/>
      <c r="O205" s="321"/>
      <c r="P205" s="321"/>
      <c r="Q205" s="321"/>
      <c r="R205" s="321"/>
      <c r="S205" s="321"/>
      <c r="T205" s="354"/>
      <c r="U205" s="352"/>
      <c r="V205" s="353"/>
      <c r="W205" s="321"/>
      <c r="X205" s="321"/>
      <c r="Y205" s="321"/>
      <c r="Z205" s="321"/>
      <c r="AA205" s="321"/>
      <c r="AB205" s="321"/>
      <c r="AC205" s="380"/>
      <c r="AD205" s="352"/>
      <c r="AE205" s="408">
        <f t="shared" si="78"/>
        <v>0</v>
      </c>
      <c r="AF205" s="409"/>
      <c r="AG205" s="408"/>
      <c r="AH205" s="409">
        <f t="shared" si="75"/>
        <v>0</v>
      </c>
      <c r="AI205" s="410"/>
      <c r="AJ205" s="411">
        <f t="shared" si="76"/>
        <v>0</v>
      </c>
    </row>
    <row r="206" spans="1:36" s="234" customFormat="1" ht="26.25">
      <c r="A206" s="561"/>
      <c r="B206" s="552"/>
      <c r="C206" s="553"/>
      <c r="D206" s="544"/>
      <c r="E206" s="541"/>
      <c r="F206" s="542"/>
      <c r="G206" s="542"/>
      <c r="H206" s="543"/>
      <c r="I206" s="543"/>
      <c r="J206" s="542"/>
      <c r="K206" s="579"/>
      <c r="L206" s="580"/>
      <c r="M206" s="581"/>
      <c r="N206" s="543"/>
      <c r="O206" s="543"/>
      <c r="P206" s="543"/>
      <c r="Q206" s="543"/>
      <c r="R206" s="543"/>
      <c r="S206" s="543"/>
      <c r="T206" s="863"/>
      <c r="U206" s="580"/>
      <c r="V206" s="581"/>
      <c r="W206" s="543"/>
      <c r="X206" s="543"/>
      <c r="Y206" s="543"/>
      <c r="Z206" s="864"/>
      <c r="AA206" s="543"/>
      <c r="AB206" s="543"/>
      <c r="AC206" s="592"/>
      <c r="AD206" s="580"/>
      <c r="AE206" s="593">
        <f t="shared" si="78"/>
        <v>0</v>
      </c>
      <c r="AF206" s="594"/>
      <c r="AG206" s="593"/>
      <c r="AH206" s="594">
        <f t="shared" si="75"/>
        <v>0</v>
      </c>
      <c r="AI206" s="605"/>
      <c r="AJ206" s="606">
        <f t="shared" si="76"/>
        <v>0</v>
      </c>
    </row>
    <row r="207" spans="1:36" s="276" customFormat="1" ht="26.25">
      <c r="A207" s="1111"/>
      <c r="B207" s="550"/>
      <c r="C207" s="549"/>
      <c r="D207" s="544"/>
      <c r="E207" s="541"/>
      <c r="F207" s="542"/>
      <c r="G207" s="542"/>
      <c r="H207" s="543"/>
      <c r="I207" s="543"/>
      <c r="J207" s="542"/>
      <c r="K207" s="579"/>
      <c r="L207" s="580"/>
      <c r="M207" s="581"/>
      <c r="N207" s="543"/>
      <c r="O207" s="543"/>
      <c r="P207" s="543"/>
      <c r="Q207" s="543"/>
      <c r="R207" s="543"/>
      <c r="S207" s="543"/>
      <c r="T207" s="863"/>
      <c r="U207" s="580"/>
      <c r="V207" s="581"/>
      <c r="W207" s="543"/>
      <c r="X207" s="543"/>
      <c r="Y207" s="543"/>
      <c r="Z207" s="598"/>
      <c r="AA207" s="543"/>
      <c r="AB207" s="543"/>
      <c r="AC207" s="592"/>
      <c r="AD207" s="580"/>
      <c r="AE207" s="593">
        <f t="shared" si="78"/>
        <v>0</v>
      </c>
      <c r="AF207" s="594"/>
      <c r="AG207" s="593"/>
      <c r="AH207" s="594">
        <f t="shared" si="75"/>
        <v>0</v>
      </c>
      <c r="AI207" s="605"/>
      <c r="AJ207" s="606">
        <f t="shared" si="76"/>
        <v>0</v>
      </c>
    </row>
    <row r="208" spans="1:36" s="234" customFormat="1" ht="20.25">
      <c r="A208" s="537"/>
      <c r="B208" s="538"/>
      <c r="C208" s="539"/>
      <c r="D208" s="544"/>
      <c r="E208" s="319"/>
      <c r="F208" s="320"/>
      <c r="G208" s="320"/>
      <c r="H208" s="321"/>
      <c r="I208" s="321"/>
      <c r="J208" s="320"/>
      <c r="K208" s="351"/>
      <c r="L208" s="352"/>
      <c r="M208" s="353"/>
      <c r="N208" s="321"/>
      <c r="O208" s="321"/>
      <c r="P208" s="321"/>
      <c r="Q208" s="321"/>
      <c r="R208" s="321"/>
      <c r="S208" s="321"/>
      <c r="T208" s="363"/>
      <c r="U208" s="352"/>
      <c r="V208" s="353"/>
      <c r="W208" s="321"/>
      <c r="X208" s="321"/>
      <c r="Y208" s="321"/>
      <c r="Z208" s="543"/>
      <c r="AA208" s="321"/>
      <c r="AB208" s="321"/>
      <c r="AC208" s="380"/>
      <c r="AD208" s="352"/>
      <c r="AE208" s="408">
        <f t="shared" si="78"/>
        <v>0</v>
      </c>
      <c r="AF208" s="409"/>
      <c r="AG208" s="408"/>
      <c r="AH208" s="409">
        <f t="shared" si="75"/>
        <v>0</v>
      </c>
      <c r="AI208" s="410"/>
      <c r="AJ208" s="411">
        <f t="shared" si="76"/>
        <v>0</v>
      </c>
    </row>
    <row r="209" spans="1:36" s="276" customFormat="1" ht="20.25">
      <c r="A209" s="1111"/>
      <c r="B209" s="1112"/>
      <c r="C209" s="1113"/>
      <c r="D209" s="1114"/>
      <c r="E209" s="541"/>
      <c r="F209" s="542"/>
      <c r="G209" s="542"/>
      <c r="H209" s="543"/>
      <c r="I209" s="543"/>
      <c r="J209" s="542"/>
      <c r="K209" s="579"/>
      <c r="L209" s="580"/>
      <c r="M209" s="581"/>
      <c r="N209" s="543"/>
      <c r="O209" s="543"/>
      <c r="P209" s="543"/>
      <c r="Q209" s="543"/>
      <c r="R209" s="543"/>
      <c r="S209" s="543"/>
      <c r="T209" s="767"/>
      <c r="U209" s="580"/>
      <c r="V209" s="581"/>
      <c r="W209" s="543"/>
      <c r="X209" s="543"/>
      <c r="Y209" s="543"/>
      <c r="Z209" s="543"/>
      <c r="AA209" s="543"/>
      <c r="AB209" s="543"/>
      <c r="AC209" s="592"/>
      <c r="AD209" s="580"/>
      <c r="AE209" s="593">
        <f t="shared" si="78"/>
        <v>0</v>
      </c>
      <c r="AF209" s="594"/>
      <c r="AG209" s="593"/>
      <c r="AH209" s="594">
        <f t="shared" si="75"/>
        <v>0</v>
      </c>
      <c r="AI209" s="605"/>
      <c r="AJ209" s="606">
        <f t="shared" si="76"/>
        <v>0</v>
      </c>
    </row>
    <row r="210" spans="1:36" s="234" customFormat="1" ht="20.25">
      <c r="A210" s="537"/>
      <c r="B210" s="1112"/>
      <c r="C210" s="1113"/>
      <c r="D210" s="1114"/>
      <c r="E210" s="319"/>
      <c r="F210" s="320"/>
      <c r="G210" s="320"/>
      <c r="H210" s="321"/>
      <c r="I210" s="321"/>
      <c r="J210" s="320"/>
      <c r="K210" s="351"/>
      <c r="L210" s="352"/>
      <c r="M210" s="353"/>
      <c r="N210" s="321"/>
      <c r="O210" s="321"/>
      <c r="P210" s="321"/>
      <c r="Q210" s="321"/>
      <c r="R210" s="321"/>
      <c r="S210" s="321"/>
      <c r="T210" s="363"/>
      <c r="U210" s="352"/>
      <c r="V210" s="353"/>
      <c r="W210" s="321"/>
      <c r="X210" s="321"/>
      <c r="Y210" s="321"/>
      <c r="Z210" s="321"/>
      <c r="AA210" s="321"/>
      <c r="AB210" s="321"/>
      <c r="AC210" s="380"/>
      <c r="AD210" s="352"/>
      <c r="AE210" s="408">
        <f t="shared" si="78"/>
        <v>0</v>
      </c>
      <c r="AF210" s="409"/>
      <c r="AG210" s="408"/>
      <c r="AH210" s="409">
        <f t="shared" si="75"/>
        <v>0</v>
      </c>
      <c r="AI210" s="410"/>
      <c r="AJ210" s="411">
        <f t="shared" si="76"/>
        <v>0</v>
      </c>
    </row>
    <row r="211" spans="1:36" s="276" customFormat="1" ht="20.25">
      <c r="A211" s="547"/>
      <c r="B211" s="552"/>
      <c r="C211" s="553"/>
      <c r="D211" s="544"/>
      <c r="E211" s="541"/>
      <c r="F211" s="542"/>
      <c r="G211" s="542"/>
      <c r="H211" s="543"/>
      <c r="I211" s="543"/>
      <c r="J211" s="542"/>
      <c r="K211" s="579"/>
      <c r="L211" s="580"/>
      <c r="M211" s="581"/>
      <c r="N211" s="543"/>
      <c r="O211" s="543"/>
      <c r="P211" s="543"/>
      <c r="Q211" s="543"/>
      <c r="R211" s="543"/>
      <c r="S211" s="543"/>
      <c r="T211" s="767"/>
      <c r="U211" s="580"/>
      <c r="V211" s="581"/>
      <c r="W211" s="543"/>
      <c r="X211" s="543"/>
      <c r="Y211" s="543"/>
      <c r="Z211" s="543"/>
      <c r="AA211" s="543"/>
      <c r="AB211" s="543"/>
      <c r="AC211" s="592"/>
      <c r="AD211" s="580"/>
      <c r="AE211" s="593">
        <f t="shared" si="78"/>
        <v>0</v>
      </c>
      <c r="AF211" s="594"/>
      <c r="AG211" s="593"/>
      <c r="AH211" s="594">
        <f t="shared" si="75"/>
        <v>0</v>
      </c>
      <c r="AI211" s="605"/>
      <c r="AJ211" s="606">
        <f t="shared" si="76"/>
        <v>0</v>
      </c>
    </row>
    <row r="212" spans="1:36" s="234" customFormat="1" ht="20.25">
      <c r="A212" s="537"/>
      <c r="B212" s="550"/>
      <c r="C212" s="549"/>
      <c r="D212" s="544"/>
      <c r="E212" s="319"/>
      <c r="F212" s="320"/>
      <c r="G212" s="320"/>
      <c r="H212" s="321"/>
      <c r="I212" s="321"/>
      <c r="J212" s="320"/>
      <c r="K212" s="351"/>
      <c r="L212" s="352"/>
      <c r="M212" s="353"/>
      <c r="N212" s="321"/>
      <c r="O212" s="321"/>
      <c r="P212" s="321"/>
      <c r="Q212" s="321"/>
      <c r="R212" s="321"/>
      <c r="S212" s="321"/>
      <c r="T212" s="363"/>
      <c r="U212" s="352"/>
      <c r="V212" s="353"/>
      <c r="W212" s="321"/>
      <c r="X212" s="321"/>
      <c r="Y212" s="321"/>
      <c r="Z212" s="321"/>
      <c r="AA212" s="321"/>
      <c r="AB212" s="321"/>
      <c r="AC212" s="380"/>
      <c r="AD212" s="352"/>
      <c r="AE212" s="408">
        <f t="shared" si="78"/>
        <v>0</v>
      </c>
      <c r="AF212" s="409"/>
      <c r="AG212" s="408"/>
      <c r="AH212" s="409">
        <f t="shared" si="75"/>
        <v>0</v>
      </c>
      <c r="AI212" s="410"/>
      <c r="AJ212" s="411">
        <f t="shared" si="76"/>
        <v>0</v>
      </c>
    </row>
    <row r="213" spans="1:36" s="234" customFormat="1" ht="20.25">
      <c r="A213" s="537"/>
      <c r="B213" s="550"/>
      <c r="C213" s="549"/>
      <c r="D213" s="544"/>
      <c r="E213" s="541"/>
      <c r="F213" s="542"/>
      <c r="G213" s="542"/>
      <c r="H213" s="543"/>
      <c r="I213" s="543"/>
      <c r="J213" s="542"/>
      <c r="K213" s="579"/>
      <c r="L213" s="580"/>
      <c r="M213" s="581"/>
      <c r="N213" s="543"/>
      <c r="O213" s="543"/>
      <c r="P213" s="543"/>
      <c r="Q213" s="543"/>
      <c r="R213" s="543"/>
      <c r="S213" s="543"/>
      <c r="T213" s="767"/>
      <c r="U213" s="580"/>
      <c r="V213" s="581"/>
      <c r="W213" s="543"/>
      <c r="X213" s="543"/>
      <c r="Y213" s="543"/>
      <c r="Z213" s="543"/>
      <c r="AA213" s="543"/>
      <c r="AB213" s="543"/>
      <c r="AC213" s="592"/>
      <c r="AD213" s="580"/>
      <c r="AE213" s="593">
        <f t="shared" si="78"/>
        <v>0</v>
      </c>
      <c r="AF213" s="594"/>
      <c r="AG213" s="593"/>
      <c r="AH213" s="594">
        <f t="shared" si="75"/>
        <v>0</v>
      </c>
      <c r="AI213" s="605"/>
      <c r="AJ213" s="606">
        <f t="shared" si="76"/>
        <v>0</v>
      </c>
    </row>
    <row r="214" spans="1:36" s="276" customFormat="1" ht="20.25">
      <c r="A214" s="537"/>
      <c r="B214" s="550"/>
      <c r="C214" s="549"/>
      <c r="D214" s="544"/>
      <c r="E214" s="319"/>
      <c r="F214" s="320"/>
      <c r="G214" s="320"/>
      <c r="H214" s="321"/>
      <c r="I214" s="321"/>
      <c r="J214" s="320"/>
      <c r="K214" s="351"/>
      <c r="L214" s="352"/>
      <c r="M214" s="353"/>
      <c r="N214" s="321"/>
      <c r="O214" s="321"/>
      <c r="P214" s="321"/>
      <c r="Q214" s="321"/>
      <c r="R214" s="321"/>
      <c r="S214" s="321"/>
      <c r="T214" s="363"/>
      <c r="U214" s="352"/>
      <c r="V214" s="353"/>
      <c r="W214" s="321"/>
      <c r="X214" s="321"/>
      <c r="Y214" s="321"/>
      <c r="Z214" s="321"/>
      <c r="AA214" s="321"/>
      <c r="AB214" s="321"/>
      <c r="AC214" s="380"/>
      <c r="AD214" s="352"/>
      <c r="AE214" s="408">
        <f t="shared" si="78"/>
        <v>0</v>
      </c>
      <c r="AF214" s="409"/>
      <c r="AG214" s="408"/>
      <c r="AH214" s="409">
        <f t="shared" si="75"/>
        <v>0</v>
      </c>
      <c r="AI214" s="410"/>
      <c r="AJ214" s="411">
        <f t="shared" si="76"/>
        <v>0</v>
      </c>
    </row>
    <row r="215" spans="1:36" s="276" customFormat="1" ht="20.25">
      <c r="A215" s="537"/>
      <c r="B215" s="550"/>
      <c r="C215" s="549"/>
      <c r="D215" s="544"/>
      <c r="E215" s="541"/>
      <c r="F215" s="542"/>
      <c r="G215" s="542"/>
      <c r="H215" s="543"/>
      <c r="I215" s="543"/>
      <c r="J215" s="542"/>
      <c r="K215" s="579"/>
      <c r="L215" s="580"/>
      <c r="M215" s="581"/>
      <c r="N215" s="543"/>
      <c r="O215" s="543"/>
      <c r="P215" s="543"/>
      <c r="Q215" s="543"/>
      <c r="R215" s="543"/>
      <c r="S215" s="543"/>
      <c r="T215" s="767"/>
      <c r="U215" s="580"/>
      <c r="V215" s="581"/>
      <c r="W215" s="543"/>
      <c r="X215" s="543"/>
      <c r="Y215" s="543"/>
      <c r="Z215" s="543"/>
      <c r="AA215" s="543"/>
      <c r="AB215" s="543"/>
      <c r="AC215" s="592"/>
      <c r="AD215" s="580"/>
      <c r="AE215" s="593">
        <f t="shared" si="78"/>
        <v>0</v>
      </c>
      <c r="AF215" s="594"/>
      <c r="AG215" s="593"/>
      <c r="AH215" s="594">
        <f t="shared" si="75"/>
        <v>0</v>
      </c>
      <c r="AI215" s="605"/>
      <c r="AJ215" s="606">
        <f t="shared" si="76"/>
        <v>0</v>
      </c>
    </row>
    <row r="216" spans="1:36" s="234" customFormat="1" ht="20.25">
      <c r="A216" s="537"/>
      <c r="B216" s="550"/>
      <c r="C216" s="549"/>
      <c r="D216" s="544"/>
      <c r="E216" s="319"/>
      <c r="F216" s="741"/>
      <c r="G216" s="320"/>
      <c r="H216" s="321"/>
      <c r="I216" s="321"/>
      <c r="J216" s="320"/>
      <c r="K216" s="351"/>
      <c r="L216" s="352"/>
      <c r="M216" s="353"/>
      <c r="N216" s="321"/>
      <c r="O216" s="321"/>
      <c r="P216" s="321"/>
      <c r="Q216" s="321"/>
      <c r="R216" s="321"/>
      <c r="S216" s="321"/>
      <c r="T216" s="363"/>
      <c r="U216" s="352"/>
      <c r="V216" s="353"/>
      <c r="W216" s="321"/>
      <c r="X216" s="321"/>
      <c r="Y216" s="321"/>
      <c r="Z216" s="321"/>
      <c r="AA216" s="321"/>
      <c r="AB216" s="321"/>
      <c r="AC216" s="380"/>
      <c r="AD216" s="352"/>
      <c r="AE216" s="408">
        <f t="shared" si="78"/>
        <v>0</v>
      </c>
      <c r="AF216" s="409"/>
      <c r="AG216" s="408"/>
      <c r="AH216" s="409">
        <f t="shared" si="75"/>
        <v>0</v>
      </c>
      <c r="AI216" s="410"/>
      <c r="AJ216" s="411">
        <f t="shared" si="76"/>
        <v>0</v>
      </c>
    </row>
    <row r="217" spans="1:36" s="276" customFormat="1" ht="20.25">
      <c r="A217" s="537"/>
      <c r="B217" s="550"/>
      <c r="C217" s="549"/>
      <c r="D217" s="544"/>
      <c r="E217" s="319"/>
      <c r="F217" s="320"/>
      <c r="G217" s="320"/>
      <c r="H217" s="321"/>
      <c r="I217" s="321"/>
      <c r="J217" s="320"/>
      <c r="K217" s="351"/>
      <c r="L217" s="352"/>
      <c r="M217" s="353"/>
      <c r="N217" s="321"/>
      <c r="O217" s="321"/>
      <c r="P217" s="321"/>
      <c r="Q217" s="321"/>
      <c r="R217" s="321"/>
      <c r="S217" s="321"/>
      <c r="T217" s="354"/>
      <c r="U217" s="352"/>
      <c r="V217" s="353"/>
      <c r="W217" s="321"/>
      <c r="X217" s="321"/>
      <c r="Y217" s="321"/>
      <c r="Z217" s="321"/>
      <c r="AA217" s="321"/>
      <c r="AB217" s="321"/>
      <c r="AC217" s="380"/>
      <c r="AD217" s="352"/>
      <c r="AE217" s="408">
        <f t="shared" si="78"/>
        <v>0</v>
      </c>
      <c r="AF217" s="409"/>
      <c r="AG217" s="408"/>
      <c r="AH217" s="409">
        <f t="shared" si="75"/>
        <v>0</v>
      </c>
      <c r="AI217" s="410"/>
      <c r="AJ217" s="411">
        <f t="shared" si="76"/>
        <v>0</v>
      </c>
    </row>
    <row r="218" spans="1:36" s="276" customFormat="1" ht="20.25">
      <c r="A218" s="537"/>
      <c r="B218" s="550"/>
      <c r="C218" s="549"/>
      <c r="D218" s="544"/>
      <c r="E218" s="541"/>
      <c r="F218" s="557"/>
      <c r="G218" s="542"/>
      <c r="H218" s="543"/>
      <c r="I218" s="543"/>
      <c r="J218" s="542"/>
      <c r="K218" s="579"/>
      <c r="L218" s="580"/>
      <c r="M218" s="581"/>
      <c r="N218" s="543"/>
      <c r="O218" s="543"/>
      <c r="P218" s="543"/>
      <c r="Q218" s="543"/>
      <c r="R218" s="543"/>
      <c r="S218" s="543"/>
      <c r="T218" s="587"/>
      <c r="U218" s="580"/>
      <c r="V218" s="581"/>
      <c r="W218" s="543"/>
      <c r="X218" s="543"/>
      <c r="Y218" s="543"/>
      <c r="Z218" s="543"/>
      <c r="AA218" s="543"/>
      <c r="AB218" s="543"/>
      <c r="AC218" s="592"/>
      <c r="AD218" s="580"/>
      <c r="AE218" s="593">
        <f t="shared" si="78"/>
        <v>0</v>
      </c>
      <c r="AF218" s="594"/>
      <c r="AG218" s="593"/>
      <c r="AH218" s="594">
        <f t="shared" si="75"/>
        <v>0</v>
      </c>
      <c r="AI218" s="605"/>
      <c r="AJ218" s="606">
        <f t="shared" si="76"/>
        <v>0</v>
      </c>
    </row>
    <row r="219" spans="1:36" s="276" customFormat="1" ht="20.25">
      <c r="A219" s="537"/>
      <c r="B219" s="550"/>
      <c r="C219" s="549"/>
      <c r="D219" s="544"/>
      <c r="E219" s="541"/>
      <c r="F219" s="542"/>
      <c r="G219" s="542"/>
      <c r="H219" s="543"/>
      <c r="I219" s="543"/>
      <c r="J219" s="542"/>
      <c r="K219" s="579"/>
      <c r="L219" s="580"/>
      <c r="M219" s="581"/>
      <c r="N219" s="543"/>
      <c r="O219" s="543"/>
      <c r="P219" s="543"/>
      <c r="Q219" s="543"/>
      <c r="R219" s="543"/>
      <c r="S219" s="543"/>
      <c r="T219" s="587"/>
      <c r="U219" s="580"/>
      <c r="V219" s="581"/>
      <c r="W219" s="543"/>
      <c r="X219" s="543"/>
      <c r="Y219" s="543"/>
      <c r="Z219" s="543"/>
      <c r="AA219" s="543"/>
      <c r="AB219" s="543"/>
      <c r="AC219" s="592"/>
      <c r="AD219" s="580"/>
      <c r="AE219" s="593">
        <f t="shared" si="78"/>
        <v>0</v>
      </c>
      <c r="AF219" s="594"/>
      <c r="AG219" s="593"/>
      <c r="AH219" s="594">
        <f t="shared" si="75"/>
        <v>0</v>
      </c>
      <c r="AI219" s="605"/>
      <c r="AJ219" s="606">
        <f t="shared" si="76"/>
        <v>0</v>
      </c>
    </row>
    <row r="220" spans="1:36" s="234" customFormat="1" ht="20.25">
      <c r="A220" s="537"/>
      <c r="B220" s="550"/>
      <c r="C220" s="549"/>
      <c r="D220" s="544"/>
      <c r="E220" s="319"/>
      <c r="F220" s="320"/>
      <c r="G220" s="320"/>
      <c r="H220" s="321"/>
      <c r="I220" s="321"/>
      <c r="J220" s="320"/>
      <c r="K220" s="351"/>
      <c r="L220" s="352"/>
      <c r="M220" s="353"/>
      <c r="N220" s="321"/>
      <c r="O220" s="321"/>
      <c r="P220" s="321"/>
      <c r="Q220" s="321"/>
      <c r="R220" s="321"/>
      <c r="S220" s="321"/>
      <c r="T220" s="354"/>
      <c r="U220" s="352"/>
      <c r="V220" s="353"/>
      <c r="W220" s="321"/>
      <c r="X220" s="321"/>
      <c r="Y220" s="321"/>
      <c r="Z220" s="321"/>
      <c r="AA220" s="321"/>
      <c r="AB220" s="321"/>
      <c r="AC220" s="380"/>
      <c r="AD220" s="352"/>
      <c r="AE220" s="593">
        <f t="shared" si="78"/>
        <v>0</v>
      </c>
      <c r="AF220" s="409"/>
      <c r="AG220" s="408"/>
      <c r="AH220" s="409">
        <f t="shared" si="75"/>
        <v>0</v>
      </c>
      <c r="AI220" s="410"/>
      <c r="AJ220" s="411">
        <f t="shared" si="76"/>
        <v>0</v>
      </c>
    </row>
    <row r="221" spans="1:36" s="276" customFormat="1" ht="20.25">
      <c r="A221" s="537"/>
      <c r="B221" s="550"/>
      <c r="C221" s="549"/>
      <c r="D221" s="544"/>
      <c r="E221" s="541"/>
      <c r="F221" s="542"/>
      <c r="G221" s="542"/>
      <c r="H221" s="543"/>
      <c r="I221" s="543"/>
      <c r="J221" s="542"/>
      <c r="K221" s="579"/>
      <c r="L221" s="580"/>
      <c r="M221" s="581"/>
      <c r="N221" s="543"/>
      <c r="O221" s="543"/>
      <c r="P221" s="543"/>
      <c r="Q221" s="543"/>
      <c r="R221" s="543"/>
      <c r="S221" s="543"/>
      <c r="T221" s="587"/>
      <c r="U221" s="580"/>
      <c r="V221" s="581"/>
      <c r="W221" s="543"/>
      <c r="X221" s="543"/>
      <c r="Y221" s="543"/>
      <c r="Z221" s="543"/>
      <c r="AA221" s="543"/>
      <c r="AB221" s="543"/>
      <c r="AC221" s="592"/>
      <c r="AD221" s="580"/>
      <c r="AE221" s="593">
        <f t="shared" si="78"/>
        <v>0</v>
      </c>
      <c r="AF221" s="594"/>
      <c r="AG221" s="593"/>
      <c r="AH221" s="594">
        <f t="shared" si="75"/>
        <v>0</v>
      </c>
      <c r="AI221" s="605"/>
      <c r="AJ221" s="606">
        <f t="shared" si="76"/>
        <v>0</v>
      </c>
    </row>
    <row r="222" spans="1:36" s="276" customFormat="1" ht="20.25">
      <c r="A222" s="551"/>
      <c r="B222" s="552"/>
      <c r="C222" s="553"/>
      <c r="D222" s="544"/>
      <c r="E222" s="541"/>
      <c r="F222" s="542"/>
      <c r="G222" s="542"/>
      <c r="H222" s="543"/>
      <c r="I222" s="543"/>
      <c r="J222" s="542"/>
      <c r="K222" s="579"/>
      <c r="L222" s="580"/>
      <c r="M222" s="581"/>
      <c r="N222" s="543"/>
      <c r="O222" s="543"/>
      <c r="P222" s="543"/>
      <c r="Q222" s="543"/>
      <c r="R222" s="543"/>
      <c r="S222" s="543"/>
      <c r="T222" s="587"/>
      <c r="U222" s="580"/>
      <c r="V222" s="581"/>
      <c r="W222" s="543"/>
      <c r="X222" s="543"/>
      <c r="Y222" s="543"/>
      <c r="Z222" s="543"/>
      <c r="AA222" s="543"/>
      <c r="AB222" s="543"/>
      <c r="AC222" s="592"/>
      <c r="AD222" s="580"/>
      <c r="AE222" s="593">
        <f t="shared" si="78"/>
        <v>0</v>
      </c>
      <c r="AF222" s="594"/>
      <c r="AG222" s="593"/>
      <c r="AH222" s="594">
        <f t="shared" si="75"/>
        <v>0</v>
      </c>
      <c r="AI222" s="605"/>
      <c r="AJ222" s="606">
        <f t="shared" si="76"/>
        <v>0</v>
      </c>
    </row>
    <row r="223" spans="1:36" s="234" customFormat="1" ht="20.25">
      <c r="A223" s="537"/>
      <c r="B223" s="550"/>
      <c r="C223" s="549"/>
      <c r="D223" s="544"/>
      <c r="E223" s="541"/>
      <c r="F223" s="542"/>
      <c r="G223" s="542"/>
      <c r="H223" s="543"/>
      <c r="I223" s="543"/>
      <c r="J223" s="542"/>
      <c r="K223" s="579"/>
      <c r="L223" s="580"/>
      <c r="M223" s="581"/>
      <c r="N223" s="543"/>
      <c r="O223" s="543"/>
      <c r="P223" s="543"/>
      <c r="Q223" s="543"/>
      <c r="R223" s="543"/>
      <c r="S223" s="543"/>
      <c r="T223" s="587"/>
      <c r="U223" s="580"/>
      <c r="V223" s="581"/>
      <c r="W223" s="543"/>
      <c r="X223" s="543"/>
      <c r="Y223" s="543"/>
      <c r="Z223" s="543"/>
      <c r="AA223" s="543"/>
      <c r="AB223" s="543"/>
      <c r="AC223" s="592"/>
      <c r="AD223" s="580"/>
      <c r="AE223" s="593">
        <f t="shared" si="78"/>
        <v>0</v>
      </c>
      <c r="AF223" s="594"/>
      <c r="AG223" s="593"/>
      <c r="AH223" s="594">
        <f t="shared" si="75"/>
        <v>0</v>
      </c>
      <c r="AI223" s="605"/>
      <c r="AJ223" s="606">
        <f t="shared" si="76"/>
        <v>0</v>
      </c>
    </row>
    <row r="224" spans="1:36" s="276" customFormat="1" ht="20.25">
      <c r="A224" s="537"/>
      <c r="B224" s="550"/>
      <c r="C224" s="549"/>
      <c r="D224" s="544"/>
      <c r="E224" s="319"/>
      <c r="F224" s="320"/>
      <c r="G224" s="320"/>
      <c r="H224" s="321"/>
      <c r="I224" s="321"/>
      <c r="J224" s="320"/>
      <c r="K224" s="351"/>
      <c r="L224" s="352"/>
      <c r="M224" s="353"/>
      <c r="N224" s="321"/>
      <c r="O224" s="321"/>
      <c r="P224" s="321"/>
      <c r="Q224" s="321"/>
      <c r="R224" s="321"/>
      <c r="S224" s="321"/>
      <c r="T224" s="354"/>
      <c r="U224" s="352"/>
      <c r="V224" s="353"/>
      <c r="W224" s="321"/>
      <c r="X224" s="321"/>
      <c r="Y224" s="321"/>
      <c r="Z224" s="321"/>
      <c r="AA224" s="321"/>
      <c r="AB224" s="321"/>
      <c r="AC224" s="380"/>
      <c r="AD224" s="352"/>
      <c r="AE224" s="408">
        <f t="shared" si="78"/>
        <v>0</v>
      </c>
      <c r="AF224" s="409"/>
      <c r="AG224" s="408"/>
      <c r="AH224" s="409">
        <f t="shared" si="75"/>
        <v>0</v>
      </c>
      <c r="AI224" s="410"/>
      <c r="AJ224" s="411">
        <f t="shared" si="76"/>
        <v>0</v>
      </c>
    </row>
    <row r="225" spans="1:36" s="234" customFormat="1" ht="20.25">
      <c r="A225" s="537"/>
      <c r="B225" s="550"/>
      <c r="C225" s="549"/>
      <c r="D225" s="544"/>
      <c r="E225" s="541"/>
      <c r="F225" s="542"/>
      <c r="G225" s="542"/>
      <c r="H225" s="543"/>
      <c r="I225" s="543"/>
      <c r="J225" s="542"/>
      <c r="K225" s="579"/>
      <c r="L225" s="580"/>
      <c r="M225" s="581"/>
      <c r="N225" s="543"/>
      <c r="O225" s="543"/>
      <c r="P225" s="543"/>
      <c r="Q225" s="543"/>
      <c r="R225" s="543"/>
      <c r="S225" s="543"/>
      <c r="T225" s="587"/>
      <c r="U225" s="580"/>
      <c r="V225" s="581"/>
      <c r="W225" s="543"/>
      <c r="X225" s="543"/>
      <c r="Y225" s="543"/>
      <c r="Z225" s="543"/>
      <c r="AA225" s="543"/>
      <c r="AB225" s="543"/>
      <c r="AC225" s="592"/>
      <c r="AD225" s="580"/>
      <c r="AE225" s="593">
        <f t="shared" si="78"/>
        <v>0</v>
      </c>
      <c r="AF225" s="594"/>
      <c r="AG225" s="593"/>
      <c r="AH225" s="594">
        <f t="shared" si="75"/>
        <v>0</v>
      </c>
      <c r="AI225" s="605"/>
      <c r="AJ225" s="606">
        <f t="shared" si="76"/>
        <v>0</v>
      </c>
    </row>
    <row r="226" spans="1:36" s="276" customFormat="1" ht="20.25">
      <c r="A226" s="551"/>
      <c r="B226" s="552"/>
      <c r="C226" s="553"/>
      <c r="D226" s="568"/>
      <c r="E226" s="541"/>
      <c r="F226" s="542"/>
      <c r="G226" s="542"/>
      <c r="H226" s="543"/>
      <c r="I226" s="543"/>
      <c r="J226" s="542"/>
      <c r="K226" s="579"/>
      <c r="L226" s="580"/>
      <c r="M226" s="581"/>
      <c r="N226" s="543"/>
      <c r="O226" s="543"/>
      <c r="P226" s="543"/>
      <c r="Q226" s="543"/>
      <c r="R226" s="543"/>
      <c r="S226" s="543"/>
      <c r="T226" s="587"/>
      <c r="U226" s="580"/>
      <c r="V226" s="581"/>
      <c r="W226" s="543"/>
      <c r="X226" s="543"/>
      <c r="Y226" s="543"/>
      <c r="Z226" s="543"/>
      <c r="AA226" s="543"/>
      <c r="AB226" s="543"/>
      <c r="AC226" s="592"/>
      <c r="AD226" s="580"/>
      <c r="AE226" s="593">
        <f t="shared" si="78"/>
        <v>0</v>
      </c>
      <c r="AF226" s="594"/>
      <c r="AG226" s="593"/>
      <c r="AH226" s="594">
        <f t="shared" si="75"/>
        <v>0</v>
      </c>
      <c r="AI226" s="605"/>
      <c r="AJ226" s="606">
        <f t="shared" si="76"/>
        <v>0</v>
      </c>
    </row>
    <row r="227" spans="1:36" s="234" customFormat="1" ht="20.25">
      <c r="A227" s="551"/>
      <c r="B227" s="552"/>
      <c r="C227" s="553"/>
      <c r="D227" s="568"/>
      <c r="E227" s="319"/>
      <c r="F227" s="320"/>
      <c r="G227" s="320"/>
      <c r="H227" s="321"/>
      <c r="I227" s="321"/>
      <c r="J227" s="320"/>
      <c r="K227" s="351"/>
      <c r="L227" s="352"/>
      <c r="M227" s="353"/>
      <c r="N227" s="321"/>
      <c r="O227" s="321"/>
      <c r="P227" s="321"/>
      <c r="Q227" s="321"/>
      <c r="R227" s="321"/>
      <c r="S227" s="321"/>
      <c r="T227" s="354"/>
      <c r="U227" s="352"/>
      <c r="V227" s="353"/>
      <c r="W227" s="321"/>
      <c r="X227" s="321"/>
      <c r="Y227" s="321"/>
      <c r="Z227" s="321"/>
      <c r="AA227" s="321"/>
      <c r="AB227" s="321"/>
      <c r="AC227" s="380"/>
      <c r="AD227" s="352"/>
      <c r="AE227" s="408">
        <f t="shared" si="78"/>
        <v>0</v>
      </c>
      <c r="AF227" s="409"/>
      <c r="AG227" s="408"/>
      <c r="AH227" s="409">
        <f t="shared" si="75"/>
        <v>0</v>
      </c>
      <c r="AI227" s="410"/>
      <c r="AJ227" s="411">
        <f t="shared" si="76"/>
        <v>0</v>
      </c>
    </row>
    <row r="228" spans="1:36" s="234" customFormat="1" ht="20.25">
      <c r="A228" s="551"/>
      <c r="B228" s="552"/>
      <c r="C228" s="553"/>
      <c r="D228" s="568"/>
      <c r="E228" s="541"/>
      <c r="F228" s="542"/>
      <c r="G228" s="542"/>
      <c r="H228" s="543"/>
      <c r="I228" s="543"/>
      <c r="J228" s="542"/>
      <c r="K228" s="579"/>
      <c r="L228" s="580"/>
      <c r="M228" s="581"/>
      <c r="N228" s="543"/>
      <c r="O228" s="543"/>
      <c r="P228" s="543"/>
      <c r="Q228" s="543"/>
      <c r="R228" s="543"/>
      <c r="S228" s="543"/>
      <c r="T228" s="587"/>
      <c r="U228" s="580"/>
      <c r="V228" s="581"/>
      <c r="W228" s="543"/>
      <c r="X228" s="543"/>
      <c r="Y228" s="543"/>
      <c r="Z228" s="543"/>
      <c r="AA228" s="543"/>
      <c r="AB228" s="543"/>
      <c r="AC228" s="592"/>
      <c r="AD228" s="580"/>
      <c r="AE228" s="593">
        <f t="shared" si="78"/>
        <v>0</v>
      </c>
      <c r="AF228" s="594"/>
      <c r="AG228" s="593"/>
      <c r="AH228" s="594">
        <f t="shared" si="75"/>
        <v>0</v>
      </c>
      <c r="AI228" s="605"/>
      <c r="AJ228" s="606">
        <f t="shared" si="76"/>
        <v>0</v>
      </c>
    </row>
    <row r="229" spans="1:36" s="234" customFormat="1" ht="20.25">
      <c r="A229" s="551"/>
      <c r="B229" s="552"/>
      <c r="C229" s="553"/>
      <c r="D229" s="568"/>
      <c r="E229" s="319"/>
      <c r="F229" s="320"/>
      <c r="G229" s="320"/>
      <c r="H229" s="321"/>
      <c r="I229" s="321"/>
      <c r="J229" s="320"/>
      <c r="K229" s="351"/>
      <c r="L229" s="352"/>
      <c r="M229" s="353"/>
      <c r="N229" s="321"/>
      <c r="O229" s="321"/>
      <c r="P229" s="321"/>
      <c r="Q229" s="321"/>
      <c r="R229" s="321"/>
      <c r="S229" s="321"/>
      <c r="T229" s="354"/>
      <c r="U229" s="352"/>
      <c r="V229" s="353"/>
      <c r="W229" s="321"/>
      <c r="X229" s="321"/>
      <c r="Y229" s="321"/>
      <c r="Z229" s="321"/>
      <c r="AA229" s="321"/>
      <c r="AB229" s="321"/>
      <c r="AC229" s="380"/>
      <c r="AD229" s="352"/>
      <c r="AE229" s="408">
        <f t="shared" si="78"/>
        <v>0</v>
      </c>
      <c r="AF229" s="409"/>
      <c r="AG229" s="408"/>
      <c r="AH229" s="409">
        <f t="shared" si="75"/>
        <v>0</v>
      </c>
      <c r="AI229" s="410"/>
      <c r="AJ229" s="411">
        <f t="shared" si="76"/>
        <v>0</v>
      </c>
    </row>
    <row r="230" spans="1:36" s="234" customFormat="1" ht="20.25">
      <c r="A230" s="551"/>
      <c r="B230" s="552"/>
      <c r="C230" s="553"/>
      <c r="D230" s="568"/>
      <c r="E230" s="541"/>
      <c r="F230" s="542"/>
      <c r="G230" s="542"/>
      <c r="H230" s="543"/>
      <c r="I230" s="543"/>
      <c r="J230" s="542"/>
      <c r="K230" s="579"/>
      <c r="L230" s="580"/>
      <c r="M230" s="581"/>
      <c r="N230" s="543"/>
      <c r="O230" s="543"/>
      <c r="P230" s="543"/>
      <c r="Q230" s="543"/>
      <c r="R230" s="543"/>
      <c r="S230" s="543"/>
      <c r="T230" s="587"/>
      <c r="U230" s="580"/>
      <c r="V230" s="581"/>
      <c r="W230" s="543"/>
      <c r="X230" s="543"/>
      <c r="Y230" s="543"/>
      <c r="Z230" s="543"/>
      <c r="AA230" s="543"/>
      <c r="AB230" s="543"/>
      <c r="AC230" s="592"/>
      <c r="AD230" s="580"/>
      <c r="AE230" s="593">
        <f t="shared" si="78"/>
        <v>0</v>
      </c>
      <c r="AF230" s="594"/>
      <c r="AG230" s="593"/>
      <c r="AH230" s="594">
        <f t="shared" si="75"/>
        <v>0</v>
      </c>
      <c r="AI230" s="605"/>
      <c r="AJ230" s="606">
        <f t="shared" si="76"/>
        <v>0</v>
      </c>
    </row>
    <row r="231" spans="1:36" s="234" customFormat="1" ht="20.25">
      <c r="A231" s="551"/>
      <c r="B231" s="552"/>
      <c r="C231" s="553"/>
      <c r="D231" s="568"/>
      <c r="E231" s="319"/>
      <c r="F231" s="320"/>
      <c r="G231" s="320"/>
      <c r="H231" s="321"/>
      <c r="I231" s="321"/>
      <c r="J231" s="320"/>
      <c r="K231" s="351"/>
      <c r="L231" s="352"/>
      <c r="M231" s="353"/>
      <c r="N231" s="321"/>
      <c r="O231" s="321"/>
      <c r="P231" s="321"/>
      <c r="Q231" s="321"/>
      <c r="R231" s="321"/>
      <c r="S231" s="321"/>
      <c r="T231" s="354"/>
      <c r="U231" s="352"/>
      <c r="V231" s="353"/>
      <c r="W231" s="321"/>
      <c r="X231" s="321"/>
      <c r="Y231" s="321"/>
      <c r="Z231" s="321"/>
      <c r="AA231" s="321"/>
      <c r="AB231" s="321"/>
      <c r="AC231" s="380"/>
      <c r="AD231" s="352"/>
      <c r="AE231" s="408">
        <f t="shared" si="78"/>
        <v>0</v>
      </c>
      <c r="AF231" s="409"/>
      <c r="AG231" s="408"/>
      <c r="AH231" s="409">
        <f t="shared" si="75"/>
        <v>0</v>
      </c>
      <c r="AI231" s="410"/>
      <c r="AJ231" s="411">
        <f t="shared" si="76"/>
        <v>0</v>
      </c>
    </row>
    <row r="232" spans="1:36" s="234" customFormat="1" ht="20.25">
      <c r="A232" s="551"/>
      <c r="B232" s="552"/>
      <c r="C232" s="615"/>
      <c r="D232" s="616"/>
      <c r="E232" s="319"/>
      <c r="F232" s="320"/>
      <c r="G232" s="320"/>
      <c r="H232" s="321"/>
      <c r="I232" s="321"/>
      <c r="J232" s="320"/>
      <c r="K232" s="351"/>
      <c r="L232" s="352"/>
      <c r="M232" s="353"/>
      <c r="N232" s="321"/>
      <c r="O232" s="321"/>
      <c r="P232" s="321"/>
      <c r="Q232" s="321"/>
      <c r="R232" s="321"/>
      <c r="S232" s="321"/>
      <c r="T232" s="354"/>
      <c r="U232" s="352"/>
      <c r="V232" s="353"/>
      <c r="W232" s="321"/>
      <c r="X232" s="321"/>
      <c r="Y232" s="321"/>
      <c r="Z232" s="321"/>
      <c r="AA232" s="321"/>
      <c r="AB232" s="321"/>
      <c r="AC232" s="380"/>
      <c r="AD232" s="352"/>
      <c r="AE232" s="408">
        <f t="shared" si="78"/>
        <v>0</v>
      </c>
      <c r="AF232" s="409"/>
      <c r="AG232" s="408"/>
      <c r="AH232" s="409">
        <f t="shared" si="75"/>
        <v>0</v>
      </c>
      <c r="AI232" s="410"/>
      <c r="AJ232" s="411">
        <f t="shared" si="76"/>
        <v>0</v>
      </c>
    </row>
    <row r="233" spans="1:36" s="234" customFormat="1" ht="20.25">
      <c r="A233" s="551"/>
      <c r="B233" s="552"/>
      <c r="C233" s="553"/>
      <c r="D233" s="568"/>
      <c r="E233" s="319"/>
      <c r="F233" s="320"/>
      <c r="G233" s="320"/>
      <c r="H233" s="321"/>
      <c r="I233" s="321"/>
      <c r="J233" s="320"/>
      <c r="K233" s="351"/>
      <c r="L233" s="352"/>
      <c r="M233" s="353"/>
      <c r="N233" s="321"/>
      <c r="O233" s="321"/>
      <c r="P233" s="321"/>
      <c r="Q233" s="321"/>
      <c r="R233" s="321"/>
      <c r="S233" s="321"/>
      <c r="T233" s="354"/>
      <c r="U233" s="352"/>
      <c r="V233" s="353"/>
      <c r="W233" s="321"/>
      <c r="X233" s="321"/>
      <c r="Y233" s="321"/>
      <c r="Z233" s="321"/>
      <c r="AA233" s="321"/>
      <c r="AB233" s="321"/>
      <c r="AC233" s="380"/>
      <c r="AD233" s="352"/>
      <c r="AE233" s="408">
        <f t="shared" si="78"/>
        <v>0</v>
      </c>
      <c r="AF233" s="409"/>
      <c r="AG233" s="408"/>
      <c r="AH233" s="409">
        <f t="shared" si="75"/>
        <v>0</v>
      </c>
      <c r="AI233" s="410"/>
      <c r="AJ233" s="411">
        <f t="shared" si="76"/>
        <v>0</v>
      </c>
    </row>
    <row r="234" spans="1:36" s="234" customFormat="1" ht="20.25">
      <c r="A234" s="551"/>
      <c r="B234" s="552"/>
      <c r="C234" s="553"/>
      <c r="D234" s="568"/>
      <c r="E234" s="319"/>
      <c r="F234" s="320"/>
      <c r="G234" s="320"/>
      <c r="H234" s="321"/>
      <c r="I234" s="321"/>
      <c r="J234" s="320"/>
      <c r="K234" s="351"/>
      <c r="L234" s="352"/>
      <c r="M234" s="353"/>
      <c r="N234" s="321"/>
      <c r="O234" s="321"/>
      <c r="P234" s="321"/>
      <c r="Q234" s="321"/>
      <c r="R234" s="321"/>
      <c r="S234" s="321"/>
      <c r="T234" s="354"/>
      <c r="U234" s="352"/>
      <c r="V234" s="353"/>
      <c r="W234" s="321"/>
      <c r="X234" s="321"/>
      <c r="Y234" s="321"/>
      <c r="Z234" s="321"/>
      <c r="AA234" s="321"/>
      <c r="AB234" s="321"/>
      <c r="AC234" s="380"/>
      <c r="AD234" s="352"/>
      <c r="AE234" s="408">
        <f t="shared" si="78"/>
        <v>0</v>
      </c>
      <c r="AF234" s="409"/>
      <c r="AG234" s="408"/>
      <c r="AH234" s="409">
        <f t="shared" si="75"/>
        <v>0</v>
      </c>
      <c r="AI234" s="410"/>
      <c r="AJ234" s="411">
        <f t="shared" si="76"/>
        <v>0</v>
      </c>
    </row>
    <row r="235" spans="1:36" s="234" customFormat="1" ht="20.25">
      <c r="A235" s="551"/>
      <c r="B235" s="569"/>
      <c r="C235" s="553"/>
      <c r="D235" s="793"/>
      <c r="E235" s="319"/>
      <c r="F235" s="320"/>
      <c r="G235" s="320"/>
      <c r="H235" s="321"/>
      <c r="I235" s="321"/>
      <c r="J235" s="320"/>
      <c r="K235" s="351"/>
      <c r="L235" s="352"/>
      <c r="M235" s="353"/>
      <c r="N235" s="321"/>
      <c r="O235" s="321"/>
      <c r="P235" s="321"/>
      <c r="Q235" s="321"/>
      <c r="R235" s="321"/>
      <c r="S235" s="321"/>
      <c r="T235" s="354"/>
      <c r="U235" s="352"/>
      <c r="V235" s="353"/>
      <c r="W235" s="321"/>
      <c r="X235" s="321"/>
      <c r="Y235" s="321"/>
      <c r="Z235" s="321"/>
      <c r="AA235" s="321"/>
      <c r="AB235" s="321"/>
      <c r="AC235" s="380"/>
      <c r="AD235" s="352"/>
      <c r="AE235" s="408">
        <f t="shared" si="78"/>
        <v>0</v>
      </c>
      <c r="AF235" s="409"/>
      <c r="AG235" s="408"/>
      <c r="AH235" s="409">
        <f t="shared" si="75"/>
        <v>0</v>
      </c>
      <c r="AI235" s="410"/>
      <c r="AJ235" s="411">
        <f t="shared" si="76"/>
        <v>0</v>
      </c>
    </row>
    <row r="236" spans="1:36" s="234" customFormat="1" ht="20.25">
      <c r="A236" s="551"/>
      <c r="B236" s="569"/>
      <c r="C236" s="553"/>
      <c r="D236" s="793"/>
      <c r="E236" s="319"/>
      <c r="F236" s="320"/>
      <c r="G236" s="320"/>
      <c r="H236" s="321"/>
      <c r="I236" s="321"/>
      <c r="J236" s="320"/>
      <c r="K236" s="351"/>
      <c r="L236" s="352"/>
      <c r="M236" s="353"/>
      <c r="N236" s="321"/>
      <c r="O236" s="321"/>
      <c r="P236" s="321"/>
      <c r="Q236" s="321"/>
      <c r="R236" s="321"/>
      <c r="S236" s="321"/>
      <c r="T236" s="354"/>
      <c r="U236" s="352"/>
      <c r="V236" s="353"/>
      <c r="W236" s="321"/>
      <c r="X236" s="321"/>
      <c r="Y236" s="321"/>
      <c r="Z236" s="321"/>
      <c r="AA236" s="321"/>
      <c r="AB236" s="321"/>
      <c r="AC236" s="380"/>
      <c r="AD236" s="352"/>
      <c r="AE236" s="408">
        <f t="shared" si="78"/>
        <v>0</v>
      </c>
      <c r="AF236" s="409"/>
      <c r="AG236" s="408"/>
      <c r="AH236" s="409">
        <f t="shared" si="75"/>
        <v>0</v>
      </c>
      <c r="AI236" s="410"/>
      <c r="AJ236" s="411">
        <f t="shared" si="76"/>
        <v>0</v>
      </c>
    </row>
    <row r="237" spans="1:36" s="234" customFormat="1" ht="20.25">
      <c r="A237" s="551"/>
      <c r="B237" s="569"/>
      <c r="C237" s="553"/>
      <c r="D237" s="793"/>
      <c r="E237" s="319"/>
      <c r="F237" s="320"/>
      <c r="G237" s="320"/>
      <c r="H237" s="321"/>
      <c r="I237" s="321"/>
      <c r="J237" s="320"/>
      <c r="K237" s="351"/>
      <c r="L237" s="352"/>
      <c r="M237" s="353"/>
      <c r="N237" s="321"/>
      <c r="O237" s="321"/>
      <c r="P237" s="321"/>
      <c r="Q237" s="321"/>
      <c r="R237" s="321"/>
      <c r="S237" s="321"/>
      <c r="T237" s="354"/>
      <c r="U237" s="352"/>
      <c r="V237" s="353"/>
      <c r="W237" s="321"/>
      <c r="X237" s="321"/>
      <c r="Y237" s="321"/>
      <c r="Z237" s="321"/>
      <c r="AA237" s="321"/>
      <c r="AB237" s="321"/>
      <c r="AC237" s="380"/>
      <c r="AD237" s="352"/>
      <c r="AE237" s="408">
        <f t="shared" si="78"/>
        <v>0</v>
      </c>
      <c r="AF237" s="409"/>
      <c r="AG237" s="408"/>
      <c r="AH237" s="409">
        <f t="shared" si="75"/>
        <v>0</v>
      </c>
      <c r="AI237" s="410"/>
      <c r="AJ237" s="411">
        <f t="shared" si="76"/>
        <v>0</v>
      </c>
    </row>
    <row r="238" spans="1:36" s="234" customFormat="1" ht="20.25">
      <c r="A238" s="551"/>
      <c r="B238" s="569"/>
      <c r="C238" s="553"/>
      <c r="D238" s="793"/>
      <c r="E238" s="319"/>
      <c r="F238" s="320"/>
      <c r="G238" s="320"/>
      <c r="H238" s="321"/>
      <c r="I238" s="321"/>
      <c r="J238" s="320"/>
      <c r="K238" s="351"/>
      <c r="L238" s="352"/>
      <c r="M238" s="353"/>
      <c r="N238" s="321"/>
      <c r="O238" s="321"/>
      <c r="P238" s="321"/>
      <c r="Q238" s="321"/>
      <c r="R238" s="321"/>
      <c r="S238" s="321"/>
      <c r="T238" s="354"/>
      <c r="U238" s="352"/>
      <c r="V238" s="353"/>
      <c r="W238" s="321"/>
      <c r="X238" s="321"/>
      <c r="Y238" s="321"/>
      <c r="Z238" s="321"/>
      <c r="AA238" s="321"/>
      <c r="AB238" s="321"/>
      <c r="AC238" s="380"/>
      <c r="AD238" s="352"/>
      <c r="AE238" s="408">
        <f t="shared" si="78"/>
        <v>0</v>
      </c>
      <c r="AF238" s="409"/>
      <c r="AG238" s="408"/>
      <c r="AH238" s="409">
        <f t="shared" si="75"/>
        <v>0</v>
      </c>
      <c r="AI238" s="410"/>
      <c r="AJ238" s="411">
        <f t="shared" si="76"/>
        <v>0</v>
      </c>
    </row>
    <row r="239" spans="1:36" s="234" customFormat="1" ht="20.25">
      <c r="A239" s="551"/>
      <c r="B239" s="569"/>
      <c r="C239" s="553"/>
      <c r="D239" s="793"/>
      <c r="E239" s="611"/>
      <c r="F239" s="612"/>
      <c r="G239" s="612"/>
      <c r="H239" s="613"/>
      <c r="I239" s="613"/>
      <c r="J239" s="612"/>
      <c r="K239" s="653"/>
      <c r="L239" s="654"/>
      <c r="M239" s="655"/>
      <c r="N239" s="613"/>
      <c r="O239" s="613"/>
      <c r="P239" s="613"/>
      <c r="Q239" s="613"/>
      <c r="R239" s="613"/>
      <c r="S239" s="613"/>
      <c r="T239" s="670"/>
      <c r="U239" s="654"/>
      <c r="V239" s="655"/>
      <c r="W239" s="613"/>
      <c r="X239" s="613"/>
      <c r="Y239" s="613"/>
      <c r="Z239" s="613"/>
      <c r="AA239" s="613"/>
      <c r="AB239" s="613"/>
      <c r="AC239" s="678"/>
      <c r="AD239" s="654"/>
      <c r="AE239" s="679">
        <f t="shared" si="78"/>
        <v>0</v>
      </c>
      <c r="AF239" s="680"/>
      <c r="AG239" s="679"/>
      <c r="AH239" s="680">
        <f t="shared" si="75"/>
        <v>0</v>
      </c>
      <c r="AI239" s="697"/>
      <c r="AJ239" s="698">
        <f t="shared" si="76"/>
        <v>0</v>
      </c>
    </row>
    <row r="240" spans="1:36" s="234" customFormat="1" ht="20.25">
      <c r="A240" s="551"/>
      <c r="B240" s="567"/>
      <c r="C240" s="553"/>
      <c r="D240" s="838"/>
      <c r="E240" s="617"/>
      <c r="F240" s="618"/>
      <c r="G240" s="618"/>
      <c r="H240" s="619"/>
      <c r="I240" s="619"/>
      <c r="J240" s="618"/>
      <c r="K240" s="656"/>
      <c r="L240" s="657"/>
      <c r="M240" s="658"/>
      <c r="N240" s="619"/>
      <c r="O240" s="619"/>
      <c r="P240" s="619"/>
      <c r="Q240" s="619"/>
      <c r="R240" s="619"/>
      <c r="S240" s="619"/>
      <c r="T240" s="671"/>
      <c r="U240" s="657"/>
      <c r="V240" s="658"/>
      <c r="W240" s="619"/>
      <c r="X240" s="619"/>
      <c r="Y240" s="619"/>
      <c r="Z240" s="619"/>
      <c r="AA240" s="619"/>
      <c r="AB240" s="619"/>
      <c r="AC240" s="681"/>
      <c r="AD240" s="657"/>
      <c r="AE240" s="682">
        <f t="shared" si="78"/>
        <v>0</v>
      </c>
      <c r="AF240" s="683"/>
      <c r="AG240" s="682"/>
      <c r="AH240" s="683">
        <f t="shared" si="75"/>
        <v>0</v>
      </c>
      <c r="AI240" s="699"/>
      <c r="AJ240" s="700">
        <f t="shared" si="76"/>
        <v>0</v>
      </c>
    </row>
    <row r="241" spans="1:39" s="234" customFormat="1" ht="20.25">
      <c r="A241" s="551"/>
      <c r="B241" s="569"/>
      <c r="C241" s="553"/>
      <c r="D241" s="865"/>
      <c r="E241" s="320"/>
      <c r="F241" s="320"/>
      <c r="G241" s="320"/>
      <c r="H241" s="321"/>
      <c r="I241" s="321"/>
      <c r="J241" s="320"/>
      <c r="K241" s="321"/>
      <c r="L241" s="842"/>
      <c r="M241" s="321"/>
      <c r="N241" s="321"/>
      <c r="O241" s="321"/>
      <c r="P241" s="321"/>
      <c r="Q241" s="321"/>
      <c r="R241" s="321"/>
      <c r="S241" s="321"/>
      <c r="T241" s="842"/>
      <c r="U241" s="842"/>
      <c r="V241" s="321"/>
      <c r="W241" s="321"/>
      <c r="X241" s="321"/>
      <c r="Y241" s="321"/>
      <c r="Z241" s="321"/>
      <c r="AA241" s="321"/>
      <c r="AB241" s="321"/>
      <c r="AC241" s="320"/>
      <c r="AD241" s="842"/>
      <c r="AE241" s="321">
        <f t="shared" si="78"/>
        <v>0</v>
      </c>
      <c r="AF241" s="321"/>
      <c r="AG241" s="321"/>
      <c r="AH241" s="321">
        <f t="shared" si="75"/>
        <v>0</v>
      </c>
      <c r="AI241" s="845"/>
      <c r="AJ241" s="846">
        <f t="shared" si="76"/>
        <v>0</v>
      </c>
    </row>
    <row r="242" spans="1:39" s="234" customFormat="1" ht="20.25">
      <c r="A242" s="551"/>
      <c r="B242" s="567"/>
      <c r="C242" s="553"/>
      <c r="D242" s="838"/>
      <c r="E242" s="320"/>
      <c r="F242" s="320"/>
      <c r="G242" s="320"/>
      <c r="H242" s="321"/>
      <c r="I242" s="321"/>
      <c r="J242" s="320"/>
      <c r="K242" s="321"/>
      <c r="L242" s="842"/>
      <c r="M242" s="321"/>
      <c r="N242" s="321"/>
      <c r="O242" s="321"/>
      <c r="P242" s="321"/>
      <c r="Q242" s="321"/>
      <c r="R242" s="321"/>
      <c r="S242" s="321"/>
      <c r="T242" s="842"/>
      <c r="U242" s="842"/>
      <c r="V242" s="321"/>
      <c r="W242" s="321"/>
      <c r="X242" s="321"/>
      <c r="Y242" s="321"/>
      <c r="Z242" s="321"/>
      <c r="AA242" s="321"/>
      <c r="AB242" s="321"/>
      <c r="AC242" s="320"/>
      <c r="AD242" s="842"/>
      <c r="AE242" s="321">
        <f t="shared" si="78"/>
        <v>0</v>
      </c>
      <c r="AF242" s="321"/>
      <c r="AG242" s="321"/>
      <c r="AH242" s="321">
        <f t="shared" si="75"/>
        <v>0</v>
      </c>
      <c r="AI242" s="845"/>
      <c r="AJ242" s="846">
        <f t="shared" si="76"/>
        <v>0</v>
      </c>
    </row>
    <row r="243" spans="1:39" s="234" customFormat="1" ht="20.25">
      <c r="A243" s="551"/>
      <c r="B243" s="567"/>
      <c r="C243" s="553"/>
      <c r="D243" s="838"/>
      <c r="E243" s="320"/>
      <c r="F243" s="320"/>
      <c r="G243" s="320"/>
      <c r="H243" s="321"/>
      <c r="I243" s="321"/>
      <c r="J243" s="320"/>
      <c r="K243" s="321"/>
      <c r="L243" s="842"/>
      <c r="M243" s="321"/>
      <c r="N243" s="321"/>
      <c r="O243" s="321"/>
      <c r="P243" s="321"/>
      <c r="Q243" s="321"/>
      <c r="R243" s="321"/>
      <c r="S243" s="321"/>
      <c r="T243" s="842"/>
      <c r="U243" s="842"/>
      <c r="V243" s="321"/>
      <c r="W243" s="321"/>
      <c r="X243" s="321"/>
      <c r="Y243" s="321"/>
      <c r="Z243" s="321"/>
      <c r="AA243" s="321"/>
      <c r="AB243" s="321"/>
      <c r="AC243" s="320"/>
      <c r="AD243" s="842"/>
      <c r="AE243" s="321">
        <f t="shared" si="78"/>
        <v>0</v>
      </c>
      <c r="AF243" s="321"/>
      <c r="AG243" s="321"/>
      <c r="AH243" s="321">
        <f t="shared" si="75"/>
        <v>0</v>
      </c>
      <c r="AI243" s="845"/>
      <c r="AJ243" s="846">
        <f t="shared" si="76"/>
        <v>0</v>
      </c>
    </row>
    <row r="244" spans="1:39" ht="20.25">
      <c r="A244" s="551"/>
      <c r="B244" s="567"/>
      <c r="C244" s="553"/>
      <c r="D244" s="838"/>
      <c r="E244" s="320"/>
      <c r="F244" s="320"/>
      <c r="G244" s="320"/>
      <c r="H244" s="321"/>
      <c r="I244" s="321"/>
      <c r="J244" s="320"/>
      <c r="K244" s="321"/>
      <c r="L244" s="842"/>
      <c r="M244" s="321"/>
      <c r="N244" s="321"/>
      <c r="O244" s="321"/>
      <c r="P244" s="321"/>
      <c r="Q244" s="321"/>
      <c r="R244" s="321"/>
      <c r="S244" s="321"/>
      <c r="T244" s="842"/>
      <c r="U244" s="842"/>
      <c r="V244" s="321"/>
      <c r="W244" s="321"/>
      <c r="X244" s="321"/>
      <c r="Y244" s="321"/>
      <c r="Z244" s="321"/>
      <c r="AA244" s="321"/>
      <c r="AB244" s="321"/>
      <c r="AC244" s="320"/>
      <c r="AD244" s="842"/>
      <c r="AE244" s="321">
        <f t="shared" si="78"/>
        <v>0</v>
      </c>
      <c r="AF244" s="321"/>
      <c r="AG244" s="321"/>
      <c r="AH244" s="321">
        <f t="shared" si="75"/>
        <v>0</v>
      </c>
      <c r="AI244" s="845"/>
      <c r="AJ244" s="846">
        <f t="shared" si="76"/>
        <v>0</v>
      </c>
      <c r="AL244" s="694"/>
    </row>
    <row r="245" spans="1:39" ht="20.25">
      <c r="A245" s="551"/>
      <c r="B245" s="567"/>
      <c r="C245" s="553"/>
      <c r="D245" s="838"/>
      <c r="E245" s="320"/>
      <c r="F245" s="320"/>
      <c r="G245" s="320"/>
      <c r="H245" s="321"/>
      <c r="I245" s="321"/>
      <c r="J245" s="320"/>
      <c r="K245" s="321"/>
      <c r="L245" s="842"/>
      <c r="M245" s="321"/>
      <c r="N245" s="321"/>
      <c r="O245" s="321"/>
      <c r="P245" s="321"/>
      <c r="Q245" s="321"/>
      <c r="R245" s="321"/>
      <c r="S245" s="321"/>
      <c r="T245" s="842"/>
      <c r="U245" s="842"/>
      <c r="V245" s="321"/>
      <c r="W245" s="321"/>
      <c r="X245" s="321"/>
      <c r="Y245" s="321"/>
      <c r="Z245" s="321"/>
      <c r="AA245" s="321"/>
      <c r="AB245" s="321"/>
      <c r="AC245" s="320"/>
      <c r="AD245" s="842"/>
      <c r="AE245" s="321">
        <f t="shared" si="78"/>
        <v>0</v>
      </c>
      <c r="AF245" s="321"/>
      <c r="AG245" s="321"/>
      <c r="AH245" s="321">
        <f t="shared" ref="AH245:AH247" si="82">AE245+AF245+AG245</f>
        <v>0</v>
      </c>
      <c r="AI245" s="845"/>
      <c r="AJ245" s="846">
        <f t="shared" ref="AJ245:AJ247" si="83">AH245+AI245</f>
        <v>0</v>
      </c>
    </row>
    <row r="246" spans="1:39" s="284" customFormat="1" ht="20.25">
      <c r="A246" s="551"/>
      <c r="B246" s="567"/>
      <c r="C246" s="553"/>
      <c r="D246" s="838"/>
      <c r="E246" s="320"/>
      <c r="F246" s="320"/>
      <c r="G246" s="320"/>
      <c r="H246" s="321"/>
      <c r="I246" s="321"/>
      <c r="J246" s="320"/>
      <c r="K246" s="321"/>
      <c r="L246" s="842"/>
      <c r="M246" s="321"/>
      <c r="N246" s="321"/>
      <c r="O246" s="321"/>
      <c r="P246" s="321"/>
      <c r="Q246" s="321"/>
      <c r="R246" s="321"/>
      <c r="S246" s="321"/>
      <c r="T246" s="842"/>
      <c r="U246" s="842"/>
      <c r="V246" s="321"/>
      <c r="W246" s="321"/>
      <c r="X246" s="321"/>
      <c r="Y246" s="321"/>
      <c r="Z246" s="321"/>
      <c r="AA246" s="321"/>
      <c r="AB246" s="321"/>
      <c r="AC246" s="320"/>
      <c r="AD246" s="842"/>
      <c r="AE246" s="321">
        <f t="shared" si="78"/>
        <v>0</v>
      </c>
      <c r="AF246" s="321"/>
      <c r="AG246" s="321"/>
      <c r="AH246" s="321">
        <f t="shared" si="82"/>
        <v>0</v>
      </c>
      <c r="AI246" s="845"/>
      <c r="AJ246" s="846">
        <f t="shared" si="83"/>
        <v>0</v>
      </c>
      <c r="AK246" s="403"/>
      <c r="AL246" s="403"/>
      <c r="AM246" s="403"/>
    </row>
    <row r="247" spans="1:39" s="282" customFormat="1" ht="21" thickBot="1">
      <c r="A247" s="551"/>
      <c r="B247" s="567"/>
      <c r="C247" s="553"/>
      <c r="D247" s="838"/>
      <c r="E247" s="618"/>
      <c r="F247" s="618"/>
      <c r="G247" s="618"/>
      <c r="H247" s="619"/>
      <c r="I247" s="619"/>
      <c r="J247" s="618"/>
      <c r="K247" s="619"/>
      <c r="L247" s="866"/>
      <c r="M247" s="619"/>
      <c r="N247" s="619"/>
      <c r="O247" s="619"/>
      <c r="P247" s="619"/>
      <c r="Q247" s="619"/>
      <c r="R247" s="619"/>
      <c r="S247" s="619"/>
      <c r="T247" s="866"/>
      <c r="U247" s="866"/>
      <c r="V247" s="619"/>
      <c r="W247" s="619"/>
      <c r="X247" s="619"/>
      <c r="Y247" s="619"/>
      <c r="Z247" s="619"/>
      <c r="AA247" s="619"/>
      <c r="AB247" s="619"/>
      <c r="AC247" s="618"/>
      <c r="AD247" s="842"/>
      <c r="AE247" s="619">
        <f t="shared" si="78"/>
        <v>0</v>
      </c>
      <c r="AF247" s="619"/>
      <c r="AG247" s="619"/>
      <c r="AH247" s="619">
        <f t="shared" si="82"/>
        <v>0</v>
      </c>
      <c r="AI247" s="867"/>
      <c r="AJ247" s="868">
        <f t="shared" si="83"/>
        <v>0</v>
      </c>
    </row>
    <row r="248" spans="1:39" s="283" customFormat="1" ht="21" thickBot="1">
      <c r="A248" s="526" t="s">
        <v>151</v>
      </c>
      <c r="B248" s="840"/>
      <c r="C248" s="840"/>
      <c r="D248" s="528"/>
      <c r="E248" s="529">
        <f t="shared" ref="E248:K248" si="84">SUM(E176:E247)</f>
        <v>0</v>
      </c>
      <c r="F248" s="529">
        <f t="shared" si="84"/>
        <v>72</v>
      </c>
      <c r="G248" s="529">
        <f t="shared" si="84"/>
        <v>60</v>
      </c>
      <c r="H248" s="529">
        <f t="shared" si="84"/>
        <v>72</v>
      </c>
      <c r="I248" s="529">
        <f t="shared" si="84"/>
        <v>0</v>
      </c>
      <c r="J248" s="529">
        <f t="shared" si="84"/>
        <v>0</v>
      </c>
      <c r="K248" s="529">
        <f t="shared" si="84"/>
        <v>0</v>
      </c>
      <c r="L248" s="529"/>
      <c r="M248" s="529">
        <f t="shared" ref="M248:T248" si="85">SUM(M176:M247)</f>
        <v>54</v>
      </c>
      <c r="N248" s="529">
        <f t="shared" si="85"/>
        <v>0</v>
      </c>
      <c r="O248" s="529">
        <f t="shared" si="85"/>
        <v>12</v>
      </c>
      <c r="P248" s="529">
        <f t="shared" si="85"/>
        <v>0</v>
      </c>
      <c r="Q248" s="529">
        <f t="shared" si="85"/>
        <v>0</v>
      </c>
      <c r="R248" s="529">
        <f t="shared" si="85"/>
        <v>0</v>
      </c>
      <c r="S248" s="529">
        <f t="shared" si="85"/>
        <v>0</v>
      </c>
      <c r="T248" s="529">
        <f t="shared" si="85"/>
        <v>0</v>
      </c>
      <c r="U248" s="529"/>
      <c r="V248" s="529">
        <f t="shared" ref="V248:AC248" si="86">SUM(V176:V247)</f>
        <v>0</v>
      </c>
      <c r="W248" s="529">
        <f t="shared" si="86"/>
        <v>0</v>
      </c>
      <c r="X248" s="529">
        <f t="shared" si="86"/>
        <v>0</v>
      </c>
      <c r="Y248" s="529">
        <f t="shared" si="86"/>
        <v>0</v>
      </c>
      <c r="Z248" s="529">
        <f t="shared" si="86"/>
        <v>0</v>
      </c>
      <c r="AA248" s="529">
        <f t="shared" si="86"/>
        <v>0</v>
      </c>
      <c r="AB248" s="529">
        <f t="shared" si="86"/>
        <v>0</v>
      </c>
      <c r="AC248" s="529">
        <f t="shared" si="86"/>
        <v>0</v>
      </c>
      <c r="AD248" s="529"/>
      <c r="AE248" s="529">
        <f t="shared" ref="AE248:AJ248" si="87">SUM(AE176:AE247)</f>
        <v>270</v>
      </c>
      <c r="AF248" s="529">
        <f t="shared" si="87"/>
        <v>0</v>
      </c>
      <c r="AG248" s="529">
        <f t="shared" si="87"/>
        <v>0</v>
      </c>
      <c r="AH248" s="529">
        <f t="shared" si="87"/>
        <v>270</v>
      </c>
      <c r="AI248" s="529">
        <f t="shared" si="87"/>
        <v>0</v>
      </c>
      <c r="AJ248" s="529">
        <f t="shared" si="87"/>
        <v>270</v>
      </c>
    </row>
    <row r="249" spans="1:39" s="283" customFormat="1" ht="21" thickBot="1">
      <c r="A249" s="530" t="s">
        <v>516</v>
      </c>
      <c r="B249" s="531"/>
      <c r="C249" s="531"/>
      <c r="D249" s="630"/>
      <c r="E249" s="533">
        <f t="shared" ref="E249:K249" si="88">E248/6</f>
        <v>0</v>
      </c>
      <c r="F249" s="534">
        <f t="shared" si="88"/>
        <v>12</v>
      </c>
      <c r="G249" s="534">
        <f t="shared" si="88"/>
        <v>10</v>
      </c>
      <c r="H249" s="534">
        <f t="shared" si="88"/>
        <v>12</v>
      </c>
      <c r="I249" s="534">
        <f t="shared" si="88"/>
        <v>0</v>
      </c>
      <c r="J249" s="534">
        <f t="shared" si="88"/>
        <v>0</v>
      </c>
      <c r="K249" s="534">
        <f t="shared" si="88"/>
        <v>0</v>
      </c>
      <c r="L249" s="3477"/>
      <c r="M249" s="576">
        <f t="shared" ref="M249:T249" si="89">M248/6</f>
        <v>9</v>
      </c>
      <c r="N249" s="576">
        <f t="shared" si="89"/>
        <v>0</v>
      </c>
      <c r="O249" s="576">
        <f t="shared" si="89"/>
        <v>2</v>
      </c>
      <c r="P249" s="576">
        <f t="shared" si="89"/>
        <v>0</v>
      </c>
      <c r="Q249" s="576">
        <f t="shared" si="89"/>
        <v>0</v>
      </c>
      <c r="R249" s="576">
        <f t="shared" si="89"/>
        <v>0</v>
      </c>
      <c r="S249" s="576">
        <f t="shared" si="89"/>
        <v>0</v>
      </c>
      <c r="T249" s="576">
        <f t="shared" si="89"/>
        <v>0</v>
      </c>
      <c r="U249" s="3477"/>
      <c r="V249" s="576">
        <f t="shared" ref="V249:AC249" si="90">V248/6</f>
        <v>0</v>
      </c>
      <c r="W249" s="576">
        <f t="shared" si="90"/>
        <v>0</v>
      </c>
      <c r="X249" s="576">
        <f t="shared" si="90"/>
        <v>0</v>
      </c>
      <c r="Y249" s="576">
        <f t="shared" si="90"/>
        <v>0</v>
      </c>
      <c r="Z249" s="576">
        <f t="shared" si="90"/>
        <v>0</v>
      </c>
      <c r="AA249" s="576">
        <f t="shared" si="90"/>
        <v>0</v>
      </c>
      <c r="AB249" s="576">
        <f t="shared" si="90"/>
        <v>0</v>
      </c>
      <c r="AC249" s="576">
        <f t="shared" si="90"/>
        <v>0</v>
      </c>
      <c r="AD249" s="3477"/>
      <c r="AE249" s="3476">
        <f>SUM(E249:AC249)</f>
        <v>45</v>
      </c>
      <c r="AF249" s="3479">
        <f>AF248/6</f>
        <v>0</v>
      </c>
      <c r="AG249" s="3479">
        <f>AG248/6</f>
        <v>0</v>
      </c>
      <c r="AH249" s="3477">
        <f>AH248/6</f>
        <v>45</v>
      </c>
      <c r="AI249" s="3479">
        <f>AI248/6</f>
        <v>0</v>
      </c>
      <c r="AJ249" s="3478">
        <f>AJ248/6</f>
        <v>45</v>
      </c>
    </row>
    <row r="250" spans="1:39" s="283" customFormat="1" ht="21.75" customHeight="1" thickBot="1">
      <c r="A250" s="306"/>
      <c r="B250" s="307"/>
      <c r="C250" s="307"/>
      <c r="D250" s="308"/>
      <c r="E250" s="309"/>
      <c r="F250" s="309"/>
      <c r="G250" s="309"/>
      <c r="H250" s="309"/>
      <c r="I250" s="309"/>
      <c r="J250" s="309"/>
      <c r="K250" s="309"/>
      <c r="L250" s="346"/>
      <c r="M250" s="347"/>
      <c r="N250" s="347"/>
      <c r="O250" s="347"/>
      <c r="P250" s="347"/>
      <c r="Q250" s="347"/>
      <c r="R250" s="347"/>
      <c r="S250" s="347"/>
      <c r="T250" s="347"/>
      <c r="U250" s="346"/>
      <c r="V250" s="347"/>
      <c r="W250" s="347"/>
      <c r="X250" s="347"/>
      <c r="Y250" s="347"/>
      <c r="Z250" s="347"/>
      <c r="AA250" s="347"/>
      <c r="AB250" s="347"/>
      <c r="AC250" s="347"/>
      <c r="AD250" s="346"/>
      <c r="AE250" s="347"/>
      <c r="AF250" s="347"/>
      <c r="AG250" s="347"/>
      <c r="AH250" s="347"/>
      <c r="AI250" s="347"/>
      <c r="AJ250" s="402"/>
    </row>
    <row r="251" spans="1:39" s="284" customFormat="1" ht="16.5" customHeight="1" thickBot="1">
      <c r="A251" s="3881" t="s">
        <v>183</v>
      </c>
      <c r="B251" s="3882"/>
      <c r="C251" s="3883"/>
      <c r="D251" s="288" t="s">
        <v>70</v>
      </c>
      <c r="E251" s="2697"/>
      <c r="F251" s="2698"/>
      <c r="G251" s="2698" t="s">
        <v>170</v>
      </c>
      <c r="H251" s="2698" t="s">
        <v>101</v>
      </c>
      <c r="I251" s="2698"/>
      <c r="J251" s="3496" t="s">
        <v>123</v>
      </c>
      <c r="K251" s="2702"/>
      <c r="L251" s="2699"/>
      <c r="M251" s="2697"/>
      <c r="N251" s="2698" t="s">
        <v>514</v>
      </c>
      <c r="O251" s="2697" t="s">
        <v>513</v>
      </c>
      <c r="P251" s="2698"/>
      <c r="Q251" s="2698"/>
      <c r="R251" s="2698"/>
      <c r="S251" s="2702"/>
      <c r="T251" s="2700"/>
      <c r="U251" s="2699"/>
      <c r="V251" s="2697"/>
      <c r="W251" s="2698"/>
      <c r="X251" s="2698"/>
      <c r="Y251" s="2698"/>
      <c r="Z251" s="2698"/>
      <c r="AA251" s="2698"/>
      <c r="AB251" s="2702"/>
      <c r="AC251" s="2700"/>
      <c r="AD251" s="79"/>
      <c r="AE251" s="371" t="s">
        <v>172</v>
      </c>
      <c r="AF251" s="372" t="s">
        <v>80</v>
      </c>
      <c r="AG251" s="385"/>
      <c r="AH251" s="386" t="s">
        <v>106</v>
      </c>
      <c r="AI251" s="385" t="s">
        <v>173</v>
      </c>
      <c r="AJ251" s="371" t="s">
        <v>108</v>
      </c>
      <c r="AK251" s="403"/>
      <c r="AL251" s="403"/>
      <c r="AM251" s="403"/>
    </row>
    <row r="252" spans="1:39" s="1" customFormat="1" ht="20.25">
      <c r="A252" s="631" t="s">
        <v>184</v>
      </c>
      <c r="B252" s="443"/>
      <c r="C252" s="443"/>
      <c r="D252" s="444"/>
      <c r="E252" s="433"/>
      <c r="F252" s="434"/>
      <c r="G252" s="434"/>
      <c r="H252" s="435"/>
      <c r="I252" s="435"/>
      <c r="J252" s="434"/>
      <c r="K252" s="480"/>
      <c r="L252" s="483"/>
      <c r="M252" s="484"/>
      <c r="N252" s="435"/>
      <c r="O252" s="435"/>
      <c r="P252" s="435"/>
      <c r="Q252" s="435"/>
      <c r="R252" s="435"/>
      <c r="S252" s="435"/>
      <c r="T252" s="492"/>
      <c r="U252" s="483"/>
      <c r="V252" s="433"/>
      <c r="W252" s="434"/>
      <c r="X252" s="434"/>
      <c r="Y252" s="435"/>
      <c r="Z252" s="435"/>
      <c r="AA252" s="435"/>
      <c r="AB252" s="434"/>
      <c r="AC252" s="495"/>
      <c r="AD252" s="483"/>
      <c r="AE252" s="496">
        <f t="shared" ref="AE252:AE253" si="91">SUM(E252:AC252)</f>
        <v>0</v>
      </c>
      <c r="AF252" s="497"/>
      <c r="AG252" s="510"/>
      <c r="AH252" s="511">
        <f t="shared" ref="AH252:AH253" si="92">AE252+AF252</f>
        <v>0</v>
      </c>
      <c r="AI252" s="512"/>
      <c r="AJ252" s="703">
        <f>AH252+AI252</f>
        <v>0</v>
      </c>
    </row>
    <row r="253" spans="1:39" ht="21" thickBot="1">
      <c r="A253" s="322"/>
      <c r="B253" s="323"/>
      <c r="C253" s="323"/>
      <c r="D253" s="324"/>
      <c r="E253" s="325"/>
      <c r="F253" s="297"/>
      <c r="G253" s="297"/>
      <c r="H253" s="298"/>
      <c r="I253" s="298"/>
      <c r="J253" s="297"/>
      <c r="K253" s="344"/>
      <c r="L253" s="355"/>
      <c r="M253" s="343"/>
      <c r="N253" s="298"/>
      <c r="O253" s="298"/>
      <c r="P253" s="298"/>
      <c r="Q253" s="298"/>
      <c r="R253" s="298"/>
      <c r="S253" s="298"/>
      <c r="T253" s="367"/>
      <c r="U253" s="355"/>
      <c r="V253" s="325"/>
      <c r="W253" s="297"/>
      <c r="X253" s="297"/>
      <c r="Y253" s="298"/>
      <c r="Z253" s="298"/>
      <c r="AA253" s="298"/>
      <c r="AB253" s="297"/>
      <c r="AC253" s="375"/>
      <c r="AD253" s="355"/>
      <c r="AE253" s="377">
        <f t="shared" si="91"/>
        <v>0</v>
      </c>
      <c r="AF253" s="377"/>
      <c r="AG253" s="390"/>
      <c r="AH253" s="507">
        <f t="shared" si="92"/>
        <v>0</v>
      </c>
      <c r="AI253" s="412"/>
      <c r="AJ253" s="508">
        <f t="shared" ref="AJ253" si="93">AH253+AI253</f>
        <v>0</v>
      </c>
    </row>
    <row r="254" spans="1:39" ht="21" thickBot="1">
      <c r="A254" s="436"/>
      <c r="B254" s="437"/>
      <c r="C254" s="437"/>
      <c r="D254" s="438"/>
      <c r="E254" s="439">
        <f t="shared" ref="E254:K254" si="94">SUM(E252:E253)</f>
        <v>0</v>
      </c>
      <c r="F254" s="440">
        <f t="shared" si="94"/>
        <v>0</v>
      </c>
      <c r="G254" s="440">
        <f t="shared" si="94"/>
        <v>0</v>
      </c>
      <c r="H254" s="440">
        <f t="shared" si="94"/>
        <v>0</v>
      </c>
      <c r="I254" s="440">
        <f t="shared" si="94"/>
        <v>0</v>
      </c>
      <c r="J254" s="440">
        <f t="shared" si="94"/>
        <v>0</v>
      </c>
      <c r="K254" s="481">
        <f t="shared" si="94"/>
        <v>0</v>
      </c>
      <c r="L254" s="482"/>
      <c r="M254" s="439">
        <f t="shared" ref="M254:T254" si="95">SUM(M252:M253)</f>
        <v>0</v>
      </c>
      <c r="N254" s="440">
        <f t="shared" si="95"/>
        <v>0</v>
      </c>
      <c r="O254" s="440">
        <f t="shared" si="95"/>
        <v>0</v>
      </c>
      <c r="P254" s="440">
        <f t="shared" si="95"/>
        <v>0</v>
      </c>
      <c r="Q254" s="440">
        <f t="shared" si="95"/>
        <v>0</v>
      </c>
      <c r="R254" s="440">
        <f t="shared" si="95"/>
        <v>0</v>
      </c>
      <c r="S254" s="440">
        <f t="shared" si="95"/>
        <v>0</v>
      </c>
      <c r="T254" s="481">
        <f t="shared" si="95"/>
        <v>0</v>
      </c>
      <c r="U254" s="482"/>
      <c r="V254" s="439">
        <f t="shared" ref="V254:AC254" si="96">SUM(V252:V253)</f>
        <v>0</v>
      </c>
      <c r="W254" s="440">
        <f t="shared" si="96"/>
        <v>0</v>
      </c>
      <c r="X254" s="440">
        <f t="shared" si="96"/>
        <v>0</v>
      </c>
      <c r="Y254" s="440">
        <f t="shared" si="96"/>
        <v>0</v>
      </c>
      <c r="Z254" s="440">
        <f t="shared" si="96"/>
        <v>0</v>
      </c>
      <c r="AA254" s="440">
        <f t="shared" si="96"/>
        <v>0</v>
      </c>
      <c r="AB254" s="440">
        <f t="shared" si="96"/>
        <v>0</v>
      </c>
      <c r="AC254" s="481">
        <f t="shared" si="96"/>
        <v>0</v>
      </c>
      <c r="AD254" s="482"/>
      <c r="AE254" s="459">
        <f>SUM(AE252:AE253)</f>
        <v>0</v>
      </c>
      <c r="AF254" s="459">
        <f>SUM(AF252:AF253)</f>
        <v>0</v>
      </c>
      <c r="AG254" s="459"/>
      <c r="AH254" s="459">
        <f>SUM(AH252:AH253)</f>
        <v>0</v>
      </c>
      <c r="AI254" s="459">
        <f>SUM(AI252:AI253)</f>
        <v>0</v>
      </c>
      <c r="AJ254" s="459">
        <f>SUM(AJ252:AJ253)</f>
        <v>0</v>
      </c>
    </row>
    <row r="255" spans="1:39" ht="18.75">
      <c r="A255" s="522"/>
      <c r="B255" s="523"/>
      <c r="C255" s="523"/>
      <c r="D255" s="524"/>
      <c r="E255" s="525"/>
      <c r="F255" s="525"/>
      <c r="G255" s="525"/>
      <c r="H255" s="525"/>
      <c r="I255" s="525"/>
      <c r="J255" s="525"/>
      <c r="K255" s="525"/>
      <c r="L255" s="572"/>
      <c r="M255" s="573"/>
      <c r="N255" s="573"/>
      <c r="O255" s="573"/>
      <c r="P255" s="573"/>
      <c r="Q255" s="573"/>
      <c r="R255" s="573"/>
      <c r="S255" s="573"/>
      <c r="T255" s="573"/>
      <c r="U255" s="572"/>
      <c r="V255" s="573"/>
      <c r="W255" s="573"/>
      <c r="X255" s="573"/>
      <c r="Y255" s="573"/>
      <c r="Z255" s="573"/>
      <c r="AA255" s="573"/>
      <c r="AB255" s="573"/>
      <c r="AC255" s="573"/>
      <c r="AD255" s="572"/>
      <c r="AE255" s="3504"/>
      <c r="AF255" s="3504"/>
      <c r="AG255" s="3504"/>
      <c r="AH255" s="3504"/>
      <c r="AI255" s="3504"/>
      <c r="AJ255" s="3505"/>
    </row>
    <row r="256" spans="1:39" ht="20.25">
      <c r="A256" s="122"/>
      <c r="B256" s="632"/>
      <c r="C256" s="632"/>
      <c r="D256" s="122"/>
      <c r="E256" s="3901"/>
      <c r="F256" s="3901"/>
      <c r="G256" s="3901"/>
      <c r="H256" s="3901"/>
      <c r="I256" s="3901"/>
      <c r="J256" s="3901"/>
      <c r="K256" s="3901"/>
      <c r="L256" s="3482"/>
      <c r="M256" s="3902"/>
      <c r="N256" s="3902"/>
      <c r="O256" s="3902"/>
      <c r="P256" s="3902"/>
      <c r="Q256" s="3902"/>
      <c r="R256" s="3902"/>
      <c r="S256" s="3902"/>
      <c r="T256" s="3902"/>
      <c r="U256" s="3483"/>
      <c r="V256" s="3903"/>
      <c r="W256" s="3903"/>
      <c r="X256" s="3903"/>
      <c r="Y256" s="3903"/>
      <c r="Z256" s="3903"/>
      <c r="AA256" s="3903"/>
      <c r="AB256" s="3903"/>
      <c r="AC256" s="3903"/>
      <c r="AD256" s="688"/>
      <c r="AE256" s="3506"/>
      <c r="AF256" s="3507"/>
      <c r="AG256" s="3507"/>
      <c r="AH256" s="3506"/>
      <c r="AI256" s="3506"/>
      <c r="AJ256" s="3508"/>
      <c r="AK256" s="1"/>
    </row>
    <row r="257" spans="1:36" ht="15.75" thickBot="1">
      <c r="A257" s="634"/>
      <c r="B257" s="635"/>
      <c r="C257" s="635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4"/>
      <c r="P257" s="634"/>
      <c r="Q257" s="634"/>
      <c r="R257" s="634"/>
      <c r="S257" s="634"/>
      <c r="T257" s="634"/>
      <c r="U257" s="634"/>
      <c r="V257" s="634"/>
      <c r="W257" s="634"/>
      <c r="X257" s="634"/>
      <c r="Y257" s="634"/>
      <c r="Z257" s="634"/>
      <c r="AA257" s="634"/>
      <c r="AB257" s="690"/>
      <c r="AC257" s="690"/>
      <c r="AD257" s="690"/>
      <c r="AE257" s="3509"/>
      <c r="AF257" s="3510"/>
      <c r="AG257" s="3510"/>
      <c r="AH257" s="3510"/>
      <c r="AI257" s="3510"/>
      <c r="AJ257" s="3510"/>
    </row>
    <row r="258" spans="1:36" ht="21" thickBot="1">
      <c r="A258" s="636" t="s">
        <v>185</v>
      </c>
      <c r="B258" s="637"/>
      <c r="C258" s="637"/>
      <c r="D258" s="638"/>
      <c r="E258" s="529">
        <f t="shared" ref="E258:K258" si="97">E171-E248+E254</f>
        <v>0</v>
      </c>
      <c r="F258" s="639">
        <f t="shared" si="97"/>
        <v>126</v>
      </c>
      <c r="G258" s="639">
        <f t="shared" si="97"/>
        <v>168</v>
      </c>
      <c r="H258" s="639">
        <f t="shared" si="97"/>
        <v>180</v>
      </c>
      <c r="I258" s="639">
        <f t="shared" si="97"/>
        <v>108</v>
      </c>
      <c r="J258" s="639">
        <f t="shared" si="97"/>
        <v>360</v>
      </c>
      <c r="K258" s="664">
        <f t="shared" si="97"/>
        <v>0</v>
      </c>
      <c r="L258" s="3481"/>
      <c r="M258" s="665">
        <f t="shared" ref="M258:T258" si="98">M171-M248+M254</f>
        <v>420</v>
      </c>
      <c r="N258" s="666">
        <f t="shared" si="98"/>
        <v>0</v>
      </c>
      <c r="O258" s="666">
        <f t="shared" si="98"/>
        <v>828</v>
      </c>
      <c r="P258" s="666">
        <f t="shared" si="98"/>
        <v>0</v>
      </c>
      <c r="Q258" s="666">
        <f t="shared" si="98"/>
        <v>318</v>
      </c>
      <c r="R258" s="666">
        <f t="shared" si="98"/>
        <v>0</v>
      </c>
      <c r="S258" s="666">
        <f t="shared" si="98"/>
        <v>0</v>
      </c>
      <c r="T258" s="674">
        <f t="shared" si="98"/>
        <v>0</v>
      </c>
      <c r="U258" s="3481"/>
      <c r="V258" s="665">
        <f t="shared" ref="V258:AC258" si="99">V171-V248+V254</f>
        <v>0</v>
      </c>
      <c r="W258" s="666">
        <f t="shared" si="99"/>
        <v>0</v>
      </c>
      <c r="X258" s="666">
        <f t="shared" si="99"/>
        <v>0</v>
      </c>
      <c r="Y258" s="666">
        <f t="shared" si="99"/>
        <v>0</v>
      </c>
      <c r="Z258" s="666">
        <f t="shared" si="99"/>
        <v>0</v>
      </c>
      <c r="AA258" s="666">
        <f t="shared" si="99"/>
        <v>0</v>
      </c>
      <c r="AB258" s="666">
        <f t="shared" si="99"/>
        <v>0</v>
      </c>
      <c r="AC258" s="674">
        <f t="shared" si="99"/>
        <v>0</v>
      </c>
      <c r="AD258" s="3491"/>
      <c r="AE258" s="3511">
        <f>AE171-AE248+AE254</f>
        <v>2508</v>
      </c>
      <c r="AF258" s="3907">
        <f>AF171-AF248-AG248+AF254</f>
        <v>12</v>
      </c>
      <c r="AG258" s="3907"/>
      <c r="AH258" s="3511">
        <f>AH171-AH248+AH254</f>
        <v>2520</v>
      </c>
      <c r="AI258" s="3511">
        <f>AI171-AI248+AI254</f>
        <v>0</v>
      </c>
      <c r="AJ258" s="3511">
        <f>AJ171-AJ248+AJ254</f>
        <v>2508</v>
      </c>
    </row>
    <row r="259" spans="1:36" ht="21" thickBot="1">
      <c r="A259" s="640" t="s">
        <v>152</v>
      </c>
      <c r="B259" s="641"/>
      <c r="C259" s="641"/>
      <c r="D259" s="642"/>
      <c r="E259" s="529">
        <f t="shared" ref="E259:K259" si="100">E258/6</f>
        <v>0</v>
      </c>
      <c r="F259" s="529">
        <f t="shared" si="100"/>
        <v>21</v>
      </c>
      <c r="G259" s="529">
        <f t="shared" si="100"/>
        <v>28</v>
      </c>
      <c r="H259" s="529">
        <f t="shared" si="100"/>
        <v>30</v>
      </c>
      <c r="I259" s="529">
        <f t="shared" si="100"/>
        <v>18</v>
      </c>
      <c r="J259" s="529">
        <f t="shared" si="100"/>
        <v>60</v>
      </c>
      <c r="K259" s="529">
        <f t="shared" si="100"/>
        <v>0</v>
      </c>
      <c r="L259" s="529"/>
      <c r="M259" s="529">
        <f t="shared" ref="M259:T259" si="101">M258/6</f>
        <v>70</v>
      </c>
      <c r="N259" s="529">
        <f t="shared" si="101"/>
        <v>0</v>
      </c>
      <c r="O259" s="529">
        <f t="shared" si="101"/>
        <v>138</v>
      </c>
      <c r="P259" s="529">
        <f t="shared" si="101"/>
        <v>0</v>
      </c>
      <c r="Q259" s="529">
        <f t="shared" si="101"/>
        <v>53</v>
      </c>
      <c r="R259" s="529">
        <f t="shared" si="101"/>
        <v>0</v>
      </c>
      <c r="S259" s="529">
        <f t="shared" si="101"/>
        <v>0</v>
      </c>
      <c r="T259" s="529">
        <f t="shared" si="101"/>
        <v>0</v>
      </c>
      <c r="U259" s="529"/>
      <c r="V259" s="529">
        <f t="shared" ref="V259:AC259" si="102">V258/6</f>
        <v>0</v>
      </c>
      <c r="W259" s="529">
        <f t="shared" si="102"/>
        <v>0</v>
      </c>
      <c r="X259" s="529">
        <f t="shared" si="102"/>
        <v>0</v>
      </c>
      <c r="Y259" s="529">
        <f t="shared" si="102"/>
        <v>0</v>
      </c>
      <c r="Z259" s="529">
        <f t="shared" si="102"/>
        <v>0</v>
      </c>
      <c r="AA259" s="529">
        <f t="shared" si="102"/>
        <v>0</v>
      </c>
      <c r="AB259" s="529">
        <f t="shared" si="102"/>
        <v>0</v>
      </c>
      <c r="AC259" s="529">
        <f t="shared" si="102"/>
        <v>0</v>
      </c>
      <c r="AD259" s="3503"/>
      <c r="AE259" s="3511">
        <f>AE258/6</f>
        <v>418</v>
      </c>
      <c r="AF259" s="3907">
        <f>AF258/6</f>
        <v>2</v>
      </c>
      <c r="AG259" s="3907"/>
      <c r="AH259" s="3511">
        <f>AH258/6</f>
        <v>420</v>
      </c>
      <c r="AI259" s="3511">
        <f>AI258/6</f>
        <v>0</v>
      </c>
      <c r="AJ259" s="3512">
        <f>AJ258/6</f>
        <v>418</v>
      </c>
    </row>
    <row r="260" spans="1:36" ht="21" thickBot="1">
      <c r="A260" s="643" t="s">
        <v>156</v>
      </c>
      <c r="B260" s="644"/>
      <c r="C260" s="644"/>
      <c r="D260" s="645"/>
      <c r="E260" s="3897">
        <f>SUM(E259:K259)</f>
        <v>157</v>
      </c>
      <c r="F260" s="3898"/>
      <c r="G260" s="3898"/>
      <c r="H260" s="3898"/>
      <c r="I260" s="3898"/>
      <c r="J260" s="3898"/>
      <c r="K260" s="3899"/>
      <c r="L260" s="667"/>
      <c r="M260" s="3778">
        <f>SUM(M259:T259)</f>
        <v>261</v>
      </c>
      <c r="N260" s="3779"/>
      <c r="O260" s="3779"/>
      <c r="P260" s="3779"/>
      <c r="Q260" s="3779"/>
      <c r="R260" s="3779"/>
      <c r="S260" s="3779"/>
      <c r="T260" s="3780"/>
      <c r="U260" s="675"/>
      <c r="V260" s="3778">
        <f>SUM(V259:AC259)</f>
        <v>0</v>
      </c>
      <c r="W260" s="3779"/>
      <c r="X260" s="3779"/>
      <c r="Y260" s="3779"/>
      <c r="Z260" s="3779"/>
      <c r="AA260" s="3779"/>
      <c r="AB260" s="3779"/>
      <c r="AC260" s="3780"/>
      <c r="AD260" s="694"/>
      <c r="AE260" s="694"/>
      <c r="AF260" s="694"/>
      <c r="AG260" s="694"/>
      <c r="AH260" s="694"/>
      <c r="AI260" s="694"/>
      <c r="AJ260" s="707"/>
    </row>
    <row r="261" spans="1:36" ht="21" thickBot="1">
      <c r="A261" s="646" t="s">
        <v>157</v>
      </c>
      <c r="B261" s="647"/>
      <c r="C261" s="647"/>
      <c r="D261" s="648"/>
      <c r="E261" s="3875">
        <f>SUM(E258:K258)</f>
        <v>942</v>
      </c>
      <c r="F261" s="3876"/>
      <c r="G261" s="3876"/>
      <c r="H261" s="3876"/>
      <c r="I261" s="3876"/>
      <c r="J261" s="3876"/>
      <c r="K261" s="3900"/>
      <c r="L261" s="669"/>
      <c r="M261" s="3877">
        <f>SUM(M258:T258)</f>
        <v>1566</v>
      </c>
      <c r="N261" s="3878"/>
      <c r="O261" s="3878"/>
      <c r="P261" s="3878"/>
      <c r="Q261" s="3878"/>
      <c r="R261" s="3878"/>
      <c r="S261" s="3878"/>
      <c r="T261" s="3879"/>
      <c r="U261" s="676"/>
      <c r="V261" s="3781">
        <f>SUM(V258:AC258)</f>
        <v>0</v>
      </c>
      <c r="W261" s="3788"/>
      <c r="X261" s="3788"/>
      <c r="Y261" s="3788"/>
      <c r="Z261" s="3788"/>
      <c r="AA261" s="3788"/>
      <c r="AB261" s="3788"/>
      <c r="AC261" s="3880"/>
      <c r="AD261" s="688"/>
      <c r="AE261" s="689"/>
      <c r="AF261" s="3484"/>
      <c r="AG261" s="3484"/>
      <c r="AH261" s="689"/>
      <c r="AI261" s="689"/>
      <c r="AJ261" s="704"/>
    </row>
    <row r="262" spans="1:36">
      <c r="A262" s="634"/>
      <c r="B262" s="635"/>
      <c r="C262" s="635"/>
      <c r="D262" s="649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34"/>
      <c r="X262" s="634"/>
      <c r="Y262" s="634"/>
      <c r="Z262" s="634"/>
      <c r="AA262" s="634"/>
      <c r="AB262" s="690"/>
      <c r="AC262" s="690"/>
      <c r="AD262" s="690"/>
      <c r="AE262" s="690"/>
      <c r="AF262" s="634"/>
      <c r="AG262" s="634"/>
      <c r="AH262" s="634"/>
      <c r="AI262" s="634"/>
      <c r="AJ262" s="634"/>
    </row>
    <row r="263" spans="1:36" ht="21" thickBot="1">
      <c r="A263" s="650"/>
      <c r="B263" s="651"/>
      <c r="C263" s="651"/>
      <c r="D263" s="650"/>
      <c r="E263" s="650"/>
      <c r="F263" s="650"/>
      <c r="G263" s="650"/>
      <c r="H263" s="650"/>
      <c r="I263" s="650"/>
      <c r="J263" s="650"/>
      <c r="K263" s="650"/>
      <c r="L263" s="650"/>
      <c r="M263" s="650"/>
      <c r="N263" s="650"/>
      <c r="O263" s="650"/>
      <c r="P263" s="650"/>
      <c r="Q263" s="650"/>
      <c r="R263" s="650"/>
      <c r="S263" s="650"/>
      <c r="T263" s="650"/>
      <c r="U263" s="650"/>
      <c r="V263" s="650"/>
      <c r="W263" s="650"/>
      <c r="X263" s="650"/>
      <c r="Y263" s="650"/>
      <c r="Z263" s="650"/>
      <c r="AA263" s="650"/>
      <c r="AB263" s="650"/>
      <c r="AC263" s="650"/>
      <c r="AD263" s="650"/>
      <c r="AE263" s="650"/>
      <c r="AF263" s="650"/>
      <c r="AG263" s="650"/>
      <c r="AH263" s="650"/>
      <c r="AI263" s="650"/>
      <c r="AJ263" s="650"/>
    </row>
    <row r="264" spans="1:36" ht="27.75" thickBot="1">
      <c r="A264" s="634"/>
      <c r="B264" s="635"/>
      <c r="C264" s="635"/>
      <c r="D264" s="634"/>
      <c r="E264" s="634"/>
      <c r="F264" s="634"/>
      <c r="G264" s="634"/>
      <c r="H264" s="634"/>
      <c r="I264" s="634"/>
      <c r="J264" s="634"/>
      <c r="K264" s="634"/>
      <c r="L264" s="634"/>
      <c r="M264" s="634"/>
      <c r="N264" s="634"/>
      <c r="O264" s="634"/>
      <c r="P264" s="634"/>
      <c r="Q264" s="634"/>
      <c r="R264" s="634"/>
      <c r="S264" s="634"/>
      <c r="T264" s="634"/>
      <c r="U264" s="634"/>
      <c r="V264" s="634"/>
      <c r="W264" s="677"/>
      <c r="X264" s="3857" t="s">
        <v>158</v>
      </c>
      <c r="Y264" s="3858"/>
      <c r="Z264" s="3858"/>
      <c r="AA264" s="3858"/>
      <c r="AB264" s="3859"/>
      <c r="AC264" s="3802">
        <f>'BIG CHAIR'!CI325</f>
        <v>0</v>
      </c>
      <c r="AD264" s="3803"/>
      <c r="AE264" s="3804"/>
      <c r="AF264" s="634"/>
      <c r="AG264" s="634"/>
      <c r="AH264" s="634"/>
      <c r="AI264" s="634"/>
      <c r="AJ264" s="634"/>
    </row>
    <row r="265" spans="1:36" ht="27.75" thickBot="1">
      <c r="A265" s="634"/>
      <c r="B265" s="635"/>
      <c r="C265" s="635"/>
      <c r="D265" s="634"/>
      <c r="E265" s="634"/>
      <c r="F265" s="634"/>
      <c r="G265" s="634"/>
      <c r="H265" s="63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4"/>
      <c r="S265" s="634"/>
      <c r="T265" s="634"/>
      <c r="U265" s="634"/>
      <c r="V265" s="634"/>
      <c r="W265" s="677"/>
      <c r="X265" s="3857" t="s">
        <v>159</v>
      </c>
      <c r="Y265" s="3858"/>
      <c r="Z265" s="3858"/>
      <c r="AA265" s="3858"/>
      <c r="AB265" s="3859"/>
      <c r="AC265" s="3872">
        <f>AE258</f>
        <v>2508</v>
      </c>
      <c r="AD265" s="3873"/>
      <c r="AE265" s="3874"/>
      <c r="AF265" s="634"/>
      <c r="AG265" s="634"/>
      <c r="AH265" s="634"/>
      <c r="AI265" s="634"/>
      <c r="AJ265" s="708"/>
    </row>
    <row r="266" spans="1:36" ht="27.75" thickBot="1">
      <c r="A266" s="634"/>
      <c r="B266" s="635"/>
      <c r="C266" s="635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4"/>
      <c r="P266" s="634"/>
      <c r="Q266" s="634"/>
      <c r="R266" s="634"/>
      <c r="S266" s="634"/>
      <c r="T266" s="634"/>
      <c r="U266" s="634"/>
      <c r="V266" s="634"/>
      <c r="W266" s="677"/>
      <c r="X266" s="3857" t="s">
        <v>160</v>
      </c>
      <c r="Y266" s="3858"/>
      <c r="Z266" s="3858"/>
      <c r="AA266" s="3858"/>
      <c r="AB266" s="3859"/>
      <c r="AC266" s="3802">
        <f>'BIG CHAIR'!CJ325</f>
        <v>0</v>
      </c>
      <c r="AD266" s="3803"/>
      <c r="AE266" s="3804"/>
      <c r="AF266" s="634"/>
      <c r="AG266" s="634"/>
      <c r="AH266" s="634"/>
      <c r="AI266" s="634"/>
      <c r="AJ266" s="634"/>
    </row>
    <row r="267" spans="1:36" ht="27.75" thickBot="1">
      <c r="A267" s="634"/>
      <c r="B267" s="635"/>
      <c r="C267" s="635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4"/>
      <c r="P267" s="634"/>
      <c r="Q267" s="634"/>
      <c r="R267" s="634"/>
      <c r="S267" s="634"/>
      <c r="T267" s="634"/>
      <c r="U267" s="634"/>
      <c r="V267" s="634"/>
      <c r="W267" s="677"/>
      <c r="X267" s="3857" t="s">
        <v>161</v>
      </c>
      <c r="Y267" s="3858"/>
      <c r="Z267" s="3858"/>
      <c r="AA267" s="3858"/>
      <c r="AB267" s="3858"/>
      <c r="AC267" s="3872">
        <f>AF258</f>
        <v>12</v>
      </c>
      <c r="AD267" s="3803"/>
      <c r="AE267" s="3804"/>
      <c r="AF267" s="634"/>
      <c r="AG267" s="634"/>
      <c r="AH267" s="634"/>
      <c r="AI267" s="634"/>
      <c r="AJ267" s="634"/>
    </row>
    <row r="268" spans="1:36" ht="27.75" thickBot="1">
      <c r="A268" s="634"/>
      <c r="B268" s="635"/>
      <c r="C268" s="635"/>
      <c r="D268" s="634"/>
      <c r="E268" s="634"/>
      <c r="F268" s="634"/>
      <c r="G268" s="634"/>
      <c r="H268" s="634"/>
      <c r="I268" s="634"/>
      <c r="J268" s="634"/>
      <c r="K268" s="634"/>
      <c r="L268" s="634"/>
      <c r="M268" s="634"/>
      <c r="N268" s="634"/>
      <c r="O268" s="634"/>
      <c r="P268" s="634"/>
      <c r="Q268" s="634"/>
      <c r="R268" s="634"/>
      <c r="S268" s="634"/>
      <c r="T268" s="634"/>
      <c r="U268" s="634"/>
      <c r="V268" s="634"/>
      <c r="W268" s="677"/>
      <c r="X268" s="3857" t="s">
        <v>162</v>
      </c>
      <c r="Y268" s="3858"/>
      <c r="Z268" s="3858"/>
      <c r="AA268" s="3858"/>
      <c r="AB268" s="3859"/>
      <c r="AC268" s="3802">
        <f>'Tea Table'!U285</f>
        <v>2676</v>
      </c>
      <c r="AD268" s="3803"/>
      <c r="AE268" s="3804"/>
      <c r="AF268" s="634"/>
      <c r="AG268" s="634"/>
      <c r="AH268" s="634"/>
      <c r="AI268" s="634"/>
      <c r="AJ268" s="634"/>
    </row>
    <row r="269" spans="1:36" ht="27.75" thickBot="1">
      <c r="A269" s="634"/>
      <c r="B269" s="635"/>
      <c r="C269" s="635"/>
      <c r="D269" s="634"/>
      <c r="E269" s="634"/>
      <c r="F269" s="634"/>
      <c r="G269" s="634"/>
      <c r="H269" s="634"/>
      <c r="I269" s="634"/>
      <c r="J269" s="634"/>
      <c r="K269" s="634"/>
      <c r="L269" s="634"/>
      <c r="M269" s="634"/>
      <c r="N269" s="634"/>
      <c r="O269" s="634"/>
      <c r="P269" s="634"/>
      <c r="Q269" s="634"/>
      <c r="R269" s="634"/>
      <c r="S269" s="634"/>
      <c r="T269" s="634"/>
      <c r="U269" s="634"/>
      <c r="V269" s="634"/>
      <c r="W269" s="677"/>
      <c r="X269" s="3860" t="s">
        <v>163</v>
      </c>
      <c r="Y269" s="3861"/>
      <c r="Z269" s="3861"/>
      <c r="AA269" s="3861"/>
      <c r="AB269" s="3862"/>
      <c r="AC269" s="3863">
        <f>'Tea Table'!V285</f>
        <v>29</v>
      </c>
      <c r="AD269" s="3864"/>
      <c r="AE269" s="3865"/>
      <c r="AF269" s="634"/>
      <c r="AG269" s="634"/>
      <c r="AH269" s="634"/>
      <c r="AI269" s="634"/>
      <c r="AJ269" s="634"/>
    </row>
    <row r="270" spans="1:36" ht="28.5" thickTop="1" thickBot="1">
      <c r="A270" s="634"/>
      <c r="B270" s="635"/>
      <c r="C270" s="635"/>
      <c r="D270" s="634"/>
      <c r="E270" s="634"/>
      <c r="F270" s="634"/>
      <c r="G270" s="634"/>
      <c r="H270" s="634"/>
      <c r="I270" s="634"/>
      <c r="J270" s="634"/>
      <c r="K270" s="634"/>
      <c r="L270" s="634"/>
      <c r="M270" s="634"/>
      <c r="N270" s="634"/>
      <c r="O270" s="634"/>
      <c r="P270" s="634"/>
      <c r="Q270" s="634"/>
      <c r="R270" s="634"/>
      <c r="S270" s="634"/>
      <c r="T270" s="634"/>
      <c r="U270" s="634"/>
      <c r="V270" s="634"/>
      <c r="W270" s="677"/>
      <c r="X270" s="3866"/>
      <c r="Y270" s="3867"/>
      <c r="Z270" s="3867"/>
      <c r="AA270" s="3867"/>
      <c r="AB270" s="3868"/>
      <c r="AC270" s="3869"/>
      <c r="AD270" s="3870"/>
      <c r="AE270" s="3871"/>
      <c r="AF270" s="634"/>
      <c r="AG270" s="634"/>
      <c r="AH270" s="634"/>
      <c r="AI270" s="634"/>
      <c r="AJ270" s="634"/>
    </row>
    <row r="271" spans="1:36" ht="27.75" thickBot="1">
      <c r="A271" s="634"/>
      <c r="B271" s="635"/>
      <c r="C271" s="635"/>
      <c r="D271" s="634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U271" s="634"/>
      <c r="V271" s="634"/>
      <c r="W271" s="677"/>
      <c r="X271" s="3857" t="s">
        <v>164</v>
      </c>
      <c r="Y271" s="3858"/>
      <c r="Z271" s="3858"/>
      <c r="AA271" s="3858"/>
      <c r="AB271" s="3859"/>
      <c r="AC271" s="3796">
        <f>SUM(AC264:AE270)</f>
        <v>5225</v>
      </c>
      <c r="AD271" s="3797"/>
      <c r="AE271" s="3798"/>
      <c r="AF271" s="634"/>
      <c r="AG271" s="634"/>
      <c r="AH271" s="634"/>
      <c r="AI271" s="634"/>
      <c r="AJ271" s="634"/>
    </row>
    <row r="272" spans="1:36" ht="27.75" thickBot="1">
      <c r="A272" s="634"/>
      <c r="B272" s="635"/>
      <c r="C272" s="635"/>
      <c r="D272" s="634"/>
      <c r="E272" s="634"/>
      <c r="F272" s="634"/>
      <c r="G272" s="634"/>
      <c r="H272" s="634"/>
      <c r="I272" s="634"/>
      <c r="J272" s="634"/>
      <c r="K272" s="634"/>
      <c r="L272" s="634"/>
      <c r="M272" s="634"/>
      <c r="N272" s="634"/>
      <c r="O272" s="634"/>
      <c r="P272" s="634"/>
      <c r="Q272" s="634"/>
      <c r="R272" s="634"/>
      <c r="S272" s="634"/>
      <c r="T272" s="634"/>
      <c r="U272" s="634"/>
      <c r="V272" s="634"/>
      <c r="W272" s="677"/>
      <c r="X272" s="3857" t="s">
        <v>165</v>
      </c>
      <c r="Y272" s="3858"/>
      <c r="Z272" s="3858"/>
      <c r="AA272" s="3858"/>
      <c r="AB272" s="3859"/>
      <c r="AC272" s="3796">
        <f>AE259+'BIG CHAIR'!CI326+'Tea Table'!U286</f>
        <v>641</v>
      </c>
      <c r="AD272" s="3797"/>
      <c r="AE272" s="3798"/>
      <c r="AF272" s="695"/>
      <c r="AG272" s="695"/>
      <c r="AH272" s="695"/>
      <c r="AI272" s="634"/>
      <c r="AJ272" s="634"/>
    </row>
    <row r="273" spans="2:31">
      <c r="B273" s="652"/>
      <c r="C273" s="652"/>
      <c r="AB273" s="696"/>
      <c r="AC273" s="696"/>
      <c r="AD273" s="696"/>
      <c r="AE273" s="696"/>
    </row>
    <row r="274" spans="2:31">
      <c r="B274" s="652"/>
      <c r="C274" s="652"/>
      <c r="AB274" s="696"/>
      <c r="AC274" s="696"/>
      <c r="AD274" s="696"/>
      <c r="AE274" s="696"/>
    </row>
    <row r="275" spans="2:31">
      <c r="B275" s="652"/>
      <c r="C275" s="652"/>
      <c r="AB275" s="696"/>
      <c r="AC275" s="696"/>
      <c r="AD275" s="696"/>
      <c r="AE275" s="696"/>
    </row>
    <row r="276" spans="2:31">
      <c r="B276" s="652"/>
      <c r="C276" s="652"/>
      <c r="AB276" s="696"/>
      <c r="AC276" s="696"/>
      <c r="AD276" s="696"/>
      <c r="AE276" s="696"/>
    </row>
    <row r="277" spans="2:31">
      <c r="B277" s="652"/>
      <c r="C277" s="652"/>
      <c r="AB277" s="696"/>
      <c r="AC277" s="696"/>
      <c r="AD277" s="696"/>
      <c r="AE277" s="696"/>
    </row>
    <row r="278" spans="2:31">
      <c r="B278" s="652"/>
      <c r="C278" s="652"/>
      <c r="AB278" s="696"/>
      <c r="AC278" s="696"/>
      <c r="AD278" s="696"/>
      <c r="AE278" s="696"/>
    </row>
    <row r="279" spans="2:31">
      <c r="B279" s="652"/>
      <c r="C279" s="652"/>
      <c r="AB279" s="696"/>
      <c r="AC279" s="696"/>
      <c r="AD279" s="696"/>
      <c r="AE279" s="696"/>
    </row>
    <row r="280" spans="2:31">
      <c r="B280" s="652"/>
      <c r="C280" s="652"/>
      <c r="AB280" s="696"/>
      <c r="AC280" s="696"/>
      <c r="AD280" s="696"/>
      <c r="AE280" s="696"/>
    </row>
    <row r="281" spans="2:31">
      <c r="B281" s="652"/>
      <c r="C281" s="652"/>
      <c r="AB281" s="696"/>
      <c r="AC281" s="696"/>
      <c r="AD281" s="696"/>
      <c r="AE281" s="696"/>
    </row>
    <row r="282" spans="2:31">
      <c r="B282" s="652"/>
      <c r="C282" s="652"/>
      <c r="AB282" s="696"/>
      <c r="AC282" s="696"/>
      <c r="AD282" s="696"/>
      <c r="AE282" s="696"/>
    </row>
    <row r="283" spans="2:31">
      <c r="B283" s="652"/>
      <c r="C283" s="652"/>
      <c r="AB283" s="696"/>
      <c r="AC283" s="696"/>
      <c r="AD283" s="696"/>
      <c r="AE283" s="696"/>
    </row>
    <row r="284" spans="2:31">
      <c r="B284" s="652"/>
      <c r="C284" s="652"/>
      <c r="AB284" s="696"/>
      <c r="AC284" s="696"/>
      <c r="AD284" s="696"/>
      <c r="AE284" s="696"/>
    </row>
    <row r="285" spans="2:31">
      <c r="B285" s="652"/>
      <c r="C285" s="652"/>
      <c r="AB285" s="696"/>
      <c r="AC285" s="696"/>
      <c r="AD285" s="696"/>
      <c r="AE285" s="696"/>
    </row>
    <row r="286" spans="2:31">
      <c r="B286" s="652"/>
      <c r="C286" s="652"/>
      <c r="AB286" s="696"/>
      <c r="AC286" s="696"/>
      <c r="AD286" s="696"/>
      <c r="AE286" s="696"/>
    </row>
    <row r="287" spans="2:31">
      <c r="B287" s="652"/>
      <c r="C287" s="652"/>
      <c r="AB287" s="696"/>
      <c r="AC287" s="696"/>
      <c r="AD287" s="696"/>
      <c r="AE287" s="696"/>
    </row>
    <row r="288" spans="2:31">
      <c r="B288" s="652"/>
      <c r="C288" s="652"/>
      <c r="AB288" s="696"/>
      <c r="AC288" s="696"/>
      <c r="AD288" s="696"/>
      <c r="AE288" s="696"/>
    </row>
    <row r="289" spans="2:31">
      <c r="B289" s="652"/>
      <c r="C289" s="652"/>
      <c r="AB289" s="696"/>
      <c r="AC289" s="696"/>
      <c r="AD289" s="696"/>
      <c r="AE289" s="696"/>
    </row>
    <row r="290" spans="2:31">
      <c r="B290" s="652"/>
      <c r="C290" s="652"/>
      <c r="AB290" s="696"/>
      <c r="AC290" s="696"/>
      <c r="AD290" s="696"/>
      <c r="AE290" s="696"/>
    </row>
  </sheetData>
  <mergeCells count="53">
    <mergeCell ref="X271:AB271"/>
    <mergeCell ref="AC271:AE271"/>
    <mergeCell ref="X272:AB272"/>
    <mergeCell ref="AC272:AE272"/>
    <mergeCell ref="X268:AB268"/>
    <mergeCell ref="AC268:AE268"/>
    <mergeCell ref="X269:AB269"/>
    <mergeCell ref="AC269:AE269"/>
    <mergeCell ref="X270:AB270"/>
    <mergeCell ref="AC270:AE270"/>
    <mergeCell ref="X265:AB265"/>
    <mergeCell ref="AC265:AE265"/>
    <mergeCell ref="X266:AB266"/>
    <mergeCell ref="AC266:AE266"/>
    <mergeCell ref="X267:AB267"/>
    <mergeCell ref="AC267:AE267"/>
    <mergeCell ref="E261:K261"/>
    <mergeCell ref="M261:T261"/>
    <mergeCell ref="V261:AC261"/>
    <mergeCell ref="X264:AB264"/>
    <mergeCell ref="AC264:AE264"/>
    <mergeCell ref="V256:AC256"/>
    <mergeCell ref="AF258:AG258"/>
    <mergeCell ref="E260:K260"/>
    <mergeCell ref="M260:T260"/>
    <mergeCell ref="V260:AC260"/>
    <mergeCell ref="E39:K39"/>
    <mergeCell ref="M39:T39"/>
    <mergeCell ref="V39:AC39"/>
    <mergeCell ref="AF259:AG259"/>
    <mergeCell ref="E137:K137"/>
    <mergeCell ref="M137:T137"/>
    <mergeCell ref="V137:AC137"/>
    <mergeCell ref="A173:AJ173"/>
    <mergeCell ref="A174:D174"/>
    <mergeCell ref="E174:K174"/>
    <mergeCell ref="M174:T174"/>
    <mergeCell ref="V174:AC174"/>
    <mergeCell ref="AE174:AJ174"/>
    <mergeCell ref="A251:C251"/>
    <mergeCell ref="E256:K256"/>
    <mergeCell ref="M256:T256"/>
    <mergeCell ref="E54:K54"/>
    <mergeCell ref="M54:T54"/>
    <mergeCell ref="V54:AC54"/>
    <mergeCell ref="E115:K115"/>
    <mergeCell ref="M115:T115"/>
    <mergeCell ref="V115:AC115"/>
    <mergeCell ref="A2:D2"/>
    <mergeCell ref="E2:K2"/>
    <mergeCell ref="M2:T2"/>
    <mergeCell ref="V2:AC2"/>
    <mergeCell ref="AE2:AJ2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62"/>
  <sheetViews>
    <sheetView zoomScale="102" zoomScaleNormal="102" workbookViewId="0">
      <pane ySplit="3" topLeftCell="A171" activePane="bottomLeft" state="frozen"/>
      <selection pane="bottomLeft" activeCell="A182" sqref="A182"/>
    </sheetView>
  </sheetViews>
  <sheetFormatPr defaultColWidth="9" defaultRowHeight="15"/>
  <cols>
    <col min="1" max="1" width="55.42578125" customWidth="1"/>
    <col min="2" max="2" width="16" style="276" customWidth="1"/>
    <col min="3" max="3" width="14.140625" style="276" customWidth="1"/>
    <col min="4" max="4" width="20.85546875" customWidth="1"/>
    <col min="5" max="5" width="19.42578125" customWidth="1"/>
    <col min="6" max="6" width="13" bestFit="1" customWidth="1"/>
    <col min="7" max="7" width="11.5703125" customWidth="1"/>
    <col min="8" max="8" width="11.85546875" bestFit="1" customWidth="1"/>
    <col min="9" max="9" width="13" bestFit="1" customWidth="1"/>
    <col min="10" max="10" width="11.5703125" customWidth="1"/>
    <col min="11" max="11" width="18" customWidth="1"/>
    <col min="12" max="12" width="1.42578125" customWidth="1"/>
    <col min="13" max="14" width="13.7109375" customWidth="1"/>
    <col min="15" max="15" width="13.140625" customWidth="1"/>
    <col min="16" max="19" width="11.5703125" customWidth="1"/>
    <col min="20" max="20" width="12.85546875" bestFit="1" customWidth="1"/>
    <col min="21" max="21" width="1.5703125" customWidth="1"/>
    <col min="22" max="22" width="15.7109375" customWidth="1"/>
    <col min="23" max="25" width="11.5703125" customWidth="1"/>
    <col min="26" max="26" width="12.85546875" customWidth="1"/>
    <col min="27" max="29" width="11.5703125" customWidth="1"/>
    <col min="30" max="30" width="1.28515625" customWidth="1"/>
    <col min="31" max="31" width="13.7109375" customWidth="1"/>
    <col min="32" max="32" width="11.5703125" customWidth="1"/>
    <col min="33" max="33" width="8.5703125" customWidth="1"/>
    <col min="34" max="34" width="13.7109375" customWidth="1"/>
    <col min="35" max="35" width="11.5703125" customWidth="1"/>
    <col min="36" max="36" width="13.7109375" customWidth="1"/>
    <col min="37" max="256" width="10" customWidth="1"/>
  </cols>
  <sheetData>
    <row r="1" spans="1:39" ht="26.25">
      <c r="A1" s="285" t="s">
        <v>209</v>
      </c>
      <c r="B1" s="285"/>
      <c r="C1" s="285"/>
      <c r="D1" s="285"/>
      <c r="E1" s="285"/>
      <c r="F1" s="285"/>
      <c r="G1" s="285"/>
      <c r="H1" s="285"/>
      <c r="I1" s="335">
        <v>1</v>
      </c>
      <c r="J1" s="335">
        <v>4</v>
      </c>
      <c r="K1" s="335">
        <v>2026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4" thickBot="1">
      <c r="A2" s="3888" t="s">
        <v>4</v>
      </c>
      <c r="B2" s="3889"/>
      <c r="C2" s="3889"/>
      <c r="D2" s="3896"/>
      <c r="E2" s="3891" t="s">
        <v>247</v>
      </c>
      <c r="F2" s="3892"/>
      <c r="G2" s="3892"/>
      <c r="H2" s="3892"/>
      <c r="I2" s="3892"/>
      <c r="J2" s="3892"/>
      <c r="K2" s="3904"/>
      <c r="L2" s="336"/>
      <c r="M2" s="3893" t="s">
        <v>248</v>
      </c>
      <c r="N2" s="3894"/>
      <c r="O2" s="3894"/>
      <c r="P2" s="3894"/>
      <c r="Q2" s="3894"/>
      <c r="R2" s="3894"/>
      <c r="S2" s="3894"/>
      <c r="T2" s="3895"/>
      <c r="U2" s="364"/>
      <c r="V2" s="3893" t="s">
        <v>249</v>
      </c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4" thickBot="1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96</v>
      </c>
      <c r="F3" s="49" t="s">
        <v>250</v>
      </c>
      <c r="G3" s="49" t="s">
        <v>86</v>
      </c>
      <c r="H3" s="49" t="s">
        <v>85</v>
      </c>
      <c r="I3" s="49" t="s">
        <v>123</v>
      </c>
      <c r="J3" s="49" t="s">
        <v>149</v>
      </c>
      <c r="K3" s="126" t="s">
        <v>92</v>
      </c>
      <c r="L3" s="578"/>
      <c r="M3" s="80" t="s">
        <v>214</v>
      </c>
      <c r="N3" s="49" t="s">
        <v>92</v>
      </c>
      <c r="O3" s="49" t="s">
        <v>251</v>
      </c>
      <c r="P3" s="49" t="s">
        <v>53</v>
      </c>
      <c r="Q3" s="49" t="s">
        <v>94</v>
      </c>
      <c r="R3" s="49" t="s">
        <v>482</v>
      </c>
      <c r="S3" s="50" t="s">
        <v>525</v>
      </c>
      <c r="T3" s="171" t="s">
        <v>86</v>
      </c>
      <c r="U3" s="578"/>
      <c r="V3" s="49" t="s">
        <v>95</v>
      </c>
      <c r="W3" s="49" t="s">
        <v>526</v>
      </c>
      <c r="X3" s="49" t="s">
        <v>252</v>
      </c>
      <c r="Y3" s="744" t="s">
        <v>213</v>
      </c>
      <c r="Z3" s="104"/>
      <c r="AA3" s="49" t="s">
        <v>76</v>
      </c>
      <c r="AB3" s="121"/>
      <c r="AC3" s="49" t="s">
        <v>53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1" thickBot="1">
      <c r="A4" s="289" t="str">
        <f>'Tea Table'!A4</f>
        <v xml:space="preserve">Opening Stock as on </v>
      </c>
      <c r="B4" s="290" t="s">
        <v>472</v>
      </c>
      <c r="C4" s="290"/>
      <c r="D4" s="291"/>
      <c r="E4" s="292"/>
      <c r="F4" s="293"/>
      <c r="G4" s="293"/>
      <c r="H4" s="293"/>
      <c r="I4" s="337"/>
      <c r="J4" s="337"/>
      <c r="K4" s="338"/>
      <c r="L4" s="339"/>
      <c r="M4" s="340">
        <f>20*16</f>
        <v>320</v>
      </c>
      <c r="N4" s="293"/>
      <c r="O4" s="337"/>
      <c r="P4" s="337">
        <f>45*16</f>
        <v>720</v>
      </c>
      <c r="Q4" s="337"/>
      <c r="R4" s="337">
        <f>34*16</f>
        <v>544</v>
      </c>
      <c r="S4" s="365">
        <f>58*16</f>
        <v>928</v>
      </c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>
        <f>SUM(E4:AC4)</f>
        <v>2512</v>
      </c>
      <c r="AF4" s="374"/>
      <c r="AG4" s="373"/>
      <c r="AH4" s="2921">
        <f>AE4+AF4</f>
        <v>2512</v>
      </c>
      <c r="AI4" s="388"/>
      <c r="AJ4" s="389">
        <f>AH4+AI4</f>
        <v>2512</v>
      </c>
    </row>
    <row r="5" spans="1:39" s="283" customFormat="1" ht="21" thickBot="1">
      <c r="A5" s="294" t="s">
        <v>110</v>
      </c>
      <c r="B5" s="295" t="s">
        <v>472</v>
      </c>
      <c r="C5" s="295"/>
      <c r="D5" s="291">
        <v>46122</v>
      </c>
      <c r="E5" s="296"/>
      <c r="F5" s="297"/>
      <c r="G5" s="297"/>
      <c r="H5" s="298"/>
      <c r="I5" s="298"/>
      <c r="J5" s="297"/>
      <c r="K5" s="341"/>
      <c r="L5" s="342"/>
      <c r="M5" s="343"/>
      <c r="N5" s="298"/>
      <c r="O5" s="298"/>
      <c r="P5" s="298"/>
      <c r="Q5" s="298">
        <f>29*16</f>
        <v>464</v>
      </c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11" si="0">SUM(E5:AC5)</f>
        <v>464</v>
      </c>
      <c r="AF5" s="377">
        <v>7</v>
      </c>
      <c r="AG5" s="390"/>
      <c r="AH5" s="391">
        <f t="shared" ref="AH5:AH20" si="1">AE5+AF5</f>
        <v>471</v>
      </c>
      <c r="AI5" s="392">
        <v>5</v>
      </c>
      <c r="AJ5" s="393">
        <f>AH5+AI5</f>
        <v>476</v>
      </c>
      <c r="AK5" s="394"/>
      <c r="AL5" s="54"/>
      <c r="AM5" s="394"/>
    </row>
    <row r="6" spans="1:39" s="283" customFormat="1" ht="21" thickBot="1">
      <c r="A6" s="294" t="s">
        <v>110</v>
      </c>
      <c r="B6" s="299"/>
      <c r="C6" s="299"/>
      <c r="D6" s="709">
        <v>46123</v>
      </c>
      <c r="E6" s="296"/>
      <c r="F6" s="297"/>
      <c r="G6" s="297"/>
      <c r="H6" s="298"/>
      <c r="I6" s="298"/>
      <c r="J6" s="297"/>
      <c r="K6" s="344"/>
      <c r="L6" s="342"/>
      <c r="M6" s="298"/>
      <c r="N6" s="298"/>
      <c r="O6" s="298"/>
      <c r="P6" s="298">
        <f>4*16</f>
        <v>64</v>
      </c>
      <c r="Q6" s="298">
        <f>16*16+23*16</f>
        <v>624</v>
      </c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0"/>
        <v>688</v>
      </c>
      <c r="AF6" s="377">
        <f>4+3</f>
        <v>7</v>
      </c>
      <c r="AG6" s="390"/>
      <c r="AH6" s="391">
        <f t="shared" si="1"/>
        <v>695</v>
      </c>
      <c r="AI6" s="392">
        <v>9</v>
      </c>
      <c r="AJ6" s="393">
        <f t="shared" ref="AJ6:AJ7" si="2">AH6+AI6</f>
        <v>704</v>
      </c>
      <c r="AK6" s="394"/>
      <c r="AL6" s="54"/>
      <c r="AM6" s="394"/>
    </row>
    <row r="7" spans="1:39" s="283" customFormat="1" ht="21" thickBot="1">
      <c r="A7" s="294" t="s">
        <v>110</v>
      </c>
      <c r="B7" s="299"/>
      <c r="C7" s="299"/>
      <c r="D7" s="300">
        <v>46124</v>
      </c>
      <c r="E7" s="296"/>
      <c r="F7" s="297"/>
      <c r="G7" s="297"/>
      <c r="H7" s="298"/>
      <c r="I7" s="298"/>
      <c r="J7" s="297"/>
      <c r="K7" s="341"/>
      <c r="L7" s="342"/>
      <c r="M7" s="298"/>
      <c r="N7" s="298"/>
      <c r="O7" s="298"/>
      <c r="P7" s="298">
        <f>20*16+28*16</f>
        <v>768</v>
      </c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si="0"/>
        <v>768</v>
      </c>
      <c r="AF7" s="377"/>
      <c r="AG7" s="390"/>
      <c r="AH7" s="391">
        <f t="shared" si="1"/>
        <v>768</v>
      </c>
      <c r="AI7" s="392">
        <f>2+18</f>
        <v>20</v>
      </c>
      <c r="AJ7" s="393">
        <f t="shared" si="2"/>
        <v>788</v>
      </c>
      <c r="AK7" s="394"/>
      <c r="AL7" s="54"/>
      <c r="AM7" s="394"/>
    </row>
    <row r="8" spans="1:39" s="283" customFormat="1" ht="21" thickBot="1">
      <c r="A8" s="294" t="s">
        <v>110</v>
      </c>
      <c r="B8" s="299"/>
      <c r="C8" s="299"/>
      <c r="D8" s="300">
        <v>46125</v>
      </c>
      <c r="E8" s="296"/>
      <c r="F8" s="297"/>
      <c r="G8" s="297"/>
      <c r="H8" s="298"/>
      <c r="I8" s="298"/>
      <c r="J8" s="297"/>
      <c r="K8" s="344"/>
      <c r="L8" s="342"/>
      <c r="M8" s="343"/>
      <c r="N8" s="298"/>
      <c r="O8" s="298"/>
      <c r="P8" s="298">
        <f>31*16+30*16</f>
        <v>976</v>
      </c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0"/>
        <v>976</v>
      </c>
      <c r="AF8" s="377"/>
      <c r="AG8" s="390"/>
      <c r="AH8" s="391">
        <f t="shared" si="1"/>
        <v>976</v>
      </c>
      <c r="AI8" s="392">
        <f>1+3</f>
        <v>4</v>
      </c>
      <c r="AJ8" s="393">
        <f t="shared" ref="AJ8:AJ13" si="3">AH8+AI8</f>
        <v>980</v>
      </c>
      <c r="AK8" s="394"/>
      <c r="AL8" s="54"/>
      <c r="AM8" s="394"/>
    </row>
    <row r="9" spans="1:39" s="283" customFormat="1" ht="21" thickBot="1">
      <c r="A9" s="294" t="s">
        <v>110</v>
      </c>
      <c r="B9" s="299"/>
      <c r="C9" s="299"/>
      <c r="D9" s="300">
        <v>46126</v>
      </c>
      <c r="E9" s="296"/>
      <c r="F9" s="297"/>
      <c r="G9" s="297"/>
      <c r="H9" s="298"/>
      <c r="I9" s="298"/>
      <c r="J9" s="297"/>
      <c r="K9" s="344"/>
      <c r="L9" s="342"/>
      <c r="M9" s="343"/>
      <c r="N9" s="298"/>
      <c r="O9" s="298"/>
      <c r="P9" s="298">
        <f>4*16</f>
        <v>64</v>
      </c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0"/>
        <v>64</v>
      </c>
      <c r="AF9" s="377"/>
      <c r="AG9" s="390"/>
      <c r="AH9" s="391">
        <f t="shared" si="1"/>
        <v>64</v>
      </c>
      <c r="AI9" s="392"/>
      <c r="AJ9" s="393">
        <f t="shared" si="3"/>
        <v>64</v>
      </c>
      <c r="AK9" s="394"/>
      <c r="AL9" s="54"/>
      <c r="AM9" s="394"/>
    </row>
    <row r="10" spans="1:39" s="283" customFormat="1" ht="21" thickBot="1">
      <c r="A10" s="294" t="s">
        <v>110</v>
      </c>
      <c r="B10" s="299"/>
      <c r="C10" s="299"/>
      <c r="D10" s="300"/>
      <c r="E10" s="296"/>
      <c r="F10" s="297"/>
      <c r="G10" s="297"/>
      <c r="H10" s="298"/>
      <c r="I10" s="298"/>
      <c r="J10" s="297"/>
      <c r="K10" s="341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0"/>
        <v>0</v>
      </c>
      <c r="AF10" s="377"/>
      <c r="AG10" s="390"/>
      <c r="AH10" s="391">
        <f t="shared" si="1"/>
        <v>0</v>
      </c>
      <c r="AI10" s="392"/>
      <c r="AJ10" s="393">
        <f t="shared" si="3"/>
        <v>0</v>
      </c>
      <c r="AK10" s="394"/>
      <c r="AL10" s="54"/>
      <c r="AM10" s="394"/>
    </row>
    <row r="11" spans="1:39" s="283" customFormat="1" ht="21" thickBot="1">
      <c r="A11" s="294" t="s">
        <v>110</v>
      </c>
      <c r="B11" s="299"/>
      <c r="C11" s="299"/>
      <c r="D11" s="300"/>
      <c r="E11" s="296"/>
      <c r="F11" s="297"/>
      <c r="G11" s="297"/>
      <c r="H11" s="298"/>
      <c r="I11" s="298"/>
      <c r="J11" s="297"/>
      <c r="K11" s="344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0"/>
        <v>0</v>
      </c>
      <c r="AF11" s="377"/>
      <c r="AG11" s="390"/>
      <c r="AH11" s="391">
        <f t="shared" si="1"/>
        <v>0</v>
      </c>
      <c r="AI11" s="392"/>
      <c r="AJ11" s="393">
        <f t="shared" si="3"/>
        <v>0</v>
      </c>
      <c r="AK11" s="394"/>
      <c r="AL11" s="54"/>
      <c r="AM11" s="394"/>
    </row>
    <row r="12" spans="1:39" s="283" customFormat="1" ht="21" thickBot="1">
      <c r="A12" s="294" t="s">
        <v>110</v>
      </c>
      <c r="B12" s="299"/>
      <c r="C12" s="299"/>
      <c r="D12" s="300"/>
      <c r="E12" s="296"/>
      <c r="F12" s="297"/>
      <c r="G12" s="297"/>
      <c r="H12" s="298"/>
      <c r="I12" s="298"/>
      <c r="J12" s="297"/>
      <c r="K12" s="344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ref="AE12:AE19" si="4">SUM(E12:AC12)</f>
        <v>0</v>
      </c>
      <c r="AF12" s="377"/>
      <c r="AG12" s="390"/>
      <c r="AH12" s="391">
        <f t="shared" si="1"/>
        <v>0</v>
      </c>
      <c r="AI12" s="392"/>
      <c r="AJ12" s="393">
        <f t="shared" si="3"/>
        <v>0</v>
      </c>
      <c r="AK12" s="394"/>
      <c r="AL12" s="54"/>
      <c r="AM12" s="394"/>
    </row>
    <row r="13" spans="1:39" s="283" customFormat="1" ht="21" thickBot="1">
      <c r="A13" s="294" t="s">
        <v>110</v>
      </c>
      <c r="B13" s="299"/>
      <c r="C13" s="299"/>
      <c r="D13" s="300"/>
      <c r="E13" s="296"/>
      <c r="F13" s="297"/>
      <c r="G13" s="297"/>
      <c r="H13" s="298"/>
      <c r="I13" s="298"/>
      <c r="J13" s="297"/>
      <c r="K13" s="344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4"/>
        <v>0</v>
      </c>
      <c r="AF13" s="377"/>
      <c r="AG13" s="390"/>
      <c r="AH13" s="391">
        <f t="shared" si="1"/>
        <v>0</v>
      </c>
      <c r="AI13" s="392"/>
      <c r="AJ13" s="393">
        <f t="shared" si="3"/>
        <v>0</v>
      </c>
      <c r="AK13" s="394"/>
      <c r="AL13" s="54"/>
      <c r="AM13" s="394"/>
    </row>
    <row r="14" spans="1:39" s="283" customFormat="1" ht="21" thickBot="1">
      <c r="A14" s="294" t="s">
        <v>110</v>
      </c>
      <c r="B14" s="299"/>
      <c r="C14" s="299"/>
      <c r="D14" s="300"/>
      <c r="E14" s="296"/>
      <c r="F14" s="297"/>
      <c r="G14" s="297"/>
      <c r="H14" s="298"/>
      <c r="I14" s="298"/>
      <c r="J14" s="297"/>
      <c r="K14" s="344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ref="AE14" si="5">SUM(E14:AC14)</f>
        <v>0</v>
      </c>
      <c r="AF14" s="377"/>
      <c r="AG14" s="390"/>
      <c r="AH14" s="391">
        <f t="shared" si="1"/>
        <v>0</v>
      </c>
      <c r="AI14" s="392"/>
      <c r="AJ14" s="393">
        <f t="shared" ref="AJ14:AJ19" si="6">AH14+AI14</f>
        <v>0</v>
      </c>
      <c r="AK14" s="394"/>
      <c r="AL14" s="54"/>
      <c r="AM14" s="394"/>
    </row>
    <row r="15" spans="1:39" s="283" customFormat="1" ht="21" thickBot="1">
      <c r="A15" s="294" t="s">
        <v>110</v>
      </c>
      <c r="B15" s="299"/>
      <c r="C15" s="299"/>
      <c r="D15" s="300"/>
      <c r="E15" s="296"/>
      <c r="F15" s="297"/>
      <c r="G15" s="297"/>
      <c r="H15" s="298"/>
      <c r="I15" s="298"/>
      <c r="J15" s="297"/>
      <c r="K15" s="344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4"/>
        <v>0</v>
      </c>
      <c r="AF15" s="377"/>
      <c r="AG15" s="390"/>
      <c r="AH15" s="391">
        <f t="shared" si="1"/>
        <v>0</v>
      </c>
      <c r="AI15" s="392"/>
      <c r="AJ15" s="393">
        <f t="shared" si="6"/>
        <v>0</v>
      </c>
      <c r="AK15" s="394"/>
      <c r="AL15" s="54"/>
      <c r="AM15" s="394"/>
    </row>
    <row r="16" spans="1:39" s="283" customFormat="1" ht="21" thickBot="1">
      <c r="A16" s="294" t="s">
        <v>110</v>
      </c>
      <c r="B16" s="299"/>
      <c r="C16" s="299"/>
      <c r="D16" s="300"/>
      <c r="E16" s="296"/>
      <c r="F16" s="297"/>
      <c r="G16" s="297"/>
      <c r="H16" s="298"/>
      <c r="I16" s="298"/>
      <c r="J16" s="297"/>
      <c r="K16" s="344"/>
      <c r="L16" s="342"/>
      <c r="M16" s="343"/>
      <c r="N16" s="298"/>
      <c r="O16" s="298"/>
      <c r="P16" s="298"/>
      <c r="Q16" s="298"/>
      <c r="R16" s="298"/>
      <c r="S16" s="298"/>
      <c r="T16" s="367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4"/>
        <v>0</v>
      </c>
      <c r="AF16" s="377"/>
      <c r="AG16" s="390"/>
      <c r="AH16" s="391">
        <f t="shared" si="1"/>
        <v>0</v>
      </c>
      <c r="AI16" s="392"/>
      <c r="AJ16" s="393">
        <f t="shared" si="6"/>
        <v>0</v>
      </c>
      <c r="AK16" s="394"/>
      <c r="AL16" s="54"/>
      <c r="AM16" s="394"/>
    </row>
    <row r="17" spans="1:39" s="283" customFormat="1" ht="21" thickBot="1">
      <c r="A17" s="294" t="s">
        <v>110</v>
      </c>
      <c r="B17" s="299"/>
      <c r="C17" s="299"/>
      <c r="D17" s="300"/>
      <c r="E17" s="296"/>
      <c r="F17" s="297"/>
      <c r="G17" s="297"/>
      <c r="H17" s="298"/>
      <c r="I17" s="298"/>
      <c r="J17" s="297"/>
      <c r="K17" s="344"/>
      <c r="L17" s="342"/>
      <c r="M17" s="343"/>
      <c r="N17" s="298"/>
      <c r="O17" s="298"/>
      <c r="P17" s="298"/>
      <c r="Q17" s="298"/>
      <c r="R17" s="298"/>
      <c r="S17" s="298"/>
      <c r="T17" s="367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4"/>
        <v>0</v>
      </c>
      <c r="AF17" s="377"/>
      <c r="AG17" s="390"/>
      <c r="AH17" s="391">
        <f t="shared" si="1"/>
        <v>0</v>
      </c>
      <c r="AI17" s="392"/>
      <c r="AJ17" s="393">
        <f t="shared" si="6"/>
        <v>0</v>
      </c>
      <c r="AK17" s="394"/>
      <c r="AL17" s="54"/>
      <c r="AM17" s="394"/>
    </row>
    <row r="18" spans="1:39" s="283" customFormat="1" ht="21" thickBot="1">
      <c r="A18" s="294" t="s">
        <v>110</v>
      </c>
      <c r="B18" s="299"/>
      <c r="C18" s="299"/>
      <c r="D18" s="300"/>
      <c r="E18" s="296"/>
      <c r="F18" s="297"/>
      <c r="G18" s="297"/>
      <c r="H18" s="298"/>
      <c r="I18" s="298"/>
      <c r="J18" s="297"/>
      <c r="K18" s="341"/>
      <c r="L18" s="342"/>
      <c r="M18" s="343"/>
      <c r="N18" s="298"/>
      <c r="O18" s="298"/>
      <c r="P18" s="298"/>
      <c r="Q18" s="298"/>
      <c r="R18" s="298"/>
      <c r="S18" s="298"/>
      <c r="T18" s="367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4"/>
        <v>0</v>
      </c>
      <c r="AF18" s="377"/>
      <c r="AG18" s="390"/>
      <c r="AH18" s="391">
        <f t="shared" si="1"/>
        <v>0</v>
      </c>
      <c r="AI18" s="392"/>
      <c r="AJ18" s="393">
        <f t="shared" si="6"/>
        <v>0</v>
      </c>
      <c r="AK18" s="394"/>
      <c r="AL18" s="54"/>
      <c r="AM18" s="394"/>
    </row>
    <row r="19" spans="1:39" s="283" customFormat="1" ht="21" thickBot="1">
      <c r="A19" s="294" t="s">
        <v>110</v>
      </c>
      <c r="B19" s="299"/>
      <c r="C19" s="299"/>
      <c r="D19" s="300"/>
      <c r="E19" s="296"/>
      <c r="F19" s="297"/>
      <c r="G19" s="297"/>
      <c r="H19" s="298"/>
      <c r="I19" s="298"/>
      <c r="J19" s="297"/>
      <c r="K19" s="341"/>
      <c r="L19" s="342"/>
      <c r="M19" s="343"/>
      <c r="N19" s="298"/>
      <c r="O19" s="298"/>
      <c r="P19" s="298"/>
      <c r="Q19" s="298"/>
      <c r="R19" s="298"/>
      <c r="S19" s="298"/>
      <c r="T19" s="367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4"/>
        <v>0</v>
      </c>
      <c r="AF19" s="377"/>
      <c r="AG19" s="390"/>
      <c r="AH19" s="391">
        <f t="shared" si="1"/>
        <v>0</v>
      </c>
      <c r="AI19" s="392"/>
      <c r="AJ19" s="393">
        <f t="shared" si="6"/>
        <v>0</v>
      </c>
      <c r="AK19" s="394"/>
      <c r="AL19" s="54"/>
      <c r="AM19" s="394"/>
    </row>
    <row r="20" spans="1:39" s="283" customFormat="1" ht="21" thickBot="1">
      <c r="A20" s="294" t="s">
        <v>110</v>
      </c>
      <c r="B20" s="299"/>
      <c r="C20" s="299"/>
      <c r="D20" s="300"/>
      <c r="E20" s="296"/>
      <c r="F20" s="297"/>
      <c r="G20" s="297"/>
      <c r="H20" s="298"/>
      <c r="I20" s="298"/>
      <c r="J20" s="297"/>
      <c r="K20" s="345"/>
      <c r="L20" s="342"/>
      <c r="M20" s="343"/>
      <c r="N20" s="298"/>
      <c r="O20" s="298"/>
      <c r="P20" s="298"/>
      <c r="Q20" s="298"/>
      <c r="R20" s="298"/>
      <c r="S20" s="298"/>
      <c r="T20" s="367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ref="AE20:AE21" si="7">SUM(E20:AC20)</f>
        <v>0</v>
      </c>
      <c r="AF20" s="377"/>
      <c r="AG20" s="390"/>
      <c r="AH20" s="391">
        <f t="shared" si="1"/>
        <v>0</v>
      </c>
      <c r="AI20" s="392"/>
      <c r="AJ20" s="393">
        <f t="shared" ref="AJ20:AJ21" si="8">AH20+AI20</f>
        <v>0</v>
      </c>
      <c r="AK20" s="394"/>
      <c r="AL20" s="54"/>
      <c r="AM20" s="394"/>
    </row>
    <row r="21" spans="1:39" s="283" customFormat="1" ht="21" thickBot="1">
      <c r="A21" s="294" t="s">
        <v>110</v>
      </c>
      <c r="B21" s="299"/>
      <c r="C21" s="299"/>
      <c r="D21" s="300"/>
      <c r="E21" s="296"/>
      <c r="F21" s="297"/>
      <c r="G21" s="297"/>
      <c r="H21" s="298"/>
      <c r="I21" s="298"/>
      <c r="J21" s="297"/>
      <c r="K21" s="341"/>
      <c r="L21" s="342"/>
      <c r="M21" s="343"/>
      <c r="N21" s="298"/>
      <c r="O21" s="298"/>
      <c r="P21" s="298"/>
      <c r="Q21" s="298"/>
      <c r="R21" s="298"/>
      <c r="S21" s="298"/>
      <c r="T21" s="367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7"/>
        <v>0</v>
      </c>
      <c r="AF21" s="377"/>
      <c r="AG21" s="390"/>
      <c r="AH21" s="391">
        <f t="shared" ref="AH21" si="9">AE21+AF21</f>
        <v>0</v>
      </c>
      <c r="AI21" s="392"/>
      <c r="AJ21" s="393">
        <f t="shared" si="8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8"/>
      <c r="I22" s="298"/>
      <c r="J22" s="297"/>
      <c r="K22" s="341"/>
      <c r="L22" s="342"/>
      <c r="M22" s="343"/>
      <c r="N22" s="298"/>
      <c r="O22" s="298"/>
      <c r="P22" s="298"/>
      <c r="Q22" s="298"/>
      <c r="R22" s="298"/>
      <c r="S22" s="298"/>
      <c r="T22" s="367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ref="AE22:AE24" si="10">SUM(E22:AC22)</f>
        <v>0</v>
      </c>
      <c r="AF22" s="377"/>
      <c r="AG22" s="390"/>
      <c r="AH22" s="391">
        <f t="shared" ref="AH22:AH24" si="11">AE22+AF22</f>
        <v>0</v>
      </c>
      <c r="AI22" s="392"/>
      <c r="AJ22" s="393">
        <f t="shared" ref="AJ22:AJ27" si="12">AH22+AI22</f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8"/>
      <c r="I23" s="298"/>
      <c r="J23" s="297"/>
      <c r="K23" s="344"/>
      <c r="L23" s="342"/>
      <c r="M23" s="343"/>
      <c r="N23" s="298"/>
      <c r="O23" s="298"/>
      <c r="P23" s="298"/>
      <c r="Q23" s="298"/>
      <c r="R23" s="298"/>
      <c r="S23" s="298"/>
      <c r="T23" s="367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10"/>
        <v>0</v>
      </c>
      <c r="AF23" s="377"/>
      <c r="AG23" s="390"/>
      <c r="AH23" s="391">
        <f t="shared" si="11"/>
        <v>0</v>
      </c>
      <c r="AI23" s="392"/>
      <c r="AJ23" s="393">
        <f t="shared" si="12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8"/>
      <c r="I24" s="298"/>
      <c r="J24" s="297"/>
      <c r="K24" s="344"/>
      <c r="L24" s="342"/>
      <c r="M24" s="343"/>
      <c r="N24" s="298"/>
      <c r="O24" s="298"/>
      <c r="P24" s="298"/>
      <c r="Q24" s="298"/>
      <c r="R24" s="298"/>
      <c r="S24" s="298"/>
      <c r="T24" s="367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10"/>
        <v>0</v>
      </c>
      <c r="AF24" s="377"/>
      <c r="AG24" s="390"/>
      <c r="AH24" s="391">
        <f t="shared" si="11"/>
        <v>0</v>
      </c>
      <c r="AI24" s="392"/>
      <c r="AJ24" s="393">
        <f t="shared" si="12"/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8"/>
      <c r="I25" s="298"/>
      <c r="J25" s="297"/>
      <c r="K25" s="344"/>
      <c r="L25" s="342"/>
      <c r="M25" s="343"/>
      <c r="N25" s="298"/>
      <c r="O25" s="298"/>
      <c r="P25" s="298"/>
      <c r="Q25" s="298"/>
      <c r="R25" s="298"/>
      <c r="S25" s="298"/>
      <c r="T25" s="367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ref="AE25:AE26" si="13">SUM(E25:AC25)</f>
        <v>0</v>
      </c>
      <c r="AF25" s="377"/>
      <c r="AG25" s="390"/>
      <c r="AH25" s="391">
        <f t="shared" ref="AH25:AH30" si="14">AE25+AF25</f>
        <v>0</v>
      </c>
      <c r="AI25" s="392"/>
      <c r="AJ25" s="393">
        <f t="shared" si="12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8"/>
      <c r="I26" s="298"/>
      <c r="J26" s="297"/>
      <c r="K26" s="344"/>
      <c r="L26" s="342"/>
      <c r="M26" s="343"/>
      <c r="N26" s="298"/>
      <c r="O26" s="298"/>
      <c r="P26" s="298"/>
      <c r="Q26" s="298"/>
      <c r="R26" s="298"/>
      <c r="S26" s="298"/>
      <c r="T26" s="367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13"/>
        <v>0</v>
      </c>
      <c r="AF26" s="377"/>
      <c r="AG26" s="390"/>
      <c r="AH26" s="391">
        <f t="shared" si="14"/>
        <v>0</v>
      </c>
      <c r="AI26" s="392"/>
      <c r="AJ26" s="393">
        <f t="shared" si="12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8"/>
      <c r="I27" s="298"/>
      <c r="J27" s="297"/>
      <c r="K27" s="344"/>
      <c r="L27" s="342"/>
      <c r="M27" s="343"/>
      <c r="N27" s="298"/>
      <c r="O27" s="298"/>
      <c r="P27" s="298"/>
      <c r="Q27" s="298"/>
      <c r="R27" s="298"/>
      <c r="S27" s="298"/>
      <c r="T27" s="367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ref="AE27:AE31" si="15">SUM(E27:AC27)</f>
        <v>0</v>
      </c>
      <c r="AF27" s="377"/>
      <c r="AG27" s="390"/>
      <c r="AH27" s="391">
        <f t="shared" si="14"/>
        <v>0</v>
      </c>
      <c r="AI27" s="392"/>
      <c r="AJ27" s="393">
        <f t="shared" si="12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8"/>
      <c r="I28" s="298"/>
      <c r="J28" s="297"/>
      <c r="K28" s="344"/>
      <c r="L28" s="342"/>
      <c r="M28" s="343"/>
      <c r="N28" s="298"/>
      <c r="O28" s="298"/>
      <c r="P28" s="298"/>
      <c r="Q28" s="298"/>
      <c r="R28" s="298"/>
      <c r="S28" s="298"/>
      <c r="T28" s="367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15"/>
        <v>0</v>
      </c>
      <c r="AF28" s="377"/>
      <c r="AG28" s="390"/>
      <c r="AH28" s="391">
        <f t="shared" si="14"/>
        <v>0</v>
      </c>
      <c r="AI28" s="392"/>
      <c r="AJ28" s="393">
        <f t="shared" ref="AJ28:AJ30" si="16">AH28+AI28</f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8"/>
      <c r="I29" s="298"/>
      <c r="J29" s="297"/>
      <c r="K29" s="344"/>
      <c r="L29" s="342"/>
      <c r="M29" s="343"/>
      <c r="N29" s="298"/>
      <c r="O29" s="298"/>
      <c r="P29" s="298"/>
      <c r="Q29" s="298"/>
      <c r="R29" s="298"/>
      <c r="S29" s="298"/>
      <c r="T29" s="367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15"/>
        <v>0</v>
      </c>
      <c r="AF29" s="377"/>
      <c r="AG29" s="390"/>
      <c r="AH29" s="391">
        <f t="shared" si="14"/>
        <v>0</v>
      </c>
      <c r="AI29" s="392"/>
      <c r="AJ29" s="393">
        <f t="shared" si="16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8"/>
      <c r="I30" s="298"/>
      <c r="J30" s="297"/>
      <c r="K30" s="344"/>
      <c r="L30" s="342"/>
      <c r="M30" s="343"/>
      <c r="N30" s="298"/>
      <c r="O30" s="298"/>
      <c r="P30" s="298"/>
      <c r="Q30" s="298"/>
      <c r="R30" s="298"/>
      <c r="S30" s="298"/>
      <c r="T30" s="367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15"/>
        <v>0</v>
      </c>
      <c r="AF30" s="377"/>
      <c r="AG30" s="390"/>
      <c r="AH30" s="391">
        <f t="shared" si="14"/>
        <v>0</v>
      </c>
      <c r="AI30" s="392"/>
      <c r="AJ30" s="393">
        <f t="shared" si="16"/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8"/>
      <c r="I31" s="298"/>
      <c r="J31" s="297"/>
      <c r="K31" s="344"/>
      <c r="L31" s="342"/>
      <c r="M31" s="343"/>
      <c r="N31" s="298"/>
      <c r="O31" s="298"/>
      <c r="P31" s="298"/>
      <c r="Q31" s="298"/>
      <c r="R31" s="298"/>
      <c r="S31" s="298"/>
      <c r="T31" s="367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15"/>
        <v>0</v>
      </c>
      <c r="AF31" s="377"/>
      <c r="AG31" s="390"/>
      <c r="AH31" s="391">
        <f t="shared" ref="AH31:AH37" si="17">AE31+AF31</f>
        <v>0</v>
      </c>
      <c r="AI31" s="392"/>
      <c r="AJ31" s="393">
        <f t="shared" ref="AJ31:AJ33" si="18">AH31+AI31</f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8"/>
      <c r="I32" s="298"/>
      <c r="J32" s="297"/>
      <c r="K32" s="344"/>
      <c r="L32" s="342"/>
      <c r="M32" s="343"/>
      <c r="N32" s="298"/>
      <c r="O32" s="298"/>
      <c r="P32" s="298"/>
      <c r="Q32" s="298"/>
      <c r="R32" s="298"/>
      <c r="S32" s="298"/>
      <c r="T32" s="367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ref="AE32:AE37" si="19">SUM(E32:AC32)</f>
        <v>0</v>
      </c>
      <c r="AF32" s="377"/>
      <c r="AG32" s="390"/>
      <c r="AH32" s="391">
        <f t="shared" si="17"/>
        <v>0</v>
      </c>
      <c r="AI32" s="392"/>
      <c r="AJ32" s="393">
        <f t="shared" si="18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8"/>
      <c r="I33" s="298"/>
      <c r="J33" s="297"/>
      <c r="K33" s="344"/>
      <c r="L33" s="342"/>
      <c r="M33" s="343"/>
      <c r="N33" s="298"/>
      <c r="O33" s="298"/>
      <c r="P33" s="298"/>
      <c r="Q33" s="298"/>
      <c r="R33" s="298"/>
      <c r="S33" s="298"/>
      <c r="T33" s="367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19"/>
        <v>0</v>
      </c>
      <c r="AF33" s="377"/>
      <c r="AG33" s="390"/>
      <c r="AH33" s="391">
        <f t="shared" si="17"/>
        <v>0</v>
      </c>
      <c r="AI33" s="392"/>
      <c r="AJ33" s="393">
        <f t="shared" si="18"/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8"/>
      <c r="I34" s="298"/>
      <c r="J34" s="297"/>
      <c r="K34" s="344"/>
      <c r="L34" s="342"/>
      <c r="M34" s="343"/>
      <c r="N34" s="298"/>
      <c r="O34" s="298"/>
      <c r="P34" s="298"/>
      <c r="Q34" s="298"/>
      <c r="R34" s="298"/>
      <c r="S34" s="298"/>
      <c r="T34" s="367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19"/>
        <v>0</v>
      </c>
      <c r="AF34" s="377"/>
      <c r="AG34" s="390"/>
      <c r="AH34" s="391">
        <f t="shared" si="17"/>
        <v>0</v>
      </c>
      <c r="AI34" s="392"/>
      <c r="AJ34" s="393">
        <f t="shared" ref="AJ34:AJ35" si="20">AH34+AI34</f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8"/>
      <c r="I35" s="298"/>
      <c r="J35" s="297"/>
      <c r="K35" s="344"/>
      <c r="L35" s="342"/>
      <c r="M35" s="343"/>
      <c r="N35" s="298"/>
      <c r="O35" s="298"/>
      <c r="P35" s="298"/>
      <c r="Q35" s="298"/>
      <c r="R35" s="298"/>
      <c r="S35" s="298"/>
      <c r="T35" s="367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19"/>
        <v>0</v>
      </c>
      <c r="AF35" s="377"/>
      <c r="AG35" s="390"/>
      <c r="AH35" s="391">
        <f t="shared" si="17"/>
        <v>0</v>
      </c>
      <c r="AI35" s="392"/>
      <c r="AJ35" s="393">
        <f t="shared" si="20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8"/>
      <c r="I36" s="298"/>
      <c r="J36" s="297"/>
      <c r="K36" s="344"/>
      <c r="L36" s="342"/>
      <c r="M36" s="343"/>
      <c r="N36" s="298"/>
      <c r="O36" s="298"/>
      <c r="P36" s="298"/>
      <c r="Q36" s="298"/>
      <c r="R36" s="298"/>
      <c r="S36" s="298"/>
      <c r="T36" s="367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19"/>
        <v>0</v>
      </c>
      <c r="AF36" s="377"/>
      <c r="AG36" s="390"/>
      <c r="AH36" s="391">
        <f t="shared" si="17"/>
        <v>0</v>
      </c>
      <c r="AI36" s="392"/>
      <c r="AJ36" s="393">
        <f t="shared" ref="AJ36:AJ37" si="21">AH36+AI36</f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1"/>
      <c r="E37" s="296"/>
      <c r="F37" s="297"/>
      <c r="G37" s="297"/>
      <c r="H37" s="298"/>
      <c r="I37" s="298"/>
      <c r="J37" s="297"/>
      <c r="K37" s="344"/>
      <c r="L37" s="342"/>
      <c r="M37" s="343"/>
      <c r="N37" s="298"/>
      <c r="O37" s="298"/>
      <c r="P37" s="298"/>
      <c r="Q37" s="298"/>
      <c r="R37" s="298"/>
      <c r="S37" s="298"/>
      <c r="T37" s="367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19"/>
        <v>0</v>
      </c>
      <c r="AF37" s="377"/>
      <c r="AG37" s="390"/>
      <c r="AH37" s="391">
        <f t="shared" si="17"/>
        <v>0</v>
      </c>
      <c r="AI37" s="392"/>
      <c r="AJ37" s="395">
        <f t="shared" si="21"/>
        <v>0</v>
      </c>
      <c r="AK37" s="396" t="s">
        <v>8</v>
      </c>
      <c r="AL37" s="397" t="s">
        <v>23</v>
      </c>
      <c r="AM37" s="398" t="s">
        <v>174</v>
      </c>
    </row>
    <row r="38" spans="1:39" s="284" customFormat="1" ht="18.75">
      <c r="A38" s="302" t="s">
        <v>175</v>
      </c>
      <c r="B38" s="303"/>
      <c r="C38" s="303"/>
      <c r="D38" s="304"/>
      <c r="E38" s="305">
        <f t="shared" ref="E38:AJ38" si="22">SUM(E5:E37)</f>
        <v>0</v>
      </c>
      <c r="F38" s="305">
        <f t="shared" si="22"/>
        <v>0</v>
      </c>
      <c r="G38" s="305">
        <f t="shared" si="22"/>
        <v>0</v>
      </c>
      <c r="H38" s="305">
        <f t="shared" si="22"/>
        <v>0</v>
      </c>
      <c r="I38" s="305">
        <f t="shared" si="22"/>
        <v>0</v>
      </c>
      <c r="J38" s="305">
        <f t="shared" si="22"/>
        <v>0</v>
      </c>
      <c r="K38" s="305">
        <f t="shared" si="22"/>
        <v>0</v>
      </c>
      <c r="L38" s="305">
        <f t="shared" si="22"/>
        <v>0</v>
      </c>
      <c r="M38" s="305">
        <f t="shared" si="22"/>
        <v>0</v>
      </c>
      <c r="N38" s="305">
        <f t="shared" ref="N38:T38" si="23">SUM(N5:N37)</f>
        <v>0</v>
      </c>
      <c r="O38" s="305">
        <f t="shared" si="23"/>
        <v>0</v>
      </c>
      <c r="P38" s="305">
        <f t="shared" si="23"/>
        <v>1872</v>
      </c>
      <c r="Q38" s="305">
        <f t="shared" si="23"/>
        <v>1088</v>
      </c>
      <c r="R38" s="305">
        <f t="shared" si="23"/>
        <v>0</v>
      </c>
      <c r="S38" s="305">
        <f t="shared" si="23"/>
        <v>0</v>
      </c>
      <c r="T38" s="305">
        <f t="shared" si="23"/>
        <v>0</v>
      </c>
      <c r="U38" s="305">
        <f t="shared" si="22"/>
        <v>0</v>
      </c>
      <c r="V38" s="305">
        <f t="shared" si="22"/>
        <v>0</v>
      </c>
      <c r="W38" s="305">
        <f t="shared" si="22"/>
        <v>0</v>
      </c>
      <c r="X38" s="305">
        <f t="shared" si="22"/>
        <v>0</v>
      </c>
      <c r="Y38" s="305">
        <f t="shared" si="22"/>
        <v>0</v>
      </c>
      <c r="Z38" s="305">
        <f t="shared" si="22"/>
        <v>0</v>
      </c>
      <c r="AA38" s="305">
        <f t="shared" si="22"/>
        <v>0</v>
      </c>
      <c r="AB38" s="305">
        <f t="shared" si="22"/>
        <v>0</v>
      </c>
      <c r="AC38" s="305">
        <f t="shared" si="22"/>
        <v>0</v>
      </c>
      <c r="AD38" s="305">
        <f t="shared" si="22"/>
        <v>0</v>
      </c>
      <c r="AE38" s="305">
        <f t="shared" si="22"/>
        <v>2960</v>
      </c>
      <c r="AF38" s="305">
        <f t="shared" si="22"/>
        <v>14</v>
      </c>
      <c r="AG38" s="305">
        <f t="shared" si="22"/>
        <v>0</v>
      </c>
      <c r="AH38" s="305">
        <f t="shared" si="22"/>
        <v>2974</v>
      </c>
      <c r="AI38" s="305">
        <f t="shared" si="22"/>
        <v>38</v>
      </c>
      <c r="AJ38" s="305">
        <f t="shared" si="22"/>
        <v>3012</v>
      </c>
      <c r="AK38" s="399">
        <f>'BIG CHAIR'!CL36</f>
        <v>0</v>
      </c>
      <c r="AL38" s="400">
        <f>'Tea Table'!X29</f>
        <v>0</v>
      </c>
      <c r="AM38" s="401">
        <f>AH38+AK38+AL38</f>
        <v>2974</v>
      </c>
    </row>
    <row r="39" spans="1:39" s="284" customFormat="1" ht="19.5" thickBot="1">
      <c r="A39" s="306"/>
      <c r="B39" s="307"/>
      <c r="C39" s="307"/>
      <c r="D39" s="308"/>
      <c r="E39" s="309"/>
      <c r="F39" s="309"/>
      <c r="G39" s="309"/>
      <c r="H39" s="309"/>
      <c r="I39" s="309"/>
      <c r="J39" s="309"/>
      <c r="K39" s="309"/>
      <c r="L39" s="346"/>
      <c r="M39" s="347"/>
      <c r="N39" s="347"/>
      <c r="O39" s="347"/>
      <c r="P39" s="347"/>
      <c r="Q39" s="347"/>
      <c r="R39" s="347"/>
      <c r="S39" s="347"/>
      <c r="T39" s="347"/>
      <c r="U39" s="346"/>
      <c r="V39" s="347"/>
      <c r="W39" s="347"/>
      <c r="X39" s="347"/>
      <c r="Y39" s="347"/>
      <c r="Z39" s="347"/>
      <c r="AA39" s="347"/>
      <c r="AB39" s="347"/>
      <c r="AC39" s="347"/>
      <c r="AD39" s="346"/>
      <c r="AE39" s="347"/>
      <c r="AF39" s="347"/>
      <c r="AG39" s="347"/>
      <c r="AH39" s="347"/>
      <c r="AI39" s="347"/>
      <c r="AJ39" s="402"/>
      <c r="AK39" s="403"/>
      <c r="AL39" s="403"/>
      <c r="AM39" s="403"/>
    </row>
    <row r="40" spans="1:39" s="282" customFormat="1" ht="24" thickBot="1">
      <c r="A40" s="2608" t="s">
        <v>117</v>
      </c>
      <c r="B40" s="288" t="s">
        <v>68</v>
      </c>
      <c r="C40" s="722" t="s">
        <v>69</v>
      </c>
      <c r="D40" s="288" t="s">
        <v>70</v>
      </c>
      <c r="E40" s="80" t="s">
        <v>96</v>
      </c>
      <c r="F40" s="49" t="s">
        <v>250</v>
      </c>
      <c r="G40" s="49" t="s">
        <v>86</v>
      </c>
      <c r="H40" s="49" t="s">
        <v>85</v>
      </c>
      <c r="I40" s="49" t="s">
        <v>123</v>
      </c>
      <c r="J40" s="49" t="s">
        <v>149</v>
      </c>
      <c r="K40" s="126" t="s">
        <v>92</v>
      </c>
      <c r="L40" s="578"/>
      <c r="M40" s="80" t="s">
        <v>214</v>
      </c>
      <c r="N40" s="49" t="s">
        <v>92</v>
      </c>
      <c r="O40" s="49" t="s">
        <v>251</v>
      </c>
      <c r="P40" s="49" t="s">
        <v>53</v>
      </c>
      <c r="Q40" s="49" t="s">
        <v>94</v>
      </c>
      <c r="R40" s="744" t="s">
        <v>482</v>
      </c>
      <c r="S40" s="50" t="s">
        <v>525</v>
      </c>
      <c r="T40" s="171" t="s">
        <v>86</v>
      </c>
      <c r="U40" s="578"/>
      <c r="V40" s="49" t="s">
        <v>95</v>
      </c>
      <c r="W40" s="49"/>
      <c r="X40" s="49" t="s">
        <v>252</v>
      </c>
      <c r="Y40" s="49"/>
      <c r="Z40" s="104"/>
      <c r="AA40" s="49" t="s">
        <v>76</v>
      </c>
      <c r="AB40" s="121"/>
      <c r="AC40" s="49" t="s">
        <v>53</v>
      </c>
      <c r="AD40" s="370"/>
      <c r="AE40" s="371" t="s">
        <v>172</v>
      </c>
      <c r="AF40" s="372" t="s">
        <v>80</v>
      </c>
      <c r="AG40" s="385"/>
      <c r="AH40" s="386" t="s">
        <v>106</v>
      </c>
      <c r="AI40" s="385" t="s">
        <v>173</v>
      </c>
      <c r="AJ40" s="371" t="s">
        <v>108</v>
      </c>
    </row>
    <row r="41" spans="1:39" s="234" customFormat="1" ht="20.25">
      <c r="A41" s="2663" t="s">
        <v>176</v>
      </c>
      <c r="B41" s="724"/>
      <c r="C41" s="725"/>
      <c r="D41" s="312"/>
      <c r="E41" s="313"/>
      <c r="F41" s="314"/>
      <c r="G41" s="314"/>
      <c r="H41" s="315"/>
      <c r="I41" s="315"/>
      <c r="J41" s="314"/>
      <c r="K41" s="348"/>
      <c r="L41" s="349"/>
      <c r="M41" s="350"/>
      <c r="N41" s="315"/>
      <c r="O41" s="315"/>
      <c r="P41" s="315"/>
      <c r="Q41" s="315"/>
      <c r="R41" s="315"/>
      <c r="S41" s="315"/>
      <c r="T41" s="348"/>
      <c r="U41" s="349"/>
      <c r="V41" s="350"/>
      <c r="W41" s="315"/>
      <c r="X41" s="315"/>
      <c r="Y41" s="315"/>
      <c r="Z41" s="315"/>
      <c r="AA41" s="315"/>
      <c r="AB41" s="315"/>
      <c r="AC41" s="378"/>
      <c r="AD41" s="349"/>
      <c r="AE41" s="379">
        <f>SUM(E41:AC41)</f>
        <v>0</v>
      </c>
      <c r="AF41" s="379"/>
      <c r="AG41" s="404"/>
      <c r="AH41" s="405">
        <f>AE41+AF41</f>
        <v>0</v>
      </c>
      <c r="AI41" s="406"/>
      <c r="AJ41" s="407">
        <f>AH41+AI41</f>
        <v>0</v>
      </c>
    </row>
    <row r="42" spans="1:39" s="234" customFormat="1" ht="20.25">
      <c r="A42" s="1180" t="s">
        <v>120</v>
      </c>
      <c r="B42" s="729"/>
      <c r="C42" s="730"/>
      <c r="D42" s="318"/>
      <c r="E42" s="319"/>
      <c r="F42" s="320"/>
      <c r="G42" s="320"/>
      <c r="H42" s="321"/>
      <c r="I42" s="321"/>
      <c r="J42" s="320"/>
      <c r="K42" s="354"/>
      <c r="L42" s="352"/>
      <c r="M42" s="353"/>
      <c r="N42" s="321"/>
      <c r="O42" s="321"/>
      <c r="P42" s="321"/>
      <c r="Q42" s="321"/>
      <c r="R42" s="321"/>
      <c r="S42" s="321"/>
      <c r="T42" s="351"/>
      <c r="U42" s="352"/>
      <c r="V42" s="319"/>
      <c r="W42" s="320"/>
      <c r="X42" s="320"/>
      <c r="Y42" s="321"/>
      <c r="Z42" s="321"/>
      <c r="AA42" s="321"/>
      <c r="AB42" s="320"/>
      <c r="AC42" s="380"/>
      <c r="AD42" s="352"/>
      <c r="AE42" s="381">
        <f>SUM(E42:AC42)</f>
        <v>0</v>
      </c>
      <c r="AF42" s="381"/>
      <c r="AG42" s="408"/>
      <c r="AH42" s="409">
        <f>AE42+AF42</f>
        <v>0</v>
      </c>
      <c r="AI42" s="410"/>
      <c r="AJ42" s="411">
        <f>AH42+AI42</f>
        <v>0</v>
      </c>
    </row>
    <row r="43" spans="1:39" s="234" customFormat="1" ht="20.25">
      <c r="A43" s="1180" t="s">
        <v>120</v>
      </c>
      <c r="B43" s="727"/>
      <c r="C43" s="728"/>
      <c r="D43" s="318"/>
      <c r="E43" s="319"/>
      <c r="F43" s="320"/>
      <c r="G43" s="320"/>
      <c r="H43" s="321"/>
      <c r="I43" s="321"/>
      <c r="J43" s="320"/>
      <c r="K43" s="351"/>
      <c r="L43" s="352"/>
      <c r="M43" s="353"/>
      <c r="N43" s="320"/>
      <c r="O43" s="320"/>
      <c r="P43" s="321"/>
      <c r="Q43" s="321"/>
      <c r="R43" s="321"/>
      <c r="S43" s="320"/>
      <c r="T43" s="351"/>
      <c r="U43" s="352"/>
      <c r="V43" s="353"/>
      <c r="W43" s="321"/>
      <c r="X43" s="321"/>
      <c r="Y43" s="321"/>
      <c r="Z43" s="321"/>
      <c r="AA43" s="321"/>
      <c r="AB43" s="321"/>
      <c r="AC43" s="380"/>
      <c r="AD43" s="352"/>
      <c r="AE43" s="381">
        <f t="shared" ref="AE43:AE52" si="24">SUM(E43:AC43)</f>
        <v>0</v>
      </c>
      <c r="AF43" s="381"/>
      <c r="AG43" s="408"/>
      <c r="AH43" s="409">
        <f t="shared" ref="AH43:AH53" si="25">AE43+AF43</f>
        <v>0</v>
      </c>
      <c r="AI43" s="410"/>
      <c r="AJ43" s="411">
        <f>AH43+AI43</f>
        <v>0</v>
      </c>
    </row>
    <row r="44" spans="1:39" s="234" customFormat="1" ht="20.25">
      <c r="A44" s="1180" t="s">
        <v>120</v>
      </c>
      <c r="B44" s="729"/>
      <c r="C44" s="730"/>
      <c r="D44" s="318"/>
      <c r="E44" s="319"/>
      <c r="F44" s="320"/>
      <c r="G44" s="320"/>
      <c r="H44" s="321"/>
      <c r="I44" s="321"/>
      <c r="J44" s="320"/>
      <c r="K44" s="354"/>
      <c r="L44" s="352"/>
      <c r="M44" s="353"/>
      <c r="N44" s="321"/>
      <c r="O44" s="321"/>
      <c r="P44" s="321"/>
      <c r="Q44" s="321"/>
      <c r="R44" s="321"/>
      <c r="S44" s="321"/>
      <c r="T44" s="351"/>
      <c r="U44" s="352"/>
      <c r="V44" s="319"/>
      <c r="W44" s="320"/>
      <c r="X44" s="320"/>
      <c r="Y44" s="321"/>
      <c r="Z44" s="321"/>
      <c r="AA44" s="321"/>
      <c r="AB44" s="320"/>
      <c r="AC44" s="380"/>
      <c r="AD44" s="352"/>
      <c r="AE44" s="381">
        <f t="shared" si="24"/>
        <v>0</v>
      </c>
      <c r="AF44" s="381"/>
      <c r="AG44" s="408"/>
      <c r="AH44" s="409">
        <f t="shared" si="25"/>
        <v>0</v>
      </c>
      <c r="AI44" s="410"/>
      <c r="AJ44" s="411">
        <f>AH44+AI44</f>
        <v>0</v>
      </c>
    </row>
    <row r="45" spans="1:39" s="234" customFormat="1" ht="20.25">
      <c r="A45" s="1180" t="s">
        <v>120</v>
      </c>
      <c r="B45" s="729"/>
      <c r="C45" s="730"/>
      <c r="D45" s="318"/>
      <c r="E45" s="319"/>
      <c r="F45" s="320"/>
      <c r="G45" s="320"/>
      <c r="H45" s="321"/>
      <c r="I45" s="321"/>
      <c r="J45" s="320"/>
      <c r="K45" s="354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24"/>
        <v>0</v>
      </c>
      <c r="AF45" s="381"/>
      <c r="AG45" s="408"/>
      <c r="AH45" s="409">
        <f t="shared" si="25"/>
        <v>0</v>
      </c>
      <c r="AI45" s="410"/>
      <c r="AJ45" s="411">
        <f>AH45+AI45</f>
        <v>0</v>
      </c>
    </row>
    <row r="46" spans="1:39" s="234" customFormat="1" ht="20.25">
      <c r="A46" s="1180" t="s">
        <v>120</v>
      </c>
      <c r="B46" s="729"/>
      <c r="C46" s="730"/>
      <c r="D46" s="318"/>
      <c r="E46" s="319"/>
      <c r="F46" s="320"/>
      <c r="G46" s="320"/>
      <c r="H46" s="321"/>
      <c r="I46" s="321"/>
      <c r="J46" s="320"/>
      <c r="K46" s="354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24"/>
        <v>0</v>
      </c>
      <c r="AF46" s="381"/>
      <c r="AG46" s="408"/>
      <c r="AH46" s="409">
        <f t="shared" ref="AH46:AH47" si="26">AE46+AF46</f>
        <v>0</v>
      </c>
      <c r="AI46" s="410"/>
      <c r="AJ46" s="411">
        <f t="shared" ref="AJ46:AJ48" si="27">AH46+AI46</f>
        <v>0</v>
      </c>
    </row>
    <row r="47" spans="1:39" s="234" customFormat="1" ht="20.25">
      <c r="A47" s="1180" t="s">
        <v>120</v>
      </c>
      <c r="B47" s="729"/>
      <c r="C47" s="730"/>
      <c r="D47" s="318"/>
      <c r="E47" s="319"/>
      <c r="F47" s="320"/>
      <c r="G47" s="320"/>
      <c r="H47" s="321"/>
      <c r="I47" s="321"/>
      <c r="J47" s="320"/>
      <c r="K47" s="354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ref="AE47" si="28">SUM(E47:AC47)</f>
        <v>0</v>
      </c>
      <c r="AF47" s="381"/>
      <c r="AG47" s="408"/>
      <c r="AH47" s="409">
        <f t="shared" si="26"/>
        <v>0</v>
      </c>
      <c r="AI47" s="410"/>
      <c r="AJ47" s="411">
        <f t="shared" si="27"/>
        <v>0</v>
      </c>
    </row>
    <row r="48" spans="1:39" s="234" customFormat="1" ht="20.25">
      <c r="A48" s="1180" t="s">
        <v>120</v>
      </c>
      <c r="B48" s="729"/>
      <c r="C48" s="730"/>
      <c r="D48" s="318"/>
      <c r="E48" s="319"/>
      <c r="F48" s="320"/>
      <c r="G48" s="320"/>
      <c r="H48" s="321"/>
      <c r="I48" s="321"/>
      <c r="J48" s="320"/>
      <c r="K48" s="354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24"/>
        <v>0</v>
      </c>
      <c r="AF48" s="381"/>
      <c r="AG48" s="408"/>
      <c r="AH48" s="409">
        <f t="shared" si="25"/>
        <v>0</v>
      </c>
      <c r="AI48" s="410"/>
      <c r="AJ48" s="411">
        <f t="shared" si="27"/>
        <v>0</v>
      </c>
    </row>
    <row r="49" spans="1:39" s="234" customFormat="1" ht="20.25">
      <c r="A49" s="1180" t="s">
        <v>120</v>
      </c>
      <c r="B49" s="729"/>
      <c r="C49" s="730"/>
      <c r="D49" s="318"/>
      <c r="E49" s="319"/>
      <c r="F49" s="320"/>
      <c r="G49" s="320"/>
      <c r="H49" s="321"/>
      <c r="I49" s="321"/>
      <c r="J49" s="320"/>
      <c r="K49" s="354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24"/>
        <v>0</v>
      </c>
      <c r="AF49" s="381"/>
      <c r="AG49" s="408"/>
      <c r="AH49" s="409">
        <f t="shared" si="25"/>
        <v>0</v>
      </c>
      <c r="AI49" s="410"/>
      <c r="AJ49" s="411">
        <f t="shared" ref="AJ49:AJ53" si="29">AH49+AI49</f>
        <v>0</v>
      </c>
    </row>
    <row r="50" spans="1:39" s="234" customFormat="1" ht="20.25">
      <c r="A50" s="1180" t="s">
        <v>120</v>
      </c>
      <c r="B50" s="729"/>
      <c r="C50" s="730"/>
      <c r="D50" s="318"/>
      <c r="E50" s="319"/>
      <c r="F50" s="320"/>
      <c r="G50" s="320"/>
      <c r="H50" s="321"/>
      <c r="I50" s="321"/>
      <c r="J50" s="320"/>
      <c r="K50" s="354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ref="AE50:AE51" si="30">SUM(E50:AC50)</f>
        <v>0</v>
      </c>
      <c r="AF50" s="381"/>
      <c r="AG50" s="408"/>
      <c r="AH50" s="409">
        <f t="shared" si="25"/>
        <v>0</v>
      </c>
      <c r="AI50" s="410"/>
      <c r="AJ50" s="411">
        <f t="shared" si="29"/>
        <v>0</v>
      </c>
    </row>
    <row r="51" spans="1:39" s="234" customFormat="1" ht="20.25">
      <c r="A51" s="1180" t="s">
        <v>120</v>
      </c>
      <c r="B51" s="729"/>
      <c r="C51" s="730"/>
      <c r="D51" s="318"/>
      <c r="E51" s="319"/>
      <c r="F51" s="320"/>
      <c r="G51" s="320"/>
      <c r="H51" s="321"/>
      <c r="I51" s="321"/>
      <c r="J51" s="320"/>
      <c r="K51" s="354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30"/>
        <v>0</v>
      </c>
      <c r="AF51" s="381"/>
      <c r="AG51" s="408"/>
      <c r="AH51" s="409">
        <f t="shared" si="25"/>
        <v>0</v>
      </c>
      <c r="AI51" s="410"/>
      <c r="AJ51" s="411">
        <f t="shared" si="29"/>
        <v>0</v>
      </c>
    </row>
    <row r="52" spans="1:39" s="234" customFormat="1" ht="21" thickBot="1">
      <c r="A52" s="1180" t="s">
        <v>120</v>
      </c>
      <c r="B52" s="729"/>
      <c r="C52" s="730"/>
      <c r="D52" s="318"/>
      <c r="E52" s="319"/>
      <c r="F52" s="320"/>
      <c r="G52" s="320"/>
      <c r="H52" s="321"/>
      <c r="I52" s="321"/>
      <c r="J52" s="320"/>
      <c r="K52" s="354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24"/>
        <v>0</v>
      </c>
      <c r="AF52" s="381"/>
      <c r="AG52" s="408"/>
      <c r="AH52" s="409">
        <f t="shared" si="25"/>
        <v>0</v>
      </c>
      <c r="AI52" s="410"/>
      <c r="AJ52" s="411">
        <f t="shared" si="29"/>
        <v>0</v>
      </c>
    </row>
    <row r="53" spans="1:39" s="283" customFormat="1" ht="21" thickBot="1">
      <c r="A53" s="1180" t="s">
        <v>120</v>
      </c>
      <c r="B53" s="2564"/>
      <c r="C53" s="732"/>
      <c r="D53" s="324"/>
      <c r="E53" s="325"/>
      <c r="F53" s="297"/>
      <c r="G53" s="297"/>
      <c r="H53" s="298"/>
      <c r="I53" s="298"/>
      <c r="J53" s="297"/>
      <c r="K53" s="344"/>
      <c r="L53" s="355"/>
      <c r="M53" s="343"/>
      <c r="N53" s="298"/>
      <c r="O53" s="298"/>
      <c r="P53" s="298"/>
      <c r="Q53" s="298"/>
      <c r="R53" s="298"/>
      <c r="S53" s="298"/>
      <c r="T53" s="367"/>
      <c r="U53" s="355"/>
      <c r="V53" s="325"/>
      <c r="W53" s="297"/>
      <c r="X53" s="297"/>
      <c r="Y53" s="298"/>
      <c r="Z53" s="298"/>
      <c r="AA53" s="298"/>
      <c r="AB53" s="297"/>
      <c r="AC53" s="375"/>
      <c r="AD53" s="355"/>
      <c r="AE53" s="376">
        <f t="shared" ref="AE53" si="31">SUM(E53:AC53)</f>
        <v>0</v>
      </c>
      <c r="AF53" s="377"/>
      <c r="AG53" s="390"/>
      <c r="AH53" s="391">
        <f t="shared" si="25"/>
        <v>0</v>
      </c>
      <c r="AI53" s="412"/>
      <c r="AJ53" s="413">
        <f t="shared" si="29"/>
        <v>0</v>
      </c>
      <c r="AK53" s="414" t="s">
        <v>8</v>
      </c>
      <c r="AL53" s="397" t="s">
        <v>23</v>
      </c>
      <c r="AM53" s="415" t="s">
        <v>174</v>
      </c>
    </row>
    <row r="54" spans="1:39" s="284" customFormat="1" ht="19.5" thickBot="1">
      <c r="A54" s="326" t="s">
        <v>177</v>
      </c>
      <c r="B54" s="327"/>
      <c r="C54" s="327"/>
      <c r="D54" s="328"/>
      <c r="E54" s="329">
        <f t="shared" ref="E54:K54" si="32">SUM(E41:E53)</f>
        <v>0</v>
      </c>
      <c r="F54" s="330">
        <f t="shared" si="32"/>
        <v>0</v>
      </c>
      <c r="G54" s="330">
        <f t="shared" si="32"/>
        <v>0</v>
      </c>
      <c r="H54" s="330">
        <f t="shared" si="32"/>
        <v>0</v>
      </c>
      <c r="I54" s="330">
        <f t="shared" si="32"/>
        <v>0</v>
      </c>
      <c r="J54" s="330">
        <f t="shared" si="32"/>
        <v>0</v>
      </c>
      <c r="K54" s="356">
        <f t="shared" si="32"/>
        <v>0</v>
      </c>
      <c r="L54" s="357"/>
      <c r="M54" s="358">
        <f t="shared" ref="M54:T54" si="33">SUM(M41:M53)</f>
        <v>0</v>
      </c>
      <c r="N54" s="359">
        <f t="shared" si="33"/>
        <v>0</v>
      </c>
      <c r="O54" s="359">
        <f t="shared" si="33"/>
        <v>0</v>
      </c>
      <c r="P54" s="359">
        <f t="shared" si="33"/>
        <v>0</v>
      </c>
      <c r="Q54" s="359">
        <f t="shared" si="33"/>
        <v>0</v>
      </c>
      <c r="R54" s="359">
        <f t="shared" si="33"/>
        <v>0</v>
      </c>
      <c r="S54" s="359">
        <f t="shared" si="33"/>
        <v>0</v>
      </c>
      <c r="T54" s="369">
        <f t="shared" si="33"/>
        <v>0</v>
      </c>
      <c r="U54" s="357"/>
      <c r="V54" s="358">
        <f t="shared" ref="V54:AC54" si="34">SUM(V41:V53)</f>
        <v>0</v>
      </c>
      <c r="W54" s="359">
        <f t="shared" si="34"/>
        <v>0</v>
      </c>
      <c r="X54" s="359">
        <f t="shared" si="34"/>
        <v>0</v>
      </c>
      <c r="Y54" s="359">
        <f t="shared" si="34"/>
        <v>0</v>
      </c>
      <c r="Z54" s="359">
        <f t="shared" si="34"/>
        <v>0</v>
      </c>
      <c r="AA54" s="359">
        <f t="shared" si="34"/>
        <v>0</v>
      </c>
      <c r="AB54" s="359">
        <f t="shared" si="34"/>
        <v>0</v>
      </c>
      <c r="AC54" s="369">
        <f t="shared" si="34"/>
        <v>0</v>
      </c>
      <c r="AD54" s="357"/>
      <c r="AE54" s="382">
        <f t="shared" ref="AE54:AJ54" si="35">SUM(AE41:AE53)</f>
        <v>0</v>
      </c>
      <c r="AF54" s="382">
        <f t="shared" si="35"/>
        <v>0</v>
      </c>
      <c r="AG54" s="416">
        <f t="shared" si="35"/>
        <v>0</v>
      </c>
      <c r="AH54" s="417">
        <f t="shared" si="35"/>
        <v>0</v>
      </c>
      <c r="AI54" s="382">
        <f t="shared" si="35"/>
        <v>0</v>
      </c>
      <c r="AJ54" s="418">
        <f t="shared" si="35"/>
        <v>0</v>
      </c>
      <c r="AK54" s="399">
        <f>'BIG CHAIR'!CL77</f>
        <v>14560</v>
      </c>
      <c r="AL54" s="400">
        <f>'Tea Table'!X85</f>
        <v>0</v>
      </c>
      <c r="AM54" s="401">
        <f>AH54+AK54+AL54</f>
        <v>14560</v>
      </c>
    </row>
    <row r="55" spans="1:39" s="284" customFormat="1" ht="19.5" thickBot="1">
      <c r="A55" s="306"/>
      <c r="B55" s="307"/>
      <c r="C55" s="307"/>
      <c r="D55" s="308"/>
      <c r="E55" s="309"/>
      <c r="F55" s="309"/>
      <c r="G55" s="309"/>
      <c r="H55" s="309"/>
      <c r="I55" s="309"/>
      <c r="J55" s="309"/>
      <c r="K55" s="309"/>
      <c r="L55" s="346"/>
      <c r="M55" s="347"/>
      <c r="N55" s="347"/>
      <c r="O55" s="347"/>
      <c r="P55" s="347"/>
      <c r="Q55" s="347"/>
      <c r="R55" s="347"/>
      <c r="S55" s="347"/>
      <c r="T55" s="347"/>
      <c r="U55" s="346"/>
      <c r="V55" s="347"/>
      <c r="W55" s="347"/>
      <c r="X55" s="347"/>
      <c r="Y55" s="347"/>
      <c r="Z55" s="347"/>
      <c r="AA55" s="347"/>
      <c r="AB55" s="347"/>
      <c r="AC55" s="347"/>
      <c r="AD55" s="346"/>
      <c r="AE55" s="347"/>
      <c r="AF55" s="347"/>
      <c r="AG55" s="347"/>
      <c r="AH55" s="347"/>
      <c r="AI55" s="347"/>
      <c r="AJ55" s="402"/>
      <c r="AK55" s="403"/>
      <c r="AL55" s="403"/>
      <c r="AM55" s="403"/>
    </row>
    <row r="56" spans="1:39" s="282" customFormat="1" ht="24" thickBot="1">
      <c r="A56" s="286" t="s">
        <v>122</v>
      </c>
      <c r="B56" s="287" t="s">
        <v>68</v>
      </c>
      <c r="C56" s="287" t="s">
        <v>69</v>
      </c>
      <c r="D56" s="288" t="s">
        <v>70</v>
      </c>
      <c r="E56" s="80" t="s">
        <v>96</v>
      </c>
      <c r="F56" s="49" t="s">
        <v>250</v>
      </c>
      <c r="G56" s="49" t="s">
        <v>86</v>
      </c>
      <c r="H56" s="49" t="s">
        <v>85</v>
      </c>
      <c r="I56" s="49" t="s">
        <v>123</v>
      </c>
      <c r="J56" s="49" t="s">
        <v>149</v>
      </c>
      <c r="K56" s="126" t="s">
        <v>92</v>
      </c>
      <c r="L56" s="578"/>
      <c r="M56" s="80" t="s">
        <v>214</v>
      </c>
      <c r="N56" s="49" t="s">
        <v>92</v>
      </c>
      <c r="O56" s="49" t="s">
        <v>251</v>
      </c>
      <c r="P56" s="49" t="s">
        <v>53</v>
      </c>
      <c r="Q56" s="49" t="s">
        <v>94</v>
      </c>
      <c r="R56" s="744" t="s">
        <v>482</v>
      </c>
      <c r="S56" s="50" t="s">
        <v>525</v>
      </c>
      <c r="T56" s="171" t="s">
        <v>86</v>
      </c>
      <c r="U56" s="578"/>
      <c r="V56" s="49" t="s">
        <v>95</v>
      </c>
      <c r="W56" s="49"/>
      <c r="X56" s="49" t="s">
        <v>252</v>
      </c>
      <c r="Y56" s="49"/>
      <c r="Z56" s="104"/>
      <c r="AA56" s="49" t="s">
        <v>76</v>
      </c>
      <c r="AB56" s="121"/>
      <c r="AC56" s="49" t="s">
        <v>53</v>
      </c>
      <c r="AD56" s="370"/>
      <c r="AE56" s="371" t="s">
        <v>172</v>
      </c>
      <c r="AF56" s="372" t="s">
        <v>80</v>
      </c>
      <c r="AG56" s="385"/>
      <c r="AH56" s="386" t="s">
        <v>106</v>
      </c>
      <c r="AI56" s="385" t="s">
        <v>173</v>
      </c>
      <c r="AJ56" s="371" t="s">
        <v>108</v>
      </c>
    </row>
    <row r="57" spans="1:39" s="234" customFormat="1" ht="20.25">
      <c r="A57" s="310" t="s">
        <v>125</v>
      </c>
      <c r="B57" s="311"/>
      <c r="C57" s="311"/>
      <c r="D57" s="312"/>
      <c r="E57" s="313"/>
      <c r="F57" s="314"/>
      <c r="G57" s="314"/>
      <c r="H57" s="315"/>
      <c r="I57" s="315"/>
      <c r="J57" s="314"/>
      <c r="K57" s="348"/>
      <c r="L57" s="349"/>
      <c r="M57" s="350"/>
      <c r="N57" s="315"/>
      <c r="O57" s="315"/>
      <c r="P57" s="315"/>
      <c r="Q57" s="315"/>
      <c r="R57" s="315"/>
      <c r="S57" s="315"/>
      <c r="T57" s="348"/>
      <c r="U57" s="349"/>
      <c r="V57" s="350"/>
      <c r="W57" s="315"/>
      <c r="X57" s="315"/>
      <c r="Y57" s="315"/>
      <c r="Z57" s="315"/>
      <c r="AA57" s="315"/>
      <c r="AB57" s="315"/>
      <c r="AC57" s="378"/>
      <c r="AD57" s="349"/>
      <c r="AE57" s="379">
        <f t="shared" ref="AE57:AE60" si="36">SUM(E57:AC57)</f>
        <v>0</v>
      </c>
      <c r="AF57" s="379"/>
      <c r="AG57" s="404"/>
      <c r="AH57" s="405">
        <f>AE57+AF57</f>
        <v>0</v>
      </c>
      <c r="AI57" s="406"/>
      <c r="AJ57" s="407">
        <f>AH57+AI57</f>
        <v>0</v>
      </c>
    </row>
    <row r="58" spans="1:39" s="234" customFormat="1" ht="20.25">
      <c r="A58" s="316" t="s">
        <v>125</v>
      </c>
      <c r="B58" s="317"/>
      <c r="C58" s="317"/>
      <c r="D58" s="318"/>
      <c r="E58" s="319"/>
      <c r="F58" s="320"/>
      <c r="G58" s="320"/>
      <c r="H58" s="321"/>
      <c r="I58" s="321"/>
      <c r="J58" s="320"/>
      <c r="K58" s="351"/>
      <c r="L58" s="352"/>
      <c r="M58" s="353"/>
      <c r="N58" s="320"/>
      <c r="O58" s="320"/>
      <c r="P58" s="321"/>
      <c r="Q58" s="321"/>
      <c r="R58" s="321"/>
      <c r="S58" s="320"/>
      <c r="T58" s="351"/>
      <c r="U58" s="352"/>
      <c r="V58" s="353"/>
      <c r="W58" s="321"/>
      <c r="X58" s="321"/>
      <c r="Y58" s="321"/>
      <c r="Z58" s="321"/>
      <c r="AA58" s="321"/>
      <c r="AB58" s="321"/>
      <c r="AC58" s="380"/>
      <c r="AD58" s="352"/>
      <c r="AE58" s="381">
        <f t="shared" si="36"/>
        <v>0</v>
      </c>
      <c r="AF58" s="381"/>
      <c r="AG58" s="408"/>
      <c r="AH58" s="409">
        <f t="shared" ref="AH58:AH60" si="37">AE58+AF58</f>
        <v>0</v>
      </c>
      <c r="AI58" s="410"/>
      <c r="AJ58" s="411">
        <f>AH58+AI58</f>
        <v>0</v>
      </c>
    </row>
    <row r="59" spans="1:39" s="234" customFormat="1" ht="20.25">
      <c r="A59" s="316" t="s">
        <v>125</v>
      </c>
      <c r="B59" s="295"/>
      <c r="C59" s="295"/>
      <c r="D59" s="318"/>
      <c r="E59" s="319"/>
      <c r="F59" s="320"/>
      <c r="G59" s="320"/>
      <c r="H59" s="321"/>
      <c r="I59" s="321"/>
      <c r="J59" s="320"/>
      <c r="K59" s="354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36"/>
        <v>0</v>
      </c>
      <c r="AF59" s="381"/>
      <c r="AG59" s="408"/>
      <c r="AH59" s="409">
        <f t="shared" si="37"/>
        <v>0</v>
      </c>
      <c r="AI59" s="410"/>
      <c r="AJ59" s="411">
        <f>AH59+AI59</f>
        <v>0</v>
      </c>
    </row>
    <row r="60" spans="1:39" s="234" customFormat="1" ht="20.25">
      <c r="A60" s="316" t="s">
        <v>125</v>
      </c>
      <c r="B60" s="295"/>
      <c r="C60" s="295"/>
      <c r="D60" s="318"/>
      <c r="E60" s="319"/>
      <c r="F60" s="320"/>
      <c r="G60" s="320"/>
      <c r="H60" s="321"/>
      <c r="I60" s="321"/>
      <c r="J60" s="320"/>
      <c r="K60" s="354"/>
      <c r="L60" s="352"/>
      <c r="M60" s="353"/>
      <c r="N60" s="321"/>
      <c r="O60" s="321"/>
      <c r="P60" s="321"/>
      <c r="Q60" s="321"/>
      <c r="R60" s="321"/>
      <c r="S60" s="321"/>
      <c r="T60" s="351"/>
      <c r="U60" s="352"/>
      <c r="V60" s="319"/>
      <c r="W60" s="320"/>
      <c r="X60" s="320"/>
      <c r="Y60" s="321"/>
      <c r="Z60" s="321"/>
      <c r="AA60" s="321"/>
      <c r="AB60" s="320"/>
      <c r="AC60" s="380"/>
      <c r="AD60" s="352"/>
      <c r="AE60" s="381">
        <f t="shared" si="36"/>
        <v>0</v>
      </c>
      <c r="AF60" s="381"/>
      <c r="AG60" s="408"/>
      <c r="AH60" s="409">
        <f t="shared" si="37"/>
        <v>0</v>
      </c>
      <c r="AI60" s="410"/>
      <c r="AJ60" s="411">
        <f>AH60+AI60</f>
        <v>0</v>
      </c>
    </row>
    <row r="61" spans="1:39" s="234" customFormat="1" ht="20.25">
      <c r="A61" s="316" t="s">
        <v>125</v>
      </c>
      <c r="B61" s="295"/>
      <c r="C61" s="295"/>
      <c r="D61" s="318"/>
      <c r="E61" s="319"/>
      <c r="F61" s="320"/>
      <c r="G61" s="320"/>
      <c r="H61" s="321"/>
      <c r="I61" s="321"/>
      <c r="J61" s="320"/>
      <c r="K61" s="354"/>
      <c r="L61" s="352"/>
      <c r="M61" s="353"/>
      <c r="N61" s="321"/>
      <c r="O61" s="321"/>
      <c r="P61" s="321"/>
      <c r="Q61" s="321"/>
      <c r="R61" s="321"/>
      <c r="S61" s="321"/>
      <c r="T61" s="351"/>
      <c r="U61" s="352"/>
      <c r="V61" s="319"/>
      <c r="W61" s="320"/>
      <c r="X61" s="320"/>
      <c r="Y61" s="321"/>
      <c r="Z61" s="321"/>
      <c r="AA61" s="321"/>
      <c r="AB61" s="320"/>
      <c r="AC61" s="380"/>
      <c r="AD61" s="352"/>
      <c r="AE61" s="381">
        <f t="shared" ref="AE61:AE68" si="38">SUM(E61:AC61)</f>
        <v>0</v>
      </c>
      <c r="AF61" s="381"/>
      <c r="AG61" s="408"/>
      <c r="AH61" s="409">
        <f t="shared" ref="AH61:AH68" si="39">AE61+AF61</f>
        <v>0</v>
      </c>
      <c r="AI61" s="410"/>
      <c r="AJ61" s="411">
        <f t="shared" ref="AJ61:AJ63" si="40">AH61+AI61</f>
        <v>0</v>
      </c>
    </row>
    <row r="62" spans="1:39" s="234" customFormat="1" ht="20.25">
      <c r="A62" s="316" t="s">
        <v>125</v>
      </c>
      <c r="B62" s="295"/>
      <c r="C62" s="295"/>
      <c r="D62" s="318"/>
      <c r="E62" s="319"/>
      <c r="F62" s="320"/>
      <c r="G62" s="320"/>
      <c r="H62" s="321"/>
      <c r="I62" s="321"/>
      <c r="J62" s="320"/>
      <c r="K62" s="354"/>
      <c r="L62" s="352"/>
      <c r="M62" s="353"/>
      <c r="N62" s="321"/>
      <c r="O62" s="321"/>
      <c r="P62" s="321"/>
      <c r="Q62" s="321"/>
      <c r="R62" s="321"/>
      <c r="S62" s="321"/>
      <c r="T62" s="351"/>
      <c r="U62" s="352"/>
      <c r="V62" s="319"/>
      <c r="W62" s="320"/>
      <c r="X62" s="320"/>
      <c r="Y62" s="321"/>
      <c r="Z62" s="321"/>
      <c r="AA62" s="321"/>
      <c r="AB62" s="320"/>
      <c r="AC62" s="380"/>
      <c r="AD62" s="352"/>
      <c r="AE62" s="381">
        <f t="shared" si="38"/>
        <v>0</v>
      </c>
      <c r="AF62" s="381"/>
      <c r="AG62" s="408"/>
      <c r="AH62" s="409">
        <f t="shared" si="39"/>
        <v>0</v>
      </c>
      <c r="AI62" s="410"/>
      <c r="AJ62" s="411">
        <f t="shared" si="40"/>
        <v>0</v>
      </c>
    </row>
    <row r="63" spans="1:39" s="234" customFormat="1" ht="20.25">
      <c r="A63" s="316" t="s">
        <v>125</v>
      </c>
      <c r="B63" s="295"/>
      <c r="C63" s="295"/>
      <c r="D63" s="318"/>
      <c r="E63" s="319"/>
      <c r="F63" s="320"/>
      <c r="G63" s="320"/>
      <c r="H63" s="321"/>
      <c r="I63" s="321"/>
      <c r="J63" s="320"/>
      <c r="K63" s="354"/>
      <c r="L63" s="352"/>
      <c r="M63" s="353"/>
      <c r="N63" s="321"/>
      <c r="O63" s="321"/>
      <c r="P63" s="321"/>
      <c r="Q63" s="321"/>
      <c r="R63" s="321"/>
      <c r="S63" s="321"/>
      <c r="T63" s="351"/>
      <c r="U63" s="352"/>
      <c r="V63" s="319"/>
      <c r="W63" s="320"/>
      <c r="X63" s="320"/>
      <c r="Y63" s="321"/>
      <c r="Z63" s="321"/>
      <c r="AA63" s="321"/>
      <c r="AB63" s="320"/>
      <c r="AC63" s="380"/>
      <c r="AD63" s="352"/>
      <c r="AE63" s="381">
        <f t="shared" si="38"/>
        <v>0</v>
      </c>
      <c r="AF63" s="381"/>
      <c r="AG63" s="408"/>
      <c r="AH63" s="409">
        <f t="shared" si="39"/>
        <v>0</v>
      </c>
      <c r="AI63" s="410"/>
      <c r="AJ63" s="411">
        <f t="shared" si="40"/>
        <v>0</v>
      </c>
    </row>
    <row r="64" spans="1:39" s="234" customFormat="1" ht="20.25">
      <c r="A64" s="316" t="s">
        <v>125</v>
      </c>
      <c r="B64" s="295"/>
      <c r="C64" s="295"/>
      <c r="D64" s="318"/>
      <c r="E64" s="319"/>
      <c r="F64" s="320"/>
      <c r="G64" s="320"/>
      <c r="H64" s="321"/>
      <c r="I64" s="321"/>
      <c r="J64" s="320"/>
      <c r="K64" s="354"/>
      <c r="L64" s="352"/>
      <c r="M64" s="353"/>
      <c r="N64" s="321"/>
      <c r="O64" s="321"/>
      <c r="P64" s="321"/>
      <c r="Q64" s="321"/>
      <c r="R64" s="321"/>
      <c r="S64" s="321"/>
      <c r="T64" s="351"/>
      <c r="U64" s="352"/>
      <c r="V64" s="319"/>
      <c r="W64" s="320"/>
      <c r="X64" s="320"/>
      <c r="Y64" s="321"/>
      <c r="Z64" s="321"/>
      <c r="AA64" s="321"/>
      <c r="AB64" s="320"/>
      <c r="AC64" s="380"/>
      <c r="AD64" s="352"/>
      <c r="AE64" s="381">
        <f t="shared" si="38"/>
        <v>0</v>
      </c>
      <c r="AF64" s="381"/>
      <c r="AG64" s="408"/>
      <c r="AH64" s="409">
        <f t="shared" si="39"/>
        <v>0</v>
      </c>
      <c r="AI64" s="410"/>
      <c r="AJ64" s="411">
        <f t="shared" ref="AJ64:AJ68" si="41">AH64+AI64</f>
        <v>0</v>
      </c>
    </row>
    <row r="65" spans="1:39" s="234" customFormat="1" ht="20.25">
      <c r="A65" s="316" t="s">
        <v>125</v>
      </c>
      <c r="B65" s="295"/>
      <c r="C65" s="295"/>
      <c r="D65" s="318"/>
      <c r="E65" s="319"/>
      <c r="F65" s="320"/>
      <c r="G65" s="320"/>
      <c r="H65" s="321"/>
      <c r="I65" s="321"/>
      <c r="J65" s="320"/>
      <c r="K65" s="354"/>
      <c r="L65" s="352"/>
      <c r="M65" s="353"/>
      <c r="N65" s="321"/>
      <c r="O65" s="321"/>
      <c r="P65" s="321"/>
      <c r="Q65" s="321"/>
      <c r="R65" s="321"/>
      <c r="S65" s="321"/>
      <c r="T65" s="351"/>
      <c r="U65" s="352"/>
      <c r="V65" s="319"/>
      <c r="W65" s="320"/>
      <c r="X65" s="320"/>
      <c r="Y65" s="321"/>
      <c r="Z65" s="321"/>
      <c r="AA65" s="321"/>
      <c r="AB65" s="320"/>
      <c r="AC65" s="380"/>
      <c r="AD65" s="352"/>
      <c r="AE65" s="381">
        <f t="shared" si="38"/>
        <v>0</v>
      </c>
      <c r="AF65" s="381"/>
      <c r="AG65" s="408"/>
      <c r="AH65" s="409">
        <f t="shared" si="39"/>
        <v>0</v>
      </c>
      <c r="AI65" s="410"/>
      <c r="AJ65" s="411">
        <f t="shared" si="41"/>
        <v>0</v>
      </c>
    </row>
    <row r="66" spans="1:39" s="234" customFormat="1" ht="20.25">
      <c r="A66" s="316" t="s">
        <v>125</v>
      </c>
      <c r="B66" s="295"/>
      <c r="C66" s="295"/>
      <c r="D66" s="318"/>
      <c r="E66" s="319"/>
      <c r="F66" s="320"/>
      <c r="G66" s="320"/>
      <c r="H66" s="321"/>
      <c r="I66" s="321"/>
      <c r="J66" s="320"/>
      <c r="K66" s="354"/>
      <c r="L66" s="352"/>
      <c r="M66" s="353"/>
      <c r="N66" s="321"/>
      <c r="O66" s="321"/>
      <c r="P66" s="321"/>
      <c r="Q66" s="321"/>
      <c r="R66" s="321"/>
      <c r="S66" s="321"/>
      <c r="T66" s="351"/>
      <c r="U66" s="352"/>
      <c r="V66" s="319"/>
      <c r="W66" s="320"/>
      <c r="X66" s="320"/>
      <c r="Y66" s="321"/>
      <c r="Z66" s="321"/>
      <c r="AA66" s="321"/>
      <c r="AB66" s="320"/>
      <c r="AC66" s="380"/>
      <c r="AD66" s="352"/>
      <c r="AE66" s="381">
        <f t="shared" si="38"/>
        <v>0</v>
      </c>
      <c r="AF66" s="381"/>
      <c r="AG66" s="408"/>
      <c r="AH66" s="409">
        <f t="shared" si="39"/>
        <v>0</v>
      </c>
      <c r="AI66" s="410"/>
      <c r="AJ66" s="411">
        <f t="shared" si="41"/>
        <v>0</v>
      </c>
    </row>
    <row r="67" spans="1:39" s="234" customFormat="1" ht="20.25">
      <c r="A67" s="316" t="s">
        <v>125</v>
      </c>
      <c r="B67" s="295"/>
      <c r="C67" s="295"/>
      <c r="D67" s="318"/>
      <c r="E67" s="319"/>
      <c r="F67" s="320"/>
      <c r="G67" s="320"/>
      <c r="H67" s="321"/>
      <c r="I67" s="321"/>
      <c r="J67" s="320"/>
      <c r="K67" s="354"/>
      <c r="L67" s="352"/>
      <c r="M67" s="353"/>
      <c r="N67" s="321"/>
      <c r="O67" s="321"/>
      <c r="P67" s="321"/>
      <c r="Q67" s="321"/>
      <c r="R67" s="321"/>
      <c r="S67" s="321"/>
      <c r="T67" s="351"/>
      <c r="U67" s="352"/>
      <c r="V67" s="319"/>
      <c r="W67" s="320"/>
      <c r="X67" s="320"/>
      <c r="Y67" s="321"/>
      <c r="Z67" s="321"/>
      <c r="AA67" s="321"/>
      <c r="AB67" s="320"/>
      <c r="AC67" s="380"/>
      <c r="AD67" s="352"/>
      <c r="AE67" s="381">
        <f t="shared" si="38"/>
        <v>0</v>
      </c>
      <c r="AF67" s="381"/>
      <c r="AG67" s="408"/>
      <c r="AH67" s="409">
        <f t="shared" si="39"/>
        <v>0</v>
      </c>
      <c r="AI67" s="410"/>
      <c r="AJ67" s="411">
        <f t="shared" si="41"/>
        <v>0</v>
      </c>
    </row>
    <row r="68" spans="1:39" s="283" customFormat="1" ht="20.25">
      <c r="A68" s="322"/>
      <c r="B68" s="323"/>
      <c r="C68" s="323"/>
      <c r="D68" s="324"/>
      <c r="E68" s="325"/>
      <c r="F68" s="297"/>
      <c r="G68" s="297"/>
      <c r="H68" s="298"/>
      <c r="I68" s="298"/>
      <c r="J68" s="297"/>
      <c r="K68" s="344"/>
      <c r="L68" s="355"/>
      <c r="M68" s="343"/>
      <c r="N68" s="298"/>
      <c r="O68" s="298"/>
      <c r="P68" s="298"/>
      <c r="Q68" s="298"/>
      <c r="R68" s="298"/>
      <c r="S68" s="298"/>
      <c r="T68" s="367"/>
      <c r="U68" s="355"/>
      <c r="V68" s="325"/>
      <c r="W68" s="297"/>
      <c r="X68" s="297"/>
      <c r="Y68" s="298"/>
      <c r="Z68" s="298"/>
      <c r="AA68" s="298"/>
      <c r="AB68" s="297"/>
      <c r="AC68" s="375"/>
      <c r="AD68" s="355"/>
      <c r="AE68" s="376">
        <f t="shared" si="38"/>
        <v>0</v>
      </c>
      <c r="AF68" s="377"/>
      <c r="AG68" s="390"/>
      <c r="AH68" s="391">
        <f t="shared" si="39"/>
        <v>0</v>
      </c>
      <c r="AI68" s="412"/>
      <c r="AJ68" s="413">
        <f t="shared" si="41"/>
        <v>0</v>
      </c>
      <c r="AK68" s="414" t="s">
        <v>8</v>
      </c>
      <c r="AL68" s="397" t="s">
        <v>23</v>
      </c>
      <c r="AM68" s="415" t="s">
        <v>174</v>
      </c>
    </row>
    <row r="69" spans="1:39" s="284" customFormat="1" ht="19.5" thickBot="1">
      <c r="A69" s="326" t="s">
        <v>126</v>
      </c>
      <c r="B69" s="327"/>
      <c r="C69" s="327"/>
      <c r="D69" s="328"/>
      <c r="E69" s="329">
        <f t="shared" ref="E69:K69" si="42">SUM(E57:E68)</f>
        <v>0</v>
      </c>
      <c r="F69" s="330">
        <f t="shared" si="42"/>
        <v>0</v>
      </c>
      <c r="G69" s="330">
        <f t="shared" si="42"/>
        <v>0</v>
      </c>
      <c r="H69" s="330">
        <f t="shared" si="42"/>
        <v>0</v>
      </c>
      <c r="I69" s="330">
        <f t="shared" si="42"/>
        <v>0</v>
      </c>
      <c r="J69" s="330">
        <f t="shared" si="42"/>
        <v>0</v>
      </c>
      <c r="K69" s="356">
        <f t="shared" si="42"/>
        <v>0</v>
      </c>
      <c r="L69" s="357"/>
      <c r="M69" s="358">
        <f>SUM(M57:M68)</f>
        <v>0</v>
      </c>
      <c r="N69" s="359">
        <f>SUM(N57:N68)</f>
        <v>0</v>
      </c>
      <c r="O69" s="359">
        <f>SUM(O57:O68)</f>
        <v>0</v>
      </c>
      <c r="P69" s="359">
        <f>SUM(P57:P68)</f>
        <v>0</v>
      </c>
      <c r="Q69" s="359">
        <f t="shared" ref="Q69:S69" si="43">SUM(Q57:Q68)</f>
        <v>0</v>
      </c>
      <c r="R69" s="359">
        <f t="shared" si="43"/>
        <v>0</v>
      </c>
      <c r="S69" s="359">
        <f t="shared" si="43"/>
        <v>0</v>
      </c>
      <c r="T69" s="369">
        <f t="shared" ref="T69" si="44">SUM(T57:T68)</f>
        <v>0</v>
      </c>
      <c r="U69" s="357"/>
      <c r="V69" s="358">
        <f t="shared" ref="V69:AC69" si="45">SUM(V57:V68)</f>
        <v>0</v>
      </c>
      <c r="W69" s="359">
        <f t="shared" si="45"/>
        <v>0</v>
      </c>
      <c r="X69" s="359">
        <f t="shared" si="45"/>
        <v>0</v>
      </c>
      <c r="Y69" s="359">
        <f t="shared" si="45"/>
        <v>0</v>
      </c>
      <c r="Z69" s="359">
        <f t="shared" si="45"/>
        <v>0</v>
      </c>
      <c r="AA69" s="359">
        <f t="shared" si="45"/>
        <v>0</v>
      </c>
      <c r="AB69" s="359">
        <f t="shared" si="45"/>
        <v>0</v>
      </c>
      <c r="AC69" s="369">
        <f t="shared" si="45"/>
        <v>0</v>
      </c>
      <c r="AD69" s="357"/>
      <c r="AE69" s="382">
        <f>SUM(AE57:AE68)</f>
        <v>0</v>
      </c>
      <c r="AF69" s="382">
        <f>SUM(AF57:AF68)</f>
        <v>0</v>
      </c>
      <c r="AG69" s="416">
        <f t="shared" ref="AG69:AJ69" si="46">SUM(AG57:AG68)</f>
        <v>0</v>
      </c>
      <c r="AH69" s="417">
        <f t="shared" si="46"/>
        <v>0</v>
      </c>
      <c r="AI69" s="382">
        <f t="shared" si="46"/>
        <v>0</v>
      </c>
      <c r="AJ69" s="418">
        <f t="shared" si="46"/>
        <v>0</v>
      </c>
      <c r="AK69" s="399">
        <f>'BIG CHAIR'!CL91</f>
        <v>0</v>
      </c>
      <c r="AL69" s="400">
        <f>'Tea Table'!X181</f>
        <v>0</v>
      </c>
      <c r="AM69" s="401">
        <f>AH69+AK69+AL69</f>
        <v>0</v>
      </c>
    </row>
    <row r="70" spans="1:39" ht="24" thickBot="1">
      <c r="A70" s="721" t="s">
        <v>127</v>
      </c>
      <c r="B70" s="722" t="s">
        <v>68</v>
      </c>
      <c r="C70" s="287" t="s">
        <v>69</v>
      </c>
      <c r="D70" s="288" t="s">
        <v>70</v>
      </c>
      <c r="E70" s="80" t="s">
        <v>96</v>
      </c>
      <c r="F70" s="49" t="s">
        <v>250</v>
      </c>
      <c r="G70" s="49" t="s">
        <v>86</v>
      </c>
      <c r="H70" s="49" t="s">
        <v>85</v>
      </c>
      <c r="I70" s="49" t="s">
        <v>123</v>
      </c>
      <c r="J70" s="49" t="s">
        <v>149</v>
      </c>
      <c r="K70" s="126" t="s">
        <v>92</v>
      </c>
      <c r="L70" s="578"/>
      <c r="M70" s="80" t="s">
        <v>214</v>
      </c>
      <c r="N70" s="49" t="s">
        <v>92</v>
      </c>
      <c r="O70" s="49" t="s">
        <v>251</v>
      </c>
      <c r="P70" s="49" t="s">
        <v>53</v>
      </c>
      <c r="Q70" s="49" t="s">
        <v>94</v>
      </c>
      <c r="R70" s="49" t="s">
        <v>73</v>
      </c>
      <c r="S70" s="50" t="s">
        <v>525</v>
      </c>
      <c r="T70" s="171" t="s">
        <v>86</v>
      </c>
      <c r="U70" s="578"/>
      <c r="V70" s="49" t="s">
        <v>95</v>
      </c>
      <c r="W70" s="49"/>
      <c r="X70" s="49" t="s">
        <v>252</v>
      </c>
      <c r="Y70" s="49"/>
      <c r="Z70" s="104"/>
      <c r="AA70" s="49" t="s">
        <v>76</v>
      </c>
      <c r="AB70" s="121"/>
      <c r="AC70" s="49" t="s">
        <v>53</v>
      </c>
      <c r="AD70" s="370"/>
      <c r="AE70" s="371" t="s">
        <v>172</v>
      </c>
      <c r="AF70" s="372" t="s">
        <v>80</v>
      </c>
      <c r="AG70" s="385"/>
      <c r="AH70" s="386" t="s">
        <v>106</v>
      </c>
      <c r="AI70" s="385" t="s">
        <v>173</v>
      </c>
      <c r="AJ70" s="371" t="s">
        <v>108</v>
      </c>
      <c r="AK70" s="282"/>
      <c r="AL70" s="282"/>
      <c r="AM70" s="282"/>
    </row>
    <row r="71" spans="1:39" ht="20.25">
      <c r="A71" s="792" t="s">
        <v>128</v>
      </c>
      <c r="B71" s="311"/>
      <c r="C71" s="311"/>
      <c r="D71" s="312"/>
      <c r="E71" s="313"/>
      <c r="F71" s="314"/>
      <c r="G71" s="314"/>
      <c r="H71" s="315"/>
      <c r="I71" s="315"/>
      <c r="J71" s="314"/>
      <c r="K71" s="348"/>
      <c r="L71" s="349"/>
      <c r="M71" s="350"/>
      <c r="N71" s="315"/>
      <c r="O71" s="315"/>
      <c r="P71" s="315"/>
      <c r="Q71" s="315"/>
      <c r="R71" s="315"/>
      <c r="S71" s="315"/>
      <c r="T71" s="348"/>
      <c r="U71" s="349"/>
      <c r="V71" s="350"/>
      <c r="W71" s="315"/>
      <c r="X71" s="315"/>
      <c r="Y71" s="315"/>
      <c r="Z71" s="315"/>
      <c r="AA71" s="315"/>
      <c r="AB71" s="315"/>
      <c r="AC71" s="378"/>
      <c r="AD71" s="349"/>
      <c r="AE71" s="379">
        <f t="shared" ref="AE71:AE74" si="47">SUM(E71:AC71)</f>
        <v>0</v>
      </c>
      <c r="AF71" s="379"/>
      <c r="AG71" s="404"/>
      <c r="AH71" s="405">
        <f>AE71+AF71</f>
        <v>0</v>
      </c>
      <c r="AI71" s="406"/>
      <c r="AJ71" s="407">
        <f>AH71+AI71</f>
        <v>0</v>
      </c>
      <c r="AK71" s="234"/>
      <c r="AL71" s="234"/>
      <c r="AM71" s="234"/>
    </row>
    <row r="72" spans="1:39" ht="20.25">
      <c r="A72" s="424" t="s">
        <v>128</v>
      </c>
      <c r="B72" s="317"/>
      <c r="C72" s="317"/>
      <c r="D72" s="318"/>
      <c r="E72" s="319"/>
      <c r="F72" s="320"/>
      <c r="G72" s="320"/>
      <c r="H72" s="321"/>
      <c r="I72" s="321"/>
      <c r="J72" s="320"/>
      <c r="K72" s="351"/>
      <c r="L72" s="352"/>
      <c r="M72" s="353"/>
      <c r="N72" s="320"/>
      <c r="O72" s="320"/>
      <c r="P72" s="321"/>
      <c r="Q72" s="321"/>
      <c r="R72" s="321"/>
      <c r="S72" s="320"/>
      <c r="T72" s="351"/>
      <c r="U72" s="352"/>
      <c r="V72" s="353"/>
      <c r="W72" s="321"/>
      <c r="X72" s="321"/>
      <c r="Y72" s="321"/>
      <c r="Z72" s="321"/>
      <c r="AA72" s="321"/>
      <c r="AB72" s="321"/>
      <c r="AC72" s="380"/>
      <c r="AD72" s="352"/>
      <c r="AE72" s="381">
        <f t="shared" si="47"/>
        <v>0</v>
      </c>
      <c r="AF72" s="381"/>
      <c r="AG72" s="408"/>
      <c r="AH72" s="409">
        <f t="shared" ref="AH72:AH74" si="48">AE72+AF72</f>
        <v>0</v>
      </c>
      <c r="AI72" s="410"/>
      <c r="AJ72" s="411">
        <f>AH72+AI72</f>
        <v>0</v>
      </c>
      <c r="AK72" s="234"/>
      <c r="AL72" s="234"/>
      <c r="AM72" s="234"/>
    </row>
    <row r="73" spans="1:39" ht="20.25">
      <c r="A73" s="424" t="s">
        <v>128</v>
      </c>
      <c r="B73" s="295"/>
      <c r="C73" s="295"/>
      <c r="D73" s="318"/>
      <c r="E73" s="319"/>
      <c r="F73" s="320"/>
      <c r="G73" s="320"/>
      <c r="H73" s="321"/>
      <c r="I73" s="321"/>
      <c r="J73" s="320"/>
      <c r="K73" s="354"/>
      <c r="L73" s="352"/>
      <c r="M73" s="353"/>
      <c r="N73" s="321"/>
      <c r="O73" s="321"/>
      <c r="P73" s="321"/>
      <c r="Q73" s="321"/>
      <c r="R73" s="321"/>
      <c r="S73" s="321"/>
      <c r="T73" s="351"/>
      <c r="U73" s="352"/>
      <c r="V73" s="319"/>
      <c r="W73" s="320"/>
      <c r="X73" s="320"/>
      <c r="Y73" s="321"/>
      <c r="Z73" s="321"/>
      <c r="AA73" s="321"/>
      <c r="AB73" s="320"/>
      <c r="AC73" s="380"/>
      <c r="AD73" s="352"/>
      <c r="AE73" s="381">
        <f t="shared" si="47"/>
        <v>0</v>
      </c>
      <c r="AF73" s="381"/>
      <c r="AG73" s="408"/>
      <c r="AH73" s="409">
        <f t="shared" si="48"/>
        <v>0</v>
      </c>
      <c r="AI73" s="410"/>
      <c r="AJ73" s="411">
        <f>AH73+AI73</f>
        <v>0</v>
      </c>
      <c r="AK73" s="234"/>
      <c r="AL73" s="234"/>
      <c r="AM73" s="234"/>
    </row>
    <row r="74" spans="1:39" ht="20.25">
      <c r="A74" s="424" t="s">
        <v>128</v>
      </c>
      <c r="B74" s="295"/>
      <c r="C74" s="295"/>
      <c r="D74" s="318"/>
      <c r="E74" s="319"/>
      <c r="F74" s="320"/>
      <c r="G74" s="320"/>
      <c r="H74" s="321"/>
      <c r="I74" s="321"/>
      <c r="J74" s="320"/>
      <c r="K74" s="354"/>
      <c r="L74" s="352"/>
      <c r="M74" s="353"/>
      <c r="N74" s="321"/>
      <c r="O74" s="321"/>
      <c r="P74" s="321"/>
      <c r="Q74" s="321"/>
      <c r="R74" s="321"/>
      <c r="S74" s="321"/>
      <c r="T74" s="351"/>
      <c r="U74" s="352"/>
      <c r="V74" s="319"/>
      <c r="W74" s="320"/>
      <c r="X74" s="320"/>
      <c r="Y74" s="321"/>
      <c r="Z74" s="321"/>
      <c r="AA74" s="321"/>
      <c r="AB74" s="320"/>
      <c r="AC74" s="380"/>
      <c r="AD74" s="352"/>
      <c r="AE74" s="381">
        <f t="shared" si="47"/>
        <v>0</v>
      </c>
      <c r="AF74" s="381"/>
      <c r="AG74" s="408"/>
      <c r="AH74" s="409">
        <f t="shared" si="48"/>
        <v>0</v>
      </c>
      <c r="AI74" s="410"/>
      <c r="AJ74" s="411">
        <f>AH74+AI74</f>
        <v>0</v>
      </c>
      <c r="AK74" s="234"/>
      <c r="AL74" s="234"/>
      <c r="AM74" s="234"/>
    </row>
    <row r="75" spans="1:39" ht="20.25">
      <c r="A75" s="424" t="s">
        <v>128</v>
      </c>
      <c r="B75" s="295"/>
      <c r="C75" s="295"/>
      <c r="D75" s="318"/>
      <c r="E75" s="319"/>
      <c r="F75" s="320"/>
      <c r="G75" s="320"/>
      <c r="H75" s="321"/>
      <c r="I75" s="321"/>
      <c r="J75" s="320"/>
      <c r="K75" s="354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ref="AE75:AE82" si="49">SUM(E75:AC75)</f>
        <v>0</v>
      </c>
      <c r="AF75" s="381"/>
      <c r="AG75" s="408"/>
      <c r="AH75" s="409">
        <f t="shared" ref="AH75:AH82" si="50">AE75+AF75</f>
        <v>0</v>
      </c>
      <c r="AI75" s="410"/>
      <c r="AJ75" s="411">
        <f t="shared" ref="AJ75:AJ77" si="51">AH75+AI75</f>
        <v>0</v>
      </c>
      <c r="AK75" s="234"/>
      <c r="AL75" s="234"/>
      <c r="AM75" s="234"/>
    </row>
    <row r="76" spans="1:39" ht="20.25">
      <c r="A76" s="424" t="s">
        <v>128</v>
      </c>
      <c r="B76" s="295"/>
      <c r="C76" s="295"/>
      <c r="D76" s="318"/>
      <c r="E76" s="319"/>
      <c r="F76" s="320"/>
      <c r="G76" s="320"/>
      <c r="H76" s="321"/>
      <c r="I76" s="321"/>
      <c r="J76" s="320"/>
      <c r="K76" s="354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49"/>
        <v>0</v>
      </c>
      <c r="AF76" s="381"/>
      <c r="AG76" s="408"/>
      <c r="AH76" s="409">
        <f t="shared" si="50"/>
        <v>0</v>
      </c>
      <c r="AI76" s="410"/>
      <c r="AJ76" s="411">
        <f t="shared" si="51"/>
        <v>0</v>
      </c>
      <c r="AK76" s="234"/>
      <c r="AL76" s="234"/>
      <c r="AM76" s="234"/>
    </row>
    <row r="77" spans="1:39" ht="20.25">
      <c r="A77" s="424" t="s">
        <v>128</v>
      </c>
      <c r="B77" s="295"/>
      <c r="C77" s="295"/>
      <c r="D77" s="318"/>
      <c r="E77" s="319"/>
      <c r="F77" s="320"/>
      <c r="G77" s="320"/>
      <c r="H77" s="321"/>
      <c r="I77" s="321"/>
      <c r="J77" s="320"/>
      <c r="K77" s="354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49"/>
        <v>0</v>
      </c>
      <c r="AF77" s="381"/>
      <c r="AG77" s="408"/>
      <c r="AH77" s="409">
        <f t="shared" si="50"/>
        <v>0</v>
      </c>
      <c r="AI77" s="410"/>
      <c r="AJ77" s="411">
        <f t="shared" si="51"/>
        <v>0</v>
      </c>
      <c r="AK77" s="234"/>
      <c r="AL77" s="234"/>
      <c r="AM77" s="234"/>
    </row>
    <row r="78" spans="1:39" ht="20.25">
      <c r="A78" s="424" t="s">
        <v>128</v>
      </c>
      <c r="B78" s="295"/>
      <c r="C78" s="295"/>
      <c r="D78" s="318"/>
      <c r="E78" s="319"/>
      <c r="F78" s="320"/>
      <c r="G78" s="320"/>
      <c r="H78" s="321"/>
      <c r="I78" s="321"/>
      <c r="J78" s="320"/>
      <c r="K78" s="354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49"/>
        <v>0</v>
      </c>
      <c r="AF78" s="381"/>
      <c r="AG78" s="408"/>
      <c r="AH78" s="409">
        <f t="shared" si="50"/>
        <v>0</v>
      </c>
      <c r="AI78" s="410"/>
      <c r="AJ78" s="411">
        <f t="shared" ref="AJ78:AJ82" si="52">AH78+AI78</f>
        <v>0</v>
      </c>
      <c r="AK78" s="234"/>
      <c r="AL78" s="234"/>
      <c r="AM78" s="234"/>
    </row>
    <row r="79" spans="1:39" ht="20.25">
      <c r="A79" s="424" t="s">
        <v>128</v>
      </c>
      <c r="B79" s="295"/>
      <c r="C79" s="295"/>
      <c r="D79" s="318"/>
      <c r="E79" s="319"/>
      <c r="F79" s="320"/>
      <c r="G79" s="320"/>
      <c r="H79" s="321"/>
      <c r="I79" s="321"/>
      <c r="J79" s="320"/>
      <c r="K79" s="354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49"/>
        <v>0</v>
      </c>
      <c r="AF79" s="381"/>
      <c r="AG79" s="408"/>
      <c r="AH79" s="409">
        <f t="shared" si="50"/>
        <v>0</v>
      </c>
      <c r="AI79" s="410"/>
      <c r="AJ79" s="411">
        <f t="shared" si="52"/>
        <v>0</v>
      </c>
      <c r="AK79" s="234"/>
      <c r="AL79" s="234"/>
      <c r="AM79" s="234"/>
    </row>
    <row r="80" spans="1:39" ht="20.25">
      <c r="A80" s="424" t="s">
        <v>128</v>
      </c>
      <c r="B80" s="295"/>
      <c r="C80" s="295"/>
      <c r="D80" s="318"/>
      <c r="E80" s="319"/>
      <c r="F80" s="320"/>
      <c r="G80" s="320"/>
      <c r="H80" s="321"/>
      <c r="I80" s="321"/>
      <c r="J80" s="320"/>
      <c r="K80" s="354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49"/>
        <v>0</v>
      </c>
      <c r="AF80" s="381"/>
      <c r="AG80" s="408"/>
      <c r="AH80" s="409">
        <f t="shared" si="50"/>
        <v>0</v>
      </c>
      <c r="AI80" s="410"/>
      <c r="AJ80" s="411">
        <f t="shared" si="52"/>
        <v>0</v>
      </c>
      <c r="AK80" s="234"/>
      <c r="AL80" s="234"/>
      <c r="AM80" s="234"/>
    </row>
    <row r="81" spans="1:39" ht="20.25">
      <c r="A81" s="424" t="s">
        <v>128</v>
      </c>
      <c r="B81" s="295"/>
      <c r="C81" s="295"/>
      <c r="D81" s="318"/>
      <c r="E81" s="319"/>
      <c r="F81" s="320"/>
      <c r="G81" s="320"/>
      <c r="H81" s="321"/>
      <c r="I81" s="321"/>
      <c r="J81" s="320"/>
      <c r="K81" s="354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49"/>
        <v>0</v>
      </c>
      <c r="AF81" s="381"/>
      <c r="AG81" s="408"/>
      <c r="AH81" s="409">
        <f t="shared" si="50"/>
        <v>0</v>
      </c>
      <c r="AI81" s="410"/>
      <c r="AJ81" s="411">
        <f t="shared" si="52"/>
        <v>0</v>
      </c>
      <c r="AK81" s="234"/>
      <c r="AL81" s="234"/>
      <c r="AM81" s="234"/>
    </row>
    <row r="82" spans="1:39" ht="20.25">
      <c r="A82" s="322"/>
      <c r="B82" s="323"/>
      <c r="C82" s="323"/>
      <c r="D82" s="324"/>
      <c r="E82" s="325"/>
      <c r="F82" s="297"/>
      <c r="G82" s="297"/>
      <c r="H82" s="298"/>
      <c r="I82" s="298"/>
      <c r="J82" s="297"/>
      <c r="K82" s="344"/>
      <c r="L82" s="355"/>
      <c r="M82" s="343"/>
      <c r="N82" s="298"/>
      <c r="O82" s="298"/>
      <c r="P82" s="298"/>
      <c r="Q82" s="298"/>
      <c r="R82" s="298"/>
      <c r="S82" s="298"/>
      <c r="T82" s="367"/>
      <c r="U82" s="355"/>
      <c r="V82" s="325"/>
      <c r="W82" s="297"/>
      <c r="X82" s="297"/>
      <c r="Y82" s="298"/>
      <c r="Z82" s="298"/>
      <c r="AA82" s="298"/>
      <c r="AB82" s="297"/>
      <c r="AC82" s="375"/>
      <c r="AD82" s="355"/>
      <c r="AE82" s="376">
        <f t="shared" si="49"/>
        <v>0</v>
      </c>
      <c r="AF82" s="377"/>
      <c r="AG82" s="390"/>
      <c r="AH82" s="391">
        <f t="shared" si="50"/>
        <v>0</v>
      </c>
      <c r="AI82" s="412"/>
      <c r="AJ82" s="413">
        <f t="shared" si="52"/>
        <v>0</v>
      </c>
      <c r="AK82" s="414" t="s">
        <v>8</v>
      </c>
      <c r="AL82" s="397" t="s">
        <v>23</v>
      </c>
      <c r="AM82" s="415" t="s">
        <v>174</v>
      </c>
    </row>
    <row r="83" spans="1:39" ht="19.5" thickBot="1">
      <c r="A83" s="326" t="s">
        <v>129</v>
      </c>
      <c r="B83" s="327"/>
      <c r="C83" s="327"/>
      <c r="D83" s="328"/>
      <c r="E83" s="329">
        <f>SUM(E71:E82)</f>
        <v>0</v>
      </c>
      <c r="F83" s="329">
        <f t="shared" ref="F83:AJ83" si="53">SUM(F71:F82)</f>
        <v>0</v>
      </c>
      <c r="G83" s="329">
        <f t="shared" si="53"/>
        <v>0</v>
      </c>
      <c r="H83" s="329">
        <f t="shared" si="53"/>
        <v>0</v>
      </c>
      <c r="I83" s="329">
        <f t="shared" si="53"/>
        <v>0</v>
      </c>
      <c r="J83" s="329">
        <f t="shared" si="53"/>
        <v>0</v>
      </c>
      <c r="K83" s="329">
        <f t="shared" si="53"/>
        <v>0</v>
      </c>
      <c r="L83" s="329">
        <f t="shared" si="53"/>
        <v>0</v>
      </c>
      <c r="M83" s="329">
        <f t="shared" si="53"/>
        <v>0</v>
      </c>
      <c r="N83" s="329">
        <f t="shared" si="53"/>
        <v>0</v>
      </c>
      <c r="O83" s="329">
        <f t="shared" si="53"/>
        <v>0</v>
      </c>
      <c r="P83" s="329">
        <f t="shared" si="53"/>
        <v>0</v>
      </c>
      <c r="Q83" s="329">
        <f t="shared" si="53"/>
        <v>0</v>
      </c>
      <c r="R83" s="329">
        <f t="shared" si="53"/>
        <v>0</v>
      </c>
      <c r="S83" s="329">
        <f t="shared" si="53"/>
        <v>0</v>
      </c>
      <c r="T83" s="329">
        <f t="shared" si="53"/>
        <v>0</v>
      </c>
      <c r="U83" s="329">
        <f t="shared" si="53"/>
        <v>0</v>
      </c>
      <c r="V83" s="329">
        <f t="shared" si="53"/>
        <v>0</v>
      </c>
      <c r="W83" s="329">
        <f t="shared" si="53"/>
        <v>0</v>
      </c>
      <c r="X83" s="329">
        <f t="shared" si="53"/>
        <v>0</v>
      </c>
      <c r="Y83" s="329">
        <f t="shared" si="53"/>
        <v>0</v>
      </c>
      <c r="Z83" s="329">
        <f t="shared" si="53"/>
        <v>0</v>
      </c>
      <c r="AA83" s="329">
        <f t="shared" si="53"/>
        <v>0</v>
      </c>
      <c r="AB83" s="329">
        <f t="shared" si="53"/>
        <v>0</v>
      </c>
      <c r="AC83" s="329">
        <f t="shared" si="53"/>
        <v>0</v>
      </c>
      <c r="AD83" s="329">
        <f t="shared" si="53"/>
        <v>0</v>
      </c>
      <c r="AE83" s="329">
        <f t="shared" si="53"/>
        <v>0</v>
      </c>
      <c r="AF83" s="329">
        <f t="shared" si="53"/>
        <v>0</v>
      </c>
      <c r="AG83" s="329">
        <f t="shared" si="53"/>
        <v>0</v>
      </c>
      <c r="AH83" s="329">
        <f t="shared" si="53"/>
        <v>0</v>
      </c>
      <c r="AI83" s="329">
        <f t="shared" si="53"/>
        <v>0</v>
      </c>
      <c r="AJ83" s="329">
        <f t="shared" si="53"/>
        <v>0</v>
      </c>
      <c r="AK83" s="399">
        <f>'BIG CHAIR'!CL105</f>
        <v>0</v>
      </c>
      <c r="AL83" s="400">
        <f>'Tea Table'!X195</f>
        <v>0</v>
      </c>
      <c r="AM83" s="401">
        <f>AH83+AK83+AL83</f>
        <v>0</v>
      </c>
    </row>
    <row r="84" spans="1:39" ht="24" thickBot="1">
      <c r="A84" s="2608" t="s">
        <v>130</v>
      </c>
      <c r="B84" s="288" t="s">
        <v>68</v>
      </c>
      <c r="C84" s="722" t="s">
        <v>69</v>
      </c>
      <c r="D84" s="288" t="s">
        <v>70</v>
      </c>
      <c r="E84" s="80" t="s">
        <v>96</v>
      </c>
      <c r="F84" s="49" t="s">
        <v>250</v>
      </c>
      <c r="G84" s="49" t="s">
        <v>86</v>
      </c>
      <c r="H84" s="49" t="s">
        <v>85</v>
      </c>
      <c r="I84" s="49" t="s">
        <v>123</v>
      </c>
      <c r="J84" s="49" t="s">
        <v>149</v>
      </c>
      <c r="K84" s="126" t="s">
        <v>92</v>
      </c>
      <c r="L84" s="578"/>
      <c r="M84" s="80" t="s">
        <v>214</v>
      </c>
      <c r="N84" s="49" t="s">
        <v>92</v>
      </c>
      <c r="O84" s="49" t="s">
        <v>251</v>
      </c>
      <c r="P84" s="49" t="s">
        <v>53</v>
      </c>
      <c r="Q84" s="49" t="s">
        <v>94</v>
      </c>
      <c r="R84" s="49" t="s">
        <v>482</v>
      </c>
      <c r="S84" s="50" t="s">
        <v>525</v>
      </c>
      <c r="T84" s="171" t="s">
        <v>86</v>
      </c>
      <c r="U84" s="578"/>
      <c r="V84" s="49" t="s">
        <v>95</v>
      </c>
      <c r="W84" s="49"/>
      <c r="X84" s="49" t="s">
        <v>252</v>
      </c>
      <c r="Y84" s="49"/>
      <c r="Z84" s="104"/>
      <c r="AA84" s="49" t="s">
        <v>76</v>
      </c>
      <c r="AB84" s="121"/>
      <c r="AC84" s="49" t="s">
        <v>53</v>
      </c>
      <c r="AD84" s="370"/>
      <c r="AE84" s="371" t="s">
        <v>172</v>
      </c>
      <c r="AF84" s="372" t="s">
        <v>80</v>
      </c>
      <c r="AG84" s="385"/>
      <c r="AH84" s="386" t="s">
        <v>106</v>
      </c>
      <c r="AI84" s="385" t="s">
        <v>173</v>
      </c>
      <c r="AJ84" s="371" t="s">
        <v>108</v>
      </c>
      <c r="AK84" s="282"/>
      <c r="AL84" s="282"/>
      <c r="AM84" s="282"/>
    </row>
    <row r="85" spans="1:39" ht="20.25">
      <c r="A85" s="3135" t="s">
        <v>131</v>
      </c>
      <c r="B85" s="724"/>
      <c r="C85" s="725"/>
      <c r="D85" s="312"/>
      <c r="E85" s="313"/>
      <c r="F85" s="314"/>
      <c r="G85" s="314"/>
      <c r="H85" s="315"/>
      <c r="I85" s="315"/>
      <c r="J85" s="314"/>
      <c r="K85" s="348"/>
      <c r="L85" s="349"/>
      <c r="M85" s="350"/>
      <c r="N85" s="315"/>
      <c r="O85" s="315"/>
      <c r="P85" s="315"/>
      <c r="Q85" s="315"/>
      <c r="R85" s="315"/>
      <c r="S85" s="315"/>
      <c r="T85" s="477"/>
      <c r="U85" s="349"/>
      <c r="V85" s="350"/>
      <c r="W85" s="315"/>
      <c r="X85" s="315"/>
      <c r="Y85" s="315"/>
      <c r="Z85" s="315"/>
      <c r="AA85" s="315"/>
      <c r="AB85" s="315"/>
      <c r="AC85" s="378"/>
      <c r="AD85" s="349"/>
      <c r="AE85" s="379">
        <f t="shared" ref="AE85:AE88" si="54">SUM(E85:AC85)</f>
        <v>0</v>
      </c>
      <c r="AF85" s="379"/>
      <c r="AG85" s="404"/>
      <c r="AH85" s="405">
        <f>AE85+AF85</f>
        <v>0</v>
      </c>
      <c r="AI85" s="406"/>
      <c r="AJ85" s="407">
        <f>AH85+AI85</f>
        <v>0</v>
      </c>
      <c r="AK85" s="234"/>
      <c r="AL85" s="234"/>
      <c r="AM85" s="234"/>
    </row>
    <row r="86" spans="1:39" ht="20.25">
      <c r="A86" s="3135" t="s">
        <v>131</v>
      </c>
      <c r="B86" s="727"/>
      <c r="C86" s="728"/>
      <c r="D86" s="318"/>
      <c r="E86" s="319"/>
      <c r="F86" s="320"/>
      <c r="G86" s="320"/>
      <c r="H86" s="321"/>
      <c r="I86" s="321"/>
      <c r="J86" s="320"/>
      <c r="K86" s="351"/>
      <c r="L86" s="352"/>
      <c r="M86" s="353"/>
      <c r="N86" s="320"/>
      <c r="O86" s="320"/>
      <c r="P86" s="321"/>
      <c r="Q86" s="321"/>
      <c r="R86" s="321"/>
      <c r="S86" s="320"/>
      <c r="T86" s="351"/>
      <c r="U86" s="352"/>
      <c r="V86" s="353"/>
      <c r="W86" s="321"/>
      <c r="X86" s="321"/>
      <c r="Y86" s="321"/>
      <c r="Z86" s="321"/>
      <c r="AA86" s="321"/>
      <c r="AB86" s="321"/>
      <c r="AC86" s="380"/>
      <c r="AD86" s="352"/>
      <c r="AE86" s="381">
        <f t="shared" si="54"/>
        <v>0</v>
      </c>
      <c r="AF86" s="381"/>
      <c r="AG86" s="408"/>
      <c r="AH86" s="409">
        <f t="shared" ref="AH86:AH96" si="55">AE86+AF86</f>
        <v>0</v>
      </c>
      <c r="AI86" s="410"/>
      <c r="AJ86" s="411">
        <f>AH86+AI86</f>
        <v>0</v>
      </c>
      <c r="AK86" s="234"/>
      <c r="AL86" s="234"/>
      <c r="AM86" s="234"/>
    </row>
    <row r="87" spans="1:39" ht="20.25">
      <c r="A87" s="3135" t="s">
        <v>131</v>
      </c>
      <c r="B87" s="729"/>
      <c r="C87" s="730"/>
      <c r="D87" s="318"/>
      <c r="E87" s="319"/>
      <c r="F87" s="320"/>
      <c r="G87" s="320"/>
      <c r="H87" s="321"/>
      <c r="I87" s="321"/>
      <c r="J87" s="320"/>
      <c r="K87" s="354"/>
      <c r="L87" s="352"/>
      <c r="M87" s="353"/>
      <c r="N87" s="321"/>
      <c r="O87" s="321"/>
      <c r="P87" s="321"/>
      <c r="Q87" s="321"/>
      <c r="R87" s="321"/>
      <c r="S87" s="321"/>
      <c r="T87" s="351"/>
      <c r="U87" s="352"/>
      <c r="V87" s="319"/>
      <c r="W87" s="320"/>
      <c r="X87" s="320"/>
      <c r="Y87" s="321"/>
      <c r="Z87" s="321"/>
      <c r="AA87" s="321"/>
      <c r="AB87" s="320"/>
      <c r="AC87" s="380"/>
      <c r="AD87" s="352"/>
      <c r="AE87" s="381">
        <f t="shared" si="54"/>
        <v>0</v>
      </c>
      <c r="AF87" s="381"/>
      <c r="AG87" s="408"/>
      <c r="AH87" s="409">
        <f t="shared" si="55"/>
        <v>0</v>
      </c>
      <c r="AI87" s="410"/>
      <c r="AJ87" s="411">
        <f>AH87+AI87</f>
        <v>0</v>
      </c>
      <c r="AK87" s="234"/>
      <c r="AL87" s="234"/>
      <c r="AM87" s="234"/>
    </row>
    <row r="88" spans="1:39" ht="20.25">
      <c r="A88" s="3135" t="s">
        <v>131</v>
      </c>
      <c r="B88" s="729"/>
      <c r="C88" s="730"/>
      <c r="D88" s="318"/>
      <c r="E88" s="319"/>
      <c r="F88" s="320"/>
      <c r="G88" s="320"/>
      <c r="H88" s="321"/>
      <c r="I88" s="321"/>
      <c r="J88" s="320"/>
      <c r="K88" s="354"/>
      <c r="L88" s="352"/>
      <c r="M88" s="353"/>
      <c r="N88" s="321"/>
      <c r="O88" s="321"/>
      <c r="P88" s="321"/>
      <c r="Q88" s="321"/>
      <c r="R88" s="321"/>
      <c r="S88" s="321"/>
      <c r="T88" s="351"/>
      <c r="U88" s="352"/>
      <c r="V88" s="319"/>
      <c r="W88" s="320"/>
      <c r="X88" s="320"/>
      <c r="Y88" s="321"/>
      <c r="Z88" s="321"/>
      <c r="AA88" s="321"/>
      <c r="AB88" s="320"/>
      <c r="AC88" s="380"/>
      <c r="AD88" s="352"/>
      <c r="AE88" s="381">
        <f t="shared" si="54"/>
        <v>0</v>
      </c>
      <c r="AF88" s="381"/>
      <c r="AG88" s="408"/>
      <c r="AH88" s="409">
        <f t="shared" si="55"/>
        <v>0</v>
      </c>
      <c r="AI88" s="410"/>
      <c r="AJ88" s="411">
        <f>AH88+AI88</f>
        <v>0</v>
      </c>
      <c r="AK88" s="234"/>
      <c r="AL88" s="234"/>
      <c r="AM88" s="234"/>
    </row>
    <row r="89" spans="1:39" ht="20.25">
      <c r="A89" s="3135" t="s">
        <v>131</v>
      </c>
      <c r="B89" s="729"/>
      <c r="C89" s="730"/>
      <c r="D89" s="318"/>
      <c r="E89" s="319"/>
      <c r="F89" s="320"/>
      <c r="G89" s="320"/>
      <c r="H89" s="321"/>
      <c r="I89" s="321"/>
      <c r="J89" s="320"/>
      <c r="K89" s="354"/>
      <c r="L89" s="352"/>
      <c r="M89" s="353"/>
      <c r="N89" s="321"/>
      <c r="O89" s="321"/>
      <c r="P89" s="321"/>
      <c r="Q89" s="321"/>
      <c r="R89" s="321"/>
      <c r="S89" s="321"/>
      <c r="T89" s="351"/>
      <c r="U89" s="352"/>
      <c r="V89" s="319"/>
      <c r="W89" s="320"/>
      <c r="X89" s="320"/>
      <c r="Y89" s="321"/>
      <c r="Z89" s="321"/>
      <c r="AA89" s="321"/>
      <c r="AB89" s="320"/>
      <c r="AC89" s="380"/>
      <c r="AD89" s="352"/>
      <c r="AE89" s="381">
        <f t="shared" ref="AE89:AE96" si="56">SUM(E89:AC89)</f>
        <v>0</v>
      </c>
      <c r="AF89" s="381"/>
      <c r="AG89" s="408"/>
      <c r="AH89" s="409">
        <f t="shared" si="55"/>
        <v>0</v>
      </c>
      <c r="AI89" s="410"/>
      <c r="AJ89" s="411">
        <f t="shared" ref="AJ89:AJ96" si="57">AH89+AI89</f>
        <v>0</v>
      </c>
      <c r="AK89" s="234"/>
      <c r="AL89" s="234"/>
      <c r="AM89" s="234"/>
    </row>
    <row r="90" spans="1:39" ht="20.25">
      <c r="A90" s="3135" t="s">
        <v>131</v>
      </c>
      <c r="B90" s="729"/>
      <c r="C90" s="730"/>
      <c r="D90" s="318"/>
      <c r="E90" s="319"/>
      <c r="F90" s="320"/>
      <c r="G90" s="320"/>
      <c r="H90" s="321"/>
      <c r="I90" s="321"/>
      <c r="J90" s="320"/>
      <c r="K90" s="354"/>
      <c r="L90" s="352"/>
      <c r="M90" s="353"/>
      <c r="N90" s="321"/>
      <c r="O90" s="321"/>
      <c r="P90" s="321"/>
      <c r="Q90" s="321"/>
      <c r="R90" s="321"/>
      <c r="S90" s="321"/>
      <c r="T90" s="351"/>
      <c r="U90" s="352"/>
      <c r="V90" s="319"/>
      <c r="W90" s="320"/>
      <c r="X90" s="320"/>
      <c r="Y90" s="321"/>
      <c r="Z90" s="321"/>
      <c r="AA90" s="321"/>
      <c r="AB90" s="320"/>
      <c r="AC90" s="380"/>
      <c r="AD90" s="352"/>
      <c r="AE90" s="381">
        <f t="shared" si="56"/>
        <v>0</v>
      </c>
      <c r="AF90" s="381"/>
      <c r="AG90" s="408"/>
      <c r="AH90" s="409">
        <f t="shared" si="55"/>
        <v>0</v>
      </c>
      <c r="AI90" s="410"/>
      <c r="AJ90" s="411">
        <f t="shared" si="57"/>
        <v>0</v>
      </c>
      <c r="AK90" s="234"/>
      <c r="AL90" s="234"/>
      <c r="AM90" s="234"/>
    </row>
    <row r="91" spans="1:39" ht="20.25">
      <c r="A91" s="3135" t="s">
        <v>131</v>
      </c>
      <c r="B91" s="729"/>
      <c r="C91" s="730"/>
      <c r="D91" s="318"/>
      <c r="E91" s="319"/>
      <c r="F91" s="320"/>
      <c r="G91" s="320"/>
      <c r="H91" s="321"/>
      <c r="I91" s="321"/>
      <c r="J91" s="320"/>
      <c r="K91" s="354"/>
      <c r="L91" s="352"/>
      <c r="M91" s="353"/>
      <c r="N91" s="321"/>
      <c r="O91" s="321"/>
      <c r="P91" s="321"/>
      <c r="Q91" s="321"/>
      <c r="R91" s="321"/>
      <c r="S91" s="321"/>
      <c r="T91" s="351"/>
      <c r="U91" s="352"/>
      <c r="V91" s="319"/>
      <c r="W91" s="320"/>
      <c r="X91" s="320"/>
      <c r="Y91" s="321"/>
      <c r="Z91" s="321"/>
      <c r="AA91" s="321"/>
      <c r="AB91" s="320"/>
      <c r="AC91" s="380"/>
      <c r="AD91" s="352"/>
      <c r="AE91" s="381">
        <f t="shared" si="56"/>
        <v>0</v>
      </c>
      <c r="AF91" s="381"/>
      <c r="AG91" s="408"/>
      <c r="AH91" s="409">
        <f t="shared" si="55"/>
        <v>0</v>
      </c>
      <c r="AI91" s="410"/>
      <c r="AJ91" s="411">
        <f t="shared" si="57"/>
        <v>0</v>
      </c>
      <c r="AK91" s="234"/>
      <c r="AL91" s="234"/>
      <c r="AM91" s="234"/>
    </row>
    <row r="92" spans="1:39" ht="20.25">
      <c r="A92" s="3135" t="s">
        <v>131</v>
      </c>
      <c r="B92" s="729"/>
      <c r="C92" s="730"/>
      <c r="D92" s="318"/>
      <c r="E92" s="319"/>
      <c r="F92" s="320"/>
      <c r="G92" s="320"/>
      <c r="H92" s="321"/>
      <c r="I92" s="321"/>
      <c r="J92" s="320"/>
      <c r="K92" s="354"/>
      <c r="L92" s="352"/>
      <c r="M92" s="353"/>
      <c r="N92" s="321"/>
      <c r="O92" s="321"/>
      <c r="P92" s="321"/>
      <c r="Q92" s="321"/>
      <c r="R92" s="321"/>
      <c r="S92" s="321"/>
      <c r="T92" s="351"/>
      <c r="U92" s="352"/>
      <c r="V92" s="319"/>
      <c r="W92" s="320"/>
      <c r="X92" s="320"/>
      <c r="Y92" s="321"/>
      <c r="Z92" s="321"/>
      <c r="AA92" s="321"/>
      <c r="AB92" s="320"/>
      <c r="AC92" s="380"/>
      <c r="AD92" s="352"/>
      <c r="AE92" s="381">
        <f t="shared" si="56"/>
        <v>0</v>
      </c>
      <c r="AF92" s="381"/>
      <c r="AG92" s="408"/>
      <c r="AH92" s="409">
        <f t="shared" si="55"/>
        <v>0</v>
      </c>
      <c r="AI92" s="410"/>
      <c r="AJ92" s="411">
        <f t="shared" si="57"/>
        <v>0</v>
      </c>
      <c r="AK92" s="234"/>
      <c r="AL92" s="234"/>
      <c r="AM92" s="234"/>
    </row>
    <row r="93" spans="1:39" ht="20.25">
      <c r="A93" s="3135" t="s">
        <v>131</v>
      </c>
      <c r="B93" s="729"/>
      <c r="C93" s="730"/>
      <c r="D93" s="318"/>
      <c r="E93" s="319"/>
      <c r="F93" s="320"/>
      <c r="G93" s="320"/>
      <c r="H93" s="321"/>
      <c r="I93" s="321"/>
      <c r="J93" s="320"/>
      <c r="K93" s="354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56"/>
        <v>0</v>
      </c>
      <c r="AF93" s="381"/>
      <c r="AG93" s="408"/>
      <c r="AH93" s="409">
        <f t="shared" si="55"/>
        <v>0</v>
      </c>
      <c r="AI93" s="410"/>
      <c r="AJ93" s="411">
        <f t="shared" si="57"/>
        <v>0</v>
      </c>
      <c r="AK93" s="234"/>
      <c r="AL93" s="234"/>
      <c r="AM93" s="234"/>
    </row>
    <row r="94" spans="1:39" ht="20.25">
      <c r="A94" s="3135" t="s">
        <v>131</v>
      </c>
      <c r="B94" s="729"/>
      <c r="C94" s="730"/>
      <c r="D94" s="318"/>
      <c r="E94" s="319"/>
      <c r="F94" s="320"/>
      <c r="G94" s="320"/>
      <c r="H94" s="321"/>
      <c r="I94" s="321"/>
      <c r="J94" s="320"/>
      <c r="K94" s="354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56"/>
        <v>0</v>
      </c>
      <c r="AF94" s="381"/>
      <c r="AG94" s="408"/>
      <c r="AH94" s="409">
        <f t="shared" si="55"/>
        <v>0</v>
      </c>
      <c r="AI94" s="410"/>
      <c r="AJ94" s="411">
        <f t="shared" si="57"/>
        <v>0</v>
      </c>
      <c r="AK94" s="234"/>
      <c r="AL94" s="234"/>
      <c r="AM94" s="234"/>
    </row>
    <row r="95" spans="1:39" ht="21" thickBot="1">
      <c r="A95" s="3135" t="s">
        <v>131</v>
      </c>
      <c r="B95" s="729"/>
      <c r="C95" s="730"/>
      <c r="D95" s="318"/>
      <c r="E95" s="319"/>
      <c r="F95" s="320"/>
      <c r="G95" s="320"/>
      <c r="H95" s="321"/>
      <c r="I95" s="321"/>
      <c r="J95" s="320"/>
      <c r="K95" s="354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56"/>
        <v>0</v>
      </c>
      <c r="AF95" s="381"/>
      <c r="AG95" s="408"/>
      <c r="AH95" s="409">
        <f t="shared" si="55"/>
        <v>0</v>
      </c>
      <c r="AI95" s="410"/>
      <c r="AJ95" s="411">
        <f t="shared" si="57"/>
        <v>0</v>
      </c>
      <c r="AK95" s="234"/>
      <c r="AL95" s="234"/>
      <c r="AM95" s="234"/>
    </row>
    <row r="96" spans="1:39" ht="21" thickBot="1">
      <c r="A96" s="2582"/>
      <c r="B96" s="2564"/>
      <c r="C96" s="732"/>
      <c r="D96" s="324"/>
      <c r="E96" s="325"/>
      <c r="F96" s="297"/>
      <c r="G96" s="297"/>
      <c r="H96" s="298"/>
      <c r="I96" s="298"/>
      <c r="J96" s="297"/>
      <c r="K96" s="344"/>
      <c r="L96" s="355"/>
      <c r="M96" s="343"/>
      <c r="N96" s="298"/>
      <c r="O96" s="298"/>
      <c r="P96" s="298"/>
      <c r="Q96" s="298"/>
      <c r="R96" s="298"/>
      <c r="S96" s="298"/>
      <c r="T96" s="367"/>
      <c r="U96" s="355"/>
      <c r="V96" s="325"/>
      <c r="W96" s="297"/>
      <c r="X96" s="297"/>
      <c r="Y96" s="298"/>
      <c r="Z96" s="298"/>
      <c r="AA96" s="298"/>
      <c r="AB96" s="297"/>
      <c r="AC96" s="375"/>
      <c r="AD96" s="355"/>
      <c r="AE96" s="376">
        <f t="shared" si="56"/>
        <v>0</v>
      </c>
      <c r="AF96" s="377"/>
      <c r="AG96" s="390"/>
      <c r="AH96" s="391">
        <f t="shared" si="55"/>
        <v>0</v>
      </c>
      <c r="AI96" s="412"/>
      <c r="AJ96" s="413">
        <f t="shared" si="57"/>
        <v>0</v>
      </c>
      <c r="AK96" s="414" t="s">
        <v>8</v>
      </c>
      <c r="AL96" s="397" t="s">
        <v>23</v>
      </c>
      <c r="AM96" s="415" t="s">
        <v>174</v>
      </c>
    </row>
    <row r="97" spans="1:39" ht="19.5" thickBot="1">
      <c r="A97" s="326" t="s">
        <v>132</v>
      </c>
      <c r="B97" s="327"/>
      <c r="C97" s="327"/>
      <c r="D97" s="328"/>
      <c r="E97" s="329">
        <f>SUM(E85:E96)</f>
        <v>0</v>
      </c>
      <c r="F97" s="329">
        <f t="shared" ref="F97:AJ97" si="58">SUM(F85:F96)</f>
        <v>0</v>
      </c>
      <c r="G97" s="329">
        <f t="shared" si="58"/>
        <v>0</v>
      </c>
      <c r="H97" s="329">
        <f t="shared" si="58"/>
        <v>0</v>
      </c>
      <c r="I97" s="329">
        <f t="shared" si="58"/>
        <v>0</v>
      </c>
      <c r="J97" s="329">
        <f t="shared" si="58"/>
        <v>0</v>
      </c>
      <c r="K97" s="329">
        <f t="shared" si="58"/>
        <v>0</v>
      </c>
      <c r="L97" s="329">
        <f t="shared" si="58"/>
        <v>0</v>
      </c>
      <c r="M97" s="329">
        <f t="shared" si="58"/>
        <v>0</v>
      </c>
      <c r="N97" s="329">
        <f t="shared" si="58"/>
        <v>0</v>
      </c>
      <c r="O97" s="329">
        <f t="shared" si="58"/>
        <v>0</v>
      </c>
      <c r="P97" s="329">
        <f t="shared" si="58"/>
        <v>0</v>
      </c>
      <c r="Q97" s="329">
        <f t="shared" si="58"/>
        <v>0</v>
      </c>
      <c r="R97" s="329">
        <f t="shared" si="58"/>
        <v>0</v>
      </c>
      <c r="S97" s="329">
        <f t="shared" si="58"/>
        <v>0</v>
      </c>
      <c r="T97" s="329">
        <f t="shared" si="58"/>
        <v>0</v>
      </c>
      <c r="U97" s="329">
        <f t="shared" si="58"/>
        <v>0</v>
      </c>
      <c r="V97" s="329">
        <f t="shared" si="58"/>
        <v>0</v>
      </c>
      <c r="W97" s="329">
        <f t="shared" si="58"/>
        <v>0</v>
      </c>
      <c r="X97" s="329">
        <f t="shared" si="58"/>
        <v>0</v>
      </c>
      <c r="Y97" s="329">
        <f t="shared" si="58"/>
        <v>0</v>
      </c>
      <c r="Z97" s="329">
        <f t="shared" si="58"/>
        <v>0</v>
      </c>
      <c r="AA97" s="329">
        <f t="shared" si="58"/>
        <v>0</v>
      </c>
      <c r="AB97" s="329">
        <f t="shared" si="58"/>
        <v>0</v>
      </c>
      <c r="AC97" s="329">
        <f t="shared" si="58"/>
        <v>0</v>
      </c>
      <c r="AD97" s="329">
        <f t="shared" si="58"/>
        <v>0</v>
      </c>
      <c r="AE97" s="329">
        <f t="shared" si="58"/>
        <v>0</v>
      </c>
      <c r="AF97" s="329">
        <f t="shared" si="58"/>
        <v>0</v>
      </c>
      <c r="AG97" s="329">
        <f t="shared" si="58"/>
        <v>0</v>
      </c>
      <c r="AH97" s="329">
        <f t="shared" si="58"/>
        <v>0</v>
      </c>
      <c r="AI97" s="329">
        <f t="shared" si="58"/>
        <v>0</v>
      </c>
      <c r="AJ97" s="329">
        <f t="shared" si="58"/>
        <v>0</v>
      </c>
      <c r="AK97" s="399">
        <f>'BIG CHAIR'!CL119</f>
        <v>0</v>
      </c>
      <c r="AL97" s="400">
        <f>'Tea Table'!X209</f>
        <v>144</v>
      </c>
      <c r="AM97" s="401">
        <f>AH97+AK97+AL97</f>
        <v>144</v>
      </c>
    </row>
    <row r="98" spans="1:39" ht="24" thickBot="1">
      <c r="A98" s="2608" t="s">
        <v>393</v>
      </c>
      <c r="B98" s="288" t="s">
        <v>68</v>
      </c>
      <c r="C98" s="722" t="s">
        <v>69</v>
      </c>
      <c r="D98" s="288" t="s">
        <v>70</v>
      </c>
      <c r="E98" s="80" t="s">
        <v>96</v>
      </c>
      <c r="F98" s="49" t="s">
        <v>250</v>
      </c>
      <c r="G98" s="49" t="s">
        <v>86</v>
      </c>
      <c r="H98" s="49" t="s">
        <v>85</v>
      </c>
      <c r="I98" s="49" t="s">
        <v>123</v>
      </c>
      <c r="J98" s="49" t="s">
        <v>149</v>
      </c>
      <c r="K98" s="126" t="s">
        <v>92</v>
      </c>
      <c r="L98" s="578"/>
      <c r="M98" s="80" t="s">
        <v>214</v>
      </c>
      <c r="N98" s="49" t="s">
        <v>92</v>
      </c>
      <c r="O98" s="49" t="s">
        <v>251</v>
      </c>
      <c r="P98" s="49" t="s">
        <v>53</v>
      </c>
      <c r="Q98" s="49" t="s">
        <v>94</v>
      </c>
      <c r="R98" s="744" t="s">
        <v>482</v>
      </c>
      <c r="S98" s="50" t="s">
        <v>525</v>
      </c>
      <c r="T98" s="171" t="s">
        <v>86</v>
      </c>
      <c r="U98" s="578"/>
      <c r="V98" s="49" t="s">
        <v>95</v>
      </c>
      <c r="W98" s="49"/>
      <c r="X98" s="49" t="s">
        <v>252</v>
      </c>
      <c r="Y98" s="49"/>
      <c r="Z98" s="104"/>
      <c r="AA98" s="49" t="s">
        <v>76</v>
      </c>
      <c r="AB98" s="121"/>
      <c r="AC98" s="49" t="s">
        <v>53</v>
      </c>
      <c r="AD98" s="370"/>
      <c r="AE98" s="371" t="s">
        <v>172</v>
      </c>
      <c r="AF98" s="372" t="s">
        <v>80</v>
      </c>
      <c r="AG98" s="385"/>
      <c r="AH98" s="386" t="s">
        <v>106</v>
      </c>
      <c r="AI98" s="385" t="s">
        <v>173</v>
      </c>
      <c r="AJ98" s="371" t="s">
        <v>108</v>
      </c>
      <c r="AK98" s="282"/>
      <c r="AL98" s="282"/>
      <c r="AM98" s="282"/>
    </row>
    <row r="99" spans="1:39" ht="20.25">
      <c r="A99" s="3135" t="s">
        <v>392</v>
      </c>
      <c r="B99" s="724" t="s">
        <v>472</v>
      </c>
      <c r="C99" s="725"/>
      <c r="D99" s="312"/>
      <c r="E99" s="313"/>
      <c r="F99" s="314"/>
      <c r="G99" s="314"/>
      <c r="H99" s="315"/>
      <c r="I99" s="315"/>
      <c r="J99" s="314"/>
      <c r="K99" s="477"/>
      <c r="L99" s="349"/>
      <c r="M99" s="350"/>
      <c r="N99" s="315"/>
      <c r="O99" s="315"/>
      <c r="P99" s="315"/>
      <c r="Q99" s="315"/>
      <c r="R99" s="315"/>
      <c r="S99" s="315"/>
      <c r="T99" s="348"/>
      <c r="U99" s="349"/>
      <c r="V99" s="350"/>
      <c r="W99" s="315"/>
      <c r="X99" s="315"/>
      <c r="Y99" s="315"/>
      <c r="Z99" s="315"/>
      <c r="AA99" s="315"/>
      <c r="AB99" s="315"/>
      <c r="AC99" s="378"/>
      <c r="AD99" s="349"/>
      <c r="AE99" s="379">
        <f t="shared" ref="AE99:AE102" si="59">SUM(E99:AC99)</f>
        <v>0</v>
      </c>
      <c r="AF99" s="379"/>
      <c r="AG99" s="404"/>
      <c r="AH99" s="405">
        <f>AE99+AF99</f>
        <v>0</v>
      </c>
      <c r="AI99" s="406"/>
      <c r="AJ99" s="407">
        <f>AH99+AI99</f>
        <v>0</v>
      </c>
      <c r="AK99" s="234"/>
      <c r="AL99" s="234"/>
      <c r="AM99" s="234"/>
    </row>
    <row r="100" spans="1:39" ht="20.25">
      <c r="A100" s="3135" t="s">
        <v>392</v>
      </c>
      <c r="B100" s="727"/>
      <c r="C100" s="728"/>
      <c r="D100" s="318"/>
      <c r="E100" s="319"/>
      <c r="F100" s="320"/>
      <c r="G100" s="320"/>
      <c r="H100" s="321"/>
      <c r="I100" s="321"/>
      <c r="J100" s="320"/>
      <c r="K100" s="351"/>
      <c r="L100" s="352"/>
      <c r="M100" s="353"/>
      <c r="N100" s="320"/>
      <c r="O100" s="320"/>
      <c r="P100" s="321"/>
      <c r="Q100" s="321"/>
      <c r="R100" s="321"/>
      <c r="S100" s="320"/>
      <c r="T100" s="351"/>
      <c r="U100" s="352"/>
      <c r="V100" s="353"/>
      <c r="W100" s="321"/>
      <c r="X100" s="321"/>
      <c r="Y100" s="321"/>
      <c r="Z100" s="321"/>
      <c r="AA100" s="321"/>
      <c r="AB100" s="321"/>
      <c r="AC100" s="380"/>
      <c r="AD100" s="352"/>
      <c r="AE100" s="381">
        <f t="shared" si="59"/>
        <v>0</v>
      </c>
      <c r="AF100" s="381"/>
      <c r="AG100" s="408"/>
      <c r="AH100" s="409">
        <f t="shared" ref="AH100:AH102" si="60">AE100+AF100</f>
        <v>0</v>
      </c>
      <c r="AI100" s="410"/>
      <c r="AJ100" s="411">
        <f>AH100+AI100</f>
        <v>0</v>
      </c>
      <c r="AK100" s="234"/>
      <c r="AL100" s="234"/>
      <c r="AM100" s="234"/>
    </row>
    <row r="101" spans="1:39" ht="20.25">
      <c r="A101" s="3135" t="s">
        <v>392</v>
      </c>
      <c r="B101" s="729"/>
      <c r="C101" s="730"/>
      <c r="D101" s="318"/>
      <c r="E101" s="319"/>
      <c r="F101" s="320"/>
      <c r="G101" s="320"/>
      <c r="H101" s="321"/>
      <c r="I101" s="321"/>
      <c r="J101" s="320"/>
      <c r="K101" s="354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59"/>
        <v>0</v>
      </c>
      <c r="AF101" s="381"/>
      <c r="AG101" s="408"/>
      <c r="AH101" s="409">
        <f t="shared" si="60"/>
        <v>0</v>
      </c>
      <c r="AI101" s="410"/>
      <c r="AJ101" s="411">
        <f>AH101+AI101</f>
        <v>0</v>
      </c>
      <c r="AK101" s="234"/>
      <c r="AL101" s="234"/>
      <c r="AM101" s="234"/>
    </row>
    <row r="102" spans="1:39" ht="20.25">
      <c r="A102" s="3135" t="s">
        <v>392</v>
      </c>
      <c r="B102" s="729"/>
      <c r="C102" s="730"/>
      <c r="D102" s="318"/>
      <c r="E102" s="319"/>
      <c r="F102" s="320"/>
      <c r="G102" s="320"/>
      <c r="H102" s="321"/>
      <c r="I102" s="321"/>
      <c r="J102" s="320"/>
      <c r="K102" s="354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si="59"/>
        <v>0</v>
      </c>
      <c r="AF102" s="381"/>
      <c r="AG102" s="408"/>
      <c r="AH102" s="409">
        <f t="shared" si="60"/>
        <v>0</v>
      </c>
      <c r="AI102" s="410"/>
      <c r="AJ102" s="411">
        <f>AH102+AI102</f>
        <v>0</v>
      </c>
      <c r="AK102" s="234"/>
      <c r="AL102" s="234"/>
      <c r="AM102" s="234"/>
    </row>
    <row r="103" spans="1:39" ht="20.25">
      <c r="A103" s="3135" t="s">
        <v>392</v>
      </c>
      <c r="B103" s="729"/>
      <c r="C103" s="730"/>
      <c r="D103" s="318"/>
      <c r="E103" s="319"/>
      <c r="F103" s="320"/>
      <c r="G103" s="320"/>
      <c r="H103" s="321"/>
      <c r="I103" s="321"/>
      <c r="J103" s="320"/>
      <c r="K103" s="354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ref="AE103:AE110" si="61">SUM(E103:AC103)</f>
        <v>0</v>
      </c>
      <c r="AF103" s="381"/>
      <c r="AG103" s="408"/>
      <c r="AH103" s="409">
        <f t="shared" ref="AH103:AH110" si="62">AE103+AF103</f>
        <v>0</v>
      </c>
      <c r="AI103" s="410"/>
      <c r="AJ103" s="411">
        <f t="shared" ref="AJ103:AJ105" si="63">AH103+AI103</f>
        <v>0</v>
      </c>
      <c r="AK103" s="234"/>
      <c r="AL103" s="234"/>
      <c r="AM103" s="234"/>
    </row>
    <row r="104" spans="1:39" ht="20.25">
      <c r="A104" s="3135" t="s">
        <v>392</v>
      </c>
      <c r="B104" s="729"/>
      <c r="C104" s="730"/>
      <c r="D104" s="318"/>
      <c r="E104" s="319"/>
      <c r="F104" s="320"/>
      <c r="G104" s="320"/>
      <c r="H104" s="321"/>
      <c r="I104" s="321"/>
      <c r="J104" s="320"/>
      <c r="K104" s="354"/>
      <c r="L104" s="352"/>
      <c r="M104" s="353"/>
      <c r="N104" s="321"/>
      <c r="O104" s="321"/>
      <c r="P104" s="321"/>
      <c r="Q104" s="321"/>
      <c r="R104" s="321"/>
      <c r="S104" s="321"/>
      <c r="T104" s="351"/>
      <c r="U104" s="352"/>
      <c r="V104" s="319"/>
      <c r="W104" s="320"/>
      <c r="X104" s="320"/>
      <c r="Y104" s="321"/>
      <c r="Z104" s="321"/>
      <c r="AA104" s="321"/>
      <c r="AB104" s="320"/>
      <c r="AC104" s="380"/>
      <c r="AD104" s="352"/>
      <c r="AE104" s="381">
        <f t="shared" si="61"/>
        <v>0</v>
      </c>
      <c r="AF104" s="381"/>
      <c r="AG104" s="408"/>
      <c r="AH104" s="409">
        <f t="shared" si="62"/>
        <v>0</v>
      </c>
      <c r="AI104" s="410"/>
      <c r="AJ104" s="411">
        <f t="shared" si="63"/>
        <v>0</v>
      </c>
      <c r="AK104" s="234"/>
      <c r="AL104" s="234"/>
      <c r="AM104" s="234"/>
    </row>
    <row r="105" spans="1:39" ht="20.25">
      <c r="A105" s="3135" t="s">
        <v>392</v>
      </c>
      <c r="B105" s="729"/>
      <c r="C105" s="730"/>
      <c r="D105" s="318"/>
      <c r="E105" s="319"/>
      <c r="F105" s="320"/>
      <c r="G105" s="320"/>
      <c r="H105" s="321"/>
      <c r="I105" s="321"/>
      <c r="J105" s="320"/>
      <c r="K105" s="354"/>
      <c r="L105" s="352"/>
      <c r="M105" s="353"/>
      <c r="N105" s="321"/>
      <c r="O105" s="321"/>
      <c r="P105" s="321"/>
      <c r="Q105" s="321"/>
      <c r="R105" s="321"/>
      <c r="S105" s="321"/>
      <c r="T105" s="351"/>
      <c r="U105" s="352"/>
      <c r="V105" s="319"/>
      <c r="W105" s="320"/>
      <c r="X105" s="320"/>
      <c r="Y105" s="321"/>
      <c r="Z105" s="321"/>
      <c r="AA105" s="321"/>
      <c r="AB105" s="320"/>
      <c r="AC105" s="380"/>
      <c r="AD105" s="352"/>
      <c r="AE105" s="381">
        <f t="shared" si="61"/>
        <v>0</v>
      </c>
      <c r="AF105" s="381"/>
      <c r="AG105" s="408"/>
      <c r="AH105" s="409">
        <f t="shared" si="62"/>
        <v>0</v>
      </c>
      <c r="AI105" s="410"/>
      <c r="AJ105" s="411">
        <f t="shared" si="63"/>
        <v>0</v>
      </c>
      <c r="AK105" s="234"/>
      <c r="AL105" s="234"/>
      <c r="AM105" s="234"/>
    </row>
    <row r="106" spans="1:39" ht="20.25">
      <c r="A106" s="3135" t="s">
        <v>392</v>
      </c>
      <c r="B106" s="729"/>
      <c r="C106" s="730"/>
      <c r="D106" s="318"/>
      <c r="E106" s="319"/>
      <c r="F106" s="320"/>
      <c r="G106" s="320"/>
      <c r="H106" s="321"/>
      <c r="I106" s="321"/>
      <c r="J106" s="320"/>
      <c r="K106" s="354"/>
      <c r="L106" s="352"/>
      <c r="M106" s="353"/>
      <c r="N106" s="321"/>
      <c r="O106" s="321"/>
      <c r="P106" s="321"/>
      <c r="Q106" s="321"/>
      <c r="R106" s="321"/>
      <c r="S106" s="321"/>
      <c r="T106" s="351"/>
      <c r="U106" s="352"/>
      <c r="V106" s="319"/>
      <c r="W106" s="320"/>
      <c r="X106" s="320"/>
      <c r="Y106" s="321"/>
      <c r="Z106" s="321"/>
      <c r="AA106" s="321"/>
      <c r="AB106" s="320"/>
      <c r="AC106" s="380"/>
      <c r="AD106" s="352"/>
      <c r="AE106" s="381">
        <f t="shared" si="61"/>
        <v>0</v>
      </c>
      <c r="AF106" s="381"/>
      <c r="AG106" s="408"/>
      <c r="AH106" s="409">
        <f t="shared" si="62"/>
        <v>0</v>
      </c>
      <c r="AI106" s="410"/>
      <c r="AJ106" s="411">
        <f t="shared" ref="AJ106:AJ110" si="64">AH106+AI106</f>
        <v>0</v>
      </c>
      <c r="AK106" s="234"/>
      <c r="AL106" s="234"/>
      <c r="AM106" s="234"/>
    </row>
    <row r="107" spans="1:39" ht="20.25">
      <c r="A107" s="3135" t="s">
        <v>392</v>
      </c>
      <c r="B107" s="729"/>
      <c r="C107" s="730"/>
      <c r="D107" s="318"/>
      <c r="E107" s="319"/>
      <c r="F107" s="320"/>
      <c r="G107" s="320"/>
      <c r="H107" s="321"/>
      <c r="I107" s="321"/>
      <c r="J107" s="320"/>
      <c r="K107" s="354"/>
      <c r="L107" s="352"/>
      <c r="M107" s="353"/>
      <c r="N107" s="321"/>
      <c r="O107" s="321"/>
      <c r="P107" s="321"/>
      <c r="Q107" s="321"/>
      <c r="R107" s="321"/>
      <c r="S107" s="321"/>
      <c r="T107" s="351"/>
      <c r="U107" s="352"/>
      <c r="V107" s="319"/>
      <c r="W107" s="320"/>
      <c r="X107" s="320"/>
      <c r="Y107" s="321"/>
      <c r="Z107" s="321"/>
      <c r="AA107" s="321"/>
      <c r="AB107" s="320"/>
      <c r="AC107" s="380"/>
      <c r="AD107" s="352"/>
      <c r="AE107" s="381">
        <f t="shared" si="61"/>
        <v>0</v>
      </c>
      <c r="AF107" s="381"/>
      <c r="AG107" s="408"/>
      <c r="AH107" s="409">
        <f t="shared" si="62"/>
        <v>0</v>
      </c>
      <c r="AI107" s="410"/>
      <c r="AJ107" s="411">
        <f t="shared" si="64"/>
        <v>0</v>
      </c>
      <c r="AK107" s="234"/>
      <c r="AL107" s="234"/>
      <c r="AM107" s="234"/>
    </row>
    <row r="108" spans="1:39" ht="20.25">
      <c r="A108" s="3135" t="s">
        <v>392</v>
      </c>
      <c r="B108" s="729"/>
      <c r="C108" s="3329"/>
      <c r="D108" s="793"/>
      <c r="E108" s="794"/>
      <c r="F108" s="320"/>
      <c r="G108" s="320"/>
      <c r="H108" s="321"/>
      <c r="I108" s="321"/>
      <c r="J108" s="320"/>
      <c r="K108" s="354"/>
      <c r="L108" s="352"/>
      <c r="M108" s="353"/>
      <c r="N108" s="321"/>
      <c r="O108" s="321"/>
      <c r="P108" s="321"/>
      <c r="Q108" s="321"/>
      <c r="R108" s="321"/>
      <c r="S108" s="321"/>
      <c r="T108" s="351"/>
      <c r="U108" s="352"/>
      <c r="V108" s="319"/>
      <c r="W108" s="320"/>
      <c r="X108" s="320"/>
      <c r="Y108" s="321"/>
      <c r="Z108" s="321"/>
      <c r="AA108" s="321"/>
      <c r="AB108" s="320"/>
      <c r="AC108" s="380"/>
      <c r="AD108" s="352"/>
      <c r="AE108" s="381">
        <f t="shared" si="61"/>
        <v>0</v>
      </c>
      <c r="AF108" s="381"/>
      <c r="AG108" s="408"/>
      <c r="AH108" s="409">
        <f t="shared" si="62"/>
        <v>0</v>
      </c>
      <c r="AI108" s="410"/>
      <c r="AJ108" s="411">
        <f t="shared" si="64"/>
        <v>0</v>
      </c>
      <c r="AK108" s="234"/>
      <c r="AL108" s="234"/>
      <c r="AM108" s="234"/>
    </row>
    <row r="109" spans="1:39" ht="21" thickBot="1">
      <c r="A109" s="3135" t="s">
        <v>392</v>
      </c>
      <c r="B109" s="729"/>
      <c r="C109" s="730"/>
      <c r="D109" s="318"/>
      <c r="E109" s="319"/>
      <c r="F109" s="320"/>
      <c r="G109" s="320"/>
      <c r="H109" s="321"/>
      <c r="I109" s="321"/>
      <c r="J109" s="320"/>
      <c r="K109" s="354"/>
      <c r="L109" s="352"/>
      <c r="M109" s="353"/>
      <c r="N109" s="321"/>
      <c r="O109" s="321"/>
      <c r="P109" s="321"/>
      <c r="Q109" s="321"/>
      <c r="R109" s="321"/>
      <c r="S109" s="321"/>
      <c r="T109" s="351"/>
      <c r="U109" s="352"/>
      <c r="V109" s="319"/>
      <c r="W109" s="320"/>
      <c r="X109" s="320"/>
      <c r="Y109" s="321"/>
      <c r="Z109" s="321"/>
      <c r="AA109" s="321"/>
      <c r="AB109" s="320"/>
      <c r="AC109" s="380"/>
      <c r="AD109" s="352"/>
      <c r="AE109" s="381">
        <f t="shared" si="61"/>
        <v>0</v>
      </c>
      <c r="AF109" s="381"/>
      <c r="AG109" s="408"/>
      <c r="AH109" s="409">
        <f t="shared" si="62"/>
        <v>0</v>
      </c>
      <c r="AI109" s="410"/>
      <c r="AJ109" s="411">
        <f t="shared" si="64"/>
        <v>0</v>
      </c>
      <c r="AK109" s="234"/>
      <c r="AL109" s="234"/>
      <c r="AM109" s="234"/>
    </row>
    <row r="110" spans="1:39" ht="21" thickBot="1">
      <c r="A110" s="2582"/>
      <c r="B110" s="2564"/>
      <c r="C110" s="732"/>
      <c r="D110" s="324"/>
      <c r="E110" s="325"/>
      <c r="F110" s="297"/>
      <c r="G110" s="297"/>
      <c r="H110" s="298"/>
      <c r="I110" s="298"/>
      <c r="J110" s="297"/>
      <c r="K110" s="344"/>
      <c r="L110" s="355"/>
      <c r="M110" s="343"/>
      <c r="N110" s="298"/>
      <c r="O110" s="298"/>
      <c r="P110" s="298"/>
      <c r="Q110" s="298"/>
      <c r="R110" s="298"/>
      <c r="S110" s="298"/>
      <c r="T110" s="367"/>
      <c r="U110" s="355"/>
      <c r="V110" s="325"/>
      <c r="W110" s="297"/>
      <c r="X110" s="297"/>
      <c r="Y110" s="298"/>
      <c r="Z110" s="298"/>
      <c r="AA110" s="298"/>
      <c r="AB110" s="297"/>
      <c r="AC110" s="375"/>
      <c r="AD110" s="355"/>
      <c r="AE110" s="376">
        <f t="shared" si="61"/>
        <v>0</v>
      </c>
      <c r="AF110" s="377"/>
      <c r="AG110" s="390"/>
      <c r="AH110" s="391">
        <f t="shared" si="62"/>
        <v>0</v>
      </c>
      <c r="AI110" s="412"/>
      <c r="AJ110" s="413">
        <f t="shared" si="64"/>
        <v>0</v>
      </c>
      <c r="AK110" s="414" t="s">
        <v>8</v>
      </c>
      <c r="AL110" s="397" t="s">
        <v>23</v>
      </c>
      <c r="AM110" s="415" t="s">
        <v>174</v>
      </c>
    </row>
    <row r="111" spans="1:39" ht="19.5" thickBot="1">
      <c r="A111" s="326" t="s">
        <v>426</v>
      </c>
      <c r="B111" s="327"/>
      <c r="C111" s="327"/>
      <c r="D111" s="328"/>
      <c r="E111" s="329">
        <f>SUM(E99:E110)</f>
        <v>0</v>
      </c>
      <c r="F111" s="329">
        <f t="shared" ref="F111:AJ111" si="65">SUM(F99:F110)</f>
        <v>0</v>
      </c>
      <c r="G111" s="329">
        <f t="shared" si="65"/>
        <v>0</v>
      </c>
      <c r="H111" s="329">
        <f t="shared" si="65"/>
        <v>0</v>
      </c>
      <c r="I111" s="329">
        <f t="shared" si="65"/>
        <v>0</v>
      </c>
      <c r="J111" s="329">
        <f t="shared" si="65"/>
        <v>0</v>
      </c>
      <c r="K111" s="329">
        <f t="shared" si="65"/>
        <v>0</v>
      </c>
      <c r="L111" s="329">
        <f t="shared" si="65"/>
        <v>0</v>
      </c>
      <c r="M111" s="329">
        <f t="shared" si="65"/>
        <v>0</v>
      </c>
      <c r="N111" s="329">
        <f t="shared" si="65"/>
        <v>0</v>
      </c>
      <c r="O111" s="329">
        <f t="shared" si="65"/>
        <v>0</v>
      </c>
      <c r="P111" s="329">
        <f t="shared" si="65"/>
        <v>0</v>
      </c>
      <c r="Q111" s="329">
        <f t="shared" si="65"/>
        <v>0</v>
      </c>
      <c r="R111" s="329">
        <f t="shared" si="65"/>
        <v>0</v>
      </c>
      <c r="S111" s="329">
        <f t="shared" si="65"/>
        <v>0</v>
      </c>
      <c r="T111" s="329">
        <f t="shared" si="65"/>
        <v>0</v>
      </c>
      <c r="U111" s="329">
        <f t="shared" si="65"/>
        <v>0</v>
      </c>
      <c r="V111" s="329">
        <f t="shared" si="65"/>
        <v>0</v>
      </c>
      <c r="W111" s="329">
        <f t="shared" si="65"/>
        <v>0</v>
      </c>
      <c r="X111" s="329">
        <f t="shared" si="65"/>
        <v>0</v>
      </c>
      <c r="Y111" s="329">
        <f t="shared" si="65"/>
        <v>0</v>
      </c>
      <c r="Z111" s="329">
        <f t="shared" si="65"/>
        <v>0</v>
      </c>
      <c r="AA111" s="329">
        <f t="shared" si="65"/>
        <v>0</v>
      </c>
      <c r="AB111" s="329">
        <f t="shared" si="65"/>
        <v>0</v>
      </c>
      <c r="AC111" s="329">
        <f t="shared" si="65"/>
        <v>0</v>
      </c>
      <c r="AD111" s="329">
        <f t="shared" si="65"/>
        <v>0</v>
      </c>
      <c r="AE111" s="329">
        <f>SUM(AE99:AE110)</f>
        <v>0</v>
      </c>
      <c r="AF111" s="329">
        <f>SUM(AF99:AF110)</f>
        <v>0</v>
      </c>
      <c r="AG111" s="329">
        <f t="shared" si="65"/>
        <v>0</v>
      </c>
      <c r="AH111" s="329">
        <f t="shared" si="65"/>
        <v>0</v>
      </c>
      <c r="AI111" s="329">
        <f t="shared" si="65"/>
        <v>0</v>
      </c>
      <c r="AJ111" s="329">
        <f t="shared" si="65"/>
        <v>0</v>
      </c>
      <c r="AK111" s="399">
        <f>'BIG CHAIR'!CL119</f>
        <v>0</v>
      </c>
      <c r="AL111" s="400">
        <f>'Tea Table'!X207</f>
        <v>120</v>
      </c>
      <c r="AM111" s="401">
        <f>AH111+AK111+AL111</f>
        <v>120</v>
      </c>
    </row>
    <row r="113" spans="1:39" s="284" customFormat="1" ht="18.75" customHeight="1" thickBot="1">
      <c r="A113" s="425"/>
      <c r="B113" s="426"/>
      <c r="C113" s="426"/>
      <c r="D113" s="427"/>
      <c r="E113" s="428"/>
      <c r="F113" s="428"/>
      <c r="G113" s="428"/>
      <c r="H113" s="428"/>
      <c r="I113" s="428"/>
      <c r="J113" s="428"/>
      <c r="K113" s="428"/>
      <c r="L113" s="478"/>
      <c r="M113" s="479"/>
      <c r="N113" s="479"/>
      <c r="O113" s="479"/>
      <c r="P113" s="479"/>
      <c r="Q113" s="479"/>
      <c r="R113" s="479"/>
      <c r="S113" s="479"/>
      <c r="T113" s="479"/>
      <c r="U113" s="478"/>
      <c r="V113" s="479"/>
      <c r="W113" s="479"/>
      <c r="X113" s="479"/>
      <c r="Y113" s="479"/>
      <c r="Z113" s="479"/>
      <c r="AA113" s="479"/>
      <c r="AB113" s="479"/>
      <c r="AC113" s="479"/>
      <c r="AD113" s="478"/>
      <c r="AE113" s="479"/>
      <c r="AF113" s="479"/>
      <c r="AG113" s="479"/>
      <c r="AH113" s="479"/>
      <c r="AI113" s="479"/>
      <c r="AJ113" s="506"/>
      <c r="AK113" s="403"/>
      <c r="AL113" s="403"/>
      <c r="AM113" s="403"/>
    </row>
    <row r="114" spans="1:39" s="282" customFormat="1" ht="16.5" thickBot="1">
      <c r="A114" s="429" t="s">
        <v>179</v>
      </c>
      <c r="B114" s="287" t="s">
        <v>68</v>
      </c>
      <c r="C114" s="287" t="s">
        <v>69</v>
      </c>
      <c r="D114" s="288" t="s">
        <v>70</v>
      </c>
      <c r="E114" s="743" t="s">
        <v>96</v>
      </c>
      <c r="F114" s="744" t="s">
        <v>250</v>
      </c>
      <c r="G114" s="744" t="s">
        <v>86</v>
      </c>
      <c r="H114" s="744" t="s">
        <v>85</v>
      </c>
      <c r="I114" s="744" t="s">
        <v>123</v>
      </c>
      <c r="J114" s="744" t="s">
        <v>149</v>
      </c>
      <c r="K114" s="50" t="s">
        <v>92</v>
      </c>
      <c r="L114" s="578"/>
      <c r="M114" s="743" t="s">
        <v>214</v>
      </c>
      <c r="N114" s="744" t="s">
        <v>92</v>
      </c>
      <c r="O114" s="744" t="s">
        <v>251</v>
      </c>
      <c r="P114" s="744" t="s">
        <v>53</v>
      </c>
      <c r="Q114" s="744" t="s">
        <v>94</v>
      </c>
      <c r="R114" s="744" t="s">
        <v>482</v>
      </c>
      <c r="S114" s="50" t="s">
        <v>525</v>
      </c>
      <c r="T114" s="171" t="s">
        <v>86</v>
      </c>
      <c r="U114" s="578"/>
      <c r="V114" s="744" t="s">
        <v>95</v>
      </c>
      <c r="W114" s="744"/>
      <c r="X114" s="744" t="s">
        <v>252</v>
      </c>
      <c r="Y114" s="744"/>
      <c r="Z114" s="102"/>
      <c r="AA114" s="744" t="s">
        <v>76</v>
      </c>
      <c r="AB114" s="799"/>
      <c r="AC114" s="744" t="s">
        <v>53</v>
      </c>
      <c r="AD114" s="79"/>
      <c r="AE114" s="371" t="s">
        <v>172</v>
      </c>
      <c r="AF114" s="372" t="s">
        <v>80</v>
      </c>
      <c r="AG114" s="385"/>
      <c r="AH114" s="386" t="s">
        <v>106</v>
      </c>
      <c r="AI114" s="385" t="s">
        <v>173</v>
      </c>
      <c r="AJ114" s="371" t="s">
        <v>108</v>
      </c>
    </row>
    <row r="115" spans="1:39" s="283" customFormat="1" ht="20.25">
      <c r="A115" s="430"/>
      <c r="B115" s="431"/>
      <c r="C115" s="431"/>
      <c r="D115" s="432"/>
      <c r="E115" s="433"/>
      <c r="F115" s="434"/>
      <c r="G115" s="434"/>
      <c r="H115" s="435"/>
      <c r="I115" s="435"/>
      <c r="J115" s="434"/>
      <c r="K115" s="480"/>
      <c r="L115" s="483"/>
      <c r="M115" s="484"/>
      <c r="N115" s="435"/>
      <c r="O115" s="435"/>
      <c r="P115" s="435"/>
      <c r="Q115" s="435"/>
      <c r="R115" s="435"/>
      <c r="S115" s="435"/>
      <c r="T115" s="492"/>
      <c r="U115" s="483"/>
      <c r="V115" s="433"/>
      <c r="W115" s="434"/>
      <c r="X115" s="434"/>
      <c r="Y115" s="435"/>
      <c r="Z115" s="435"/>
      <c r="AA115" s="435"/>
      <c r="AB115" s="434"/>
      <c r="AC115" s="495"/>
      <c r="AD115" s="483"/>
      <c r="AE115" s="497">
        <f t="shared" ref="AE115:AE117" si="66">SUM(E115:AC115)</f>
        <v>0</v>
      </c>
      <c r="AF115" s="497"/>
      <c r="AG115" s="510"/>
      <c r="AH115" s="3330">
        <f t="shared" ref="AH115:AH119" si="67">AE115+AF115</f>
        <v>0</v>
      </c>
      <c r="AI115" s="512"/>
      <c r="AJ115" s="3331">
        <f>AH115+AI115</f>
        <v>0</v>
      </c>
    </row>
    <row r="116" spans="1:39" s="283" customFormat="1" ht="20.25">
      <c r="A116" s="430"/>
      <c r="B116" s="431"/>
      <c r="C116" s="431"/>
      <c r="D116" s="432"/>
      <c r="E116" s="325"/>
      <c r="F116" s="297"/>
      <c r="G116" s="297"/>
      <c r="H116" s="298"/>
      <c r="I116" s="298"/>
      <c r="J116" s="297"/>
      <c r="K116" s="344"/>
      <c r="L116" s="355"/>
      <c r="M116" s="343"/>
      <c r="N116" s="298"/>
      <c r="O116" s="298"/>
      <c r="P116" s="298"/>
      <c r="Q116" s="298"/>
      <c r="R116" s="298"/>
      <c r="S116" s="298"/>
      <c r="T116" s="367"/>
      <c r="U116" s="355"/>
      <c r="V116" s="325"/>
      <c r="W116" s="297"/>
      <c r="X116" s="297"/>
      <c r="Y116" s="298"/>
      <c r="Z116" s="298"/>
      <c r="AA116" s="298"/>
      <c r="AB116" s="297"/>
      <c r="AC116" s="375"/>
      <c r="AD116" s="355"/>
      <c r="AE116" s="377">
        <f t="shared" ref="AE116" si="68">SUM(E116:AC116)</f>
        <v>0</v>
      </c>
      <c r="AF116" s="377"/>
      <c r="AG116" s="390"/>
      <c r="AH116" s="507">
        <f t="shared" si="67"/>
        <v>0</v>
      </c>
      <c r="AI116" s="412"/>
      <c r="AJ116" s="508">
        <f>AH116+AI116</f>
        <v>0</v>
      </c>
    </row>
    <row r="117" spans="1:39" s="283" customFormat="1" ht="20.25">
      <c r="A117" s="322"/>
      <c r="B117" s="323"/>
      <c r="C117" s="323"/>
      <c r="D117" s="324"/>
      <c r="E117" s="325"/>
      <c r="F117" s="297"/>
      <c r="G117" s="297"/>
      <c r="H117" s="298"/>
      <c r="I117" s="298"/>
      <c r="J117" s="297"/>
      <c r="K117" s="344"/>
      <c r="L117" s="355"/>
      <c r="M117" s="343"/>
      <c r="N117" s="298"/>
      <c r="O117" s="298"/>
      <c r="P117" s="298"/>
      <c r="Q117" s="298"/>
      <c r="R117" s="298"/>
      <c r="S117" s="298"/>
      <c r="T117" s="367"/>
      <c r="U117" s="355"/>
      <c r="V117" s="325"/>
      <c r="W117" s="297"/>
      <c r="X117" s="297"/>
      <c r="Y117" s="298"/>
      <c r="Z117" s="298"/>
      <c r="AA117" s="298"/>
      <c r="AB117" s="297"/>
      <c r="AC117" s="375"/>
      <c r="AD117" s="355"/>
      <c r="AE117" s="377">
        <f t="shared" si="66"/>
        <v>0</v>
      </c>
      <c r="AF117" s="377"/>
      <c r="AG117" s="390"/>
      <c r="AH117" s="507">
        <f t="shared" si="67"/>
        <v>0</v>
      </c>
      <c r="AI117" s="412"/>
      <c r="AJ117" s="508">
        <f>AH117+AI117</f>
        <v>0</v>
      </c>
    </row>
    <row r="118" spans="1:39" s="283" customFormat="1" ht="20.25">
      <c r="A118" s="322"/>
      <c r="B118" s="323"/>
      <c r="C118" s="323"/>
      <c r="D118" s="324"/>
      <c r="E118" s="325"/>
      <c r="F118" s="297"/>
      <c r="G118" s="297"/>
      <c r="H118" s="298"/>
      <c r="I118" s="298"/>
      <c r="J118" s="297"/>
      <c r="K118" s="344"/>
      <c r="L118" s="355"/>
      <c r="M118" s="343"/>
      <c r="N118" s="298"/>
      <c r="O118" s="298"/>
      <c r="P118" s="298"/>
      <c r="Q118" s="298"/>
      <c r="R118" s="298"/>
      <c r="S118" s="298"/>
      <c r="T118" s="367"/>
      <c r="U118" s="355"/>
      <c r="V118" s="325"/>
      <c r="W118" s="297"/>
      <c r="X118" s="297"/>
      <c r="Y118" s="298"/>
      <c r="Z118" s="298"/>
      <c r="AA118" s="298"/>
      <c r="AB118" s="297"/>
      <c r="AC118" s="375"/>
      <c r="AD118" s="355"/>
      <c r="AE118" s="377">
        <f t="shared" ref="AE118:AE119" si="69">SUM(E118:AC118)</f>
        <v>0</v>
      </c>
      <c r="AF118" s="377"/>
      <c r="AG118" s="390"/>
      <c r="AH118" s="507">
        <f t="shared" si="67"/>
        <v>0</v>
      </c>
      <c r="AI118" s="412"/>
      <c r="AJ118" s="508">
        <f>AH118+AI118</f>
        <v>0</v>
      </c>
    </row>
    <row r="119" spans="1:39" s="283" customFormat="1" ht="20.25">
      <c r="A119" s="322"/>
      <c r="B119" s="323"/>
      <c r="C119" s="323"/>
      <c r="D119" s="324"/>
      <c r="E119" s="325"/>
      <c r="F119" s="297"/>
      <c r="G119" s="297"/>
      <c r="H119" s="298"/>
      <c r="I119" s="298"/>
      <c r="J119" s="297"/>
      <c r="K119" s="344"/>
      <c r="L119" s="355"/>
      <c r="M119" s="343"/>
      <c r="N119" s="298"/>
      <c r="O119" s="298"/>
      <c r="P119" s="298"/>
      <c r="Q119" s="298"/>
      <c r="R119" s="298"/>
      <c r="S119" s="298"/>
      <c r="T119" s="367"/>
      <c r="U119" s="355"/>
      <c r="V119" s="325"/>
      <c r="W119" s="297"/>
      <c r="X119" s="297"/>
      <c r="Y119" s="298"/>
      <c r="Z119" s="298"/>
      <c r="AA119" s="298"/>
      <c r="AB119" s="297"/>
      <c r="AC119" s="375"/>
      <c r="AD119" s="355"/>
      <c r="AE119" s="377">
        <f t="shared" si="69"/>
        <v>0</v>
      </c>
      <c r="AF119" s="377"/>
      <c r="AG119" s="390"/>
      <c r="AH119" s="507">
        <f t="shared" si="67"/>
        <v>0</v>
      </c>
      <c r="AI119" s="412"/>
      <c r="AJ119" s="508">
        <f t="shared" ref="AJ119" si="70">AH119+AI119</f>
        <v>0</v>
      </c>
    </row>
    <row r="120" spans="1:39" s="283" customFormat="1" ht="20.25">
      <c r="A120" s="436"/>
      <c r="B120" s="437"/>
      <c r="C120" s="437"/>
      <c r="D120" s="438"/>
      <c r="E120" s="439">
        <f t="shared" ref="E120:K120" si="71">SUM(E115:E119)</f>
        <v>0</v>
      </c>
      <c r="F120" s="440">
        <f t="shared" si="71"/>
        <v>0</v>
      </c>
      <c r="G120" s="440">
        <f t="shared" si="71"/>
        <v>0</v>
      </c>
      <c r="H120" s="440">
        <f t="shared" si="71"/>
        <v>0</v>
      </c>
      <c r="I120" s="440">
        <f t="shared" si="71"/>
        <v>0</v>
      </c>
      <c r="J120" s="440">
        <f t="shared" si="71"/>
        <v>0</v>
      </c>
      <c r="K120" s="481">
        <f t="shared" si="71"/>
        <v>0</v>
      </c>
      <c r="L120" s="482"/>
      <c r="M120" s="439">
        <f t="shared" ref="M120:T120" si="72">SUM(M115:M119)</f>
        <v>0</v>
      </c>
      <c r="N120" s="440">
        <f t="shared" si="72"/>
        <v>0</v>
      </c>
      <c r="O120" s="440">
        <f t="shared" si="72"/>
        <v>0</v>
      </c>
      <c r="P120" s="440">
        <f t="shared" si="72"/>
        <v>0</v>
      </c>
      <c r="Q120" s="440">
        <f t="shared" si="72"/>
        <v>0</v>
      </c>
      <c r="R120" s="440">
        <f t="shared" si="72"/>
        <v>0</v>
      </c>
      <c r="S120" s="440">
        <f t="shared" si="72"/>
        <v>0</v>
      </c>
      <c r="T120" s="481">
        <f t="shared" si="72"/>
        <v>0</v>
      </c>
      <c r="U120" s="482"/>
      <c r="V120" s="439">
        <f t="shared" ref="V120:AC120" si="73">SUM(V115:V119)</f>
        <v>0</v>
      </c>
      <c r="W120" s="440">
        <f t="shared" si="73"/>
        <v>0</v>
      </c>
      <c r="X120" s="440">
        <f t="shared" si="73"/>
        <v>0</v>
      </c>
      <c r="Y120" s="440">
        <f t="shared" si="73"/>
        <v>0</v>
      </c>
      <c r="Z120" s="440">
        <f t="shared" si="73"/>
        <v>0</v>
      </c>
      <c r="AA120" s="440">
        <f t="shared" si="73"/>
        <v>0</v>
      </c>
      <c r="AB120" s="440">
        <f t="shared" si="73"/>
        <v>0</v>
      </c>
      <c r="AC120" s="481">
        <f t="shared" si="73"/>
        <v>0</v>
      </c>
      <c r="AD120" s="482"/>
      <c r="AE120" s="494">
        <f t="shared" ref="AE120:AJ120" si="74">SUM(AE115:AE119)</f>
        <v>0</v>
      </c>
      <c r="AF120" s="494">
        <f t="shared" si="74"/>
        <v>0</v>
      </c>
      <c r="AG120" s="494">
        <f t="shared" si="74"/>
        <v>0</v>
      </c>
      <c r="AH120" s="509">
        <f t="shared" si="74"/>
        <v>0</v>
      </c>
      <c r="AI120" s="494">
        <f t="shared" si="74"/>
        <v>0</v>
      </c>
      <c r="AJ120" s="509">
        <f t="shared" si="74"/>
        <v>0</v>
      </c>
    </row>
    <row r="121" spans="1:39" s="284" customFormat="1" ht="8.25" customHeight="1" thickBot="1">
      <c r="A121" s="425"/>
      <c r="B121" s="426"/>
      <c r="C121" s="426"/>
      <c r="D121" s="427"/>
      <c r="E121" s="428"/>
      <c r="F121" s="428"/>
      <c r="G121" s="428"/>
      <c r="H121" s="428"/>
      <c r="I121" s="428"/>
      <c r="J121" s="428"/>
      <c r="K121" s="428"/>
      <c r="L121" s="478"/>
      <c r="M121" s="479"/>
      <c r="N121" s="479"/>
      <c r="O121" s="479"/>
      <c r="P121" s="479"/>
      <c r="Q121" s="479"/>
      <c r="R121" s="479"/>
      <c r="S121" s="479"/>
      <c r="T121" s="479"/>
      <c r="U121" s="478"/>
      <c r="V121" s="479"/>
      <c r="W121" s="479"/>
      <c r="X121" s="479"/>
      <c r="Y121" s="479"/>
      <c r="Z121" s="479"/>
      <c r="AA121" s="479"/>
      <c r="AB121" s="479"/>
      <c r="AC121" s="479"/>
      <c r="AD121" s="478"/>
      <c r="AE121" s="479"/>
      <c r="AF121" s="479"/>
      <c r="AG121" s="479"/>
      <c r="AH121" s="479"/>
      <c r="AI121" s="479"/>
      <c r="AJ121" s="506"/>
      <c r="AK121" s="403"/>
      <c r="AL121" s="403"/>
      <c r="AM121" s="403"/>
    </row>
    <row r="122" spans="1:39" s="282" customFormat="1" ht="18.75" thickBot="1">
      <c r="A122" s="441" t="s">
        <v>135</v>
      </c>
      <c r="B122" s="1073" t="s">
        <v>68</v>
      </c>
      <c r="C122" s="287" t="s">
        <v>69</v>
      </c>
      <c r="D122" s="288" t="s">
        <v>70</v>
      </c>
      <c r="E122" s="743" t="s">
        <v>96</v>
      </c>
      <c r="F122" s="744" t="s">
        <v>250</v>
      </c>
      <c r="G122" s="744" t="s">
        <v>86</v>
      </c>
      <c r="H122" s="744" t="s">
        <v>85</v>
      </c>
      <c r="I122" s="744" t="s">
        <v>123</v>
      </c>
      <c r="J122" s="744" t="s">
        <v>149</v>
      </c>
      <c r="K122" s="50" t="s">
        <v>92</v>
      </c>
      <c r="L122" s="578"/>
      <c r="M122" s="743" t="s">
        <v>214</v>
      </c>
      <c r="N122" s="744" t="s">
        <v>92</v>
      </c>
      <c r="O122" s="744" t="s">
        <v>251</v>
      </c>
      <c r="P122" s="744" t="s">
        <v>53</v>
      </c>
      <c r="Q122" s="744" t="s">
        <v>94</v>
      </c>
      <c r="R122" s="744" t="s">
        <v>482</v>
      </c>
      <c r="S122" s="50" t="s">
        <v>525</v>
      </c>
      <c r="T122" s="171" t="s">
        <v>86</v>
      </c>
      <c r="U122" s="578"/>
      <c r="V122" s="744" t="s">
        <v>95</v>
      </c>
      <c r="W122" s="744"/>
      <c r="X122" s="744" t="s">
        <v>252</v>
      </c>
      <c r="Y122" s="744"/>
      <c r="Z122" s="102"/>
      <c r="AA122" s="744" t="s">
        <v>76</v>
      </c>
      <c r="AB122" s="799"/>
      <c r="AC122" s="744" t="s">
        <v>53</v>
      </c>
      <c r="AD122" s="79"/>
      <c r="AE122" s="371" t="s">
        <v>172</v>
      </c>
      <c r="AF122" s="372" t="s">
        <v>80</v>
      </c>
      <c r="AG122" s="385"/>
      <c r="AH122" s="386" t="s">
        <v>106</v>
      </c>
      <c r="AI122" s="385" t="s">
        <v>173</v>
      </c>
      <c r="AJ122" s="371" t="s">
        <v>108</v>
      </c>
    </row>
    <row r="123" spans="1:39" s="283" customFormat="1" ht="20.25">
      <c r="A123" s="442"/>
      <c r="B123" s="443"/>
      <c r="C123" s="443"/>
      <c r="D123" s="444"/>
      <c r="E123" s="433"/>
      <c r="F123" s="434"/>
      <c r="G123" s="434"/>
      <c r="H123" s="435"/>
      <c r="I123" s="435"/>
      <c r="J123" s="434"/>
      <c r="K123" s="480"/>
      <c r="L123" s="483"/>
      <c r="M123" s="484"/>
      <c r="N123" s="435"/>
      <c r="O123" s="435"/>
      <c r="P123" s="435"/>
      <c r="Q123" s="435"/>
      <c r="R123" s="435"/>
      <c r="S123" s="435"/>
      <c r="T123" s="492"/>
      <c r="U123" s="483"/>
      <c r="V123" s="433"/>
      <c r="W123" s="434"/>
      <c r="X123" s="434"/>
      <c r="Y123" s="435"/>
      <c r="Z123" s="435"/>
      <c r="AA123" s="435"/>
      <c r="AB123" s="434"/>
      <c r="AC123" s="495"/>
      <c r="AD123" s="483"/>
      <c r="AE123" s="496">
        <f t="shared" ref="AE123:AE126" si="75">SUM(E123:AC123)</f>
        <v>0</v>
      </c>
      <c r="AF123" s="497"/>
      <c r="AG123" s="510"/>
      <c r="AH123" s="511">
        <f t="shared" ref="AH123:AH126" si="76">AE123+AF123</f>
        <v>0</v>
      </c>
      <c r="AI123" s="512"/>
      <c r="AJ123" s="513">
        <f>AH123+AI123</f>
        <v>0</v>
      </c>
    </row>
    <row r="124" spans="1:39" s="283" customFormat="1" ht="20.25">
      <c r="A124" s="445"/>
      <c r="B124" s="323"/>
      <c r="C124" s="323"/>
      <c r="D124" s="324"/>
      <c r="E124" s="325"/>
      <c r="F124" s="297"/>
      <c r="G124" s="297"/>
      <c r="H124" s="298"/>
      <c r="I124" s="298"/>
      <c r="J124" s="297"/>
      <c r="K124" s="344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75"/>
        <v>0</v>
      </c>
      <c r="AF124" s="377"/>
      <c r="AG124" s="390"/>
      <c r="AH124" s="391">
        <f t="shared" si="76"/>
        <v>0</v>
      </c>
      <c r="AI124" s="412"/>
      <c r="AJ124" s="413">
        <f t="shared" ref="AJ124:AJ126" si="77">AH124+AI124</f>
        <v>0</v>
      </c>
    </row>
    <row r="125" spans="1:39" s="283" customFormat="1" ht="20.25">
      <c r="A125" s="445"/>
      <c r="B125" s="323"/>
      <c r="C125" s="323"/>
      <c r="D125" s="324"/>
      <c r="E125" s="325"/>
      <c r="F125" s="297"/>
      <c r="G125" s="297"/>
      <c r="H125" s="298"/>
      <c r="I125" s="298"/>
      <c r="J125" s="297"/>
      <c r="K125" s="344"/>
      <c r="L125" s="355"/>
      <c r="M125" s="343"/>
      <c r="N125" s="298"/>
      <c r="O125" s="298"/>
      <c r="P125" s="298"/>
      <c r="Q125" s="298"/>
      <c r="R125" s="298"/>
      <c r="S125" s="298"/>
      <c r="T125" s="367"/>
      <c r="U125" s="355"/>
      <c r="V125" s="325"/>
      <c r="W125" s="297"/>
      <c r="X125" s="297"/>
      <c r="Y125" s="298"/>
      <c r="Z125" s="298"/>
      <c r="AA125" s="298"/>
      <c r="AB125" s="297"/>
      <c r="AC125" s="375"/>
      <c r="AD125" s="355"/>
      <c r="AE125" s="376">
        <f t="shared" si="75"/>
        <v>0</v>
      </c>
      <c r="AF125" s="377"/>
      <c r="AG125" s="390"/>
      <c r="AH125" s="391">
        <f t="shared" si="76"/>
        <v>0</v>
      </c>
      <c r="AI125" s="412"/>
      <c r="AJ125" s="413">
        <f t="shared" si="77"/>
        <v>0</v>
      </c>
    </row>
    <row r="126" spans="1:39" s="283" customFormat="1" ht="20.25">
      <c r="A126" s="322"/>
      <c r="B126" s="323"/>
      <c r="C126" s="323"/>
      <c r="D126" s="324"/>
      <c r="E126" s="325"/>
      <c r="F126" s="297"/>
      <c r="G126" s="297"/>
      <c r="H126" s="298"/>
      <c r="I126" s="298"/>
      <c r="J126" s="297"/>
      <c r="K126" s="344"/>
      <c r="L126" s="355"/>
      <c r="M126" s="343"/>
      <c r="N126" s="298"/>
      <c r="O126" s="298"/>
      <c r="P126" s="298"/>
      <c r="Q126" s="298"/>
      <c r="R126" s="298"/>
      <c r="S126" s="298"/>
      <c r="T126" s="367"/>
      <c r="U126" s="355"/>
      <c r="V126" s="325"/>
      <c r="W126" s="297"/>
      <c r="X126" s="297"/>
      <c r="Y126" s="298"/>
      <c r="Z126" s="298"/>
      <c r="AA126" s="298"/>
      <c r="AB126" s="297"/>
      <c r="AC126" s="375"/>
      <c r="AD126" s="355"/>
      <c r="AE126" s="377">
        <f t="shared" si="75"/>
        <v>0</v>
      </c>
      <c r="AF126" s="377"/>
      <c r="AG126" s="390"/>
      <c r="AH126" s="507">
        <f t="shared" si="76"/>
        <v>0</v>
      </c>
      <c r="AI126" s="412"/>
      <c r="AJ126" s="508">
        <f t="shared" si="77"/>
        <v>0</v>
      </c>
    </row>
    <row r="127" spans="1:39" s="283" customFormat="1" ht="20.25">
      <c r="A127" s="436"/>
      <c r="B127" s="437"/>
      <c r="C127" s="437"/>
      <c r="D127" s="438"/>
      <c r="E127" s="439">
        <f t="shared" ref="E127:K127" si="78">SUM(E124:E126)</f>
        <v>0</v>
      </c>
      <c r="F127" s="440">
        <f t="shared" si="78"/>
        <v>0</v>
      </c>
      <c r="G127" s="440">
        <f t="shared" si="78"/>
        <v>0</v>
      </c>
      <c r="H127" s="440">
        <f t="shared" si="78"/>
        <v>0</v>
      </c>
      <c r="I127" s="440">
        <f t="shared" si="78"/>
        <v>0</v>
      </c>
      <c r="J127" s="440">
        <f t="shared" si="78"/>
        <v>0</v>
      </c>
      <c r="K127" s="481">
        <f t="shared" si="78"/>
        <v>0</v>
      </c>
      <c r="L127" s="482"/>
      <c r="M127" s="439">
        <f t="shared" ref="M127:T127" si="79">SUM(M124:M126)</f>
        <v>0</v>
      </c>
      <c r="N127" s="440">
        <f t="shared" si="79"/>
        <v>0</v>
      </c>
      <c r="O127" s="440">
        <f t="shared" si="79"/>
        <v>0</v>
      </c>
      <c r="P127" s="440">
        <f t="shared" si="79"/>
        <v>0</v>
      </c>
      <c r="Q127" s="440">
        <f t="shared" si="79"/>
        <v>0</v>
      </c>
      <c r="R127" s="440">
        <f t="shared" si="79"/>
        <v>0</v>
      </c>
      <c r="S127" s="440">
        <f t="shared" si="79"/>
        <v>0</v>
      </c>
      <c r="T127" s="481">
        <f t="shared" si="79"/>
        <v>0</v>
      </c>
      <c r="U127" s="482"/>
      <c r="V127" s="439">
        <f t="shared" ref="V127:AC127" si="80">SUM(V124:V126)</f>
        <v>0</v>
      </c>
      <c r="W127" s="440">
        <f t="shared" si="80"/>
        <v>0</v>
      </c>
      <c r="X127" s="440">
        <f t="shared" si="80"/>
        <v>0</v>
      </c>
      <c r="Y127" s="440">
        <f t="shared" si="80"/>
        <v>0</v>
      </c>
      <c r="Z127" s="440">
        <f t="shared" si="80"/>
        <v>0</v>
      </c>
      <c r="AA127" s="440">
        <f t="shared" si="80"/>
        <v>0</v>
      </c>
      <c r="AB127" s="440">
        <f t="shared" si="80"/>
        <v>0</v>
      </c>
      <c r="AC127" s="481">
        <f t="shared" si="80"/>
        <v>0</v>
      </c>
      <c r="AD127" s="482"/>
      <c r="AE127" s="494">
        <f>SUM(AE123:AE126)</f>
        <v>0</v>
      </c>
      <c r="AF127" s="494">
        <f>SUM(AF123:AF126)</f>
        <v>0</v>
      </c>
      <c r="AG127" s="509"/>
      <c r="AH127" s="514">
        <f>SUM(AH123:AH126)</f>
        <v>0</v>
      </c>
      <c r="AI127" s="494">
        <f>SUM(AI123:AI126)</f>
        <v>0</v>
      </c>
      <c r="AJ127" s="515">
        <f>SUM(AJ123:AJ126)</f>
        <v>0</v>
      </c>
    </row>
    <row r="128" spans="1:39" s="284" customFormat="1" ht="8.25" customHeight="1" thickBot="1">
      <c r="A128" s="425"/>
      <c r="B128" s="426"/>
      <c r="C128" s="426"/>
      <c r="D128" s="427"/>
      <c r="E128" s="428"/>
      <c r="F128" s="428"/>
      <c r="G128" s="428"/>
      <c r="H128" s="428"/>
      <c r="I128" s="428"/>
      <c r="J128" s="428"/>
      <c r="K128" s="428"/>
      <c r="L128" s="478"/>
      <c r="M128" s="479"/>
      <c r="N128" s="479"/>
      <c r="O128" s="479"/>
      <c r="P128" s="479"/>
      <c r="Q128" s="479"/>
      <c r="R128" s="479"/>
      <c r="S128" s="479"/>
      <c r="T128" s="479"/>
      <c r="U128" s="478"/>
      <c r="V128" s="479"/>
      <c r="W128" s="479"/>
      <c r="X128" s="479"/>
      <c r="Y128" s="479"/>
      <c r="Z128" s="479"/>
      <c r="AA128" s="479"/>
      <c r="AB128" s="479"/>
      <c r="AC128" s="479"/>
      <c r="AD128" s="478"/>
      <c r="AE128" s="479"/>
      <c r="AF128" s="479"/>
      <c r="AG128" s="479"/>
      <c r="AH128" s="479"/>
      <c r="AI128" s="479"/>
      <c r="AJ128" s="506"/>
      <c r="AK128" s="403"/>
      <c r="AL128" s="403"/>
      <c r="AM128" s="403"/>
    </row>
    <row r="129" spans="1:39" s="282" customFormat="1" ht="16.5" thickBot="1">
      <c r="A129" s="446" t="s">
        <v>140</v>
      </c>
      <c r="B129" s="1073" t="s">
        <v>68</v>
      </c>
      <c r="C129" s="287" t="s">
        <v>69</v>
      </c>
      <c r="D129" s="288" t="s">
        <v>70</v>
      </c>
      <c r="E129" s="743" t="s">
        <v>96</v>
      </c>
      <c r="F129" s="744" t="s">
        <v>250</v>
      </c>
      <c r="G129" s="744" t="s">
        <v>86</v>
      </c>
      <c r="H129" s="744" t="s">
        <v>85</v>
      </c>
      <c r="I129" s="744" t="s">
        <v>123</v>
      </c>
      <c r="J129" s="744" t="s">
        <v>149</v>
      </c>
      <c r="K129" s="50" t="s">
        <v>92</v>
      </c>
      <c r="L129" s="578"/>
      <c r="M129" s="743" t="s">
        <v>214</v>
      </c>
      <c r="N129" s="744" t="s">
        <v>92</v>
      </c>
      <c r="O129" s="744" t="s">
        <v>251</v>
      </c>
      <c r="P129" s="744" t="s">
        <v>53</v>
      </c>
      <c r="Q129" s="744" t="s">
        <v>94</v>
      </c>
      <c r="R129" s="744" t="s">
        <v>482</v>
      </c>
      <c r="S129" s="50" t="s">
        <v>525</v>
      </c>
      <c r="T129" s="171" t="s">
        <v>86</v>
      </c>
      <c r="U129" s="578"/>
      <c r="V129" s="744" t="s">
        <v>95</v>
      </c>
      <c r="W129" s="744"/>
      <c r="X129" s="744" t="s">
        <v>252</v>
      </c>
      <c r="Y129" s="744"/>
      <c r="Z129" s="102"/>
      <c r="AA129" s="744" t="s">
        <v>76</v>
      </c>
      <c r="AB129" s="799"/>
      <c r="AC129" s="744" t="s">
        <v>53</v>
      </c>
      <c r="AD129" s="79"/>
      <c r="AE129" s="371" t="s">
        <v>172</v>
      </c>
      <c r="AF129" s="372" t="s">
        <v>80</v>
      </c>
      <c r="AG129" s="385"/>
      <c r="AH129" s="386" t="s">
        <v>106</v>
      </c>
      <c r="AI129" s="385" t="s">
        <v>173</v>
      </c>
      <c r="AJ129" s="371" t="s">
        <v>108</v>
      </c>
    </row>
    <row r="130" spans="1:39" s="283" customFormat="1" ht="20.25">
      <c r="A130" s="449" t="s">
        <v>180</v>
      </c>
      <c r="B130" s="3332"/>
      <c r="C130" s="3332"/>
      <c r="D130" s="3333"/>
      <c r="E130" s="1067"/>
      <c r="F130" s="1068"/>
      <c r="G130" s="1068"/>
      <c r="H130" s="1069"/>
      <c r="I130" s="1069"/>
      <c r="J130" s="1068"/>
      <c r="K130" s="1102"/>
      <c r="L130" s="483"/>
      <c r="M130" s="484"/>
      <c r="N130" s="435"/>
      <c r="O130" s="435"/>
      <c r="P130" s="435"/>
      <c r="Q130" s="435"/>
      <c r="R130" s="435"/>
      <c r="S130" s="435"/>
      <c r="T130" s="492"/>
      <c r="U130" s="483"/>
      <c r="V130" s="433"/>
      <c r="W130" s="434"/>
      <c r="X130" s="434"/>
      <c r="Y130" s="435"/>
      <c r="Z130" s="435"/>
      <c r="AA130" s="435"/>
      <c r="AB130" s="434"/>
      <c r="AC130" s="495"/>
      <c r="AD130" s="483"/>
      <c r="AE130" s="496">
        <f t="shared" ref="AE130:AE135" si="81">SUM(E130:AC130)</f>
        <v>0</v>
      </c>
      <c r="AF130" s="3334"/>
      <c r="AG130" s="517"/>
      <c r="AH130" s="511">
        <f t="shared" ref="AH130:AH135" si="82">AE130+AF130</f>
        <v>0</v>
      </c>
      <c r="AI130" s="512"/>
      <c r="AJ130" s="513">
        <f>AH130+AI130</f>
        <v>0</v>
      </c>
    </row>
    <row r="131" spans="1:39" s="283" customFormat="1" ht="20.25">
      <c r="A131" s="445"/>
      <c r="B131" s="455"/>
      <c r="C131" s="455"/>
      <c r="D131" s="456"/>
      <c r="E131" s="457"/>
      <c r="F131" s="458"/>
      <c r="G131" s="458"/>
      <c r="H131" s="459"/>
      <c r="I131" s="459"/>
      <c r="J131" s="458"/>
      <c r="K131" s="486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6">
        <f t="shared" si="81"/>
        <v>0</v>
      </c>
      <c r="AF131" s="500"/>
      <c r="AG131" s="516"/>
      <c r="AH131" s="391">
        <f t="shared" si="82"/>
        <v>0</v>
      </c>
      <c r="AI131" s="412"/>
      <c r="AJ131" s="413">
        <f t="shared" ref="AJ131:AJ132" si="83">AH131+AI131</f>
        <v>0</v>
      </c>
    </row>
    <row r="132" spans="1:39" s="283" customFormat="1" ht="20.25">
      <c r="A132" s="442"/>
      <c r="B132" s="455"/>
      <c r="C132" s="455"/>
      <c r="D132" s="456"/>
      <c r="E132" s="457"/>
      <c r="F132" s="458"/>
      <c r="G132" s="458"/>
      <c r="H132" s="459"/>
      <c r="I132" s="459"/>
      <c r="J132" s="458"/>
      <c r="K132" s="486"/>
      <c r="L132" s="483"/>
      <c r="M132" s="484"/>
      <c r="N132" s="435"/>
      <c r="O132" s="435"/>
      <c r="P132" s="435"/>
      <c r="Q132" s="435"/>
      <c r="R132" s="435"/>
      <c r="S132" s="435"/>
      <c r="T132" s="492"/>
      <c r="U132" s="483"/>
      <c r="V132" s="433"/>
      <c r="W132" s="434"/>
      <c r="X132" s="434"/>
      <c r="Y132" s="435"/>
      <c r="Z132" s="435"/>
      <c r="AA132" s="435"/>
      <c r="AB132" s="434"/>
      <c r="AC132" s="495"/>
      <c r="AD132" s="483"/>
      <c r="AE132" s="496">
        <f t="shared" si="81"/>
        <v>0</v>
      </c>
      <c r="AF132" s="500"/>
      <c r="AG132" s="517"/>
      <c r="AH132" s="511">
        <f t="shared" si="82"/>
        <v>0</v>
      </c>
      <c r="AI132" s="512"/>
      <c r="AJ132" s="513">
        <f t="shared" si="83"/>
        <v>0</v>
      </c>
    </row>
    <row r="133" spans="1:39" s="283" customFormat="1" ht="20.25">
      <c r="A133" s="445"/>
      <c r="B133" s="455"/>
      <c r="C133" s="455"/>
      <c r="D133" s="456"/>
      <c r="E133" s="457"/>
      <c r="F133" s="458"/>
      <c r="G133" s="458"/>
      <c r="H133" s="459"/>
      <c r="I133" s="459"/>
      <c r="J133" s="458"/>
      <c r="K133" s="486"/>
      <c r="L133" s="355"/>
      <c r="M133" s="343"/>
      <c r="N133" s="298"/>
      <c r="O133" s="298"/>
      <c r="P133" s="298"/>
      <c r="Q133" s="298"/>
      <c r="R133" s="298"/>
      <c r="S133" s="298"/>
      <c r="T133" s="367"/>
      <c r="U133" s="355"/>
      <c r="V133" s="325"/>
      <c r="W133" s="297"/>
      <c r="X133" s="297"/>
      <c r="Y133" s="298"/>
      <c r="Z133" s="298"/>
      <c r="AA133" s="298"/>
      <c r="AB133" s="297"/>
      <c r="AC133" s="375"/>
      <c r="AD133" s="355"/>
      <c r="AE133" s="376">
        <f t="shared" si="81"/>
        <v>0</v>
      </c>
      <c r="AF133" s="500"/>
      <c r="AG133" s="516"/>
      <c r="AH133" s="391">
        <f t="shared" si="82"/>
        <v>0</v>
      </c>
      <c r="AI133" s="412"/>
      <c r="AJ133" s="413">
        <f t="shared" ref="AJ133:AJ135" si="84">AH133+AI133</f>
        <v>0</v>
      </c>
    </row>
    <row r="134" spans="1:39" s="283" customFormat="1" ht="20.25">
      <c r="A134" s="445"/>
      <c r="B134" s="455"/>
      <c r="C134" s="455"/>
      <c r="D134" s="456"/>
      <c r="E134" s="457"/>
      <c r="F134" s="458"/>
      <c r="G134" s="458"/>
      <c r="H134" s="459"/>
      <c r="I134" s="459"/>
      <c r="J134" s="458"/>
      <c r="K134" s="486"/>
      <c r="L134" s="355"/>
      <c r="M134" s="343"/>
      <c r="N134" s="298"/>
      <c r="O134" s="298"/>
      <c r="P134" s="298"/>
      <c r="Q134" s="298"/>
      <c r="R134" s="298"/>
      <c r="S134" s="298"/>
      <c r="T134" s="367"/>
      <c r="U134" s="355"/>
      <c r="V134" s="325"/>
      <c r="W134" s="297"/>
      <c r="X134" s="297"/>
      <c r="Y134" s="298"/>
      <c r="Z134" s="298"/>
      <c r="AA134" s="298"/>
      <c r="AB134" s="297"/>
      <c r="AC134" s="375"/>
      <c r="AD134" s="355"/>
      <c r="AE134" s="376">
        <f t="shared" si="81"/>
        <v>0</v>
      </c>
      <c r="AF134" s="500"/>
      <c r="AG134" s="516"/>
      <c r="AH134" s="391">
        <f t="shared" si="82"/>
        <v>0</v>
      </c>
      <c r="AI134" s="412"/>
      <c r="AJ134" s="413">
        <f t="shared" si="84"/>
        <v>0</v>
      </c>
    </row>
    <row r="135" spans="1:39" s="283" customFormat="1" ht="20.25">
      <c r="A135" s="460"/>
      <c r="B135" s="461"/>
      <c r="C135" s="461"/>
      <c r="D135" s="462"/>
      <c r="E135" s="463"/>
      <c r="F135" s="464"/>
      <c r="G135" s="464"/>
      <c r="H135" s="465"/>
      <c r="I135" s="465"/>
      <c r="J135" s="464"/>
      <c r="K135" s="487"/>
      <c r="L135" s="355"/>
      <c r="M135" s="343"/>
      <c r="N135" s="298"/>
      <c r="O135" s="298"/>
      <c r="P135" s="298"/>
      <c r="Q135" s="298"/>
      <c r="R135" s="298"/>
      <c r="S135" s="298"/>
      <c r="T135" s="367"/>
      <c r="U135" s="355"/>
      <c r="V135" s="325"/>
      <c r="W135" s="297"/>
      <c r="X135" s="297"/>
      <c r="Y135" s="298"/>
      <c r="Z135" s="298"/>
      <c r="AA135" s="298"/>
      <c r="AB135" s="297"/>
      <c r="AC135" s="375"/>
      <c r="AD135" s="355"/>
      <c r="AE135" s="377">
        <f t="shared" si="81"/>
        <v>0</v>
      </c>
      <c r="AF135" s="501"/>
      <c r="AG135" s="516"/>
      <c r="AH135" s="507">
        <f t="shared" si="82"/>
        <v>0</v>
      </c>
      <c r="AI135" s="412"/>
      <c r="AJ135" s="508">
        <f t="shared" si="84"/>
        <v>0</v>
      </c>
    </row>
    <row r="136" spans="1:39" s="283" customFormat="1" ht="20.25">
      <c r="A136" s="466"/>
      <c r="B136" s="467"/>
      <c r="C136" s="467"/>
      <c r="D136" s="468"/>
      <c r="E136" s="469">
        <f>SUM(E130:E135)</f>
        <v>0</v>
      </c>
      <c r="F136" s="469">
        <f t="shared" ref="F136:K136" si="85">SUM(F130:F135)</f>
        <v>0</v>
      </c>
      <c r="G136" s="469">
        <f t="shared" si="85"/>
        <v>0</v>
      </c>
      <c r="H136" s="469">
        <f t="shared" si="85"/>
        <v>0</v>
      </c>
      <c r="I136" s="469">
        <f t="shared" si="85"/>
        <v>0</v>
      </c>
      <c r="J136" s="469">
        <f t="shared" si="85"/>
        <v>0</v>
      </c>
      <c r="K136" s="469">
        <f t="shared" si="85"/>
        <v>0</v>
      </c>
      <c r="L136" s="482"/>
      <c r="M136" s="795">
        <f>SUM(L130:M135)</f>
        <v>0</v>
      </c>
      <c r="N136" s="795">
        <f t="shared" ref="N136:T136" si="86">SUM(M130:N135)</f>
        <v>0</v>
      </c>
      <c r="O136" s="795">
        <f t="shared" si="86"/>
        <v>0</v>
      </c>
      <c r="P136" s="795">
        <f t="shared" si="86"/>
        <v>0</v>
      </c>
      <c r="Q136" s="795">
        <f t="shared" si="86"/>
        <v>0</v>
      </c>
      <c r="R136" s="795">
        <f t="shared" si="86"/>
        <v>0</v>
      </c>
      <c r="S136" s="795">
        <f t="shared" si="86"/>
        <v>0</v>
      </c>
      <c r="T136" s="795">
        <f t="shared" si="86"/>
        <v>0</v>
      </c>
      <c r="U136" s="482"/>
      <c r="V136" s="439">
        <f>SUM(V130:V135)</f>
        <v>0</v>
      </c>
      <c r="W136" s="439">
        <f t="shared" ref="W136:AC136" si="87">SUM(W130:W135)</f>
        <v>0</v>
      </c>
      <c r="X136" s="439">
        <f t="shared" si="87"/>
        <v>0</v>
      </c>
      <c r="Y136" s="439">
        <f t="shared" si="87"/>
        <v>0</v>
      </c>
      <c r="Z136" s="439">
        <f t="shared" si="87"/>
        <v>0</v>
      </c>
      <c r="AA136" s="439">
        <f t="shared" si="87"/>
        <v>0</v>
      </c>
      <c r="AB136" s="439">
        <f t="shared" si="87"/>
        <v>0</v>
      </c>
      <c r="AC136" s="439">
        <f t="shared" si="87"/>
        <v>0</v>
      </c>
      <c r="AD136" s="482"/>
      <c r="AE136" s="494">
        <f>SUM(AE130:AE135)</f>
        <v>0</v>
      </c>
      <c r="AF136" s="502">
        <f>SUM(AF130:AF135)</f>
        <v>0</v>
      </c>
      <c r="AG136" s="509"/>
      <c r="AH136" s="514">
        <f>SUM(AH130:AH135)</f>
        <v>0</v>
      </c>
      <c r="AI136" s="494">
        <f>SUM(AI130:AI135)</f>
        <v>0</v>
      </c>
      <c r="AJ136" s="515">
        <f>SUM(AJ130:AJ135)</f>
        <v>0</v>
      </c>
    </row>
    <row r="137" spans="1:39" s="284" customFormat="1" ht="8.25" customHeight="1" thickBot="1">
      <c r="A137" s="425"/>
      <c r="B137" s="426"/>
      <c r="C137" s="426"/>
      <c r="D137" s="427"/>
      <c r="E137" s="428"/>
      <c r="F137" s="428"/>
      <c r="G137" s="428"/>
      <c r="H137" s="428"/>
      <c r="I137" s="428"/>
      <c r="J137" s="428"/>
      <c r="K137" s="428"/>
      <c r="L137" s="478"/>
      <c r="M137" s="479"/>
      <c r="N137" s="479"/>
      <c r="O137" s="479"/>
      <c r="P137" s="479"/>
      <c r="Q137" s="479"/>
      <c r="R137" s="479"/>
      <c r="S137" s="479"/>
      <c r="T137" s="479"/>
      <c r="U137" s="478"/>
      <c r="V137" s="479"/>
      <c r="W137" s="479"/>
      <c r="X137" s="479"/>
      <c r="Y137" s="479"/>
      <c r="Z137" s="479"/>
      <c r="AA137" s="479"/>
      <c r="AB137" s="479"/>
      <c r="AC137" s="479"/>
      <c r="AD137" s="478"/>
      <c r="AE137" s="479"/>
      <c r="AF137" s="479"/>
      <c r="AG137" s="479"/>
      <c r="AH137" s="479"/>
      <c r="AI137" s="479"/>
      <c r="AJ137" s="506"/>
      <c r="AK137" s="403"/>
      <c r="AL137" s="403"/>
      <c r="AM137" s="403"/>
    </row>
    <row r="138" spans="1:39" s="282" customFormat="1" ht="18.75" thickBot="1">
      <c r="A138" s="441" t="s">
        <v>143</v>
      </c>
      <c r="B138" s="287" t="s">
        <v>68</v>
      </c>
      <c r="C138" s="287" t="s">
        <v>69</v>
      </c>
      <c r="D138" s="288" t="s">
        <v>70</v>
      </c>
      <c r="E138" s="80" t="s">
        <v>96</v>
      </c>
      <c r="F138" s="49" t="s">
        <v>250</v>
      </c>
      <c r="G138" s="49" t="s">
        <v>86</v>
      </c>
      <c r="H138" s="49" t="s">
        <v>85</v>
      </c>
      <c r="I138" s="49" t="s">
        <v>123</v>
      </c>
      <c r="J138" s="49" t="s">
        <v>149</v>
      </c>
      <c r="K138" s="126" t="s">
        <v>92</v>
      </c>
      <c r="L138" s="578"/>
      <c r="M138" s="80" t="s">
        <v>214</v>
      </c>
      <c r="N138" s="49" t="s">
        <v>92</v>
      </c>
      <c r="O138" s="49" t="s">
        <v>251</v>
      </c>
      <c r="P138" s="49" t="s">
        <v>53</v>
      </c>
      <c r="Q138" s="49" t="s">
        <v>94</v>
      </c>
      <c r="R138" s="744" t="s">
        <v>482</v>
      </c>
      <c r="S138" s="50" t="s">
        <v>525</v>
      </c>
      <c r="T138" s="171" t="s">
        <v>86</v>
      </c>
      <c r="U138" s="578"/>
      <c r="V138" s="49" t="s">
        <v>95</v>
      </c>
      <c r="W138" s="49"/>
      <c r="X138" s="49" t="s">
        <v>252</v>
      </c>
      <c r="Y138" s="49"/>
      <c r="Z138" s="104"/>
      <c r="AA138" s="49" t="s">
        <v>76</v>
      </c>
      <c r="AB138" s="121"/>
      <c r="AC138" s="49" t="s">
        <v>53</v>
      </c>
      <c r="AD138" s="79"/>
      <c r="AE138" s="371" t="s">
        <v>172</v>
      </c>
      <c r="AF138" s="372" t="s">
        <v>80</v>
      </c>
      <c r="AG138" s="385"/>
      <c r="AH138" s="386" t="s">
        <v>106</v>
      </c>
      <c r="AI138" s="385" t="s">
        <v>173</v>
      </c>
      <c r="AJ138" s="371" t="s">
        <v>108</v>
      </c>
    </row>
    <row r="139" spans="1:39" s="283" customFormat="1" ht="20.25">
      <c r="A139" s="471" t="s">
        <v>181</v>
      </c>
      <c r="B139" s="472"/>
      <c r="C139" s="472"/>
      <c r="D139" s="473"/>
      <c r="E139" s="474"/>
      <c r="F139" s="475"/>
      <c r="G139" s="475"/>
      <c r="H139" s="476"/>
      <c r="I139" s="476"/>
      <c r="J139" s="475"/>
      <c r="K139" s="489"/>
      <c r="L139" s="490"/>
      <c r="M139" s="491"/>
      <c r="N139" s="476"/>
      <c r="O139" s="476"/>
      <c r="P139" s="476"/>
      <c r="Q139" s="476"/>
      <c r="R139" s="476"/>
      <c r="S139" s="476"/>
      <c r="T139" s="493"/>
      <c r="U139" s="490"/>
      <c r="V139" s="474"/>
      <c r="W139" s="475"/>
      <c r="X139" s="475"/>
      <c r="Y139" s="476"/>
      <c r="Z139" s="476"/>
      <c r="AA139" s="476"/>
      <c r="AB139" s="475"/>
      <c r="AC139" s="503"/>
      <c r="AD139" s="490"/>
      <c r="AE139" s="504">
        <f t="shared" ref="AE139:AE143" si="88">SUM(E139:AC139)</f>
        <v>0</v>
      </c>
      <c r="AF139" s="505"/>
      <c r="AG139" s="518"/>
      <c r="AH139" s="519">
        <f t="shared" ref="AH139:AH143" si="89">AE139+AF139</f>
        <v>0</v>
      </c>
      <c r="AI139" s="520"/>
      <c r="AJ139" s="521">
        <f>AH139+AI139</f>
        <v>0</v>
      </c>
    </row>
    <row r="140" spans="1:39" s="283" customFormat="1" ht="20.25">
      <c r="A140" s="445" t="s">
        <v>182</v>
      </c>
      <c r="B140" s="323"/>
      <c r="C140" s="323"/>
      <c r="D140" s="324"/>
      <c r="E140" s="325"/>
      <c r="F140" s="297"/>
      <c r="G140" s="297"/>
      <c r="H140" s="298"/>
      <c r="I140" s="298"/>
      <c r="J140" s="297"/>
      <c r="K140" s="344"/>
      <c r="L140" s="355"/>
      <c r="M140" s="343"/>
      <c r="N140" s="298"/>
      <c r="O140" s="298"/>
      <c r="P140" s="298"/>
      <c r="Q140" s="298"/>
      <c r="R140" s="298"/>
      <c r="S140" s="298"/>
      <c r="T140" s="367"/>
      <c r="U140" s="355"/>
      <c r="V140" s="325"/>
      <c r="W140" s="297"/>
      <c r="X140" s="297"/>
      <c r="Y140" s="298"/>
      <c r="Z140" s="298"/>
      <c r="AA140" s="298"/>
      <c r="AB140" s="297"/>
      <c r="AC140" s="375"/>
      <c r="AD140" s="355"/>
      <c r="AE140" s="376">
        <f t="shared" si="88"/>
        <v>0</v>
      </c>
      <c r="AF140" s="377"/>
      <c r="AG140" s="390"/>
      <c r="AH140" s="391">
        <f t="shared" si="89"/>
        <v>0</v>
      </c>
      <c r="AI140" s="412"/>
      <c r="AJ140" s="413">
        <f t="shared" ref="AJ140:AJ143" si="90">AH140+AI140</f>
        <v>0</v>
      </c>
    </row>
    <row r="141" spans="1:39" s="283" customFormat="1" ht="20.25">
      <c r="A141" s="445"/>
      <c r="B141" s="323"/>
      <c r="C141" s="323"/>
      <c r="D141" s="324"/>
      <c r="E141" s="325"/>
      <c r="F141" s="297"/>
      <c r="G141" s="297"/>
      <c r="H141" s="298"/>
      <c r="I141" s="298"/>
      <c r="J141" s="297"/>
      <c r="K141" s="344"/>
      <c r="L141" s="355"/>
      <c r="M141" s="343"/>
      <c r="N141" s="298"/>
      <c r="O141" s="298"/>
      <c r="P141" s="298"/>
      <c r="Q141" s="298"/>
      <c r="R141" s="298"/>
      <c r="S141" s="298"/>
      <c r="T141" s="367"/>
      <c r="U141" s="355"/>
      <c r="V141" s="325"/>
      <c r="W141" s="297"/>
      <c r="X141" s="297"/>
      <c r="Y141" s="298"/>
      <c r="Z141" s="298"/>
      <c r="AA141" s="298"/>
      <c r="AB141" s="297"/>
      <c r="AC141" s="375"/>
      <c r="AD141" s="355"/>
      <c r="AE141" s="376">
        <f t="shared" si="88"/>
        <v>0</v>
      </c>
      <c r="AF141" s="377"/>
      <c r="AG141" s="390"/>
      <c r="AH141" s="391">
        <f t="shared" si="89"/>
        <v>0</v>
      </c>
      <c r="AI141" s="412"/>
      <c r="AJ141" s="413">
        <f t="shared" si="90"/>
        <v>0</v>
      </c>
    </row>
    <row r="142" spans="1:39" s="283" customFormat="1" ht="20.25">
      <c r="A142" s="445"/>
      <c r="B142" s="323"/>
      <c r="C142" s="323"/>
      <c r="D142" s="324"/>
      <c r="E142" s="325"/>
      <c r="F142" s="297"/>
      <c r="G142" s="297"/>
      <c r="H142" s="298"/>
      <c r="I142" s="298"/>
      <c r="J142" s="297"/>
      <c r="K142" s="344"/>
      <c r="L142" s="355"/>
      <c r="M142" s="343"/>
      <c r="N142" s="298"/>
      <c r="O142" s="298"/>
      <c r="P142" s="298"/>
      <c r="Q142" s="298"/>
      <c r="R142" s="298"/>
      <c r="S142" s="298"/>
      <c r="T142" s="367"/>
      <c r="U142" s="355"/>
      <c r="V142" s="325"/>
      <c r="W142" s="297"/>
      <c r="X142" s="297"/>
      <c r="Y142" s="298"/>
      <c r="Z142" s="298"/>
      <c r="AA142" s="298"/>
      <c r="AB142" s="297"/>
      <c r="AC142" s="375"/>
      <c r="AD142" s="355"/>
      <c r="AE142" s="376">
        <f t="shared" si="88"/>
        <v>0</v>
      </c>
      <c r="AF142" s="377"/>
      <c r="AG142" s="390"/>
      <c r="AH142" s="391">
        <f t="shared" si="89"/>
        <v>0</v>
      </c>
      <c r="AI142" s="412"/>
      <c r="AJ142" s="413">
        <f t="shared" si="90"/>
        <v>0</v>
      </c>
    </row>
    <row r="143" spans="1:39" s="283" customFormat="1" ht="20.25">
      <c r="A143" s="322"/>
      <c r="B143" s="323"/>
      <c r="C143" s="323"/>
      <c r="D143" s="324"/>
      <c r="E143" s="325"/>
      <c r="F143" s="297"/>
      <c r="G143" s="297"/>
      <c r="H143" s="298"/>
      <c r="I143" s="298"/>
      <c r="J143" s="297"/>
      <c r="K143" s="344"/>
      <c r="L143" s="355"/>
      <c r="M143" s="343"/>
      <c r="N143" s="298"/>
      <c r="O143" s="298"/>
      <c r="P143" s="298"/>
      <c r="Q143" s="298"/>
      <c r="R143" s="298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7">
        <f t="shared" si="88"/>
        <v>0</v>
      </c>
      <c r="AF143" s="377"/>
      <c r="AG143" s="390"/>
      <c r="AH143" s="507">
        <f t="shared" si="89"/>
        <v>0</v>
      </c>
      <c r="AI143" s="412"/>
      <c r="AJ143" s="508">
        <f t="shared" si="90"/>
        <v>0</v>
      </c>
    </row>
    <row r="144" spans="1:39" s="283" customFormat="1" ht="20.25">
      <c r="A144" s="436"/>
      <c r="B144" s="437"/>
      <c r="C144" s="437"/>
      <c r="D144" s="438"/>
      <c r="E144" s="439">
        <f t="shared" ref="E144:K144" si="91">SUM(E139:E143)</f>
        <v>0</v>
      </c>
      <c r="F144" s="440">
        <f t="shared" si="91"/>
        <v>0</v>
      </c>
      <c r="G144" s="440">
        <f t="shared" si="91"/>
        <v>0</v>
      </c>
      <c r="H144" s="440">
        <f t="shared" si="91"/>
        <v>0</v>
      </c>
      <c r="I144" s="440">
        <f t="shared" si="91"/>
        <v>0</v>
      </c>
      <c r="J144" s="440">
        <f t="shared" si="91"/>
        <v>0</v>
      </c>
      <c r="K144" s="481">
        <f t="shared" si="91"/>
        <v>0</v>
      </c>
      <c r="L144" s="482"/>
      <c r="M144" s="439">
        <f t="shared" ref="M144:T144" si="92">SUM(M139:M143)</f>
        <v>0</v>
      </c>
      <c r="N144" s="440">
        <f t="shared" si="92"/>
        <v>0</v>
      </c>
      <c r="O144" s="440">
        <f t="shared" si="92"/>
        <v>0</v>
      </c>
      <c r="P144" s="440">
        <f t="shared" si="92"/>
        <v>0</v>
      </c>
      <c r="Q144" s="440">
        <f t="shared" si="92"/>
        <v>0</v>
      </c>
      <c r="R144" s="440">
        <f t="shared" si="92"/>
        <v>0</v>
      </c>
      <c r="S144" s="440">
        <f t="shared" si="92"/>
        <v>0</v>
      </c>
      <c r="T144" s="481">
        <f t="shared" si="92"/>
        <v>0</v>
      </c>
      <c r="U144" s="482"/>
      <c r="V144" s="439">
        <f t="shared" ref="V144:AC144" si="93">SUM(V139:V143)</f>
        <v>0</v>
      </c>
      <c r="W144" s="440">
        <f t="shared" si="93"/>
        <v>0</v>
      </c>
      <c r="X144" s="440">
        <f t="shared" si="93"/>
        <v>0</v>
      </c>
      <c r="Y144" s="440">
        <f t="shared" si="93"/>
        <v>0</v>
      </c>
      <c r="Z144" s="440">
        <f t="shared" si="93"/>
        <v>0</v>
      </c>
      <c r="AA144" s="440">
        <f t="shared" si="93"/>
        <v>0</v>
      </c>
      <c r="AB144" s="440">
        <f t="shared" si="93"/>
        <v>0</v>
      </c>
      <c r="AC144" s="481">
        <f t="shared" si="93"/>
        <v>0</v>
      </c>
      <c r="AD144" s="482"/>
      <c r="AE144" s="494">
        <f>SUM(AE139:AE143)</f>
        <v>0</v>
      </c>
      <c r="AF144" s="494">
        <f>SUM(AF139:AF143)</f>
        <v>0</v>
      </c>
      <c r="AG144" s="509"/>
      <c r="AH144" s="514">
        <f>SUM(AH139:AH143)</f>
        <v>0</v>
      </c>
      <c r="AI144" s="494">
        <f>SUM(AI139:AI143)</f>
        <v>0</v>
      </c>
      <c r="AJ144" s="509">
        <f>SUM(AJ139:AJ143)</f>
        <v>0</v>
      </c>
    </row>
    <row r="145" spans="1:39" s="284" customFormat="1" ht="8.25" customHeight="1">
      <c r="A145" s="522"/>
      <c r="B145" s="523"/>
      <c r="C145" s="523"/>
      <c r="D145" s="524"/>
      <c r="E145" s="525"/>
      <c r="F145" s="525"/>
      <c r="G145" s="525"/>
      <c r="H145" s="525"/>
      <c r="I145" s="525"/>
      <c r="J145" s="525"/>
      <c r="K145" s="525"/>
      <c r="L145" s="572"/>
      <c r="M145" s="573"/>
      <c r="N145" s="573"/>
      <c r="O145" s="573"/>
      <c r="P145" s="573"/>
      <c r="Q145" s="573"/>
      <c r="R145" s="573"/>
      <c r="S145" s="573"/>
      <c r="T145" s="573"/>
      <c r="U145" s="572"/>
      <c r="V145" s="573"/>
      <c r="W145" s="573"/>
      <c r="X145" s="573"/>
      <c r="Y145" s="573"/>
      <c r="Z145" s="573"/>
      <c r="AA145" s="573"/>
      <c r="AB145" s="573"/>
      <c r="AC145" s="573"/>
      <c r="AD145" s="572"/>
      <c r="AE145" s="573"/>
      <c r="AF145" s="573"/>
      <c r="AG145" s="599"/>
      <c r="AH145" s="573"/>
      <c r="AI145" s="573"/>
      <c r="AJ145" s="600"/>
      <c r="AK145" s="403"/>
      <c r="AL145" s="403"/>
      <c r="AM145" s="403"/>
    </row>
    <row r="146" spans="1:39" ht="20.25">
      <c r="A146" s="526" t="s">
        <v>145</v>
      </c>
      <c r="B146" s="527"/>
      <c r="C146" s="527"/>
      <c r="D146" s="528"/>
      <c r="E146" s="529">
        <f>E4+E38+E54+E111+E69+E83+E120+E127+E136+E144+E97</f>
        <v>0</v>
      </c>
      <c r="F146" s="529">
        <f t="shared" ref="F146:K146" si="94">F4+F38+F54+F111+F69+F83+F120+F127+F136+F144+F97</f>
        <v>0</v>
      </c>
      <c r="G146" s="529">
        <f t="shared" si="94"/>
        <v>0</v>
      </c>
      <c r="H146" s="529">
        <f t="shared" si="94"/>
        <v>0</v>
      </c>
      <c r="I146" s="529">
        <f t="shared" si="94"/>
        <v>0</v>
      </c>
      <c r="J146" s="529">
        <f t="shared" si="94"/>
        <v>0</v>
      </c>
      <c r="K146" s="529">
        <f t="shared" si="94"/>
        <v>0</v>
      </c>
      <c r="L146" s="574">
        <f>L4+L38+L54+L120</f>
        <v>0</v>
      </c>
      <c r="M146" s="529">
        <f>M4+M38+M54+M69+M120+M127+M136+M144+M111+M83+M97</f>
        <v>320</v>
      </c>
      <c r="N146" s="529">
        <f t="shared" ref="N146:T146" si="95">N4+N38+N54+N69+N120+N127+N136+N144+N111+N83+N97</f>
        <v>0</v>
      </c>
      <c r="O146" s="529">
        <f t="shared" si="95"/>
        <v>0</v>
      </c>
      <c r="P146" s="529">
        <f t="shared" si="95"/>
        <v>2592</v>
      </c>
      <c r="Q146" s="529">
        <f t="shared" si="95"/>
        <v>1088</v>
      </c>
      <c r="R146" s="529">
        <f t="shared" si="95"/>
        <v>544</v>
      </c>
      <c r="S146" s="529">
        <f t="shared" si="95"/>
        <v>928</v>
      </c>
      <c r="T146" s="529">
        <f t="shared" si="95"/>
        <v>0</v>
      </c>
      <c r="U146" s="529"/>
      <c r="V146" s="529">
        <f>V4+V38+V54+V69+V120+V127+V136+V144+V111+V83+V97</f>
        <v>0</v>
      </c>
      <c r="W146" s="529">
        <f t="shared" ref="W146:AC146" si="96">W4+W38+W54+W69+W120+W127+W136+W144+W111+W83+W97</f>
        <v>0</v>
      </c>
      <c r="X146" s="529">
        <f t="shared" si="96"/>
        <v>0</v>
      </c>
      <c r="Y146" s="529">
        <f t="shared" si="96"/>
        <v>0</v>
      </c>
      <c r="Z146" s="529">
        <f t="shared" si="96"/>
        <v>0</v>
      </c>
      <c r="AA146" s="529">
        <f t="shared" si="96"/>
        <v>0</v>
      </c>
      <c r="AB146" s="529">
        <f t="shared" si="96"/>
        <v>0</v>
      </c>
      <c r="AC146" s="529">
        <f t="shared" si="96"/>
        <v>0</v>
      </c>
      <c r="AD146" s="574">
        <f>AD4+AD38+AD54+AD120</f>
        <v>0</v>
      </c>
      <c r="AE146" s="529">
        <f>AE4+AE38+AE54+AE69+AE120+AE127+AE136+AE144+AE111+AE83+AE97</f>
        <v>5472</v>
      </c>
      <c r="AF146" s="529">
        <f t="shared" ref="AF146:AJ146" si="97">AF4+AF38+AF54+AF69+AF120+AF127+AF136+AF144+AF111+AF83+AF97</f>
        <v>14</v>
      </c>
      <c r="AG146" s="529">
        <f t="shared" si="97"/>
        <v>0</v>
      </c>
      <c r="AH146" s="529">
        <f t="shared" si="97"/>
        <v>5486</v>
      </c>
      <c r="AI146" s="529">
        <f t="shared" si="97"/>
        <v>38</v>
      </c>
      <c r="AJ146" s="529">
        <f t="shared" si="97"/>
        <v>5524</v>
      </c>
    </row>
    <row r="147" spans="1:39" ht="20.25">
      <c r="A147" s="530" t="s">
        <v>152</v>
      </c>
      <c r="B147" s="531"/>
      <c r="C147" s="531"/>
      <c r="D147" s="532"/>
      <c r="E147" s="533">
        <f>E146/12</f>
        <v>0</v>
      </c>
      <c r="F147" s="534">
        <f t="shared" ref="F147:I147" si="98">F146/20</f>
        <v>0</v>
      </c>
      <c r="G147" s="534">
        <f t="shared" si="98"/>
        <v>0</v>
      </c>
      <c r="H147" s="534">
        <f>H146/12</f>
        <v>0</v>
      </c>
      <c r="I147" s="534">
        <f t="shared" si="98"/>
        <v>0</v>
      </c>
      <c r="J147" s="534">
        <f>J146/12</f>
        <v>0</v>
      </c>
      <c r="K147" s="586">
        <f>K146/20</f>
        <v>0</v>
      </c>
      <c r="L147" s="575"/>
      <c r="M147" s="576">
        <f>M146/16</f>
        <v>20</v>
      </c>
      <c r="N147" s="577">
        <f>N146/16</f>
        <v>0</v>
      </c>
      <c r="O147" s="577">
        <f t="shared" ref="O147:Q147" si="99">O146/16</f>
        <v>0</v>
      </c>
      <c r="P147" s="577">
        <f t="shared" si="99"/>
        <v>162</v>
      </c>
      <c r="Q147" s="577">
        <f t="shared" si="99"/>
        <v>68</v>
      </c>
      <c r="R147" s="577">
        <f>R146/16</f>
        <v>34</v>
      </c>
      <c r="S147" s="577">
        <f t="shared" ref="S147:T147" si="100">S146/20</f>
        <v>46.4</v>
      </c>
      <c r="T147" s="586">
        <f t="shared" si="100"/>
        <v>0</v>
      </c>
      <c r="U147" s="575"/>
      <c r="V147" s="576">
        <f>V146/20</f>
        <v>0</v>
      </c>
      <c r="W147" s="577">
        <f t="shared" ref="W147:AA147" si="101">W146/20</f>
        <v>0</v>
      </c>
      <c r="X147" s="577">
        <f t="shared" si="101"/>
        <v>0</v>
      </c>
      <c r="Y147" s="577">
        <f t="shared" si="101"/>
        <v>0</v>
      </c>
      <c r="Z147" s="577">
        <f t="shared" si="101"/>
        <v>0</v>
      </c>
      <c r="AA147" s="577">
        <f t="shared" si="101"/>
        <v>0</v>
      </c>
      <c r="AB147" s="577">
        <f t="shared" ref="AB147:AG147" si="102">AB146/20</f>
        <v>0</v>
      </c>
      <c r="AC147" s="586">
        <f t="shared" si="102"/>
        <v>0</v>
      </c>
      <c r="AD147" s="586">
        <f t="shared" si="102"/>
        <v>0</v>
      </c>
      <c r="AE147" s="586">
        <f>AE146/16</f>
        <v>342</v>
      </c>
      <c r="AF147" s="586">
        <f>AF146/16</f>
        <v>0.875</v>
      </c>
      <c r="AG147" s="586">
        <f t="shared" si="102"/>
        <v>0</v>
      </c>
      <c r="AH147" s="586">
        <f>AH146/16</f>
        <v>342.875</v>
      </c>
      <c r="AI147" s="586">
        <f>AI146/16</f>
        <v>2.375</v>
      </c>
      <c r="AJ147" s="601">
        <f>AJ146/12</f>
        <v>460.33333333333331</v>
      </c>
    </row>
    <row r="148" spans="1:39" s="1" customFormat="1" ht="21" customHeight="1">
      <c r="A148" s="3755" t="s">
        <v>147</v>
      </c>
      <c r="B148" s="3755"/>
      <c r="C148" s="3755"/>
      <c r="D148" s="3755"/>
      <c r="E148" s="3756"/>
      <c r="F148" s="3756"/>
      <c r="G148" s="3756"/>
      <c r="H148" s="3756"/>
      <c r="I148" s="3756"/>
      <c r="J148" s="3756"/>
      <c r="K148" s="3756"/>
      <c r="L148" s="3755"/>
      <c r="M148" s="3755"/>
      <c r="N148" s="3755"/>
      <c r="O148" s="3755"/>
      <c r="P148" s="3755"/>
      <c r="Q148" s="3755"/>
      <c r="R148" s="3755"/>
      <c r="S148" s="3755"/>
      <c r="T148" s="3755"/>
      <c r="U148" s="3755"/>
      <c r="V148" s="3755"/>
      <c r="W148" s="3755"/>
      <c r="X148" s="3755"/>
      <c r="Y148" s="3755"/>
      <c r="Z148" s="3755"/>
      <c r="AA148" s="3755"/>
      <c r="AB148" s="3755"/>
      <c r="AC148" s="3755"/>
      <c r="AD148" s="3755"/>
      <c r="AE148" s="3755"/>
      <c r="AF148" s="3755"/>
      <c r="AG148" s="3755"/>
      <c r="AH148" s="3755"/>
      <c r="AI148" s="3755"/>
      <c r="AJ148" s="3755"/>
    </row>
    <row r="149" spans="1:39" ht="24" thickBot="1">
      <c r="A149" s="3888" t="s">
        <v>4</v>
      </c>
      <c r="B149" s="3889"/>
      <c r="C149" s="3889"/>
      <c r="D149" s="3890"/>
      <c r="E149" s="3891" t="s">
        <v>16</v>
      </c>
      <c r="F149" s="3892"/>
      <c r="G149" s="3892"/>
      <c r="H149" s="3892"/>
      <c r="I149" s="3892"/>
      <c r="J149" s="3892"/>
      <c r="K149" s="3904"/>
      <c r="L149" s="336"/>
      <c r="M149" s="3893"/>
      <c r="N149" s="3894"/>
      <c r="O149" s="3894"/>
      <c r="P149" s="3894"/>
      <c r="Q149" s="3894"/>
      <c r="R149" s="3894"/>
      <c r="S149" s="3894"/>
      <c r="T149" s="3895"/>
      <c r="U149" s="364"/>
      <c r="V149" s="3893"/>
      <c r="W149" s="3894"/>
      <c r="X149" s="3894"/>
      <c r="Y149" s="3894"/>
      <c r="Z149" s="3894"/>
      <c r="AA149" s="3894"/>
      <c r="AB149" s="3894"/>
      <c r="AC149" s="3895"/>
      <c r="AD149" s="364"/>
      <c r="AE149" s="3893"/>
      <c r="AF149" s="3894"/>
      <c r="AG149" s="3894"/>
      <c r="AH149" s="3894"/>
      <c r="AI149" s="3894"/>
      <c r="AJ149" s="3895"/>
    </row>
    <row r="150" spans="1:39" s="276" customFormat="1" ht="30.75" thickBot="1">
      <c r="A150" s="535" t="s">
        <v>148</v>
      </c>
      <c r="B150" s="287" t="s">
        <v>68</v>
      </c>
      <c r="C150" s="536" t="s">
        <v>69</v>
      </c>
      <c r="D150" s="536" t="s">
        <v>70</v>
      </c>
      <c r="E150" s="743" t="s">
        <v>96</v>
      </c>
      <c r="F150" s="744" t="s">
        <v>250</v>
      </c>
      <c r="G150" s="744" t="s">
        <v>86</v>
      </c>
      <c r="H150" s="744" t="s">
        <v>85</v>
      </c>
      <c r="I150" s="744" t="s">
        <v>123</v>
      </c>
      <c r="J150" s="744" t="s">
        <v>149</v>
      </c>
      <c r="K150" s="783" t="s">
        <v>92</v>
      </c>
      <c r="L150" s="578"/>
      <c r="M150" s="743" t="s">
        <v>214</v>
      </c>
      <c r="N150" s="744" t="s">
        <v>92</v>
      </c>
      <c r="O150" s="744" t="s">
        <v>251</v>
      </c>
      <c r="P150" s="744" t="s">
        <v>53</v>
      </c>
      <c r="Q150" s="744" t="s">
        <v>94</v>
      </c>
      <c r="R150" s="744" t="s">
        <v>482</v>
      </c>
      <c r="S150" s="50" t="s">
        <v>525</v>
      </c>
      <c r="T150" s="805" t="s">
        <v>86</v>
      </c>
      <c r="U150" s="578"/>
      <c r="V150" s="743" t="s">
        <v>95</v>
      </c>
      <c r="W150" s="744"/>
      <c r="X150" s="744" t="s">
        <v>252</v>
      </c>
      <c r="Y150" s="744" t="s">
        <v>213</v>
      </c>
      <c r="Z150" s="102"/>
      <c r="AA150" s="744" t="s">
        <v>76</v>
      </c>
      <c r="AB150" s="799"/>
      <c r="AC150" s="783" t="s">
        <v>53</v>
      </c>
      <c r="AD150" s="589"/>
      <c r="AE150" s="590" t="s">
        <v>172</v>
      </c>
      <c r="AF150" s="591" t="s">
        <v>80</v>
      </c>
      <c r="AG150" s="602" t="s">
        <v>150</v>
      </c>
      <c r="AH150" s="603" t="s">
        <v>106</v>
      </c>
      <c r="AI150" s="602" t="s">
        <v>173</v>
      </c>
      <c r="AJ150" s="604" t="s">
        <v>108</v>
      </c>
    </row>
    <row r="151" spans="1:39" s="234" customFormat="1" ht="20.25">
      <c r="A151" s="537" t="s">
        <v>619</v>
      </c>
      <c r="B151" s="545"/>
      <c r="C151" s="539"/>
      <c r="D151" s="544">
        <v>45751</v>
      </c>
      <c r="E151" s="332"/>
      <c r="F151" s="333"/>
      <c r="G151" s="333"/>
      <c r="H151" s="334"/>
      <c r="I151" s="334"/>
      <c r="J151" s="333"/>
      <c r="K151" s="798"/>
      <c r="L151" s="361"/>
      <c r="M151" s="362"/>
      <c r="N151" s="334"/>
      <c r="O151" s="334"/>
      <c r="P151" s="334">
        <f>1*16</f>
        <v>16</v>
      </c>
      <c r="Q151" s="334"/>
      <c r="R151" s="334"/>
      <c r="S151" s="334"/>
      <c r="T151" s="360"/>
      <c r="U151" s="361"/>
      <c r="V151" s="362"/>
      <c r="W151" s="334"/>
      <c r="X151" s="334"/>
      <c r="Y151" s="334"/>
      <c r="Z151" s="334"/>
      <c r="AA151" s="334"/>
      <c r="AB151" s="334"/>
      <c r="AC151" s="383"/>
      <c r="AD151" s="361"/>
      <c r="AE151" s="419">
        <f t="shared" ref="AE151" si="103">SUM(E151:AC151)</f>
        <v>16</v>
      </c>
      <c r="AF151" s="420"/>
      <c r="AG151" s="419"/>
      <c r="AH151" s="420">
        <f>AE151+AF151+AG151</f>
        <v>16</v>
      </c>
      <c r="AI151" s="421"/>
      <c r="AJ151" s="422">
        <f>AH151+AI151</f>
        <v>16</v>
      </c>
    </row>
    <row r="152" spans="1:39" s="234" customFormat="1" ht="20.25">
      <c r="A152" s="537" t="s">
        <v>621</v>
      </c>
      <c r="B152" s="545"/>
      <c r="C152" s="539"/>
      <c r="D152" s="544">
        <v>46119</v>
      </c>
      <c r="E152" s="319"/>
      <c r="F152" s="320"/>
      <c r="G152" s="320"/>
      <c r="H152" s="321"/>
      <c r="I152" s="321"/>
      <c r="J152" s="320"/>
      <c r="K152" s="351"/>
      <c r="L152" s="352"/>
      <c r="M152" s="353"/>
      <c r="N152" s="321"/>
      <c r="O152" s="321"/>
      <c r="P152" s="321">
        <f>2*16</f>
        <v>32</v>
      </c>
      <c r="Q152" s="321"/>
      <c r="R152" s="321"/>
      <c r="S152" s="321"/>
      <c r="T152" s="354"/>
      <c r="U152" s="352"/>
      <c r="V152" s="353"/>
      <c r="W152" s="321"/>
      <c r="X152" s="321"/>
      <c r="Y152" s="321"/>
      <c r="Z152" s="321"/>
      <c r="AA152" s="321"/>
      <c r="AB152" s="321"/>
      <c r="AC152" s="380"/>
      <c r="AD152" s="352"/>
      <c r="AE152" s="408">
        <f t="shared" ref="AE152:AE188" si="104">SUM(E152:AC152)</f>
        <v>32</v>
      </c>
      <c r="AF152" s="409"/>
      <c r="AG152" s="408"/>
      <c r="AH152" s="409">
        <f t="shared" ref="AH152:AH219" si="105">AE152+AF152+AG152</f>
        <v>32</v>
      </c>
      <c r="AI152" s="410"/>
      <c r="AJ152" s="411">
        <f t="shared" ref="AJ152:AJ154" si="106">AH152+AI152</f>
        <v>32</v>
      </c>
    </row>
    <row r="153" spans="1:39" s="276" customFormat="1" ht="20.25">
      <c r="A153" s="537" t="s">
        <v>623</v>
      </c>
      <c r="B153" s="545"/>
      <c r="C153" s="539"/>
      <c r="D153" s="544">
        <v>46119</v>
      </c>
      <c r="E153" s="541"/>
      <c r="F153" s="542"/>
      <c r="G153" s="542"/>
      <c r="H153" s="543"/>
      <c r="I153" s="543"/>
      <c r="J153" s="542"/>
      <c r="K153" s="579"/>
      <c r="L153" s="580"/>
      <c r="M153" s="581">
        <f>2*16</f>
        <v>32</v>
      </c>
      <c r="N153" s="543"/>
      <c r="O153" s="543"/>
      <c r="P153" s="543">
        <f>8*16</f>
        <v>128</v>
      </c>
      <c r="Q153" s="543"/>
      <c r="R153" s="543"/>
      <c r="S153" s="543"/>
      <c r="T153" s="587"/>
      <c r="U153" s="580"/>
      <c r="V153" s="581"/>
      <c r="W153" s="543"/>
      <c r="X153" s="543"/>
      <c r="Y153" s="543"/>
      <c r="Z153" s="543"/>
      <c r="AA153" s="543"/>
      <c r="AB153" s="543"/>
      <c r="AC153" s="592"/>
      <c r="AD153" s="580"/>
      <c r="AE153" s="593">
        <f t="shared" si="104"/>
        <v>160</v>
      </c>
      <c r="AF153" s="594"/>
      <c r="AG153" s="593"/>
      <c r="AH153" s="594">
        <f t="shared" si="105"/>
        <v>160</v>
      </c>
      <c r="AI153" s="605"/>
      <c r="AJ153" s="606">
        <f t="shared" si="106"/>
        <v>160</v>
      </c>
    </row>
    <row r="154" spans="1:39" s="276" customFormat="1" ht="20.25">
      <c r="A154" s="537" t="s">
        <v>627</v>
      </c>
      <c r="B154" s="545"/>
      <c r="C154" s="539"/>
      <c r="D154" s="544">
        <v>46122</v>
      </c>
      <c r="E154" s="546"/>
      <c r="F154" s="542"/>
      <c r="G154" s="542"/>
      <c r="H154" s="543"/>
      <c r="I154" s="543"/>
      <c r="J154" s="542"/>
      <c r="K154" s="579"/>
      <c r="L154" s="580"/>
      <c r="M154" s="581"/>
      <c r="N154" s="543"/>
      <c r="O154" s="543"/>
      <c r="P154" s="543"/>
      <c r="Q154" s="543"/>
      <c r="R154" s="543"/>
      <c r="S154" s="543"/>
      <c r="T154" s="587"/>
      <c r="U154" s="580"/>
      <c r="V154" s="581"/>
      <c r="W154" s="543"/>
      <c r="X154" s="543"/>
      <c r="Y154" s="543"/>
      <c r="Z154" s="543"/>
      <c r="AA154" s="543"/>
      <c r="AB154" s="543"/>
      <c r="AC154" s="592">
        <f>36*20</f>
        <v>720</v>
      </c>
      <c r="AD154" s="580"/>
      <c r="AE154" s="593">
        <f t="shared" si="104"/>
        <v>720</v>
      </c>
      <c r="AF154" s="594"/>
      <c r="AG154" s="593"/>
      <c r="AH154" s="594">
        <f t="shared" si="105"/>
        <v>720</v>
      </c>
      <c r="AI154" s="605"/>
      <c r="AJ154" s="606">
        <f t="shared" si="106"/>
        <v>720</v>
      </c>
    </row>
    <row r="155" spans="1:39" s="234" customFormat="1" ht="20.25">
      <c r="A155" s="537" t="s">
        <v>628</v>
      </c>
      <c r="B155" s="548"/>
      <c r="C155" s="549"/>
      <c r="D155" s="544">
        <v>46122</v>
      </c>
      <c r="E155" s="319"/>
      <c r="F155" s="320"/>
      <c r="G155" s="320"/>
      <c r="H155" s="321"/>
      <c r="I155" s="321"/>
      <c r="J155" s="320"/>
      <c r="K155" s="351"/>
      <c r="L155" s="352"/>
      <c r="M155" s="353"/>
      <c r="N155" s="321"/>
      <c r="O155" s="321"/>
      <c r="P155" s="582">
        <f>3*16</f>
        <v>48</v>
      </c>
      <c r="Q155" s="321"/>
      <c r="R155" s="321"/>
      <c r="S155" s="321"/>
      <c r="T155" s="354"/>
      <c r="U155" s="352"/>
      <c r="V155" s="353"/>
      <c r="W155" s="321"/>
      <c r="X155" s="321"/>
      <c r="Y155" s="321"/>
      <c r="Z155" s="321"/>
      <c r="AA155" s="321"/>
      <c r="AB155" s="321"/>
      <c r="AC155" s="380"/>
      <c r="AD155" s="352"/>
      <c r="AE155" s="408">
        <f t="shared" si="104"/>
        <v>48</v>
      </c>
      <c r="AF155" s="409"/>
      <c r="AG155" s="408"/>
      <c r="AH155" s="409">
        <f t="shared" si="105"/>
        <v>48</v>
      </c>
      <c r="AI155" s="410"/>
      <c r="AJ155" s="411">
        <f t="shared" ref="AJ155:AJ219" si="107">AH155+AI155</f>
        <v>48</v>
      </c>
    </row>
    <row r="156" spans="1:39" s="234" customFormat="1" ht="20.25">
      <c r="A156" s="537" t="s">
        <v>631</v>
      </c>
      <c r="B156" s="548"/>
      <c r="C156" s="549"/>
      <c r="D156" s="544">
        <v>46122</v>
      </c>
      <c r="E156" s="319"/>
      <c r="F156" s="320"/>
      <c r="G156" s="320"/>
      <c r="H156" s="321"/>
      <c r="I156" s="321"/>
      <c r="J156" s="320"/>
      <c r="K156" s="351"/>
      <c r="L156" s="352"/>
      <c r="M156" s="353"/>
      <c r="N156" s="321"/>
      <c r="O156" s="321"/>
      <c r="P156" s="582">
        <f>3*16</f>
        <v>48</v>
      </c>
      <c r="Q156" s="321"/>
      <c r="R156" s="321">
        <f>4*16</f>
        <v>64</v>
      </c>
      <c r="S156" s="321"/>
      <c r="T156" s="363"/>
      <c r="U156" s="352"/>
      <c r="V156" s="353"/>
      <c r="W156" s="321"/>
      <c r="X156" s="321"/>
      <c r="Y156" s="321"/>
      <c r="Z156" s="321"/>
      <c r="AA156" s="321"/>
      <c r="AB156" s="321"/>
      <c r="AC156" s="380">
        <f>4*20</f>
        <v>80</v>
      </c>
      <c r="AD156" s="352"/>
      <c r="AE156" s="408">
        <f t="shared" ref="AE156" si="108">SUM(E156:AC156)</f>
        <v>192</v>
      </c>
      <c r="AF156" s="409"/>
      <c r="AG156" s="408"/>
      <c r="AH156" s="409">
        <f t="shared" ref="AH156" si="109">AE156+AF156+AG156</f>
        <v>192</v>
      </c>
      <c r="AI156" s="410"/>
      <c r="AJ156" s="411">
        <f t="shared" ref="AJ156" si="110">AH156+AI156</f>
        <v>192</v>
      </c>
    </row>
    <row r="157" spans="1:39" s="234" customFormat="1" ht="20.25">
      <c r="A157" s="537" t="s">
        <v>633</v>
      </c>
      <c r="B157" s="548"/>
      <c r="C157" s="549"/>
      <c r="D157" s="544">
        <v>46124</v>
      </c>
      <c r="E157" s="319"/>
      <c r="F157" s="320"/>
      <c r="G157" s="320"/>
      <c r="H157" s="321"/>
      <c r="I157" s="321"/>
      <c r="J157" s="320"/>
      <c r="K157" s="351">
        <f>1*20</f>
        <v>20</v>
      </c>
      <c r="L157" s="352"/>
      <c r="M157" s="353"/>
      <c r="N157" s="321"/>
      <c r="O157" s="321"/>
      <c r="P157" s="582">
        <f>2*16</f>
        <v>32</v>
      </c>
      <c r="Q157" s="321">
        <f>3*16</f>
        <v>48</v>
      </c>
      <c r="R157" s="321"/>
      <c r="S157" s="321"/>
      <c r="T157" s="354"/>
      <c r="U157" s="352"/>
      <c r="V157" s="353"/>
      <c r="W157" s="321"/>
      <c r="X157" s="321"/>
      <c r="Y157" s="321"/>
      <c r="Z157" s="321"/>
      <c r="AA157" s="321"/>
      <c r="AB157" s="321"/>
      <c r="AC157" s="380"/>
      <c r="AD157" s="352"/>
      <c r="AE157" s="408">
        <f t="shared" si="104"/>
        <v>100</v>
      </c>
      <c r="AF157" s="409"/>
      <c r="AG157" s="408"/>
      <c r="AH157" s="409">
        <f t="shared" si="105"/>
        <v>100</v>
      </c>
      <c r="AI157" s="410"/>
      <c r="AJ157" s="411">
        <f t="shared" si="107"/>
        <v>100</v>
      </c>
    </row>
    <row r="158" spans="1:39" s="276" customFormat="1" ht="20.25">
      <c r="A158" s="537" t="s">
        <v>635</v>
      </c>
      <c r="B158" s="548"/>
      <c r="C158" s="549"/>
      <c r="D158" s="544">
        <v>46125</v>
      </c>
      <c r="E158" s="556"/>
      <c r="F158" s="557"/>
      <c r="G158" s="557"/>
      <c r="H158" s="558"/>
      <c r="I158" s="558"/>
      <c r="J158" s="557"/>
      <c r="K158" s="583"/>
      <c r="L158" s="584"/>
      <c r="M158" s="585"/>
      <c r="N158" s="558"/>
      <c r="O158" s="558"/>
      <c r="P158" s="558">
        <f>1*16</f>
        <v>16</v>
      </c>
      <c r="Q158" s="558">
        <f>2*16</f>
        <v>32</v>
      </c>
      <c r="R158" s="558"/>
      <c r="S158" s="558"/>
      <c r="T158" s="588"/>
      <c r="U158" s="584"/>
      <c r="V158" s="585"/>
      <c r="W158" s="558"/>
      <c r="X158" s="558"/>
      <c r="Y158" s="558"/>
      <c r="Z158" s="558"/>
      <c r="AA158" s="558"/>
      <c r="AB158" s="558"/>
      <c r="AC158" s="595"/>
      <c r="AD158" s="584"/>
      <c r="AE158" s="596">
        <f t="shared" si="104"/>
        <v>48</v>
      </c>
      <c r="AF158" s="597"/>
      <c r="AG158" s="596"/>
      <c r="AH158" s="597">
        <f t="shared" si="105"/>
        <v>48</v>
      </c>
      <c r="AI158" s="607"/>
      <c r="AJ158" s="606">
        <f t="shared" si="107"/>
        <v>48</v>
      </c>
    </row>
    <row r="159" spans="1:39" s="234" customFormat="1" ht="20.25">
      <c r="A159" s="551" t="s">
        <v>636</v>
      </c>
      <c r="B159" s="550"/>
      <c r="C159" s="539"/>
      <c r="D159" s="544">
        <v>46125</v>
      </c>
      <c r="E159" s="319"/>
      <c r="F159" s="320"/>
      <c r="G159" s="320"/>
      <c r="H159" s="321"/>
      <c r="I159" s="321"/>
      <c r="J159" s="320"/>
      <c r="K159" s="351"/>
      <c r="L159" s="352"/>
      <c r="M159" s="353"/>
      <c r="N159" s="321"/>
      <c r="O159" s="321"/>
      <c r="P159" s="582"/>
      <c r="Q159" s="321"/>
      <c r="R159" s="321"/>
      <c r="S159" s="321"/>
      <c r="T159" s="354"/>
      <c r="U159" s="352"/>
      <c r="V159" s="353"/>
      <c r="W159" s="321"/>
      <c r="X159" s="321"/>
      <c r="Y159" s="321"/>
      <c r="Z159" s="321"/>
      <c r="AA159" s="321"/>
      <c r="AB159" s="321"/>
      <c r="AC159" s="380">
        <f>8*20</f>
        <v>160</v>
      </c>
      <c r="AD159" s="352"/>
      <c r="AE159" s="408">
        <f t="shared" ref="AE159" si="111">SUM(E159:AC159)</f>
        <v>160</v>
      </c>
      <c r="AF159" s="409"/>
      <c r="AG159" s="408"/>
      <c r="AH159" s="409">
        <f t="shared" ref="AH159" si="112">AE159+AF159+AG159</f>
        <v>160</v>
      </c>
      <c r="AI159" s="410"/>
      <c r="AJ159" s="411">
        <f t="shared" ref="AJ159" si="113">AH159+AI159</f>
        <v>160</v>
      </c>
    </row>
    <row r="160" spans="1:39" s="234" customFormat="1" ht="20.25">
      <c r="A160" s="551" t="s">
        <v>623</v>
      </c>
      <c r="B160" s="552"/>
      <c r="C160" s="553"/>
      <c r="D160" s="555">
        <v>46126</v>
      </c>
      <c r="E160" s="319"/>
      <c r="F160" s="320"/>
      <c r="G160" s="320"/>
      <c r="H160" s="321"/>
      <c r="I160" s="321"/>
      <c r="J160" s="320"/>
      <c r="K160" s="351"/>
      <c r="L160" s="352"/>
      <c r="M160" s="353"/>
      <c r="N160" s="321"/>
      <c r="O160" s="321"/>
      <c r="P160" s="582"/>
      <c r="Q160" s="321"/>
      <c r="R160" s="321">
        <f>1*16</f>
        <v>16</v>
      </c>
      <c r="S160" s="321"/>
      <c r="T160" s="354"/>
      <c r="U160" s="352"/>
      <c r="V160" s="353"/>
      <c r="W160" s="321"/>
      <c r="X160" s="321"/>
      <c r="Y160" s="321"/>
      <c r="Z160" s="321"/>
      <c r="AA160" s="321"/>
      <c r="AB160" s="321"/>
      <c r="AC160" s="380"/>
      <c r="AD160" s="352"/>
      <c r="AE160" s="408">
        <f t="shared" si="104"/>
        <v>16</v>
      </c>
      <c r="AF160" s="409"/>
      <c r="AG160" s="408"/>
      <c r="AH160" s="409">
        <f t="shared" si="105"/>
        <v>16</v>
      </c>
      <c r="AI160" s="410"/>
      <c r="AJ160" s="411">
        <f t="shared" si="107"/>
        <v>16</v>
      </c>
    </row>
    <row r="161" spans="1:36" s="276" customFormat="1" ht="20.25">
      <c r="A161" s="537" t="s">
        <v>637</v>
      </c>
      <c r="B161" s="563"/>
      <c r="C161" s="553"/>
      <c r="D161" s="544">
        <v>46126</v>
      </c>
      <c r="E161" s="319"/>
      <c r="F161" s="320"/>
      <c r="G161" s="320"/>
      <c r="H161" s="321"/>
      <c r="I161" s="321"/>
      <c r="J161" s="320"/>
      <c r="K161" s="351"/>
      <c r="L161" s="352"/>
      <c r="M161" s="353"/>
      <c r="N161" s="321"/>
      <c r="O161" s="321"/>
      <c r="P161" s="582"/>
      <c r="Q161" s="321"/>
      <c r="R161" s="321"/>
      <c r="S161" s="321"/>
      <c r="T161" s="354"/>
      <c r="U161" s="352"/>
      <c r="V161" s="353">
        <f>5*20</f>
        <v>100</v>
      </c>
      <c r="W161" s="321"/>
      <c r="X161" s="321"/>
      <c r="Y161" s="321"/>
      <c r="Z161" s="321"/>
      <c r="AA161" s="321"/>
      <c r="AB161" s="321"/>
      <c r="AC161" s="380">
        <f>4*20</f>
        <v>80</v>
      </c>
      <c r="AD161" s="352"/>
      <c r="AE161" s="408">
        <f t="shared" si="104"/>
        <v>180</v>
      </c>
      <c r="AF161" s="409"/>
      <c r="AG161" s="408"/>
      <c r="AH161" s="409">
        <f t="shared" si="105"/>
        <v>180</v>
      </c>
      <c r="AI161" s="410"/>
      <c r="AJ161" s="411">
        <f t="shared" si="107"/>
        <v>180</v>
      </c>
    </row>
    <row r="162" spans="1:36" s="234" customFormat="1" ht="20.25">
      <c r="A162" s="561" t="s">
        <v>619</v>
      </c>
      <c r="B162" s="545"/>
      <c r="C162" s="539"/>
      <c r="D162" s="544">
        <v>46130</v>
      </c>
      <c r="E162" s="541"/>
      <c r="F162" s="542"/>
      <c r="G162" s="542"/>
      <c r="H162" s="543"/>
      <c r="I162" s="543"/>
      <c r="J162" s="542"/>
      <c r="K162" s="579"/>
      <c r="L162" s="580"/>
      <c r="M162" s="581"/>
      <c r="N162" s="543"/>
      <c r="O162" s="543"/>
      <c r="P162" s="558">
        <f>1*16</f>
        <v>16</v>
      </c>
      <c r="Q162" s="543">
        <f>1*16</f>
        <v>16</v>
      </c>
      <c r="R162" s="543"/>
      <c r="S162" s="543"/>
      <c r="T162" s="587"/>
      <c r="U162" s="580"/>
      <c r="V162" s="581"/>
      <c r="W162" s="543"/>
      <c r="X162" s="543"/>
      <c r="Y162" s="543"/>
      <c r="Z162" s="543"/>
      <c r="AA162" s="543"/>
      <c r="AB162" s="543"/>
      <c r="AC162" s="592"/>
      <c r="AD162" s="580"/>
      <c r="AE162" s="593">
        <f t="shared" si="104"/>
        <v>32</v>
      </c>
      <c r="AF162" s="594"/>
      <c r="AG162" s="593"/>
      <c r="AH162" s="594">
        <f t="shared" si="105"/>
        <v>32</v>
      </c>
      <c r="AI162" s="605"/>
      <c r="AJ162" s="606">
        <f t="shared" si="107"/>
        <v>32</v>
      </c>
    </row>
    <row r="163" spans="1:36" s="276" customFormat="1" ht="20.25">
      <c r="A163" s="547" t="s">
        <v>647</v>
      </c>
      <c r="B163" s="550"/>
      <c r="C163" s="539"/>
      <c r="D163" s="544">
        <v>46130</v>
      </c>
      <c r="E163" s="319"/>
      <c r="F163" s="320"/>
      <c r="G163" s="320"/>
      <c r="H163" s="321"/>
      <c r="I163" s="321"/>
      <c r="J163" s="320"/>
      <c r="K163" s="351"/>
      <c r="L163" s="352"/>
      <c r="M163" s="353"/>
      <c r="N163" s="321"/>
      <c r="O163" s="321"/>
      <c r="P163" s="582">
        <f>1*16</f>
        <v>16</v>
      </c>
      <c r="Q163" s="321"/>
      <c r="R163" s="321">
        <f>1*16</f>
        <v>16</v>
      </c>
      <c r="S163" s="321">
        <f>1*16</f>
        <v>16</v>
      </c>
      <c r="T163" s="354"/>
      <c r="U163" s="352"/>
      <c r="V163" s="353">
        <f>3*20</f>
        <v>60</v>
      </c>
      <c r="W163" s="321"/>
      <c r="X163" s="321"/>
      <c r="Y163" s="321"/>
      <c r="Z163" s="321"/>
      <c r="AA163" s="321"/>
      <c r="AB163" s="321"/>
      <c r="AC163" s="380">
        <f>2*20</f>
        <v>40</v>
      </c>
      <c r="AD163" s="352"/>
      <c r="AE163" s="408">
        <f t="shared" si="104"/>
        <v>148</v>
      </c>
      <c r="AF163" s="409"/>
      <c r="AG163" s="408"/>
      <c r="AH163" s="409">
        <f t="shared" si="105"/>
        <v>148</v>
      </c>
      <c r="AI163" s="410"/>
      <c r="AJ163" s="411">
        <f t="shared" si="107"/>
        <v>148</v>
      </c>
    </row>
    <row r="164" spans="1:36" s="234" customFormat="1" ht="20.25">
      <c r="A164" s="547" t="s">
        <v>653</v>
      </c>
      <c r="B164" s="545"/>
      <c r="C164" s="539"/>
      <c r="D164" s="544">
        <v>46130</v>
      </c>
      <c r="E164" s="541"/>
      <c r="F164" s="542"/>
      <c r="G164" s="542"/>
      <c r="H164" s="543"/>
      <c r="I164" s="543"/>
      <c r="J164" s="542"/>
      <c r="K164" s="579"/>
      <c r="L164" s="580"/>
      <c r="M164" s="581"/>
      <c r="N164" s="543"/>
      <c r="O164" s="543"/>
      <c r="P164" s="558"/>
      <c r="Q164" s="543"/>
      <c r="R164" s="543"/>
      <c r="S164" s="543"/>
      <c r="T164" s="587"/>
      <c r="U164" s="580"/>
      <c r="V164" s="581"/>
      <c r="W164" s="543"/>
      <c r="X164" s="543"/>
      <c r="Y164" s="543"/>
      <c r="Z164" s="543"/>
      <c r="AA164" s="543"/>
      <c r="AB164" s="543"/>
      <c r="AC164" s="592">
        <f>2*20</f>
        <v>40</v>
      </c>
      <c r="AD164" s="580"/>
      <c r="AE164" s="593">
        <f t="shared" si="104"/>
        <v>40</v>
      </c>
      <c r="AF164" s="594"/>
      <c r="AG164" s="593"/>
      <c r="AH164" s="594">
        <f t="shared" si="105"/>
        <v>40</v>
      </c>
      <c r="AI164" s="605"/>
      <c r="AJ164" s="606">
        <f t="shared" si="107"/>
        <v>40</v>
      </c>
    </row>
    <row r="165" spans="1:36" s="234" customFormat="1" ht="20.25">
      <c r="A165" s="547" t="s">
        <v>655</v>
      </c>
      <c r="B165" s="552"/>
      <c r="C165" s="553"/>
      <c r="D165" s="544">
        <v>46131</v>
      </c>
      <c r="E165" s="319"/>
      <c r="F165" s="320"/>
      <c r="G165" s="320"/>
      <c r="H165" s="321"/>
      <c r="I165" s="321"/>
      <c r="J165" s="320"/>
      <c r="K165" s="351"/>
      <c r="L165" s="352"/>
      <c r="M165" s="353"/>
      <c r="N165" s="321"/>
      <c r="O165" s="321"/>
      <c r="P165" s="321">
        <f>2*16</f>
        <v>32</v>
      </c>
      <c r="Q165" s="321">
        <f>2*16</f>
        <v>32</v>
      </c>
      <c r="R165" s="321"/>
      <c r="S165" s="321"/>
      <c r="T165" s="354"/>
      <c r="U165" s="352"/>
      <c r="V165" s="353"/>
      <c r="W165" s="321"/>
      <c r="X165" s="321">
        <f>4*20</f>
        <v>80</v>
      </c>
      <c r="Y165" s="321"/>
      <c r="Z165" s="321"/>
      <c r="AA165" s="321"/>
      <c r="AB165" s="321"/>
      <c r="AC165" s="380">
        <f>2*20</f>
        <v>40</v>
      </c>
      <c r="AD165" s="352"/>
      <c r="AE165" s="408">
        <f t="shared" ref="AE165:AE166" si="114">SUM(E165:AC165)</f>
        <v>184</v>
      </c>
      <c r="AF165" s="409"/>
      <c r="AG165" s="408"/>
      <c r="AH165" s="409">
        <f t="shared" ref="AH165:AH166" si="115">AE165+AF165+AG165</f>
        <v>184</v>
      </c>
      <c r="AI165" s="410"/>
      <c r="AJ165" s="411">
        <f t="shared" ref="AJ165:AJ166" si="116">AH165+AI165</f>
        <v>184</v>
      </c>
    </row>
    <row r="166" spans="1:36" s="276" customFormat="1" ht="20.25">
      <c r="A166" s="547" t="s">
        <v>634</v>
      </c>
      <c r="B166" s="552"/>
      <c r="C166" s="553"/>
      <c r="D166" s="544">
        <v>46131</v>
      </c>
      <c r="E166" s="319"/>
      <c r="F166" s="320"/>
      <c r="G166" s="320"/>
      <c r="H166" s="321"/>
      <c r="I166" s="321"/>
      <c r="J166" s="320"/>
      <c r="K166" s="351"/>
      <c r="L166" s="352"/>
      <c r="M166" s="353"/>
      <c r="N166" s="321"/>
      <c r="O166" s="321"/>
      <c r="P166" s="321">
        <f>2*16</f>
        <v>32</v>
      </c>
      <c r="Q166" s="321">
        <f>2*16</f>
        <v>32</v>
      </c>
      <c r="R166" s="321"/>
      <c r="S166" s="321"/>
      <c r="T166" s="354"/>
      <c r="U166" s="352"/>
      <c r="V166" s="353"/>
      <c r="W166" s="321"/>
      <c r="X166" s="321"/>
      <c r="Y166" s="321"/>
      <c r="Z166" s="321"/>
      <c r="AA166" s="321"/>
      <c r="AB166" s="321"/>
      <c r="AC166" s="380"/>
      <c r="AD166" s="352"/>
      <c r="AE166" s="408">
        <f t="shared" si="114"/>
        <v>64</v>
      </c>
      <c r="AF166" s="409"/>
      <c r="AG166" s="408"/>
      <c r="AH166" s="409">
        <f t="shared" si="115"/>
        <v>64</v>
      </c>
      <c r="AI166" s="410"/>
      <c r="AJ166" s="411">
        <f t="shared" si="116"/>
        <v>64</v>
      </c>
    </row>
    <row r="167" spans="1:36" s="234" customFormat="1" ht="20.25">
      <c r="A167" s="547" t="s">
        <v>659</v>
      </c>
      <c r="B167" s="796"/>
      <c r="C167" s="797"/>
      <c r="D167" s="544">
        <v>46132</v>
      </c>
      <c r="E167" s="319"/>
      <c r="F167" s="320"/>
      <c r="G167" s="320"/>
      <c r="H167" s="321"/>
      <c r="I167" s="321"/>
      <c r="J167" s="320"/>
      <c r="K167" s="351"/>
      <c r="L167" s="352"/>
      <c r="M167" s="353"/>
      <c r="N167" s="321"/>
      <c r="O167" s="321"/>
      <c r="P167" s="321"/>
      <c r="Q167" s="321"/>
      <c r="R167" s="321"/>
      <c r="S167" s="321"/>
      <c r="T167" s="354"/>
      <c r="U167" s="352"/>
      <c r="V167" s="353">
        <f>2*20</f>
        <v>40</v>
      </c>
      <c r="W167" s="321"/>
      <c r="X167" s="321"/>
      <c r="Y167" s="321">
        <f>3*20</f>
        <v>60</v>
      </c>
      <c r="Z167" s="321"/>
      <c r="AA167" s="321"/>
      <c r="AB167" s="321"/>
      <c r="AC167" s="380"/>
      <c r="AD167" s="352"/>
      <c r="AE167" s="408">
        <f t="shared" si="104"/>
        <v>100</v>
      </c>
      <c r="AF167" s="409"/>
      <c r="AG167" s="408"/>
      <c r="AH167" s="409">
        <f t="shared" si="105"/>
        <v>100</v>
      </c>
      <c r="AI167" s="410"/>
      <c r="AJ167" s="411">
        <f t="shared" si="107"/>
        <v>100</v>
      </c>
    </row>
    <row r="168" spans="1:36" s="276" customFormat="1" ht="20.25">
      <c r="A168" s="547" t="s">
        <v>660</v>
      </c>
      <c r="B168" s="548"/>
      <c r="C168" s="549"/>
      <c r="D168" s="544">
        <v>46133</v>
      </c>
      <c r="E168" s="319"/>
      <c r="F168" s="320"/>
      <c r="G168" s="320"/>
      <c r="H168" s="321"/>
      <c r="I168" s="321"/>
      <c r="J168" s="320"/>
      <c r="K168" s="351"/>
      <c r="L168" s="352"/>
      <c r="M168" s="353"/>
      <c r="N168" s="321"/>
      <c r="O168" s="321"/>
      <c r="P168" s="321"/>
      <c r="Q168" s="321"/>
      <c r="R168" s="321"/>
      <c r="S168" s="321"/>
      <c r="T168" s="354"/>
      <c r="U168" s="352"/>
      <c r="V168" s="353">
        <f>2*20</f>
        <v>40</v>
      </c>
      <c r="W168" s="321"/>
      <c r="X168" s="321">
        <f>2*20</f>
        <v>40</v>
      </c>
      <c r="Y168" s="321"/>
      <c r="Z168" s="321"/>
      <c r="AA168" s="321"/>
      <c r="AB168" s="321"/>
      <c r="AC168" s="380">
        <f>1*20</f>
        <v>20</v>
      </c>
      <c r="AD168" s="352"/>
      <c r="AE168" s="408">
        <f t="shared" si="104"/>
        <v>100</v>
      </c>
      <c r="AF168" s="409"/>
      <c r="AG168" s="408"/>
      <c r="AH168" s="409">
        <f t="shared" si="105"/>
        <v>100</v>
      </c>
      <c r="AI168" s="410"/>
      <c r="AJ168" s="411">
        <f t="shared" si="107"/>
        <v>100</v>
      </c>
    </row>
    <row r="169" spans="1:36" s="234" customFormat="1" ht="20.25">
      <c r="A169" s="547" t="s">
        <v>661</v>
      </c>
      <c r="B169" s="548"/>
      <c r="C169" s="549"/>
      <c r="D169" s="544">
        <v>46133</v>
      </c>
      <c r="E169" s="541"/>
      <c r="F169" s="542"/>
      <c r="G169" s="542"/>
      <c r="H169" s="543"/>
      <c r="I169" s="543"/>
      <c r="J169" s="542"/>
      <c r="K169" s="579"/>
      <c r="L169" s="580"/>
      <c r="M169" s="581"/>
      <c r="N169" s="543"/>
      <c r="O169" s="543"/>
      <c r="P169" s="543">
        <f>3*16</f>
        <v>48</v>
      </c>
      <c r="Q169" s="543"/>
      <c r="R169" s="543"/>
      <c r="S169" s="543"/>
      <c r="T169" s="587"/>
      <c r="U169" s="580"/>
      <c r="V169" s="581"/>
      <c r="W169" s="543"/>
      <c r="X169" s="543"/>
      <c r="Y169" s="543"/>
      <c r="Z169" s="543"/>
      <c r="AA169" s="543"/>
      <c r="AB169" s="543"/>
      <c r="AC169" s="592"/>
      <c r="AD169" s="580"/>
      <c r="AE169" s="593">
        <f t="shared" ref="AE169" si="117">SUM(E169:AC169)</f>
        <v>48</v>
      </c>
      <c r="AF169" s="594"/>
      <c r="AG169" s="593"/>
      <c r="AH169" s="594">
        <f t="shared" si="105"/>
        <v>48</v>
      </c>
      <c r="AI169" s="605"/>
      <c r="AJ169" s="606">
        <f t="shared" si="107"/>
        <v>48</v>
      </c>
    </row>
    <row r="170" spans="1:36" s="276" customFormat="1" ht="20.25">
      <c r="A170" s="551" t="s">
        <v>623</v>
      </c>
      <c r="B170" s="552"/>
      <c r="C170" s="553"/>
      <c r="D170" s="544">
        <v>46133</v>
      </c>
      <c r="E170" s="319"/>
      <c r="F170" s="320"/>
      <c r="G170" s="320"/>
      <c r="H170" s="321"/>
      <c r="I170" s="321"/>
      <c r="J170" s="320"/>
      <c r="K170" s="351"/>
      <c r="L170" s="352"/>
      <c r="M170" s="353"/>
      <c r="N170" s="321"/>
      <c r="O170" s="321"/>
      <c r="P170" s="321">
        <f>5*16</f>
        <v>80</v>
      </c>
      <c r="Q170" s="321">
        <f>4*16</f>
        <v>64</v>
      </c>
      <c r="R170" s="321"/>
      <c r="S170" s="321">
        <f>2*16</f>
        <v>32</v>
      </c>
      <c r="T170" s="354"/>
      <c r="U170" s="352"/>
      <c r="V170" s="353">
        <f>3*20</f>
        <v>60</v>
      </c>
      <c r="W170" s="321"/>
      <c r="X170" s="321"/>
      <c r="Y170" s="321"/>
      <c r="Z170" s="321"/>
      <c r="AA170" s="321"/>
      <c r="AB170" s="321"/>
      <c r="AC170" s="380">
        <f>4*20</f>
        <v>80</v>
      </c>
      <c r="AD170" s="352"/>
      <c r="AE170" s="408">
        <f t="shared" si="104"/>
        <v>316</v>
      </c>
      <c r="AF170" s="409"/>
      <c r="AG170" s="408"/>
      <c r="AH170" s="409">
        <f t="shared" si="105"/>
        <v>316</v>
      </c>
      <c r="AI170" s="410"/>
      <c r="AJ170" s="411">
        <f t="shared" si="107"/>
        <v>316</v>
      </c>
    </row>
    <row r="171" spans="1:36" s="276" customFormat="1" ht="20.25">
      <c r="A171" s="551" t="s">
        <v>634</v>
      </c>
      <c r="B171" s="552"/>
      <c r="C171" s="553"/>
      <c r="D171" s="544">
        <v>46133</v>
      </c>
      <c r="E171" s="541"/>
      <c r="F171" s="542"/>
      <c r="G171" s="542"/>
      <c r="H171" s="543"/>
      <c r="I171" s="543"/>
      <c r="J171" s="542"/>
      <c r="K171" s="579"/>
      <c r="L171" s="580"/>
      <c r="M171" s="581"/>
      <c r="N171" s="543"/>
      <c r="O171" s="543"/>
      <c r="P171" s="543">
        <f>2*16</f>
        <v>32</v>
      </c>
      <c r="Q171" s="543">
        <f>2*16</f>
        <v>32</v>
      </c>
      <c r="R171" s="543"/>
      <c r="S171" s="543"/>
      <c r="T171" s="587"/>
      <c r="U171" s="580"/>
      <c r="V171" s="581"/>
      <c r="W171" s="543"/>
      <c r="X171" s="543"/>
      <c r="Y171" s="543"/>
      <c r="Z171" s="543"/>
      <c r="AA171" s="543"/>
      <c r="AB171" s="543"/>
      <c r="AC171" s="592"/>
      <c r="AD171" s="580"/>
      <c r="AE171" s="593">
        <f t="shared" si="104"/>
        <v>64</v>
      </c>
      <c r="AF171" s="594"/>
      <c r="AG171" s="593"/>
      <c r="AH171" s="594">
        <f t="shared" si="105"/>
        <v>64</v>
      </c>
      <c r="AI171" s="605"/>
      <c r="AJ171" s="411">
        <f t="shared" si="107"/>
        <v>64</v>
      </c>
    </row>
    <row r="172" spans="1:36" s="276" customFormat="1" ht="20.25">
      <c r="A172" s="537" t="s">
        <v>637</v>
      </c>
      <c r="B172" s="552"/>
      <c r="C172" s="553"/>
      <c r="D172" s="3369">
        <v>46134</v>
      </c>
      <c r="E172" s="794"/>
      <c r="F172" s="320"/>
      <c r="G172" s="320"/>
      <c r="H172" s="321"/>
      <c r="I172" s="321"/>
      <c r="J172" s="320"/>
      <c r="K172" s="351"/>
      <c r="L172" s="352"/>
      <c r="M172" s="353"/>
      <c r="N172" s="321"/>
      <c r="O172" s="321"/>
      <c r="P172" s="321">
        <f>5*16</f>
        <v>80</v>
      </c>
      <c r="Q172" s="321">
        <f>5*16</f>
        <v>80</v>
      </c>
      <c r="R172" s="321"/>
      <c r="S172" s="321"/>
      <c r="T172" s="354"/>
      <c r="U172" s="352"/>
      <c r="V172" s="353"/>
      <c r="W172" s="321"/>
      <c r="X172" s="321"/>
      <c r="Y172" s="321"/>
      <c r="Z172" s="321"/>
      <c r="AA172" s="321"/>
      <c r="AB172" s="321"/>
      <c r="AC172" s="380"/>
      <c r="AD172" s="352"/>
      <c r="AE172" s="408">
        <f t="shared" si="104"/>
        <v>160</v>
      </c>
      <c r="AF172" s="409"/>
      <c r="AG172" s="408"/>
      <c r="AH172" s="409">
        <f t="shared" si="105"/>
        <v>160</v>
      </c>
      <c r="AI172" s="410"/>
      <c r="AJ172" s="411">
        <f t="shared" si="107"/>
        <v>160</v>
      </c>
    </row>
    <row r="173" spans="1:36" s="234" customFormat="1" ht="20.25">
      <c r="A173" s="537" t="s">
        <v>668</v>
      </c>
      <c r="B173" s="552"/>
      <c r="C173" s="553"/>
      <c r="D173" s="2787">
        <v>46135</v>
      </c>
      <c r="E173" s="541"/>
      <c r="F173" s="542"/>
      <c r="G173" s="542"/>
      <c r="H173" s="543"/>
      <c r="I173" s="543"/>
      <c r="J173" s="542"/>
      <c r="K173" s="579"/>
      <c r="L173" s="580"/>
      <c r="M173" s="581"/>
      <c r="N173" s="543"/>
      <c r="O173" s="543"/>
      <c r="P173" s="543"/>
      <c r="Q173" s="543"/>
      <c r="R173" s="543"/>
      <c r="S173" s="543"/>
      <c r="T173" s="587"/>
      <c r="U173" s="580"/>
      <c r="V173" s="581"/>
      <c r="W173" s="543"/>
      <c r="X173" s="543">
        <f>2*20</f>
        <v>40</v>
      </c>
      <c r="Y173" s="543"/>
      <c r="Z173" s="543"/>
      <c r="AA173" s="543"/>
      <c r="AB173" s="543"/>
      <c r="AC173" s="592">
        <f>2*20</f>
        <v>40</v>
      </c>
      <c r="AD173" s="580"/>
      <c r="AE173" s="593">
        <f t="shared" si="104"/>
        <v>80</v>
      </c>
      <c r="AF173" s="594"/>
      <c r="AG173" s="593"/>
      <c r="AH173" s="594">
        <f t="shared" si="105"/>
        <v>80</v>
      </c>
      <c r="AI173" s="605"/>
      <c r="AJ173" s="606">
        <f t="shared" si="107"/>
        <v>80</v>
      </c>
    </row>
    <row r="174" spans="1:36" s="276" customFormat="1" ht="22.5" customHeight="1">
      <c r="A174" s="547" t="s">
        <v>675</v>
      </c>
      <c r="B174" s="552"/>
      <c r="C174" s="553"/>
      <c r="D174" s="544">
        <v>46137</v>
      </c>
      <c r="E174" s="541"/>
      <c r="F174" s="542"/>
      <c r="G174" s="542"/>
      <c r="H174" s="543"/>
      <c r="I174" s="543"/>
      <c r="J174" s="542"/>
      <c r="K174" s="579"/>
      <c r="L174" s="580"/>
      <c r="M174" s="581"/>
      <c r="N174" s="543"/>
      <c r="O174" s="543"/>
      <c r="P174" s="543"/>
      <c r="Q174" s="543"/>
      <c r="R174" s="543"/>
      <c r="S174" s="543"/>
      <c r="T174" s="587"/>
      <c r="U174" s="580"/>
      <c r="V174" s="581">
        <f>10*20</f>
        <v>200</v>
      </c>
      <c r="W174" s="543"/>
      <c r="X174" s="543">
        <f>11*20</f>
        <v>220</v>
      </c>
      <c r="Y174" s="543"/>
      <c r="Z174" s="543"/>
      <c r="AA174" s="543"/>
      <c r="AB174" s="543"/>
      <c r="AC174" s="592">
        <f>9*20</f>
        <v>180</v>
      </c>
      <c r="AD174" s="580"/>
      <c r="AE174" s="593">
        <f t="shared" si="104"/>
        <v>600</v>
      </c>
      <c r="AF174" s="594"/>
      <c r="AG174" s="593"/>
      <c r="AH174" s="594">
        <f t="shared" si="105"/>
        <v>600</v>
      </c>
      <c r="AI174" s="605"/>
      <c r="AJ174" s="606">
        <f t="shared" si="107"/>
        <v>600</v>
      </c>
    </row>
    <row r="175" spans="1:36" s="234" customFormat="1" ht="21" thickBot="1">
      <c r="A175" s="551" t="s">
        <v>634</v>
      </c>
      <c r="B175" s="552"/>
      <c r="C175" s="553"/>
      <c r="D175" s="544">
        <v>46138</v>
      </c>
      <c r="E175" s="541"/>
      <c r="F175" s="542"/>
      <c r="G175" s="542"/>
      <c r="H175" s="543"/>
      <c r="I175" s="543"/>
      <c r="J175" s="542"/>
      <c r="K175" s="579"/>
      <c r="L175" s="580"/>
      <c r="M175" s="581"/>
      <c r="N175" s="543"/>
      <c r="O175" s="543"/>
      <c r="P175" s="543"/>
      <c r="Q175" s="543"/>
      <c r="R175" s="543"/>
      <c r="S175" s="543"/>
      <c r="T175" s="587"/>
      <c r="U175" s="580"/>
      <c r="V175" s="581"/>
      <c r="W175" s="543"/>
      <c r="X175" s="543">
        <f>1*20</f>
        <v>20</v>
      </c>
      <c r="Y175" s="543"/>
      <c r="Z175" s="543"/>
      <c r="AA175" s="543"/>
      <c r="AB175" s="543"/>
      <c r="AC175" s="592"/>
      <c r="AD175" s="580"/>
      <c r="AE175" s="593">
        <f t="shared" si="104"/>
        <v>20</v>
      </c>
      <c r="AF175" s="594"/>
      <c r="AG175" s="593"/>
      <c r="AH175" s="594">
        <f t="shared" si="105"/>
        <v>20</v>
      </c>
      <c r="AI175" s="605"/>
      <c r="AJ175" s="606">
        <f t="shared" si="107"/>
        <v>20</v>
      </c>
    </row>
    <row r="176" spans="1:36" s="234" customFormat="1" ht="21" thickBot="1">
      <c r="A176" s="547" t="s">
        <v>676</v>
      </c>
      <c r="B176" s="552"/>
      <c r="C176" s="553"/>
      <c r="D176" s="2569">
        <v>46138</v>
      </c>
      <c r="E176" s="319"/>
      <c r="F176" s="320">
        <f>2*20</f>
        <v>40</v>
      </c>
      <c r="G176" s="320">
        <f>1*20</f>
        <v>20</v>
      </c>
      <c r="H176" s="321"/>
      <c r="I176" s="321"/>
      <c r="J176" s="320"/>
      <c r="K176" s="351"/>
      <c r="L176" s="352"/>
      <c r="M176" s="353"/>
      <c r="N176" s="321"/>
      <c r="O176" s="321"/>
      <c r="P176" s="321"/>
      <c r="Q176" s="321">
        <f>2*16</f>
        <v>32</v>
      </c>
      <c r="R176" s="321"/>
      <c r="S176" s="321"/>
      <c r="T176" s="354"/>
      <c r="U176" s="352"/>
      <c r="V176" s="353"/>
      <c r="W176" s="321"/>
      <c r="X176" s="321"/>
      <c r="Y176" s="321"/>
      <c r="Z176" s="321"/>
      <c r="AA176" s="321"/>
      <c r="AB176" s="321"/>
      <c r="AC176" s="380"/>
      <c r="AD176" s="352"/>
      <c r="AE176" s="408">
        <f t="shared" si="104"/>
        <v>92</v>
      </c>
      <c r="AF176" s="409"/>
      <c r="AG176" s="408"/>
      <c r="AH176" s="409">
        <f t="shared" si="105"/>
        <v>92</v>
      </c>
      <c r="AI176" s="410"/>
      <c r="AJ176" s="411">
        <f t="shared" si="107"/>
        <v>92</v>
      </c>
    </row>
    <row r="177" spans="1:38" s="276" customFormat="1" ht="26.25">
      <c r="A177" s="547" t="s">
        <v>677</v>
      </c>
      <c r="B177" s="552"/>
      <c r="C177" s="553"/>
      <c r="D177" s="559">
        <v>46138</v>
      </c>
      <c r="E177" s="319"/>
      <c r="F177" s="320">
        <f>5*20</f>
        <v>100</v>
      </c>
      <c r="G177" s="320"/>
      <c r="H177" s="321"/>
      <c r="I177" s="321"/>
      <c r="J177" s="320"/>
      <c r="K177" s="351">
        <f>5*20</f>
        <v>100</v>
      </c>
      <c r="L177" s="580"/>
      <c r="M177" s="581"/>
      <c r="N177" s="543"/>
      <c r="O177" s="543"/>
      <c r="P177" s="543"/>
      <c r="Q177" s="543"/>
      <c r="R177" s="543"/>
      <c r="S177" s="543"/>
      <c r="T177" s="587"/>
      <c r="U177" s="580"/>
      <c r="V177" s="581">
        <f>4*20</f>
        <v>80</v>
      </c>
      <c r="W177" s="543"/>
      <c r="X177" s="543">
        <f>2*20</f>
        <v>40</v>
      </c>
      <c r="Y177" s="543"/>
      <c r="Z177" s="598"/>
      <c r="AA177" s="543"/>
      <c r="AB177" s="543"/>
      <c r="AC177" s="592">
        <f>4*20</f>
        <v>80</v>
      </c>
      <c r="AD177" s="580"/>
      <c r="AE177" s="593">
        <f t="shared" si="104"/>
        <v>400</v>
      </c>
      <c r="AF177" s="594"/>
      <c r="AG177" s="593"/>
      <c r="AH177" s="594">
        <f t="shared" si="105"/>
        <v>400</v>
      </c>
      <c r="AI177" s="605"/>
      <c r="AJ177" s="606">
        <f t="shared" si="107"/>
        <v>400</v>
      </c>
    </row>
    <row r="178" spans="1:38" s="276" customFormat="1" ht="20.25">
      <c r="A178" s="551" t="s">
        <v>634</v>
      </c>
      <c r="B178" s="552"/>
      <c r="C178" s="553"/>
      <c r="D178" s="544">
        <v>46138</v>
      </c>
      <c r="E178" s="319"/>
      <c r="F178" s="320"/>
      <c r="G178" s="320"/>
      <c r="H178" s="321"/>
      <c r="I178" s="321"/>
      <c r="J178" s="320"/>
      <c r="K178" s="351"/>
      <c r="L178" s="352"/>
      <c r="M178" s="353"/>
      <c r="N178" s="321"/>
      <c r="O178" s="321"/>
      <c r="P178" s="321">
        <f>4*16</f>
        <v>64</v>
      </c>
      <c r="Q178" s="321">
        <f>2*16</f>
        <v>32</v>
      </c>
      <c r="R178" s="321"/>
      <c r="S178" s="321"/>
      <c r="T178" s="354"/>
      <c r="U178" s="352"/>
      <c r="V178" s="353"/>
      <c r="W178" s="321"/>
      <c r="X178" s="321"/>
      <c r="Y178" s="321"/>
      <c r="Z178" s="543"/>
      <c r="AA178" s="321"/>
      <c r="AB178" s="321"/>
      <c r="AC178" s="380"/>
      <c r="AD178" s="352"/>
      <c r="AE178" s="408">
        <f t="shared" si="104"/>
        <v>96</v>
      </c>
      <c r="AF178" s="409"/>
      <c r="AG178" s="408"/>
      <c r="AH178" s="409">
        <f t="shared" si="105"/>
        <v>96</v>
      </c>
      <c r="AI178" s="410"/>
      <c r="AJ178" s="411">
        <f t="shared" si="107"/>
        <v>96</v>
      </c>
    </row>
    <row r="179" spans="1:38" s="234" customFormat="1" ht="20.25">
      <c r="A179" s="537" t="s">
        <v>680</v>
      </c>
      <c r="B179" s="552"/>
      <c r="C179" s="553"/>
      <c r="D179" s="544">
        <v>46139</v>
      </c>
      <c r="E179" s="541"/>
      <c r="F179" s="542"/>
      <c r="G179" s="542"/>
      <c r="H179" s="543"/>
      <c r="I179" s="543"/>
      <c r="J179" s="542"/>
      <c r="K179" s="579"/>
      <c r="L179" s="352"/>
      <c r="M179" s="353"/>
      <c r="N179" s="321"/>
      <c r="O179" s="321"/>
      <c r="P179" s="321">
        <f>6*16</f>
        <v>96</v>
      </c>
      <c r="Q179" s="321">
        <f>4*16</f>
        <v>64</v>
      </c>
      <c r="R179" s="321"/>
      <c r="S179" s="321"/>
      <c r="T179" s="354"/>
      <c r="U179" s="352"/>
      <c r="V179" s="353"/>
      <c r="W179" s="321"/>
      <c r="X179" s="321"/>
      <c r="Y179" s="321"/>
      <c r="Z179" s="321"/>
      <c r="AA179" s="321"/>
      <c r="AB179" s="321"/>
      <c r="AC179" s="380"/>
      <c r="AD179" s="352"/>
      <c r="AE179" s="408">
        <f t="shared" si="104"/>
        <v>160</v>
      </c>
      <c r="AF179" s="409"/>
      <c r="AG179" s="408"/>
      <c r="AH179" s="409">
        <f t="shared" si="105"/>
        <v>160</v>
      </c>
      <c r="AI179" s="410"/>
      <c r="AJ179" s="411">
        <f t="shared" si="107"/>
        <v>160</v>
      </c>
    </row>
    <row r="180" spans="1:38" s="276" customFormat="1" ht="20.25">
      <c r="A180" s="537" t="s">
        <v>684</v>
      </c>
      <c r="B180" s="563"/>
      <c r="C180" s="553"/>
      <c r="D180" s="544">
        <v>46140</v>
      </c>
      <c r="E180" s="541"/>
      <c r="F180" s="542">
        <f>1*20</f>
        <v>20</v>
      </c>
      <c r="G180" s="542"/>
      <c r="H180" s="543"/>
      <c r="I180" s="543"/>
      <c r="J180" s="542"/>
      <c r="K180" s="579">
        <f>1*20</f>
        <v>20</v>
      </c>
      <c r="L180" s="580"/>
      <c r="M180" s="581"/>
      <c r="N180" s="543"/>
      <c r="O180" s="543"/>
      <c r="P180" s="543"/>
      <c r="Q180" s="543"/>
      <c r="R180" s="543">
        <f>1*16</f>
        <v>16</v>
      </c>
      <c r="S180" s="543"/>
      <c r="T180" s="587"/>
      <c r="U180" s="580"/>
      <c r="V180" s="581"/>
      <c r="W180" s="543"/>
      <c r="X180" s="543">
        <f>1*20</f>
        <v>20</v>
      </c>
      <c r="Y180" s="543"/>
      <c r="Z180" s="543"/>
      <c r="AA180" s="543"/>
      <c r="AB180" s="543"/>
      <c r="AC180" s="592">
        <f>1*20</f>
        <v>20</v>
      </c>
      <c r="AD180" s="580"/>
      <c r="AE180" s="593">
        <f t="shared" si="104"/>
        <v>96</v>
      </c>
      <c r="AF180" s="594"/>
      <c r="AG180" s="593"/>
      <c r="AH180" s="594">
        <f t="shared" si="105"/>
        <v>96</v>
      </c>
      <c r="AI180" s="605"/>
      <c r="AJ180" s="606">
        <f t="shared" si="107"/>
        <v>96</v>
      </c>
    </row>
    <row r="181" spans="1:38" s="234" customFormat="1" ht="20.25">
      <c r="A181" s="537" t="s">
        <v>635</v>
      </c>
      <c r="B181" s="552"/>
      <c r="C181" s="553"/>
      <c r="D181" s="544">
        <v>46141</v>
      </c>
      <c r="E181" s="541"/>
      <c r="F181" s="542"/>
      <c r="G181" s="542"/>
      <c r="H181" s="543"/>
      <c r="I181" s="543"/>
      <c r="J181" s="542"/>
      <c r="K181" s="579"/>
      <c r="L181" s="580"/>
      <c r="M181" s="581"/>
      <c r="N181" s="543"/>
      <c r="O181" s="543"/>
      <c r="P181" s="543">
        <f>2*16</f>
        <v>32</v>
      </c>
      <c r="Q181" s="543">
        <f>2*16</f>
        <v>32</v>
      </c>
      <c r="R181" s="543"/>
      <c r="S181" s="543"/>
      <c r="T181" s="587"/>
      <c r="U181" s="580"/>
      <c r="V181" s="581"/>
      <c r="W181" s="543"/>
      <c r="X181" s="543">
        <f>3*20</f>
        <v>60</v>
      </c>
      <c r="Y181" s="543"/>
      <c r="Z181" s="543"/>
      <c r="AA181" s="543"/>
      <c r="AB181" s="543"/>
      <c r="AC181" s="592">
        <f>1*20</f>
        <v>20</v>
      </c>
      <c r="AD181" s="580"/>
      <c r="AE181" s="593">
        <f t="shared" si="104"/>
        <v>144</v>
      </c>
      <c r="AF181" s="594"/>
      <c r="AG181" s="593"/>
      <c r="AH181" s="594">
        <f t="shared" si="105"/>
        <v>144</v>
      </c>
      <c r="AI181" s="605"/>
      <c r="AJ181" s="606">
        <f t="shared" si="107"/>
        <v>144</v>
      </c>
    </row>
    <row r="182" spans="1:38" s="234" customFormat="1" ht="20.25">
      <c r="A182" s="547" t="s">
        <v>686</v>
      </c>
      <c r="B182" s="552"/>
      <c r="C182" s="553"/>
      <c r="D182" s="555">
        <v>46141</v>
      </c>
      <c r="E182" s="319"/>
      <c r="F182" s="320"/>
      <c r="G182" s="320"/>
      <c r="H182" s="321"/>
      <c r="I182" s="321"/>
      <c r="J182" s="320"/>
      <c r="K182" s="351"/>
      <c r="L182" s="352"/>
      <c r="M182" s="353"/>
      <c r="N182" s="321"/>
      <c r="O182" s="321"/>
      <c r="P182" s="321">
        <f>3*16</f>
        <v>48</v>
      </c>
      <c r="Q182" s="321">
        <f>3*16</f>
        <v>48</v>
      </c>
      <c r="R182" s="321">
        <f>1*16</f>
        <v>16</v>
      </c>
      <c r="S182" s="321"/>
      <c r="T182" s="354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104"/>
        <v>112</v>
      </c>
      <c r="AF182" s="409"/>
      <c r="AG182" s="408"/>
      <c r="AH182" s="409">
        <f t="shared" si="105"/>
        <v>112</v>
      </c>
      <c r="AI182" s="410"/>
      <c r="AJ182" s="411">
        <f t="shared" si="107"/>
        <v>112</v>
      </c>
    </row>
    <row r="183" spans="1:38" s="276" customFormat="1" ht="20.25">
      <c r="A183" s="537"/>
      <c r="B183" s="552"/>
      <c r="C183" s="553"/>
      <c r="D183" s="555"/>
      <c r="E183" s="541"/>
      <c r="F183" s="542"/>
      <c r="G183" s="542"/>
      <c r="H183" s="543"/>
      <c r="I183" s="543"/>
      <c r="J183" s="542"/>
      <c r="K183" s="579"/>
      <c r="L183" s="580"/>
      <c r="M183" s="581"/>
      <c r="N183" s="543"/>
      <c r="O183" s="543"/>
      <c r="P183" s="543"/>
      <c r="Q183" s="543"/>
      <c r="R183" s="543"/>
      <c r="S183" s="543"/>
      <c r="T183" s="587"/>
      <c r="U183" s="580"/>
      <c r="V183" s="581"/>
      <c r="W183" s="543"/>
      <c r="X183" s="543"/>
      <c r="Y183" s="543"/>
      <c r="Z183" s="543"/>
      <c r="AA183" s="543"/>
      <c r="AB183" s="543"/>
      <c r="AC183" s="592"/>
      <c r="AD183" s="580"/>
      <c r="AE183" s="593">
        <f t="shared" si="104"/>
        <v>0</v>
      </c>
      <c r="AF183" s="594"/>
      <c r="AG183" s="593"/>
      <c r="AH183" s="594">
        <f t="shared" si="105"/>
        <v>0</v>
      </c>
      <c r="AI183" s="605"/>
      <c r="AJ183" s="606">
        <f t="shared" si="107"/>
        <v>0</v>
      </c>
    </row>
    <row r="184" spans="1:38" s="276" customFormat="1" ht="20.25">
      <c r="A184" s="537"/>
      <c r="B184" s="563"/>
      <c r="C184" s="553"/>
      <c r="D184" s="544"/>
      <c r="E184" s="319"/>
      <c r="F184" s="320"/>
      <c r="G184" s="320"/>
      <c r="H184" s="321"/>
      <c r="I184" s="321"/>
      <c r="J184" s="320"/>
      <c r="K184" s="351"/>
      <c r="L184" s="352"/>
      <c r="M184" s="353"/>
      <c r="N184" s="321"/>
      <c r="O184" s="321"/>
      <c r="P184" s="321"/>
      <c r="Q184" s="321"/>
      <c r="R184" s="321"/>
      <c r="S184" s="321"/>
      <c r="T184" s="354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104"/>
        <v>0</v>
      </c>
      <c r="AF184" s="409"/>
      <c r="AG184" s="408"/>
      <c r="AH184" s="409">
        <f t="shared" si="105"/>
        <v>0</v>
      </c>
      <c r="AI184" s="410"/>
      <c r="AJ184" s="411">
        <f t="shared" si="107"/>
        <v>0</v>
      </c>
    </row>
    <row r="185" spans="1:38" s="234" customFormat="1" ht="20.25">
      <c r="A185" s="537"/>
      <c r="B185" s="552"/>
      <c r="C185" s="553"/>
      <c r="D185" s="544"/>
      <c r="E185" s="319"/>
      <c r="F185" s="320"/>
      <c r="G185" s="320"/>
      <c r="H185" s="321"/>
      <c r="I185" s="321"/>
      <c r="J185" s="320"/>
      <c r="K185" s="351"/>
      <c r="L185" s="352"/>
      <c r="M185" s="353"/>
      <c r="N185" s="321"/>
      <c r="O185" s="321"/>
      <c r="P185" s="321"/>
      <c r="Q185" s="321"/>
      <c r="R185" s="321"/>
      <c r="S185" s="321"/>
      <c r="T185" s="354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si="104"/>
        <v>0</v>
      </c>
      <c r="AF185" s="409"/>
      <c r="AG185" s="408"/>
      <c r="AH185" s="409">
        <f t="shared" si="105"/>
        <v>0</v>
      </c>
      <c r="AI185" s="410"/>
      <c r="AJ185" s="411">
        <f t="shared" si="107"/>
        <v>0</v>
      </c>
      <c r="AL185" s="234" t="s">
        <v>478</v>
      </c>
    </row>
    <row r="186" spans="1:38" s="276" customFormat="1" ht="20.25">
      <c r="A186" s="537"/>
      <c r="B186" s="538"/>
      <c r="C186" s="3079"/>
      <c r="D186" s="544"/>
      <c r="E186" s="541"/>
      <c r="F186" s="542"/>
      <c r="G186" s="542"/>
      <c r="H186" s="543"/>
      <c r="I186" s="543"/>
      <c r="J186" s="542"/>
      <c r="K186" s="579"/>
      <c r="L186" s="580"/>
      <c r="M186" s="581"/>
      <c r="N186" s="543"/>
      <c r="O186" s="543"/>
      <c r="P186" s="543"/>
      <c r="Q186" s="543"/>
      <c r="R186" s="543"/>
      <c r="S186" s="543"/>
      <c r="T186" s="587"/>
      <c r="U186" s="580"/>
      <c r="V186" s="581"/>
      <c r="W186" s="543"/>
      <c r="X186" s="543"/>
      <c r="Y186" s="543"/>
      <c r="Z186" s="543"/>
      <c r="AA186" s="543"/>
      <c r="AB186" s="543"/>
      <c r="AC186" s="592"/>
      <c r="AD186" s="580"/>
      <c r="AE186" s="593">
        <f t="shared" si="104"/>
        <v>0</v>
      </c>
      <c r="AF186" s="594"/>
      <c r="AG186" s="593"/>
      <c r="AH186" s="594">
        <f t="shared" si="105"/>
        <v>0</v>
      </c>
      <c r="AI186" s="605"/>
      <c r="AJ186" s="606">
        <f t="shared" si="107"/>
        <v>0</v>
      </c>
    </row>
    <row r="187" spans="1:38" s="276" customFormat="1" ht="20.25">
      <c r="A187" s="537"/>
      <c r="B187" s="552"/>
      <c r="C187"/>
      <c r="D187" s="544"/>
      <c r="E187" s="541"/>
      <c r="F187" s="542"/>
      <c r="G187" s="542"/>
      <c r="H187" s="543"/>
      <c r="I187" s="543"/>
      <c r="J187" s="542"/>
      <c r="K187" s="579"/>
      <c r="L187" s="580"/>
      <c r="M187" s="581"/>
      <c r="N187" s="543"/>
      <c r="O187" s="543"/>
      <c r="P187" s="543"/>
      <c r="Q187" s="543"/>
      <c r="R187" s="543"/>
      <c r="S187" s="543"/>
      <c r="T187" s="587"/>
      <c r="U187" s="580"/>
      <c r="V187" s="581"/>
      <c r="W187" s="543"/>
      <c r="X187" s="543"/>
      <c r="Y187" s="543"/>
      <c r="Z187" s="543"/>
      <c r="AA187" s="543"/>
      <c r="AB187" s="543"/>
      <c r="AC187" s="592"/>
      <c r="AD187" s="580"/>
      <c r="AE187" s="593">
        <f t="shared" si="104"/>
        <v>0</v>
      </c>
      <c r="AF187" s="594"/>
      <c r="AG187" s="593"/>
      <c r="AH187" s="594">
        <f t="shared" si="105"/>
        <v>0</v>
      </c>
      <c r="AI187" s="605"/>
      <c r="AJ187" s="606">
        <f t="shared" si="107"/>
        <v>0</v>
      </c>
    </row>
    <row r="188" spans="1:38" s="234" customFormat="1" ht="20.25">
      <c r="A188" s="537"/>
      <c r="B188" s="552"/>
      <c r="C188" s="553"/>
      <c r="D188" s="544"/>
      <c r="E188" s="319"/>
      <c r="F188" s="320"/>
      <c r="G188" s="320"/>
      <c r="H188" s="321"/>
      <c r="I188" s="321"/>
      <c r="J188" s="320"/>
      <c r="K188" s="351"/>
      <c r="L188" s="352"/>
      <c r="M188" s="353"/>
      <c r="N188" s="321"/>
      <c r="O188" s="321"/>
      <c r="P188" s="321"/>
      <c r="Q188" s="321"/>
      <c r="R188" s="321"/>
      <c r="S188" s="321"/>
      <c r="T188" s="354"/>
      <c r="U188" s="352"/>
      <c r="V188" s="353"/>
      <c r="W188" s="321"/>
      <c r="X188" s="321"/>
      <c r="Y188" s="321"/>
      <c r="Z188" s="321"/>
      <c r="AA188" s="321"/>
      <c r="AB188" s="321"/>
      <c r="AC188" s="380"/>
      <c r="AD188" s="352"/>
      <c r="AE188" s="593">
        <f t="shared" si="104"/>
        <v>0</v>
      </c>
      <c r="AF188" s="409"/>
      <c r="AG188" s="408"/>
      <c r="AH188" s="409">
        <f t="shared" si="105"/>
        <v>0</v>
      </c>
      <c r="AI188" s="410"/>
      <c r="AJ188" s="411">
        <f t="shared" si="107"/>
        <v>0</v>
      </c>
    </row>
    <row r="189" spans="1:38" s="276" customFormat="1" ht="20.25">
      <c r="A189" s="537"/>
      <c r="B189" s="538"/>
      <c r="C189" s="539"/>
      <c r="D189" s="544"/>
      <c r="E189" s="541"/>
      <c r="F189" s="542"/>
      <c r="G189" s="542"/>
      <c r="H189" s="543"/>
      <c r="I189" s="543"/>
      <c r="J189" s="542"/>
      <c r="K189" s="579"/>
      <c r="L189" s="580"/>
      <c r="M189" s="581"/>
      <c r="N189" s="543"/>
      <c r="O189" s="543"/>
      <c r="P189" s="543"/>
      <c r="Q189" s="543"/>
      <c r="R189" s="543"/>
      <c r="S189" s="543"/>
      <c r="T189" s="587"/>
      <c r="U189" s="580"/>
      <c r="V189" s="581"/>
      <c r="W189" s="543"/>
      <c r="X189" s="543"/>
      <c r="Y189" s="543"/>
      <c r="Z189" s="543"/>
      <c r="AA189" s="543"/>
      <c r="AB189" s="543"/>
      <c r="AC189" s="592"/>
      <c r="AD189" s="580"/>
      <c r="AE189" s="593">
        <f t="shared" ref="AE189:AE190" si="118">SUM(E189:AC189)</f>
        <v>0</v>
      </c>
      <c r="AF189" s="594"/>
      <c r="AG189" s="593"/>
      <c r="AH189" s="594">
        <f t="shared" ref="AH189" si="119">AE189+AF189+AG189</f>
        <v>0</v>
      </c>
      <c r="AI189" s="605"/>
      <c r="AJ189" s="606">
        <f t="shared" ref="AJ189" si="120">AH189+AI189</f>
        <v>0</v>
      </c>
    </row>
    <row r="190" spans="1:38" s="276" customFormat="1" ht="20.25">
      <c r="A190" s="537"/>
      <c r="B190" s="550"/>
      <c r="C190" s="549"/>
      <c r="D190" s="544"/>
      <c r="E190" s="541"/>
      <c r="F190" s="542"/>
      <c r="G190" s="542"/>
      <c r="H190" s="543"/>
      <c r="I190" s="543"/>
      <c r="J190" s="542"/>
      <c r="K190" s="579"/>
      <c r="L190" s="580"/>
      <c r="M190" s="581"/>
      <c r="N190" s="543"/>
      <c r="O190" s="543"/>
      <c r="P190" s="543"/>
      <c r="Q190" s="543"/>
      <c r="R190" s="543"/>
      <c r="S190" s="543"/>
      <c r="T190" s="587"/>
      <c r="U190" s="580"/>
      <c r="V190" s="581"/>
      <c r="W190" s="543"/>
      <c r="X190" s="543"/>
      <c r="Y190" s="543"/>
      <c r="Z190" s="543"/>
      <c r="AA190" s="543"/>
      <c r="AB190" s="543"/>
      <c r="AC190" s="592"/>
      <c r="AD190" s="580"/>
      <c r="AE190" s="593">
        <f t="shared" si="118"/>
        <v>0</v>
      </c>
      <c r="AF190" s="594"/>
      <c r="AG190" s="593"/>
      <c r="AH190" s="594">
        <f t="shared" si="105"/>
        <v>0</v>
      </c>
      <c r="AI190" s="605"/>
      <c r="AJ190" s="606">
        <f t="shared" si="107"/>
        <v>0</v>
      </c>
    </row>
    <row r="191" spans="1:38" s="234" customFormat="1" ht="20.25">
      <c r="A191" s="551"/>
      <c r="B191" s="1112"/>
      <c r="C191" s="1113"/>
      <c r="D191" s="1114"/>
      <c r="E191" s="319"/>
      <c r="F191" s="320"/>
      <c r="G191" s="320"/>
      <c r="H191" s="321"/>
      <c r="I191" s="321"/>
      <c r="J191" s="320"/>
      <c r="K191" s="351"/>
      <c r="L191" s="352"/>
      <c r="M191" s="353"/>
      <c r="N191" s="321"/>
      <c r="O191" s="321"/>
      <c r="P191" s="321"/>
      <c r="Q191" s="321"/>
      <c r="R191" s="321"/>
      <c r="S191" s="321"/>
      <c r="T191" s="354"/>
      <c r="U191" s="352"/>
      <c r="V191" s="353"/>
      <c r="W191" s="321"/>
      <c r="X191" s="321"/>
      <c r="Y191" s="321"/>
      <c r="Z191" s="321"/>
      <c r="AA191" s="321"/>
      <c r="AB191" s="321"/>
      <c r="AC191" s="380"/>
      <c r="AD191" s="352"/>
      <c r="AE191" s="408">
        <f t="shared" ref="AE191:AE219" si="121">SUM(E191:AC191)</f>
        <v>0</v>
      </c>
      <c r="AF191" s="409"/>
      <c r="AG191" s="408"/>
      <c r="AH191" s="409">
        <f t="shared" si="105"/>
        <v>0</v>
      </c>
      <c r="AI191" s="410"/>
      <c r="AJ191" s="411">
        <f t="shared" si="107"/>
        <v>0</v>
      </c>
    </row>
    <row r="192" spans="1:38" s="234" customFormat="1" ht="20.25">
      <c r="A192" s="537"/>
      <c r="B192" s="552"/>
      <c r="C192" s="553"/>
      <c r="D192" s="544"/>
      <c r="E192" s="541"/>
      <c r="F192" s="542"/>
      <c r="G192" s="542"/>
      <c r="H192" s="543"/>
      <c r="I192" s="543"/>
      <c r="J192" s="542"/>
      <c r="K192" s="579"/>
      <c r="L192" s="580"/>
      <c r="M192" s="581"/>
      <c r="N192" s="543"/>
      <c r="O192" s="543"/>
      <c r="P192" s="543"/>
      <c r="Q192" s="543"/>
      <c r="R192" s="543"/>
      <c r="S192" s="543"/>
      <c r="T192" s="587"/>
      <c r="U192" s="580"/>
      <c r="V192" s="581"/>
      <c r="W192" s="543"/>
      <c r="X192" s="543"/>
      <c r="Y192" s="543"/>
      <c r="Z192" s="543"/>
      <c r="AA192" s="543"/>
      <c r="AB192" s="543"/>
      <c r="AC192" s="592"/>
      <c r="AD192" s="580"/>
      <c r="AE192" s="593">
        <f t="shared" si="121"/>
        <v>0</v>
      </c>
      <c r="AF192" s="594"/>
      <c r="AG192" s="593"/>
      <c r="AH192" s="594">
        <f t="shared" si="105"/>
        <v>0</v>
      </c>
      <c r="AI192" s="605"/>
      <c r="AJ192" s="606">
        <f t="shared" si="107"/>
        <v>0</v>
      </c>
    </row>
    <row r="193" spans="1:36" s="276" customFormat="1" ht="20.25">
      <c r="A193" s="537"/>
      <c r="B193" s="552"/>
      <c r="C193" s="553"/>
      <c r="D193" s="544"/>
      <c r="E193" s="541"/>
      <c r="F193" s="542"/>
      <c r="G193" s="542"/>
      <c r="H193" s="543"/>
      <c r="I193" s="543"/>
      <c r="J193" s="542"/>
      <c r="K193" s="579"/>
      <c r="L193" s="580"/>
      <c r="M193" s="581"/>
      <c r="N193" s="543"/>
      <c r="O193" s="543"/>
      <c r="P193" s="543"/>
      <c r="Q193" s="543"/>
      <c r="R193" s="543"/>
      <c r="S193" s="543"/>
      <c r="T193" s="587"/>
      <c r="U193" s="580"/>
      <c r="V193" s="581"/>
      <c r="W193" s="543"/>
      <c r="X193" s="543"/>
      <c r="Y193" s="543"/>
      <c r="Z193" s="543"/>
      <c r="AA193" s="543"/>
      <c r="AB193" s="543"/>
      <c r="AC193" s="592"/>
      <c r="AD193" s="580"/>
      <c r="AE193" s="593">
        <f t="shared" si="121"/>
        <v>0</v>
      </c>
      <c r="AF193" s="594"/>
      <c r="AG193" s="593"/>
      <c r="AH193" s="594">
        <f t="shared" si="105"/>
        <v>0</v>
      </c>
      <c r="AI193" s="605"/>
      <c r="AJ193" s="606">
        <f t="shared" si="107"/>
        <v>0</v>
      </c>
    </row>
    <row r="194" spans="1:36" s="234" customFormat="1" ht="20.25">
      <c r="A194" s="561"/>
      <c r="B194" s="550"/>
      <c r="C194" s="549"/>
      <c r="D194" s="544"/>
      <c r="E194" s="319"/>
      <c r="F194" s="320"/>
      <c r="G194" s="320"/>
      <c r="H194" s="321"/>
      <c r="I194" s="321"/>
      <c r="J194" s="320"/>
      <c r="K194" s="351"/>
      <c r="L194" s="352"/>
      <c r="M194" s="353"/>
      <c r="N194" s="321"/>
      <c r="O194" s="321"/>
      <c r="P194" s="321"/>
      <c r="Q194" s="321"/>
      <c r="R194" s="321"/>
      <c r="S194" s="321"/>
      <c r="T194" s="354"/>
      <c r="U194" s="352"/>
      <c r="V194" s="353"/>
      <c r="W194" s="321"/>
      <c r="X194" s="321"/>
      <c r="Y194" s="321"/>
      <c r="Z194" s="321"/>
      <c r="AA194" s="321"/>
      <c r="AB194" s="321"/>
      <c r="AC194" s="380"/>
      <c r="AD194" s="352"/>
      <c r="AE194" s="408">
        <f t="shared" si="121"/>
        <v>0</v>
      </c>
      <c r="AF194" s="409"/>
      <c r="AG194" s="408"/>
      <c r="AH194" s="409">
        <f t="shared" si="105"/>
        <v>0</v>
      </c>
      <c r="AI194" s="410"/>
      <c r="AJ194" s="411">
        <f t="shared" si="107"/>
        <v>0</v>
      </c>
    </row>
    <row r="195" spans="1:36" s="234" customFormat="1" ht="20.25">
      <c r="A195" s="537"/>
      <c r="B195" s="550"/>
      <c r="C195" s="549"/>
      <c r="D195" s="544"/>
      <c r="E195" s="319"/>
      <c r="F195" s="320"/>
      <c r="G195" s="320"/>
      <c r="H195" s="321"/>
      <c r="I195" s="321"/>
      <c r="J195" s="320"/>
      <c r="K195" s="351"/>
      <c r="L195" s="352"/>
      <c r="M195" s="353"/>
      <c r="N195" s="321"/>
      <c r="O195" s="321"/>
      <c r="P195" s="321"/>
      <c r="Q195" s="321"/>
      <c r="R195" s="321"/>
      <c r="S195" s="321"/>
      <c r="T195" s="354"/>
      <c r="U195" s="352"/>
      <c r="V195" s="353"/>
      <c r="W195" s="321"/>
      <c r="X195" s="321"/>
      <c r="Y195" s="321"/>
      <c r="Z195" s="321"/>
      <c r="AA195" s="321"/>
      <c r="AB195" s="321"/>
      <c r="AC195" s="380"/>
      <c r="AD195" s="352"/>
      <c r="AE195" s="408">
        <f t="shared" si="121"/>
        <v>0</v>
      </c>
      <c r="AF195" s="409"/>
      <c r="AG195" s="408"/>
      <c r="AH195" s="409">
        <f t="shared" si="105"/>
        <v>0</v>
      </c>
      <c r="AI195" s="410"/>
      <c r="AJ195" s="411">
        <f t="shared" si="107"/>
        <v>0</v>
      </c>
    </row>
    <row r="196" spans="1:36" s="234" customFormat="1" ht="20.25">
      <c r="A196" s="537"/>
      <c r="B196" s="550"/>
      <c r="C196" s="549"/>
      <c r="D196" s="544"/>
      <c r="E196" s="541"/>
      <c r="F196" s="542"/>
      <c r="G196" s="542"/>
      <c r="H196" s="543"/>
      <c r="I196" s="543"/>
      <c r="J196" s="542"/>
      <c r="K196" s="579"/>
      <c r="L196" s="580"/>
      <c r="M196" s="581"/>
      <c r="N196" s="543"/>
      <c r="O196" s="543"/>
      <c r="P196" s="543"/>
      <c r="Q196" s="543"/>
      <c r="R196" s="543"/>
      <c r="S196" s="543"/>
      <c r="T196" s="587"/>
      <c r="U196" s="580"/>
      <c r="V196" s="581"/>
      <c r="W196" s="543"/>
      <c r="X196" s="543"/>
      <c r="Y196" s="543"/>
      <c r="Z196" s="543"/>
      <c r="AA196" s="543"/>
      <c r="AB196" s="543"/>
      <c r="AC196" s="592"/>
      <c r="AD196" s="580"/>
      <c r="AE196" s="593">
        <f t="shared" si="121"/>
        <v>0</v>
      </c>
      <c r="AF196" s="594"/>
      <c r="AG196" s="593"/>
      <c r="AH196" s="594">
        <f t="shared" si="105"/>
        <v>0</v>
      </c>
      <c r="AI196" s="605"/>
      <c r="AJ196" s="606">
        <f t="shared" si="107"/>
        <v>0</v>
      </c>
    </row>
    <row r="197" spans="1:36" s="234" customFormat="1" ht="20.25">
      <c r="A197" s="537"/>
      <c r="B197" s="550"/>
      <c r="C197" s="549"/>
      <c r="D197" s="544"/>
      <c r="E197" s="319"/>
      <c r="F197" s="320"/>
      <c r="G197" s="320"/>
      <c r="H197" s="321"/>
      <c r="I197" s="321"/>
      <c r="J197" s="320"/>
      <c r="K197" s="351"/>
      <c r="L197" s="352"/>
      <c r="M197" s="353"/>
      <c r="N197" s="321"/>
      <c r="O197" s="321"/>
      <c r="P197" s="321"/>
      <c r="Q197" s="321"/>
      <c r="R197" s="321"/>
      <c r="S197" s="321"/>
      <c r="T197" s="354"/>
      <c r="U197" s="352"/>
      <c r="V197" s="353"/>
      <c r="W197" s="321"/>
      <c r="X197" s="321"/>
      <c r="Y197" s="321"/>
      <c r="Z197" s="321"/>
      <c r="AA197" s="321"/>
      <c r="AB197" s="321"/>
      <c r="AC197" s="380"/>
      <c r="AD197" s="352"/>
      <c r="AE197" s="408">
        <f t="shared" si="121"/>
        <v>0</v>
      </c>
      <c r="AF197" s="409"/>
      <c r="AG197" s="408"/>
      <c r="AH197" s="409">
        <f t="shared" si="105"/>
        <v>0</v>
      </c>
      <c r="AI197" s="410"/>
      <c r="AJ197" s="411">
        <f t="shared" si="107"/>
        <v>0</v>
      </c>
    </row>
    <row r="198" spans="1:36" s="234" customFormat="1" ht="20.25">
      <c r="A198" s="537"/>
      <c r="B198" s="550"/>
      <c r="C198" s="549"/>
      <c r="D198" s="544"/>
      <c r="E198" s="319"/>
      <c r="F198" s="320"/>
      <c r="G198" s="320"/>
      <c r="H198" s="321"/>
      <c r="I198" s="321"/>
      <c r="J198" s="320"/>
      <c r="K198" s="351"/>
      <c r="L198" s="352"/>
      <c r="M198" s="353"/>
      <c r="N198" s="321"/>
      <c r="O198" s="321"/>
      <c r="P198" s="321"/>
      <c r="Q198" s="321"/>
      <c r="R198" s="321"/>
      <c r="S198" s="321"/>
      <c r="T198" s="354"/>
      <c r="U198" s="352"/>
      <c r="V198" s="353"/>
      <c r="W198" s="321"/>
      <c r="X198" s="321"/>
      <c r="Y198" s="321"/>
      <c r="Z198" s="321"/>
      <c r="AA198" s="321"/>
      <c r="AB198" s="321"/>
      <c r="AC198" s="380"/>
      <c r="AD198" s="352"/>
      <c r="AE198" s="408">
        <f t="shared" si="121"/>
        <v>0</v>
      </c>
      <c r="AF198" s="409"/>
      <c r="AG198" s="408"/>
      <c r="AH198" s="409">
        <f t="shared" si="105"/>
        <v>0</v>
      </c>
      <c r="AI198" s="410"/>
      <c r="AJ198" s="411">
        <f t="shared" si="107"/>
        <v>0</v>
      </c>
    </row>
    <row r="199" spans="1:36" s="234" customFormat="1" ht="20.25">
      <c r="A199" s="537"/>
      <c r="B199" s="552"/>
      <c r="C199" s="553"/>
      <c r="D199" s="544"/>
      <c r="E199" s="319"/>
      <c r="F199" s="320"/>
      <c r="G199" s="320"/>
      <c r="H199" s="321"/>
      <c r="I199" s="321"/>
      <c r="J199" s="320"/>
      <c r="K199" s="351"/>
      <c r="L199" s="352"/>
      <c r="M199" s="353"/>
      <c r="N199" s="321"/>
      <c r="O199" s="321"/>
      <c r="P199" s="321"/>
      <c r="Q199" s="321"/>
      <c r="R199" s="321"/>
      <c r="S199" s="321"/>
      <c r="T199" s="354"/>
      <c r="U199" s="352"/>
      <c r="V199" s="353"/>
      <c r="W199" s="321"/>
      <c r="X199" s="321"/>
      <c r="Y199" s="321"/>
      <c r="Z199" s="321"/>
      <c r="AA199" s="321"/>
      <c r="AB199" s="321"/>
      <c r="AC199" s="380"/>
      <c r="AD199" s="352"/>
      <c r="AE199" s="408">
        <f t="shared" si="121"/>
        <v>0</v>
      </c>
      <c r="AF199" s="409"/>
      <c r="AG199" s="408"/>
      <c r="AH199" s="409">
        <f t="shared" si="105"/>
        <v>0</v>
      </c>
      <c r="AI199" s="410"/>
      <c r="AJ199" s="411">
        <f t="shared" si="107"/>
        <v>0</v>
      </c>
    </row>
    <row r="200" spans="1:36" s="234" customFormat="1" ht="20.25">
      <c r="A200" s="537"/>
      <c r="B200" s="550"/>
      <c r="C200" s="549"/>
      <c r="D200" s="544"/>
      <c r="E200" s="319"/>
      <c r="F200" s="320"/>
      <c r="G200" s="320"/>
      <c r="H200" s="321"/>
      <c r="I200" s="321"/>
      <c r="J200" s="320"/>
      <c r="K200" s="351"/>
      <c r="L200" s="352"/>
      <c r="M200" s="353"/>
      <c r="N200" s="321"/>
      <c r="O200" s="321"/>
      <c r="P200" s="321"/>
      <c r="Q200" s="321"/>
      <c r="R200" s="321"/>
      <c r="S200" s="321"/>
      <c r="T200" s="354"/>
      <c r="U200" s="352"/>
      <c r="V200" s="353"/>
      <c r="W200" s="321"/>
      <c r="X200" s="321"/>
      <c r="Y200" s="321"/>
      <c r="Z200" s="321"/>
      <c r="AA200" s="321"/>
      <c r="AB200" s="321"/>
      <c r="AC200" s="380"/>
      <c r="AD200" s="352"/>
      <c r="AE200" s="408">
        <f t="shared" si="121"/>
        <v>0</v>
      </c>
      <c r="AF200" s="409"/>
      <c r="AG200" s="408"/>
      <c r="AH200" s="409">
        <f t="shared" si="105"/>
        <v>0</v>
      </c>
      <c r="AI200" s="410"/>
      <c r="AJ200" s="411">
        <f t="shared" si="107"/>
        <v>0</v>
      </c>
    </row>
    <row r="201" spans="1:36" s="234" customFormat="1" ht="20.25">
      <c r="A201" s="537"/>
      <c r="B201" s="550"/>
      <c r="C201" s="549"/>
      <c r="D201" s="544"/>
      <c r="E201" s="319"/>
      <c r="F201" s="320"/>
      <c r="G201" s="320"/>
      <c r="H201" s="321"/>
      <c r="I201" s="321"/>
      <c r="J201" s="320"/>
      <c r="K201" s="351"/>
      <c r="L201" s="352"/>
      <c r="M201" s="353"/>
      <c r="N201" s="321"/>
      <c r="O201" s="321"/>
      <c r="P201" s="321"/>
      <c r="Q201" s="321"/>
      <c r="R201" s="321"/>
      <c r="S201" s="321"/>
      <c r="T201" s="354"/>
      <c r="U201" s="352"/>
      <c r="V201" s="353"/>
      <c r="W201" s="321"/>
      <c r="X201" s="321"/>
      <c r="Y201" s="321"/>
      <c r="Z201" s="321"/>
      <c r="AA201" s="321"/>
      <c r="AB201" s="321"/>
      <c r="AC201" s="380"/>
      <c r="AD201" s="352"/>
      <c r="AE201" s="408">
        <f t="shared" si="121"/>
        <v>0</v>
      </c>
      <c r="AF201" s="409"/>
      <c r="AG201" s="408"/>
      <c r="AH201" s="409">
        <f t="shared" si="105"/>
        <v>0</v>
      </c>
      <c r="AI201" s="410"/>
      <c r="AJ201" s="411">
        <f t="shared" si="107"/>
        <v>0</v>
      </c>
    </row>
    <row r="202" spans="1:36" s="234" customFormat="1" ht="20.25">
      <c r="A202" s="537"/>
      <c r="B202" s="550"/>
      <c r="C202" s="549"/>
      <c r="D202" s="544"/>
      <c r="E202" s="319"/>
      <c r="F202" s="320"/>
      <c r="G202" s="320"/>
      <c r="H202" s="321"/>
      <c r="I202" s="321"/>
      <c r="J202" s="320"/>
      <c r="K202" s="351"/>
      <c r="L202" s="352"/>
      <c r="M202" s="353"/>
      <c r="N202" s="321"/>
      <c r="O202" s="321"/>
      <c r="P202" s="321"/>
      <c r="Q202" s="321"/>
      <c r="R202" s="321"/>
      <c r="S202" s="321"/>
      <c r="T202" s="354"/>
      <c r="U202" s="352"/>
      <c r="V202" s="353"/>
      <c r="W202" s="321"/>
      <c r="X202" s="321"/>
      <c r="Y202" s="321"/>
      <c r="Z202" s="321"/>
      <c r="AA202" s="321"/>
      <c r="AB202" s="321"/>
      <c r="AC202" s="380"/>
      <c r="AD202" s="352"/>
      <c r="AE202" s="408">
        <f t="shared" si="121"/>
        <v>0</v>
      </c>
      <c r="AF202" s="409"/>
      <c r="AG202" s="408"/>
      <c r="AH202" s="409">
        <f t="shared" si="105"/>
        <v>0</v>
      </c>
      <c r="AI202" s="410"/>
      <c r="AJ202" s="411">
        <f t="shared" si="107"/>
        <v>0</v>
      </c>
    </row>
    <row r="203" spans="1:36" s="234" customFormat="1" ht="20.25">
      <c r="A203" s="537"/>
      <c r="B203" s="550"/>
      <c r="C203" s="549"/>
      <c r="D203" s="544"/>
      <c r="E203" s="319"/>
      <c r="F203" s="320"/>
      <c r="G203" s="320"/>
      <c r="H203" s="321"/>
      <c r="I203" s="321"/>
      <c r="J203" s="320"/>
      <c r="K203" s="351"/>
      <c r="L203" s="352"/>
      <c r="M203" s="353"/>
      <c r="N203" s="321"/>
      <c r="O203" s="321"/>
      <c r="P203" s="321"/>
      <c r="Q203" s="321"/>
      <c r="R203" s="321"/>
      <c r="S203" s="321"/>
      <c r="T203" s="354"/>
      <c r="U203" s="352"/>
      <c r="V203" s="353"/>
      <c r="W203" s="321"/>
      <c r="X203" s="321"/>
      <c r="Y203" s="321"/>
      <c r="Z203" s="321"/>
      <c r="AA203" s="321"/>
      <c r="AB203" s="321"/>
      <c r="AC203" s="380"/>
      <c r="AD203" s="352"/>
      <c r="AE203" s="408">
        <f t="shared" si="121"/>
        <v>0</v>
      </c>
      <c r="AF203" s="409"/>
      <c r="AG203" s="408"/>
      <c r="AH203" s="409">
        <f t="shared" si="105"/>
        <v>0</v>
      </c>
      <c r="AI203" s="410"/>
      <c r="AJ203" s="411">
        <f t="shared" si="107"/>
        <v>0</v>
      </c>
    </row>
    <row r="204" spans="1:36" s="234" customFormat="1" ht="20.25">
      <c r="A204" s="537"/>
      <c r="B204" s="550"/>
      <c r="C204" s="549"/>
      <c r="D204" s="544"/>
      <c r="E204" s="319"/>
      <c r="F204" s="320"/>
      <c r="G204" s="320"/>
      <c r="H204" s="321"/>
      <c r="I204" s="321"/>
      <c r="J204" s="320"/>
      <c r="K204" s="351"/>
      <c r="L204" s="352"/>
      <c r="M204" s="353"/>
      <c r="N204" s="321"/>
      <c r="O204" s="321"/>
      <c r="P204" s="321"/>
      <c r="Q204" s="321"/>
      <c r="R204" s="321"/>
      <c r="S204" s="321"/>
      <c r="T204" s="354"/>
      <c r="U204" s="352"/>
      <c r="V204" s="353"/>
      <c r="W204" s="321"/>
      <c r="X204" s="321"/>
      <c r="Y204" s="321"/>
      <c r="Z204" s="321"/>
      <c r="AA204" s="321"/>
      <c r="AB204" s="321"/>
      <c r="AC204" s="380"/>
      <c r="AD204" s="352"/>
      <c r="AE204" s="408">
        <f t="shared" si="121"/>
        <v>0</v>
      </c>
      <c r="AF204" s="409"/>
      <c r="AG204" s="408"/>
      <c r="AH204" s="409">
        <f t="shared" si="105"/>
        <v>0</v>
      </c>
      <c r="AI204" s="410"/>
      <c r="AJ204" s="411">
        <f t="shared" si="107"/>
        <v>0</v>
      </c>
    </row>
    <row r="205" spans="1:36" s="234" customFormat="1" ht="20.25">
      <c r="A205" s="551"/>
      <c r="B205" s="550"/>
      <c r="C205" s="549"/>
      <c r="D205" s="544"/>
      <c r="E205" s="353"/>
      <c r="F205" s="321"/>
      <c r="G205" s="321"/>
      <c r="H205" s="321"/>
      <c r="I205" s="321"/>
      <c r="J205" s="321"/>
      <c r="K205" s="321"/>
      <c r="L205" s="380"/>
      <c r="M205" s="353"/>
      <c r="N205" s="321"/>
      <c r="O205" s="321"/>
      <c r="P205" s="321"/>
      <c r="Q205" s="321"/>
      <c r="R205" s="321"/>
      <c r="S205" s="321"/>
      <c r="T205" s="380"/>
      <c r="U205" s="654"/>
      <c r="V205" s="353"/>
      <c r="W205" s="321"/>
      <c r="X205" s="321"/>
      <c r="Y205" s="321"/>
      <c r="Z205" s="321"/>
      <c r="AA205" s="321"/>
      <c r="AB205" s="321"/>
      <c r="AC205" s="380"/>
      <c r="AD205" s="654"/>
      <c r="AE205" s="679">
        <f t="shared" si="121"/>
        <v>0</v>
      </c>
      <c r="AF205" s="680"/>
      <c r="AG205" s="679"/>
      <c r="AH205" s="680">
        <f t="shared" si="105"/>
        <v>0</v>
      </c>
      <c r="AI205" s="697"/>
      <c r="AJ205" s="698">
        <f t="shared" si="107"/>
        <v>0</v>
      </c>
    </row>
    <row r="206" spans="1:36" s="234" customFormat="1" ht="20.25">
      <c r="A206" s="537"/>
      <c r="B206" s="550"/>
      <c r="C206" s="549"/>
      <c r="D206" s="544"/>
      <c r="E206" s="611"/>
      <c r="F206" s="612"/>
      <c r="G206" s="612"/>
      <c r="H206" s="613"/>
      <c r="I206" s="613"/>
      <c r="J206" s="612"/>
      <c r="K206" s="653"/>
      <c r="L206" s="654"/>
      <c r="M206" s="611"/>
      <c r="N206" s="612"/>
      <c r="O206" s="612"/>
      <c r="P206" s="613"/>
      <c r="Q206" s="613"/>
      <c r="R206" s="612"/>
      <c r="S206" s="653"/>
      <c r="T206" s="670"/>
      <c r="U206" s="654"/>
      <c r="V206" s="611"/>
      <c r="W206" s="612"/>
      <c r="X206" s="612"/>
      <c r="Y206" s="613"/>
      <c r="Z206" s="613"/>
      <c r="AA206" s="612"/>
      <c r="AB206" s="653"/>
      <c r="AC206" s="678"/>
      <c r="AD206" s="654"/>
      <c r="AE206" s="679">
        <f t="shared" ref="AE206:AE214" si="122">SUM(E206:AC206)</f>
        <v>0</v>
      </c>
      <c r="AF206" s="680"/>
      <c r="AG206" s="679"/>
      <c r="AH206" s="680">
        <f t="shared" ref="AH206:AH214" si="123">AE206+AF206+AG206</f>
        <v>0</v>
      </c>
      <c r="AI206" s="697"/>
      <c r="AJ206" s="698">
        <f t="shared" ref="AJ206:AJ214" si="124">AH206+AI206</f>
        <v>0</v>
      </c>
    </row>
    <row r="207" spans="1:36" s="234" customFormat="1" ht="20.25">
      <c r="A207" s="537"/>
      <c r="B207" s="550"/>
      <c r="C207" s="549"/>
      <c r="D207" s="544"/>
      <c r="E207" s="617"/>
      <c r="F207" s="618"/>
      <c r="G207" s="618"/>
      <c r="H207" s="619"/>
      <c r="I207" s="619"/>
      <c r="J207" s="618"/>
      <c r="K207" s="656"/>
      <c r="L207" s="657"/>
      <c r="M207" s="658"/>
      <c r="N207" s="619"/>
      <c r="O207" s="619"/>
      <c r="P207" s="619"/>
      <c r="Q207" s="619"/>
      <c r="R207" s="619"/>
      <c r="S207" s="619"/>
      <c r="T207" s="671"/>
      <c r="U207" s="657"/>
      <c r="V207" s="658"/>
      <c r="W207" s="619"/>
      <c r="X207" s="619"/>
      <c r="Y207" s="619"/>
      <c r="Z207" s="619"/>
      <c r="AA207" s="619"/>
      <c r="AB207" s="619"/>
      <c r="AC207" s="681"/>
      <c r="AD207" s="657"/>
      <c r="AE207" s="682">
        <f t="shared" si="122"/>
        <v>0</v>
      </c>
      <c r="AF207" s="683"/>
      <c r="AG207" s="682"/>
      <c r="AH207" s="683">
        <f t="shared" si="123"/>
        <v>0</v>
      </c>
      <c r="AI207" s="699"/>
      <c r="AJ207" s="700">
        <f t="shared" si="124"/>
        <v>0</v>
      </c>
    </row>
    <row r="208" spans="1:36" s="234" customFormat="1" ht="20.25">
      <c r="A208" s="537"/>
      <c r="B208" s="550"/>
      <c r="C208" s="549"/>
      <c r="D208" s="544"/>
      <c r="E208" s="617"/>
      <c r="F208" s="618"/>
      <c r="G208" s="618"/>
      <c r="H208" s="619"/>
      <c r="I208" s="619"/>
      <c r="J208" s="618"/>
      <c r="K208" s="656"/>
      <c r="L208" s="657"/>
      <c r="M208" s="658"/>
      <c r="N208" s="619"/>
      <c r="O208" s="619"/>
      <c r="P208" s="619"/>
      <c r="Q208" s="619"/>
      <c r="R208" s="619"/>
      <c r="S208" s="619"/>
      <c r="T208" s="671"/>
      <c r="U208" s="657"/>
      <c r="V208" s="658"/>
      <c r="W208" s="619"/>
      <c r="X208" s="619"/>
      <c r="Y208" s="619"/>
      <c r="Z208" s="619"/>
      <c r="AA208" s="619"/>
      <c r="AB208" s="619"/>
      <c r="AC208" s="681"/>
      <c r="AD208" s="657"/>
      <c r="AE208" s="682">
        <f t="shared" ref="AE208:AE209" si="125">SUM(E208:AC208)</f>
        <v>0</v>
      </c>
      <c r="AF208" s="683"/>
      <c r="AG208" s="682"/>
      <c r="AH208" s="683">
        <f t="shared" ref="AH208:AH209" si="126">AE208+AF208+AG208</f>
        <v>0</v>
      </c>
      <c r="AI208" s="699"/>
      <c r="AJ208" s="700">
        <f t="shared" ref="AJ208:AJ209" si="127">AH208+AI208</f>
        <v>0</v>
      </c>
    </row>
    <row r="209" spans="1:39" s="234" customFormat="1" ht="20.25">
      <c r="A209" s="537"/>
      <c r="B209" s="550"/>
      <c r="C209" s="549"/>
      <c r="D209" s="544"/>
      <c r="E209" s="617"/>
      <c r="F209" s="618"/>
      <c r="G209" s="618"/>
      <c r="H209" s="619"/>
      <c r="I209" s="619"/>
      <c r="J209" s="618"/>
      <c r="K209" s="656"/>
      <c r="L209" s="657"/>
      <c r="M209" s="658"/>
      <c r="N209" s="619"/>
      <c r="O209" s="619"/>
      <c r="P209" s="619"/>
      <c r="Q209" s="619"/>
      <c r="R209" s="619"/>
      <c r="S209" s="619"/>
      <c r="T209" s="671"/>
      <c r="U209" s="657"/>
      <c r="V209" s="658"/>
      <c r="W209" s="619"/>
      <c r="X209" s="619"/>
      <c r="Y209" s="619"/>
      <c r="Z209" s="619"/>
      <c r="AA209" s="619"/>
      <c r="AB209" s="619"/>
      <c r="AC209" s="681"/>
      <c r="AD209" s="657"/>
      <c r="AE209" s="682">
        <f t="shared" si="125"/>
        <v>0</v>
      </c>
      <c r="AF209" s="683"/>
      <c r="AG209" s="682"/>
      <c r="AH209" s="683">
        <f t="shared" si="126"/>
        <v>0</v>
      </c>
      <c r="AI209" s="699"/>
      <c r="AJ209" s="700">
        <f t="shared" si="127"/>
        <v>0</v>
      </c>
    </row>
    <row r="210" spans="1:39" s="234" customFormat="1" ht="20.25">
      <c r="A210" s="537"/>
      <c r="B210" s="550"/>
      <c r="C210" s="549"/>
      <c r="D210" s="544"/>
      <c r="E210" s="617"/>
      <c r="F210" s="618"/>
      <c r="G210" s="618"/>
      <c r="H210" s="619"/>
      <c r="I210" s="619"/>
      <c r="J210" s="618"/>
      <c r="K210" s="656"/>
      <c r="L210" s="657"/>
      <c r="M210" s="658"/>
      <c r="N210" s="619"/>
      <c r="O210" s="619"/>
      <c r="P210" s="619"/>
      <c r="Q210" s="619"/>
      <c r="R210" s="619"/>
      <c r="S210" s="619"/>
      <c r="T210" s="671"/>
      <c r="U210" s="657"/>
      <c r="V210" s="658"/>
      <c r="W210" s="619"/>
      <c r="X210" s="619"/>
      <c r="Y210" s="619"/>
      <c r="Z210" s="619"/>
      <c r="AA210" s="619"/>
      <c r="AB210" s="619"/>
      <c r="AC210" s="681"/>
      <c r="AD210" s="657"/>
      <c r="AE210" s="682">
        <f t="shared" ref="AE210:AE211" si="128">SUM(E210:AC210)</f>
        <v>0</v>
      </c>
      <c r="AF210" s="683"/>
      <c r="AG210" s="682"/>
      <c r="AH210" s="683">
        <f t="shared" ref="AH210:AH211" si="129">AE210+AF210+AG210</f>
        <v>0</v>
      </c>
      <c r="AI210" s="699"/>
      <c r="AJ210" s="700">
        <f t="shared" ref="AJ210:AJ211" si="130">AH210+AI210</f>
        <v>0</v>
      </c>
    </row>
    <row r="211" spans="1:39" s="234" customFormat="1" ht="20.25">
      <c r="A211" s="537"/>
      <c r="B211" s="550"/>
      <c r="C211" s="549"/>
      <c r="D211" s="544"/>
      <c r="E211" s="617"/>
      <c r="F211" s="618"/>
      <c r="G211" s="618"/>
      <c r="H211" s="619"/>
      <c r="I211" s="619"/>
      <c r="J211" s="618"/>
      <c r="K211" s="656"/>
      <c r="L211" s="657"/>
      <c r="M211" s="658"/>
      <c r="N211" s="619"/>
      <c r="O211" s="619"/>
      <c r="P211" s="619"/>
      <c r="Q211" s="619"/>
      <c r="R211" s="619"/>
      <c r="S211" s="619"/>
      <c r="T211" s="671"/>
      <c r="U211" s="657"/>
      <c r="V211" s="658"/>
      <c r="W211" s="619"/>
      <c r="X211" s="619"/>
      <c r="Y211" s="619"/>
      <c r="Z211" s="619"/>
      <c r="AA211" s="619"/>
      <c r="AB211" s="619"/>
      <c r="AC211" s="681"/>
      <c r="AD211" s="657"/>
      <c r="AE211" s="682">
        <f t="shared" si="128"/>
        <v>0</v>
      </c>
      <c r="AF211" s="683"/>
      <c r="AG211" s="682"/>
      <c r="AH211" s="683">
        <f t="shared" si="129"/>
        <v>0</v>
      </c>
      <c r="AI211" s="699"/>
      <c r="AJ211" s="700">
        <f t="shared" si="130"/>
        <v>0</v>
      </c>
    </row>
    <row r="212" spans="1:39" s="234" customFormat="1" ht="20.25">
      <c r="A212" s="537"/>
      <c r="B212" s="550"/>
      <c r="C212" s="549"/>
      <c r="D212" s="544"/>
      <c r="E212" s="617"/>
      <c r="F212" s="618"/>
      <c r="G212" s="618"/>
      <c r="H212" s="619"/>
      <c r="I212" s="619"/>
      <c r="J212" s="618"/>
      <c r="K212" s="656"/>
      <c r="L212" s="657"/>
      <c r="M212" s="658"/>
      <c r="N212" s="619"/>
      <c r="O212" s="619"/>
      <c r="P212" s="619"/>
      <c r="Q212" s="619"/>
      <c r="R212" s="619"/>
      <c r="S212" s="619"/>
      <c r="T212" s="671"/>
      <c r="U212" s="657"/>
      <c r="V212" s="658"/>
      <c r="W212" s="619"/>
      <c r="X212" s="619"/>
      <c r="Y212" s="619"/>
      <c r="Z212" s="619"/>
      <c r="AA212" s="619"/>
      <c r="AB212" s="619"/>
      <c r="AC212" s="681"/>
      <c r="AD212" s="657"/>
      <c r="AE212" s="682">
        <f t="shared" ref="AE212:AE213" si="131">SUM(E212:AC212)</f>
        <v>0</v>
      </c>
      <c r="AF212" s="683"/>
      <c r="AG212" s="682"/>
      <c r="AH212" s="683">
        <f t="shared" ref="AH212:AH213" si="132">AE212+AF212+AG212</f>
        <v>0</v>
      </c>
      <c r="AI212" s="699"/>
      <c r="AJ212" s="700">
        <f t="shared" ref="AJ212:AJ213" si="133">AH212+AI212</f>
        <v>0</v>
      </c>
    </row>
    <row r="213" spans="1:39" s="234" customFormat="1" ht="20.25">
      <c r="A213" s="537"/>
      <c r="B213" s="550"/>
      <c r="C213" s="549"/>
      <c r="D213" s="544"/>
      <c r="E213" s="617"/>
      <c r="F213" s="618"/>
      <c r="G213" s="618"/>
      <c r="H213" s="619"/>
      <c r="I213" s="619"/>
      <c r="J213" s="618"/>
      <c r="K213" s="656"/>
      <c r="L213" s="657"/>
      <c r="M213" s="658"/>
      <c r="N213" s="619"/>
      <c r="O213" s="619"/>
      <c r="P213" s="619"/>
      <c r="Q213" s="619"/>
      <c r="R213" s="619"/>
      <c r="S213" s="619"/>
      <c r="T213" s="671"/>
      <c r="U213" s="657"/>
      <c r="V213" s="658"/>
      <c r="W213" s="619"/>
      <c r="X213" s="619"/>
      <c r="Y213" s="619"/>
      <c r="Z213" s="619"/>
      <c r="AA213" s="619"/>
      <c r="AB213" s="619"/>
      <c r="AC213" s="681"/>
      <c r="AD213" s="657"/>
      <c r="AE213" s="682">
        <f t="shared" si="131"/>
        <v>0</v>
      </c>
      <c r="AF213" s="683"/>
      <c r="AG213" s="682"/>
      <c r="AH213" s="683">
        <f t="shared" si="132"/>
        <v>0</v>
      </c>
      <c r="AI213" s="699"/>
      <c r="AJ213" s="700">
        <f t="shared" si="133"/>
        <v>0</v>
      </c>
    </row>
    <row r="214" spans="1:39" s="234" customFormat="1" ht="20.25">
      <c r="A214" s="537"/>
      <c r="B214" s="550"/>
      <c r="C214" s="549"/>
      <c r="D214" s="544"/>
      <c r="E214" s="617"/>
      <c r="F214" s="618"/>
      <c r="G214" s="618"/>
      <c r="H214" s="619"/>
      <c r="I214" s="619"/>
      <c r="J214" s="618"/>
      <c r="K214" s="656"/>
      <c r="L214" s="657"/>
      <c r="M214" s="658"/>
      <c r="N214" s="619"/>
      <c r="O214" s="619"/>
      <c r="P214" s="619"/>
      <c r="Q214" s="619"/>
      <c r="R214" s="619"/>
      <c r="S214" s="619"/>
      <c r="T214" s="671"/>
      <c r="U214" s="657"/>
      <c r="V214" s="658"/>
      <c r="W214" s="619"/>
      <c r="X214" s="619"/>
      <c r="Y214" s="619"/>
      <c r="Z214" s="619"/>
      <c r="AA214" s="619"/>
      <c r="AB214" s="619"/>
      <c r="AC214" s="681"/>
      <c r="AD214" s="657"/>
      <c r="AE214" s="682">
        <f t="shared" si="122"/>
        <v>0</v>
      </c>
      <c r="AF214" s="683"/>
      <c r="AG214" s="682"/>
      <c r="AH214" s="683">
        <f t="shared" si="123"/>
        <v>0</v>
      </c>
      <c r="AI214" s="699"/>
      <c r="AJ214" s="700">
        <f t="shared" si="124"/>
        <v>0</v>
      </c>
    </row>
    <row r="215" spans="1:39" s="234" customFormat="1" ht="20.25">
      <c r="A215" s="537"/>
      <c r="B215" s="550"/>
      <c r="C215" s="549"/>
      <c r="D215" s="544"/>
      <c r="E215" s="617"/>
      <c r="F215" s="618"/>
      <c r="G215" s="618"/>
      <c r="H215" s="619"/>
      <c r="I215" s="619"/>
      <c r="J215" s="618"/>
      <c r="K215" s="656"/>
      <c r="L215" s="657"/>
      <c r="M215" s="658"/>
      <c r="N215" s="619"/>
      <c r="O215" s="619"/>
      <c r="P215" s="619"/>
      <c r="Q215" s="619"/>
      <c r="R215" s="619"/>
      <c r="S215" s="619"/>
      <c r="T215" s="671"/>
      <c r="U215" s="657"/>
      <c r="V215" s="658"/>
      <c r="W215" s="619"/>
      <c r="X215" s="619"/>
      <c r="Y215" s="619"/>
      <c r="Z215" s="619"/>
      <c r="AA215" s="619"/>
      <c r="AB215" s="619"/>
      <c r="AC215" s="681"/>
      <c r="AD215" s="657"/>
      <c r="AE215" s="682">
        <f t="shared" si="121"/>
        <v>0</v>
      </c>
      <c r="AF215" s="683"/>
      <c r="AG215" s="682"/>
      <c r="AH215" s="683">
        <f t="shared" si="105"/>
        <v>0</v>
      </c>
      <c r="AI215" s="699"/>
      <c r="AJ215" s="700">
        <f t="shared" si="107"/>
        <v>0</v>
      </c>
    </row>
    <row r="216" spans="1:39" s="234" customFormat="1" ht="20.25">
      <c r="A216" s="551"/>
      <c r="B216" s="800"/>
      <c r="C216" s="800"/>
      <c r="D216" s="801"/>
      <c r="E216" s="617"/>
      <c r="F216" s="618"/>
      <c r="G216" s="618"/>
      <c r="H216" s="619"/>
      <c r="I216" s="619"/>
      <c r="J216" s="618"/>
      <c r="K216" s="656"/>
      <c r="L216" s="657"/>
      <c r="M216" s="658"/>
      <c r="N216" s="619"/>
      <c r="O216" s="619"/>
      <c r="P216" s="619"/>
      <c r="Q216" s="619"/>
      <c r="R216" s="619"/>
      <c r="S216" s="619"/>
      <c r="T216" s="671"/>
      <c r="U216" s="657"/>
      <c r="V216" s="658"/>
      <c r="W216" s="619"/>
      <c r="X216" s="619"/>
      <c r="Y216" s="619"/>
      <c r="Z216" s="619"/>
      <c r="AA216" s="619"/>
      <c r="AB216" s="619"/>
      <c r="AC216" s="681"/>
      <c r="AD216" s="657"/>
      <c r="AE216" s="682">
        <f t="shared" ref="AE216:AE217" si="134">SUM(E216:AC216)</f>
        <v>0</v>
      </c>
      <c r="AF216" s="683"/>
      <c r="AG216" s="682"/>
      <c r="AH216" s="683">
        <f t="shared" ref="AH216:AH217" si="135">AE216+AF216+AG216</f>
        <v>0</v>
      </c>
      <c r="AI216" s="699"/>
      <c r="AJ216" s="700">
        <f t="shared" ref="AJ216:AJ217" si="136">AH216+AI216</f>
        <v>0</v>
      </c>
    </row>
    <row r="217" spans="1:39" ht="20.25">
      <c r="A217" s="551"/>
      <c r="B217" s="800"/>
      <c r="C217" s="800"/>
      <c r="D217" s="801"/>
      <c r="E217" s="617"/>
      <c r="F217" s="618"/>
      <c r="G217" s="618"/>
      <c r="H217" s="619"/>
      <c r="I217" s="619"/>
      <c r="J217" s="618"/>
      <c r="K217" s="656"/>
      <c r="L217" s="657"/>
      <c r="M217" s="658"/>
      <c r="N217" s="619"/>
      <c r="O217" s="619"/>
      <c r="P217" s="619"/>
      <c r="Q217" s="619"/>
      <c r="R217" s="619"/>
      <c r="S217" s="619"/>
      <c r="T217" s="671"/>
      <c r="U217" s="657"/>
      <c r="V217" s="658"/>
      <c r="W217" s="619"/>
      <c r="X217" s="619"/>
      <c r="Y217" s="619"/>
      <c r="Z217" s="619"/>
      <c r="AA217" s="619"/>
      <c r="AB217" s="619"/>
      <c r="AC217" s="681"/>
      <c r="AD217" s="657"/>
      <c r="AE217" s="682">
        <f t="shared" si="134"/>
        <v>0</v>
      </c>
      <c r="AF217" s="683"/>
      <c r="AG217" s="682"/>
      <c r="AH217" s="683">
        <f t="shared" si="135"/>
        <v>0</v>
      </c>
      <c r="AI217" s="699"/>
      <c r="AJ217" s="700">
        <f t="shared" si="136"/>
        <v>0</v>
      </c>
    </row>
    <row r="218" spans="1:39" ht="20.25">
      <c r="A218" s="551"/>
      <c r="B218" s="800"/>
      <c r="C218" s="800"/>
      <c r="D218" s="801"/>
      <c r="E218" s="617"/>
      <c r="F218" s="618"/>
      <c r="G218" s="618"/>
      <c r="H218" s="619"/>
      <c r="I218" s="619"/>
      <c r="J218" s="618"/>
      <c r="K218" s="656"/>
      <c r="L218" s="657"/>
      <c r="M218" s="658"/>
      <c r="N218" s="619"/>
      <c r="O218" s="619"/>
      <c r="P218" s="619"/>
      <c r="Q218" s="619"/>
      <c r="R218" s="619"/>
      <c r="S218" s="619"/>
      <c r="T218" s="671"/>
      <c r="U218" s="657"/>
      <c r="V218" s="658"/>
      <c r="W218" s="619"/>
      <c r="X218" s="619"/>
      <c r="Y218" s="619"/>
      <c r="Z218" s="619"/>
      <c r="AA218" s="619"/>
      <c r="AB218" s="619"/>
      <c r="AC218" s="681"/>
      <c r="AD218" s="657"/>
      <c r="AE218" s="682">
        <f t="shared" ref="AE218" si="137">SUM(E218:AC218)</f>
        <v>0</v>
      </c>
      <c r="AF218" s="683"/>
      <c r="AG218" s="682"/>
      <c r="AH218" s="683">
        <f t="shared" ref="AH218" si="138">AE218+AF218+AG218</f>
        <v>0</v>
      </c>
      <c r="AI218" s="699"/>
      <c r="AJ218" s="700">
        <f t="shared" ref="AJ218" si="139">AH218+AI218</f>
        <v>0</v>
      </c>
    </row>
    <row r="219" spans="1:39" s="284" customFormat="1" ht="21" thickBot="1">
      <c r="A219" s="802"/>
      <c r="B219" s="803"/>
      <c r="C219" s="803"/>
      <c r="D219" s="804"/>
      <c r="E219" s="623"/>
      <c r="F219" s="624"/>
      <c r="G219" s="624"/>
      <c r="H219" s="625"/>
      <c r="I219" s="625"/>
      <c r="J219" s="624"/>
      <c r="K219" s="659"/>
      <c r="L219" s="660"/>
      <c r="M219" s="661"/>
      <c r="N219" s="625"/>
      <c r="O219" s="625"/>
      <c r="P219" s="625"/>
      <c r="Q219" s="625"/>
      <c r="R219" s="625"/>
      <c r="S219" s="625"/>
      <c r="T219" s="672"/>
      <c r="U219" s="660"/>
      <c r="V219" s="661"/>
      <c r="W219" s="625"/>
      <c r="X219" s="625"/>
      <c r="Y219" s="625"/>
      <c r="Z219" s="625"/>
      <c r="AA219" s="625"/>
      <c r="AB219" s="625"/>
      <c r="AC219" s="684"/>
      <c r="AD219" s="660"/>
      <c r="AE219" s="685">
        <f t="shared" si="121"/>
        <v>0</v>
      </c>
      <c r="AF219" s="686"/>
      <c r="AG219" s="685"/>
      <c r="AH219" s="686">
        <f t="shared" si="105"/>
        <v>0</v>
      </c>
      <c r="AI219" s="701"/>
      <c r="AJ219" s="702">
        <f t="shared" si="107"/>
        <v>0</v>
      </c>
      <c r="AK219" s="403"/>
      <c r="AL219" s="403"/>
      <c r="AM219" s="403"/>
    </row>
    <row r="220" spans="1:39" s="282" customFormat="1" ht="21" thickBot="1">
      <c r="A220" s="626" t="s">
        <v>151</v>
      </c>
      <c r="B220" s="627"/>
      <c r="C220" s="627"/>
      <c r="D220" s="628"/>
      <c r="E220" s="533">
        <f t="shared" ref="E220:K220" si="140">SUM(E151:E219)</f>
        <v>0</v>
      </c>
      <c r="F220" s="629">
        <f t="shared" si="140"/>
        <v>160</v>
      </c>
      <c r="G220" s="629">
        <f t="shared" si="140"/>
        <v>20</v>
      </c>
      <c r="H220" s="629">
        <f t="shared" si="140"/>
        <v>0</v>
      </c>
      <c r="I220" s="629">
        <f t="shared" si="140"/>
        <v>0</v>
      </c>
      <c r="J220" s="629">
        <f t="shared" si="140"/>
        <v>0</v>
      </c>
      <c r="K220" s="662">
        <f t="shared" si="140"/>
        <v>140</v>
      </c>
      <c r="L220" s="575"/>
      <c r="M220" s="533">
        <f t="shared" ref="M220:T220" si="141">SUM(M151:M219)</f>
        <v>32</v>
      </c>
      <c r="N220" s="533">
        <f t="shared" si="141"/>
        <v>0</v>
      </c>
      <c r="O220" s="533">
        <f t="shared" si="141"/>
        <v>0</v>
      </c>
      <c r="P220" s="533">
        <f t="shared" si="141"/>
        <v>896</v>
      </c>
      <c r="Q220" s="533">
        <f t="shared" si="141"/>
        <v>544</v>
      </c>
      <c r="R220" s="533">
        <f t="shared" si="141"/>
        <v>128</v>
      </c>
      <c r="S220" s="533">
        <f t="shared" si="141"/>
        <v>48</v>
      </c>
      <c r="T220" s="533">
        <f t="shared" si="141"/>
        <v>0</v>
      </c>
      <c r="U220" s="575"/>
      <c r="V220" s="533">
        <f t="shared" ref="V220:AC220" si="142">SUM(V151:V219)</f>
        <v>580</v>
      </c>
      <c r="W220" s="629">
        <f t="shared" si="142"/>
        <v>0</v>
      </c>
      <c r="X220" s="629">
        <f t="shared" si="142"/>
        <v>520</v>
      </c>
      <c r="Y220" s="629">
        <f t="shared" si="142"/>
        <v>60</v>
      </c>
      <c r="Z220" s="629">
        <f t="shared" si="142"/>
        <v>0</v>
      </c>
      <c r="AA220" s="629">
        <f t="shared" si="142"/>
        <v>0</v>
      </c>
      <c r="AB220" s="629">
        <f t="shared" si="142"/>
        <v>0</v>
      </c>
      <c r="AC220" s="662">
        <f t="shared" si="142"/>
        <v>1600</v>
      </c>
      <c r="AD220" s="575"/>
      <c r="AE220" s="687">
        <f t="shared" ref="AE220:AJ220" si="143">SUM(AE151:AE219)</f>
        <v>4728</v>
      </c>
      <c r="AF220" s="575">
        <f t="shared" si="143"/>
        <v>0</v>
      </c>
      <c r="AG220" s="687">
        <f t="shared" si="143"/>
        <v>0</v>
      </c>
      <c r="AH220" s="662">
        <f t="shared" si="143"/>
        <v>4728</v>
      </c>
      <c r="AI220" s="575">
        <f t="shared" si="143"/>
        <v>0</v>
      </c>
      <c r="AJ220" s="687">
        <f t="shared" si="143"/>
        <v>4728</v>
      </c>
    </row>
    <row r="221" spans="1:39" s="283" customFormat="1" ht="21" thickBot="1">
      <c r="A221" s="530" t="s">
        <v>152</v>
      </c>
      <c r="B221" s="531"/>
      <c r="C221" s="531"/>
      <c r="D221" s="630"/>
      <c r="E221" s="533">
        <f>E220/20</f>
        <v>0</v>
      </c>
      <c r="F221" s="534">
        <f t="shared" ref="F221:I221" si="144">F220/20</f>
        <v>8</v>
      </c>
      <c r="G221" s="534">
        <f t="shared" si="144"/>
        <v>1</v>
      </c>
      <c r="H221" s="534">
        <f>H220/12</f>
        <v>0</v>
      </c>
      <c r="I221" s="534">
        <f t="shared" si="144"/>
        <v>0</v>
      </c>
      <c r="J221" s="534">
        <f>J220/12</f>
        <v>0</v>
      </c>
      <c r="K221" s="586">
        <f>K220/20</f>
        <v>7</v>
      </c>
      <c r="L221" s="575"/>
      <c r="M221" s="576">
        <f>M220/16</f>
        <v>2</v>
      </c>
      <c r="N221" s="577">
        <f t="shared" ref="N221:T221" si="145">N220/20</f>
        <v>0</v>
      </c>
      <c r="O221" s="577">
        <f t="shared" si="145"/>
        <v>0</v>
      </c>
      <c r="P221" s="577">
        <f>P220/16</f>
        <v>56</v>
      </c>
      <c r="Q221" s="577">
        <f t="shared" ref="Q221:R221" si="146">Q220/16</f>
        <v>34</v>
      </c>
      <c r="R221" s="577">
        <f t="shared" si="146"/>
        <v>8</v>
      </c>
      <c r="S221" s="577">
        <f t="shared" si="145"/>
        <v>2.4</v>
      </c>
      <c r="T221" s="586">
        <f t="shared" si="145"/>
        <v>0</v>
      </c>
      <c r="U221" s="575"/>
      <c r="V221" s="576">
        <f>V220/20</f>
        <v>29</v>
      </c>
      <c r="W221" s="577">
        <f t="shared" ref="W221:AA221" si="147">W220/20</f>
        <v>0</v>
      </c>
      <c r="X221" s="577">
        <f t="shared" si="147"/>
        <v>26</v>
      </c>
      <c r="Y221" s="577">
        <f t="shared" si="147"/>
        <v>3</v>
      </c>
      <c r="Z221" s="577">
        <f t="shared" si="147"/>
        <v>0</v>
      </c>
      <c r="AA221" s="577">
        <f t="shared" si="147"/>
        <v>0</v>
      </c>
      <c r="AB221" s="577">
        <f t="shared" ref="AB221:AC221" si="148">AB220/20</f>
        <v>0</v>
      </c>
      <c r="AC221" s="586">
        <f t="shared" si="148"/>
        <v>80</v>
      </c>
      <c r="AD221" s="575"/>
      <c r="AE221" s="668">
        <f>SUM(E221:AC221)</f>
        <v>256.39999999999998</v>
      </c>
      <c r="AF221" s="687">
        <f>AF220/20</f>
        <v>0</v>
      </c>
      <c r="AG221" s="687">
        <f>AG220/20</f>
        <v>0</v>
      </c>
      <c r="AH221" s="575">
        <f t="shared" ref="AH221:AJ221" si="149">AH220/20</f>
        <v>236.4</v>
      </c>
      <c r="AI221" s="687">
        <f t="shared" si="149"/>
        <v>0</v>
      </c>
      <c r="AJ221" s="662">
        <f t="shared" si="149"/>
        <v>236.4</v>
      </c>
    </row>
    <row r="222" spans="1:39" s="283" customFormat="1" ht="19.5" thickBot="1">
      <c r="A222" s="306"/>
      <c r="B222" s="307"/>
      <c r="C222" s="307"/>
      <c r="D222" s="308"/>
      <c r="E222" s="309"/>
      <c r="F222" s="309"/>
      <c r="G222" s="309"/>
      <c r="H222" s="309"/>
      <c r="I222" s="309"/>
      <c r="J222" s="309"/>
      <c r="K222" s="309"/>
      <c r="L222" s="346"/>
      <c r="M222" s="347"/>
      <c r="N222" s="347"/>
      <c r="O222" s="347"/>
      <c r="P222" s="347"/>
      <c r="Q222" s="347"/>
      <c r="R222" s="347"/>
      <c r="S222" s="347"/>
      <c r="T222" s="347"/>
      <c r="U222" s="346"/>
      <c r="V222" s="347"/>
      <c r="W222" s="347"/>
      <c r="X222" s="347"/>
      <c r="Y222" s="347"/>
      <c r="Z222" s="347"/>
      <c r="AA222" s="347"/>
      <c r="AB222" s="347"/>
      <c r="AC222" s="347"/>
      <c r="AD222" s="346"/>
      <c r="AE222" s="347"/>
      <c r="AF222" s="347"/>
      <c r="AG222" s="347"/>
      <c r="AH222" s="347"/>
      <c r="AI222" s="347"/>
      <c r="AJ222" s="402"/>
    </row>
    <row r="223" spans="1:39" s="283" customFormat="1" ht="16.5" thickBot="1">
      <c r="A223" s="3881" t="s">
        <v>183</v>
      </c>
      <c r="B223" s="3882"/>
      <c r="C223" s="3883"/>
      <c r="D223" s="288" t="s">
        <v>70</v>
      </c>
      <c r="E223" s="743" t="s">
        <v>96</v>
      </c>
      <c r="F223" s="744" t="s">
        <v>250</v>
      </c>
      <c r="G223" s="744" t="s">
        <v>86</v>
      </c>
      <c r="H223" s="744" t="s">
        <v>85</v>
      </c>
      <c r="I223" s="744" t="s">
        <v>123</v>
      </c>
      <c r="J223" s="744" t="s">
        <v>149</v>
      </c>
      <c r="K223" s="783" t="s">
        <v>92</v>
      </c>
      <c r="L223" s="578"/>
      <c r="M223" s="743" t="s">
        <v>214</v>
      </c>
      <c r="N223" s="744" t="s">
        <v>92</v>
      </c>
      <c r="O223" s="744" t="s">
        <v>251</v>
      </c>
      <c r="P223" s="744" t="s">
        <v>53</v>
      </c>
      <c r="Q223" s="744" t="s">
        <v>94</v>
      </c>
      <c r="R223" s="744" t="s">
        <v>482</v>
      </c>
      <c r="S223" s="50" t="s">
        <v>525</v>
      </c>
      <c r="T223" s="805" t="s">
        <v>86</v>
      </c>
      <c r="U223" s="578"/>
      <c r="V223" s="743" t="s">
        <v>95</v>
      </c>
      <c r="W223" s="744"/>
      <c r="X223" s="744" t="s">
        <v>252</v>
      </c>
      <c r="Y223" s="744"/>
      <c r="Z223" s="102"/>
      <c r="AA223" s="744" t="s">
        <v>76</v>
      </c>
      <c r="AB223" s="799"/>
      <c r="AC223" s="783" t="s">
        <v>53</v>
      </c>
      <c r="AD223" s="79"/>
      <c r="AE223" s="371" t="s">
        <v>172</v>
      </c>
      <c r="AF223" s="372" t="s">
        <v>80</v>
      </c>
      <c r="AG223" s="385"/>
      <c r="AH223" s="386" t="s">
        <v>106</v>
      </c>
      <c r="AI223" s="385" t="s">
        <v>173</v>
      </c>
      <c r="AJ223" s="371" t="s">
        <v>108</v>
      </c>
    </row>
    <row r="224" spans="1:39" s="284" customFormat="1" ht="20.25" customHeight="1">
      <c r="A224" s="631" t="s">
        <v>184</v>
      </c>
      <c r="B224" s="443"/>
      <c r="C224" s="443"/>
      <c r="D224" s="444"/>
      <c r="E224" s="433"/>
      <c r="F224" s="434"/>
      <c r="G224" s="434"/>
      <c r="H224" s="435"/>
      <c r="I224" s="435"/>
      <c r="J224" s="434"/>
      <c r="K224" s="480"/>
      <c r="L224" s="483"/>
      <c r="M224" s="484"/>
      <c r="N224" s="435"/>
      <c r="O224" s="435"/>
      <c r="P224" s="435"/>
      <c r="Q224" s="435"/>
      <c r="R224" s="435"/>
      <c r="S224" s="435"/>
      <c r="T224" s="492"/>
      <c r="U224" s="483"/>
      <c r="V224" s="433"/>
      <c r="W224" s="434"/>
      <c r="X224" s="434"/>
      <c r="Y224" s="435"/>
      <c r="Z224" s="435"/>
      <c r="AA224" s="435"/>
      <c r="AB224" s="434"/>
      <c r="AC224" s="495"/>
      <c r="AD224" s="483"/>
      <c r="AE224" s="496">
        <f t="shared" ref="AE224:AE225" si="150">SUM(E224:AC224)</f>
        <v>0</v>
      </c>
      <c r="AF224" s="497"/>
      <c r="AG224" s="510"/>
      <c r="AH224" s="511">
        <f t="shared" ref="AH224:AH225" si="151">AE224+AF224</f>
        <v>0</v>
      </c>
      <c r="AI224" s="512"/>
      <c r="AJ224" s="703">
        <f>AH224+AI224</f>
        <v>0</v>
      </c>
      <c r="AK224" s="403"/>
      <c r="AL224" s="403"/>
      <c r="AM224" s="403"/>
    </row>
    <row r="225" spans="1:37" s="1" customFormat="1" ht="21" thickBot="1">
      <c r="A225" s="322"/>
      <c r="B225" s="323"/>
      <c r="C225" s="323"/>
      <c r="D225" s="324"/>
      <c r="E225" s="325"/>
      <c r="F225" s="297"/>
      <c r="G225" s="297"/>
      <c r="H225" s="298"/>
      <c r="I225" s="298"/>
      <c r="J225" s="297"/>
      <c r="K225" s="344"/>
      <c r="L225" s="355"/>
      <c r="M225" s="343"/>
      <c r="N225" s="298"/>
      <c r="O225" s="298"/>
      <c r="P225" s="298"/>
      <c r="Q225" s="298"/>
      <c r="R225" s="298"/>
      <c r="S225" s="298"/>
      <c r="T225" s="367"/>
      <c r="U225" s="355"/>
      <c r="V225" s="325"/>
      <c r="W225" s="297"/>
      <c r="X225" s="297"/>
      <c r="Y225" s="298"/>
      <c r="Z225" s="298"/>
      <c r="AA225" s="298"/>
      <c r="AB225" s="297"/>
      <c r="AC225" s="375"/>
      <c r="AD225" s="355"/>
      <c r="AE225" s="377">
        <f t="shared" si="150"/>
        <v>0</v>
      </c>
      <c r="AF225" s="377"/>
      <c r="AG225" s="390"/>
      <c r="AH225" s="507">
        <f t="shared" si="151"/>
        <v>0</v>
      </c>
      <c r="AI225" s="412"/>
      <c r="AJ225" s="508">
        <f t="shared" ref="AJ225" si="152">AH225+AI225</f>
        <v>0</v>
      </c>
    </row>
    <row r="226" spans="1:37" ht="21" thickBot="1">
      <c r="A226" s="436"/>
      <c r="B226" s="437"/>
      <c r="C226" s="437"/>
      <c r="D226" s="438"/>
      <c r="E226" s="439">
        <f t="shared" ref="E226:K226" si="153">SUM(E224:E225)</f>
        <v>0</v>
      </c>
      <c r="F226" s="440">
        <f t="shared" si="153"/>
        <v>0</v>
      </c>
      <c r="G226" s="440">
        <f t="shared" si="153"/>
        <v>0</v>
      </c>
      <c r="H226" s="440">
        <f t="shared" si="153"/>
        <v>0</v>
      </c>
      <c r="I226" s="440">
        <f t="shared" si="153"/>
        <v>0</v>
      </c>
      <c r="J226" s="440">
        <f t="shared" si="153"/>
        <v>0</v>
      </c>
      <c r="K226" s="481">
        <f t="shared" si="153"/>
        <v>0</v>
      </c>
      <c r="L226" s="482"/>
      <c r="M226" s="439">
        <f t="shared" ref="M226:T226" si="154">SUM(M224:M225)</f>
        <v>0</v>
      </c>
      <c r="N226" s="440">
        <f t="shared" si="154"/>
        <v>0</v>
      </c>
      <c r="O226" s="440">
        <f t="shared" si="154"/>
        <v>0</v>
      </c>
      <c r="P226" s="440">
        <f t="shared" si="154"/>
        <v>0</v>
      </c>
      <c r="Q226" s="440">
        <f t="shared" si="154"/>
        <v>0</v>
      </c>
      <c r="R226" s="440">
        <f t="shared" si="154"/>
        <v>0</v>
      </c>
      <c r="S226" s="440">
        <f t="shared" si="154"/>
        <v>0</v>
      </c>
      <c r="T226" s="481">
        <f t="shared" si="154"/>
        <v>0</v>
      </c>
      <c r="U226" s="482"/>
      <c r="V226" s="439">
        <f t="shared" ref="V226:AC226" si="155">SUM(V224:V225)</f>
        <v>0</v>
      </c>
      <c r="W226" s="440">
        <f t="shared" si="155"/>
        <v>0</v>
      </c>
      <c r="X226" s="440">
        <f t="shared" si="155"/>
        <v>0</v>
      </c>
      <c r="Y226" s="440">
        <f t="shared" si="155"/>
        <v>0</v>
      </c>
      <c r="Z226" s="440">
        <f t="shared" si="155"/>
        <v>0</v>
      </c>
      <c r="AA226" s="440">
        <f t="shared" si="155"/>
        <v>0</v>
      </c>
      <c r="AB226" s="440">
        <f t="shared" si="155"/>
        <v>0</v>
      </c>
      <c r="AC226" s="481">
        <f t="shared" si="155"/>
        <v>0</v>
      </c>
      <c r="AD226" s="482"/>
      <c r="AE226" s="494">
        <f>SUM(AE224:AE225)</f>
        <v>0</v>
      </c>
      <c r="AF226" s="494">
        <f>SUM(AF224:AF225)</f>
        <v>0</v>
      </c>
      <c r="AG226" s="509"/>
      <c r="AH226" s="514">
        <f>SUM(AH224:AH225)</f>
        <v>0</v>
      </c>
      <c r="AI226" s="494">
        <f>SUM(AI224:AI225)</f>
        <v>0</v>
      </c>
      <c r="AJ226" s="509">
        <f>SUM(AJ224:AJ225)</f>
        <v>0</v>
      </c>
    </row>
    <row r="227" spans="1:37" ht="18.75">
      <c r="A227" s="522"/>
      <c r="B227" s="523"/>
      <c r="C227" s="523"/>
      <c r="D227" s="524"/>
      <c r="E227" s="525"/>
      <c r="F227" s="525"/>
      <c r="G227" s="525"/>
      <c r="H227" s="525"/>
      <c r="I227" s="525"/>
      <c r="J227" s="525"/>
      <c r="K227" s="525"/>
      <c r="L227" s="572"/>
      <c r="M227" s="573"/>
      <c r="N227" s="573"/>
      <c r="O227" s="573"/>
      <c r="P227" s="573"/>
      <c r="Q227" s="573"/>
      <c r="R227" s="573"/>
      <c r="S227" s="573"/>
      <c r="T227" s="573"/>
      <c r="U227" s="572"/>
      <c r="V227" s="573"/>
      <c r="W227" s="573"/>
      <c r="X227" s="573"/>
      <c r="Y227" s="573"/>
      <c r="Z227" s="573"/>
      <c r="AA227" s="573"/>
      <c r="AB227" s="573"/>
      <c r="AC227" s="573"/>
      <c r="AD227" s="572"/>
      <c r="AE227" s="573"/>
      <c r="AF227" s="573"/>
      <c r="AG227" s="599"/>
      <c r="AH227" s="573"/>
      <c r="AI227" s="573"/>
      <c r="AJ227" s="600"/>
    </row>
    <row r="228" spans="1:37" ht="20.25">
      <c r="A228" s="122"/>
      <c r="B228" s="632"/>
      <c r="C228" s="632"/>
      <c r="D228" s="122"/>
      <c r="E228" s="3901"/>
      <c r="F228" s="3901"/>
      <c r="G228" s="3901"/>
      <c r="H228" s="3901"/>
      <c r="I228" s="3901"/>
      <c r="J228" s="3901"/>
      <c r="K228" s="3901"/>
      <c r="L228" s="633"/>
      <c r="M228" s="3902"/>
      <c r="N228" s="3902"/>
      <c r="O228" s="3902"/>
      <c r="P228" s="3902"/>
      <c r="Q228" s="3902"/>
      <c r="R228" s="3902"/>
      <c r="S228" s="3902"/>
      <c r="T228" s="3902"/>
      <c r="U228" s="663"/>
      <c r="V228" s="3903"/>
      <c r="W228" s="3903"/>
      <c r="X228" s="3903"/>
      <c r="Y228" s="3903"/>
      <c r="Z228" s="3903"/>
      <c r="AA228" s="3903"/>
      <c r="AB228" s="3903"/>
      <c r="AC228" s="3903"/>
      <c r="AD228" s="688"/>
      <c r="AE228" s="689"/>
      <c r="AF228" s="673"/>
      <c r="AG228" s="673"/>
      <c r="AH228" s="689"/>
      <c r="AI228" s="689"/>
      <c r="AJ228" s="704"/>
    </row>
    <row r="229" spans="1:37" ht="15.75" thickBot="1">
      <c r="A229" s="634"/>
      <c r="B229" s="635"/>
      <c r="C229" s="635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4"/>
      <c r="S229" s="634"/>
      <c r="T229" s="634"/>
      <c r="U229" s="634"/>
      <c r="V229" s="634"/>
      <c r="W229" s="634"/>
      <c r="X229" s="634"/>
      <c r="Y229" s="634"/>
      <c r="Z229" s="634"/>
      <c r="AA229" s="634"/>
      <c r="AB229" s="690"/>
      <c r="AC229" s="690"/>
      <c r="AD229" s="690"/>
      <c r="AE229" s="690"/>
      <c r="AF229" s="634"/>
      <c r="AG229" s="634"/>
      <c r="AH229" s="634"/>
      <c r="AI229" s="634"/>
      <c r="AJ229" s="634"/>
      <c r="AK229" s="1"/>
    </row>
    <row r="230" spans="1:37" ht="21" thickBot="1">
      <c r="A230" s="636" t="s">
        <v>185</v>
      </c>
      <c r="B230" s="637"/>
      <c r="C230" s="637"/>
      <c r="D230" s="638"/>
      <c r="E230" s="529">
        <f t="shared" ref="E230:K230" si="156">E146-E220+E226</f>
        <v>0</v>
      </c>
      <c r="F230" s="639">
        <f t="shared" si="156"/>
        <v>-160</v>
      </c>
      <c r="G230" s="639">
        <f t="shared" si="156"/>
        <v>-20</v>
      </c>
      <c r="H230" s="639">
        <f t="shared" si="156"/>
        <v>0</v>
      </c>
      <c r="I230" s="639">
        <f t="shared" si="156"/>
        <v>0</v>
      </c>
      <c r="J230" s="639">
        <f t="shared" si="156"/>
        <v>0</v>
      </c>
      <c r="K230" s="664">
        <f t="shared" si="156"/>
        <v>-140</v>
      </c>
      <c r="L230" s="574"/>
      <c r="M230" s="665">
        <f t="shared" ref="M230:T230" si="157">M146-M220+M226</f>
        <v>288</v>
      </c>
      <c r="N230" s="666">
        <f t="shared" si="157"/>
        <v>0</v>
      </c>
      <c r="O230" s="666">
        <f t="shared" si="157"/>
        <v>0</v>
      </c>
      <c r="P230" s="666">
        <f t="shared" si="157"/>
        <v>1696</v>
      </c>
      <c r="Q230" s="666">
        <f t="shared" si="157"/>
        <v>544</v>
      </c>
      <c r="R230" s="666">
        <f t="shared" si="157"/>
        <v>416</v>
      </c>
      <c r="S230" s="666">
        <f t="shared" si="157"/>
        <v>880</v>
      </c>
      <c r="T230" s="674">
        <f t="shared" si="157"/>
        <v>0</v>
      </c>
      <c r="U230" s="574"/>
      <c r="V230" s="665">
        <f t="shared" ref="V230:AC230" si="158">V146-V220+V226</f>
        <v>-580</v>
      </c>
      <c r="W230" s="666">
        <f t="shared" si="158"/>
        <v>0</v>
      </c>
      <c r="X230" s="666">
        <f t="shared" si="158"/>
        <v>-520</v>
      </c>
      <c r="Y230" s="666">
        <f t="shared" si="158"/>
        <v>-60</v>
      </c>
      <c r="Z230" s="666">
        <f t="shared" si="158"/>
        <v>0</v>
      </c>
      <c r="AA230" s="666">
        <f t="shared" si="158"/>
        <v>0</v>
      </c>
      <c r="AB230" s="666">
        <f t="shared" si="158"/>
        <v>0</v>
      </c>
      <c r="AC230" s="674">
        <f t="shared" si="158"/>
        <v>-1600</v>
      </c>
      <c r="AD230" s="691"/>
      <c r="AE230" s="529">
        <f>AE146-AE220+AE226</f>
        <v>744</v>
      </c>
      <c r="AF230" s="2714">
        <f>AF146-AF220-AG220+AF226</f>
        <v>14</v>
      </c>
      <c r="AG230" s="851"/>
      <c r="AH230" s="529">
        <f>AH146-AH220+AH226</f>
        <v>758</v>
      </c>
      <c r="AI230" s="529">
        <f>AI146-AI220+AI226</f>
        <v>38</v>
      </c>
      <c r="AJ230" s="693">
        <f>AJ146-AJ220+AJ226</f>
        <v>796</v>
      </c>
    </row>
    <row r="231" spans="1:37" ht="21" thickBot="1">
      <c r="A231" s="640" t="s">
        <v>152</v>
      </c>
      <c r="B231" s="641"/>
      <c r="C231" s="641"/>
      <c r="D231" s="642"/>
      <c r="E231" s="529">
        <f>E230/20</f>
        <v>0</v>
      </c>
      <c r="F231" s="529">
        <f t="shared" ref="F231:K231" si="159">F230/20</f>
        <v>-8</v>
      </c>
      <c r="G231" s="529">
        <f t="shared" si="159"/>
        <v>-1</v>
      </c>
      <c r="H231" s="529">
        <f t="shared" si="159"/>
        <v>0</v>
      </c>
      <c r="I231" s="529">
        <f t="shared" si="159"/>
        <v>0</v>
      </c>
      <c r="J231" s="529">
        <f t="shared" si="159"/>
        <v>0</v>
      </c>
      <c r="K231" s="529">
        <f t="shared" si="159"/>
        <v>-7</v>
      </c>
      <c r="L231" s="529"/>
      <c r="M231" s="529">
        <f>M230/20</f>
        <v>14.4</v>
      </c>
      <c r="N231" s="529">
        <f t="shared" ref="N231:T231" si="160">N230/20</f>
        <v>0</v>
      </c>
      <c r="O231" s="529">
        <f t="shared" si="160"/>
        <v>0</v>
      </c>
      <c r="P231" s="529">
        <f t="shared" si="160"/>
        <v>84.8</v>
      </c>
      <c r="Q231" s="529">
        <f t="shared" si="160"/>
        <v>27.2</v>
      </c>
      <c r="R231" s="529">
        <f t="shared" si="160"/>
        <v>20.8</v>
      </c>
      <c r="S231" s="529">
        <f t="shared" si="160"/>
        <v>44</v>
      </c>
      <c r="T231" s="529">
        <f t="shared" si="160"/>
        <v>0</v>
      </c>
      <c r="U231" s="529"/>
      <c r="V231" s="529">
        <f>V230/20</f>
        <v>-29</v>
      </c>
      <c r="W231" s="529">
        <f t="shared" ref="W231:AC231" si="161">W230/20</f>
        <v>0</v>
      </c>
      <c r="X231" s="529">
        <f t="shared" si="161"/>
        <v>-26</v>
      </c>
      <c r="Y231" s="529">
        <f t="shared" si="161"/>
        <v>-3</v>
      </c>
      <c r="Z231" s="529">
        <f t="shared" si="161"/>
        <v>0</v>
      </c>
      <c r="AA231" s="529">
        <f t="shared" si="161"/>
        <v>0</v>
      </c>
      <c r="AB231" s="529">
        <f t="shared" si="161"/>
        <v>0</v>
      </c>
      <c r="AC231" s="529">
        <f t="shared" si="161"/>
        <v>-80</v>
      </c>
      <c r="AD231" s="692"/>
      <c r="AE231" s="693">
        <f>AE230/20</f>
        <v>37.200000000000003</v>
      </c>
      <c r="AF231" s="3775">
        <f>AF230/20</f>
        <v>0.7</v>
      </c>
      <c r="AG231" s="3884"/>
      <c r="AH231" s="693">
        <f>AH230/20</f>
        <v>37.9</v>
      </c>
      <c r="AI231" s="574">
        <f>AI230/20</f>
        <v>1.9</v>
      </c>
      <c r="AJ231" s="706">
        <f>AJ230/20</f>
        <v>39.799999999999997</v>
      </c>
    </row>
    <row r="232" spans="1:37" ht="21" thickBot="1">
      <c r="A232" s="643" t="s">
        <v>156</v>
      </c>
      <c r="B232" s="644"/>
      <c r="C232" s="644"/>
      <c r="D232" s="645"/>
      <c r="E232" s="3897">
        <f>SUM(E231:K231)</f>
        <v>-16</v>
      </c>
      <c r="F232" s="3898"/>
      <c r="G232" s="3898"/>
      <c r="H232" s="3898"/>
      <c r="I232" s="3898"/>
      <c r="J232" s="3898"/>
      <c r="K232" s="3899"/>
      <c r="L232" s="667"/>
      <c r="M232" s="3778">
        <f>SUM(M231:T231)</f>
        <v>191.20000000000002</v>
      </c>
      <c r="N232" s="3779"/>
      <c r="O232" s="3779"/>
      <c r="P232" s="3779"/>
      <c r="Q232" s="3779"/>
      <c r="R232" s="3779"/>
      <c r="S232" s="3779"/>
      <c r="T232" s="3780"/>
      <c r="U232" s="675"/>
      <c r="V232" s="3778">
        <f>SUM(V231:AC231)</f>
        <v>-138</v>
      </c>
      <c r="W232" s="3779"/>
      <c r="X232" s="3779"/>
      <c r="Y232" s="3779"/>
      <c r="Z232" s="3779"/>
      <c r="AA232" s="3779"/>
      <c r="AB232" s="3779"/>
      <c r="AC232" s="3780"/>
      <c r="AD232" s="694"/>
      <c r="AE232" s="694"/>
      <c r="AF232" s="694"/>
      <c r="AG232" s="694"/>
      <c r="AH232" s="694"/>
      <c r="AI232" s="694"/>
      <c r="AJ232" s="707"/>
    </row>
    <row r="233" spans="1:37" ht="21" thickBot="1">
      <c r="A233" s="646" t="s">
        <v>157</v>
      </c>
      <c r="B233" s="647"/>
      <c r="C233" s="647"/>
      <c r="D233" s="648"/>
      <c r="E233" s="3875">
        <f>SUM(E230:K230)</f>
        <v>-320</v>
      </c>
      <c r="F233" s="3876"/>
      <c r="G233" s="3876"/>
      <c r="H233" s="3876"/>
      <c r="I233" s="3876"/>
      <c r="J233" s="3876"/>
      <c r="K233" s="3900"/>
      <c r="L233" s="669"/>
      <c r="M233" s="3877">
        <f>SUM(M230:T230)</f>
        <v>3824</v>
      </c>
      <c r="N233" s="3878"/>
      <c r="O233" s="3878"/>
      <c r="P233" s="3878"/>
      <c r="Q233" s="3878"/>
      <c r="R233" s="3878"/>
      <c r="S233" s="3878"/>
      <c r="T233" s="3879"/>
      <c r="U233" s="676"/>
      <c r="V233" s="3781">
        <f>SUM(V230:AC230)</f>
        <v>-2760</v>
      </c>
      <c r="W233" s="3788"/>
      <c r="X233" s="3788"/>
      <c r="Y233" s="3788"/>
      <c r="Z233" s="3788"/>
      <c r="AA233" s="3788"/>
      <c r="AB233" s="3788"/>
      <c r="AC233" s="3880"/>
      <c r="AD233" s="688"/>
      <c r="AE233" s="689"/>
      <c r="AF233" s="673"/>
      <c r="AG233" s="673"/>
      <c r="AH233" s="689"/>
      <c r="AI233" s="689"/>
      <c r="AJ233" s="704"/>
    </row>
    <row r="234" spans="1:37">
      <c r="A234" s="634"/>
      <c r="B234" s="635"/>
      <c r="C234" s="635"/>
      <c r="D234" s="649"/>
      <c r="E234" s="634"/>
      <c r="F234" s="634"/>
      <c r="G234" s="634"/>
      <c r="H234" s="634"/>
      <c r="I234" s="634"/>
      <c r="J234" s="634"/>
      <c r="K234" s="634"/>
      <c r="L234" s="634"/>
      <c r="M234" s="634"/>
      <c r="N234" s="634"/>
      <c r="O234" s="634"/>
      <c r="P234" s="634"/>
      <c r="Q234" s="634"/>
      <c r="R234" s="634"/>
      <c r="S234" s="634"/>
      <c r="T234" s="634"/>
      <c r="U234" s="634"/>
      <c r="V234" s="634"/>
      <c r="W234" s="634"/>
      <c r="X234" s="634"/>
      <c r="Y234" s="634"/>
      <c r="Z234" s="634"/>
      <c r="AA234" s="634"/>
      <c r="AB234" s="690"/>
      <c r="AC234" s="690"/>
      <c r="AD234" s="690"/>
      <c r="AE234" s="690"/>
      <c r="AF234" s="634"/>
      <c r="AG234" s="634"/>
      <c r="AH234" s="634"/>
      <c r="AI234" s="634"/>
      <c r="AJ234" s="634"/>
    </row>
    <row r="235" spans="1:37" ht="21" thickBot="1">
      <c r="A235" s="650"/>
      <c r="B235" s="651"/>
      <c r="C235" s="651"/>
      <c r="D235" s="650"/>
      <c r="E235" s="650"/>
      <c r="F235" s="650"/>
      <c r="G235" s="650"/>
      <c r="H235" s="650"/>
      <c r="I235" s="650"/>
      <c r="J235" s="650"/>
      <c r="K235" s="650"/>
      <c r="L235" s="650"/>
      <c r="M235" s="650"/>
      <c r="N235" s="650"/>
      <c r="O235" s="650"/>
      <c r="P235" s="650"/>
      <c r="Q235" s="650"/>
      <c r="R235" s="650"/>
      <c r="S235" s="650"/>
      <c r="T235" s="650"/>
      <c r="U235" s="650"/>
      <c r="V235" s="650"/>
      <c r="W235" s="650"/>
      <c r="X235" s="650"/>
      <c r="Y235" s="650"/>
      <c r="Z235" s="650"/>
      <c r="AA235" s="650"/>
      <c r="AB235" s="650"/>
      <c r="AC235" s="650"/>
      <c r="AD235" s="650"/>
      <c r="AE235" s="650"/>
      <c r="AF235" s="650"/>
      <c r="AG235" s="650"/>
      <c r="AH235" s="650"/>
      <c r="AI235" s="650"/>
      <c r="AJ235" s="650"/>
    </row>
    <row r="236" spans="1:37" ht="32.25" customHeight="1" thickBot="1">
      <c r="A236" s="634"/>
      <c r="B236" s="635"/>
      <c r="C236" s="635"/>
      <c r="D236" s="634"/>
      <c r="E236" s="634"/>
      <c r="F236" s="634"/>
      <c r="G236" s="634"/>
      <c r="H236" s="634"/>
      <c r="I236" s="634"/>
      <c r="J236" s="634"/>
      <c r="K236" s="634"/>
      <c r="L236" s="634"/>
      <c r="M236" s="634"/>
      <c r="N236" s="634"/>
      <c r="O236" s="634"/>
      <c r="P236" s="634"/>
      <c r="Q236" s="634"/>
      <c r="R236" s="634"/>
      <c r="S236" s="634"/>
      <c r="T236" s="634"/>
      <c r="U236" s="634"/>
      <c r="V236" s="634"/>
      <c r="W236" s="677"/>
      <c r="X236" s="3857" t="s">
        <v>158</v>
      </c>
      <c r="Y236" s="3858"/>
      <c r="Z236" s="3858"/>
      <c r="AA236" s="3858"/>
      <c r="AB236" s="3859"/>
      <c r="AC236" s="3802">
        <f>'BIG CHAIR'!CI325</f>
        <v>0</v>
      </c>
      <c r="AD236" s="3803"/>
      <c r="AE236" s="3804"/>
      <c r="AF236" s="634"/>
      <c r="AG236" s="634"/>
      <c r="AH236" s="634"/>
      <c r="AI236" s="634"/>
      <c r="AJ236" s="634"/>
    </row>
    <row r="237" spans="1:37" ht="27.75" thickBot="1">
      <c r="A237" s="634"/>
      <c r="B237" s="635"/>
      <c r="C237" s="635"/>
      <c r="D237" s="634"/>
      <c r="E237" s="634"/>
      <c r="F237" s="634"/>
      <c r="G237" s="634"/>
      <c r="H237" s="634"/>
      <c r="I237" s="634"/>
      <c r="J237" s="634"/>
      <c r="K237" s="634"/>
      <c r="L237" s="634"/>
      <c r="M237" s="634"/>
      <c r="N237" s="634"/>
      <c r="O237" s="634"/>
      <c r="P237" s="634"/>
      <c r="Q237" s="634"/>
      <c r="R237" s="634"/>
      <c r="S237" s="634"/>
      <c r="T237" s="634"/>
      <c r="U237" s="634"/>
      <c r="V237" s="634"/>
      <c r="W237" s="677"/>
      <c r="X237" s="3857" t="s">
        <v>159</v>
      </c>
      <c r="Y237" s="3858"/>
      <c r="Z237" s="3858"/>
      <c r="AA237" s="3858"/>
      <c r="AB237" s="3859"/>
      <c r="AC237" s="3872">
        <f>AE230</f>
        <v>744</v>
      </c>
      <c r="AD237" s="3873"/>
      <c r="AE237" s="3874"/>
      <c r="AF237" s="634"/>
      <c r="AG237" s="634"/>
      <c r="AH237" s="634"/>
      <c r="AI237" s="634"/>
      <c r="AJ237" s="708"/>
    </row>
    <row r="238" spans="1:37" ht="27.75" thickBot="1">
      <c r="A238" s="634"/>
      <c r="B238" s="635"/>
      <c r="C238" s="635"/>
      <c r="D238" s="634"/>
      <c r="E238" s="634"/>
      <c r="F238" s="634"/>
      <c r="G238" s="634"/>
      <c r="H238" s="634"/>
      <c r="I238" s="634"/>
      <c r="J238" s="634"/>
      <c r="K238" s="634"/>
      <c r="L238" s="634"/>
      <c r="M238" s="634"/>
      <c r="N238" s="634"/>
      <c r="O238" s="634"/>
      <c r="P238" s="634"/>
      <c r="Q238" s="634"/>
      <c r="R238" s="634"/>
      <c r="S238" s="634"/>
      <c r="T238" s="634"/>
      <c r="U238" s="634"/>
      <c r="V238" s="634"/>
      <c r="W238" s="677"/>
      <c r="X238" s="3857" t="s">
        <v>160</v>
      </c>
      <c r="Y238" s="3858"/>
      <c r="Z238" s="3858"/>
      <c r="AA238" s="3858"/>
      <c r="AB238" s="3859"/>
      <c r="AC238" s="3802">
        <f>'BIG CHAIR'!CJ325</f>
        <v>0</v>
      </c>
      <c r="AD238" s="3803"/>
      <c r="AE238" s="3804"/>
      <c r="AF238" s="634"/>
      <c r="AG238" s="634"/>
      <c r="AH238" s="634"/>
      <c r="AI238" s="634"/>
      <c r="AJ238" s="634"/>
    </row>
    <row r="239" spans="1:37" ht="27.75" thickBot="1">
      <c r="A239" s="634"/>
      <c r="B239" s="635"/>
      <c r="C239" s="635"/>
      <c r="D239" s="634"/>
      <c r="E239" s="634"/>
      <c r="F239" s="634"/>
      <c r="G239" s="634"/>
      <c r="H239" s="634"/>
      <c r="I239" s="634"/>
      <c r="J239" s="634"/>
      <c r="K239" s="634"/>
      <c r="L239" s="634"/>
      <c r="M239" s="634"/>
      <c r="N239" s="634"/>
      <c r="O239" s="634"/>
      <c r="P239" s="634"/>
      <c r="Q239" s="634"/>
      <c r="R239" s="634"/>
      <c r="S239" s="634"/>
      <c r="T239" s="634"/>
      <c r="U239" s="634"/>
      <c r="V239" s="634"/>
      <c r="W239" s="677"/>
      <c r="X239" s="3857" t="s">
        <v>161</v>
      </c>
      <c r="Y239" s="3858"/>
      <c r="Z239" s="3858"/>
      <c r="AA239" s="3858"/>
      <c r="AB239" s="3858"/>
      <c r="AC239" s="3872">
        <f>AF230</f>
        <v>14</v>
      </c>
      <c r="AD239" s="3803"/>
      <c r="AE239" s="3804"/>
      <c r="AF239" s="634"/>
      <c r="AG239" s="634"/>
      <c r="AH239" s="634"/>
      <c r="AI239" s="634"/>
      <c r="AJ239" s="634"/>
    </row>
    <row r="240" spans="1:37" ht="27.75" thickBot="1">
      <c r="A240" s="634"/>
      <c r="B240" s="635"/>
      <c r="C240" s="635"/>
      <c r="D240" s="634"/>
      <c r="E240" s="634"/>
      <c r="F240" s="634"/>
      <c r="G240" s="634"/>
      <c r="H240" s="634"/>
      <c r="I240" s="634"/>
      <c r="J240" s="634"/>
      <c r="K240" s="634"/>
      <c r="L240" s="634"/>
      <c r="M240" s="634"/>
      <c r="N240" s="634"/>
      <c r="O240" s="634"/>
      <c r="P240" s="634"/>
      <c r="Q240" s="634"/>
      <c r="R240" s="634"/>
      <c r="S240" s="634"/>
      <c r="T240" s="634"/>
      <c r="U240" s="634"/>
      <c r="V240" s="634"/>
      <c r="W240" s="677"/>
      <c r="X240" s="3857" t="s">
        <v>162</v>
      </c>
      <c r="Y240" s="3858"/>
      <c r="Z240" s="3858"/>
      <c r="AA240" s="3858"/>
      <c r="AB240" s="3859"/>
      <c r="AC240" s="3802">
        <f>'Tea Table'!U285</f>
        <v>2676</v>
      </c>
      <c r="AD240" s="3803"/>
      <c r="AE240" s="3804"/>
      <c r="AF240" s="634"/>
      <c r="AG240" s="634"/>
      <c r="AH240" s="634"/>
      <c r="AI240" s="634"/>
      <c r="AJ240" s="634"/>
    </row>
    <row r="241" spans="1:36" ht="27.75" thickBot="1">
      <c r="A241" s="634"/>
      <c r="B241" s="635"/>
      <c r="C241" s="635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4"/>
      <c r="P241" s="634"/>
      <c r="Q241" s="634"/>
      <c r="R241" s="634"/>
      <c r="S241" s="634"/>
      <c r="T241" s="634"/>
      <c r="U241" s="634"/>
      <c r="V241" s="634"/>
      <c r="W241" s="677"/>
      <c r="X241" s="3860" t="s">
        <v>163</v>
      </c>
      <c r="Y241" s="3861"/>
      <c r="Z241" s="3861"/>
      <c r="AA241" s="3861"/>
      <c r="AB241" s="3862"/>
      <c r="AC241" s="3863">
        <f>'Tea Table'!V285</f>
        <v>29</v>
      </c>
      <c r="AD241" s="3864"/>
      <c r="AE241" s="3865"/>
      <c r="AF241" s="634"/>
      <c r="AG241" s="634"/>
      <c r="AH241" s="634"/>
      <c r="AI241" s="634"/>
      <c r="AJ241" s="634"/>
    </row>
    <row r="242" spans="1:36" ht="28.5" thickTop="1" thickBot="1">
      <c r="A242" s="634"/>
      <c r="B242" s="635"/>
      <c r="C242" s="635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4"/>
      <c r="P242" s="634"/>
      <c r="Q242" s="634"/>
      <c r="R242" s="634"/>
      <c r="S242" s="634"/>
      <c r="T242" s="634"/>
      <c r="U242" s="634"/>
      <c r="V242" s="634"/>
      <c r="W242" s="677"/>
      <c r="X242" s="3866"/>
      <c r="Y242" s="3867"/>
      <c r="Z242" s="3867"/>
      <c r="AA242" s="3867"/>
      <c r="AB242" s="3868"/>
      <c r="AC242" s="3869"/>
      <c r="AD242" s="3870"/>
      <c r="AE242" s="3871"/>
      <c r="AF242" s="634"/>
      <c r="AG242" s="634"/>
      <c r="AH242" s="634"/>
      <c r="AI242" s="634"/>
      <c r="AJ242" s="634"/>
    </row>
    <row r="243" spans="1:36" ht="27.75" thickBot="1">
      <c r="A243" s="634"/>
      <c r="B243" s="635"/>
      <c r="C243" s="635"/>
      <c r="D243" s="634"/>
      <c r="E243" s="634"/>
      <c r="F243" s="634"/>
      <c r="G243" s="634"/>
      <c r="H243" s="634"/>
      <c r="I243" s="634"/>
      <c r="J243" s="634"/>
      <c r="K243" s="634"/>
      <c r="L243" s="634"/>
      <c r="M243" s="634"/>
      <c r="N243" s="634"/>
      <c r="O243" s="634"/>
      <c r="P243" s="634"/>
      <c r="Q243" s="634"/>
      <c r="R243" s="634"/>
      <c r="S243" s="634"/>
      <c r="T243" s="634"/>
      <c r="U243" s="634"/>
      <c r="V243" s="634"/>
      <c r="W243" s="677"/>
      <c r="X243" s="3857" t="s">
        <v>164</v>
      </c>
      <c r="Y243" s="3858"/>
      <c r="Z243" s="3858"/>
      <c r="AA243" s="3858"/>
      <c r="AB243" s="3859"/>
      <c r="AC243" s="3796">
        <f>SUM(AC236:AE242)</f>
        <v>3463</v>
      </c>
      <c r="AD243" s="3797"/>
      <c r="AE243" s="3798"/>
      <c r="AF243" s="634"/>
      <c r="AG243" s="634"/>
      <c r="AH243" s="634"/>
      <c r="AI243" s="634"/>
      <c r="AJ243" s="634"/>
    </row>
    <row r="244" spans="1:36" ht="27.75" thickBot="1">
      <c r="A244" s="634"/>
      <c r="B244" s="635"/>
      <c r="C244" s="635"/>
      <c r="D244" s="634"/>
      <c r="E244" s="634"/>
      <c r="F244" s="634"/>
      <c r="G244" s="634"/>
      <c r="H244" s="634"/>
      <c r="I244" s="634"/>
      <c r="J244" s="634"/>
      <c r="K244" s="634"/>
      <c r="L244" s="634"/>
      <c r="M244" s="634"/>
      <c r="N244" s="634"/>
      <c r="O244" s="634"/>
      <c r="P244" s="634"/>
      <c r="Q244" s="634"/>
      <c r="R244" s="634"/>
      <c r="S244" s="634"/>
      <c r="T244" s="634"/>
      <c r="U244" s="634"/>
      <c r="V244" s="634"/>
      <c r="W244" s="677"/>
      <c r="X244" s="3857" t="s">
        <v>165</v>
      </c>
      <c r="Y244" s="3858"/>
      <c r="Z244" s="3858"/>
      <c r="AA244" s="3858"/>
      <c r="AB244" s="3859"/>
      <c r="AC244" s="3796">
        <f>AE231+'BIG CHAIR'!CI326+'Tea Table'!U286</f>
        <v>260.2</v>
      </c>
      <c r="AD244" s="3797"/>
      <c r="AE244" s="3798"/>
      <c r="AF244" s="695"/>
      <c r="AG244" s="695"/>
      <c r="AH244" s="695"/>
      <c r="AI244" s="634"/>
      <c r="AJ244" s="634"/>
    </row>
    <row r="245" spans="1:36">
      <c r="B245" s="652"/>
      <c r="C245" s="652"/>
      <c r="AB245" s="696"/>
      <c r="AC245" s="696"/>
      <c r="AD245" s="696"/>
      <c r="AE245" s="696"/>
    </row>
    <row r="246" spans="1:36">
      <c r="B246" s="652"/>
      <c r="C246" s="652"/>
      <c r="AB246" s="696"/>
      <c r="AC246" s="696"/>
      <c r="AD246" s="696"/>
      <c r="AE246" s="696"/>
    </row>
    <row r="247" spans="1:36">
      <c r="B247" s="652"/>
      <c r="C247" s="652"/>
      <c r="AB247" s="696"/>
      <c r="AC247" s="696"/>
      <c r="AD247" s="696"/>
      <c r="AE247" s="696"/>
    </row>
    <row r="248" spans="1:36">
      <c r="B248" s="652"/>
      <c r="C248" s="652"/>
      <c r="AB248" s="696"/>
      <c r="AC248" s="696"/>
      <c r="AD248" s="696"/>
      <c r="AE248" s="696"/>
    </row>
    <row r="249" spans="1:36">
      <c r="B249" s="652"/>
      <c r="C249" s="652"/>
      <c r="AB249" s="696"/>
      <c r="AC249" s="696"/>
      <c r="AD249" s="696"/>
      <c r="AE249" s="696"/>
    </row>
    <row r="250" spans="1:36">
      <c r="B250" s="652"/>
      <c r="C250" s="652"/>
      <c r="AB250" s="696"/>
      <c r="AC250" s="696"/>
      <c r="AD250" s="696"/>
      <c r="AE250" s="696"/>
    </row>
    <row r="251" spans="1:36">
      <c r="B251" s="652"/>
      <c r="C251" s="652"/>
      <c r="AB251" s="696"/>
      <c r="AC251" s="696"/>
      <c r="AD251" s="696"/>
      <c r="AE251" s="696"/>
    </row>
    <row r="252" spans="1:36">
      <c r="B252" s="652"/>
      <c r="C252" s="652"/>
      <c r="AB252" s="696"/>
      <c r="AC252" s="696"/>
      <c r="AD252" s="696"/>
      <c r="AE252" s="696"/>
    </row>
    <row r="253" spans="1:36">
      <c r="B253" s="652"/>
      <c r="C253" s="652"/>
      <c r="AB253" s="696"/>
      <c r="AC253" s="696"/>
      <c r="AD253" s="696"/>
      <c r="AE253" s="696"/>
    </row>
    <row r="254" spans="1:36">
      <c r="B254" s="652"/>
      <c r="C254" s="652"/>
      <c r="AB254" s="696"/>
      <c r="AC254" s="696"/>
      <c r="AD254" s="696"/>
      <c r="AE254" s="696"/>
    </row>
    <row r="255" spans="1:36">
      <c r="B255" s="652"/>
      <c r="C255" s="652"/>
      <c r="AB255" s="696"/>
      <c r="AC255" s="696"/>
      <c r="AD255" s="696"/>
      <c r="AE255" s="696"/>
    </row>
    <row r="256" spans="1:36">
      <c r="B256" s="652"/>
      <c r="C256" s="652"/>
      <c r="AB256" s="696"/>
      <c r="AC256" s="696"/>
      <c r="AD256" s="696"/>
      <c r="AE256" s="696"/>
    </row>
    <row r="257" spans="2:31">
      <c r="B257" s="652"/>
      <c r="C257" s="652"/>
      <c r="AB257" s="696"/>
      <c r="AC257" s="696"/>
      <c r="AD257" s="696"/>
      <c r="AE257" s="696"/>
    </row>
    <row r="258" spans="2:31">
      <c r="B258" s="652"/>
      <c r="C258" s="652"/>
      <c r="AB258" s="696"/>
      <c r="AC258" s="696"/>
      <c r="AD258" s="696"/>
      <c r="AE258" s="696"/>
    </row>
    <row r="259" spans="2:31">
      <c r="B259" s="652"/>
      <c r="C259" s="652"/>
      <c r="AB259" s="696"/>
      <c r="AC259" s="696"/>
      <c r="AD259" s="696"/>
      <c r="AE259" s="696"/>
    </row>
    <row r="260" spans="2:31">
      <c r="B260" s="652"/>
      <c r="C260" s="652"/>
      <c r="AB260" s="696"/>
      <c r="AC260" s="696"/>
      <c r="AD260" s="696"/>
      <c r="AE260" s="696"/>
    </row>
    <row r="261" spans="2:31">
      <c r="B261" s="652"/>
      <c r="C261" s="652"/>
      <c r="AB261" s="696"/>
      <c r="AC261" s="696"/>
      <c r="AD261" s="696"/>
      <c r="AE261" s="696"/>
    </row>
    <row r="262" spans="2:31">
      <c r="B262" s="652"/>
      <c r="C262" s="652"/>
      <c r="AB262" s="696"/>
      <c r="AC262" s="696"/>
      <c r="AD262" s="696"/>
      <c r="AE262" s="696"/>
    </row>
  </sheetData>
  <mergeCells count="40">
    <mergeCell ref="A2:D2"/>
    <mergeCell ref="E2:K2"/>
    <mergeCell ref="M2:T2"/>
    <mergeCell ref="V2:AC2"/>
    <mergeCell ref="AE2:AJ2"/>
    <mergeCell ref="A223:C223"/>
    <mergeCell ref="E228:K228"/>
    <mergeCell ref="M228:T228"/>
    <mergeCell ref="V228:AC228"/>
    <mergeCell ref="A148:AJ148"/>
    <mergeCell ref="A149:D149"/>
    <mergeCell ref="E149:K149"/>
    <mergeCell ref="M149:T149"/>
    <mergeCell ref="V149:AC149"/>
    <mergeCell ref="AE149:AJ149"/>
    <mergeCell ref="AF231:AG231"/>
    <mergeCell ref="E232:K232"/>
    <mergeCell ref="M232:T232"/>
    <mergeCell ref="V232:AC232"/>
    <mergeCell ref="E233:K233"/>
    <mergeCell ref="M233:T233"/>
    <mergeCell ref="V233:AC233"/>
    <mergeCell ref="X236:AB236"/>
    <mergeCell ref="AC236:AE236"/>
    <mergeCell ref="X237:AB237"/>
    <mergeCell ref="AC237:AE237"/>
    <mergeCell ref="X238:AB238"/>
    <mergeCell ref="AC238:AE238"/>
    <mergeCell ref="X239:AB239"/>
    <mergeCell ref="AC239:AE239"/>
    <mergeCell ref="X240:AB240"/>
    <mergeCell ref="AC240:AE240"/>
    <mergeCell ref="X241:AB241"/>
    <mergeCell ref="AC241:AE241"/>
    <mergeCell ref="X242:AB242"/>
    <mergeCell ref="AC242:AE242"/>
    <mergeCell ref="X243:AB243"/>
    <mergeCell ref="AC243:AE243"/>
    <mergeCell ref="X244:AB244"/>
    <mergeCell ref="AC244:AE244"/>
  </mergeCells>
  <pageMargins left="0.69930555555555596" right="0.69930555555555596" top="0.75" bottom="0.75" header="0.3" footer="0.3"/>
  <pageSetup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6"/>
  <sheetViews>
    <sheetView topLeftCell="U1" workbookViewId="0">
      <selection activeCell="AA15" sqref="AA15"/>
    </sheetView>
  </sheetViews>
  <sheetFormatPr defaultColWidth="9" defaultRowHeight="15"/>
  <cols>
    <col min="1" max="1" width="53.140625" customWidth="1"/>
    <col min="2" max="2" width="16.140625" style="276" customWidth="1"/>
    <col min="3" max="3" width="14.140625" style="276" customWidth="1"/>
    <col min="4" max="4" width="20.140625" customWidth="1"/>
    <col min="5" max="6" width="11.5703125" customWidth="1"/>
    <col min="7" max="7" width="19.28515625" customWidth="1"/>
    <col min="8" max="8" width="13.85546875" customWidth="1"/>
    <col min="9" max="9" width="14.140625" customWidth="1"/>
    <col min="10" max="10" width="13.85546875" customWidth="1"/>
    <col min="11" max="11" width="12.7109375" customWidth="1"/>
    <col min="12" max="12" width="1.7109375" customWidth="1"/>
    <col min="13" max="13" width="13.7109375" customWidth="1"/>
    <col min="14" max="15" width="12.7109375" customWidth="1"/>
    <col min="16" max="16" width="11.5703125" customWidth="1"/>
    <col min="17" max="18" width="12.7109375" customWidth="1"/>
    <col min="19" max="19" width="11.5703125" customWidth="1"/>
    <col min="20" max="20" width="17.5703125" customWidth="1"/>
    <col min="21" max="21" width="1.5703125" customWidth="1"/>
    <col min="22" max="22" width="15.7109375" customWidth="1"/>
    <col min="23" max="23" width="11.5703125" customWidth="1"/>
    <col min="24" max="24" width="13.140625" customWidth="1"/>
    <col min="25" max="25" width="11.5703125" customWidth="1"/>
    <col min="26" max="26" width="14.85546875" customWidth="1"/>
    <col min="27" max="27" width="12.5703125" customWidth="1"/>
    <col min="28" max="28" width="11.5703125" customWidth="1"/>
    <col min="29" max="29" width="11.42578125" customWidth="1"/>
    <col min="30" max="30" width="5.140625" hidden="1"/>
    <col min="31" max="31" width="14.140625" customWidth="1"/>
    <col min="32" max="32" width="11.5703125" customWidth="1"/>
    <col min="33" max="33" width="8.5703125" customWidth="1"/>
    <col min="34" max="34" width="14.140625" customWidth="1"/>
    <col min="35" max="35" width="11.5703125" customWidth="1"/>
    <col min="36" max="36" width="14.140625" customWidth="1"/>
    <col min="37" max="38" width="10"/>
    <col min="39" max="39" width="10.5703125" customWidth="1"/>
    <col min="40" max="256" width="10" customWidth="1"/>
  </cols>
  <sheetData>
    <row r="1" spans="1:39" ht="26.25">
      <c r="A1" s="285" t="s">
        <v>166</v>
      </c>
      <c r="B1" s="285"/>
      <c r="C1" s="285"/>
      <c r="D1" s="285"/>
      <c r="E1" s="285"/>
      <c r="F1" s="285"/>
      <c r="G1" s="285"/>
      <c r="H1" s="285"/>
      <c r="I1" s="285"/>
      <c r="J1" s="335">
        <v>1</v>
      </c>
      <c r="K1" s="335">
        <v>2</v>
      </c>
      <c r="L1" s="285"/>
      <c r="M1" s="285">
        <v>2025</v>
      </c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</row>
    <row r="2" spans="1:39" ht="23.25">
      <c r="A2" s="3888" t="s">
        <v>4</v>
      </c>
      <c r="B2" s="3889"/>
      <c r="C2" s="3889"/>
      <c r="D2" s="3896"/>
      <c r="E2" s="3891"/>
      <c r="F2" s="3892"/>
      <c r="G2" s="3892"/>
      <c r="H2" s="3892"/>
      <c r="I2" s="3892"/>
      <c r="J2" s="3892"/>
      <c r="K2" s="3892"/>
      <c r="L2" s="336"/>
      <c r="M2" s="3893" t="s">
        <v>253</v>
      </c>
      <c r="N2" s="3894"/>
      <c r="O2" s="3894"/>
      <c r="P2" s="3894"/>
      <c r="Q2" s="3894"/>
      <c r="R2" s="3894"/>
      <c r="S2" s="3894"/>
      <c r="T2" s="3895"/>
      <c r="U2" s="364"/>
      <c r="V2" s="3893"/>
      <c r="W2" s="3894"/>
      <c r="X2" s="3894"/>
      <c r="Y2" s="3894"/>
      <c r="Z2" s="3894"/>
      <c r="AA2" s="3894"/>
      <c r="AB2" s="3894"/>
      <c r="AC2" s="3895"/>
      <c r="AD2" s="364"/>
      <c r="AE2" s="3893"/>
      <c r="AF2" s="3894"/>
      <c r="AG2" s="3894"/>
      <c r="AH2" s="3894"/>
      <c r="AI2" s="3894"/>
      <c r="AJ2" s="3895"/>
    </row>
    <row r="3" spans="1:39" s="282" customFormat="1" ht="23.25">
      <c r="A3" s="286" t="s">
        <v>67</v>
      </c>
      <c r="B3" s="287" t="s">
        <v>68</v>
      </c>
      <c r="C3" s="287" t="s">
        <v>69</v>
      </c>
      <c r="D3" s="288" t="s">
        <v>70</v>
      </c>
      <c r="E3" s="80" t="s">
        <v>86</v>
      </c>
      <c r="F3" s="49" t="s">
        <v>85</v>
      </c>
      <c r="G3" s="49" t="s">
        <v>254</v>
      </c>
      <c r="H3" s="49" t="s">
        <v>252</v>
      </c>
      <c r="I3" s="49" t="s">
        <v>255</v>
      </c>
      <c r="J3" s="49" t="s">
        <v>53</v>
      </c>
      <c r="K3" s="49" t="s">
        <v>80</v>
      </c>
      <c r="L3" s="79"/>
      <c r="M3" s="80" t="s">
        <v>71</v>
      </c>
      <c r="N3" s="49" t="s">
        <v>72</v>
      </c>
      <c r="O3" s="49" t="s">
        <v>118</v>
      </c>
      <c r="P3" s="49" t="s">
        <v>95</v>
      </c>
      <c r="Q3" s="49" t="s">
        <v>75</v>
      </c>
      <c r="R3" s="49" t="s">
        <v>53</v>
      </c>
      <c r="S3" s="126" t="s">
        <v>77</v>
      </c>
      <c r="T3" s="171" t="s">
        <v>239</v>
      </c>
      <c r="U3" s="79"/>
      <c r="V3" s="713" t="s">
        <v>71</v>
      </c>
      <c r="W3" s="714" t="s">
        <v>72</v>
      </c>
      <c r="X3" s="104" t="s">
        <v>118</v>
      </c>
      <c r="Y3" s="103" t="s">
        <v>95</v>
      </c>
      <c r="Z3" s="104" t="s">
        <v>75</v>
      </c>
      <c r="AA3" s="716" t="s">
        <v>256</v>
      </c>
      <c r="AB3" s="121" t="s">
        <v>257</v>
      </c>
      <c r="AC3" s="717" t="s">
        <v>81</v>
      </c>
      <c r="AD3" s="370"/>
      <c r="AE3" s="371" t="s">
        <v>172</v>
      </c>
      <c r="AF3" s="372" t="s">
        <v>80</v>
      </c>
      <c r="AG3" s="385"/>
      <c r="AH3" s="386" t="s">
        <v>106</v>
      </c>
      <c r="AI3" s="385" t="s">
        <v>173</v>
      </c>
      <c r="AJ3" s="371" t="s">
        <v>108</v>
      </c>
    </row>
    <row r="4" spans="1:39" s="276" customFormat="1" ht="20.25">
      <c r="A4" s="289" t="str">
        <f>'Tea Table'!A4</f>
        <v xml:space="preserve">Opening Stock as on </v>
      </c>
      <c r="B4" s="290" t="s">
        <v>471</v>
      </c>
      <c r="C4" s="290"/>
      <c r="D4" s="291"/>
      <c r="E4" s="292"/>
      <c r="F4" s="293"/>
      <c r="G4" s="293"/>
      <c r="H4" s="293"/>
      <c r="I4" s="293"/>
      <c r="J4" s="337"/>
      <c r="K4" s="337"/>
      <c r="L4" s="339"/>
      <c r="M4" s="340"/>
      <c r="N4" s="293"/>
      <c r="O4" s="337"/>
      <c r="P4" s="337"/>
      <c r="Q4" s="337"/>
      <c r="R4" s="337"/>
      <c r="S4" s="365"/>
      <c r="T4" s="338"/>
      <c r="U4" s="339"/>
      <c r="V4" s="366"/>
      <c r="W4" s="293"/>
      <c r="X4" s="293"/>
      <c r="Y4" s="337"/>
      <c r="Z4" s="337"/>
      <c r="AA4" s="337"/>
      <c r="AB4" s="293"/>
      <c r="AC4" s="338"/>
      <c r="AD4" s="339"/>
      <c r="AE4" s="373"/>
      <c r="AF4" s="374"/>
      <c r="AG4" s="373"/>
      <c r="AH4" s="387">
        <f>AF4+AE4</f>
        <v>0</v>
      </c>
      <c r="AI4" s="388"/>
      <c r="AJ4" s="389">
        <f t="shared" ref="AJ4:AJ7" si="0">AH4+AI4</f>
        <v>0</v>
      </c>
    </row>
    <row r="5" spans="1:39" s="283" customFormat="1" ht="20.25">
      <c r="A5" s="294" t="s">
        <v>110</v>
      </c>
      <c r="B5" s="299"/>
      <c r="C5" s="299"/>
      <c r="D5" s="709"/>
      <c r="E5" s="296"/>
      <c r="F5" s="297"/>
      <c r="G5" s="297"/>
      <c r="H5" s="297"/>
      <c r="I5" s="298"/>
      <c r="J5" s="298"/>
      <c r="K5" s="297"/>
      <c r="L5" s="342"/>
      <c r="M5" s="343"/>
      <c r="N5" s="298"/>
      <c r="O5" s="298"/>
      <c r="P5" s="298"/>
      <c r="Q5" s="298"/>
      <c r="R5" s="298"/>
      <c r="S5" s="298"/>
      <c r="T5" s="367"/>
      <c r="U5" s="355"/>
      <c r="V5" s="325"/>
      <c r="W5" s="297"/>
      <c r="X5" s="297"/>
      <c r="Y5" s="298"/>
      <c r="Z5" s="298"/>
      <c r="AA5" s="298"/>
      <c r="AB5" s="297"/>
      <c r="AC5" s="375"/>
      <c r="AD5" s="355"/>
      <c r="AE5" s="376">
        <f t="shared" ref="AE5:AE6" si="1">SUM(E5:AC5)</f>
        <v>0</v>
      </c>
      <c r="AF5" s="377"/>
      <c r="AG5" s="390"/>
      <c r="AH5" s="391">
        <f>AE5+AF5</f>
        <v>0</v>
      </c>
      <c r="AI5" s="392"/>
      <c r="AJ5" s="393">
        <f t="shared" si="0"/>
        <v>0</v>
      </c>
      <c r="AK5" s="394"/>
      <c r="AL5" s="54"/>
      <c r="AM5" s="394"/>
    </row>
    <row r="6" spans="1:39" s="283" customFormat="1" ht="20.25">
      <c r="A6" s="294" t="s">
        <v>110</v>
      </c>
      <c r="B6" s="299"/>
      <c r="C6" s="299"/>
      <c r="D6" s="300"/>
      <c r="E6" s="296"/>
      <c r="F6" s="297"/>
      <c r="G6" s="297"/>
      <c r="H6" s="297"/>
      <c r="I6" s="298"/>
      <c r="J6" s="298"/>
      <c r="K6" s="297"/>
      <c r="L6" s="342"/>
      <c r="M6" s="343"/>
      <c r="N6" s="298"/>
      <c r="O6" s="298"/>
      <c r="P6" s="298"/>
      <c r="Q6" s="298"/>
      <c r="R6" s="298"/>
      <c r="S6" s="298"/>
      <c r="T6" s="367"/>
      <c r="U6" s="355"/>
      <c r="V6" s="325"/>
      <c r="W6" s="297"/>
      <c r="X6" s="297"/>
      <c r="Y6" s="298"/>
      <c r="Z6" s="298"/>
      <c r="AA6" s="298"/>
      <c r="AB6" s="297"/>
      <c r="AC6" s="375"/>
      <c r="AD6" s="355"/>
      <c r="AE6" s="376">
        <f t="shared" si="1"/>
        <v>0</v>
      </c>
      <c r="AF6" s="377"/>
      <c r="AG6" s="390"/>
      <c r="AH6" s="391">
        <f>AE6+AF6</f>
        <v>0</v>
      </c>
      <c r="AI6" s="392"/>
      <c r="AJ6" s="393">
        <f t="shared" si="0"/>
        <v>0</v>
      </c>
      <c r="AK6" s="394"/>
      <c r="AL6" s="54"/>
      <c r="AM6" s="394"/>
    </row>
    <row r="7" spans="1:39" s="283" customFormat="1" ht="20.25">
      <c r="A7" s="294" t="s">
        <v>110</v>
      </c>
      <c r="B7" s="299"/>
      <c r="C7" s="299"/>
      <c r="D7" s="709"/>
      <c r="E7" s="296"/>
      <c r="F7" s="297"/>
      <c r="G7" s="297"/>
      <c r="H7" s="297"/>
      <c r="I7" s="298"/>
      <c r="J7" s="298"/>
      <c r="K7" s="297"/>
      <c r="L7" s="342"/>
      <c r="M7" s="343"/>
      <c r="N7" s="298"/>
      <c r="O7" s="298"/>
      <c r="P7" s="298"/>
      <c r="Q7" s="298"/>
      <c r="R7" s="298"/>
      <c r="S7" s="298"/>
      <c r="T7" s="367"/>
      <c r="U7" s="355"/>
      <c r="V7" s="325"/>
      <c r="W7" s="297"/>
      <c r="X7" s="297"/>
      <c r="Y7" s="298"/>
      <c r="Z7" s="298"/>
      <c r="AA7" s="298"/>
      <c r="AB7" s="297"/>
      <c r="AC7" s="375"/>
      <c r="AD7" s="355"/>
      <c r="AE7" s="376">
        <f t="shared" ref="AE7:AE39" si="2">SUM(E7:AC7)</f>
        <v>0</v>
      </c>
      <c r="AF7" s="377"/>
      <c r="AG7" s="390"/>
      <c r="AH7" s="391">
        <f>AE7+AF7</f>
        <v>0</v>
      </c>
      <c r="AI7" s="392"/>
      <c r="AJ7" s="393">
        <f t="shared" si="0"/>
        <v>0</v>
      </c>
      <c r="AK7" s="394"/>
      <c r="AL7" s="54"/>
      <c r="AM7" s="394"/>
    </row>
    <row r="8" spans="1:39" s="283" customFormat="1" ht="20.25">
      <c r="A8" s="294" t="s">
        <v>110</v>
      </c>
      <c r="B8" s="299"/>
      <c r="C8" s="299"/>
      <c r="D8" s="709"/>
      <c r="E8" s="296"/>
      <c r="F8" s="297"/>
      <c r="G8" s="297"/>
      <c r="H8" s="297"/>
      <c r="I8" s="298"/>
      <c r="J8" s="298"/>
      <c r="K8" s="297"/>
      <c r="L8" s="342"/>
      <c r="M8" s="343"/>
      <c r="N8" s="298"/>
      <c r="O8" s="298"/>
      <c r="P8" s="298"/>
      <c r="Q8" s="298"/>
      <c r="R8" s="298"/>
      <c r="S8" s="298"/>
      <c r="T8" s="367"/>
      <c r="U8" s="355"/>
      <c r="V8" s="325"/>
      <c r="W8" s="297"/>
      <c r="X8" s="297"/>
      <c r="Y8" s="298"/>
      <c r="Z8" s="298"/>
      <c r="AA8" s="298"/>
      <c r="AB8" s="297"/>
      <c r="AC8" s="375"/>
      <c r="AD8" s="355"/>
      <c r="AE8" s="376">
        <f t="shared" si="2"/>
        <v>0</v>
      </c>
      <c r="AF8" s="377"/>
      <c r="AG8" s="390"/>
      <c r="AH8" s="391">
        <f t="shared" ref="AH8:AH21" si="3">AE8+AF8</f>
        <v>0</v>
      </c>
      <c r="AI8" s="392"/>
      <c r="AJ8" s="393">
        <f t="shared" ref="AJ8:AJ9" si="4">AH8+AI8</f>
        <v>0</v>
      </c>
      <c r="AK8" s="394"/>
      <c r="AL8" s="54"/>
      <c r="AM8" s="394"/>
    </row>
    <row r="9" spans="1:39" s="283" customFormat="1" ht="20.25">
      <c r="A9" s="294" t="s">
        <v>110</v>
      </c>
      <c r="B9" s="299"/>
      <c r="C9" s="299"/>
      <c r="D9" s="300"/>
      <c r="E9" s="296"/>
      <c r="F9" s="297"/>
      <c r="G9" s="297"/>
      <c r="H9" s="297"/>
      <c r="I9" s="298"/>
      <c r="J9" s="298"/>
      <c r="K9" s="297"/>
      <c r="L9" s="342"/>
      <c r="M9" s="343"/>
      <c r="N9" s="298"/>
      <c r="O9" s="298"/>
      <c r="P9" s="298"/>
      <c r="Q9" s="298"/>
      <c r="R9" s="298"/>
      <c r="S9" s="298"/>
      <c r="T9" s="367"/>
      <c r="U9" s="355"/>
      <c r="V9" s="325"/>
      <c r="W9" s="297"/>
      <c r="X9" s="297"/>
      <c r="Y9" s="298"/>
      <c r="Z9" s="298"/>
      <c r="AA9" s="298"/>
      <c r="AB9" s="297"/>
      <c r="AC9" s="375"/>
      <c r="AD9" s="355"/>
      <c r="AE9" s="376">
        <f t="shared" si="2"/>
        <v>0</v>
      </c>
      <c r="AF9" s="377"/>
      <c r="AG9" s="390"/>
      <c r="AH9" s="391">
        <f t="shared" si="3"/>
        <v>0</v>
      </c>
      <c r="AI9" s="392"/>
      <c r="AJ9" s="393">
        <f t="shared" si="4"/>
        <v>0</v>
      </c>
      <c r="AK9" s="394"/>
      <c r="AL9" s="54"/>
      <c r="AM9" s="394"/>
    </row>
    <row r="10" spans="1:39" s="283" customFormat="1" ht="20.25">
      <c r="A10" s="294" t="s">
        <v>110</v>
      </c>
      <c r="B10" s="299"/>
      <c r="C10" s="299"/>
      <c r="D10" s="300"/>
      <c r="E10" s="296"/>
      <c r="F10" s="297"/>
      <c r="G10" s="297"/>
      <c r="H10" s="297"/>
      <c r="I10" s="298"/>
      <c r="J10" s="298"/>
      <c r="K10" s="297"/>
      <c r="L10" s="342"/>
      <c r="M10" s="343"/>
      <c r="N10" s="298"/>
      <c r="O10" s="298"/>
      <c r="P10" s="298"/>
      <c r="Q10" s="298"/>
      <c r="R10" s="298"/>
      <c r="S10" s="298"/>
      <c r="T10" s="367"/>
      <c r="U10" s="355"/>
      <c r="V10" s="325"/>
      <c r="W10" s="297"/>
      <c r="X10" s="297"/>
      <c r="Y10" s="298"/>
      <c r="Z10" s="298"/>
      <c r="AA10" s="298"/>
      <c r="AB10" s="297"/>
      <c r="AC10" s="375"/>
      <c r="AD10" s="355"/>
      <c r="AE10" s="376">
        <f t="shared" si="2"/>
        <v>0</v>
      </c>
      <c r="AF10" s="377"/>
      <c r="AG10" s="390"/>
      <c r="AH10" s="391">
        <f t="shared" si="3"/>
        <v>0</v>
      </c>
      <c r="AI10" s="392"/>
      <c r="AJ10" s="393">
        <f t="shared" ref="AJ10:AJ15" si="5">AH10+AI10</f>
        <v>0</v>
      </c>
      <c r="AK10" s="394"/>
      <c r="AL10" s="54"/>
      <c r="AM10" s="394"/>
    </row>
    <row r="11" spans="1:39" s="283" customFormat="1" ht="20.25">
      <c r="A11" s="294" t="s">
        <v>110</v>
      </c>
      <c r="B11" s="299"/>
      <c r="C11" s="299"/>
      <c r="D11" s="300"/>
      <c r="E11" s="296"/>
      <c r="F11" s="297"/>
      <c r="G11" s="297"/>
      <c r="H11" s="297"/>
      <c r="I11" s="298"/>
      <c r="J11" s="298"/>
      <c r="K11" s="297"/>
      <c r="L11" s="342"/>
      <c r="M11" s="343"/>
      <c r="N11" s="298"/>
      <c r="O11" s="298"/>
      <c r="P11" s="298"/>
      <c r="Q11" s="298"/>
      <c r="R11" s="298"/>
      <c r="S11" s="298"/>
      <c r="T11" s="367"/>
      <c r="U11" s="355"/>
      <c r="V11" s="325"/>
      <c r="W11" s="297"/>
      <c r="X11" s="297"/>
      <c r="Y11" s="298"/>
      <c r="Z11" s="298"/>
      <c r="AA11" s="298"/>
      <c r="AB11" s="297"/>
      <c r="AC11" s="375"/>
      <c r="AD11" s="355"/>
      <c r="AE11" s="376">
        <f t="shared" si="2"/>
        <v>0</v>
      </c>
      <c r="AF11" s="377"/>
      <c r="AG11" s="390"/>
      <c r="AH11" s="391">
        <f t="shared" si="3"/>
        <v>0</v>
      </c>
      <c r="AI11" s="392"/>
      <c r="AJ11" s="393">
        <f t="shared" si="5"/>
        <v>0</v>
      </c>
      <c r="AK11" s="394"/>
      <c r="AL11" s="54"/>
      <c r="AM11" s="394"/>
    </row>
    <row r="12" spans="1:39" s="283" customFormat="1" ht="20.25">
      <c r="A12" s="294" t="s">
        <v>110</v>
      </c>
      <c r="B12" s="299"/>
      <c r="C12" s="299"/>
      <c r="D12" s="300"/>
      <c r="E12" s="296"/>
      <c r="F12" s="297"/>
      <c r="G12" s="297"/>
      <c r="H12" s="297"/>
      <c r="I12" s="298"/>
      <c r="J12" s="298"/>
      <c r="K12" s="297"/>
      <c r="L12" s="342"/>
      <c r="M12" s="343"/>
      <c r="N12" s="298"/>
      <c r="O12" s="298"/>
      <c r="P12" s="298"/>
      <c r="Q12" s="298"/>
      <c r="R12" s="298"/>
      <c r="S12" s="298"/>
      <c r="T12" s="367"/>
      <c r="U12" s="355"/>
      <c r="V12" s="325"/>
      <c r="W12" s="297"/>
      <c r="X12" s="297"/>
      <c r="Y12" s="298"/>
      <c r="Z12" s="298"/>
      <c r="AA12" s="298"/>
      <c r="AB12" s="297"/>
      <c r="AC12" s="375"/>
      <c r="AD12" s="355"/>
      <c r="AE12" s="376">
        <f t="shared" si="2"/>
        <v>0</v>
      </c>
      <c r="AF12" s="377"/>
      <c r="AG12" s="390"/>
      <c r="AH12" s="391">
        <f t="shared" si="3"/>
        <v>0</v>
      </c>
      <c r="AI12" s="392"/>
      <c r="AJ12" s="393">
        <f t="shared" si="5"/>
        <v>0</v>
      </c>
      <c r="AK12" s="394"/>
      <c r="AL12" s="54"/>
      <c r="AM12" s="394"/>
    </row>
    <row r="13" spans="1:39" s="283" customFormat="1" ht="20.25">
      <c r="A13" s="294" t="s">
        <v>110</v>
      </c>
      <c r="B13" s="299"/>
      <c r="C13" s="299"/>
      <c r="D13" s="300"/>
      <c r="E13" s="296"/>
      <c r="F13" s="297"/>
      <c r="G13" s="297"/>
      <c r="H13" s="297"/>
      <c r="I13" s="298"/>
      <c r="J13" s="298"/>
      <c r="K13" s="297"/>
      <c r="L13" s="342"/>
      <c r="M13" s="343"/>
      <c r="N13" s="298"/>
      <c r="O13" s="298"/>
      <c r="P13" s="298"/>
      <c r="Q13" s="298"/>
      <c r="R13" s="298"/>
      <c r="S13" s="298"/>
      <c r="T13" s="367"/>
      <c r="U13" s="355"/>
      <c r="V13" s="325"/>
      <c r="W13" s="297"/>
      <c r="X13" s="297"/>
      <c r="Y13" s="298"/>
      <c r="Z13" s="298"/>
      <c r="AA13" s="298"/>
      <c r="AB13" s="297"/>
      <c r="AC13" s="375"/>
      <c r="AD13" s="355"/>
      <c r="AE13" s="376">
        <f t="shared" si="2"/>
        <v>0</v>
      </c>
      <c r="AF13" s="377"/>
      <c r="AG13" s="390"/>
      <c r="AH13" s="391">
        <f t="shared" si="3"/>
        <v>0</v>
      </c>
      <c r="AI13" s="392"/>
      <c r="AJ13" s="393">
        <f t="shared" si="5"/>
        <v>0</v>
      </c>
      <c r="AK13" s="394"/>
      <c r="AL13" s="54"/>
      <c r="AM13" s="394"/>
    </row>
    <row r="14" spans="1:39" s="283" customFormat="1" ht="20.25">
      <c r="A14" s="294" t="s">
        <v>110</v>
      </c>
      <c r="B14" s="299"/>
      <c r="C14" s="299"/>
      <c r="D14" s="300"/>
      <c r="E14" s="296"/>
      <c r="F14" s="297"/>
      <c r="G14" s="297"/>
      <c r="H14" s="297"/>
      <c r="I14" s="298"/>
      <c r="J14" s="298"/>
      <c r="K14" s="297"/>
      <c r="L14" s="342"/>
      <c r="M14" s="343"/>
      <c r="N14" s="298"/>
      <c r="O14" s="298"/>
      <c r="P14" s="298"/>
      <c r="Q14" s="298"/>
      <c r="R14" s="298"/>
      <c r="S14" s="298"/>
      <c r="T14" s="367"/>
      <c r="U14" s="355"/>
      <c r="V14" s="325"/>
      <c r="W14" s="297"/>
      <c r="X14" s="297"/>
      <c r="Y14" s="298"/>
      <c r="Z14" s="298"/>
      <c r="AA14" s="298"/>
      <c r="AB14" s="297"/>
      <c r="AC14" s="375"/>
      <c r="AD14" s="355"/>
      <c r="AE14" s="376">
        <f t="shared" si="2"/>
        <v>0</v>
      </c>
      <c r="AF14" s="377"/>
      <c r="AG14" s="390"/>
      <c r="AH14" s="391">
        <f t="shared" si="3"/>
        <v>0</v>
      </c>
      <c r="AI14" s="392"/>
      <c r="AJ14" s="393">
        <f t="shared" si="5"/>
        <v>0</v>
      </c>
      <c r="AK14" s="394"/>
      <c r="AL14" s="54"/>
      <c r="AM14" s="394"/>
    </row>
    <row r="15" spans="1:39" s="283" customFormat="1" ht="20.25">
      <c r="A15" s="294" t="s">
        <v>110</v>
      </c>
      <c r="B15" s="299"/>
      <c r="C15" s="299"/>
      <c r="D15" s="300"/>
      <c r="E15" s="296"/>
      <c r="F15" s="297"/>
      <c r="G15" s="297"/>
      <c r="H15" s="297"/>
      <c r="I15" s="298"/>
      <c r="J15" s="298"/>
      <c r="K15" s="297"/>
      <c r="L15" s="342"/>
      <c r="M15" s="343"/>
      <c r="N15" s="298"/>
      <c r="O15" s="298"/>
      <c r="P15" s="298"/>
      <c r="Q15" s="298"/>
      <c r="R15" s="298"/>
      <c r="S15" s="298"/>
      <c r="T15" s="367"/>
      <c r="U15" s="355"/>
      <c r="V15" s="325"/>
      <c r="W15" s="297"/>
      <c r="X15" s="297"/>
      <c r="Y15" s="298"/>
      <c r="Z15" s="298"/>
      <c r="AA15" s="298"/>
      <c r="AB15" s="297"/>
      <c r="AC15" s="375"/>
      <c r="AD15" s="355"/>
      <c r="AE15" s="376">
        <f t="shared" si="2"/>
        <v>0</v>
      </c>
      <c r="AF15" s="377"/>
      <c r="AG15" s="390"/>
      <c r="AH15" s="391">
        <f t="shared" si="3"/>
        <v>0</v>
      </c>
      <c r="AI15" s="392"/>
      <c r="AJ15" s="393">
        <f t="shared" si="5"/>
        <v>0</v>
      </c>
      <c r="AK15" s="394"/>
      <c r="AL15" s="54"/>
      <c r="AM15" s="394"/>
    </row>
    <row r="16" spans="1:39" s="283" customFormat="1" ht="20.25">
      <c r="A16" s="294" t="s">
        <v>110</v>
      </c>
      <c r="B16" s="299"/>
      <c r="C16" s="299"/>
      <c r="D16" s="300"/>
      <c r="E16" s="296"/>
      <c r="F16" s="297"/>
      <c r="G16" s="297"/>
      <c r="H16" s="297"/>
      <c r="I16" s="298"/>
      <c r="J16" s="298"/>
      <c r="K16" s="297"/>
      <c r="L16" s="342"/>
      <c r="M16" s="711"/>
      <c r="N16" s="712"/>
      <c r="O16" s="712"/>
      <c r="P16" s="712"/>
      <c r="Q16" s="712"/>
      <c r="R16" s="712"/>
      <c r="S16" s="712"/>
      <c r="T16" s="715"/>
      <c r="U16" s="355"/>
      <c r="V16" s="325"/>
      <c r="W16" s="297"/>
      <c r="X16" s="297"/>
      <c r="Y16" s="298"/>
      <c r="Z16" s="298"/>
      <c r="AA16" s="298"/>
      <c r="AB16" s="297"/>
      <c r="AC16" s="375"/>
      <c r="AD16" s="355"/>
      <c r="AE16" s="376">
        <f t="shared" si="2"/>
        <v>0</v>
      </c>
      <c r="AF16" s="377"/>
      <c r="AG16" s="390"/>
      <c r="AH16" s="391">
        <f t="shared" si="3"/>
        <v>0</v>
      </c>
      <c r="AI16" s="392"/>
      <c r="AJ16" s="393">
        <f t="shared" ref="AJ16:AJ21" si="6">AH16+AI16</f>
        <v>0</v>
      </c>
      <c r="AK16" s="394"/>
      <c r="AL16" s="54"/>
      <c r="AM16" s="394"/>
    </row>
    <row r="17" spans="1:39" s="283" customFormat="1" ht="20.25">
      <c r="A17" s="294" t="s">
        <v>110</v>
      </c>
      <c r="B17" s="299"/>
      <c r="C17" s="299"/>
      <c r="D17" s="300"/>
      <c r="E17" s="296"/>
      <c r="F17" s="297"/>
      <c r="G17" s="297"/>
      <c r="H17" s="297"/>
      <c r="I17" s="298"/>
      <c r="J17" s="298"/>
      <c r="K17" s="297"/>
      <c r="L17" s="342"/>
      <c r="M17" s="711"/>
      <c r="N17" s="712"/>
      <c r="O17" s="712"/>
      <c r="P17" s="712"/>
      <c r="Q17" s="712"/>
      <c r="R17" s="712"/>
      <c r="S17" s="712"/>
      <c r="T17" s="715"/>
      <c r="U17" s="355"/>
      <c r="V17" s="325"/>
      <c r="W17" s="297"/>
      <c r="X17" s="297"/>
      <c r="Y17" s="298"/>
      <c r="Z17" s="298"/>
      <c r="AA17" s="298"/>
      <c r="AB17" s="297"/>
      <c r="AC17" s="375"/>
      <c r="AD17" s="355"/>
      <c r="AE17" s="376">
        <f t="shared" si="2"/>
        <v>0</v>
      </c>
      <c r="AF17" s="377"/>
      <c r="AG17" s="390"/>
      <c r="AH17" s="391">
        <f t="shared" si="3"/>
        <v>0</v>
      </c>
      <c r="AI17" s="392"/>
      <c r="AJ17" s="393">
        <f t="shared" si="6"/>
        <v>0</v>
      </c>
      <c r="AK17" s="394"/>
      <c r="AL17" s="54"/>
      <c r="AM17" s="394"/>
    </row>
    <row r="18" spans="1:39" s="283" customFormat="1" ht="20.25">
      <c r="A18" s="294" t="s">
        <v>110</v>
      </c>
      <c r="B18" s="299"/>
      <c r="C18" s="299"/>
      <c r="D18" s="300"/>
      <c r="E18" s="296"/>
      <c r="F18" s="297"/>
      <c r="G18" s="297"/>
      <c r="H18" s="297"/>
      <c r="I18" s="298"/>
      <c r="J18" s="298"/>
      <c r="K18" s="297"/>
      <c r="L18" s="342"/>
      <c r="M18" s="711"/>
      <c r="N18" s="712"/>
      <c r="O18" s="712"/>
      <c r="P18" s="712"/>
      <c r="Q18" s="712"/>
      <c r="R18" s="712"/>
      <c r="S18" s="712"/>
      <c r="T18" s="715"/>
      <c r="U18" s="355"/>
      <c r="V18" s="325"/>
      <c r="W18" s="297"/>
      <c r="X18" s="297"/>
      <c r="Y18" s="298"/>
      <c r="Z18" s="298"/>
      <c r="AA18" s="298"/>
      <c r="AB18" s="297"/>
      <c r="AC18" s="375"/>
      <c r="AD18" s="355"/>
      <c r="AE18" s="376">
        <f t="shared" si="2"/>
        <v>0</v>
      </c>
      <c r="AF18" s="377"/>
      <c r="AG18" s="390"/>
      <c r="AH18" s="391">
        <f t="shared" si="3"/>
        <v>0</v>
      </c>
      <c r="AI18" s="392"/>
      <c r="AJ18" s="393">
        <f t="shared" si="6"/>
        <v>0</v>
      </c>
      <c r="AK18" s="394"/>
      <c r="AL18" s="54"/>
      <c r="AM18" s="394"/>
    </row>
    <row r="19" spans="1:39" s="283" customFormat="1" ht="20.25">
      <c r="A19" s="294" t="s">
        <v>110</v>
      </c>
      <c r="B19" s="299"/>
      <c r="C19" s="299"/>
      <c r="D19" s="300"/>
      <c r="E19" s="296"/>
      <c r="F19" s="297"/>
      <c r="G19" s="297"/>
      <c r="H19" s="297"/>
      <c r="I19" s="298"/>
      <c r="J19" s="298"/>
      <c r="K19" s="297"/>
      <c r="L19" s="342"/>
      <c r="M19" s="711"/>
      <c r="N19" s="712"/>
      <c r="O19" s="712"/>
      <c r="P19" s="712"/>
      <c r="Q19" s="712"/>
      <c r="R19" s="712"/>
      <c r="S19" s="712"/>
      <c r="T19" s="715"/>
      <c r="U19" s="355"/>
      <c r="V19" s="325"/>
      <c r="W19" s="297"/>
      <c r="X19" s="297"/>
      <c r="Y19" s="298"/>
      <c r="Z19" s="298"/>
      <c r="AA19" s="298"/>
      <c r="AB19" s="297"/>
      <c r="AC19" s="375"/>
      <c r="AD19" s="355"/>
      <c r="AE19" s="376">
        <f t="shared" si="2"/>
        <v>0</v>
      </c>
      <c r="AF19" s="377"/>
      <c r="AG19" s="390"/>
      <c r="AH19" s="391">
        <f t="shared" si="3"/>
        <v>0</v>
      </c>
      <c r="AI19" s="392"/>
      <c r="AJ19" s="393">
        <f t="shared" si="6"/>
        <v>0</v>
      </c>
      <c r="AK19" s="394"/>
      <c r="AL19" s="54"/>
      <c r="AM19" s="394"/>
    </row>
    <row r="20" spans="1:39" s="283" customFormat="1" ht="20.25">
      <c r="A20" s="294" t="s">
        <v>110</v>
      </c>
      <c r="B20" s="299"/>
      <c r="C20" s="299"/>
      <c r="D20" s="300"/>
      <c r="E20" s="296"/>
      <c r="F20" s="297"/>
      <c r="G20" s="297"/>
      <c r="H20" s="297"/>
      <c r="I20" s="298"/>
      <c r="J20" s="298"/>
      <c r="K20" s="297"/>
      <c r="L20" s="342"/>
      <c r="M20" s="711"/>
      <c r="N20" s="712"/>
      <c r="O20" s="712"/>
      <c r="P20" s="712"/>
      <c r="Q20" s="712"/>
      <c r="R20" s="712"/>
      <c r="S20" s="712"/>
      <c r="T20" s="715"/>
      <c r="U20" s="355"/>
      <c r="V20" s="325"/>
      <c r="W20" s="297"/>
      <c r="X20" s="297"/>
      <c r="Y20" s="298"/>
      <c r="Z20" s="298"/>
      <c r="AA20" s="298"/>
      <c r="AB20" s="297"/>
      <c r="AC20" s="375"/>
      <c r="AD20" s="355"/>
      <c r="AE20" s="376">
        <f t="shared" si="2"/>
        <v>0</v>
      </c>
      <c r="AF20" s="377"/>
      <c r="AG20" s="390"/>
      <c r="AH20" s="391">
        <f t="shared" si="3"/>
        <v>0</v>
      </c>
      <c r="AI20" s="392"/>
      <c r="AJ20" s="393">
        <f t="shared" si="6"/>
        <v>0</v>
      </c>
      <c r="AK20" s="394"/>
      <c r="AL20" s="54"/>
      <c r="AM20" s="394"/>
    </row>
    <row r="21" spans="1:39" s="283" customFormat="1" ht="20.25">
      <c r="A21" s="294" t="s">
        <v>110</v>
      </c>
      <c r="B21" s="299"/>
      <c r="C21" s="299"/>
      <c r="D21" s="300"/>
      <c r="E21" s="296"/>
      <c r="F21" s="297"/>
      <c r="G21" s="297"/>
      <c r="H21" s="297"/>
      <c r="I21" s="298"/>
      <c r="J21" s="298"/>
      <c r="K21" s="297"/>
      <c r="L21" s="342"/>
      <c r="M21" s="711"/>
      <c r="N21" s="712"/>
      <c r="O21" s="712"/>
      <c r="P21" s="712"/>
      <c r="Q21" s="712"/>
      <c r="R21" s="712"/>
      <c r="S21" s="712"/>
      <c r="T21" s="715"/>
      <c r="U21" s="355"/>
      <c r="V21" s="325"/>
      <c r="W21" s="297"/>
      <c r="X21" s="297"/>
      <c r="Y21" s="298"/>
      <c r="Z21" s="298"/>
      <c r="AA21" s="298"/>
      <c r="AB21" s="297"/>
      <c r="AC21" s="375"/>
      <c r="AD21" s="355"/>
      <c r="AE21" s="376">
        <f t="shared" si="2"/>
        <v>0</v>
      </c>
      <c r="AF21" s="377"/>
      <c r="AG21" s="390"/>
      <c r="AH21" s="391">
        <f t="shared" si="3"/>
        <v>0</v>
      </c>
      <c r="AI21" s="392"/>
      <c r="AJ21" s="393">
        <f t="shared" si="6"/>
        <v>0</v>
      </c>
      <c r="AK21" s="394"/>
      <c r="AL21" s="54"/>
      <c r="AM21" s="394"/>
    </row>
    <row r="22" spans="1:39" s="283" customFormat="1" ht="20.25">
      <c r="A22" s="294" t="s">
        <v>110</v>
      </c>
      <c r="B22" s="299"/>
      <c r="C22" s="299"/>
      <c r="D22" s="300"/>
      <c r="E22" s="296"/>
      <c r="F22" s="297"/>
      <c r="G22" s="297"/>
      <c r="H22" s="297"/>
      <c r="I22" s="298"/>
      <c r="J22" s="298"/>
      <c r="K22" s="297"/>
      <c r="L22" s="342"/>
      <c r="M22" s="711"/>
      <c r="N22" s="712"/>
      <c r="O22" s="712"/>
      <c r="P22" s="712"/>
      <c r="Q22" s="712"/>
      <c r="R22" s="712"/>
      <c r="S22" s="712"/>
      <c r="T22" s="715"/>
      <c r="U22" s="355"/>
      <c r="V22" s="325"/>
      <c r="W22" s="297"/>
      <c r="X22" s="297"/>
      <c r="Y22" s="298"/>
      <c r="Z22" s="298"/>
      <c r="AA22" s="298"/>
      <c r="AB22" s="297"/>
      <c r="AC22" s="375"/>
      <c r="AD22" s="355"/>
      <c r="AE22" s="376">
        <f t="shared" si="2"/>
        <v>0</v>
      </c>
      <c r="AF22" s="377"/>
      <c r="AG22" s="390"/>
      <c r="AH22" s="391">
        <f t="shared" ref="AH22:AH23" si="7">AE22+AF22</f>
        <v>0</v>
      </c>
      <c r="AI22" s="392"/>
      <c r="AJ22" s="393">
        <f t="shared" ref="AJ22:AJ23" si="8">AH22+AI22</f>
        <v>0</v>
      </c>
      <c r="AK22" s="394"/>
      <c r="AL22" s="54"/>
      <c r="AM22" s="394"/>
    </row>
    <row r="23" spans="1:39" s="283" customFormat="1" ht="20.25">
      <c r="A23" s="294" t="s">
        <v>110</v>
      </c>
      <c r="B23" s="299"/>
      <c r="C23" s="299"/>
      <c r="D23" s="300"/>
      <c r="E23" s="296"/>
      <c r="F23" s="297"/>
      <c r="G23" s="297"/>
      <c r="H23" s="297"/>
      <c r="I23" s="298"/>
      <c r="J23" s="298"/>
      <c r="K23" s="297"/>
      <c r="L23" s="342"/>
      <c r="M23" s="711"/>
      <c r="N23" s="712"/>
      <c r="O23" s="712"/>
      <c r="P23" s="712"/>
      <c r="Q23" s="712"/>
      <c r="R23" s="712"/>
      <c r="S23" s="712"/>
      <c r="T23" s="715"/>
      <c r="U23" s="355"/>
      <c r="V23" s="325"/>
      <c r="W23" s="297"/>
      <c r="X23" s="297"/>
      <c r="Y23" s="298"/>
      <c r="Z23" s="298"/>
      <c r="AA23" s="298"/>
      <c r="AB23" s="297"/>
      <c r="AC23" s="375"/>
      <c r="AD23" s="355"/>
      <c r="AE23" s="376">
        <f t="shared" si="2"/>
        <v>0</v>
      </c>
      <c r="AF23" s="377"/>
      <c r="AG23" s="390"/>
      <c r="AH23" s="391">
        <f t="shared" si="7"/>
        <v>0</v>
      </c>
      <c r="AI23" s="392"/>
      <c r="AJ23" s="393">
        <f t="shared" si="8"/>
        <v>0</v>
      </c>
      <c r="AK23" s="394"/>
      <c r="AL23" s="54"/>
      <c r="AM23" s="394"/>
    </row>
    <row r="24" spans="1:39" s="283" customFormat="1" ht="20.25">
      <c r="A24" s="294" t="s">
        <v>110</v>
      </c>
      <c r="B24" s="299"/>
      <c r="C24" s="299"/>
      <c r="D24" s="300"/>
      <c r="E24" s="296"/>
      <c r="F24" s="297"/>
      <c r="G24" s="297"/>
      <c r="H24" s="297"/>
      <c r="I24" s="298"/>
      <c r="J24" s="298"/>
      <c r="K24" s="297"/>
      <c r="L24" s="342"/>
      <c r="M24" s="711"/>
      <c r="N24" s="712"/>
      <c r="O24" s="712"/>
      <c r="P24" s="712"/>
      <c r="Q24" s="712"/>
      <c r="R24" s="712"/>
      <c r="S24" s="712"/>
      <c r="T24" s="715"/>
      <c r="U24" s="355"/>
      <c r="V24" s="325"/>
      <c r="W24" s="297"/>
      <c r="X24" s="297"/>
      <c r="Y24" s="298"/>
      <c r="Z24" s="298"/>
      <c r="AA24" s="298"/>
      <c r="AB24" s="297"/>
      <c r="AC24" s="375"/>
      <c r="AD24" s="355"/>
      <c r="AE24" s="376">
        <f t="shared" si="2"/>
        <v>0</v>
      </c>
      <c r="AF24" s="377"/>
      <c r="AG24" s="390"/>
      <c r="AH24" s="391">
        <f t="shared" ref="AH24:AH32" si="9">AE24+AF24</f>
        <v>0</v>
      </c>
      <c r="AI24" s="392"/>
      <c r="AJ24" s="393">
        <f t="shared" ref="AJ24:AJ29" si="10">AH24+AI24</f>
        <v>0</v>
      </c>
      <c r="AK24" s="394"/>
      <c r="AL24" s="54"/>
      <c r="AM24" s="394"/>
    </row>
    <row r="25" spans="1:39" s="283" customFormat="1" ht="20.25">
      <c r="A25" s="294" t="s">
        <v>110</v>
      </c>
      <c r="B25" s="299"/>
      <c r="C25" s="299"/>
      <c r="D25" s="300"/>
      <c r="E25" s="296"/>
      <c r="F25" s="297"/>
      <c r="G25" s="297"/>
      <c r="H25" s="297"/>
      <c r="I25" s="298"/>
      <c r="J25" s="298"/>
      <c r="K25" s="297"/>
      <c r="L25" s="342"/>
      <c r="M25" s="711"/>
      <c r="N25" s="712"/>
      <c r="O25" s="712"/>
      <c r="P25" s="712"/>
      <c r="Q25" s="712"/>
      <c r="R25" s="712"/>
      <c r="S25" s="712"/>
      <c r="T25" s="715"/>
      <c r="U25" s="355"/>
      <c r="V25" s="325"/>
      <c r="W25" s="297"/>
      <c r="X25" s="297"/>
      <c r="Y25" s="298"/>
      <c r="Z25" s="298"/>
      <c r="AA25" s="298"/>
      <c r="AB25" s="297"/>
      <c r="AC25" s="375"/>
      <c r="AD25" s="355"/>
      <c r="AE25" s="376">
        <f t="shared" si="2"/>
        <v>0</v>
      </c>
      <c r="AF25" s="377"/>
      <c r="AG25" s="390"/>
      <c r="AH25" s="391">
        <f t="shared" si="9"/>
        <v>0</v>
      </c>
      <c r="AI25" s="392"/>
      <c r="AJ25" s="393">
        <f t="shared" si="10"/>
        <v>0</v>
      </c>
      <c r="AK25" s="394"/>
      <c r="AL25" s="54"/>
      <c r="AM25" s="394"/>
    </row>
    <row r="26" spans="1:39" s="283" customFormat="1" ht="20.25">
      <c r="A26" s="294" t="s">
        <v>110</v>
      </c>
      <c r="B26" s="299"/>
      <c r="C26" s="299"/>
      <c r="D26" s="300"/>
      <c r="E26" s="296"/>
      <c r="F26" s="297"/>
      <c r="G26" s="297"/>
      <c r="H26" s="297"/>
      <c r="I26" s="298"/>
      <c r="J26" s="298"/>
      <c r="K26" s="297"/>
      <c r="L26" s="342"/>
      <c r="M26" s="711"/>
      <c r="N26" s="712"/>
      <c r="O26" s="712"/>
      <c r="P26" s="712"/>
      <c r="Q26" s="712"/>
      <c r="R26" s="712"/>
      <c r="S26" s="712"/>
      <c r="T26" s="715"/>
      <c r="U26" s="355"/>
      <c r="V26" s="325"/>
      <c r="W26" s="297"/>
      <c r="X26" s="297"/>
      <c r="Y26" s="298"/>
      <c r="Z26" s="298"/>
      <c r="AA26" s="298"/>
      <c r="AB26" s="297"/>
      <c r="AC26" s="375"/>
      <c r="AD26" s="355"/>
      <c r="AE26" s="376">
        <f t="shared" si="2"/>
        <v>0</v>
      </c>
      <c r="AF26" s="377"/>
      <c r="AG26" s="390"/>
      <c r="AH26" s="391">
        <f t="shared" si="9"/>
        <v>0</v>
      </c>
      <c r="AI26" s="392"/>
      <c r="AJ26" s="393">
        <f t="shared" si="10"/>
        <v>0</v>
      </c>
      <c r="AK26" s="394"/>
      <c r="AL26" s="54"/>
      <c r="AM26" s="394"/>
    </row>
    <row r="27" spans="1:39" s="283" customFormat="1" ht="20.25">
      <c r="A27" s="294" t="s">
        <v>110</v>
      </c>
      <c r="B27" s="299"/>
      <c r="C27" s="299"/>
      <c r="D27" s="300"/>
      <c r="E27" s="296"/>
      <c r="F27" s="297"/>
      <c r="G27" s="297"/>
      <c r="H27" s="297"/>
      <c r="I27" s="298"/>
      <c r="J27" s="298"/>
      <c r="K27" s="297"/>
      <c r="L27" s="342"/>
      <c r="M27" s="711"/>
      <c r="N27" s="712"/>
      <c r="O27" s="712"/>
      <c r="P27" s="712"/>
      <c r="Q27" s="712"/>
      <c r="R27" s="712"/>
      <c r="S27" s="712"/>
      <c r="T27" s="715"/>
      <c r="U27" s="355"/>
      <c r="V27" s="325"/>
      <c r="W27" s="297"/>
      <c r="X27" s="297"/>
      <c r="Y27" s="298"/>
      <c r="Z27" s="298"/>
      <c r="AA27" s="298"/>
      <c r="AB27" s="297"/>
      <c r="AC27" s="375"/>
      <c r="AD27" s="355"/>
      <c r="AE27" s="376">
        <f t="shared" si="2"/>
        <v>0</v>
      </c>
      <c r="AF27" s="377"/>
      <c r="AG27" s="390"/>
      <c r="AH27" s="391">
        <f t="shared" si="9"/>
        <v>0</v>
      </c>
      <c r="AI27" s="392"/>
      <c r="AJ27" s="393">
        <f t="shared" si="10"/>
        <v>0</v>
      </c>
      <c r="AK27" s="394"/>
      <c r="AL27" s="54"/>
      <c r="AM27" s="394"/>
    </row>
    <row r="28" spans="1:39" s="283" customFormat="1" ht="20.25">
      <c r="A28" s="294" t="s">
        <v>110</v>
      </c>
      <c r="B28" s="299"/>
      <c r="C28" s="299"/>
      <c r="D28" s="300"/>
      <c r="E28" s="296"/>
      <c r="F28" s="297"/>
      <c r="G28" s="297"/>
      <c r="H28" s="297"/>
      <c r="I28" s="298"/>
      <c r="J28" s="298"/>
      <c r="K28" s="297"/>
      <c r="L28" s="342"/>
      <c r="M28" s="711"/>
      <c r="N28" s="712"/>
      <c r="O28" s="712"/>
      <c r="P28" s="712"/>
      <c r="Q28" s="712"/>
      <c r="R28" s="712"/>
      <c r="S28" s="712"/>
      <c r="T28" s="715"/>
      <c r="U28" s="355"/>
      <c r="V28" s="325"/>
      <c r="W28" s="297"/>
      <c r="X28" s="297"/>
      <c r="Y28" s="298"/>
      <c r="Z28" s="298"/>
      <c r="AA28" s="298"/>
      <c r="AB28" s="297"/>
      <c r="AC28" s="375"/>
      <c r="AD28" s="355"/>
      <c r="AE28" s="376">
        <f t="shared" si="2"/>
        <v>0</v>
      </c>
      <c r="AF28" s="377"/>
      <c r="AG28" s="390"/>
      <c r="AH28" s="391">
        <f t="shared" si="9"/>
        <v>0</v>
      </c>
      <c r="AI28" s="392"/>
      <c r="AJ28" s="393">
        <f t="shared" si="10"/>
        <v>0</v>
      </c>
      <c r="AK28" s="394"/>
      <c r="AL28" s="54"/>
      <c r="AM28" s="394"/>
    </row>
    <row r="29" spans="1:39" s="283" customFormat="1" ht="20.25">
      <c r="A29" s="294" t="s">
        <v>110</v>
      </c>
      <c r="B29" s="299"/>
      <c r="C29" s="299"/>
      <c r="D29" s="300"/>
      <c r="E29" s="296"/>
      <c r="F29" s="297"/>
      <c r="G29" s="297"/>
      <c r="H29" s="297"/>
      <c r="I29" s="298"/>
      <c r="J29" s="298"/>
      <c r="K29" s="297"/>
      <c r="L29" s="342"/>
      <c r="M29" s="711"/>
      <c r="N29" s="712"/>
      <c r="O29" s="712"/>
      <c r="P29" s="712"/>
      <c r="Q29" s="712"/>
      <c r="R29" s="712"/>
      <c r="S29" s="712"/>
      <c r="T29" s="715"/>
      <c r="U29" s="355"/>
      <c r="V29" s="325"/>
      <c r="W29" s="297"/>
      <c r="X29" s="297"/>
      <c r="Y29" s="298"/>
      <c r="Z29" s="298"/>
      <c r="AA29" s="298"/>
      <c r="AB29" s="297"/>
      <c r="AC29" s="375"/>
      <c r="AD29" s="355"/>
      <c r="AE29" s="376">
        <f t="shared" si="2"/>
        <v>0</v>
      </c>
      <c r="AF29" s="377"/>
      <c r="AG29" s="390"/>
      <c r="AH29" s="391">
        <f t="shared" si="9"/>
        <v>0</v>
      </c>
      <c r="AI29" s="392"/>
      <c r="AJ29" s="393">
        <f t="shared" si="10"/>
        <v>0</v>
      </c>
      <c r="AK29" s="394"/>
      <c r="AL29" s="54"/>
      <c r="AM29" s="394"/>
    </row>
    <row r="30" spans="1:39" s="283" customFormat="1" ht="20.25">
      <c r="A30" s="294" t="s">
        <v>110</v>
      </c>
      <c r="B30" s="299"/>
      <c r="C30" s="299"/>
      <c r="D30" s="300"/>
      <c r="E30" s="296"/>
      <c r="F30" s="297"/>
      <c r="G30" s="297"/>
      <c r="H30" s="297"/>
      <c r="I30" s="298"/>
      <c r="J30" s="298"/>
      <c r="K30" s="297"/>
      <c r="L30" s="342"/>
      <c r="M30" s="711"/>
      <c r="N30" s="712"/>
      <c r="O30" s="712"/>
      <c r="P30" s="712"/>
      <c r="Q30" s="712"/>
      <c r="R30" s="712"/>
      <c r="S30" s="712"/>
      <c r="T30" s="715"/>
      <c r="U30" s="355"/>
      <c r="V30" s="325"/>
      <c r="W30" s="297"/>
      <c r="X30" s="297"/>
      <c r="Y30" s="298"/>
      <c r="Z30" s="298"/>
      <c r="AA30" s="298"/>
      <c r="AB30" s="297"/>
      <c r="AC30" s="375"/>
      <c r="AD30" s="355"/>
      <c r="AE30" s="376">
        <f t="shared" si="2"/>
        <v>0</v>
      </c>
      <c r="AF30" s="377"/>
      <c r="AG30" s="390"/>
      <c r="AH30" s="391">
        <f t="shared" si="9"/>
        <v>0</v>
      </c>
      <c r="AI30" s="392"/>
      <c r="AJ30" s="393">
        <f t="shared" ref="AJ30:AJ32" si="11">AH30+AI30</f>
        <v>0</v>
      </c>
      <c r="AK30" s="394"/>
      <c r="AL30" s="54"/>
      <c r="AM30" s="394"/>
    </row>
    <row r="31" spans="1:39" s="283" customFormat="1" ht="20.25">
      <c r="A31" s="294" t="s">
        <v>110</v>
      </c>
      <c r="B31" s="299"/>
      <c r="C31" s="299"/>
      <c r="D31" s="300"/>
      <c r="E31" s="296"/>
      <c r="F31" s="297"/>
      <c r="G31" s="297"/>
      <c r="H31" s="297"/>
      <c r="I31" s="298"/>
      <c r="J31" s="298"/>
      <c r="K31" s="297"/>
      <c r="L31" s="342"/>
      <c r="M31" s="711"/>
      <c r="N31" s="712"/>
      <c r="O31" s="712"/>
      <c r="P31" s="712"/>
      <c r="Q31" s="712"/>
      <c r="R31" s="712"/>
      <c r="S31" s="712"/>
      <c r="T31" s="715"/>
      <c r="U31" s="355"/>
      <c r="V31" s="325"/>
      <c r="W31" s="297"/>
      <c r="X31" s="297"/>
      <c r="Y31" s="298"/>
      <c r="Z31" s="298"/>
      <c r="AA31" s="298"/>
      <c r="AB31" s="297"/>
      <c r="AC31" s="375"/>
      <c r="AD31" s="355"/>
      <c r="AE31" s="376">
        <f t="shared" si="2"/>
        <v>0</v>
      </c>
      <c r="AF31" s="377"/>
      <c r="AG31" s="390"/>
      <c r="AH31" s="391">
        <f t="shared" si="9"/>
        <v>0</v>
      </c>
      <c r="AI31" s="392"/>
      <c r="AJ31" s="393">
        <f t="shared" si="11"/>
        <v>0</v>
      </c>
      <c r="AK31" s="394"/>
      <c r="AL31" s="54"/>
      <c r="AM31" s="394"/>
    </row>
    <row r="32" spans="1:39" s="283" customFormat="1" ht="20.25">
      <c r="A32" s="294" t="s">
        <v>110</v>
      </c>
      <c r="B32" s="299"/>
      <c r="C32" s="299"/>
      <c r="D32" s="300"/>
      <c r="E32" s="296"/>
      <c r="F32" s="297"/>
      <c r="G32" s="297"/>
      <c r="H32" s="297"/>
      <c r="I32" s="298"/>
      <c r="J32" s="298"/>
      <c r="K32" s="297"/>
      <c r="L32" s="342"/>
      <c r="M32" s="711"/>
      <c r="N32" s="712"/>
      <c r="O32" s="712"/>
      <c r="P32" s="712"/>
      <c r="Q32" s="712"/>
      <c r="R32" s="712"/>
      <c r="S32" s="712"/>
      <c r="T32" s="715"/>
      <c r="U32" s="355"/>
      <c r="V32" s="325"/>
      <c r="W32" s="297"/>
      <c r="X32" s="297"/>
      <c r="Y32" s="298"/>
      <c r="Z32" s="298"/>
      <c r="AA32" s="298"/>
      <c r="AB32" s="297"/>
      <c r="AC32" s="375"/>
      <c r="AD32" s="355"/>
      <c r="AE32" s="376">
        <f t="shared" si="2"/>
        <v>0</v>
      </c>
      <c r="AF32" s="377"/>
      <c r="AG32" s="390"/>
      <c r="AH32" s="391">
        <f t="shared" si="9"/>
        <v>0</v>
      </c>
      <c r="AI32" s="392"/>
      <c r="AJ32" s="393">
        <f t="shared" si="11"/>
        <v>0</v>
      </c>
      <c r="AK32" s="394"/>
      <c r="AL32" s="54"/>
      <c r="AM32" s="394"/>
    </row>
    <row r="33" spans="1:39" s="283" customFormat="1" ht="20.25">
      <c r="A33" s="294" t="s">
        <v>110</v>
      </c>
      <c r="B33" s="299"/>
      <c r="C33" s="299"/>
      <c r="D33" s="300"/>
      <c r="E33" s="296"/>
      <c r="F33" s="297"/>
      <c r="G33" s="297"/>
      <c r="H33" s="297"/>
      <c r="I33" s="298"/>
      <c r="J33" s="298"/>
      <c r="K33" s="297"/>
      <c r="L33" s="342"/>
      <c r="M33" s="711"/>
      <c r="N33" s="712"/>
      <c r="O33" s="712"/>
      <c r="P33" s="712"/>
      <c r="Q33" s="712"/>
      <c r="R33" s="712"/>
      <c r="S33" s="712"/>
      <c r="T33" s="715"/>
      <c r="U33" s="355"/>
      <c r="V33" s="325"/>
      <c r="W33" s="297"/>
      <c r="X33" s="297"/>
      <c r="Y33" s="298"/>
      <c r="Z33" s="298"/>
      <c r="AA33" s="298"/>
      <c r="AB33" s="297"/>
      <c r="AC33" s="375"/>
      <c r="AD33" s="355"/>
      <c r="AE33" s="376">
        <f t="shared" si="2"/>
        <v>0</v>
      </c>
      <c r="AF33" s="377"/>
      <c r="AG33" s="390"/>
      <c r="AH33" s="391">
        <f t="shared" ref="AH33:AH39" si="12">AE33+AF33</f>
        <v>0</v>
      </c>
      <c r="AI33" s="392"/>
      <c r="AJ33" s="393">
        <f t="shared" ref="AJ33:AJ35" si="13">AH33+AI33</f>
        <v>0</v>
      </c>
      <c r="AK33" s="394"/>
      <c r="AL33" s="54"/>
      <c r="AM33" s="394"/>
    </row>
    <row r="34" spans="1:39" s="283" customFormat="1" ht="20.25">
      <c r="A34" s="294" t="s">
        <v>110</v>
      </c>
      <c r="B34" s="299"/>
      <c r="C34" s="299"/>
      <c r="D34" s="300"/>
      <c r="E34" s="296"/>
      <c r="F34" s="297"/>
      <c r="G34" s="297"/>
      <c r="H34" s="297"/>
      <c r="I34" s="298"/>
      <c r="J34" s="298"/>
      <c r="K34" s="297"/>
      <c r="L34" s="342"/>
      <c r="M34" s="711"/>
      <c r="N34" s="712"/>
      <c r="O34" s="712"/>
      <c r="P34" s="712"/>
      <c r="Q34" s="712"/>
      <c r="R34" s="712"/>
      <c r="S34" s="712"/>
      <c r="T34" s="715"/>
      <c r="U34" s="355"/>
      <c r="V34" s="325"/>
      <c r="W34" s="297"/>
      <c r="X34" s="297"/>
      <c r="Y34" s="298"/>
      <c r="Z34" s="298"/>
      <c r="AA34" s="298"/>
      <c r="AB34" s="297"/>
      <c r="AC34" s="375"/>
      <c r="AD34" s="355"/>
      <c r="AE34" s="376">
        <f t="shared" si="2"/>
        <v>0</v>
      </c>
      <c r="AF34" s="377"/>
      <c r="AG34" s="390"/>
      <c r="AH34" s="391">
        <f t="shared" si="12"/>
        <v>0</v>
      </c>
      <c r="AI34" s="392"/>
      <c r="AJ34" s="393">
        <f t="shared" si="13"/>
        <v>0</v>
      </c>
      <c r="AK34" s="394"/>
      <c r="AL34" s="54"/>
      <c r="AM34" s="394"/>
    </row>
    <row r="35" spans="1:39" s="283" customFormat="1" ht="20.25">
      <c r="A35" s="294" t="s">
        <v>110</v>
      </c>
      <c r="B35" s="299"/>
      <c r="C35" s="299"/>
      <c r="D35" s="300"/>
      <c r="E35" s="296"/>
      <c r="F35" s="297"/>
      <c r="G35" s="297"/>
      <c r="H35" s="297"/>
      <c r="I35" s="298"/>
      <c r="J35" s="298"/>
      <c r="K35" s="297"/>
      <c r="L35" s="342"/>
      <c r="M35" s="711"/>
      <c r="N35" s="712"/>
      <c r="O35" s="712"/>
      <c r="P35" s="712"/>
      <c r="Q35" s="712"/>
      <c r="R35" s="712"/>
      <c r="S35" s="712"/>
      <c r="T35" s="715"/>
      <c r="U35" s="355"/>
      <c r="V35" s="325"/>
      <c r="W35" s="297"/>
      <c r="X35" s="297"/>
      <c r="Y35" s="298"/>
      <c r="Z35" s="298"/>
      <c r="AA35" s="298"/>
      <c r="AB35" s="297"/>
      <c r="AC35" s="375"/>
      <c r="AD35" s="355"/>
      <c r="AE35" s="376">
        <f t="shared" si="2"/>
        <v>0</v>
      </c>
      <c r="AF35" s="377"/>
      <c r="AG35" s="390"/>
      <c r="AH35" s="391">
        <f t="shared" si="12"/>
        <v>0</v>
      </c>
      <c r="AI35" s="392"/>
      <c r="AJ35" s="393">
        <f t="shared" si="13"/>
        <v>0</v>
      </c>
      <c r="AK35" s="394"/>
      <c r="AL35" s="54"/>
      <c r="AM35" s="394"/>
    </row>
    <row r="36" spans="1:39" s="283" customFormat="1" ht="20.25">
      <c r="A36" s="294" t="s">
        <v>110</v>
      </c>
      <c r="B36" s="299"/>
      <c r="C36" s="299"/>
      <c r="D36" s="300"/>
      <c r="E36" s="296"/>
      <c r="F36" s="297"/>
      <c r="G36" s="297"/>
      <c r="H36" s="297"/>
      <c r="I36" s="298"/>
      <c r="J36" s="298"/>
      <c r="K36" s="297"/>
      <c r="L36" s="342"/>
      <c r="M36" s="711"/>
      <c r="N36" s="712"/>
      <c r="O36" s="712"/>
      <c r="P36" s="712"/>
      <c r="Q36" s="712"/>
      <c r="R36" s="712"/>
      <c r="S36" s="712"/>
      <c r="T36" s="715"/>
      <c r="U36" s="355"/>
      <c r="V36" s="325"/>
      <c r="W36" s="297"/>
      <c r="X36" s="297"/>
      <c r="Y36" s="298"/>
      <c r="Z36" s="298"/>
      <c r="AA36" s="298"/>
      <c r="AB36" s="297"/>
      <c r="AC36" s="375"/>
      <c r="AD36" s="355"/>
      <c r="AE36" s="376">
        <f t="shared" si="2"/>
        <v>0</v>
      </c>
      <c r="AF36" s="377"/>
      <c r="AG36" s="390"/>
      <c r="AH36" s="391">
        <f t="shared" si="12"/>
        <v>0</v>
      </c>
      <c r="AI36" s="392"/>
      <c r="AJ36" s="393">
        <f t="shared" ref="AJ36:AJ37" si="14">AH36+AI36</f>
        <v>0</v>
      </c>
      <c r="AK36" s="394"/>
      <c r="AL36" s="54"/>
      <c r="AM36" s="394"/>
    </row>
    <row r="37" spans="1:39" s="283" customFormat="1" ht="20.25">
      <c r="A37" s="294" t="s">
        <v>110</v>
      </c>
      <c r="B37" s="299"/>
      <c r="C37" s="299"/>
      <c r="D37" s="300"/>
      <c r="E37" s="296"/>
      <c r="F37" s="297"/>
      <c r="G37" s="297"/>
      <c r="H37" s="297"/>
      <c r="I37" s="298"/>
      <c r="J37" s="298"/>
      <c r="K37" s="297"/>
      <c r="L37" s="342"/>
      <c r="M37" s="711"/>
      <c r="N37" s="712"/>
      <c r="O37" s="712"/>
      <c r="P37" s="712"/>
      <c r="Q37" s="712"/>
      <c r="R37" s="712"/>
      <c r="S37" s="712"/>
      <c r="T37" s="715"/>
      <c r="U37" s="355"/>
      <c r="V37" s="325"/>
      <c r="W37" s="297"/>
      <c r="X37" s="297"/>
      <c r="Y37" s="298"/>
      <c r="Z37" s="298"/>
      <c r="AA37" s="298"/>
      <c r="AB37" s="297"/>
      <c r="AC37" s="375"/>
      <c r="AD37" s="355"/>
      <c r="AE37" s="376">
        <f t="shared" si="2"/>
        <v>0</v>
      </c>
      <c r="AF37" s="377"/>
      <c r="AG37" s="390"/>
      <c r="AH37" s="391">
        <f t="shared" si="12"/>
        <v>0</v>
      </c>
      <c r="AI37" s="392"/>
      <c r="AJ37" s="393">
        <f t="shared" si="14"/>
        <v>0</v>
      </c>
      <c r="AK37" s="394"/>
      <c r="AL37" s="54"/>
      <c r="AM37" s="394"/>
    </row>
    <row r="38" spans="1:39" s="283" customFormat="1" ht="20.25">
      <c r="A38" s="294" t="s">
        <v>110</v>
      </c>
      <c r="B38" s="299"/>
      <c r="C38" s="299"/>
      <c r="D38" s="300"/>
      <c r="E38" s="296"/>
      <c r="F38" s="297"/>
      <c r="G38" s="297"/>
      <c r="H38" s="297"/>
      <c r="I38" s="298"/>
      <c r="J38" s="298"/>
      <c r="K38" s="297"/>
      <c r="L38" s="342"/>
      <c r="M38" s="711"/>
      <c r="N38" s="712"/>
      <c r="O38" s="712"/>
      <c r="P38" s="712"/>
      <c r="Q38" s="712"/>
      <c r="R38" s="712"/>
      <c r="S38" s="712"/>
      <c r="T38" s="715"/>
      <c r="U38" s="355"/>
      <c r="V38" s="325"/>
      <c r="W38" s="297"/>
      <c r="X38" s="297"/>
      <c r="Y38" s="298"/>
      <c r="Z38" s="298"/>
      <c r="AA38" s="298"/>
      <c r="AB38" s="297"/>
      <c r="AC38" s="375"/>
      <c r="AD38" s="355"/>
      <c r="AE38" s="376">
        <f t="shared" si="2"/>
        <v>0</v>
      </c>
      <c r="AF38" s="377"/>
      <c r="AG38" s="390"/>
      <c r="AH38" s="391">
        <f t="shared" si="12"/>
        <v>0</v>
      </c>
      <c r="AI38" s="392"/>
      <c r="AJ38" s="393">
        <f t="shared" ref="AJ38:AJ39" si="15">AH38+AI38</f>
        <v>0</v>
      </c>
      <c r="AK38" s="394"/>
      <c r="AL38" s="54"/>
      <c r="AM38" s="394"/>
    </row>
    <row r="39" spans="1:39" s="283" customFormat="1" ht="20.25">
      <c r="A39" s="294" t="s">
        <v>110</v>
      </c>
      <c r="B39" s="299"/>
      <c r="C39" s="299"/>
      <c r="D39" s="301"/>
      <c r="E39" s="296"/>
      <c r="F39" s="297"/>
      <c r="G39" s="297"/>
      <c r="H39" s="297"/>
      <c r="I39" s="298"/>
      <c r="J39" s="298"/>
      <c r="K39" s="297"/>
      <c r="L39" s="342"/>
      <c r="M39" s="711"/>
      <c r="N39" s="712"/>
      <c r="O39" s="712"/>
      <c r="P39" s="712"/>
      <c r="Q39" s="712"/>
      <c r="R39" s="712"/>
      <c r="S39" s="712"/>
      <c r="T39" s="715"/>
      <c r="U39" s="355"/>
      <c r="V39" s="325"/>
      <c r="W39" s="297"/>
      <c r="X39" s="297"/>
      <c r="Y39" s="298"/>
      <c r="Z39" s="298"/>
      <c r="AA39" s="298"/>
      <c r="AB39" s="297"/>
      <c r="AC39" s="375"/>
      <c r="AD39" s="355"/>
      <c r="AE39" s="376">
        <f t="shared" si="2"/>
        <v>0</v>
      </c>
      <c r="AF39" s="377"/>
      <c r="AG39" s="390"/>
      <c r="AH39" s="391">
        <f t="shared" si="12"/>
        <v>0</v>
      </c>
      <c r="AI39" s="392"/>
      <c r="AJ39" s="395">
        <f t="shared" si="15"/>
        <v>0</v>
      </c>
      <c r="AK39" s="396" t="s">
        <v>8</v>
      </c>
      <c r="AL39" s="397" t="s">
        <v>23</v>
      </c>
      <c r="AM39" s="398" t="s">
        <v>174</v>
      </c>
    </row>
    <row r="40" spans="1:39" s="284" customFormat="1" ht="18.75">
      <c r="A40" s="302" t="s">
        <v>175</v>
      </c>
      <c r="B40" s="303"/>
      <c r="C40" s="303"/>
      <c r="D40" s="304"/>
      <c r="E40" s="305">
        <f>SUM(E5:E39)</f>
        <v>0</v>
      </c>
      <c r="F40" s="305">
        <f t="shared" ref="F40:AJ40" si="16">SUM(F5:F39)</f>
        <v>0</v>
      </c>
      <c r="G40" s="305">
        <f t="shared" si="16"/>
        <v>0</v>
      </c>
      <c r="H40" s="305">
        <f t="shared" si="16"/>
        <v>0</v>
      </c>
      <c r="I40" s="305">
        <f t="shared" si="16"/>
        <v>0</v>
      </c>
      <c r="J40" s="305">
        <f t="shared" si="16"/>
        <v>0</v>
      </c>
      <c r="K40" s="305">
        <f t="shared" si="16"/>
        <v>0</v>
      </c>
      <c r="L40" s="305">
        <f t="shared" si="16"/>
        <v>0</v>
      </c>
      <c r="M40" s="305">
        <f t="shared" si="16"/>
        <v>0</v>
      </c>
      <c r="N40" s="305">
        <f t="shared" si="16"/>
        <v>0</v>
      </c>
      <c r="O40" s="305">
        <f t="shared" si="16"/>
        <v>0</v>
      </c>
      <c r="P40" s="305">
        <f t="shared" si="16"/>
        <v>0</v>
      </c>
      <c r="Q40" s="305">
        <f t="shared" si="16"/>
        <v>0</v>
      </c>
      <c r="R40" s="305">
        <f t="shared" si="16"/>
        <v>0</v>
      </c>
      <c r="S40" s="305">
        <f t="shared" si="16"/>
        <v>0</v>
      </c>
      <c r="T40" s="305">
        <f t="shared" si="16"/>
        <v>0</v>
      </c>
      <c r="U40" s="305">
        <f t="shared" si="16"/>
        <v>0</v>
      </c>
      <c r="V40" s="305">
        <f t="shared" si="16"/>
        <v>0</v>
      </c>
      <c r="W40" s="305">
        <f t="shared" si="16"/>
        <v>0</v>
      </c>
      <c r="X40" s="305">
        <f t="shared" si="16"/>
        <v>0</v>
      </c>
      <c r="Y40" s="305">
        <f t="shared" si="16"/>
        <v>0</v>
      </c>
      <c r="Z40" s="305">
        <f t="shared" si="16"/>
        <v>0</v>
      </c>
      <c r="AA40" s="305">
        <f t="shared" si="16"/>
        <v>0</v>
      </c>
      <c r="AB40" s="305">
        <f t="shared" si="16"/>
        <v>0</v>
      </c>
      <c r="AC40" s="305">
        <f t="shared" si="16"/>
        <v>0</v>
      </c>
      <c r="AD40" s="305">
        <f t="shared" si="16"/>
        <v>0</v>
      </c>
      <c r="AE40" s="305">
        <f t="shared" si="16"/>
        <v>0</v>
      </c>
      <c r="AF40" s="305">
        <f t="shared" si="16"/>
        <v>0</v>
      </c>
      <c r="AG40" s="305">
        <f t="shared" si="16"/>
        <v>0</v>
      </c>
      <c r="AH40" s="305">
        <f t="shared" si="16"/>
        <v>0</v>
      </c>
      <c r="AI40" s="305">
        <f t="shared" si="16"/>
        <v>0</v>
      </c>
      <c r="AJ40" s="305">
        <f t="shared" si="16"/>
        <v>0</v>
      </c>
      <c r="AK40" s="399">
        <f>'BIG CHAIR'!CL36</f>
        <v>0</v>
      </c>
      <c r="AL40" s="400">
        <f>'Tea Table'!X29</f>
        <v>0</v>
      </c>
      <c r="AM40" s="718">
        <f>AH40+AK40+AL40</f>
        <v>0</v>
      </c>
    </row>
    <row r="41" spans="1:39" s="284" customFormat="1" ht="18.75">
      <c r="A41" s="306"/>
      <c r="B41" s="307"/>
      <c r="C41" s="307"/>
      <c r="D41" s="308"/>
      <c r="E41" s="309"/>
      <c r="F41" s="309"/>
      <c r="G41" s="309"/>
      <c r="H41" s="309"/>
      <c r="I41" s="309"/>
      <c r="J41" s="309"/>
      <c r="K41" s="309"/>
      <c r="L41" s="346"/>
      <c r="M41" s="347"/>
      <c r="N41" s="347"/>
      <c r="O41" s="347"/>
      <c r="P41" s="347"/>
      <c r="Q41" s="347"/>
      <c r="R41" s="347"/>
      <c r="S41" s="347"/>
      <c r="T41" s="347"/>
      <c r="U41" s="346"/>
      <c r="V41" s="347"/>
      <c r="W41" s="347"/>
      <c r="X41" s="347"/>
      <c r="Y41" s="347"/>
      <c r="Z41" s="347"/>
      <c r="AA41" s="347"/>
      <c r="AB41" s="347"/>
      <c r="AC41" s="347"/>
      <c r="AD41" s="346"/>
      <c r="AE41" s="347"/>
      <c r="AF41" s="347"/>
      <c r="AG41" s="347"/>
      <c r="AH41" s="347"/>
      <c r="AI41" s="347"/>
      <c r="AJ41" s="402"/>
      <c r="AK41" s="403"/>
      <c r="AL41" s="403"/>
      <c r="AM41" s="403"/>
    </row>
    <row r="42" spans="1:39" s="282" customFormat="1" ht="23.25">
      <c r="A42" s="286" t="s">
        <v>117</v>
      </c>
      <c r="B42" s="287" t="s">
        <v>68</v>
      </c>
      <c r="C42" s="287" t="s">
        <v>69</v>
      </c>
      <c r="D42" s="288" t="s">
        <v>70</v>
      </c>
      <c r="E42" s="80" t="s">
        <v>86</v>
      </c>
      <c r="F42" s="49" t="s">
        <v>85</v>
      </c>
      <c r="G42" s="49" t="s">
        <v>258</v>
      </c>
      <c r="H42" s="49" t="s">
        <v>252</v>
      </c>
      <c r="I42" s="49" t="s">
        <v>255</v>
      </c>
      <c r="J42" s="49" t="s">
        <v>53</v>
      </c>
      <c r="K42" s="49" t="s">
        <v>80</v>
      </c>
      <c r="L42" s="79"/>
      <c r="M42" s="80" t="s">
        <v>71</v>
      </c>
      <c r="N42" s="49" t="s">
        <v>72</v>
      </c>
      <c r="O42" s="49" t="s">
        <v>100</v>
      </c>
      <c r="P42" s="49" t="s">
        <v>95</v>
      </c>
      <c r="Q42" s="49" t="s">
        <v>75</v>
      </c>
      <c r="R42" s="49" t="s">
        <v>223</v>
      </c>
      <c r="S42" s="126" t="s">
        <v>77</v>
      </c>
      <c r="T42" s="171" t="s">
        <v>80</v>
      </c>
      <c r="U42" s="79"/>
      <c r="V42" s="713" t="str">
        <f t="shared" ref="V42:AC42" si="17">V3</f>
        <v>S-W</v>
      </c>
      <c r="W42" s="714" t="str">
        <f t="shared" si="17"/>
        <v>C-W</v>
      </c>
      <c r="X42" s="104" t="str">
        <f t="shared" si="17"/>
        <v>Silver</v>
      </c>
      <c r="Y42" s="103" t="str">
        <f t="shared" si="17"/>
        <v>Black</v>
      </c>
      <c r="Z42" s="104" t="str">
        <f t="shared" si="17"/>
        <v>M.Bz</v>
      </c>
      <c r="AA42" s="716" t="str">
        <f t="shared" si="17"/>
        <v>B-Brown</v>
      </c>
      <c r="AB42" s="179" t="str">
        <f t="shared" si="17"/>
        <v>T-W</v>
      </c>
      <c r="AC42" s="717" t="str">
        <f t="shared" si="17"/>
        <v>Karara</v>
      </c>
      <c r="AD42" s="370"/>
      <c r="AE42" s="371" t="s">
        <v>172</v>
      </c>
      <c r="AF42" s="372" t="s">
        <v>80</v>
      </c>
      <c r="AG42" s="385"/>
      <c r="AH42" s="386" t="s">
        <v>106</v>
      </c>
      <c r="AI42" s="385" t="s">
        <v>173</v>
      </c>
      <c r="AJ42" s="371" t="s">
        <v>108</v>
      </c>
    </row>
    <row r="43" spans="1:39" s="234" customFormat="1" ht="20.25">
      <c r="A43" s="310" t="s">
        <v>176</v>
      </c>
      <c r="B43" s="311"/>
      <c r="C43" s="311"/>
      <c r="D43" s="312"/>
      <c r="E43" s="313"/>
      <c r="F43" s="314"/>
      <c r="G43" s="314"/>
      <c r="H43" s="314"/>
      <c r="I43" s="315"/>
      <c r="J43" s="315"/>
      <c r="K43" s="314"/>
      <c r="L43" s="349"/>
      <c r="M43" s="350"/>
      <c r="N43" s="315"/>
      <c r="O43" s="315"/>
      <c r="P43" s="315"/>
      <c r="Q43" s="315"/>
      <c r="R43" s="315"/>
      <c r="S43" s="315"/>
      <c r="T43" s="477"/>
      <c r="U43" s="349"/>
      <c r="V43" s="350"/>
      <c r="W43" s="315"/>
      <c r="X43" s="315"/>
      <c r="Y43" s="315"/>
      <c r="Z43" s="315"/>
      <c r="AA43" s="315"/>
      <c r="AB43" s="315"/>
      <c r="AC43" s="378"/>
      <c r="AD43" s="349"/>
      <c r="AE43" s="379">
        <f t="shared" ref="AE43:AE69" si="18">SUM(E43:AC43)</f>
        <v>0</v>
      </c>
      <c r="AF43" s="379"/>
      <c r="AG43" s="404"/>
      <c r="AH43" s="405">
        <f>AE43+AF43</f>
        <v>0</v>
      </c>
      <c r="AI43" s="406"/>
      <c r="AJ43" s="719">
        <f>AH43+AI43</f>
        <v>0</v>
      </c>
    </row>
    <row r="44" spans="1:39" s="234" customFormat="1" ht="20.25">
      <c r="A44" s="316" t="s">
        <v>120</v>
      </c>
      <c r="B44" s="317"/>
      <c r="C44" s="317"/>
      <c r="D44" s="318"/>
      <c r="E44" s="319"/>
      <c r="F44" s="320"/>
      <c r="G44" s="320"/>
      <c r="H44" s="320"/>
      <c r="I44" s="321"/>
      <c r="J44" s="321"/>
      <c r="K44" s="320"/>
      <c r="L44" s="352"/>
      <c r="M44" s="353"/>
      <c r="N44" s="320"/>
      <c r="O44" s="320"/>
      <c r="P44" s="321"/>
      <c r="Q44" s="321"/>
      <c r="R44" s="321"/>
      <c r="S44" s="320"/>
      <c r="T44" s="351"/>
      <c r="U44" s="352"/>
      <c r="V44" s="353"/>
      <c r="W44" s="321"/>
      <c r="X44" s="321"/>
      <c r="Y44" s="321"/>
      <c r="Z44" s="321"/>
      <c r="AA44" s="321"/>
      <c r="AB44" s="321"/>
      <c r="AC44" s="380"/>
      <c r="AD44" s="352"/>
      <c r="AE44" s="381">
        <f t="shared" si="18"/>
        <v>0</v>
      </c>
      <c r="AF44" s="381"/>
      <c r="AG44" s="408"/>
      <c r="AH44" s="409">
        <f t="shared" ref="AH44:AH69" si="19">AE44+AF44</f>
        <v>0</v>
      </c>
      <c r="AI44" s="410"/>
      <c r="AJ44" s="720">
        <f>AH44+AI44</f>
        <v>0</v>
      </c>
    </row>
    <row r="45" spans="1:39" s="234" customFormat="1" ht="20.25">
      <c r="A45" s="316" t="s">
        <v>120</v>
      </c>
      <c r="B45" s="710"/>
      <c r="C45" s="295"/>
      <c r="D45" s="318"/>
      <c r="E45" s="319"/>
      <c r="F45" s="320"/>
      <c r="G45" s="320"/>
      <c r="H45" s="320"/>
      <c r="I45" s="321"/>
      <c r="J45" s="321"/>
      <c r="K45" s="320"/>
      <c r="L45" s="352"/>
      <c r="M45" s="353"/>
      <c r="N45" s="321"/>
      <c r="O45" s="321"/>
      <c r="P45" s="321"/>
      <c r="Q45" s="321"/>
      <c r="R45" s="321"/>
      <c r="S45" s="321"/>
      <c r="T45" s="351"/>
      <c r="U45" s="352"/>
      <c r="V45" s="319"/>
      <c r="W45" s="320"/>
      <c r="X45" s="320"/>
      <c r="Y45" s="321"/>
      <c r="Z45" s="321"/>
      <c r="AA45" s="321"/>
      <c r="AB45" s="320"/>
      <c r="AC45" s="380"/>
      <c r="AD45" s="352"/>
      <c r="AE45" s="381">
        <f t="shared" si="18"/>
        <v>0</v>
      </c>
      <c r="AF45" s="381"/>
      <c r="AG45" s="408"/>
      <c r="AH45" s="409">
        <f t="shared" si="19"/>
        <v>0</v>
      </c>
      <c r="AI45" s="410"/>
      <c r="AJ45" s="720">
        <f>AH45+AI45</f>
        <v>0</v>
      </c>
    </row>
    <row r="46" spans="1:39" s="234" customFormat="1" ht="20.25">
      <c r="A46" s="316" t="s">
        <v>120</v>
      </c>
      <c r="B46" s="710"/>
      <c r="C46" s="295"/>
      <c r="D46" s="318"/>
      <c r="E46" s="319"/>
      <c r="F46" s="320"/>
      <c r="G46" s="320"/>
      <c r="H46" s="320"/>
      <c r="I46" s="321"/>
      <c r="J46" s="321"/>
      <c r="K46" s="320"/>
      <c r="L46" s="352"/>
      <c r="M46" s="353"/>
      <c r="N46" s="321"/>
      <c r="O46" s="321"/>
      <c r="P46" s="321"/>
      <c r="Q46" s="321"/>
      <c r="R46" s="321"/>
      <c r="S46" s="321"/>
      <c r="T46" s="351"/>
      <c r="U46" s="352"/>
      <c r="V46" s="319"/>
      <c r="W46" s="320"/>
      <c r="X46" s="320"/>
      <c r="Y46" s="321"/>
      <c r="Z46" s="321"/>
      <c r="AA46" s="321"/>
      <c r="AB46" s="320"/>
      <c r="AC46" s="380"/>
      <c r="AD46" s="352"/>
      <c r="AE46" s="381">
        <f t="shared" si="18"/>
        <v>0</v>
      </c>
      <c r="AF46" s="381"/>
      <c r="AG46" s="408"/>
      <c r="AH46" s="409">
        <f t="shared" si="19"/>
        <v>0</v>
      </c>
      <c r="AI46" s="410"/>
      <c r="AJ46" s="720">
        <f>AH46+AI46</f>
        <v>0</v>
      </c>
    </row>
    <row r="47" spans="1:39" s="234" customFormat="1" ht="20.25">
      <c r="A47" s="316" t="s">
        <v>120</v>
      </c>
      <c r="B47" s="295"/>
      <c r="C47" s="295"/>
      <c r="D47" s="318"/>
      <c r="E47" s="319"/>
      <c r="F47" s="320"/>
      <c r="G47" s="320"/>
      <c r="H47" s="320"/>
      <c r="I47" s="321"/>
      <c r="J47" s="321"/>
      <c r="K47" s="320"/>
      <c r="L47" s="352"/>
      <c r="M47" s="353"/>
      <c r="N47" s="321"/>
      <c r="O47" s="321"/>
      <c r="P47" s="321"/>
      <c r="Q47" s="321"/>
      <c r="R47" s="321"/>
      <c r="S47" s="321"/>
      <c r="T47" s="351"/>
      <c r="U47" s="352"/>
      <c r="V47" s="319"/>
      <c r="W47" s="320"/>
      <c r="X47" s="320"/>
      <c r="Y47" s="321"/>
      <c r="Z47" s="321"/>
      <c r="AA47" s="321"/>
      <c r="AB47" s="320"/>
      <c r="AC47" s="380"/>
      <c r="AD47" s="352"/>
      <c r="AE47" s="381">
        <f t="shared" si="18"/>
        <v>0</v>
      </c>
      <c r="AF47" s="381"/>
      <c r="AG47" s="408"/>
      <c r="AH47" s="409">
        <f t="shared" ref="AH47:AH48" si="20">AE47+AF47</f>
        <v>0</v>
      </c>
      <c r="AI47" s="410"/>
      <c r="AJ47" s="720">
        <f t="shared" ref="AJ47:AJ49" si="21">AH47+AI47</f>
        <v>0</v>
      </c>
    </row>
    <row r="48" spans="1:39" s="234" customFormat="1" ht="20.25">
      <c r="A48" s="316" t="s">
        <v>120</v>
      </c>
      <c r="B48" s="295"/>
      <c r="C48" s="295"/>
      <c r="D48" s="318"/>
      <c r="E48" s="319"/>
      <c r="F48" s="320"/>
      <c r="G48" s="320"/>
      <c r="H48" s="320"/>
      <c r="I48" s="321"/>
      <c r="J48" s="321"/>
      <c r="K48" s="320"/>
      <c r="L48" s="352"/>
      <c r="M48" s="353"/>
      <c r="N48" s="321"/>
      <c r="O48" s="321"/>
      <c r="P48" s="321"/>
      <c r="Q48" s="321"/>
      <c r="R48" s="321"/>
      <c r="S48" s="321"/>
      <c r="T48" s="351"/>
      <c r="U48" s="352"/>
      <c r="V48" s="319"/>
      <c r="W48" s="320"/>
      <c r="X48" s="320"/>
      <c r="Y48" s="321"/>
      <c r="Z48" s="321"/>
      <c r="AA48" s="321"/>
      <c r="AB48" s="320"/>
      <c r="AC48" s="380"/>
      <c r="AD48" s="352"/>
      <c r="AE48" s="381">
        <f t="shared" si="18"/>
        <v>0</v>
      </c>
      <c r="AF48" s="381"/>
      <c r="AG48" s="408"/>
      <c r="AH48" s="409">
        <f t="shared" si="20"/>
        <v>0</v>
      </c>
      <c r="AI48" s="410"/>
      <c r="AJ48" s="720">
        <f t="shared" si="21"/>
        <v>0</v>
      </c>
    </row>
    <row r="49" spans="1:39" s="234" customFormat="1" ht="20.25">
      <c r="A49" s="316" t="s">
        <v>120</v>
      </c>
      <c r="B49" s="295"/>
      <c r="C49" s="295"/>
      <c r="D49" s="318"/>
      <c r="E49" s="319"/>
      <c r="F49" s="320"/>
      <c r="G49" s="320"/>
      <c r="H49" s="320"/>
      <c r="I49" s="321"/>
      <c r="J49" s="321"/>
      <c r="K49" s="320"/>
      <c r="L49" s="352"/>
      <c r="M49" s="353"/>
      <c r="N49" s="321"/>
      <c r="O49" s="321"/>
      <c r="P49" s="321"/>
      <c r="Q49" s="321"/>
      <c r="R49" s="321"/>
      <c r="S49" s="321"/>
      <c r="T49" s="351"/>
      <c r="U49" s="352"/>
      <c r="V49" s="319"/>
      <c r="W49" s="320"/>
      <c r="X49" s="320"/>
      <c r="Y49" s="321"/>
      <c r="Z49" s="321"/>
      <c r="AA49" s="321"/>
      <c r="AB49" s="320"/>
      <c r="AC49" s="380"/>
      <c r="AD49" s="352"/>
      <c r="AE49" s="381">
        <f t="shared" si="18"/>
        <v>0</v>
      </c>
      <c r="AF49" s="381"/>
      <c r="AG49" s="408"/>
      <c r="AH49" s="409">
        <f t="shared" si="19"/>
        <v>0</v>
      </c>
      <c r="AI49" s="410"/>
      <c r="AJ49" s="720">
        <f t="shared" si="21"/>
        <v>0</v>
      </c>
    </row>
    <row r="50" spans="1:39" s="234" customFormat="1" ht="20.25">
      <c r="A50" s="316" t="s">
        <v>120</v>
      </c>
      <c r="B50" s="295"/>
      <c r="C50" s="295"/>
      <c r="D50" s="318"/>
      <c r="E50" s="319"/>
      <c r="F50" s="320"/>
      <c r="G50" s="320"/>
      <c r="H50" s="320"/>
      <c r="I50" s="321"/>
      <c r="J50" s="321"/>
      <c r="K50" s="320"/>
      <c r="L50" s="352"/>
      <c r="M50" s="353"/>
      <c r="N50" s="321"/>
      <c r="O50" s="321"/>
      <c r="P50" s="321"/>
      <c r="Q50" s="321"/>
      <c r="R50" s="321"/>
      <c r="S50" s="321"/>
      <c r="T50" s="351"/>
      <c r="U50" s="352"/>
      <c r="V50" s="319"/>
      <c r="W50" s="320"/>
      <c r="X50" s="320"/>
      <c r="Y50" s="321"/>
      <c r="Z50" s="321"/>
      <c r="AA50" s="321"/>
      <c r="AB50" s="320"/>
      <c r="AC50" s="380"/>
      <c r="AD50" s="352"/>
      <c r="AE50" s="381">
        <f t="shared" si="18"/>
        <v>0</v>
      </c>
      <c r="AF50" s="381"/>
      <c r="AG50" s="408"/>
      <c r="AH50" s="409">
        <f t="shared" si="19"/>
        <v>0</v>
      </c>
      <c r="AI50" s="410"/>
      <c r="AJ50" s="720">
        <f t="shared" ref="AJ50:AJ69" si="22">AH50+AI50</f>
        <v>0</v>
      </c>
    </row>
    <row r="51" spans="1:39" s="234" customFormat="1" ht="20.25">
      <c r="A51" s="316" t="s">
        <v>120</v>
      </c>
      <c r="B51" s="295"/>
      <c r="C51" s="295"/>
      <c r="D51" s="318"/>
      <c r="E51" s="319"/>
      <c r="F51" s="320"/>
      <c r="G51" s="320"/>
      <c r="H51" s="320"/>
      <c r="I51" s="321"/>
      <c r="J51" s="321"/>
      <c r="K51" s="320"/>
      <c r="L51" s="352"/>
      <c r="M51" s="353"/>
      <c r="N51" s="321"/>
      <c r="O51" s="321"/>
      <c r="P51" s="321"/>
      <c r="Q51" s="321"/>
      <c r="R51" s="321"/>
      <c r="S51" s="321"/>
      <c r="T51" s="351"/>
      <c r="U51" s="352"/>
      <c r="V51" s="319"/>
      <c r="W51" s="320"/>
      <c r="X51" s="320"/>
      <c r="Y51" s="321"/>
      <c r="Z51" s="321"/>
      <c r="AA51" s="321"/>
      <c r="AB51" s="320"/>
      <c r="AC51" s="380"/>
      <c r="AD51" s="352"/>
      <c r="AE51" s="381">
        <f t="shared" si="18"/>
        <v>0</v>
      </c>
      <c r="AF51" s="381"/>
      <c r="AG51" s="408"/>
      <c r="AH51" s="409">
        <f t="shared" si="19"/>
        <v>0</v>
      </c>
      <c r="AI51" s="410"/>
      <c r="AJ51" s="720">
        <f t="shared" si="22"/>
        <v>0</v>
      </c>
    </row>
    <row r="52" spans="1:39" s="234" customFormat="1" ht="20.25">
      <c r="A52" s="316" t="s">
        <v>120</v>
      </c>
      <c r="B52" s="295"/>
      <c r="C52" s="295"/>
      <c r="D52" s="318"/>
      <c r="E52" s="319"/>
      <c r="F52" s="320"/>
      <c r="G52" s="320"/>
      <c r="H52" s="320"/>
      <c r="I52" s="321"/>
      <c r="J52" s="321"/>
      <c r="K52" s="320"/>
      <c r="L52" s="352"/>
      <c r="M52" s="353"/>
      <c r="N52" s="321"/>
      <c r="O52" s="321"/>
      <c r="P52" s="321"/>
      <c r="Q52" s="321"/>
      <c r="R52" s="321"/>
      <c r="S52" s="321"/>
      <c r="T52" s="351"/>
      <c r="U52" s="352"/>
      <c r="V52" s="319"/>
      <c r="W52" s="320"/>
      <c r="X52" s="320"/>
      <c r="Y52" s="321"/>
      <c r="Z52" s="321"/>
      <c r="AA52" s="321"/>
      <c r="AB52" s="320"/>
      <c r="AC52" s="380"/>
      <c r="AD52" s="352"/>
      <c r="AE52" s="381">
        <f t="shared" si="18"/>
        <v>0</v>
      </c>
      <c r="AF52" s="381"/>
      <c r="AG52" s="408"/>
      <c r="AH52" s="409">
        <f t="shared" si="19"/>
        <v>0</v>
      </c>
      <c r="AI52" s="410"/>
      <c r="AJ52" s="720">
        <f t="shared" si="22"/>
        <v>0</v>
      </c>
    </row>
    <row r="53" spans="1:39" s="234" customFormat="1" ht="20.25">
      <c r="A53" s="316" t="s">
        <v>120</v>
      </c>
      <c r="B53" s="295"/>
      <c r="C53" s="295"/>
      <c r="D53" s="318"/>
      <c r="E53" s="319"/>
      <c r="F53" s="320"/>
      <c r="G53" s="320"/>
      <c r="H53" s="320"/>
      <c r="I53" s="321"/>
      <c r="J53" s="321"/>
      <c r="K53" s="320"/>
      <c r="L53" s="352"/>
      <c r="M53" s="353"/>
      <c r="N53" s="321"/>
      <c r="O53" s="321"/>
      <c r="P53" s="321"/>
      <c r="Q53" s="321"/>
      <c r="R53" s="321"/>
      <c r="S53" s="321"/>
      <c r="T53" s="351"/>
      <c r="U53" s="352"/>
      <c r="V53" s="319"/>
      <c r="W53" s="320"/>
      <c r="X53" s="320"/>
      <c r="Y53" s="321"/>
      <c r="Z53" s="321"/>
      <c r="AA53" s="321"/>
      <c r="AB53" s="320"/>
      <c r="AC53" s="380"/>
      <c r="AD53" s="352"/>
      <c r="AE53" s="381">
        <f t="shared" si="18"/>
        <v>0</v>
      </c>
      <c r="AF53" s="381"/>
      <c r="AG53" s="408"/>
      <c r="AH53" s="409">
        <f t="shared" ref="AH53:AH56" si="23">AE53+AF53</f>
        <v>0</v>
      </c>
      <c r="AI53" s="410"/>
      <c r="AJ53" s="720">
        <f t="shared" ref="AJ53:AJ55" si="24">AH53+AI53</f>
        <v>0</v>
      </c>
    </row>
    <row r="54" spans="1:39" s="234" customFormat="1" ht="20.25">
      <c r="A54" s="316" t="s">
        <v>120</v>
      </c>
      <c r="B54" s="295"/>
      <c r="C54" s="295"/>
      <c r="D54" s="318"/>
      <c r="E54" s="319"/>
      <c r="F54" s="320"/>
      <c r="G54" s="320"/>
      <c r="H54" s="320"/>
      <c r="I54" s="321"/>
      <c r="J54" s="321"/>
      <c r="K54" s="320"/>
      <c r="L54" s="352"/>
      <c r="M54" s="353"/>
      <c r="N54" s="321"/>
      <c r="O54" s="321"/>
      <c r="P54" s="321"/>
      <c r="Q54" s="321"/>
      <c r="R54" s="321"/>
      <c r="S54" s="321"/>
      <c r="T54" s="351"/>
      <c r="U54" s="352"/>
      <c r="V54" s="319"/>
      <c r="W54" s="320"/>
      <c r="X54" s="320"/>
      <c r="Y54" s="321"/>
      <c r="Z54" s="321"/>
      <c r="AA54" s="321"/>
      <c r="AB54" s="320"/>
      <c r="AC54" s="380"/>
      <c r="AD54" s="352"/>
      <c r="AE54" s="381">
        <f t="shared" si="18"/>
        <v>0</v>
      </c>
      <c r="AF54" s="381"/>
      <c r="AG54" s="408"/>
      <c r="AH54" s="409">
        <f t="shared" si="23"/>
        <v>0</v>
      </c>
      <c r="AI54" s="410"/>
      <c r="AJ54" s="720">
        <f t="shared" si="24"/>
        <v>0</v>
      </c>
    </row>
    <row r="55" spans="1:39" s="234" customFormat="1" ht="20.25">
      <c r="A55" s="316" t="s">
        <v>120</v>
      </c>
      <c r="B55" s="295"/>
      <c r="C55" s="295"/>
      <c r="D55" s="318"/>
      <c r="E55" s="319"/>
      <c r="F55" s="320"/>
      <c r="G55" s="320"/>
      <c r="H55" s="320"/>
      <c r="I55" s="321"/>
      <c r="J55" s="321"/>
      <c r="K55" s="320"/>
      <c r="L55" s="352"/>
      <c r="M55" s="353"/>
      <c r="N55" s="321"/>
      <c r="O55" s="321"/>
      <c r="P55" s="321"/>
      <c r="Q55" s="321"/>
      <c r="R55" s="321"/>
      <c r="S55" s="321"/>
      <c r="T55" s="351"/>
      <c r="U55" s="352"/>
      <c r="V55" s="319"/>
      <c r="W55" s="320"/>
      <c r="X55" s="320"/>
      <c r="Y55" s="321"/>
      <c r="Z55" s="321"/>
      <c r="AA55" s="321"/>
      <c r="AB55" s="320"/>
      <c r="AC55" s="380"/>
      <c r="AD55" s="352"/>
      <c r="AE55" s="381">
        <f t="shared" si="18"/>
        <v>0</v>
      </c>
      <c r="AF55" s="381"/>
      <c r="AG55" s="408"/>
      <c r="AH55" s="409">
        <f t="shared" si="23"/>
        <v>0</v>
      </c>
      <c r="AI55" s="410"/>
      <c r="AJ55" s="720">
        <f t="shared" si="24"/>
        <v>0</v>
      </c>
    </row>
    <row r="56" spans="1:39" s="234" customFormat="1" ht="20.25">
      <c r="A56" s="316" t="s">
        <v>120</v>
      </c>
      <c r="B56" s="295"/>
      <c r="C56" s="295"/>
      <c r="D56" s="318"/>
      <c r="E56" s="319"/>
      <c r="F56" s="320"/>
      <c r="G56" s="320"/>
      <c r="H56" s="320"/>
      <c r="I56" s="321"/>
      <c r="J56" s="321"/>
      <c r="K56" s="320"/>
      <c r="L56" s="352"/>
      <c r="M56" s="353"/>
      <c r="N56" s="321"/>
      <c r="O56" s="321"/>
      <c r="P56" s="321"/>
      <c r="Q56" s="321"/>
      <c r="R56" s="321"/>
      <c r="S56" s="321"/>
      <c r="T56" s="351"/>
      <c r="U56" s="352"/>
      <c r="V56" s="319"/>
      <c r="W56" s="320"/>
      <c r="X56" s="320"/>
      <c r="Y56" s="321"/>
      <c r="Z56" s="321"/>
      <c r="AA56" s="321"/>
      <c r="AB56" s="320"/>
      <c r="AC56" s="380"/>
      <c r="AD56" s="352"/>
      <c r="AE56" s="381">
        <f t="shared" si="18"/>
        <v>0</v>
      </c>
      <c r="AF56" s="381"/>
      <c r="AG56" s="408"/>
      <c r="AH56" s="409">
        <f t="shared" si="23"/>
        <v>0</v>
      </c>
      <c r="AI56" s="410"/>
      <c r="AJ56" s="720">
        <f t="shared" ref="AJ56" si="25">AH56+AI56</f>
        <v>0</v>
      </c>
    </row>
    <row r="57" spans="1:39" s="234" customFormat="1" ht="20.25">
      <c r="A57" s="316" t="s">
        <v>120</v>
      </c>
      <c r="B57" s="295"/>
      <c r="C57" s="295"/>
      <c r="D57" s="318"/>
      <c r="E57" s="319"/>
      <c r="F57" s="320"/>
      <c r="G57" s="320"/>
      <c r="H57" s="320"/>
      <c r="I57" s="321"/>
      <c r="J57" s="321"/>
      <c r="K57" s="320"/>
      <c r="L57" s="352"/>
      <c r="M57" s="353"/>
      <c r="N57" s="321"/>
      <c r="O57" s="321"/>
      <c r="P57" s="321"/>
      <c r="Q57" s="321"/>
      <c r="R57" s="321"/>
      <c r="S57" s="321"/>
      <c r="T57" s="351"/>
      <c r="U57" s="352"/>
      <c r="V57" s="319"/>
      <c r="W57" s="320"/>
      <c r="X57" s="320"/>
      <c r="Y57" s="321"/>
      <c r="Z57" s="321"/>
      <c r="AA57" s="321"/>
      <c r="AB57" s="320"/>
      <c r="AC57" s="380"/>
      <c r="AD57" s="352"/>
      <c r="AE57" s="381">
        <f t="shared" si="18"/>
        <v>0</v>
      </c>
      <c r="AF57" s="381"/>
      <c r="AG57" s="408"/>
      <c r="AH57" s="409">
        <f t="shared" si="19"/>
        <v>0</v>
      </c>
      <c r="AI57" s="410"/>
      <c r="AJ57" s="720">
        <f t="shared" si="22"/>
        <v>0</v>
      </c>
    </row>
    <row r="58" spans="1:39" s="234" customFormat="1" ht="20.25">
      <c r="A58" s="316" t="s">
        <v>120</v>
      </c>
      <c r="B58" s="295"/>
      <c r="C58" s="295"/>
      <c r="D58" s="318"/>
      <c r="E58" s="319"/>
      <c r="F58" s="320"/>
      <c r="G58" s="320"/>
      <c r="H58" s="320"/>
      <c r="I58" s="321"/>
      <c r="J58" s="321"/>
      <c r="K58" s="320"/>
      <c r="L58" s="352"/>
      <c r="M58" s="353"/>
      <c r="N58" s="321"/>
      <c r="O58" s="321"/>
      <c r="P58" s="321"/>
      <c r="Q58" s="321"/>
      <c r="R58" s="321"/>
      <c r="S58" s="321"/>
      <c r="T58" s="351"/>
      <c r="U58" s="352"/>
      <c r="V58" s="319"/>
      <c r="W58" s="320"/>
      <c r="X58" s="320"/>
      <c r="Y58" s="321"/>
      <c r="Z58" s="321"/>
      <c r="AA58" s="321"/>
      <c r="AB58" s="320"/>
      <c r="AC58" s="380"/>
      <c r="AD58" s="352"/>
      <c r="AE58" s="381">
        <f t="shared" si="18"/>
        <v>0</v>
      </c>
      <c r="AF58" s="381"/>
      <c r="AG58" s="408"/>
      <c r="AH58" s="409">
        <f t="shared" si="19"/>
        <v>0</v>
      </c>
      <c r="AI58" s="410"/>
      <c r="AJ58" s="720">
        <f t="shared" si="22"/>
        <v>0</v>
      </c>
    </row>
    <row r="59" spans="1:39" s="234" customFormat="1" ht="20.25">
      <c r="A59" s="316" t="s">
        <v>120</v>
      </c>
      <c r="B59" s="295"/>
      <c r="C59" s="295"/>
      <c r="D59" s="318"/>
      <c r="E59" s="319"/>
      <c r="F59" s="320"/>
      <c r="G59" s="320"/>
      <c r="H59" s="320"/>
      <c r="I59" s="321"/>
      <c r="J59" s="321"/>
      <c r="K59" s="320"/>
      <c r="L59" s="352"/>
      <c r="M59" s="353"/>
      <c r="N59" s="321"/>
      <c r="O59" s="321"/>
      <c r="P59" s="321"/>
      <c r="Q59" s="321"/>
      <c r="R59" s="321"/>
      <c r="S59" s="321"/>
      <c r="T59" s="351"/>
      <c r="U59" s="352"/>
      <c r="V59" s="319"/>
      <c r="W59" s="320"/>
      <c r="X59" s="320"/>
      <c r="Y59" s="321"/>
      <c r="Z59" s="321"/>
      <c r="AA59" s="321"/>
      <c r="AB59" s="320"/>
      <c r="AC59" s="380"/>
      <c r="AD59" s="352"/>
      <c r="AE59" s="381">
        <f t="shared" si="18"/>
        <v>0</v>
      </c>
      <c r="AF59" s="381"/>
      <c r="AG59" s="408"/>
      <c r="AH59" s="409">
        <f t="shared" si="19"/>
        <v>0</v>
      </c>
      <c r="AI59" s="410"/>
      <c r="AJ59" s="720">
        <f t="shared" si="22"/>
        <v>0</v>
      </c>
    </row>
    <row r="60" spans="1:39" s="283" customFormat="1" ht="20.25">
      <c r="A60" s="322" t="s">
        <v>259</v>
      </c>
      <c r="B60" s="323"/>
      <c r="C60" s="323"/>
      <c r="D60" s="324"/>
      <c r="E60" s="325"/>
      <c r="F60" s="297"/>
      <c r="G60" s="297"/>
      <c r="H60" s="297"/>
      <c r="I60" s="298"/>
      <c r="J60" s="298"/>
      <c r="K60" s="297"/>
      <c r="L60" s="355"/>
      <c r="M60" s="343"/>
      <c r="N60" s="298"/>
      <c r="O60" s="298"/>
      <c r="P60" s="298"/>
      <c r="Q60" s="298"/>
      <c r="R60" s="298"/>
      <c r="S60" s="298"/>
      <c r="T60" s="367"/>
      <c r="U60" s="355"/>
      <c r="V60" s="325"/>
      <c r="W60" s="297"/>
      <c r="X60" s="297"/>
      <c r="Y60" s="298"/>
      <c r="Z60" s="298"/>
      <c r="AA60" s="298"/>
      <c r="AB60" s="297"/>
      <c r="AC60" s="375"/>
      <c r="AD60" s="355"/>
      <c r="AE60" s="376">
        <f t="shared" ref="AE60:AE66" si="26">SUM(E60:AC60)</f>
        <v>0</v>
      </c>
      <c r="AF60" s="377"/>
      <c r="AG60" s="390"/>
      <c r="AH60" s="391">
        <f t="shared" ref="AH60:AH68" si="27">AE60+AF60</f>
        <v>0</v>
      </c>
      <c r="AI60" s="412"/>
      <c r="AJ60" s="393">
        <f t="shared" ref="AJ60:AJ68" si="28">AH60+AI60</f>
        <v>0</v>
      </c>
      <c r="AK60" s="394"/>
      <c r="AL60" s="54"/>
      <c r="AM60" s="394"/>
    </row>
    <row r="61" spans="1:39" s="283" customFormat="1" ht="20.25">
      <c r="A61" s="322" t="s">
        <v>259</v>
      </c>
      <c r="B61" s="323"/>
      <c r="C61" s="323"/>
      <c r="D61" s="324"/>
      <c r="E61" s="325"/>
      <c r="F61" s="297"/>
      <c r="G61" s="297"/>
      <c r="H61" s="297"/>
      <c r="I61" s="298"/>
      <c r="J61" s="298"/>
      <c r="K61" s="297"/>
      <c r="L61" s="355"/>
      <c r="M61" s="343"/>
      <c r="N61" s="298"/>
      <c r="O61" s="298"/>
      <c r="P61" s="298"/>
      <c r="Q61" s="298"/>
      <c r="R61" s="298"/>
      <c r="S61" s="298"/>
      <c r="T61" s="367"/>
      <c r="U61" s="355"/>
      <c r="V61" s="325"/>
      <c r="W61" s="297"/>
      <c r="X61" s="297"/>
      <c r="Y61" s="298"/>
      <c r="Z61" s="298"/>
      <c r="AA61" s="298"/>
      <c r="AB61" s="297"/>
      <c r="AC61" s="375"/>
      <c r="AD61" s="355"/>
      <c r="AE61" s="376">
        <f t="shared" ref="AE61:AE65" si="29">SUM(E61:AC61)</f>
        <v>0</v>
      </c>
      <c r="AF61" s="377"/>
      <c r="AG61" s="390"/>
      <c r="AH61" s="391">
        <f t="shared" ref="AH61:AH65" si="30">AE61+AF61</f>
        <v>0</v>
      </c>
      <c r="AI61" s="412"/>
      <c r="AJ61" s="393">
        <f t="shared" ref="AJ61:AJ65" si="31">AH61+AI61</f>
        <v>0</v>
      </c>
      <c r="AK61" s="394"/>
      <c r="AL61" s="54"/>
      <c r="AM61" s="394"/>
    </row>
    <row r="62" spans="1:39" s="283" customFormat="1" ht="20.25">
      <c r="A62" s="322" t="s">
        <v>259</v>
      </c>
      <c r="B62" s="323"/>
      <c r="C62" s="323"/>
      <c r="D62" s="324"/>
      <c r="E62" s="325"/>
      <c r="F62" s="297"/>
      <c r="G62" s="297"/>
      <c r="H62" s="297"/>
      <c r="I62" s="298"/>
      <c r="J62" s="298"/>
      <c r="K62" s="297"/>
      <c r="L62" s="355"/>
      <c r="M62" s="343"/>
      <c r="N62" s="298"/>
      <c r="O62" s="298"/>
      <c r="P62" s="298"/>
      <c r="Q62" s="298"/>
      <c r="R62" s="298"/>
      <c r="S62" s="298"/>
      <c r="T62" s="367"/>
      <c r="U62" s="355"/>
      <c r="V62" s="325"/>
      <c r="W62" s="297"/>
      <c r="X62" s="297"/>
      <c r="Y62" s="298"/>
      <c r="Z62" s="298"/>
      <c r="AA62" s="298"/>
      <c r="AB62" s="297"/>
      <c r="AC62" s="375"/>
      <c r="AD62" s="355"/>
      <c r="AE62" s="376">
        <f t="shared" si="29"/>
        <v>0</v>
      </c>
      <c r="AF62" s="377"/>
      <c r="AG62" s="390"/>
      <c r="AH62" s="391">
        <f t="shared" si="30"/>
        <v>0</v>
      </c>
      <c r="AI62" s="412"/>
      <c r="AJ62" s="393">
        <f t="shared" si="31"/>
        <v>0</v>
      </c>
      <c r="AK62" s="394"/>
      <c r="AL62" s="54"/>
      <c r="AM62" s="394"/>
    </row>
    <row r="63" spans="1:39" s="283" customFormat="1" ht="20.25">
      <c r="A63" s="322" t="s">
        <v>259</v>
      </c>
      <c r="B63" s="323"/>
      <c r="C63" s="323"/>
      <c r="D63" s="324"/>
      <c r="E63" s="325"/>
      <c r="F63" s="297"/>
      <c r="G63" s="297"/>
      <c r="H63" s="297"/>
      <c r="I63" s="298"/>
      <c r="J63" s="298"/>
      <c r="K63" s="297"/>
      <c r="L63" s="355"/>
      <c r="M63" s="343"/>
      <c r="N63" s="298"/>
      <c r="O63" s="298"/>
      <c r="P63" s="298"/>
      <c r="Q63" s="298"/>
      <c r="R63" s="298"/>
      <c r="S63" s="298"/>
      <c r="T63" s="367"/>
      <c r="U63" s="355"/>
      <c r="V63" s="325"/>
      <c r="W63" s="297"/>
      <c r="X63" s="297"/>
      <c r="Y63" s="298"/>
      <c r="Z63" s="298"/>
      <c r="AA63" s="298"/>
      <c r="AB63" s="297"/>
      <c r="AC63" s="375"/>
      <c r="AD63" s="355"/>
      <c r="AE63" s="376">
        <f t="shared" ref="AE63:AE64" si="32">SUM(E63:AC63)</f>
        <v>0</v>
      </c>
      <c r="AF63" s="377"/>
      <c r="AG63" s="390"/>
      <c r="AH63" s="391">
        <f t="shared" ref="AH63:AH64" si="33">AE63+AF63</f>
        <v>0</v>
      </c>
      <c r="AI63" s="412"/>
      <c r="AJ63" s="393">
        <f t="shared" ref="AJ63:AJ64" si="34">AH63+AI63</f>
        <v>0</v>
      </c>
      <c r="AK63" s="394"/>
      <c r="AL63" s="54"/>
      <c r="AM63" s="394"/>
    </row>
    <row r="64" spans="1:39" s="283" customFormat="1" ht="20.25">
      <c r="A64" s="322" t="s">
        <v>259</v>
      </c>
      <c r="B64" s="323"/>
      <c r="C64" s="323"/>
      <c r="D64" s="324"/>
      <c r="E64" s="325"/>
      <c r="F64" s="297"/>
      <c r="G64" s="297"/>
      <c r="H64" s="297"/>
      <c r="I64" s="298"/>
      <c r="J64" s="298"/>
      <c r="K64" s="297"/>
      <c r="L64" s="355"/>
      <c r="M64" s="343"/>
      <c r="N64" s="298"/>
      <c r="O64" s="298"/>
      <c r="P64" s="298"/>
      <c r="Q64" s="298"/>
      <c r="R64" s="298"/>
      <c r="S64" s="298"/>
      <c r="T64" s="367"/>
      <c r="U64" s="355"/>
      <c r="V64" s="325"/>
      <c r="W64" s="297"/>
      <c r="X64" s="297"/>
      <c r="Y64" s="298"/>
      <c r="Z64" s="298"/>
      <c r="AA64" s="298"/>
      <c r="AB64" s="297"/>
      <c r="AC64" s="375"/>
      <c r="AD64" s="355"/>
      <c r="AE64" s="376">
        <f t="shared" si="32"/>
        <v>0</v>
      </c>
      <c r="AF64" s="377"/>
      <c r="AG64" s="390"/>
      <c r="AH64" s="391">
        <f t="shared" si="33"/>
        <v>0</v>
      </c>
      <c r="AI64" s="412"/>
      <c r="AJ64" s="393">
        <f t="shared" si="34"/>
        <v>0</v>
      </c>
      <c r="AK64" s="394"/>
      <c r="AL64" s="54"/>
      <c r="AM64" s="394"/>
    </row>
    <row r="65" spans="1:39" s="283" customFormat="1" ht="20.25">
      <c r="A65" s="322" t="s">
        <v>259</v>
      </c>
      <c r="B65" s="323"/>
      <c r="C65" s="323"/>
      <c r="D65" s="324"/>
      <c r="E65" s="325"/>
      <c r="F65" s="297"/>
      <c r="G65" s="297"/>
      <c r="H65" s="297"/>
      <c r="I65" s="298"/>
      <c r="J65" s="298"/>
      <c r="K65" s="297"/>
      <c r="L65" s="355"/>
      <c r="M65" s="343"/>
      <c r="N65" s="298"/>
      <c r="O65" s="298"/>
      <c r="P65" s="298"/>
      <c r="Q65" s="298"/>
      <c r="R65" s="298"/>
      <c r="S65" s="298"/>
      <c r="T65" s="367"/>
      <c r="U65" s="355"/>
      <c r="V65" s="325"/>
      <c r="W65" s="297"/>
      <c r="X65" s="297"/>
      <c r="Y65" s="298"/>
      <c r="Z65" s="298"/>
      <c r="AA65" s="298"/>
      <c r="AB65" s="297"/>
      <c r="AC65" s="375"/>
      <c r="AD65" s="355"/>
      <c r="AE65" s="376">
        <f t="shared" si="29"/>
        <v>0</v>
      </c>
      <c r="AF65" s="377"/>
      <c r="AG65" s="390"/>
      <c r="AH65" s="391">
        <f t="shared" si="30"/>
        <v>0</v>
      </c>
      <c r="AI65" s="412"/>
      <c r="AJ65" s="393">
        <f t="shared" si="31"/>
        <v>0</v>
      </c>
      <c r="AK65" s="394"/>
      <c r="AL65" s="54"/>
      <c r="AM65" s="394"/>
    </row>
    <row r="66" spans="1:39" s="283" customFormat="1" ht="20.25">
      <c r="A66" s="322" t="s">
        <v>259</v>
      </c>
      <c r="B66" s="323"/>
      <c r="C66" s="323"/>
      <c r="D66" s="324"/>
      <c r="E66" s="325"/>
      <c r="F66" s="297"/>
      <c r="G66" s="297"/>
      <c r="H66" s="297"/>
      <c r="I66" s="298"/>
      <c r="J66" s="298"/>
      <c r="K66" s="297"/>
      <c r="L66" s="355"/>
      <c r="M66" s="343"/>
      <c r="N66" s="298"/>
      <c r="O66" s="298"/>
      <c r="P66" s="298"/>
      <c r="Q66" s="298"/>
      <c r="R66" s="298"/>
      <c r="S66" s="298"/>
      <c r="T66" s="367"/>
      <c r="U66" s="355"/>
      <c r="V66" s="325"/>
      <c r="W66" s="297"/>
      <c r="X66" s="297"/>
      <c r="Y66" s="298"/>
      <c r="Z66" s="298"/>
      <c r="AA66" s="298"/>
      <c r="AB66" s="297"/>
      <c r="AC66" s="375"/>
      <c r="AD66" s="355"/>
      <c r="AE66" s="376">
        <f t="shared" si="26"/>
        <v>0</v>
      </c>
      <c r="AF66" s="377"/>
      <c r="AG66" s="390"/>
      <c r="AH66" s="391">
        <f t="shared" si="27"/>
        <v>0</v>
      </c>
      <c r="AI66" s="412"/>
      <c r="AJ66" s="393">
        <f t="shared" si="28"/>
        <v>0</v>
      </c>
      <c r="AK66" s="394"/>
      <c r="AL66" s="54"/>
      <c r="AM66" s="394"/>
    </row>
    <row r="67" spans="1:39" s="283" customFormat="1" ht="20.25">
      <c r="A67" s="322" t="s">
        <v>259</v>
      </c>
      <c r="B67" s="323"/>
      <c r="C67" s="323"/>
      <c r="D67" s="324"/>
      <c r="E67" s="325"/>
      <c r="F67" s="297"/>
      <c r="G67" s="297"/>
      <c r="H67" s="297"/>
      <c r="I67" s="298"/>
      <c r="J67" s="298"/>
      <c r="K67" s="297"/>
      <c r="L67" s="355"/>
      <c r="M67" s="343"/>
      <c r="N67" s="298"/>
      <c r="O67" s="298"/>
      <c r="P67" s="298"/>
      <c r="Q67" s="298"/>
      <c r="R67" s="298"/>
      <c r="S67" s="298"/>
      <c r="T67" s="367"/>
      <c r="U67" s="355"/>
      <c r="V67" s="325"/>
      <c r="W67" s="297"/>
      <c r="X67" s="297"/>
      <c r="Y67" s="298"/>
      <c r="Z67" s="298"/>
      <c r="AA67" s="298"/>
      <c r="AB67" s="297"/>
      <c r="AC67" s="375"/>
      <c r="AD67" s="355"/>
      <c r="AE67" s="376">
        <f t="shared" ref="AE67:AE68" si="35">SUM(E67:AC67)</f>
        <v>0</v>
      </c>
      <c r="AF67" s="377"/>
      <c r="AG67" s="390"/>
      <c r="AH67" s="391">
        <f t="shared" si="27"/>
        <v>0</v>
      </c>
      <c r="AI67" s="412"/>
      <c r="AJ67" s="395">
        <f t="shared" si="28"/>
        <v>0</v>
      </c>
      <c r="AK67" s="396" t="s">
        <v>8</v>
      </c>
      <c r="AL67" s="397" t="s">
        <v>23</v>
      </c>
      <c r="AM67" s="398" t="s">
        <v>174</v>
      </c>
    </row>
    <row r="68" spans="1:39" s="283" customFormat="1" ht="20.25">
      <c r="A68" s="322" t="s">
        <v>259</v>
      </c>
      <c r="B68" s="323"/>
      <c r="C68" s="323"/>
      <c r="D68" s="324"/>
      <c r="E68" s="325"/>
      <c r="F68" s="297"/>
      <c r="G68" s="297"/>
      <c r="H68" s="297"/>
      <c r="I68" s="298"/>
      <c r="J68" s="298"/>
      <c r="K68" s="297"/>
      <c r="L68" s="355"/>
      <c r="M68" s="343"/>
      <c r="N68" s="298"/>
      <c r="O68" s="298"/>
      <c r="P68" s="298"/>
      <c r="Q68" s="298"/>
      <c r="R68" s="298"/>
      <c r="S68" s="298"/>
      <c r="T68" s="367"/>
      <c r="U68" s="355"/>
      <c r="V68" s="325"/>
      <c r="W68" s="297"/>
      <c r="X68" s="297"/>
      <c r="Y68" s="298"/>
      <c r="Z68" s="298"/>
      <c r="AA68" s="298"/>
      <c r="AB68" s="297"/>
      <c r="AC68" s="375"/>
      <c r="AD68" s="355"/>
      <c r="AE68" s="376">
        <f t="shared" si="35"/>
        <v>0</v>
      </c>
      <c r="AF68" s="377"/>
      <c r="AG68" s="390"/>
      <c r="AH68" s="391">
        <f t="shared" si="27"/>
        <v>0</v>
      </c>
      <c r="AI68" s="412"/>
      <c r="AJ68" s="395">
        <f t="shared" si="28"/>
        <v>0</v>
      </c>
      <c r="AK68" s="396" t="s">
        <v>8</v>
      </c>
      <c r="AL68" s="397" t="s">
        <v>23</v>
      </c>
      <c r="AM68" s="398" t="s">
        <v>174</v>
      </c>
    </row>
    <row r="69" spans="1:39" s="283" customFormat="1" ht="20.25">
      <c r="A69" s="322" t="s">
        <v>259</v>
      </c>
      <c r="B69" s="323"/>
      <c r="C69" s="323"/>
      <c r="D69" s="324"/>
      <c r="E69" s="325"/>
      <c r="F69" s="297"/>
      <c r="G69" s="297"/>
      <c r="H69" s="297"/>
      <c r="I69" s="298"/>
      <c r="J69" s="298"/>
      <c r="K69" s="297"/>
      <c r="L69" s="355"/>
      <c r="M69" s="343"/>
      <c r="N69" s="298"/>
      <c r="O69" s="298"/>
      <c r="P69" s="298"/>
      <c r="Q69" s="298"/>
      <c r="R69" s="298"/>
      <c r="S69" s="298"/>
      <c r="T69" s="367"/>
      <c r="U69" s="355"/>
      <c r="V69" s="325"/>
      <c r="W69" s="297"/>
      <c r="X69" s="297"/>
      <c r="Y69" s="298"/>
      <c r="Z69" s="298"/>
      <c r="AA69" s="298"/>
      <c r="AB69" s="297"/>
      <c r="AC69" s="375"/>
      <c r="AD69" s="355"/>
      <c r="AE69" s="376">
        <f t="shared" si="18"/>
        <v>0</v>
      </c>
      <c r="AF69" s="377"/>
      <c r="AG69" s="390"/>
      <c r="AH69" s="391">
        <f t="shared" si="19"/>
        <v>0</v>
      </c>
      <c r="AI69" s="412"/>
      <c r="AJ69" s="395">
        <f t="shared" si="22"/>
        <v>0</v>
      </c>
      <c r="AK69" s="396" t="s">
        <v>8</v>
      </c>
      <c r="AL69" s="397" t="s">
        <v>23</v>
      </c>
      <c r="AM69" s="398" t="s">
        <v>174</v>
      </c>
    </row>
    <row r="70" spans="1:39" s="284" customFormat="1" ht="18.75">
      <c r="A70" s="326" t="s">
        <v>177</v>
      </c>
      <c r="B70" s="327"/>
      <c r="C70" s="327"/>
      <c r="D70" s="328"/>
      <c r="E70" s="329">
        <f>SUM(E43:E69)</f>
        <v>0</v>
      </c>
      <c r="F70" s="330">
        <f t="shared" ref="F70:K70" si="36">SUM(F43:F69)</f>
        <v>0</v>
      </c>
      <c r="G70" s="330">
        <f t="shared" si="36"/>
        <v>0</v>
      </c>
      <c r="H70" s="330">
        <f t="shared" si="36"/>
        <v>0</v>
      </c>
      <c r="I70" s="330">
        <f t="shared" si="36"/>
        <v>0</v>
      </c>
      <c r="J70" s="330">
        <f t="shared" si="36"/>
        <v>0</v>
      </c>
      <c r="K70" s="330">
        <f t="shared" si="36"/>
        <v>0</v>
      </c>
      <c r="L70" s="357"/>
      <c r="M70" s="358">
        <f>SUM(M43:M69)</f>
        <v>0</v>
      </c>
      <c r="N70" s="359">
        <f>SUM(N43:N69)</f>
        <v>0</v>
      </c>
      <c r="O70" s="359">
        <f>SUM(O43:O69)</f>
        <v>0</v>
      </c>
      <c r="P70" s="359">
        <f>SUM(P43:P69)</f>
        <v>0</v>
      </c>
      <c r="Q70" s="359">
        <f t="shared" ref="Q70:T70" si="37">SUM(Q43:Q69)</f>
        <v>0</v>
      </c>
      <c r="R70" s="359">
        <f t="shared" si="37"/>
        <v>0</v>
      </c>
      <c r="S70" s="359">
        <f t="shared" si="37"/>
        <v>0</v>
      </c>
      <c r="T70" s="369">
        <f t="shared" si="37"/>
        <v>0</v>
      </c>
      <c r="U70" s="357"/>
      <c r="V70" s="358">
        <f t="shared" ref="V70:AC70" si="38">SUM(V43:V69)</f>
        <v>0</v>
      </c>
      <c r="W70" s="359">
        <f t="shared" si="38"/>
        <v>0</v>
      </c>
      <c r="X70" s="359">
        <f t="shared" si="38"/>
        <v>0</v>
      </c>
      <c r="Y70" s="359">
        <f t="shared" si="38"/>
        <v>0</v>
      </c>
      <c r="Z70" s="359">
        <f t="shared" si="38"/>
        <v>0</v>
      </c>
      <c r="AA70" s="359">
        <f t="shared" si="38"/>
        <v>0</v>
      </c>
      <c r="AB70" s="359">
        <f t="shared" si="38"/>
        <v>0</v>
      </c>
      <c r="AC70" s="369">
        <f t="shared" si="38"/>
        <v>0</v>
      </c>
      <c r="AD70" s="357"/>
      <c r="AE70" s="382">
        <f t="shared" ref="AE70:AJ70" si="39">SUM(AE43:AE69)</f>
        <v>0</v>
      </c>
      <c r="AF70" s="382">
        <f t="shared" si="39"/>
        <v>0</v>
      </c>
      <c r="AG70" s="416">
        <f t="shared" si="39"/>
        <v>0</v>
      </c>
      <c r="AH70" s="417">
        <f t="shared" si="39"/>
        <v>0</v>
      </c>
      <c r="AI70" s="382">
        <f t="shared" si="39"/>
        <v>0</v>
      </c>
      <c r="AJ70" s="418">
        <f t="shared" si="39"/>
        <v>0</v>
      </c>
      <c r="AK70" s="399">
        <f>'BIG CHAIR'!CL77</f>
        <v>14560</v>
      </c>
      <c r="AL70" s="400">
        <f>'Tea Table'!X85</f>
        <v>0</v>
      </c>
      <c r="AM70" s="401">
        <f>AH70+AK70+AL70</f>
        <v>14560</v>
      </c>
    </row>
    <row r="71" spans="1:39" s="284" customFormat="1" ht="18.75">
      <c r="A71" s="306"/>
      <c r="B71" s="307"/>
      <c r="C71" s="307"/>
      <c r="D71" s="308"/>
      <c r="E71" s="309"/>
      <c r="F71" s="309"/>
      <c r="G71" s="309"/>
      <c r="H71" s="309"/>
      <c r="I71" s="309"/>
      <c r="J71" s="309"/>
      <c r="K71" s="309"/>
      <c r="L71" s="346"/>
      <c r="M71" s="347"/>
      <c r="N71" s="347"/>
      <c r="O71" s="347"/>
      <c r="P71" s="347"/>
      <c r="Q71" s="347"/>
      <c r="R71" s="347"/>
      <c r="S71" s="347"/>
      <c r="T71" s="347"/>
      <c r="U71" s="346"/>
      <c r="V71" s="347"/>
      <c r="W71" s="347"/>
      <c r="X71" s="347"/>
      <c r="Y71" s="347"/>
      <c r="Z71" s="347"/>
      <c r="AA71" s="347"/>
      <c r="AB71" s="347"/>
      <c r="AC71" s="347"/>
      <c r="AD71" s="346"/>
      <c r="AE71" s="347"/>
      <c r="AF71" s="347"/>
      <c r="AG71" s="347"/>
      <c r="AH71" s="347"/>
      <c r="AI71" s="347"/>
      <c r="AJ71" s="402"/>
      <c r="AK71" s="403"/>
      <c r="AL71" s="403"/>
      <c r="AM71" s="403"/>
    </row>
    <row r="72" spans="1:39" s="282" customFormat="1" ht="23.25">
      <c r="A72" s="286" t="s">
        <v>122</v>
      </c>
      <c r="B72" s="287" t="s">
        <v>68</v>
      </c>
      <c r="C72" s="287" t="s">
        <v>69</v>
      </c>
      <c r="D72" s="288" t="s">
        <v>70</v>
      </c>
      <c r="E72" s="80" t="s">
        <v>86</v>
      </c>
      <c r="F72" s="49" t="s">
        <v>85</v>
      </c>
      <c r="G72" s="49" t="s">
        <v>258</v>
      </c>
      <c r="H72" s="49" t="s">
        <v>252</v>
      </c>
      <c r="I72" s="49" t="s">
        <v>255</v>
      </c>
      <c r="J72" s="49" t="s">
        <v>53</v>
      </c>
      <c r="K72" s="49" t="s">
        <v>80</v>
      </c>
      <c r="L72" s="79"/>
      <c r="M72" s="80" t="s">
        <v>71</v>
      </c>
      <c r="N72" s="49" t="s">
        <v>72</v>
      </c>
      <c r="O72" s="49" t="s">
        <v>118</v>
      </c>
      <c r="P72" s="49" t="s">
        <v>95</v>
      </c>
      <c r="Q72" s="49" t="s">
        <v>75</v>
      </c>
      <c r="R72" s="49" t="s">
        <v>53</v>
      </c>
      <c r="S72" s="126" t="s">
        <v>77</v>
      </c>
      <c r="T72" s="171" t="s">
        <v>94</v>
      </c>
      <c r="U72" s="79"/>
      <c r="V72" s="99" t="s">
        <v>71</v>
      </c>
      <c r="W72" s="716" t="s">
        <v>72</v>
      </c>
      <c r="X72" s="104" t="s">
        <v>260</v>
      </c>
      <c r="Y72" s="103" t="s">
        <v>95</v>
      </c>
      <c r="Z72" s="104" t="s">
        <v>81</v>
      </c>
      <c r="AA72" s="716" t="s">
        <v>256</v>
      </c>
      <c r="AB72" s="121" t="s">
        <v>257</v>
      </c>
      <c r="AC72" s="717" t="s">
        <v>81</v>
      </c>
      <c r="AD72" s="370"/>
      <c r="AE72" s="371" t="s">
        <v>172</v>
      </c>
      <c r="AF72" s="372" t="s">
        <v>80</v>
      </c>
      <c r="AG72" s="385"/>
      <c r="AH72" s="386" t="s">
        <v>106</v>
      </c>
      <c r="AI72" s="385" t="s">
        <v>173</v>
      </c>
      <c r="AJ72" s="371" t="s">
        <v>108</v>
      </c>
    </row>
    <row r="73" spans="1:39" s="234" customFormat="1" ht="20.25">
      <c r="A73" s="310" t="s">
        <v>125</v>
      </c>
      <c r="B73" s="311"/>
      <c r="C73" s="311"/>
      <c r="D73" s="312"/>
      <c r="E73" s="313"/>
      <c r="F73" s="314"/>
      <c r="G73" s="314"/>
      <c r="H73" s="314"/>
      <c r="I73" s="315"/>
      <c r="J73" s="315"/>
      <c r="K73" s="314"/>
      <c r="L73" s="349"/>
      <c r="M73" s="350"/>
      <c r="N73" s="315"/>
      <c r="O73" s="315"/>
      <c r="P73" s="315"/>
      <c r="Q73" s="315"/>
      <c r="R73" s="315"/>
      <c r="S73" s="315"/>
      <c r="T73" s="477"/>
      <c r="U73" s="349"/>
      <c r="V73" s="350"/>
      <c r="W73" s="315"/>
      <c r="X73" s="315"/>
      <c r="Y73" s="315"/>
      <c r="Z73" s="315"/>
      <c r="AA73" s="315"/>
      <c r="AB73" s="315"/>
      <c r="AC73" s="378"/>
      <c r="AD73" s="349"/>
      <c r="AE73" s="379">
        <f t="shared" ref="AE73:AE88" si="40">SUM(E73:AC73)</f>
        <v>0</v>
      </c>
      <c r="AF73" s="379"/>
      <c r="AG73" s="404"/>
      <c r="AH73" s="405">
        <f>AE73+AF73</f>
        <v>0</v>
      </c>
      <c r="AI73" s="406"/>
      <c r="AJ73" s="407">
        <f>AH73+AI73</f>
        <v>0</v>
      </c>
    </row>
    <row r="74" spans="1:39" s="234" customFormat="1" ht="20.25">
      <c r="A74" s="316" t="s">
        <v>125</v>
      </c>
      <c r="B74" s="317"/>
      <c r="C74" s="317"/>
      <c r="D74" s="318"/>
      <c r="E74" s="319"/>
      <c r="F74" s="320"/>
      <c r="G74" s="320"/>
      <c r="H74" s="320"/>
      <c r="I74" s="321"/>
      <c r="L74" s="352"/>
      <c r="M74" s="353"/>
      <c r="N74" s="320"/>
      <c r="O74" s="320"/>
      <c r="P74" s="321"/>
      <c r="Q74" s="321"/>
      <c r="R74" s="321"/>
      <c r="S74" s="320"/>
      <c r="T74" s="351"/>
      <c r="U74" s="352"/>
      <c r="V74" s="353"/>
      <c r="W74" s="321"/>
      <c r="X74" s="321"/>
      <c r="Y74" s="321"/>
      <c r="Z74" s="321"/>
      <c r="AA74" s="321"/>
      <c r="AB74" s="321"/>
      <c r="AC74" s="380"/>
      <c r="AD74" s="352"/>
      <c r="AE74" s="381">
        <f t="shared" si="40"/>
        <v>0</v>
      </c>
      <c r="AF74" s="381"/>
      <c r="AG74" s="408"/>
      <c r="AH74" s="409">
        <f t="shared" ref="AH74:AH76" si="41">AE74+AF74</f>
        <v>0</v>
      </c>
      <c r="AI74" s="410"/>
      <c r="AJ74" s="411">
        <f>AH74+AI74</f>
        <v>0</v>
      </c>
    </row>
    <row r="75" spans="1:39" s="234" customFormat="1" ht="20.25">
      <c r="A75" s="316" t="s">
        <v>125</v>
      </c>
      <c r="B75" s="295"/>
      <c r="C75" s="295"/>
      <c r="D75" s="318"/>
      <c r="E75" s="319"/>
      <c r="F75" s="320"/>
      <c r="G75" s="320"/>
      <c r="H75" s="320"/>
      <c r="I75" s="321"/>
      <c r="J75" s="321"/>
      <c r="K75" s="320"/>
      <c r="L75" s="352"/>
      <c r="M75" s="353"/>
      <c r="N75" s="321"/>
      <c r="O75" s="321"/>
      <c r="P75" s="321"/>
      <c r="Q75" s="321"/>
      <c r="R75" s="321"/>
      <c r="S75" s="321"/>
      <c r="T75" s="351"/>
      <c r="U75" s="352"/>
      <c r="V75" s="319"/>
      <c r="W75" s="320"/>
      <c r="X75" s="320"/>
      <c r="Y75" s="321"/>
      <c r="Z75" s="321"/>
      <c r="AA75" s="321"/>
      <c r="AB75" s="320"/>
      <c r="AC75" s="380"/>
      <c r="AD75" s="352"/>
      <c r="AE75" s="381">
        <f t="shared" si="40"/>
        <v>0</v>
      </c>
      <c r="AF75" s="381"/>
      <c r="AG75" s="408"/>
      <c r="AH75" s="409">
        <f t="shared" si="41"/>
        <v>0</v>
      </c>
      <c r="AI75" s="410"/>
      <c r="AJ75" s="411">
        <f>AH75+AI75</f>
        <v>0</v>
      </c>
    </row>
    <row r="76" spans="1:39" s="234" customFormat="1" ht="20.25">
      <c r="A76" s="316" t="s">
        <v>125</v>
      </c>
      <c r="B76" s="295"/>
      <c r="C76" s="295"/>
      <c r="D76" s="318"/>
      <c r="E76" s="319"/>
      <c r="F76" s="320"/>
      <c r="G76" s="320"/>
      <c r="H76" s="320"/>
      <c r="I76" s="321"/>
      <c r="J76" s="321"/>
      <c r="K76" s="320"/>
      <c r="L76" s="352"/>
      <c r="M76" s="353"/>
      <c r="N76" s="321"/>
      <c r="O76" s="321"/>
      <c r="P76" s="321"/>
      <c r="Q76" s="321"/>
      <c r="R76" s="321"/>
      <c r="S76" s="321"/>
      <c r="T76" s="351"/>
      <c r="U76" s="352"/>
      <c r="V76" s="319"/>
      <c r="W76" s="320"/>
      <c r="X76" s="320"/>
      <c r="Y76" s="321"/>
      <c r="Z76" s="321"/>
      <c r="AA76" s="321"/>
      <c r="AB76" s="320"/>
      <c r="AC76" s="380"/>
      <c r="AD76" s="352"/>
      <c r="AE76" s="381">
        <f t="shared" si="40"/>
        <v>0</v>
      </c>
      <c r="AF76" s="381"/>
      <c r="AG76" s="408"/>
      <c r="AH76" s="409">
        <f t="shared" si="41"/>
        <v>0</v>
      </c>
      <c r="AI76" s="410"/>
      <c r="AJ76" s="411">
        <f>AH76+AI76</f>
        <v>0</v>
      </c>
    </row>
    <row r="77" spans="1:39" s="234" customFormat="1" ht="20.25">
      <c r="A77" s="316" t="s">
        <v>125</v>
      </c>
      <c r="B77" s="295"/>
      <c r="C77" s="295"/>
      <c r="D77" s="318"/>
      <c r="E77" s="319"/>
      <c r="F77" s="320"/>
      <c r="G77" s="320"/>
      <c r="H77" s="320"/>
      <c r="I77" s="321"/>
      <c r="J77" s="321"/>
      <c r="K77" s="320"/>
      <c r="L77" s="352"/>
      <c r="M77" s="353"/>
      <c r="N77" s="321"/>
      <c r="O77" s="321"/>
      <c r="P77" s="321"/>
      <c r="Q77" s="321"/>
      <c r="R77" s="321"/>
      <c r="S77" s="321"/>
      <c r="T77" s="351"/>
      <c r="U77" s="352"/>
      <c r="V77" s="319"/>
      <c r="W77" s="320"/>
      <c r="X77" s="320"/>
      <c r="Y77" s="321"/>
      <c r="Z77" s="321"/>
      <c r="AA77" s="321"/>
      <c r="AB77" s="320"/>
      <c r="AC77" s="380"/>
      <c r="AD77" s="352"/>
      <c r="AE77" s="381">
        <f t="shared" si="40"/>
        <v>0</v>
      </c>
      <c r="AF77" s="381"/>
      <c r="AG77" s="408"/>
      <c r="AH77" s="409">
        <f t="shared" ref="AH77:AH88" si="42">AE77+AF77</f>
        <v>0</v>
      </c>
      <c r="AI77" s="410"/>
      <c r="AJ77" s="411">
        <f t="shared" ref="AJ77:AJ79" si="43">AH77+AI77</f>
        <v>0</v>
      </c>
    </row>
    <row r="78" spans="1:39" s="234" customFormat="1" ht="20.25">
      <c r="A78" s="316" t="s">
        <v>125</v>
      </c>
      <c r="B78" s="295"/>
      <c r="C78" s="295"/>
      <c r="D78" s="318"/>
      <c r="E78" s="319"/>
      <c r="F78" s="320"/>
      <c r="G78" s="320"/>
      <c r="H78" s="321"/>
      <c r="J78" s="321"/>
      <c r="K78" s="320"/>
      <c r="L78" s="352"/>
      <c r="M78" s="353"/>
      <c r="N78" s="321"/>
      <c r="O78" s="321"/>
      <c r="P78" s="321"/>
      <c r="Q78" s="321"/>
      <c r="R78" s="321"/>
      <c r="S78" s="321"/>
      <c r="T78" s="351"/>
      <c r="U78" s="352"/>
      <c r="V78" s="319"/>
      <c r="W78" s="320"/>
      <c r="X78" s="320"/>
      <c r="Y78" s="321"/>
      <c r="Z78" s="321"/>
      <c r="AA78" s="321"/>
      <c r="AB78" s="320"/>
      <c r="AC78" s="380"/>
      <c r="AD78" s="352"/>
      <c r="AE78" s="381">
        <f t="shared" si="40"/>
        <v>0</v>
      </c>
      <c r="AF78" s="381"/>
      <c r="AG78" s="408"/>
      <c r="AH78" s="409">
        <f t="shared" si="42"/>
        <v>0</v>
      </c>
      <c r="AI78" s="410"/>
      <c r="AJ78" s="411">
        <f t="shared" si="43"/>
        <v>0</v>
      </c>
    </row>
    <row r="79" spans="1:39" s="234" customFormat="1" ht="20.25">
      <c r="A79" s="316" t="s">
        <v>125</v>
      </c>
      <c r="B79" s="295"/>
      <c r="C79" s="295"/>
      <c r="D79" s="318"/>
      <c r="E79" s="319"/>
      <c r="F79" s="320"/>
      <c r="G79" s="320"/>
      <c r="H79" s="320"/>
      <c r="I79" s="321"/>
      <c r="J79" s="321"/>
      <c r="K79" s="320"/>
      <c r="L79" s="352"/>
      <c r="M79" s="353"/>
      <c r="N79" s="321"/>
      <c r="O79" s="321"/>
      <c r="P79" s="321"/>
      <c r="Q79" s="321"/>
      <c r="R79" s="321"/>
      <c r="S79" s="321"/>
      <c r="T79" s="351"/>
      <c r="U79" s="352"/>
      <c r="V79" s="319"/>
      <c r="W79" s="320"/>
      <c r="X79" s="320"/>
      <c r="Y79" s="321"/>
      <c r="Z79" s="321"/>
      <c r="AA79" s="321"/>
      <c r="AB79" s="320"/>
      <c r="AC79" s="380"/>
      <c r="AD79" s="352"/>
      <c r="AE79" s="381">
        <f t="shared" si="40"/>
        <v>0</v>
      </c>
      <c r="AF79" s="381"/>
      <c r="AG79" s="408"/>
      <c r="AH79" s="409">
        <f t="shared" si="42"/>
        <v>0</v>
      </c>
      <c r="AI79" s="410"/>
      <c r="AJ79" s="411">
        <f t="shared" si="43"/>
        <v>0</v>
      </c>
    </row>
    <row r="80" spans="1:39" s="234" customFormat="1" ht="20.25">
      <c r="A80" s="316" t="s">
        <v>125</v>
      </c>
      <c r="B80" s="295"/>
      <c r="C80" s="295"/>
      <c r="D80" s="318"/>
      <c r="E80" s="319"/>
      <c r="F80" s="320"/>
      <c r="G80" s="320"/>
      <c r="H80" s="320"/>
      <c r="I80" s="321"/>
      <c r="J80" s="321"/>
      <c r="K80" s="741"/>
      <c r="L80" s="352"/>
      <c r="M80" s="353"/>
      <c r="N80" s="321"/>
      <c r="O80" s="321"/>
      <c r="P80" s="321"/>
      <c r="Q80" s="321"/>
      <c r="R80" s="321"/>
      <c r="S80" s="321"/>
      <c r="T80" s="351"/>
      <c r="U80" s="352"/>
      <c r="V80" s="319"/>
      <c r="W80" s="320"/>
      <c r="X80" s="320"/>
      <c r="Y80" s="321"/>
      <c r="Z80" s="321"/>
      <c r="AA80" s="321"/>
      <c r="AB80" s="320"/>
      <c r="AC80" s="380"/>
      <c r="AD80" s="352"/>
      <c r="AE80" s="381">
        <f t="shared" si="40"/>
        <v>0</v>
      </c>
      <c r="AF80" s="381"/>
      <c r="AG80" s="408"/>
      <c r="AH80" s="409">
        <f t="shared" si="42"/>
        <v>0</v>
      </c>
      <c r="AI80" s="410"/>
      <c r="AJ80" s="411">
        <f t="shared" ref="AJ80:AJ88" si="44">AH80+AI80</f>
        <v>0</v>
      </c>
    </row>
    <row r="81" spans="1:39" s="234" customFormat="1" ht="20.25">
      <c r="A81" s="316" t="s">
        <v>125</v>
      </c>
      <c r="B81" s="295"/>
      <c r="C81" s="295"/>
      <c r="D81" s="318"/>
      <c r="E81" s="319"/>
      <c r="F81" s="320"/>
      <c r="G81" s="320"/>
      <c r="H81" s="320"/>
      <c r="I81" s="321"/>
      <c r="J81" s="321"/>
      <c r="K81" s="741"/>
      <c r="L81" s="352"/>
      <c r="M81" s="353"/>
      <c r="N81" s="321"/>
      <c r="O81" s="321"/>
      <c r="P81" s="321"/>
      <c r="Q81" s="321"/>
      <c r="R81" s="321"/>
      <c r="S81" s="321"/>
      <c r="T81" s="351"/>
      <c r="U81" s="352"/>
      <c r="V81" s="319"/>
      <c r="W81" s="320"/>
      <c r="X81" s="320"/>
      <c r="Y81" s="321"/>
      <c r="Z81" s="321"/>
      <c r="AA81" s="321"/>
      <c r="AB81" s="320"/>
      <c r="AC81" s="380"/>
      <c r="AD81" s="352"/>
      <c r="AE81" s="381">
        <f t="shared" si="40"/>
        <v>0</v>
      </c>
      <c r="AF81" s="381"/>
      <c r="AG81" s="408"/>
      <c r="AH81" s="409">
        <f t="shared" si="42"/>
        <v>0</v>
      </c>
      <c r="AI81" s="410"/>
      <c r="AJ81" s="411">
        <f t="shared" si="44"/>
        <v>0</v>
      </c>
    </row>
    <row r="82" spans="1:39" s="234" customFormat="1" ht="20.25">
      <c r="A82" s="316" t="s">
        <v>125</v>
      </c>
      <c r="B82" s="295"/>
      <c r="C82" s="295"/>
      <c r="D82" s="318"/>
      <c r="E82" s="319"/>
      <c r="F82" s="320"/>
      <c r="G82" s="320"/>
      <c r="H82" s="320"/>
      <c r="I82" s="321"/>
      <c r="J82" s="321"/>
      <c r="K82" s="320"/>
      <c r="L82" s="352"/>
      <c r="M82" s="353"/>
      <c r="N82" s="321"/>
      <c r="O82" s="321"/>
      <c r="P82" s="321"/>
      <c r="Q82" s="321"/>
      <c r="R82" s="321"/>
      <c r="S82" s="321"/>
      <c r="T82" s="351"/>
      <c r="U82" s="352"/>
      <c r="V82" s="319"/>
      <c r="W82" s="320"/>
      <c r="X82" s="320"/>
      <c r="Y82" s="321"/>
      <c r="Z82" s="321"/>
      <c r="AA82" s="321"/>
      <c r="AB82" s="320"/>
      <c r="AC82" s="380"/>
      <c r="AD82" s="352"/>
      <c r="AE82" s="381">
        <f t="shared" si="40"/>
        <v>0</v>
      </c>
      <c r="AF82" s="381"/>
      <c r="AG82" s="408"/>
      <c r="AH82" s="409">
        <f t="shared" si="42"/>
        <v>0</v>
      </c>
      <c r="AI82" s="410"/>
      <c r="AJ82" s="411">
        <f t="shared" si="44"/>
        <v>0</v>
      </c>
    </row>
    <row r="83" spans="1:39" s="234" customFormat="1" ht="20.25">
      <c r="A83" s="316" t="s">
        <v>125</v>
      </c>
      <c r="B83" s="295"/>
      <c r="C83" s="295"/>
      <c r="D83" s="318"/>
      <c r="E83" s="319"/>
      <c r="F83" s="320"/>
      <c r="G83" s="320"/>
      <c r="H83" s="320"/>
      <c r="I83" s="321"/>
      <c r="J83" s="321"/>
      <c r="K83" s="320"/>
      <c r="L83" s="352"/>
      <c r="M83" s="353"/>
      <c r="N83" s="321"/>
      <c r="O83" s="321"/>
      <c r="P83" s="321"/>
      <c r="Q83" s="321"/>
      <c r="R83" s="321"/>
      <c r="S83" s="321"/>
      <c r="T83" s="351"/>
      <c r="U83" s="352"/>
      <c r="V83" s="319"/>
      <c r="W83" s="320"/>
      <c r="X83" s="320"/>
      <c r="Y83" s="321"/>
      <c r="Z83" s="321"/>
      <c r="AA83" s="321"/>
      <c r="AB83" s="320"/>
      <c r="AC83" s="380"/>
      <c r="AD83" s="352"/>
      <c r="AE83" s="381">
        <f t="shared" si="40"/>
        <v>0</v>
      </c>
      <c r="AF83" s="381"/>
      <c r="AG83" s="408"/>
      <c r="AH83" s="409">
        <f t="shared" si="42"/>
        <v>0</v>
      </c>
      <c r="AI83" s="410"/>
      <c r="AJ83" s="411">
        <f t="shared" si="44"/>
        <v>0</v>
      </c>
    </row>
    <row r="84" spans="1:39" s="234" customFormat="1" ht="20.25">
      <c r="A84" s="316" t="s">
        <v>125</v>
      </c>
      <c r="B84" s="295"/>
      <c r="C84" s="295"/>
      <c r="D84" s="318"/>
      <c r="E84" s="319"/>
      <c r="F84" s="320"/>
      <c r="G84" s="320"/>
      <c r="H84" s="320"/>
      <c r="I84" s="321"/>
      <c r="J84" s="321"/>
      <c r="K84" s="320"/>
      <c r="L84" s="352"/>
      <c r="M84" s="353"/>
      <c r="N84" s="321"/>
      <c r="O84" s="321"/>
      <c r="P84" s="321"/>
      <c r="Q84" s="321"/>
      <c r="R84" s="321"/>
      <c r="S84" s="321"/>
      <c r="T84" s="351"/>
      <c r="U84" s="352"/>
      <c r="V84" s="319"/>
      <c r="W84" s="320"/>
      <c r="X84" s="320"/>
      <c r="Y84" s="321"/>
      <c r="Z84" s="321"/>
      <c r="AA84" s="321"/>
      <c r="AB84" s="320"/>
      <c r="AC84" s="380"/>
      <c r="AD84" s="352"/>
      <c r="AE84" s="381">
        <f t="shared" ref="AE84" si="45">SUM(E84:AC84)</f>
        <v>0</v>
      </c>
      <c r="AF84" s="381"/>
      <c r="AG84" s="408"/>
      <c r="AH84" s="409">
        <f t="shared" si="42"/>
        <v>0</v>
      </c>
      <c r="AI84" s="410"/>
      <c r="AJ84" s="411">
        <f t="shared" si="44"/>
        <v>0</v>
      </c>
    </row>
    <row r="85" spans="1:39" s="234" customFormat="1" ht="20.25">
      <c r="A85" s="316" t="s">
        <v>125</v>
      </c>
      <c r="B85" s="295"/>
      <c r="C85" s="295"/>
      <c r="D85" s="318"/>
      <c r="E85" s="319"/>
      <c r="F85" s="320"/>
      <c r="G85" s="320"/>
      <c r="H85" s="320"/>
      <c r="I85" s="321"/>
      <c r="J85" s="321"/>
      <c r="K85" s="320"/>
      <c r="L85" s="352"/>
      <c r="M85" s="353"/>
      <c r="N85" s="321"/>
      <c r="O85" s="321"/>
      <c r="P85" s="321"/>
      <c r="Q85" s="321"/>
      <c r="R85" s="321"/>
      <c r="S85" s="321"/>
      <c r="T85" s="351"/>
      <c r="U85" s="352"/>
      <c r="V85" s="319"/>
      <c r="W85" s="320"/>
      <c r="X85" s="320"/>
      <c r="Y85" s="321"/>
      <c r="Z85" s="321"/>
      <c r="AA85" s="321"/>
      <c r="AB85" s="320"/>
      <c r="AC85" s="380"/>
      <c r="AD85" s="352"/>
      <c r="AE85" s="381">
        <f t="shared" si="40"/>
        <v>0</v>
      </c>
      <c r="AF85" s="381"/>
      <c r="AG85" s="408"/>
      <c r="AH85" s="409">
        <f t="shared" si="42"/>
        <v>0</v>
      </c>
      <c r="AI85" s="410"/>
      <c r="AJ85" s="411">
        <f t="shared" si="44"/>
        <v>0</v>
      </c>
    </row>
    <row r="86" spans="1:39" s="283" customFormat="1" ht="20.25">
      <c r="A86" s="316" t="s">
        <v>125</v>
      </c>
      <c r="B86" s="323"/>
      <c r="C86" s="323"/>
      <c r="D86" s="324"/>
      <c r="E86" s="325"/>
      <c r="F86" s="297"/>
      <c r="G86" s="297"/>
      <c r="H86" s="297"/>
      <c r="I86" s="298"/>
      <c r="J86" s="298"/>
      <c r="K86" s="297"/>
      <c r="L86" s="355"/>
      <c r="M86" s="343"/>
      <c r="N86" s="298"/>
      <c r="O86" s="298"/>
      <c r="P86" s="298"/>
      <c r="Q86" s="298"/>
      <c r="R86" s="298"/>
      <c r="S86" s="298"/>
      <c r="T86" s="367"/>
      <c r="U86" s="355"/>
      <c r="V86" s="325"/>
      <c r="W86" s="297"/>
      <c r="X86" s="297"/>
      <c r="Y86" s="298"/>
      <c r="Z86" s="298"/>
      <c r="AA86" s="298"/>
      <c r="AB86" s="297"/>
      <c r="AC86" s="375"/>
      <c r="AD86" s="355"/>
      <c r="AE86" s="376">
        <f t="shared" ref="AE86:AE87" si="46">SUM(E86:AC86)</f>
        <v>0</v>
      </c>
      <c r="AF86" s="377"/>
      <c r="AG86" s="390"/>
      <c r="AH86" s="391">
        <f t="shared" si="42"/>
        <v>0</v>
      </c>
      <c r="AI86" s="412"/>
      <c r="AJ86" s="413">
        <f t="shared" si="44"/>
        <v>0</v>
      </c>
      <c r="AK86" s="414" t="s">
        <v>8</v>
      </c>
      <c r="AL86" s="397" t="s">
        <v>23</v>
      </c>
      <c r="AM86" s="415" t="s">
        <v>174</v>
      </c>
    </row>
    <row r="87" spans="1:39" s="283" customFormat="1" ht="20.25">
      <c r="A87" s="316" t="s">
        <v>125</v>
      </c>
      <c r="B87" s="323"/>
      <c r="C87" s="323"/>
      <c r="D87" s="324"/>
      <c r="E87" s="325"/>
      <c r="F87" s="297"/>
      <c r="G87" s="297"/>
      <c r="H87" s="297"/>
      <c r="I87" s="298"/>
      <c r="J87" s="298"/>
      <c r="K87" s="297"/>
      <c r="L87" s="355"/>
      <c r="M87" s="343"/>
      <c r="N87" s="298"/>
      <c r="O87" s="298"/>
      <c r="P87" s="298"/>
      <c r="Q87" s="298"/>
      <c r="R87" s="298"/>
      <c r="S87" s="298"/>
      <c r="T87" s="367"/>
      <c r="U87" s="355"/>
      <c r="V87" s="325"/>
      <c r="W87" s="297"/>
      <c r="X87" s="297"/>
      <c r="Y87" s="298"/>
      <c r="Z87" s="298"/>
      <c r="AA87" s="298"/>
      <c r="AB87" s="297"/>
      <c r="AC87" s="375"/>
      <c r="AD87" s="355"/>
      <c r="AE87" s="376">
        <f t="shared" si="46"/>
        <v>0</v>
      </c>
      <c r="AF87" s="377"/>
      <c r="AG87" s="390"/>
      <c r="AH87" s="391">
        <f t="shared" si="42"/>
        <v>0</v>
      </c>
      <c r="AI87" s="412"/>
      <c r="AJ87" s="413">
        <f t="shared" si="44"/>
        <v>0</v>
      </c>
      <c r="AK87" s="414" t="s">
        <v>8</v>
      </c>
      <c r="AL87" s="397" t="s">
        <v>23</v>
      </c>
      <c r="AM87" s="415" t="s">
        <v>174</v>
      </c>
    </row>
    <row r="88" spans="1:39" s="283" customFormat="1" ht="20.25">
      <c r="A88" s="316" t="s">
        <v>125</v>
      </c>
      <c r="B88" s="323"/>
      <c r="C88" s="323"/>
      <c r="D88" s="324"/>
      <c r="E88" s="325"/>
      <c r="F88" s="297"/>
      <c r="G88" s="297"/>
      <c r="H88" s="297"/>
      <c r="I88" s="298"/>
      <c r="J88" s="298"/>
      <c r="K88" s="297"/>
      <c r="L88" s="355"/>
      <c r="M88" s="343"/>
      <c r="N88" s="298"/>
      <c r="O88" s="298"/>
      <c r="P88" s="298"/>
      <c r="Q88" s="298"/>
      <c r="R88" s="298"/>
      <c r="S88" s="298"/>
      <c r="T88" s="367"/>
      <c r="U88" s="355"/>
      <c r="V88" s="325"/>
      <c r="W88" s="297"/>
      <c r="X88" s="297"/>
      <c r="Y88" s="298"/>
      <c r="Z88" s="298"/>
      <c r="AA88" s="298"/>
      <c r="AB88" s="297"/>
      <c r="AC88" s="375"/>
      <c r="AD88" s="355"/>
      <c r="AE88" s="376">
        <f t="shared" si="40"/>
        <v>0</v>
      </c>
      <c r="AF88" s="377"/>
      <c r="AG88" s="390"/>
      <c r="AH88" s="391">
        <f t="shared" si="42"/>
        <v>0</v>
      </c>
      <c r="AI88" s="412"/>
      <c r="AJ88" s="413">
        <f t="shared" si="44"/>
        <v>0</v>
      </c>
      <c r="AK88" s="414" t="s">
        <v>8</v>
      </c>
      <c r="AL88" s="397" t="s">
        <v>23</v>
      </c>
      <c r="AM88" s="415" t="s">
        <v>174</v>
      </c>
    </row>
    <row r="89" spans="1:39" s="284" customFormat="1" ht="18.75">
      <c r="A89" s="326" t="s">
        <v>126</v>
      </c>
      <c r="B89" s="327"/>
      <c r="C89" s="327"/>
      <c r="D89" s="328"/>
      <c r="E89" s="329">
        <f t="shared" ref="E89:K89" si="47">SUM(E73:E88)</f>
        <v>0</v>
      </c>
      <c r="F89" s="330">
        <f t="shared" si="47"/>
        <v>0</v>
      </c>
      <c r="G89" s="330">
        <f t="shared" si="47"/>
        <v>0</v>
      </c>
      <c r="H89" s="330">
        <f t="shared" si="47"/>
        <v>0</v>
      </c>
      <c r="I89" s="330">
        <f t="shared" si="47"/>
        <v>0</v>
      </c>
      <c r="J89" s="330">
        <f t="shared" si="47"/>
        <v>0</v>
      </c>
      <c r="K89" s="330">
        <f t="shared" si="47"/>
        <v>0</v>
      </c>
      <c r="L89" s="357"/>
      <c r="M89" s="358">
        <f>SUM(M73:M88)</f>
        <v>0</v>
      </c>
      <c r="N89" s="359">
        <f>SUM(N73:N88)</f>
        <v>0</v>
      </c>
      <c r="O89" s="359">
        <f>SUM(O73:O88)</f>
        <v>0</v>
      </c>
      <c r="P89" s="359">
        <f>SUM(P73:P88)</f>
        <v>0</v>
      </c>
      <c r="Q89" s="359">
        <f t="shared" ref="Q89:S89" si="48">SUM(Q73:Q88)</f>
        <v>0</v>
      </c>
      <c r="R89" s="359">
        <f t="shared" si="48"/>
        <v>0</v>
      </c>
      <c r="S89" s="359">
        <f t="shared" si="48"/>
        <v>0</v>
      </c>
      <c r="T89" s="369">
        <f t="shared" ref="T89" si="49">SUM(T73:T88)</f>
        <v>0</v>
      </c>
      <c r="U89" s="357"/>
      <c r="V89" s="358">
        <f>SUM(V73:V88)</f>
        <v>0</v>
      </c>
      <c r="W89" s="359">
        <f t="shared" ref="W89:AC89" si="50">SUM(W73:W88)</f>
        <v>0</v>
      </c>
      <c r="X89" s="359">
        <f t="shared" si="50"/>
        <v>0</v>
      </c>
      <c r="Y89" s="359">
        <f t="shared" si="50"/>
        <v>0</v>
      </c>
      <c r="Z89" s="359">
        <f t="shared" si="50"/>
        <v>0</v>
      </c>
      <c r="AA89" s="359">
        <f t="shared" si="50"/>
        <v>0</v>
      </c>
      <c r="AB89" s="359">
        <f t="shared" si="50"/>
        <v>0</v>
      </c>
      <c r="AC89" s="369">
        <f t="shared" si="50"/>
        <v>0</v>
      </c>
      <c r="AD89" s="357"/>
      <c r="AE89" s="382">
        <f t="shared" ref="AE89:AJ89" si="51">SUM(AE73:AE88)</f>
        <v>0</v>
      </c>
      <c r="AF89" s="382">
        <f t="shared" si="51"/>
        <v>0</v>
      </c>
      <c r="AG89" s="416">
        <f t="shared" si="51"/>
        <v>0</v>
      </c>
      <c r="AH89" s="417">
        <f t="shared" si="51"/>
        <v>0</v>
      </c>
      <c r="AI89" s="382">
        <f t="shared" si="51"/>
        <v>0</v>
      </c>
      <c r="AJ89" s="418">
        <f t="shared" si="51"/>
        <v>0</v>
      </c>
      <c r="AK89" s="399">
        <f>'BIG CHAIR'!CL91</f>
        <v>0</v>
      </c>
      <c r="AL89" s="400">
        <f>'Tea Table'!X181</f>
        <v>0</v>
      </c>
      <c r="AM89" s="401">
        <f>AH89+AK89+AL89</f>
        <v>0</v>
      </c>
    </row>
    <row r="90" spans="1:39" ht="23.25">
      <c r="A90" s="721" t="s">
        <v>127</v>
      </c>
      <c r="B90" s="722" t="s">
        <v>68</v>
      </c>
      <c r="C90" s="287" t="s">
        <v>69</v>
      </c>
      <c r="D90" s="288" t="s">
        <v>70</v>
      </c>
      <c r="E90" s="80" t="s">
        <v>86</v>
      </c>
      <c r="F90" s="49" t="s">
        <v>85</v>
      </c>
      <c r="G90" s="49" t="s">
        <v>258</v>
      </c>
      <c r="H90" s="49" t="s">
        <v>252</v>
      </c>
      <c r="I90" s="49" t="s">
        <v>255</v>
      </c>
      <c r="J90" s="49" t="s">
        <v>53</v>
      </c>
      <c r="K90" s="49" t="s">
        <v>80</v>
      </c>
      <c r="L90" s="79"/>
      <c r="M90" s="80" t="s">
        <v>71</v>
      </c>
      <c r="N90" s="49" t="s">
        <v>72</v>
      </c>
      <c r="O90" s="49" t="s">
        <v>118</v>
      </c>
      <c r="P90" s="49" t="s">
        <v>95</v>
      </c>
      <c r="Q90" s="49" t="s">
        <v>75</v>
      </c>
      <c r="R90" s="49" t="s">
        <v>53</v>
      </c>
      <c r="S90" s="126" t="s">
        <v>77</v>
      </c>
      <c r="T90" s="171" t="s">
        <v>94</v>
      </c>
      <c r="U90" s="79"/>
      <c r="V90" s="99" t="s">
        <v>71</v>
      </c>
      <c r="W90" s="716" t="s">
        <v>72</v>
      </c>
      <c r="X90" s="104" t="s">
        <v>260</v>
      </c>
      <c r="Y90" s="103" t="s">
        <v>95</v>
      </c>
      <c r="Z90" s="104" t="s">
        <v>81</v>
      </c>
      <c r="AA90" s="716" t="s">
        <v>256</v>
      </c>
      <c r="AB90" s="121" t="s">
        <v>257</v>
      </c>
      <c r="AC90" s="717" t="s">
        <v>81</v>
      </c>
      <c r="AD90" s="370"/>
      <c r="AE90" s="371" t="s">
        <v>172</v>
      </c>
      <c r="AF90" s="372" t="s">
        <v>80</v>
      </c>
      <c r="AG90" s="385"/>
      <c r="AH90" s="386" t="s">
        <v>106</v>
      </c>
      <c r="AI90" s="385" t="s">
        <v>173</v>
      </c>
      <c r="AJ90" s="371" t="s">
        <v>108</v>
      </c>
      <c r="AK90" s="282"/>
      <c r="AL90" s="282"/>
      <c r="AM90" s="282"/>
    </row>
    <row r="91" spans="1:39" ht="21" thickBot="1">
      <c r="A91" s="723" t="s">
        <v>128</v>
      </c>
      <c r="B91" s="724"/>
      <c r="C91" s="725"/>
      <c r="D91" s="312"/>
      <c r="E91" s="313"/>
      <c r="F91" s="314"/>
      <c r="G91" s="314"/>
      <c r="H91" s="314"/>
      <c r="I91" s="315"/>
      <c r="J91" s="315"/>
      <c r="K91" s="314"/>
      <c r="L91" s="349"/>
      <c r="M91" s="350"/>
      <c r="N91" s="315"/>
      <c r="O91" s="315"/>
      <c r="P91" s="315"/>
      <c r="Q91" s="315"/>
      <c r="R91" s="315"/>
      <c r="S91" s="315"/>
      <c r="T91" s="477"/>
      <c r="U91" s="349"/>
      <c r="V91" s="350"/>
      <c r="W91" s="315"/>
      <c r="X91" s="315"/>
      <c r="Y91" s="315"/>
      <c r="Z91" s="315"/>
      <c r="AA91" s="315"/>
      <c r="AB91" s="315"/>
      <c r="AC91" s="378"/>
      <c r="AD91" s="349"/>
      <c r="AE91" s="379">
        <f t="shared" ref="AE91:AE101" si="52">SUM(E91:AC91)</f>
        <v>0</v>
      </c>
      <c r="AF91" s="379"/>
      <c r="AG91" s="404"/>
      <c r="AH91" s="405">
        <f>AE91+AF91</f>
        <v>0</v>
      </c>
      <c r="AI91" s="406"/>
      <c r="AJ91" s="407">
        <f>AH91+AI91</f>
        <v>0</v>
      </c>
      <c r="AK91" s="234"/>
      <c r="AL91" s="234"/>
      <c r="AM91" s="234"/>
    </row>
    <row r="92" spans="1:39" ht="20.25">
      <c r="A92" s="726" t="s">
        <v>128</v>
      </c>
      <c r="B92" s="727"/>
      <c r="C92" s="728"/>
      <c r="D92" s="318"/>
      <c r="E92" s="319"/>
      <c r="F92" s="320"/>
      <c r="G92" s="320"/>
      <c r="H92" s="320"/>
      <c r="I92" s="321"/>
      <c r="J92" s="315"/>
      <c r="K92" s="234"/>
      <c r="L92" s="352"/>
      <c r="M92" s="353"/>
      <c r="N92" s="320"/>
      <c r="O92" s="320"/>
      <c r="P92" s="321"/>
      <c r="Q92" s="321"/>
      <c r="R92" s="321"/>
      <c r="S92" s="320"/>
      <c r="T92" s="351"/>
      <c r="U92" s="352"/>
      <c r="V92" s="353"/>
      <c r="W92" s="321"/>
      <c r="X92" s="321"/>
      <c r="Y92" s="321"/>
      <c r="Z92" s="321"/>
      <c r="AA92" s="321"/>
      <c r="AB92" s="321"/>
      <c r="AC92" s="380"/>
      <c r="AD92" s="352"/>
      <c r="AE92" s="381">
        <f t="shared" si="52"/>
        <v>0</v>
      </c>
      <c r="AF92" s="381"/>
      <c r="AG92" s="408"/>
      <c r="AH92" s="409">
        <f t="shared" ref="AH92:AH94" si="53">AE92+AF92</f>
        <v>0</v>
      </c>
      <c r="AI92" s="410"/>
      <c r="AJ92" s="411">
        <f>AH92+AI92</f>
        <v>0</v>
      </c>
      <c r="AK92" s="234"/>
      <c r="AL92" s="234"/>
      <c r="AM92" s="234"/>
    </row>
    <row r="93" spans="1:39" ht="20.25">
      <c r="A93" s="726" t="s">
        <v>128</v>
      </c>
      <c r="B93" s="729"/>
      <c r="C93" s="730"/>
      <c r="D93" s="318"/>
      <c r="E93" s="319"/>
      <c r="F93" s="320"/>
      <c r="G93" s="320"/>
      <c r="H93" s="320"/>
      <c r="I93" s="321"/>
      <c r="J93" s="321"/>
      <c r="K93" s="320"/>
      <c r="L93" s="352"/>
      <c r="M93" s="353"/>
      <c r="N93" s="321"/>
      <c r="O93" s="321"/>
      <c r="P93" s="321"/>
      <c r="Q93" s="321"/>
      <c r="R93" s="321"/>
      <c r="S93" s="321"/>
      <c r="T93" s="351"/>
      <c r="U93" s="352"/>
      <c r="V93" s="319"/>
      <c r="W93" s="320"/>
      <c r="X93" s="320"/>
      <c r="Y93" s="321"/>
      <c r="Z93" s="321"/>
      <c r="AA93" s="321"/>
      <c r="AB93" s="320"/>
      <c r="AC93" s="380"/>
      <c r="AD93" s="352"/>
      <c r="AE93" s="381">
        <f t="shared" si="52"/>
        <v>0</v>
      </c>
      <c r="AF93" s="381"/>
      <c r="AG93" s="408"/>
      <c r="AH93" s="409">
        <f t="shared" si="53"/>
        <v>0</v>
      </c>
      <c r="AI93" s="410"/>
      <c r="AJ93" s="411">
        <f>AH93+AI93</f>
        <v>0</v>
      </c>
      <c r="AK93" s="234"/>
      <c r="AL93" s="234"/>
      <c r="AM93" s="234"/>
    </row>
    <row r="94" spans="1:39" ht="20.25">
      <c r="A94" s="726" t="s">
        <v>128</v>
      </c>
      <c r="B94" s="729"/>
      <c r="C94" s="730"/>
      <c r="D94" s="318"/>
      <c r="E94" s="319"/>
      <c r="F94" s="320"/>
      <c r="G94" s="320"/>
      <c r="H94" s="320"/>
      <c r="I94" s="321"/>
      <c r="J94" s="321"/>
      <c r="K94" s="320"/>
      <c r="L94" s="352"/>
      <c r="M94" s="353"/>
      <c r="N94" s="321"/>
      <c r="O94" s="321"/>
      <c r="P94" s="321"/>
      <c r="Q94" s="321"/>
      <c r="R94" s="321"/>
      <c r="S94" s="321"/>
      <c r="T94" s="351"/>
      <c r="U94" s="352"/>
      <c r="V94" s="319"/>
      <c r="W94" s="320"/>
      <c r="X94" s="320"/>
      <c r="Y94" s="321"/>
      <c r="Z94" s="321"/>
      <c r="AA94" s="321"/>
      <c r="AB94" s="320"/>
      <c r="AC94" s="380"/>
      <c r="AD94" s="352"/>
      <c r="AE94" s="381">
        <f t="shared" si="52"/>
        <v>0</v>
      </c>
      <c r="AF94" s="381"/>
      <c r="AG94" s="408"/>
      <c r="AH94" s="409">
        <f t="shared" si="53"/>
        <v>0</v>
      </c>
      <c r="AI94" s="410"/>
      <c r="AJ94" s="411">
        <f>AH94+AI94</f>
        <v>0</v>
      </c>
      <c r="AK94" s="234"/>
      <c r="AL94" s="234"/>
      <c r="AM94" s="234"/>
    </row>
    <row r="95" spans="1:39" ht="20.25">
      <c r="A95" s="726" t="s">
        <v>128</v>
      </c>
      <c r="B95" s="729"/>
      <c r="C95" s="730"/>
      <c r="D95" s="318"/>
      <c r="E95" s="319"/>
      <c r="F95" s="320"/>
      <c r="G95" s="320"/>
      <c r="H95" s="320"/>
      <c r="I95" s="321"/>
      <c r="J95" s="321"/>
      <c r="K95" s="320"/>
      <c r="L95" s="352"/>
      <c r="M95" s="353"/>
      <c r="N95" s="321"/>
      <c r="O95" s="321"/>
      <c r="P95" s="321"/>
      <c r="Q95" s="321"/>
      <c r="R95" s="321"/>
      <c r="S95" s="321"/>
      <c r="T95" s="351"/>
      <c r="U95" s="352"/>
      <c r="V95" s="319"/>
      <c r="W95" s="320"/>
      <c r="X95" s="320"/>
      <c r="Y95" s="321"/>
      <c r="Z95" s="321"/>
      <c r="AA95" s="321"/>
      <c r="AB95" s="320"/>
      <c r="AC95" s="380"/>
      <c r="AD95" s="352"/>
      <c r="AE95" s="381">
        <f t="shared" si="52"/>
        <v>0</v>
      </c>
      <c r="AF95" s="381"/>
      <c r="AG95" s="408"/>
      <c r="AH95" s="409">
        <f t="shared" ref="AH95:AH106" si="54">AE95+AF95</f>
        <v>0</v>
      </c>
      <c r="AI95" s="410"/>
      <c r="AJ95" s="411">
        <f t="shared" ref="AJ95:AJ97" si="55">AH95+AI95</f>
        <v>0</v>
      </c>
      <c r="AK95" s="234"/>
      <c r="AL95" s="234"/>
      <c r="AM95" s="234"/>
    </row>
    <row r="96" spans="1:39" ht="20.25">
      <c r="A96" s="726" t="s">
        <v>128</v>
      </c>
      <c r="B96" s="729"/>
      <c r="C96" s="730"/>
      <c r="D96" s="318"/>
      <c r="E96" s="319"/>
      <c r="F96" s="320"/>
      <c r="G96" s="320"/>
      <c r="H96" s="321"/>
      <c r="I96" s="234"/>
      <c r="J96" s="321"/>
      <c r="K96" s="320"/>
      <c r="L96" s="352"/>
      <c r="M96" s="353"/>
      <c r="N96" s="321"/>
      <c r="O96" s="321"/>
      <c r="P96" s="321"/>
      <c r="Q96" s="321"/>
      <c r="R96" s="321"/>
      <c r="S96" s="321"/>
      <c r="T96" s="351"/>
      <c r="U96" s="352"/>
      <c r="V96" s="319"/>
      <c r="W96" s="320"/>
      <c r="X96" s="320"/>
      <c r="Y96" s="321"/>
      <c r="Z96" s="321"/>
      <c r="AA96" s="321"/>
      <c r="AB96" s="320"/>
      <c r="AC96" s="380"/>
      <c r="AD96" s="352"/>
      <c r="AE96" s="381">
        <f t="shared" si="52"/>
        <v>0</v>
      </c>
      <c r="AF96" s="381"/>
      <c r="AG96" s="408"/>
      <c r="AH96" s="409">
        <f t="shared" si="54"/>
        <v>0</v>
      </c>
      <c r="AI96" s="410"/>
      <c r="AJ96" s="411">
        <f t="shared" si="55"/>
        <v>0</v>
      </c>
      <c r="AK96" s="234"/>
      <c r="AL96" s="234"/>
      <c r="AM96" s="234"/>
    </row>
    <row r="97" spans="1:39" ht="20.25">
      <c r="A97" s="726" t="s">
        <v>128</v>
      </c>
      <c r="B97" s="729"/>
      <c r="C97" s="730"/>
      <c r="D97" s="318"/>
      <c r="E97" s="319"/>
      <c r="F97" s="320"/>
      <c r="G97" s="320"/>
      <c r="H97" s="320"/>
      <c r="I97" s="321"/>
      <c r="J97" s="321"/>
      <c r="K97" s="320"/>
      <c r="L97" s="352"/>
      <c r="M97" s="353"/>
      <c r="N97" s="321"/>
      <c r="O97" s="321"/>
      <c r="P97" s="321"/>
      <c r="Q97" s="321"/>
      <c r="R97" s="321"/>
      <c r="S97" s="321"/>
      <c r="T97" s="351"/>
      <c r="U97" s="352"/>
      <c r="V97" s="319"/>
      <c r="W97" s="320"/>
      <c r="X97" s="320"/>
      <c r="Y97" s="321"/>
      <c r="Z97" s="321"/>
      <c r="AA97" s="321"/>
      <c r="AB97" s="320"/>
      <c r="AC97" s="380"/>
      <c r="AD97" s="352"/>
      <c r="AE97" s="381">
        <f t="shared" si="52"/>
        <v>0</v>
      </c>
      <c r="AF97" s="381"/>
      <c r="AG97" s="408"/>
      <c r="AH97" s="409">
        <f t="shared" si="54"/>
        <v>0</v>
      </c>
      <c r="AI97" s="410"/>
      <c r="AJ97" s="411">
        <f t="shared" si="55"/>
        <v>0</v>
      </c>
      <c r="AK97" s="234"/>
      <c r="AL97" s="234"/>
      <c r="AM97" s="234"/>
    </row>
    <row r="98" spans="1:39" ht="20.25">
      <c r="A98" s="726" t="s">
        <v>128</v>
      </c>
      <c r="B98" s="729"/>
      <c r="C98" s="730"/>
      <c r="D98" s="318"/>
      <c r="E98" s="319"/>
      <c r="F98" s="320"/>
      <c r="G98" s="320"/>
      <c r="H98" s="320"/>
      <c r="I98" s="321"/>
      <c r="J98" s="321"/>
      <c r="K98" s="741"/>
      <c r="L98" s="352"/>
      <c r="M98" s="353"/>
      <c r="N98" s="321"/>
      <c r="O98" s="321"/>
      <c r="P98" s="321"/>
      <c r="Q98" s="321"/>
      <c r="R98" s="321"/>
      <c r="S98" s="321"/>
      <c r="T98" s="351"/>
      <c r="U98" s="352"/>
      <c r="V98" s="319"/>
      <c r="W98" s="320"/>
      <c r="X98" s="320"/>
      <c r="Y98" s="321"/>
      <c r="Z98" s="321"/>
      <c r="AA98" s="321"/>
      <c r="AB98" s="320"/>
      <c r="AC98" s="380"/>
      <c r="AD98" s="352"/>
      <c r="AE98" s="381">
        <f t="shared" si="52"/>
        <v>0</v>
      </c>
      <c r="AF98" s="381"/>
      <c r="AG98" s="408"/>
      <c r="AH98" s="409">
        <f t="shared" si="54"/>
        <v>0</v>
      </c>
      <c r="AI98" s="410"/>
      <c r="AJ98" s="411">
        <f t="shared" ref="AJ98:AJ106" si="56">AH98+AI98</f>
        <v>0</v>
      </c>
      <c r="AK98" s="234"/>
      <c r="AL98" s="234"/>
      <c r="AM98" s="234"/>
    </row>
    <row r="99" spans="1:39" ht="20.25">
      <c r="A99" s="726" t="s">
        <v>128</v>
      </c>
      <c r="B99" s="729"/>
      <c r="C99" s="730"/>
      <c r="D99" s="318"/>
      <c r="E99" s="319"/>
      <c r="F99" s="320"/>
      <c r="G99" s="320"/>
      <c r="H99" s="320"/>
      <c r="I99" s="321"/>
      <c r="J99" s="321"/>
      <c r="K99" s="741"/>
      <c r="L99" s="352"/>
      <c r="M99" s="353"/>
      <c r="N99" s="321"/>
      <c r="O99" s="321"/>
      <c r="P99" s="321"/>
      <c r="Q99" s="321"/>
      <c r="R99" s="321"/>
      <c r="S99" s="321"/>
      <c r="T99" s="351"/>
      <c r="U99" s="352"/>
      <c r="V99" s="319"/>
      <c r="W99" s="320"/>
      <c r="X99" s="320"/>
      <c r="Y99" s="321"/>
      <c r="Z99" s="321"/>
      <c r="AA99" s="321"/>
      <c r="AB99" s="320"/>
      <c r="AC99" s="380"/>
      <c r="AD99" s="352"/>
      <c r="AE99" s="381">
        <f t="shared" si="52"/>
        <v>0</v>
      </c>
      <c r="AF99" s="381"/>
      <c r="AG99" s="408"/>
      <c r="AH99" s="409">
        <f t="shared" si="54"/>
        <v>0</v>
      </c>
      <c r="AI99" s="410"/>
      <c r="AJ99" s="411">
        <f t="shared" si="56"/>
        <v>0</v>
      </c>
      <c r="AK99" s="234"/>
      <c r="AL99" s="234"/>
      <c r="AM99" s="234"/>
    </row>
    <row r="100" spans="1:39" ht="20.25">
      <c r="A100" s="726" t="s">
        <v>128</v>
      </c>
      <c r="B100" s="729"/>
      <c r="C100" s="730"/>
      <c r="D100" s="318"/>
      <c r="E100" s="319"/>
      <c r="F100" s="320"/>
      <c r="G100" s="320"/>
      <c r="H100" s="320"/>
      <c r="I100" s="321"/>
      <c r="J100" s="321"/>
      <c r="K100" s="320"/>
      <c r="L100" s="352"/>
      <c r="M100" s="353"/>
      <c r="N100" s="321"/>
      <c r="O100" s="321"/>
      <c r="P100" s="321"/>
      <c r="Q100" s="321"/>
      <c r="R100" s="321"/>
      <c r="S100" s="321"/>
      <c r="T100" s="351"/>
      <c r="U100" s="352"/>
      <c r="V100" s="319"/>
      <c r="W100" s="320"/>
      <c r="X100" s="320"/>
      <c r="Y100" s="321"/>
      <c r="Z100" s="321"/>
      <c r="AA100" s="321"/>
      <c r="AB100" s="320"/>
      <c r="AC100" s="380"/>
      <c r="AD100" s="352"/>
      <c r="AE100" s="381">
        <f t="shared" si="52"/>
        <v>0</v>
      </c>
      <c r="AF100" s="381"/>
      <c r="AG100" s="408"/>
      <c r="AH100" s="409">
        <f t="shared" si="54"/>
        <v>0</v>
      </c>
      <c r="AI100" s="410"/>
      <c r="AJ100" s="411">
        <f t="shared" si="56"/>
        <v>0</v>
      </c>
      <c r="AK100" s="234"/>
      <c r="AL100" s="234"/>
      <c r="AM100" s="234"/>
    </row>
    <row r="101" spans="1:39" ht="20.25">
      <c r="A101" s="726" t="s">
        <v>128</v>
      </c>
      <c r="B101" s="729"/>
      <c r="C101" s="730"/>
      <c r="D101" s="318"/>
      <c r="E101" s="319"/>
      <c r="F101" s="320"/>
      <c r="G101" s="320"/>
      <c r="H101" s="320"/>
      <c r="I101" s="321"/>
      <c r="J101" s="321"/>
      <c r="K101" s="320"/>
      <c r="L101" s="352"/>
      <c r="M101" s="353"/>
      <c r="N101" s="321"/>
      <c r="O101" s="321"/>
      <c r="P101" s="321"/>
      <c r="Q101" s="321"/>
      <c r="R101" s="321"/>
      <c r="S101" s="321"/>
      <c r="T101" s="351"/>
      <c r="U101" s="352"/>
      <c r="V101" s="319"/>
      <c r="W101" s="320"/>
      <c r="X101" s="320"/>
      <c r="Y101" s="321"/>
      <c r="Z101" s="321"/>
      <c r="AA101" s="321"/>
      <c r="AB101" s="320"/>
      <c r="AC101" s="380"/>
      <c r="AD101" s="352"/>
      <c r="AE101" s="381">
        <f t="shared" si="52"/>
        <v>0</v>
      </c>
      <c r="AF101" s="381"/>
      <c r="AG101" s="408"/>
      <c r="AH101" s="409">
        <f t="shared" si="54"/>
        <v>0</v>
      </c>
      <c r="AI101" s="410"/>
      <c r="AJ101" s="411">
        <f t="shared" si="56"/>
        <v>0</v>
      </c>
      <c r="AK101" s="234"/>
      <c r="AL101" s="234"/>
      <c r="AM101" s="234"/>
    </row>
    <row r="102" spans="1:39" ht="20.25">
      <c r="A102" s="726" t="s">
        <v>128</v>
      </c>
      <c r="B102" s="729"/>
      <c r="C102" s="730"/>
      <c r="D102" s="318"/>
      <c r="E102" s="319"/>
      <c r="F102" s="320"/>
      <c r="G102" s="320"/>
      <c r="H102" s="320"/>
      <c r="I102" s="321"/>
      <c r="J102" s="321"/>
      <c r="K102" s="320"/>
      <c r="L102" s="352"/>
      <c r="M102" s="353"/>
      <c r="N102" s="321"/>
      <c r="O102" s="321"/>
      <c r="P102" s="321"/>
      <c r="Q102" s="321"/>
      <c r="R102" s="321"/>
      <c r="S102" s="321"/>
      <c r="T102" s="351"/>
      <c r="U102" s="352"/>
      <c r="V102" s="319"/>
      <c r="W102" s="320"/>
      <c r="X102" s="320"/>
      <c r="Y102" s="321"/>
      <c r="Z102" s="321"/>
      <c r="AA102" s="321"/>
      <c r="AB102" s="320"/>
      <c r="AC102" s="380"/>
      <c r="AD102" s="352"/>
      <c r="AE102" s="381">
        <f t="shared" ref="AE102" si="57">SUM(E102:AC102)</f>
        <v>0</v>
      </c>
      <c r="AF102" s="381"/>
      <c r="AG102" s="408"/>
      <c r="AH102" s="409">
        <f t="shared" si="54"/>
        <v>0</v>
      </c>
      <c r="AI102" s="410"/>
      <c r="AJ102" s="411">
        <f t="shared" si="56"/>
        <v>0</v>
      </c>
      <c r="AK102" s="234"/>
      <c r="AL102" s="234"/>
      <c r="AM102" s="234"/>
    </row>
    <row r="103" spans="1:39" ht="20.25">
      <c r="A103" s="726" t="s">
        <v>128</v>
      </c>
      <c r="B103" s="729"/>
      <c r="C103" s="730"/>
      <c r="D103" s="318"/>
      <c r="E103" s="319"/>
      <c r="F103" s="320"/>
      <c r="G103" s="320"/>
      <c r="H103" s="320"/>
      <c r="I103" s="321"/>
      <c r="J103" s="321"/>
      <c r="K103" s="320"/>
      <c r="L103" s="352"/>
      <c r="M103" s="353"/>
      <c r="N103" s="321"/>
      <c r="O103" s="321"/>
      <c r="P103" s="321"/>
      <c r="Q103" s="321"/>
      <c r="R103" s="321"/>
      <c r="S103" s="321"/>
      <c r="T103" s="351"/>
      <c r="U103" s="352"/>
      <c r="V103" s="319"/>
      <c r="W103" s="320"/>
      <c r="X103" s="320"/>
      <c r="Y103" s="321"/>
      <c r="Z103" s="321"/>
      <c r="AA103" s="321"/>
      <c r="AB103" s="320"/>
      <c r="AC103" s="380"/>
      <c r="AD103" s="352"/>
      <c r="AE103" s="381">
        <f t="shared" ref="AE103" si="58">SUM(E103:AC103)</f>
        <v>0</v>
      </c>
      <c r="AF103" s="381"/>
      <c r="AG103" s="408"/>
      <c r="AH103" s="409">
        <f t="shared" si="54"/>
        <v>0</v>
      </c>
      <c r="AI103" s="410"/>
      <c r="AJ103" s="411">
        <f t="shared" si="56"/>
        <v>0</v>
      </c>
      <c r="AK103" s="234"/>
      <c r="AL103" s="234"/>
      <c r="AM103" s="234"/>
    </row>
    <row r="104" spans="1:39" ht="20.25">
      <c r="A104" s="726" t="s">
        <v>128</v>
      </c>
      <c r="B104" s="731"/>
      <c r="C104" s="732"/>
      <c r="D104" s="324"/>
      <c r="E104" s="325"/>
      <c r="F104" s="297"/>
      <c r="G104" s="297"/>
      <c r="H104" s="297"/>
      <c r="I104" s="298"/>
      <c r="J104" s="298"/>
      <c r="K104" s="297"/>
      <c r="L104" s="355"/>
      <c r="M104" s="343"/>
      <c r="N104" s="298"/>
      <c r="O104" s="298"/>
      <c r="P104" s="298"/>
      <c r="Q104" s="298"/>
      <c r="R104" s="298"/>
      <c r="S104" s="298"/>
      <c r="T104" s="367"/>
      <c r="U104" s="355"/>
      <c r="V104" s="325"/>
      <c r="W104" s="297"/>
      <c r="X104" s="297"/>
      <c r="Y104" s="298"/>
      <c r="Z104" s="298"/>
      <c r="AA104" s="298"/>
      <c r="AB104" s="297"/>
      <c r="AC104" s="375"/>
      <c r="AD104" s="355"/>
      <c r="AE104" s="376">
        <f t="shared" ref="AE104:AE105" si="59">SUM(E104:AC104)</f>
        <v>0</v>
      </c>
      <c r="AF104" s="377"/>
      <c r="AG104" s="390"/>
      <c r="AH104" s="391">
        <f t="shared" si="54"/>
        <v>0</v>
      </c>
      <c r="AI104" s="412"/>
      <c r="AJ104" s="413">
        <f t="shared" si="56"/>
        <v>0</v>
      </c>
      <c r="AK104" s="414" t="s">
        <v>8</v>
      </c>
      <c r="AL104" s="397" t="s">
        <v>23</v>
      </c>
      <c r="AM104" s="415" t="s">
        <v>174</v>
      </c>
    </row>
    <row r="105" spans="1:39" ht="20.25">
      <c r="A105" s="726" t="s">
        <v>128</v>
      </c>
      <c r="B105" s="731"/>
      <c r="C105" s="732"/>
      <c r="D105" s="324"/>
      <c r="E105" s="325"/>
      <c r="F105" s="297"/>
      <c r="G105" s="297"/>
      <c r="H105" s="297"/>
      <c r="I105" s="298"/>
      <c r="J105" s="298"/>
      <c r="K105" s="297"/>
      <c r="L105" s="355"/>
      <c r="M105" s="343"/>
      <c r="N105" s="298"/>
      <c r="O105" s="298"/>
      <c r="P105" s="298"/>
      <c r="Q105" s="298"/>
      <c r="R105" s="298"/>
      <c r="S105" s="298"/>
      <c r="T105" s="367"/>
      <c r="U105" s="355"/>
      <c r="V105" s="325"/>
      <c r="W105" s="297"/>
      <c r="X105" s="297"/>
      <c r="Y105" s="298"/>
      <c r="Z105" s="298"/>
      <c r="AA105" s="298"/>
      <c r="AB105" s="297"/>
      <c r="AC105" s="375"/>
      <c r="AD105" s="355"/>
      <c r="AE105" s="376">
        <f t="shared" si="59"/>
        <v>0</v>
      </c>
      <c r="AF105" s="377"/>
      <c r="AG105" s="390"/>
      <c r="AH105" s="391">
        <f t="shared" si="54"/>
        <v>0</v>
      </c>
      <c r="AI105" s="412"/>
      <c r="AJ105" s="413">
        <f t="shared" si="56"/>
        <v>0</v>
      </c>
      <c r="AK105" s="414" t="s">
        <v>8</v>
      </c>
      <c r="AL105" s="397" t="s">
        <v>23</v>
      </c>
      <c r="AM105" s="415" t="s">
        <v>174</v>
      </c>
    </row>
    <row r="106" spans="1:39" ht="20.25">
      <c r="A106" s="726" t="s">
        <v>128</v>
      </c>
      <c r="B106" s="731"/>
      <c r="C106" s="732"/>
      <c r="D106" s="324"/>
      <c r="E106" s="325"/>
      <c r="F106" s="297"/>
      <c r="G106" s="297"/>
      <c r="H106" s="297"/>
      <c r="I106" s="298"/>
      <c r="J106" s="298"/>
      <c r="K106" s="297"/>
      <c r="L106" s="355"/>
      <c r="M106" s="343"/>
      <c r="N106" s="298"/>
      <c r="O106" s="298"/>
      <c r="P106" s="298"/>
      <c r="Q106" s="298"/>
      <c r="R106" s="298"/>
      <c r="S106" s="298"/>
      <c r="T106" s="367"/>
      <c r="U106" s="355"/>
      <c r="V106" s="325"/>
      <c r="W106" s="297"/>
      <c r="X106" s="297"/>
      <c r="Y106" s="298"/>
      <c r="Z106" s="298"/>
      <c r="AA106" s="298"/>
      <c r="AB106" s="297"/>
      <c r="AC106" s="375"/>
      <c r="AD106" s="355"/>
      <c r="AE106" s="376">
        <f t="shared" ref="AE106" si="60">SUM(E106:AC106)</f>
        <v>0</v>
      </c>
      <c r="AF106" s="377"/>
      <c r="AG106" s="390"/>
      <c r="AH106" s="391">
        <f t="shared" si="54"/>
        <v>0</v>
      </c>
      <c r="AI106" s="412"/>
      <c r="AJ106" s="413">
        <f t="shared" si="56"/>
        <v>0</v>
      </c>
      <c r="AK106" s="414" t="s">
        <v>8</v>
      </c>
      <c r="AL106" s="397" t="s">
        <v>23</v>
      </c>
      <c r="AM106" s="415" t="s">
        <v>174</v>
      </c>
    </row>
    <row r="107" spans="1:39" ht="18.75">
      <c r="A107" s="733" t="s">
        <v>129</v>
      </c>
      <c r="B107" s="303"/>
      <c r="C107" s="734"/>
      <c r="D107" s="328"/>
      <c r="E107" s="329">
        <f>SUM(E91:E106)</f>
        <v>0</v>
      </c>
      <c r="F107" s="329">
        <f t="shared" ref="F107:K107" si="61">SUM(F91:F106)</f>
        <v>0</v>
      </c>
      <c r="G107" s="329">
        <f t="shared" si="61"/>
        <v>0</v>
      </c>
      <c r="H107" s="329">
        <f t="shared" si="61"/>
        <v>0</v>
      </c>
      <c r="I107" s="329">
        <f t="shared" si="61"/>
        <v>0</v>
      </c>
      <c r="J107" s="329">
        <f t="shared" si="61"/>
        <v>0</v>
      </c>
      <c r="K107" s="329">
        <f t="shared" si="61"/>
        <v>0</v>
      </c>
      <c r="L107" s="357"/>
      <c r="M107" s="358">
        <f>SUM(M91:M106)</f>
        <v>0</v>
      </c>
      <c r="N107" s="358">
        <f t="shared" ref="N107:T107" si="62">SUM(N91:N106)</f>
        <v>0</v>
      </c>
      <c r="O107" s="358">
        <f t="shared" si="62"/>
        <v>0</v>
      </c>
      <c r="P107" s="358">
        <f t="shared" si="62"/>
        <v>0</v>
      </c>
      <c r="Q107" s="358">
        <f t="shared" si="62"/>
        <v>0</v>
      </c>
      <c r="R107" s="358">
        <f t="shared" si="62"/>
        <v>0</v>
      </c>
      <c r="S107" s="358">
        <f t="shared" si="62"/>
        <v>0</v>
      </c>
      <c r="T107" s="358">
        <f t="shared" si="62"/>
        <v>0</v>
      </c>
      <c r="U107" s="357"/>
      <c r="V107" s="358">
        <f>SUM(V91:V106)</f>
        <v>0</v>
      </c>
      <c r="W107" s="358">
        <f t="shared" ref="W107:AC107" si="63">SUM(W91:W106)</f>
        <v>0</v>
      </c>
      <c r="X107" s="358">
        <f t="shared" si="63"/>
        <v>0</v>
      </c>
      <c r="Y107" s="358">
        <f t="shared" si="63"/>
        <v>0</v>
      </c>
      <c r="Z107" s="358">
        <f t="shared" si="63"/>
        <v>0</v>
      </c>
      <c r="AA107" s="358">
        <f t="shared" si="63"/>
        <v>0</v>
      </c>
      <c r="AB107" s="358">
        <f t="shared" si="63"/>
        <v>0</v>
      </c>
      <c r="AC107" s="358">
        <f t="shared" si="63"/>
        <v>0</v>
      </c>
      <c r="AD107" s="357"/>
      <c r="AE107" s="382">
        <f t="shared" ref="AE107:AJ107" si="64">SUM(AE91:AE106)</f>
        <v>0</v>
      </c>
      <c r="AF107" s="382">
        <f t="shared" si="64"/>
        <v>0</v>
      </c>
      <c r="AG107" s="416">
        <f t="shared" si="64"/>
        <v>0</v>
      </c>
      <c r="AH107" s="417">
        <f t="shared" si="64"/>
        <v>0</v>
      </c>
      <c r="AI107" s="382">
        <f t="shared" si="64"/>
        <v>0</v>
      </c>
      <c r="AJ107" s="418">
        <f t="shared" si="64"/>
        <v>0</v>
      </c>
      <c r="AK107" s="399">
        <f>'BIG CHAIR'!CL109</f>
        <v>0</v>
      </c>
      <c r="AL107" s="400">
        <f>'Tea Table'!X199</f>
        <v>0</v>
      </c>
      <c r="AM107" s="401">
        <f>AH107+AK107+AL107</f>
        <v>0</v>
      </c>
    </row>
    <row r="108" spans="1:39" s="284" customFormat="1" ht="23.25">
      <c r="A108" s="721" t="s">
        <v>130</v>
      </c>
      <c r="B108" s="722" t="s">
        <v>68</v>
      </c>
      <c r="C108" s="287" t="s">
        <v>69</v>
      </c>
      <c r="D108" s="288" t="s">
        <v>70</v>
      </c>
      <c r="E108" s="80" t="s">
        <v>86</v>
      </c>
      <c r="F108" s="49" t="s">
        <v>85</v>
      </c>
      <c r="G108" s="49" t="s">
        <v>258</v>
      </c>
      <c r="H108" s="49" t="s">
        <v>252</v>
      </c>
      <c r="I108" s="49" t="s">
        <v>255</v>
      </c>
      <c r="J108" s="49" t="s">
        <v>53</v>
      </c>
      <c r="K108" s="49" t="s">
        <v>80</v>
      </c>
      <c r="L108" s="79"/>
      <c r="M108" s="80" t="s">
        <v>71</v>
      </c>
      <c r="N108" s="49" t="s">
        <v>72</v>
      </c>
      <c r="O108" s="49" t="s">
        <v>118</v>
      </c>
      <c r="P108" s="49" t="s">
        <v>95</v>
      </c>
      <c r="Q108" s="49" t="s">
        <v>75</v>
      </c>
      <c r="R108" s="49" t="s">
        <v>53</v>
      </c>
      <c r="S108" s="126" t="s">
        <v>77</v>
      </c>
      <c r="T108" s="171" t="s">
        <v>94</v>
      </c>
      <c r="U108" s="79"/>
      <c r="V108" s="99" t="s">
        <v>71</v>
      </c>
      <c r="W108" s="716" t="s">
        <v>72</v>
      </c>
      <c r="X108" s="104" t="s">
        <v>260</v>
      </c>
      <c r="Y108" s="103" t="s">
        <v>95</v>
      </c>
      <c r="Z108" s="104" t="s">
        <v>81</v>
      </c>
      <c r="AA108" s="716" t="s">
        <v>256</v>
      </c>
      <c r="AB108" s="121" t="s">
        <v>257</v>
      </c>
      <c r="AC108" s="717" t="s">
        <v>81</v>
      </c>
      <c r="AD108" s="370"/>
      <c r="AE108" s="371" t="s">
        <v>172</v>
      </c>
      <c r="AF108" s="372" t="s">
        <v>80</v>
      </c>
      <c r="AG108" s="385"/>
      <c r="AH108" s="386" t="s">
        <v>106</v>
      </c>
      <c r="AI108" s="385" t="s">
        <v>173</v>
      </c>
      <c r="AJ108" s="371" t="s">
        <v>108</v>
      </c>
      <c r="AK108" s="282"/>
      <c r="AL108" s="282"/>
      <c r="AM108" s="282"/>
    </row>
    <row r="109" spans="1:39" s="282" customFormat="1" ht="20.25">
      <c r="A109" s="735" t="s">
        <v>131</v>
      </c>
      <c r="B109" s="736"/>
      <c r="C109" s="725"/>
      <c r="D109" s="312"/>
      <c r="E109" s="313"/>
      <c r="F109" s="314"/>
      <c r="G109" s="314"/>
      <c r="H109" s="314"/>
      <c r="I109" s="315"/>
      <c r="J109" s="315"/>
      <c r="K109" s="314"/>
      <c r="L109" s="349"/>
      <c r="M109" s="350"/>
      <c r="N109" s="315"/>
      <c r="O109" s="315"/>
      <c r="P109" s="315"/>
      <c r="Q109" s="315"/>
      <c r="R109" s="315"/>
      <c r="S109" s="315"/>
      <c r="T109" s="477"/>
      <c r="U109" s="349"/>
      <c r="V109" s="350"/>
      <c r="W109" s="315"/>
      <c r="X109" s="315"/>
      <c r="Y109" s="315"/>
      <c r="Z109" s="315"/>
      <c r="AA109" s="315"/>
      <c r="AB109" s="315"/>
      <c r="AC109" s="378"/>
      <c r="AD109" s="349"/>
      <c r="AE109" s="379">
        <f t="shared" ref="AE109:AE119" si="65">SUM(E109:AC109)</f>
        <v>0</v>
      </c>
      <c r="AF109" s="379"/>
      <c r="AG109" s="404"/>
      <c r="AH109" s="405">
        <f>AE109+AF109</f>
        <v>0</v>
      </c>
      <c r="AI109" s="406"/>
      <c r="AJ109" s="407">
        <f>AH109+AI109</f>
        <v>0</v>
      </c>
      <c r="AK109" s="234"/>
      <c r="AL109" s="234"/>
      <c r="AM109" s="234"/>
    </row>
    <row r="110" spans="1:39" s="283" customFormat="1" ht="21">
      <c r="A110" s="726" t="s">
        <v>131</v>
      </c>
      <c r="B110" s="737"/>
      <c r="C110" s="728"/>
      <c r="D110" s="318"/>
      <c r="E110" s="319"/>
      <c r="F110" s="320"/>
      <c r="G110" s="320"/>
      <c r="H110" s="320"/>
      <c r="I110" s="321"/>
      <c r="J110" s="742"/>
      <c r="K110" s="234"/>
      <c r="L110" s="352"/>
      <c r="M110" s="353"/>
      <c r="N110" s="320"/>
      <c r="O110" s="320"/>
      <c r="P110" s="321"/>
      <c r="Q110" s="321"/>
      <c r="R110" s="321"/>
      <c r="S110" s="320"/>
      <c r="T110" s="351"/>
      <c r="U110" s="352"/>
      <c r="V110" s="353"/>
      <c r="W110" s="321"/>
      <c r="X110" s="321"/>
      <c r="Y110" s="321"/>
      <c r="Z110" s="321"/>
      <c r="AA110" s="321"/>
      <c r="AB110" s="321"/>
      <c r="AC110" s="380"/>
      <c r="AD110" s="352"/>
      <c r="AE110" s="381">
        <f t="shared" si="65"/>
        <v>0</v>
      </c>
      <c r="AF110" s="381"/>
      <c r="AG110" s="408"/>
      <c r="AH110" s="409">
        <f t="shared" ref="AH110:AH112" si="66">AE110+AF110</f>
        <v>0</v>
      </c>
      <c r="AI110" s="410"/>
      <c r="AJ110" s="411">
        <f>AH110+AI110</f>
        <v>0</v>
      </c>
      <c r="AK110" s="234"/>
      <c r="AL110" s="234"/>
      <c r="AM110" s="234"/>
    </row>
    <row r="111" spans="1:39" s="283" customFormat="1" ht="20.25">
      <c r="A111" s="726" t="s">
        <v>131</v>
      </c>
      <c r="B111" s="738"/>
      <c r="C111" s="730"/>
      <c r="D111" s="318"/>
      <c r="E111" s="319"/>
      <c r="F111" s="320"/>
      <c r="G111" s="320"/>
      <c r="H111" s="320"/>
      <c r="I111" s="321"/>
      <c r="J111" s="321"/>
      <c r="K111" s="320"/>
      <c r="L111" s="352"/>
      <c r="M111" s="353"/>
      <c r="N111" s="321"/>
      <c r="O111" s="321"/>
      <c r="P111" s="321"/>
      <c r="Q111" s="321"/>
      <c r="R111" s="321"/>
      <c r="S111" s="321"/>
      <c r="T111" s="351"/>
      <c r="U111" s="352"/>
      <c r="V111" s="319"/>
      <c r="W111" s="320"/>
      <c r="X111" s="320"/>
      <c r="Y111" s="321"/>
      <c r="Z111" s="321"/>
      <c r="AA111" s="321"/>
      <c r="AB111" s="320"/>
      <c r="AC111" s="380"/>
      <c r="AD111" s="352"/>
      <c r="AE111" s="381">
        <f t="shared" si="65"/>
        <v>0</v>
      </c>
      <c r="AF111" s="381"/>
      <c r="AG111" s="408"/>
      <c r="AH111" s="409">
        <f t="shared" si="66"/>
        <v>0</v>
      </c>
      <c r="AI111" s="410"/>
      <c r="AJ111" s="411">
        <f>AH111+AI111</f>
        <v>0</v>
      </c>
      <c r="AK111" s="234"/>
      <c r="AL111" s="234"/>
      <c r="AM111" s="234"/>
    </row>
    <row r="112" spans="1:39" s="283" customFormat="1" ht="20.25">
      <c r="A112" s="726" t="s">
        <v>131</v>
      </c>
      <c r="B112" s="738"/>
      <c r="C112" s="730"/>
      <c r="D112" s="318"/>
      <c r="E112" s="319"/>
      <c r="F112" s="320"/>
      <c r="G112" s="320"/>
      <c r="H112" s="320"/>
      <c r="I112" s="321"/>
      <c r="J112" s="321"/>
      <c r="K112" s="320"/>
      <c r="L112" s="352"/>
      <c r="M112" s="353"/>
      <c r="N112" s="321"/>
      <c r="O112" s="321"/>
      <c r="P112" s="321"/>
      <c r="Q112" s="321"/>
      <c r="R112" s="321"/>
      <c r="S112" s="321"/>
      <c r="T112" s="351"/>
      <c r="U112" s="352"/>
      <c r="V112" s="319"/>
      <c r="W112" s="320"/>
      <c r="X112" s="320"/>
      <c r="Y112" s="321"/>
      <c r="Z112" s="321"/>
      <c r="AA112" s="321"/>
      <c r="AB112" s="320"/>
      <c r="AC112" s="380"/>
      <c r="AD112" s="352"/>
      <c r="AE112" s="381">
        <f t="shared" si="65"/>
        <v>0</v>
      </c>
      <c r="AF112" s="381"/>
      <c r="AG112" s="408"/>
      <c r="AH112" s="409">
        <f t="shared" si="66"/>
        <v>0</v>
      </c>
      <c r="AI112" s="410"/>
      <c r="AJ112" s="411">
        <f>AH112+AI112</f>
        <v>0</v>
      </c>
      <c r="AK112" s="234"/>
      <c r="AL112" s="234"/>
      <c r="AM112" s="234"/>
    </row>
    <row r="113" spans="1:39" s="283" customFormat="1" ht="20.25">
      <c r="A113" s="726" t="s">
        <v>131</v>
      </c>
      <c r="B113" s="738"/>
      <c r="C113" s="730"/>
      <c r="D113" s="318"/>
      <c r="E113" s="319"/>
      <c r="F113" s="320"/>
      <c r="G113" s="320"/>
      <c r="H113" s="320"/>
      <c r="I113" s="321"/>
      <c r="J113" s="321"/>
      <c r="K113" s="320"/>
      <c r="L113" s="352"/>
      <c r="M113" s="353"/>
      <c r="N113" s="321"/>
      <c r="O113" s="321"/>
      <c r="P113" s="321"/>
      <c r="Q113" s="321"/>
      <c r="R113" s="321"/>
      <c r="S113" s="321"/>
      <c r="T113" s="351"/>
      <c r="U113" s="352"/>
      <c r="V113" s="319"/>
      <c r="W113" s="320"/>
      <c r="X113" s="320"/>
      <c r="Y113" s="321"/>
      <c r="Z113" s="321"/>
      <c r="AA113" s="321"/>
      <c r="AB113" s="320"/>
      <c r="AC113" s="380"/>
      <c r="AD113" s="352"/>
      <c r="AE113" s="381">
        <f t="shared" si="65"/>
        <v>0</v>
      </c>
      <c r="AF113" s="381"/>
      <c r="AG113" s="408"/>
      <c r="AH113" s="409">
        <f t="shared" ref="AH113:AH124" si="67">AE113+AF113</f>
        <v>0</v>
      </c>
      <c r="AI113" s="410"/>
      <c r="AJ113" s="411">
        <f t="shared" ref="AJ113:AJ115" si="68">AH113+AI113</f>
        <v>0</v>
      </c>
      <c r="AK113" s="234"/>
      <c r="AL113" s="234"/>
      <c r="AM113" s="234"/>
    </row>
    <row r="114" spans="1:39" s="283" customFormat="1" ht="20.25">
      <c r="A114" s="726" t="s">
        <v>131</v>
      </c>
      <c r="B114" s="738"/>
      <c r="C114" s="730"/>
      <c r="D114" s="318"/>
      <c r="E114" s="319"/>
      <c r="F114" s="320"/>
      <c r="G114" s="320"/>
      <c r="H114" s="321"/>
      <c r="I114" s="234"/>
      <c r="J114" s="321"/>
      <c r="K114" s="320"/>
      <c r="L114" s="352"/>
      <c r="M114" s="353"/>
      <c r="N114" s="321"/>
      <c r="O114" s="321"/>
      <c r="P114" s="321"/>
      <c r="Q114" s="321"/>
      <c r="R114" s="321"/>
      <c r="S114" s="321"/>
      <c r="T114" s="351"/>
      <c r="U114" s="352"/>
      <c r="V114" s="319"/>
      <c r="W114" s="320"/>
      <c r="X114" s="320"/>
      <c r="Y114" s="321"/>
      <c r="Z114" s="321"/>
      <c r="AA114" s="321"/>
      <c r="AB114" s="320"/>
      <c r="AC114" s="380"/>
      <c r="AD114" s="352"/>
      <c r="AE114" s="381">
        <f t="shared" si="65"/>
        <v>0</v>
      </c>
      <c r="AF114" s="381"/>
      <c r="AG114" s="408"/>
      <c r="AH114" s="409">
        <f t="shared" si="67"/>
        <v>0</v>
      </c>
      <c r="AI114" s="410"/>
      <c r="AJ114" s="411">
        <f t="shared" si="68"/>
        <v>0</v>
      </c>
      <c r="AK114" s="234"/>
      <c r="AL114" s="234"/>
      <c r="AM114" s="234"/>
    </row>
    <row r="115" spans="1:39" s="283" customFormat="1" ht="20.25">
      <c r="A115" s="726" t="s">
        <v>131</v>
      </c>
      <c r="B115" s="738"/>
      <c r="C115" s="730"/>
      <c r="D115" s="318"/>
      <c r="E115" s="319"/>
      <c r="F115" s="320"/>
      <c r="G115" s="320"/>
      <c r="H115" s="320"/>
      <c r="I115" s="321"/>
      <c r="J115" s="321"/>
      <c r="K115" s="320"/>
      <c r="L115" s="352"/>
      <c r="M115" s="353"/>
      <c r="N115" s="321"/>
      <c r="O115" s="321"/>
      <c r="P115" s="321"/>
      <c r="Q115" s="321"/>
      <c r="R115" s="321"/>
      <c r="S115" s="321"/>
      <c r="T115" s="351"/>
      <c r="U115" s="352"/>
      <c r="V115" s="319"/>
      <c r="W115" s="320"/>
      <c r="X115" s="320"/>
      <c r="Y115" s="321"/>
      <c r="Z115" s="321"/>
      <c r="AA115" s="321"/>
      <c r="AB115" s="320"/>
      <c r="AC115" s="380"/>
      <c r="AD115" s="352"/>
      <c r="AE115" s="381">
        <f t="shared" si="65"/>
        <v>0</v>
      </c>
      <c r="AF115" s="381"/>
      <c r="AG115" s="408"/>
      <c r="AH115" s="409">
        <f t="shared" si="67"/>
        <v>0</v>
      </c>
      <c r="AI115" s="410"/>
      <c r="AJ115" s="411">
        <f t="shared" si="68"/>
        <v>0</v>
      </c>
      <c r="AK115" s="234"/>
      <c r="AL115" s="234"/>
      <c r="AM115" s="234"/>
    </row>
    <row r="116" spans="1:39" s="284" customFormat="1" ht="20.25">
      <c r="A116" s="726" t="s">
        <v>131</v>
      </c>
      <c r="B116" s="738"/>
      <c r="C116" s="730"/>
      <c r="D116" s="318"/>
      <c r="E116" s="319"/>
      <c r="F116" s="320"/>
      <c r="G116" s="320"/>
      <c r="H116" s="320"/>
      <c r="I116" s="321"/>
      <c r="J116" s="321"/>
      <c r="K116" s="741"/>
      <c r="L116" s="352"/>
      <c r="M116" s="353"/>
      <c r="N116" s="321"/>
      <c r="O116" s="321"/>
      <c r="P116" s="321"/>
      <c r="Q116" s="321"/>
      <c r="R116" s="321"/>
      <c r="S116" s="321"/>
      <c r="T116" s="351"/>
      <c r="U116" s="352"/>
      <c r="V116" s="319"/>
      <c r="W116" s="320"/>
      <c r="X116" s="320"/>
      <c r="Y116" s="321"/>
      <c r="Z116" s="321"/>
      <c r="AA116" s="321"/>
      <c r="AB116" s="320"/>
      <c r="AC116" s="380"/>
      <c r="AD116" s="352"/>
      <c r="AE116" s="381">
        <f t="shared" si="65"/>
        <v>0</v>
      </c>
      <c r="AF116" s="381"/>
      <c r="AG116" s="408"/>
      <c r="AH116" s="409">
        <f t="shared" si="67"/>
        <v>0</v>
      </c>
      <c r="AI116" s="410"/>
      <c r="AJ116" s="411">
        <f t="shared" ref="AJ116:AJ124" si="69">AH116+AI116</f>
        <v>0</v>
      </c>
      <c r="AK116" s="234"/>
      <c r="AL116" s="234"/>
      <c r="AM116" s="234"/>
    </row>
    <row r="117" spans="1:39" s="282" customFormat="1" ht="20.25">
      <c r="A117" s="726" t="s">
        <v>131</v>
      </c>
      <c r="B117" s="738"/>
      <c r="C117" s="730"/>
      <c r="D117" s="318"/>
      <c r="E117" s="319"/>
      <c r="F117" s="320"/>
      <c r="G117" s="320"/>
      <c r="H117" s="320"/>
      <c r="I117" s="321"/>
      <c r="J117" s="321"/>
      <c r="K117" s="741"/>
      <c r="L117" s="352"/>
      <c r="M117" s="353"/>
      <c r="N117" s="321"/>
      <c r="O117" s="321"/>
      <c r="P117" s="321"/>
      <c r="Q117" s="321"/>
      <c r="R117" s="321"/>
      <c r="S117" s="321"/>
      <c r="T117" s="351"/>
      <c r="U117" s="352"/>
      <c r="V117" s="319"/>
      <c r="W117" s="320"/>
      <c r="X117" s="320"/>
      <c r="Y117" s="321"/>
      <c r="Z117" s="321"/>
      <c r="AA117" s="321"/>
      <c r="AB117" s="320"/>
      <c r="AC117" s="380"/>
      <c r="AD117" s="352"/>
      <c r="AE117" s="381">
        <f t="shared" si="65"/>
        <v>0</v>
      </c>
      <c r="AF117" s="381"/>
      <c r="AG117" s="408"/>
      <c r="AH117" s="409">
        <f t="shared" si="67"/>
        <v>0</v>
      </c>
      <c r="AI117" s="410"/>
      <c r="AJ117" s="411">
        <f t="shared" si="69"/>
        <v>0</v>
      </c>
      <c r="AK117" s="234"/>
      <c r="AL117" s="234"/>
      <c r="AM117" s="234"/>
    </row>
    <row r="118" spans="1:39" s="283" customFormat="1" ht="20.25">
      <c r="A118" s="726" t="s">
        <v>131</v>
      </c>
      <c r="B118" s="738"/>
      <c r="C118" s="730"/>
      <c r="D118" s="318"/>
      <c r="E118" s="319"/>
      <c r="F118" s="320"/>
      <c r="G118" s="320"/>
      <c r="H118" s="320"/>
      <c r="I118" s="321"/>
      <c r="J118" s="321"/>
      <c r="K118" s="320"/>
      <c r="L118" s="352"/>
      <c r="M118" s="353"/>
      <c r="N118" s="321"/>
      <c r="O118" s="321"/>
      <c r="P118" s="321"/>
      <c r="Q118" s="321"/>
      <c r="R118" s="321"/>
      <c r="S118" s="321"/>
      <c r="T118" s="351"/>
      <c r="U118" s="352"/>
      <c r="V118" s="319"/>
      <c r="W118" s="320"/>
      <c r="X118" s="320"/>
      <c r="Y118" s="321"/>
      <c r="Z118" s="321"/>
      <c r="AA118" s="321"/>
      <c r="AB118" s="320"/>
      <c r="AC118" s="380"/>
      <c r="AD118" s="352"/>
      <c r="AE118" s="381">
        <f t="shared" si="65"/>
        <v>0</v>
      </c>
      <c r="AF118" s="381"/>
      <c r="AG118" s="408"/>
      <c r="AH118" s="409">
        <f t="shared" si="67"/>
        <v>0</v>
      </c>
      <c r="AI118" s="410"/>
      <c r="AJ118" s="411">
        <f t="shared" si="69"/>
        <v>0</v>
      </c>
      <c r="AK118" s="234"/>
      <c r="AL118" s="234"/>
      <c r="AM118" s="234"/>
    </row>
    <row r="119" spans="1:39" s="283" customFormat="1" ht="20.25">
      <c r="A119" s="726" t="s">
        <v>131</v>
      </c>
      <c r="B119" s="738"/>
      <c r="C119" s="730"/>
      <c r="D119" s="318"/>
      <c r="E119" s="319"/>
      <c r="F119" s="320"/>
      <c r="G119" s="320"/>
      <c r="H119" s="320"/>
      <c r="I119" s="321"/>
      <c r="J119" s="321"/>
      <c r="K119" s="320"/>
      <c r="L119" s="352"/>
      <c r="M119" s="353"/>
      <c r="N119" s="321"/>
      <c r="O119" s="321"/>
      <c r="P119" s="321"/>
      <c r="Q119" s="321"/>
      <c r="R119" s="321"/>
      <c r="S119" s="321"/>
      <c r="T119" s="351"/>
      <c r="U119" s="352"/>
      <c r="V119" s="319"/>
      <c r="W119" s="320"/>
      <c r="X119" s="320"/>
      <c r="Y119" s="321"/>
      <c r="Z119" s="321"/>
      <c r="AA119" s="321"/>
      <c r="AB119" s="320"/>
      <c r="AC119" s="380"/>
      <c r="AD119" s="352"/>
      <c r="AE119" s="381">
        <f t="shared" si="65"/>
        <v>0</v>
      </c>
      <c r="AF119" s="381"/>
      <c r="AG119" s="408"/>
      <c r="AH119" s="409">
        <f t="shared" si="67"/>
        <v>0</v>
      </c>
      <c r="AI119" s="410"/>
      <c r="AJ119" s="411">
        <f t="shared" si="69"/>
        <v>0</v>
      </c>
      <c r="AK119" s="234"/>
      <c r="AL119" s="234"/>
      <c r="AM119" s="234"/>
    </row>
    <row r="120" spans="1:39" s="283" customFormat="1" ht="20.25">
      <c r="A120" s="726" t="s">
        <v>131</v>
      </c>
      <c r="B120" s="738"/>
      <c r="C120" s="730"/>
      <c r="D120" s="318"/>
      <c r="E120" s="319"/>
      <c r="F120" s="320"/>
      <c r="G120" s="320"/>
      <c r="H120" s="320"/>
      <c r="I120" s="321"/>
      <c r="J120" s="321"/>
      <c r="K120" s="320"/>
      <c r="L120" s="352"/>
      <c r="M120" s="353"/>
      <c r="N120" s="321"/>
      <c r="O120" s="321"/>
      <c r="P120" s="321"/>
      <c r="Q120" s="321"/>
      <c r="R120" s="321"/>
      <c r="S120" s="321"/>
      <c r="T120" s="351"/>
      <c r="U120" s="352"/>
      <c r="V120" s="319"/>
      <c r="W120" s="320"/>
      <c r="X120" s="320"/>
      <c r="Y120" s="321"/>
      <c r="Z120" s="321"/>
      <c r="AA120" s="321"/>
      <c r="AB120" s="320"/>
      <c r="AC120" s="380"/>
      <c r="AD120" s="352"/>
      <c r="AE120" s="381">
        <f t="shared" ref="AE120:AE124" si="70">SUM(E120:AC120)</f>
        <v>0</v>
      </c>
      <c r="AF120" s="381"/>
      <c r="AG120" s="408"/>
      <c r="AH120" s="409">
        <f t="shared" si="67"/>
        <v>0</v>
      </c>
      <c r="AI120" s="410"/>
      <c r="AJ120" s="411">
        <f t="shared" si="69"/>
        <v>0</v>
      </c>
      <c r="AK120" s="234"/>
      <c r="AL120" s="234"/>
      <c r="AM120" s="234"/>
    </row>
    <row r="121" spans="1:39" s="283" customFormat="1" ht="20.25">
      <c r="A121" s="726" t="s">
        <v>131</v>
      </c>
      <c r="B121" s="738"/>
      <c r="C121" s="730"/>
      <c r="D121" s="318"/>
      <c r="E121" s="319"/>
      <c r="F121" s="320"/>
      <c r="G121" s="320"/>
      <c r="H121" s="320"/>
      <c r="I121" s="321"/>
      <c r="J121" s="321"/>
      <c r="K121" s="320"/>
      <c r="L121" s="352"/>
      <c r="M121" s="353"/>
      <c r="N121" s="321"/>
      <c r="O121" s="321"/>
      <c r="P121" s="321"/>
      <c r="Q121" s="321"/>
      <c r="R121" s="321"/>
      <c r="S121" s="321"/>
      <c r="T121" s="351"/>
      <c r="U121" s="352"/>
      <c r="V121" s="319"/>
      <c r="W121" s="320"/>
      <c r="X121" s="320"/>
      <c r="Y121" s="321"/>
      <c r="Z121" s="321"/>
      <c r="AA121" s="321"/>
      <c r="AB121" s="320"/>
      <c r="AC121" s="380"/>
      <c r="AD121" s="352"/>
      <c r="AE121" s="381">
        <f t="shared" si="70"/>
        <v>0</v>
      </c>
      <c r="AF121" s="381"/>
      <c r="AG121" s="408"/>
      <c r="AH121" s="409">
        <f t="shared" si="67"/>
        <v>0</v>
      </c>
      <c r="AI121" s="410"/>
      <c r="AJ121" s="411">
        <f t="shared" si="69"/>
        <v>0</v>
      </c>
      <c r="AK121" s="234"/>
      <c r="AL121" s="234"/>
      <c r="AM121" s="234"/>
    </row>
    <row r="122" spans="1:39" s="283" customFormat="1" ht="20.25">
      <c r="A122" s="726" t="s">
        <v>131</v>
      </c>
      <c r="B122" s="739"/>
      <c r="C122" s="732"/>
      <c r="D122" s="324"/>
      <c r="E122" s="325"/>
      <c r="F122" s="297"/>
      <c r="G122" s="297"/>
      <c r="H122" s="297"/>
      <c r="I122" s="298"/>
      <c r="J122" s="298"/>
      <c r="K122" s="297"/>
      <c r="L122" s="355"/>
      <c r="M122" s="343"/>
      <c r="N122" s="298"/>
      <c r="O122" s="298"/>
      <c r="P122" s="298"/>
      <c r="Q122" s="298"/>
      <c r="R122" s="298"/>
      <c r="S122" s="298"/>
      <c r="T122" s="367"/>
      <c r="U122" s="355"/>
      <c r="V122" s="325"/>
      <c r="W122" s="297"/>
      <c r="X122" s="297"/>
      <c r="Y122" s="298"/>
      <c r="Z122" s="298"/>
      <c r="AA122" s="298"/>
      <c r="AB122" s="297"/>
      <c r="AC122" s="375"/>
      <c r="AD122" s="355"/>
      <c r="AE122" s="376">
        <f t="shared" si="70"/>
        <v>0</v>
      </c>
      <c r="AF122" s="377"/>
      <c r="AG122" s="390"/>
      <c r="AH122" s="391">
        <f t="shared" si="67"/>
        <v>0</v>
      </c>
      <c r="AI122" s="412"/>
      <c r="AJ122" s="413">
        <f t="shared" si="69"/>
        <v>0</v>
      </c>
      <c r="AK122" s="414" t="s">
        <v>8</v>
      </c>
      <c r="AL122" s="397" t="s">
        <v>23</v>
      </c>
      <c r="AM122" s="415" t="s">
        <v>174</v>
      </c>
    </row>
    <row r="123" spans="1:39" s="284" customFormat="1" ht="20.25">
      <c r="A123" s="726" t="s">
        <v>131</v>
      </c>
      <c r="B123" s="739"/>
      <c r="C123" s="732"/>
      <c r="D123" s="324"/>
      <c r="E123" s="325"/>
      <c r="F123" s="297"/>
      <c r="G123" s="297"/>
      <c r="H123" s="297"/>
      <c r="I123" s="298"/>
      <c r="J123" s="298"/>
      <c r="K123" s="297"/>
      <c r="L123" s="355"/>
      <c r="M123" s="343"/>
      <c r="N123" s="298"/>
      <c r="O123" s="298"/>
      <c r="P123" s="298"/>
      <c r="Q123" s="298"/>
      <c r="R123" s="298"/>
      <c r="S123" s="298"/>
      <c r="T123" s="367"/>
      <c r="U123" s="355"/>
      <c r="V123" s="325"/>
      <c r="W123" s="297"/>
      <c r="X123" s="297"/>
      <c r="Y123" s="298"/>
      <c r="Z123" s="298"/>
      <c r="AA123" s="298"/>
      <c r="AB123" s="297"/>
      <c r="AC123" s="375"/>
      <c r="AD123" s="355"/>
      <c r="AE123" s="376">
        <f t="shared" si="70"/>
        <v>0</v>
      </c>
      <c r="AF123" s="377"/>
      <c r="AG123" s="390"/>
      <c r="AH123" s="391">
        <f t="shared" si="67"/>
        <v>0</v>
      </c>
      <c r="AI123" s="412"/>
      <c r="AJ123" s="413">
        <f t="shared" si="69"/>
        <v>0</v>
      </c>
      <c r="AK123" s="414" t="s">
        <v>8</v>
      </c>
      <c r="AL123" s="397" t="s">
        <v>23</v>
      </c>
      <c r="AM123" s="415" t="s">
        <v>174</v>
      </c>
    </row>
    <row r="124" spans="1:39" s="282" customFormat="1" ht="20.25">
      <c r="A124" s="740" t="s">
        <v>131</v>
      </c>
      <c r="B124" s="739"/>
      <c r="C124" s="732"/>
      <c r="D124" s="324"/>
      <c r="E124" s="325"/>
      <c r="F124" s="297"/>
      <c r="G124" s="297"/>
      <c r="H124" s="297"/>
      <c r="I124" s="298"/>
      <c r="J124" s="298"/>
      <c r="K124" s="297"/>
      <c r="L124" s="355"/>
      <c r="M124" s="343"/>
      <c r="N124" s="298"/>
      <c r="O124" s="298"/>
      <c r="P124" s="298"/>
      <c r="Q124" s="298"/>
      <c r="R124" s="298"/>
      <c r="S124" s="298"/>
      <c r="T124" s="367"/>
      <c r="U124" s="355"/>
      <c r="V124" s="325"/>
      <c r="W124" s="297"/>
      <c r="X124" s="297"/>
      <c r="Y124" s="298"/>
      <c r="Z124" s="298"/>
      <c r="AA124" s="298"/>
      <c r="AB124" s="297"/>
      <c r="AC124" s="375"/>
      <c r="AD124" s="355"/>
      <c r="AE124" s="376">
        <f t="shared" si="70"/>
        <v>0</v>
      </c>
      <c r="AF124" s="377"/>
      <c r="AG124" s="390"/>
      <c r="AH124" s="391">
        <f t="shared" si="67"/>
        <v>0</v>
      </c>
      <c r="AI124" s="412"/>
      <c r="AJ124" s="413">
        <f t="shared" si="69"/>
        <v>0</v>
      </c>
      <c r="AK124" s="414" t="s">
        <v>8</v>
      </c>
      <c r="AL124" s="397" t="s">
        <v>23</v>
      </c>
      <c r="AM124" s="415" t="s">
        <v>174</v>
      </c>
    </row>
    <row r="125" spans="1:39" s="283" customFormat="1" ht="18.75">
      <c r="A125" s="733" t="s">
        <v>132</v>
      </c>
      <c r="B125" s="303"/>
      <c r="C125" s="734"/>
      <c r="D125" s="328"/>
      <c r="E125" s="329">
        <f>SUM(E109:E124)</f>
        <v>0</v>
      </c>
      <c r="F125" s="329">
        <f t="shared" ref="F125:AJ125" si="71">SUM(F109:F124)</f>
        <v>0</v>
      </c>
      <c r="G125" s="329">
        <f t="shared" si="71"/>
        <v>0</v>
      </c>
      <c r="H125" s="329">
        <f t="shared" si="71"/>
        <v>0</v>
      </c>
      <c r="I125" s="329">
        <f t="shared" si="71"/>
        <v>0</v>
      </c>
      <c r="J125" s="329">
        <f t="shared" si="71"/>
        <v>0</v>
      </c>
      <c r="K125" s="329">
        <f t="shared" si="71"/>
        <v>0</v>
      </c>
      <c r="L125" s="329">
        <f t="shared" si="71"/>
        <v>0</v>
      </c>
      <c r="M125" s="329">
        <f t="shared" si="71"/>
        <v>0</v>
      </c>
      <c r="N125" s="329">
        <f t="shared" si="71"/>
        <v>0</v>
      </c>
      <c r="O125" s="329">
        <f t="shared" si="71"/>
        <v>0</v>
      </c>
      <c r="P125" s="329">
        <f t="shared" si="71"/>
        <v>0</v>
      </c>
      <c r="Q125" s="329">
        <f t="shared" si="71"/>
        <v>0</v>
      </c>
      <c r="R125" s="329">
        <f t="shared" si="71"/>
        <v>0</v>
      </c>
      <c r="S125" s="329">
        <f t="shared" si="71"/>
        <v>0</v>
      </c>
      <c r="T125" s="329">
        <f t="shared" si="71"/>
        <v>0</v>
      </c>
      <c r="U125" s="329">
        <f t="shared" si="71"/>
        <v>0</v>
      </c>
      <c r="V125" s="329">
        <f t="shared" si="71"/>
        <v>0</v>
      </c>
      <c r="W125" s="329">
        <f t="shared" si="71"/>
        <v>0</v>
      </c>
      <c r="X125" s="329">
        <f t="shared" si="71"/>
        <v>0</v>
      </c>
      <c r="Y125" s="329">
        <f t="shared" si="71"/>
        <v>0</v>
      </c>
      <c r="Z125" s="329">
        <f t="shared" si="71"/>
        <v>0</v>
      </c>
      <c r="AA125" s="329">
        <f t="shared" si="71"/>
        <v>0</v>
      </c>
      <c r="AB125" s="329">
        <f t="shared" si="71"/>
        <v>0</v>
      </c>
      <c r="AC125" s="329">
        <f t="shared" si="71"/>
        <v>0</v>
      </c>
      <c r="AD125" s="329">
        <f t="shared" si="71"/>
        <v>0</v>
      </c>
      <c r="AE125" s="329">
        <f t="shared" si="71"/>
        <v>0</v>
      </c>
      <c r="AF125" s="329">
        <f t="shared" si="71"/>
        <v>0</v>
      </c>
      <c r="AG125" s="329">
        <f t="shared" si="71"/>
        <v>0</v>
      </c>
      <c r="AH125" s="329">
        <f t="shared" si="71"/>
        <v>0</v>
      </c>
      <c r="AI125" s="329">
        <f t="shared" si="71"/>
        <v>0</v>
      </c>
      <c r="AJ125" s="329">
        <f t="shared" si="71"/>
        <v>0</v>
      </c>
      <c r="AK125" s="399">
        <f>'BIG CHAIR'!CL128</f>
        <v>0</v>
      </c>
      <c r="AL125" s="400">
        <f>'Tea Table'!X220</f>
        <v>72</v>
      </c>
      <c r="AM125" s="401">
        <f>AH125+AK125+AL125</f>
        <v>72</v>
      </c>
    </row>
    <row r="126" spans="1:39" s="283" customFormat="1" ht="18.75">
      <c r="A126" s="425"/>
      <c r="B126" s="426"/>
      <c r="C126" s="426"/>
      <c r="D126" s="427"/>
      <c r="E126" s="428"/>
      <c r="F126" s="428"/>
      <c r="G126" s="428"/>
      <c r="H126" s="428"/>
      <c r="I126" s="428"/>
      <c r="J126" s="428"/>
      <c r="K126" s="428"/>
      <c r="L126" s="478"/>
      <c r="M126" s="479"/>
      <c r="N126" s="479"/>
      <c r="O126" s="479"/>
      <c r="P126" s="479"/>
      <c r="Q126" s="479"/>
      <c r="R126" s="479"/>
      <c r="S126" s="479"/>
      <c r="T126" s="479"/>
      <c r="U126" s="478"/>
      <c r="V126" s="479"/>
      <c r="W126" s="479"/>
      <c r="X126" s="479"/>
      <c r="Y126" s="479"/>
      <c r="Z126" s="479"/>
      <c r="AA126" s="479"/>
      <c r="AB126" s="479"/>
      <c r="AC126" s="479"/>
      <c r="AD126" s="478"/>
      <c r="AE126" s="479"/>
      <c r="AF126" s="479"/>
      <c r="AG126" s="479"/>
      <c r="AH126" s="479"/>
      <c r="AI126" s="479"/>
      <c r="AJ126" s="506"/>
      <c r="AK126" s="403"/>
      <c r="AL126" s="403"/>
      <c r="AM126" s="403"/>
    </row>
    <row r="127" spans="1:39" s="283" customFormat="1" ht="15.75">
      <c r="A127" s="429" t="s">
        <v>179</v>
      </c>
      <c r="B127" s="287" t="s">
        <v>68</v>
      </c>
      <c r="C127" s="287" t="s">
        <v>69</v>
      </c>
      <c r="D127" s="288" t="s">
        <v>70</v>
      </c>
      <c r="E127" s="80" t="s">
        <v>86</v>
      </c>
      <c r="F127" s="49" t="s">
        <v>85</v>
      </c>
      <c r="G127" s="49" t="s">
        <v>258</v>
      </c>
      <c r="H127" s="49" t="s">
        <v>252</v>
      </c>
      <c r="I127" s="49" t="s">
        <v>255</v>
      </c>
      <c r="J127" s="49" t="s">
        <v>53</v>
      </c>
      <c r="K127" s="49" t="s">
        <v>80</v>
      </c>
      <c r="L127" s="79"/>
      <c r="M127" s="743" t="s">
        <v>71</v>
      </c>
      <c r="N127" s="744" t="s">
        <v>72</v>
      </c>
      <c r="O127" s="49" t="s">
        <v>118</v>
      </c>
      <c r="P127" s="744" t="s">
        <v>95</v>
      </c>
      <c r="Q127" s="744" t="s">
        <v>75</v>
      </c>
      <c r="R127" s="744" t="s">
        <v>223</v>
      </c>
      <c r="S127" s="50" t="s">
        <v>77</v>
      </c>
      <c r="T127" s="171" t="s">
        <v>94</v>
      </c>
      <c r="U127" s="79"/>
      <c r="V127" s="745" t="str">
        <f>V42</f>
        <v>S-W</v>
      </c>
      <c r="W127" s="746" t="str">
        <f>W42</f>
        <v>C-W</v>
      </c>
      <c r="X127" s="102" t="str">
        <f>X42</f>
        <v>Silver</v>
      </c>
      <c r="Y127" s="747" t="s">
        <v>261</v>
      </c>
      <c r="Z127" s="104" t="s">
        <v>81</v>
      </c>
      <c r="AA127" s="101" t="str">
        <f>AA42</f>
        <v>B-Brown</v>
      </c>
      <c r="AB127" s="748" t="str">
        <f>AB3</f>
        <v>T-W</v>
      </c>
      <c r="AC127" s="717" t="str">
        <f>AC3</f>
        <v>Karara</v>
      </c>
      <c r="AD127" s="79"/>
      <c r="AE127" s="371" t="s">
        <v>172</v>
      </c>
      <c r="AF127" s="372" t="s">
        <v>80</v>
      </c>
      <c r="AG127" s="385"/>
      <c r="AH127" s="386" t="s">
        <v>106</v>
      </c>
      <c r="AI127" s="385" t="s">
        <v>173</v>
      </c>
      <c r="AJ127" s="371" t="s">
        <v>108</v>
      </c>
      <c r="AK127" s="282"/>
      <c r="AL127" s="282"/>
      <c r="AM127" s="282"/>
    </row>
    <row r="128" spans="1:39" s="283" customFormat="1" ht="20.25">
      <c r="A128" s="551"/>
      <c r="B128" s="323"/>
      <c r="C128" s="323"/>
      <c r="D128" s="324"/>
      <c r="E128" s="325"/>
      <c r="F128" s="297"/>
      <c r="G128" s="297"/>
      <c r="H128" s="297"/>
      <c r="I128" s="298"/>
      <c r="J128" s="298"/>
      <c r="K128" s="297"/>
      <c r="L128" s="355"/>
      <c r="M128" s="343"/>
      <c r="N128" s="298"/>
      <c r="O128" s="298"/>
      <c r="P128" s="298"/>
      <c r="Q128" s="298"/>
      <c r="R128" s="435"/>
      <c r="S128" s="298"/>
      <c r="T128" s="367"/>
      <c r="U128" s="355"/>
      <c r="V128" s="325"/>
      <c r="W128" s="297"/>
      <c r="X128" s="297"/>
      <c r="Y128" s="298"/>
      <c r="Z128" s="298"/>
      <c r="AA128" s="298"/>
      <c r="AB128" s="297"/>
      <c r="AC128" s="375"/>
      <c r="AD128" s="355"/>
      <c r="AE128" s="377">
        <f>SUM(E128:AC128)</f>
        <v>0</v>
      </c>
      <c r="AF128" s="377"/>
      <c r="AG128" s="390"/>
      <c r="AH128" s="507">
        <f t="shared" ref="AH128:AH132" si="72">AE128+AF128</f>
        <v>0</v>
      </c>
      <c r="AI128" s="412"/>
      <c r="AJ128" s="508">
        <f>AH128+AI128</f>
        <v>0</v>
      </c>
    </row>
    <row r="129" spans="1:39" s="283" customFormat="1" ht="20.25">
      <c r="A129" s="322"/>
      <c r="B129" s="323"/>
      <c r="C129" s="323"/>
      <c r="D129" s="324"/>
      <c r="E129" s="325"/>
      <c r="F129" s="297"/>
      <c r="G129" s="297"/>
      <c r="H129" s="297"/>
      <c r="I129" s="298"/>
      <c r="J129" s="298"/>
      <c r="K129" s="297"/>
      <c r="L129" s="355"/>
      <c r="M129" s="343"/>
      <c r="N129" s="298"/>
      <c r="O129" s="298"/>
      <c r="P129" s="298"/>
      <c r="Q129" s="298"/>
      <c r="R129" s="298"/>
      <c r="S129" s="298"/>
      <c r="T129" s="367"/>
      <c r="U129" s="355"/>
      <c r="V129" s="325"/>
      <c r="W129" s="297"/>
      <c r="X129" s="297"/>
      <c r="Y129" s="298"/>
      <c r="Z129" s="298"/>
      <c r="AA129" s="298"/>
      <c r="AB129" s="297"/>
      <c r="AC129" s="375"/>
      <c r="AD129" s="355"/>
      <c r="AE129" s="377">
        <f>SUM(E129:AC129)</f>
        <v>0</v>
      </c>
      <c r="AF129" s="377"/>
      <c r="AG129" s="390"/>
      <c r="AH129" s="507">
        <f t="shared" si="72"/>
        <v>0</v>
      </c>
      <c r="AI129" s="412"/>
      <c r="AJ129" s="508">
        <f>AH129+AI129</f>
        <v>0</v>
      </c>
    </row>
    <row r="130" spans="1:39" s="283" customFormat="1" ht="20.25">
      <c r="A130" s="322"/>
      <c r="B130" s="323"/>
      <c r="C130" s="323"/>
      <c r="D130" s="324"/>
      <c r="E130" s="325"/>
      <c r="F130" s="297"/>
      <c r="G130" s="297"/>
      <c r="H130" s="297"/>
      <c r="I130" s="298"/>
      <c r="J130" s="298"/>
      <c r="K130" s="297"/>
      <c r="L130" s="355"/>
      <c r="M130" s="343"/>
      <c r="N130" s="298"/>
      <c r="O130" s="298"/>
      <c r="P130" s="298"/>
      <c r="Q130" s="298"/>
      <c r="R130" s="298"/>
      <c r="S130" s="298"/>
      <c r="T130" s="367"/>
      <c r="U130" s="355"/>
      <c r="V130" s="325"/>
      <c r="W130" s="297"/>
      <c r="X130" s="297"/>
      <c r="Y130" s="298"/>
      <c r="Z130" s="298"/>
      <c r="AA130" s="298"/>
      <c r="AB130" s="297"/>
      <c r="AC130" s="375"/>
      <c r="AD130" s="355"/>
      <c r="AE130" s="377">
        <f>SUM(E130:AC130)</f>
        <v>0</v>
      </c>
      <c r="AF130" s="377"/>
      <c r="AG130" s="390"/>
      <c r="AH130" s="507">
        <f t="shared" si="72"/>
        <v>0</v>
      </c>
      <c r="AI130" s="412"/>
      <c r="AJ130" s="508">
        <f>AH130+AI130</f>
        <v>0</v>
      </c>
    </row>
    <row r="131" spans="1:39" s="283" customFormat="1" ht="20.25">
      <c r="A131" s="322"/>
      <c r="B131" s="323"/>
      <c r="C131" s="323"/>
      <c r="D131" s="324"/>
      <c r="E131" s="325"/>
      <c r="F131" s="297"/>
      <c r="G131" s="297"/>
      <c r="H131" s="297"/>
      <c r="I131" s="298"/>
      <c r="J131" s="298"/>
      <c r="K131" s="297"/>
      <c r="L131" s="355"/>
      <c r="M131" s="343"/>
      <c r="N131" s="298"/>
      <c r="O131" s="298"/>
      <c r="P131" s="298"/>
      <c r="Q131" s="298"/>
      <c r="R131" s="298"/>
      <c r="S131" s="298"/>
      <c r="T131" s="367"/>
      <c r="U131" s="355"/>
      <c r="V131" s="325"/>
      <c r="W131" s="297"/>
      <c r="X131" s="297"/>
      <c r="Y131" s="298"/>
      <c r="Z131" s="298"/>
      <c r="AA131" s="298"/>
      <c r="AB131" s="297"/>
      <c r="AC131" s="375"/>
      <c r="AD131" s="355"/>
      <c r="AE131" s="377">
        <f>SUM(E131:AC131)</f>
        <v>0</v>
      </c>
      <c r="AF131" s="377"/>
      <c r="AG131" s="390"/>
      <c r="AH131" s="507">
        <f t="shared" si="72"/>
        <v>0</v>
      </c>
      <c r="AI131" s="412"/>
      <c r="AJ131" s="508">
        <f>AH131+AI131</f>
        <v>0</v>
      </c>
    </row>
    <row r="132" spans="1:39" s="284" customFormat="1" ht="20.25">
      <c r="A132" s="322"/>
      <c r="B132" s="323"/>
      <c r="C132" s="323"/>
      <c r="D132" s="324"/>
      <c r="E132" s="325"/>
      <c r="F132" s="297"/>
      <c r="G132" s="297"/>
      <c r="H132" s="297"/>
      <c r="I132" s="298"/>
      <c r="J132" s="298"/>
      <c r="K132" s="297"/>
      <c r="L132" s="355"/>
      <c r="M132" s="343"/>
      <c r="N132" s="298"/>
      <c r="O132" s="298"/>
      <c r="P132" s="298"/>
      <c r="Q132" s="298"/>
      <c r="R132" s="298"/>
      <c r="S132" s="298"/>
      <c r="T132" s="367"/>
      <c r="U132" s="355"/>
      <c r="V132" s="325"/>
      <c r="W132" s="297"/>
      <c r="X132" s="297"/>
      <c r="Y132" s="298"/>
      <c r="Z132" s="298"/>
      <c r="AA132" s="298"/>
      <c r="AB132" s="297"/>
      <c r="AC132" s="375"/>
      <c r="AD132" s="355"/>
      <c r="AE132" s="377">
        <f>SUM(E132:AC132)</f>
        <v>0</v>
      </c>
      <c r="AF132" s="377"/>
      <c r="AG132" s="390"/>
      <c r="AH132" s="507">
        <f t="shared" si="72"/>
        <v>0</v>
      </c>
      <c r="AI132" s="412"/>
      <c r="AJ132" s="508">
        <f t="shared" ref="AJ132" si="73">AH132+AI132</f>
        <v>0</v>
      </c>
      <c r="AK132" s="283"/>
      <c r="AL132" s="283"/>
      <c r="AM132" s="283"/>
    </row>
    <row r="133" spans="1:39" s="282" customFormat="1" ht="20.25">
      <c r="A133" s="436"/>
      <c r="B133" s="437"/>
      <c r="C133" s="437"/>
      <c r="D133" s="438"/>
      <c r="E133" s="439">
        <f>SUM(E128:E132)</f>
        <v>0</v>
      </c>
      <c r="F133" s="440">
        <f>SUM(F128:F132)</f>
        <v>0</v>
      </c>
      <c r="G133" s="440">
        <f t="shared" ref="G133:K133" si="74">SUM(G128:G132)</f>
        <v>0</v>
      </c>
      <c r="H133" s="440">
        <f t="shared" si="74"/>
        <v>0</v>
      </c>
      <c r="I133" s="440">
        <f t="shared" si="74"/>
        <v>0</v>
      </c>
      <c r="J133" s="440">
        <f t="shared" si="74"/>
        <v>0</v>
      </c>
      <c r="K133" s="440">
        <f t="shared" si="74"/>
        <v>0</v>
      </c>
      <c r="L133" s="482"/>
      <c r="M133" s="439">
        <f t="shared" ref="M133:T133" si="75">SUM(M128:M132)</f>
        <v>0</v>
      </c>
      <c r="N133" s="440">
        <f t="shared" si="75"/>
        <v>0</v>
      </c>
      <c r="O133" s="440">
        <f t="shared" si="75"/>
        <v>0</v>
      </c>
      <c r="P133" s="440">
        <f t="shared" si="75"/>
        <v>0</v>
      </c>
      <c r="Q133" s="440">
        <f t="shared" si="75"/>
        <v>0</v>
      </c>
      <c r="R133" s="440">
        <f t="shared" si="75"/>
        <v>0</v>
      </c>
      <c r="S133" s="440">
        <f t="shared" si="75"/>
        <v>0</v>
      </c>
      <c r="T133" s="481">
        <f t="shared" si="75"/>
        <v>0</v>
      </c>
      <c r="U133" s="482"/>
      <c r="V133" s="439">
        <f t="shared" ref="V133:AC133" si="76">SUM(V128:V132)</f>
        <v>0</v>
      </c>
      <c r="W133" s="440">
        <f t="shared" si="76"/>
        <v>0</v>
      </c>
      <c r="X133" s="440">
        <f t="shared" si="76"/>
        <v>0</v>
      </c>
      <c r="Y133" s="440">
        <f t="shared" si="76"/>
        <v>0</v>
      </c>
      <c r="Z133" s="440">
        <f t="shared" si="76"/>
        <v>0</v>
      </c>
      <c r="AA133" s="440">
        <f t="shared" si="76"/>
        <v>0</v>
      </c>
      <c r="AB133" s="440">
        <f t="shared" si="76"/>
        <v>0</v>
      </c>
      <c r="AC133" s="481">
        <f t="shared" si="76"/>
        <v>0</v>
      </c>
      <c r="AD133" s="482"/>
      <c r="AE133" s="494">
        <f t="shared" ref="AE133:AJ133" si="77">SUM(AE128:AE132)</f>
        <v>0</v>
      </c>
      <c r="AF133" s="494">
        <f t="shared" si="77"/>
        <v>0</v>
      </c>
      <c r="AG133" s="494">
        <f t="shared" si="77"/>
        <v>0</v>
      </c>
      <c r="AH133" s="509">
        <f t="shared" si="77"/>
        <v>0</v>
      </c>
      <c r="AI133" s="494">
        <f t="shared" si="77"/>
        <v>0</v>
      </c>
      <c r="AJ133" s="515">
        <f t="shared" si="77"/>
        <v>0</v>
      </c>
      <c r="AK133" s="283"/>
      <c r="AL133" s="283"/>
      <c r="AM133" s="283"/>
    </row>
    <row r="134" spans="1:39" s="283" customFormat="1" ht="18.75">
      <c r="A134" s="425"/>
      <c r="B134" s="426"/>
      <c r="C134" s="426"/>
      <c r="D134" s="427"/>
      <c r="E134" s="428"/>
      <c r="F134" s="428"/>
      <c r="G134" s="428"/>
      <c r="H134" s="428"/>
      <c r="I134" s="428"/>
      <c r="J134" s="428"/>
      <c r="K134" s="428"/>
      <c r="L134" s="478"/>
      <c r="M134" s="479"/>
      <c r="N134" s="479"/>
      <c r="O134" s="479"/>
      <c r="P134" s="479"/>
      <c r="Q134" s="479"/>
      <c r="R134" s="479"/>
      <c r="S134" s="479"/>
      <c r="T134" s="479"/>
      <c r="U134" s="478"/>
      <c r="V134" s="479"/>
      <c r="W134" s="479"/>
      <c r="X134" s="479"/>
      <c r="Y134" s="479"/>
      <c r="Z134" s="479"/>
      <c r="AA134" s="479"/>
      <c r="AB134" s="479"/>
      <c r="AC134" s="479"/>
      <c r="AD134" s="478"/>
      <c r="AE134" s="479"/>
      <c r="AF134" s="479"/>
      <c r="AG134" s="479"/>
      <c r="AH134" s="479"/>
      <c r="AI134" s="479"/>
      <c r="AJ134" s="506"/>
      <c r="AK134" s="403"/>
      <c r="AL134" s="403"/>
      <c r="AM134" s="403"/>
    </row>
    <row r="135" spans="1:39" s="283" customFormat="1" ht="18">
      <c r="A135" s="441" t="s">
        <v>135</v>
      </c>
      <c r="B135" s="287" t="s">
        <v>68</v>
      </c>
      <c r="C135" s="287" t="s">
        <v>69</v>
      </c>
      <c r="D135" s="288" t="s">
        <v>70</v>
      </c>
      <c r="E135" s="48" t="s">
        <v>86</v>
      </c>
      <c r="F135" s="48" t="s">
        <v>85</v>
      </c>
      <c r="G135" s="48" t="s">
        <v>258</v>
      </c>
      <c r="H135" s="48" t="s">
        <v>252</v>
      </c>
      <c r="I135" s="48" t="s">
        <v>255</v>
      </c>
      <c r="J135" s="48" t="s">
        <v>53</v>
      </c>
      <c r="K135" s="48" t="s">
        <v>80</v>
      </c>
      <c r="L135" s="79"/>
      <c r="M135" s="743" t="s">
        <v>71</v>
      </c>
      <c r="N135" s="50" t="s">
        <v>72</v>
      </c>
      <c r="O135" s="48" t="s">
        <v>118</v>
      </c>
      <c r="P135" s="755" t="s">
        <v>95</v>
      </c>
      <c r="Q135" s="744" t="s">
        <v>75</v>
      </c>
      <c r="R135" s="744" t="s">
        <v>223</v>
      </c>
      <c r="S135" s="50" t="s">
        <v>77</v>
      </c>
      <c r="T135" s="171" t="s">
        <v>94</v>
      </c>
      <c r="U135" s="79"/>
      <c r="V135" s="745" t="str">
        <f t="shared" ref="V135:AC135" si="78">V127</f>
        <v>S-W</v>
      </c>
      <c r="W135" s="746" t="str">
        <f t="shared" si="78"/>
        <v>C-W</v>
      </c>
      <c r="X135" s="102" t="str">
        <f t="shared" si="78"/>
        <v>Silver</v>
      </c>
      <c r="Y135" s="747" t="str">
        <f t="shared" si="78"/>
        <v>BLACK</v>
      </c>
      <c r="Z135" s="744" t="str">
        <f t="shared" si="78"/>
        <v>Karara</v>
      </c>
      <c r="AA135" s="101" t="str">
        <f t="shared" si="78"/>
        <v>B-Brown</v>
      </c>
      <c r="AB135" s="748" t="str">
        <f t="shared" si="78"/>
        <v>T-W</v>
      </c>
      <c r="AC135" s="717" t="str">
        <f t="shared" si="78"/>
        <v>Karara</v>
      </c>
      <c r="AD135" s="79"/>
      <c r="AE135" s="371" t="s">
        <v>172</v>
      </c>
      <c r="AF135" s="372" t="s">
        <v>80</v>
      </c>
      <c r="AG135" s="385"/>
      <c r="AH135" s="386" t="s">
        <v>106</v>
      </c>
      <c r="AI135" s="385" t="s">
        <v>173</v>
      </c>
      <c r="AJ135" s="371" t="s">
        <v>108</v>
      </c>
      <c r="AK135" s="282"/>
      <c r="AL135" s="282"/>
      <c r="AM135" s="282"/>
    </row>
    <row r="136" spans="1:39" s="283" customFormat="1" ht="20.25">
      <c r="A136" s="442" t="s">
        <v>262</v>
      </c>
      <c r="B136" s="443"/>
      <c r="C136" s="443"/>
      <c r="D136" s="444"/>
      <c r="E136" s="433"/>
      <c r="F136" s="434"/>
      <c r="G136" s="434"/>
      <c r="H136" s="434"/>
      <c r="I136" s="435"/>
      <c r="J136" s="435"/>
      <c r="K136" s="434"/>
      <c r="L136" s="483"/>
      <c r="M136" s="484"/>
      <c r="N136" s="435"/>
      <c r="O136" s="435"/>
      <c r="P136" s="435"/>
      <c r="Q136" s="435"/>
      <c r="R136" s="435"/>
      <c r="S136" s="435"/>
      <c r="T136" s="492"/>
      <c r="U136" s="483"/>
      <c r="V136" s="433"/>
      <c r="W136" s="434"/>
      <c r="X136" s="434"/>
      <c r="Y136" s="435"/>
      <c r="Z136" s="435"/>
      <c r="AA136" s="435"/>
      <c r="AB136" s="434"/>
      <c r="AC136" s="495"/>
      <c r="AD136" s="483"/>
      <c r="AE136" s="496">
        <f>SUM(E136:AC136)</f>
        <v>0</v>
      </c>
      <c r="AF136" s="497"/>
      <c r="AG136" s="510"/>
      <c r="AH136" s="511">
        <f t="shared" ref="AH136:AH139" si="79">AE136+AF136</f>
        <v>0</v>
      </c>
      <c r="AI136" s="512"/>
      <c r="AJ136" s="513">
        <f>AH136+AI136</f>
        <v>0</v>
      </c>
    </row>
    <row r="137" spans="1:39" s="283" customFormat="1" ht="20.25">
      <c r="A137" s="445"/>
      <c r="B137" s="323"/>
      <c r="C137" s="323"/>
      <c r="D137" s="324"/>
      <c r="E137" s="325"/>
      <c r="F137" s="297"/>
      <c r="G137" s="297"/>
      <c r="H137" s="297"/>
      <c r="I137" s="298"/>
      <c r="J137" s="298"/>
      <c r="K137" s="297"/>
      <c r="L137" s="355"/>
      <c r="M137" s="343"/>
      <c r="N137" s="298"/>
      <c r="O137" s="298"/>
      <c r="P137" s="298"/>
      <c r="Q137" s="298"/>
      <c r="R137" s="298"/>
      <c r="S137" s="298"/>
      <c r="T137" s="367"/>
      <c r="U137" s="355"/>
      <c r="V137" s="325"/>
      <c r="W137" s="297"/>
      <c r="X137" s="297"/>
      <c r="Y137" s="298"/>
      <c r="Z137" s="298"/>
      <c r="AA137" s="298"/>
      <c r="AB137" s="297"/>
      <c r="AC137" s="375"/>
      <c r="AD137" s="355"/>
      <c r="AE137" s="376">
        <f>SUM(E137:AC137)</f>
        <v>0</v>
      </c>
      <c r="AF137" s="377"/>
      <c r="AG137" s="390"/>
      <c r="AH137" s="391">
        <f t="shared" si="79"/>
        <v>0</v>
      </c>
      <c r="AI137" s="412"/>
      <c r="AJ137" s="413">
        <f t="shared" ref="AJ137:AJ139" si="80">AH137+AI137</f>
        <v>0</v>
      </c>
    </row>
    <row r="138" spans="1:39" s="283" customFormat="1" ht="20.25">
      <c r="A138" s="445"/>
      <c r="B138" s="323"/>
      <c r="C138" s="323"/>
      <c r="D138" s="324"/>
      <c r="E138" s="325"/>
      <c r="F138" s="297"/>
      <c r="G138" s="297"/>
      <c r="H138" s="297"/>
      <c r="I138" s="298"/>
      <c r="J138" s="298"/>
      <c r="K138" s="297"/>
      <c r="L138" s="355"/>
      <c r="M138" s="343"/>
      <c r="N138" s="298"/>
      <c r="O138" s="298"/>
      <c r="P138" s="298"/>
      <c r="Q138" s="298"/>
      <c r="R138" s="298"/>
      <c r="S138" s="298"/>
      <c r="T138" s="367"/>
      <c r="U138" s="355"/>
      <c r="V138" s="325"/>
      <c r="W138" s="297"/>
      <c r="X138" s="297"/>
      <c r="Y138" s="298"/>
      <c r="Z138" s="298"/>
      <c r="AA138" s="298"/>
      <c r="AB138" s="297"/>
      <c r="AC138" s="375"/>
      <c r="AD138" s="355"/>
      <c r="AE138" s="376">
        <f>SUM(E138:AC138)</f>
        <v>0</v>
      </c>
      <c r="AF138" s="377"/>
      <c r="AG138" s="390"/>
      <c r="AH138" s="391">
        <f t="shared" si="79"/>
        <v>0</v>
      </c>
      <c r="AI138" s="412"/>
      <c r="AJ138" s="413">
        <f t="shared" si="80"/>
        <v>0</v>
      </c>
    </row>
    <row r="139" spans="1:39" s="283" customFormat="1" ht="20.25">
      <c r="A139" s="322"/>
      <c r="B139" s="323"/>
      <c r="C139" s="323"/>
      <c r="D139" s="324"/>
      <c r="E139" s="325"/>
      <c r="F139" s="297"/>
      <c r="G139" s="297"/>
      <c r="H139" s="297"/>
      <c r="I139" s="298"/>
      <c r="J139" s="298"/>
      <c r="K139" s="297"/>
      <c r="L139" s="355"/>
      <c r="M139" s="343"/>
      <c r="N139" s="298"/>
      <c r="O139" s="298"/>
      <c r="P139" s="298"/>
      <c r="Q139" s="298"/>
      <c r="R139" s="298"/>
      <c r="S139" s="298"/>
      <c r="T139" s="367"/>
      <c r="U139" s="355"/>
      <c r="V139" s="325"/>
      <c r="W139" s="297"/>
      <c r="X139" s="297"/>
      <c r="Y139" s="298"/>
      <c r="Z139" s="298"/>
      <c r="AA139" s="298"/>
      <c r="AB139" s="297"/>
      <c r="AC139" s="375"/>
      <c r="AD139" s="355"/>
      <c r="AE139" s="377">
        <f>SUM(E139:AC139)</f>
        <v>0</v>
      </c>
      <c r="AF139" s="377"/>
      <c r="AG139" s="390"/>
      <c r="AH139" s="507">
        <f t="shared" si="79"/>
        <v>0</v>
      </c>
      <c r="AI139" s="412"/>
      <c r="AJ139" s="508">
        <f t="shared" si="80"/>
        <v>0</v>
      </c>
    </row>
    <row r="140" spans="1:39" s="284" customFormat="1" ht="20.25">
      <c r="A140" s="436"/>
      <c r="B140" s="437"/>
      <c r="C140" s="437"/>
      <c r="D140" s="438"/>
      <c r="E140" s="439">
        <f>SUM(E136:E139)</f>
        <v>0</v>
      </c>
      <c r="F140" s="439">
        <f t="shared" ref="F140:K140" si="81">SUM(F136:F139)</f>
        <v>0</v>
      </c>
      <c r="G140" s="439">
        <f t="shared" si="81"/>
        <v>0</v>
      </c>
      <c r="H140" s="439">
        <f t="shared" si="81"/>
        <v>0</v>
      </c>
      <c r="I140" s="439">
        <f t="shared" si="81"/>
        <v>0</v>
      </c>
      <c r="J140" s="439">
        <f t="shared" si="81"/>
        <v>0</v>
      </c>
      <c r="K140" s="439">
        <f t="shared" si="81"/>
        <v>0</v>
      </c>
      <c r="L140" s="482"/>
      <c r="M140" s="439">
        <f>SUM(M136:M139)</f>
        <v>0</v>
      </c>
      <c r="N140" s="439">
        <f t="shared" ref="N140:T140" si="82">SUM(N136:N139)</f>
        <v>0</v>
      </c>
      <c r="O140" s="439">
        <f t="shared" si="82"/>
        <v>0</v>
      </c>
      <c r="P140" s="439">
        <f t="shared" si="82"/>
        <v>0</v>
      </c>
      <c r="Q140" s="439">
        <f t="shared" si="82"/>
        <v>0</v>
      </c>
      <c r="R140" s="439">
        <f t="shared" si="82"/>
        <v>0</v>
      </c>
      <c r="S140" s="439">
        <f t="shared" si="82"/>
        <v>0</v>
      </c>
      <c r="T140" s="439">
        <f t="shared" si="82"/>
        <v>0</v>
      </c>
      <c r="U140" s="482"/>
      <c r="V140" s="439">
        <f>SUM(V136:V139)</f>
        <v>0</v>
      </c>
      <c r="W140" s="439">
        <f t="shared" ref="W140:AC140" si="83">SUM(W136:W139)</f>
        <v>0</v>
      </c>
      <c r="X140" s="439">
        <f t="shared" si="83"/>
        <v>0</v>
      </c>
      <c r="Y140" s="439">
        <f t="shared" si="83"/>
        <v>0</v>
      </c>
      <c r="Z140" s="439">
        <f t="shared" si="83"/>
        <v>0</v>
      </c>
      <c r="AA140" s="439">
        <f t="shared" si="83"/>
        <v>0</v>
      </c>
      <c r="AB140" s="439">
        <f t="shared" si="83"/>
        <v>0</v>
      </c>
      <c r="AC140" s="439">
        <f t="shared" si="83"/>
        <v>0</v>
      </c>
      <c r="AD140" s="482"/>
      <c r="AE140" s="494">
        <f>SUM(AE136:AE139)</f>
        <v>0</v>
      </c>
      <c r="AF140" s="494">
        <f>SUM(AF136:AF139)</f>
        <v>0</v>
      </c>
      <c r="AG140" s="509"/>
      <c r="AH140" s="514">
        <f>SUM(AH136:AH139)</f>
        <v>0</v>
      </c>
      <c r="AI140" s="494">
        <f>SUM(AI136:AI139)</f>
        <v>0</v>
      </c>
      <c r="AJ140" s="515">
        <f>SUM(AJ136:AJ139)</f>
        <v>0</v>
      </c>
      <c r="AK140" s="283"/>
      <c r="AL140" s="283"/>
      <c r="AM140" s="283"/>
    </row>
    <row r="141" spans="1:39" ht="18.75">
      <c r="A141" s="425"/>
      <c r="B141" s="426"/>
      <c r="C141" s="426"/>
      <c r="D141" s="427"/>
      <c r="E141" s="428"/>
      <c r="F141" s="428"/>
      <c r="G141" s="428"/>
      <c r="H141" s="428"/>
      <c r="I141" s="428"/>
      <c r="J141" s="428"/>
      <c r="K141" s="428"/>
      <c r="L141" s="478"/>
      <c r="M141" s="479"/>
      <c r="N141" s="479"/>
      <c r="O141" s="479"/>
      <c r="P141" s="479"/>
      <c r="Q141" s="479"/>
      <c r="R141" s="479"/>
      <c r="S141" s="479"/>
      <c r="T141" s="479"/>
      <c r="U141" s="478"/>
      <c r="V141" s="479"/>
      <c r="W141" s="479"/>
      <c r="X141" s="479"/>
      <c r="Y141" s="479"/>
      <c r="Z141" s="479"/>
      <c r="AA141" s="479"/>
      <c r="AB141" s="479"/>
      <c r="AC141" s="479"/>
      <c r="AD141" s="478"/>
      <c r="AE141" s="479"/>
      <c r="AF141" s="479"/>
      <c r="AG141" s="479"/>
      <c r="AH141" s="479"/>
      <c r="AI141" s="479"/>
      <c r="AJ141" s="506"/>
      <c r="AK141" s="403"/>
      <c r="AL141" s="403"/>
      <c r="AM141" s="403"/>
    </row>
    <row r="142" spans="1:39" ht="15.75">
      <c r="A142" s="446" t="s">
        <v>140</v>
      </c>
      <c r="B142" s="287" t="s">
        <v>68</v>
      </c>
      <c r="C142" s="447" t="s">
        <v>69</v>
      </c>
      <c r="D142" s="448" t="s">
        <v>70</v>
      </c>
      <c r="E142" s="80" t="s">
        <v>86</v>
      </c>
      <c r="F142" s="49" t="s">
        <v>85</v>
      </c>
      <c r="G142" s="49" t="s">
        <v>258</v>
      </c>
      <c r="H142" s="49" t="s">
        <v>252</v>
      </c>
      <c r="I142" s="49" t="s">
        <v>255</v>
      </c>
      <c r="J142" s="49" t="s">
        <v>53</v>
      </c>
      <c r="K142" s="49" t="s">
        <v>80</v>
      </c>
      <c r="L142" s="79"/>
      <c r="M142" s="743" t="s">
        <v>71</v>
      </c>
      <c r="N142" s="744" t="s">
        <v>72</v>
      </c>
      <c r="O142" s="49" t="s">
        <v>118</v>
      </c>
      <c r="P142" s="744" t="s">
        <v>95</v>
      </c>
      <c r="Q142" s="744" t="s">
        <v>75</v>
      </c>
      <c r="R142" s="744" t="s">
        <v>223</v>
      </c>
      <c r="S142" s="50" t="s">
        <v>77</v>
      </c>
      <c r="T142" s="171" t="s">
        <v>94</v>
      </c>
      <c r="U142" s="79"/>
      <c r="V142" s="745" t="str">
        <f t="shared" ref="V142:AC142" si="84">V135</f>
        <v>S-W</v>
      </c>
      <c r="W142" s="746" t="str">
        <f t="shared" si="84"/>
        <v>C-W</v>
      </c>
      <c r="X142" s="102" t="str">
        <f t="shared" si="84"/>
        <v>Silver</v>
      </c>
      <c r="Y142" s="747" t="str">
        <f t="shared" si="84"/>
        <v>BLACK</v>
      </c>
      <c r="Z142" s="744" t="str">
        <f t="shared" si="84"/>
        <v>Karara</v>
      </c>
      <c r="AA142" s="101" t="str">
        <f t="shared" si="84"/>
        <v>B-Brown</v>
      </c>
      <c r="AB142" s="748" t="str">
        <f t="shared" si="84"/>
        <v>T-W</v>
      </c>
      <c r="AC142" s="717" t="str">
        <f t="shared" si="84"/>
        <v>Karara</v>
      </c>
      <c r="AD142" s="79"/>
      <c r="AE142" s="371" t="s">
        <v>172</v>
      </c>
      <c r="AF142" s="498" t="s">
        <v>80</v>
      </c>
      <c r="AG142" s="385"/>
      <c r="AH142" s="386" t="s">
        <v>106</v>
      </c>
      <c r="AI142" s="385" t="s">
        <v>173</v>
      </c>
      <c r="AJ142" s="371" t="s">
        <v>108</v>
      </c>
      <c r="AK142" s="282"/>
      <c r="AL142" s="282"/>
      <c r="AM142" s="282"/>
    </row>
    <row r="143" spans="1:39" s="1" customFormat="1" ht="20.25">
      <c r="A143" s="449" t="s">
        <v>180</v>
      </c>
      <c r="B143" s="450"/>
      <c r="C143" s="450"/>
      <c r="D143" s="451"/>
      <c r="E143" s="452"/>
      <c r="F143" s="453"/>
      <c r="G143" s="453"/>
      <c r="H143" s="453"/>
      <c r="I143" s="454"/>
      <c r="J143" s="454"/>
      <c r="K143" s="453"/>
      <c r="L143" s="355"/>
      <c r="M143" s="343"/>
      <c r="N143" s="298"/>
      <c r="O143" s="298"/>
      <c r="P143" s="298"/>
      <c r="Q143" s="298"/>
      <c r="R143" s="435"/>
      <c r="S143" s="298"/>
      <c r="T143" s="367"/>
      <c r="U143" s="355"/>
      <c r="V143" s="325"/>
      <c r="W143" s="297"/>
      <c r="X143" s="297"/>
      <c r="Y143" s="298"/>
      <c r="Z143" s="298"/>
      <c r="AA143" s="298"/>
      <c r="AB143" s="297"/>
      <c r="AC143" s="375"/>
      <c r="AD143" s="355"/>
      <c r="AE143" s="376">
        <f t="shared" ref="AE143:AE148" si="85">SUM(E143:AC143)</f>
        <v>0</v>
      </c>
      <c r="AF143" s="499"/>
      <c r="AG143" s="516"/>
      <c r="AH143" s="391">
        <f t="shared" ref="AH143:AH148" si="86">AE143+AF143</f>
        <v>0</v>
      </c>
      <c r="AI143" s="412"/>
      <c r="AJ143" s="413">
        <f>AH143+AI143</f>
        <v>0</v>
      </c>
      <c r="AK143" s="283"/>
      <c r="AL143" s="283"/>
      <c r="AM143" s="283"/>
    </row>
    <row r="144" spans="1:39" ht="20.25">
      <c r="A144" s="445"/>
      <c r="B144" s="455"/>
      <c r="C144" s="455"/>
      <c r="D144" s="456"/>
      <c r="E144" s="457"/>
      <c r="F144" s="458"/>
      <c r="G144" s="458"/>
      <c r="H144" s="458"/>
      <c r="I144" s="459"/>
      <c r="J144" s="459"/>
      <c r="K144" s="458"/>
      <c r="L144" s="355"/>
      <c r="M144" s="756"/>
      <c r="N144" s="459"/>
      <c r="O144" s="459"/>
      <c r="P144" s="459"/>
      <c r="Q144" s="459"/>
      <c r="R144" s="459"/>
      <c r="S144" s="459"/>
      <c r="T144" s="761"/>
      <c r="U144" s="355"/>
      <c r="V144" s="325"/>
      <c r="W144" s="297"/>
      <c r="X144" s="297"/>
      <c r="Y144" s="298"/>
      <c r="Z144" s="298"/>
      <c r="AA144" s="298"/>
      <c r="AB144" s="297"/>
      <c r="AC144" s="375"/>
      <c r="AD144" s="355"/>
      <c r="AE144" s="376">
        <f t="shared" si="85"/>
        <v>0</v>
      </c>
      <c r="AF144" s="500"/>
      <c r="AG144" s="516"/>
      <c r="AH144" s="391">
        <f t="shared" si="86"/>
        <v>0</v>
      </c>
      <c r="AI144" s="776"/>
      <c r="AJ144" s="413">
        <f t="shared" ref="AJ144:AJ145" si="87">AH144+AI144</f>
        <v>0</v>
      </c>
      <c r="AK144" s="283"/>
      <c r="AL144" s="283"/>
      <c r="AM144" s="283"/>
    </row>
    <row r="145" spans="1:39" s="276" customFormat="1" ht="20.25">
      <c r="A145" s="442"/>
      <c r="B145" s="455"/>
      <c r="C145" s="455"/>
      <c r="D145" s="456"/>
      <c r="E145" s="457"/>
      <c r="F145" s="458"/>
      <c r="G145" s="458"/>
      <c r="H145" s="458"/>
      <c r="I145" s="459"/>
      <c r="J145" s="459"/>
      <c r="K145" s="458"/>
      <c r="L145" s="483"/>
      <c r="M145" s="484"/>
      <c r="N145" s="435"/>
      <c r="O145" s="435"/>
      <c r="P145" s="435"/>
      <c r="Q145" s="435"/>
      <c r="R145" s="435"/>
      <c r="S145" s="435"/>
      <c r="T145" s="492"/>
      <c r="U145" s="483"/>
      <c r="V145" s="433"/>
      <c r="W145" s="434"/>
      <c r="X145" s="434"/>
      <c r="Y145" s="435"/>
      <c r="Z145" s="435"/>
      <c r="AA145" s="435"/>
      <c r="AB145" s="434"/>
      <c r="AC145" s="495"/>
      <c r="AD145" s="483"/>
      <c r="AE145" s="496">
        <f t="shared" si="85"/>
        <v>0</v>
      </c>
      <c r="AF145" s="500"/>
      <c r="AG145" s="517"/>
      <c r="AH145" s="511">
        <f t="shared" si="86"/>
        <v>0</v>
      </c>
      <c r="AI145" s="512"/>
      <c r="AJ145" s="513">
        <f t="shared" si="87"/>
        <v>0</v>
      </c>
      <c r="AK145" s="283"/>
      <c r="AL145" s="283"/>
      <c r="AM145" s="283"/>
    </row>
    <row r="146" spans="1:39" s="234" customFormat="1" ht="20.25">
      <c r="A146" s="445"/>
      <c r="B146" s="455"/>
      <c r="C146" s="455"/>
      <c r="D146" s="456"/>
      <c r="E146" s="457"/>
      <c r="F146" s="458"/>
      <c r="G146" s="458"/>
      <c r="H146" s="458"/>
      <c r="I146" s="459"/>
      <c r="J146" s="459"/>
      <c r="K146" s="458"/>
      <c r="L146" s="355"/>
      <c r="M146" s="343"/>
      <c r="N146" s="298"/>
      <c r="O146" s="298"/>
      <c r="P146" s="298"/>
      <c r="Q146" s="298"/>
      <c r="R146" s="298"/>
      <c r="S146" s="298"/>
      <c r="T146" s="367"/>
      <c r="U146" s="355"/>
      <c r="V146" s="325"/>
      <c r="W146" s="297"/>
      <c r="X146" s="297"/>
      <c r="Y146" s="298"/>
      <c r="Z146" s="298"/>
      <c r="AA146" s="298"/>
      <c r="AB146" s="297"/>
      <c r="AC146" s="375"/>
      <c r="AD146" s="355"/>
      <c r="AE146" s="376">
        <f t="shared" si="85"/>
        <v>0</v>
      </c>
      <c r="AF146" s="500"/>
      <c r="AG146" s="516"/>
      <c r="AH146" s="391">
        <f t="shared" si="86"/>
        <v>0</v>
      </c>
      <c r="AI146" s="412"/>
      <c r="AJ146" s="413">
        <f t="shared" ref="AJ146:AJ148" si="88">AH146+AI146</f>
        <v>0</v>
      </c>
      <c r="AK146" s="283"/>
      <c r="AL146" s="283"/>
      <c r="AM146" s="283"/>
    </row>
    <row r="147" spans="1:39" s="276" customFormat="1" ht="20.25">
      <c r="A147" s="445"/>
      <c r="B147" s="455"/>
      <c r="C147" s="455"/>
      <c r="D147" s="456"/>
      <c r="E147" s="457"/>
      <c r="F147" s="458"/>
      <c r="G147" s="458"/>
      <c r="H147" s="458"/>
      <c r="I147" s="459"/>
      <c r="J147" s="459"/>
      <c r="K147" s="458"/>
      <c r="L147" s="355"/>
      <c r="M147" s="343"/>
      <c r="N147" s="298"/>
      <c r="O147" s="298"/>
      <c r="P147" s="298"/>
      <c r="Q147" s="298"/>
      <c r="R147" s="298"/>
      <c r="S147" s="298"/>
      <c r="T147" s="367"/>
      <c r="U147" s="355"/>
      <c r="V147" s="325"/>
      <c r="W147" s="297"/>
      <c r="X147" s="297"/>
      <c r="Y147" s="298"/>
      <c r="Z147" s="298"/>
      <c r="AA147" s="298"/>
      <c r="AB147" s="297"/>
      <c r="AC147" s="375"/>
      <c r="AD147" s="355"/>
      <c r="AE147" s="376">
        <f t="shared" si="85"/>
        <v>0</v>
      </c>
      <c r="AF147" s="500"/>
      <c r="AG147" s="516"/>
      <c r="AH147" s="391">
        <f t="shared" si="86"/>
        <v>0</v>
      </c>
      <c r="AI147" s="412"/>
      <c r="AJ147" s="413">
        <f t="shared" si="88"/>
        <v>0</v>
      </c>
      <c r="AK147" s="283"/>
      <c r="AL147" s="283"/>
      <c r="AM147" s="283"/>
    </row>
    <row r="148" spans="1:39" s="276" customFormat="1" ht="20.25">
      <c r="A148" s="460"/>
      <c r="B148" s="461"/>
      <c r="C148" s="461"/>
      <c r="D148" s="462"/>
      <c r="E148" s="463"/>
      <c r="F148" s="464"/>
      <c r="G148" s="464"/>
      <c r="H148" s="464"/>
      <c r="I148" s="465"/>
      <c r="J148" s="465"/>
      <c r="K148" s="464"/>
      <c r="L148" s="355"/>
      <c r="M148" s="343"/>
      <c r="N148" s="298"/>
      <c r="O148" s="298"/>
      <c r="P148" s="298"/>
      <c r="Q148" s="298"/>
      <c r="R148" s="298"/>
      <c r="S148" s="298"/>
      <c r="T148" s="367"/>
      <c r="U148" s="355"/>
      <c r="V148" s="325"/>
      <c r="W148" s="297"/>
      <c r="X148" s="297"/>
      <c r="Y148" s="298"/>
      <c r="Z148" s="298"/>
      <c r="AA148" s="298"/>
      <c r="AB148" s="297"/>
      <c r="AC148" s="375"/>
      <c r="AD148" s="355"/>
      <c r="AE148" s="377">
        <f t="shared" si="85"/>
        <v>0</v>
      </c>
      <c r="AF148" s="501"/>
      <c r="AG148" s="516"/>
      <c r="AH148" s="507">
        <f t="shared" si="86"/>
        <v>0</v>
      </c>
      <c r="AI148" s="412"/>
      <c r="AJ148" s="508">
        <f t="shared" si="88"/>
        <v>0</v>
      </c>
      <c r="AK148" s="283"/>
      <c r="AL148" s="283"/>
      <c r="AM148" s="283"/>
    </row>
    <row r="149" spans="1:39" s="234" customFormat="1" ht="20.25">
      <c r="A149" s="466"/>
      <c r="B149" s="467"/>
      <c r="C149" s="467"/>
      <c r="D149" s="468"/>
      <c r="E149" s="469">
        <f>SUM(E143:E148)</f>
        <v>0</v>
      </c>
      <c r="F149" s="470">
        <f>SUM(F143:F148)</f>
        <v>0</v>
      </c>
      <c r="G149" s="470">
        <f t="shared" ref="G149:AC149" si="89">SUM(G143:G148)</f>
        <v>0</v>
      </c>
      <c r="H149" s="470">
        <f t="shared" si="89"/>
        <v>0</v>
      </c>
      <c r="I149" s="470">
        <f t="shared" si="89"/>
        <v>0</v>
      </c>
      <c r="J149" s="470">
        <f t="shared" si="89"/>
        <v>0</v>
      </c>
      <c r="K149" s="470">
        <f t="shared" si="89"/>
        <v>0</v>
      </c>
      <c r="L149" s="757">
        <f t="shared" si="89"/>
        <v>0</v>
      </c>
      <c r="M149" s="758">
        <f t="shared" si="89"/>
        <v>0</v>
      </c>
      <c r="N149" s="758">
        <f t="shared" si="89"/>
        <v>0</v>
      </c>
      <c r="O149" s="758">
        <f t="shared" si="89"/>
        <v>0</v>
      </c>
      <c r="P149" s="758">
        <f t="shared" si="89"/>
        <v>0</v>
      </c>
      <c r="Q149" s="758">
        <f t="shared" si="89"/>
        <v>0</v>
      </c>
      <c r="R149" s="758">
        <f t="shared" si="89"/>
        <v>0</v>
      </c>
      <c r="S149" s="758">
        <f t="shared" si="89"/>
        <v>0</v>
      </c>
      <c r="T149" s="758">
        <f t="shared" si="89"/>
        <v>0</v>
      </c>
      <c r="U149" s="762">
        <f t="shared" si="89"/>
        <v>0</v>
      </c>
      <c r="V149" s="758">
        <f t="shared" si="89"/>
        <v>0</v>
      </c>
      <c r="W149" s="758">
        <f t="shared" si="89"/>
        <v>0</v>
      </c>
      <c r="X149" s="758">
        <f t="shared" si="89"/>
        <v>0</v>
      </c>
      <c r="Y149" s="758">
        <f t="shared" si="89"/>
        <v>0</v>
      </c>
      <c r="Z149" s="758">
        <f t="shared" si="89"/>
        <v>0</v>
      </c>
      <c r="AA149" s="758">
        <f t="shared" si="89"/>
        <v>0</v>
      </c>
      <c r="AB149" s="758">
        <f t="shared" si="89"/>
        <v>0</v>
      </c>
      <c r="AC149" s="758">
        <f t="shared" si="89"/>
        <v>0</v>
      </c>
      <c r="AD149" s="482"/>
      <c r="AE149" s="509">
        <f>SUM(AE143:AE148)</f>
        <v>0</v>
      </c>
      <c r="AF149" s="509">
        <f>SUM(AF143:AF148)</f>
        <v>0</v>
      </c>
      <c r="AG149" s="509"/>
      <c r="AH149" s="514">
        <f>SUM(AH143:AH148)</f>
        <v>0</v>
      </c>
      <c r="AI149" s="509">
        <f t="shared" ref="AI149:AJ149" si="90">SUM(AI143:AI148)</f>
        <v>0</v>
      </c>
      <c r="AJ149" s="509">
        <f t="shared" si="90"/>
        <v>0</v>
      </c>
      <c r="AK149" s="283"/>
      <c r="AL149" s="283"/>
      <c r="AM149" s="283"/>
    </row>
    <row r="150" spans="1:39" s="276" customFormat="1" ht="18.75">
      <c r="A150" s="425"/>
      <c r="B150" s="426"/>
      <c r="C150" s="426"/>
      <c r="D150" s="427"/>
      <c r="E150" s="428"/>
      <c r="F150" s="428"/>
      <c r="G150" s="428"/>
      <c r="H150" s="428"/>
      <c r="I150" s="428"/>
      <c r="J150" s="428"/>
      <c r="K150" s="428"/>
      <c r="L150" s="478"/>
      <c r="M150" s="479"/>
      <c r="N150" s="479"/>
      <c r="O150" s="479"/>
      <c r="P150" s="479"/>
      <c r="Q150" s="479"/>
      <c r="R150" s="479"/>
      <c r="S150" s="479"/>
      <c r="T150" s="479"/>
      <c r="U150" s="478"/>
      <c r="V150" s="479"/>
      <c r="W150" s="479"/>
      <c r="X150" s="479"/>
      <c r="Y150" s="479"/>
      <c r="Z150" s="479"/>
      <c r="AA150" s="479"/>
      <c r="AB150" s="479"/>
      <c r="AC150" s="479"/>
      <c r="AD150" s="478"/>
      <c r="AE150" s="479"/>
      <c r="AF150" s="479"/>
      <c r="AG150" s="479"/>
      <c r="AH150" s="479"/>
      <c r="AI150" s="479"/>
      <c r="AJ150" s="506"/>
      <c r="AK150" s="403"/>
      <c r="AL150" s="403"/>
      <c r="AM150" s="403"/>
    </row>
    <row r="151" spans="1:39" s="276" customFormat="1" ht="18.75" thickBot="1">
      <c r="A151" s="441" t="s">
        <v>143</v>
      </c>
      <c r="B151" s="287" t="s">
        <v>68</v>
      </c>
      <c r="C151" s="287" t="s">
        <v>69</v>
      </c>
      <c r="D151" s="288" t="s">
        <v>70</v>
      </c>
      <c r="E151" s="48" t="s">
        <v>86</v>
      </c>
      <c r="F151" s="48" t="s">
        <v>85</v>
      </c>
      <c r="G151" s="48" t="s">
        <v>258</v>
      </c>
      <c r="H151" s="48" t="s">
        <v>252</v>
      </c>
      <c r="I151" s="48" t="s">
        <v>255</v>
      </c>
      <c r="J151" s="48" t="s">
        <v>53</v>
      </c>
      <c r="K151" s="48" t="s">
        <v>80</v>
      </c>
      <c r="L151" s="79"/>
      <c r="M151" s="743" t="s">
        <v>71</v>
      </c>
      <c r="N151" s="50" t="s">
        <v>72</v>
      </c>
      <c r="O151" s="48" t="s">
        <v>118</v>
      </c>
      <c r="P151" s="755" t="s">
        <v>95</v>
      </c>
      <c r="Q151" s="744" t="s">
        <v>75</v>
      </c>
      <c r="R151" s="744" t="s">
        <v>223</v>
      </c>
      <c r="S151" s="50" t="s">
        <v>77</v>
      </c>
      <c r="T151" s="171" t="s">
        <v>94</v>
      </c>
      <c r="U151" s="79"/>
      <c r="V151" s="745" t="str">
        <f t="shared" ref="V151:AC151" si="91">V142</f>
        <v>S-W</v>
      </c>
      <c r="W151" s="746" t="str">
        <f t="shared" si="91"/>
        <v>C-W</v>
      </c>
      <c r="X151" s="102" t="str">
        <f t="shared" si="91"/>
        <v>Silver</v>
      </c>
      <c r="Y151" s="747" t="str">
        <f t="shared" si="91"/>
        <v>BLACK</v>
      </c>
      <c r="Z151" s="744" t="str">
        <f t="shared" si="91"/>
        <v>Karara</v>
      </c>
      <c r="AA151" s="101" t="str">
        <f t="shared" si="91"/>
        <v>B-Brown</v>
      </c>
      <c r="AB151" s="748" t="str">
        <f t="shared" si="91"/>
        <v>T-W</v>
      </c>
      <c r="AC151" s="717" t="str">
        <f t="shared" si="91"/>
        <v>Karara</v>
      </c>
      <c r="AD151" s="79"/>
      <c r="AE151" s="371" t="s">
        <v>172</v>
      </c>
      <c r="AF151" s="372" t="s">
        <v>80</v>
      </c>
      <c r="AG151" s="385"/>
      <c r="AH151" s="386" t="s">
        <v>106</v>
      </c>
      <c r="AI151" s="385" t="s">
        <v>173</v>
      </c>
      <c r="AJ151" s="371" t="s">
        <v>108</v>
      </c>
      <c r="AK151" s="282"/>
      <c r="AL151" s="282"/>
      <c r="AM151" s="282"/>
    </row>
    <row r="152" spans="1:39" s="234" customFormat="1" ht="21" thickBot="1">
      <c r="A152" s="2567" t="s">
        <v>182</v>
      </c>
      <c r="B152" s="2568"/>
      <c r="C152" s="2568"/>
      <c r="D152" s="2569"/>
      <c r="E152" s="2570"/>
      <c r="F152" s="2571"/>
      <c r="G152" s="2571"/>
      <c r="H152" s="2571"/>
      <c r="I152" s="2572"/>
      <c r="J152" s="2572"/>
      <c r="K152" s="2571"/>
      <c r="L152" s="2573"/>
      <c r="M152" s="2574"/>
      <c r="N152" s="2572"/>
      <c r="O152" s="2572"/>
      <c r="P152" s="2572"/>
      <c r="Q152" s="2572"/>
      <c r="R152" s="2572"/>
      <c r="S152" s="2572"/>
      <c r="T152" s="2575"/>
      <c r="U152" s="2573"/>
      <c r="V152" s="2570"/>
      <c r="W152" s="2571"/>
      <c r="X152" s="2571"/>
      <c r="Y152" s="2572"/>
      <c r="Z152" s="2572"/>
      <c r="AA152" s="2572"/>
      <c r="AB152" s="2571"/>
      <c r="AC152" s="2576"/>
      <c r="AD152" s="2573"/>
      <c r="AE152" s="2577">
        <f>SUM(E152:AC152)</f>
        <v>0</v>
      </c>
      <c r="AF152" s="2577"/>
      <c r="AG152" s="2578"/>
      <c r="AH152" s="2579">
        <f t="shared" ref="AH152:AH156" si="92">AE152+AF152</f>
        <v>0</v>
      </c>
      <c r="AI152" s="2580"/>
      <c r="AJ152" s="2581">
        <f>AH152+AI152</f>
        <v>0</v>
      </c>
      <c r="AK152" s="283"/>
      <c r="AL152" s="283"/>
      <c r="AM152" s="283"/>
    </row>
    <row r="153" spans="1:39" s="276" customFormat="1" ht="20.25">
      <c r="A153" s="2565"/>
      <c r="B153" s="2566"/>
      <c r="C153" s="2566"/>
      <c r="D153" s="444"/>
      <c r="E153" s="433"/>
      <c r="F153" s="434"/>
      <c r="G153" s="434"/>
      <c r="H153" s="434"/>
      <c r="I153" s="435"/>
      <c r="J153" s="435"/>
      <c r="K153" s="434"/>
      <c r="L153" s="483"/>
      <c r="M153" s="484"/>
      <c r="N153" s="435"/>
      <c r="O153" s="435"/>
      <c r="P153" s="435"/>
      <c r="Q153" s="435"/>
      <c r="R153" s="435"/>
      <c r="S153" s="435"/>
      <c r="T153" s="492"/>
      <c r="U153" s="483"/>
      <c r="V153" s="433"/>
      <c r="W153" s="434"/>
      <c r="X153" s="434"/>
      <c r="Y153" s="435"/>
      <c r="Z153" s="435"/>
      <c r="AA153" s="435"/>
      <c r="AB153" s="434"/>
      <c r="AC153" s="495"/>
      <c r="AD153" s="483"/>
      <c r="AE153" s="496">
        <f>SUM(E153:AC153)</f>
        <v>0</v>
      </c>
      <c r="AF153" s="497"/>
      <c r="AG153" s="510"/>
      <c r="AH153" s="511">
        <f t="shared" si="92"/>
        <v>0</v>
      </c>
      <c r="AI153" s="512"/>
      <c r="AJ153" s="513">
        <f t="shared" ref="AJ153:AJ156" si="93">AH153+AI153</f>
        <v>0</v>
      </c>
      <c r="AK153" s="283"/>
      <c r="AL153" s="283"/>
      <c r="AM153" s="283"/>
    </row>
    <row r="154" spans="1:39" s="276" customFormat="1" ht="20.25">
      <c r="A154" s="2562"/>
      <c r="B154" s="552"/>
      <c r="C154" s="552"/>
      <c r="D154" s="555"/>
      <c r="E154" s="325"/>
      <c r="F154" s="297"/>
      <c r="G154" s="297"/>
      <c r="H154" s="297"/>
      <c r="I154" s="298"/>
      <c r="J154" s="298"/>
      <c r="K154" s="297"/>
      <c r="L154" s="355"/>
      <c r="M154" s="343"/>
      <c r="N154" s="298"/>
      <c r="O154" s="298"/>
      <c r="P154" s="298"/>
      <c r="Q154" s="298"/>
      <c r="R154" s="298"/>
      <c r="S154" s="298"/>
      <c r="T154" s="367"/>
      <c r="U154" s="355"/>
      <c r="V154" s="325"/>
      <c r="W154" s="297"/>
      <c r="X154" s="297"/>
      <c r="Y154" s="298"/>
      <c r="Z154" s="298"/>
      <c r="AA154" s="298"/>
      <c r="AB154" s="297"/>
      <c r="AC154" s="375"/>
      <c r="AD154" s="355"/>
      <c r="AE154" s="376">
        <f>SUM(E154:AC154)</f>
        <v>0</v>
      </c>
      <c r="AF154" s="377"/>
      <c r="AG154" s="390"/>
      <c r="AH154" s="391">
        <f t="shared" si="92"/>
        <v>0</v>
      </c>
      <c r="AI154" s="412"/>
      <c r="AJ154" s="413">
        <f t="shared" si="93"/>
        <v>0</v>
      </c>
      <c r="AK154" s="283"/>
      <c r="AL154" s="283"/>
      <c r="AM154" s="283"/>
    </row>
    <row r="155" spans="1:39" s="234" customFormat="1" ht="20.25">
      <c r="A155" s="2561"/>
      <c r="B155" s="731"/>
      <c r="C155" s="731"/>
      <c r="D155" s="324"/>
      <c r="E155" s="325"/>
      <c r="F155" s="297"/>
      <c r="G155" s="297"/>
      <c r="H155" s="297"/>
      <c r="I155" s="298"/>
      <c r="J155" s="298"/>
      <c r="K155" s="297"/>
      <c r="L155" s="355"/>
      <c r="M155" s="343"/>
      <c r="N155" s="298"/>
      <c r="O155" s="298"/>
      <c r="P155" s="298"/>
      <c r="Q155" s="298"/>
      <c r="R155" s="298"/>
      <c r="S155" s="298"/>
      <c r="T155" s="367"/>
      <c r="U155" s="355"/>
      <c r="V155" s="325"/>
      <c r="W155" s="297"/>
      <c r="X155" s="297"/>
      <c r="Y155" s="298"/>
      <c r="Z155" s="298"/>
      <c r="AA155" s="298"/>
      <c r="AB155" s="297"/>
      <c r="AC155" s="375"/>
      <c r="AD155" s="355"/>
      <c r="AE155" s="376">
        <f>SUM(E155:AC155)</f>
        <v>0</v>
      </c>
      <c r="AF155" s="377"/>
      <c r="AG155" s="390"/>
      <c r="AH155" s="391">
        <f t="shared" si="92"/>
        <v>0</v>
      </c>
      <c r="AI155" s="412"/>
      <c r="AJ155" s="413">
        <f t="shared" si="93"/>
        <v>0</v>
      </c>
      <c r="AK155" s="283"/>
      <c r="AL155" s="283"/>
      <c r="AM155" s="283"/>
    </row>
    <row r="156" spans="1:39" s="276" customFormat="1" ht="21" thickBot="1">
      <c r="A156" s="2563"/>
      <c r="B156" s="2564"/>
      <c r="C156" s="2564"/>
      <c r="D156" s="301"/>
      <c r="E156" s="325"/>
      <c r="F156" s="297"/>
      <c r="G156" s="297"/>
      <c r="H156" s="297"/>
      <c r="I156" s="298"/>
      <c r="J156" s="298"/>
      <c r="K156" s="297"/>
      <c r="L156" s="355"/>
      <c r="M156" s="343"/>
      <c r="N156" s="298"/>
      <c r="O156" s="298"/>
      <c r="P156" s="298"/>
      <c r="Q156" s="298"/>
      <c r="R156" s="298"/>
      <c r="S156" s="298"/>
      <c r="T156" s="367"/>
      <c r="U156" s="355"/>
      <c r="V156" s="325"/>
      <c r="W156" s="297"/>
      <c r="X156" s="297"/>
      <c r="Y156" s="298"/>
      <c r="Z156" s="298"/>
      <c r="AA156" s="298"/>
      <c r="AB156" s="297"/>
      <c r="AC156" s="375"/>
      <c r="AD156" s="355"/>
      <c r="AE156" s="377">
        <f>SUM(E156:AC156)</f>
        <v>0</v>
      </c>
      <c r="AF156" s="377"/>
      <c r="AG156" s="390"/>
      <c r="AH156" s="507">
        <f t="shared" si="92"/>
        <v>0</v>
      </c>
      <c r="AI156" s="412"/>
      <c r="AJ156" s="508">
        <f t="shared" si="93"/>
        <v>0</v>
      </c>
      <c r="AK156" s="283"/>
      <c r="AL156" s="283"/>
      <c r="AM156" s="283"/>
    </row>
    <row r="157" spans="1:39" s="234" customFormat="1" ht="21" thickBot="1">
      <c r="A157" s="436"/>
      <c r="B157" s="437"/>
      <c r="C157" s="437"/>
      <c r="D157" s="438"/>
      <c r="E157" s="439">
        <f>SUM(E152:E156)</f>
        <v>0</v>
      </c>
      <c r="F157" s="440">
        <f>SUM(F152:F156)</f>
        <v>0</v>
      </c>
      <c r="G157" s="440">
        <f>SUM(G152:G156)</f>
        <v>0</v>
      </c>
      <c r="H157" s="440">
        <f t="shared" ref="H157:K157" si="94">SUM(H152:H156)</f>
        <v>0</v>
      </c>
      <c r="I157" s="440">
        <f t="shared" si="94"/>
        <v>0</v>
      </c>
      <c r="J157" s="440">
        <f t="shared" si="94"/>
        <v>0</v>
      </c>
      <c r="K157" s="440">
        <f t="shared" si="94"/>
        <v>0</v>
      </c>
      <c r="L157" s="482"/>
      <c r="M157" s="439">
        <f t="shared" ref="M157:T157" si="95">SUM(M152:M156)</f>
        <v>0</v>
      </c>
      <c r="N157" s="440">
        <f t="shared" si="95"/>
        <v>0</v>
      </c>
      <c r="O157" s="440">
        <f t="shared" si="95"/>
        <v>0</v>
      </c>
      <c r="P157" s="440">
        <f t="shared" si="95"/>
        <v>0</v>
      </c>
      <c r="Q157" s="440">
        <f t="shared" si="95"/>
        <v>0</v>
      </c>
      <c r="R157" s="440">
        <f t="shared" si="95"/>
        <v>0</v>
      </c>
      <c r="S157" s="440">
        <f t="shared" si="95"/>
        <v>0</v>
      </c>
      <c r="T157" s="481">
        <f t="shared" si="95"/>
        <v>0</v>
      </c>
      <c r="U157" s="482"/>
      <c r="V157" s="439">
        <f t="shared" ref="V157:AC157" si="96">SUM(V152:V156)</f>
        <v>0</v>
      </c>
      <c r="W157" s="440">
        <f t="shared" si="96"/>
        <v>0</v>
      </c>
      <c r="X157" s="440">
        <f t="shared" si="96"/>
        <v>0</v>
      </c>
      <c r="Y157" s="440">
        <f t="shared" si="96"/>
        <v>0</v>
      </c>
      <c r="Z157" s="440">
        <f t="shared" si="96"/>
        <v>0</v>
      </c>
      <c r="AA157" s="440">
        <f t="shared" si="96"/>
        <v>0</v>
      </c>
      <c r="AB157" s="440">
        <f t="shared" si="96"/>
        <v>0</v>
      </c>
      <c r="AC157" s="481">
        <f t="shared" si="96"/>
        <v>0</v>
      </c>
      <c r="AD157" s="482"/>
      <c r="AE157" s="494">
        <f>SUM(AE152:AE156)</f>
        <v>0</v>
      </c>
      <c r="AF157" s="494">
        <f>SUM(AF152:AF156)</f>
        <v>0</v>
      </c>
      <c r="AG157" s="509"/>
      <c r="AH157" s="514">
        <f>SUM(AH152:AH156)</f>
        <v>0</v>
      </c>
      <c r="AI157" s="494">
        <f>SUM(AI152:AI156)</f>
        <v>0</v>
      </c>
      <c r="AJ157" s="515">
        <f>SUM(AJ152:AJ156)</f>
        <v>0</v>
      </c>
      <c r="AK157" s="283"/>
      <c r="AL157" s="283"/>
      <c r="AM157" s="283"/>
    </row>
    <row r="158" spans="1:39" s="276" customFormat="1" ht="18.75">
      <c r="A158" s="522"/>
      <c r="B158" s="523"/>
      <c r="C158" s="523"/>
      <c r="D158" s="524"/>
      <c r="E158" s="525"/>
      <c r="F158" s="525"/>
      <c r="G158" s="525"/>
      <c r="H158" s="525"/>
      <c r="I158" s="525"/>
      <c r="J158" s="525"/>
      <c r="K158" s="525"/>
      <c r="L158" s="572"/>
      <c r="M158" s="573"/>
      <c r="N158" s="573"/>
      <c r="O158" s="573"/>
      <c r="P158" s="573"/>
      <c r="Q158" s="573"/>
      <c r="R158" s="573"/>
      <c r="S158" s="573"/>
      <c r="T158" s="573"/>
      <c r="U158" s="572"/>
      <c r="V158" s="573"/>
      <c r="W158" s="573"/>
      <c r="X158" s="573"/>
      <c r="Y158" s="573"/>
      <c r="Z158" s="573"/>
      <c r="AA158" s="573"/>
      <c r="AB158" s="573"/>
      <c r="AC158" s="573"/>
      <c r="AD158" s="572"/>
      <c r="AE158" s="573"/>
      <c r="AF158" s="573"/>
      <c r="AG158" s="599"/>
      <c r="AH158" s="573"/>
      <c r="AI158" s="573"/>
      <c r="AJ158" s="600"/>
      <c r="AK158" s="403"/>
      <c r="AL158" s="403"/>
      <c r="AM158" s="403"/>
    </row>
    <row r="159" spans="1:39" s="276" customFormat="1" ht="20.25">
      <c r="A159" s="526" t="s">
        <v>145</v>
      </c>
      <c r="B159" s="527"/>
      <c r="C159" s="527"/>
      <c r="D159" s="528"/>
      <c r="E159" s="529">
        <f>E4+E40+E70+E89+E107+E125+E133+E140+E149+E157</f>
        <v>0</v>
      </c>
      <c r="F159" s="529">
        <f t="shared" ref="F159:AJ159" si="97">F4+F40+F70+F89+F107+F125+F133+F140+F149+F157</f>
        <v>0</v>
      </c>
      <c r="G159" s="529">
        <f t="shared" si="97"/>
        <v>0</v>
      </c>
      <c r="H159" s="529">
        <f t="shared" si="97"/>
        <v>0</v>
      </c>
      <c r="I159" s="529">
        <f t="shared" si="97"/>
        <v>0</v>
      </c>
      <c r="J159" s="529">
        <f t="shared" si="97"/>
        <v>0</v>
      </c>
      <c r="K159" s="529">
        <f t="shared" si="97"/>
        <v>0</v>
      </c>
      <c r="L159" s="529">
        <f t="shared" si="97"/>
        <v>0</v>
      </c>
      <c r="M159" s="529">
        <f t="shared" si="97"/>
        <v>0</v>
      </c>
      <c r="N159" s="529">
        <f t="shared" si="97"/>
        <v>0</v>
      </c>
      <c r="O159" s="529">
        <f t="shared" si="97"/>
        <v>0</v>
      </c>
      <c r="P159" s="529">
        <f t="shared" si="97"/>
        <v>0</v>
      </c>
      <c r="Q159" s="529">
        <f t="shared" si="97"/>
        <v>0</v>
      </c>
      <c r="R159" s="529">
        <f t="shared" si="97"/>
        <v>0</v>
      </c>
      <c r="S159" s="529">
        <f t="shared" si="97"/>
        <v>0</v>
      </c>
      <c r="T159" s="529">
        <f t="shared" si="97"/>
        <v>0</v>
      </c>
      <c r="U159" s="529">
        <f t="shared" si="97"/>
        <v>0</v>
      </c>
      <c r="V159" s="529">
        <f t="shared" si="97"/>
        <v>0</v>
      </c>
      <c r="W159" s="529">
        <f t="shared" si="97"/>
        <v>0</v>
      </c>
      <c r="X159" s="529">
        <f t="shared" si="97"/>
        <v>0</v>
      </c>
      <c r="Y159" s="529">
        <f t="shared" si="97"/>
        <v>0</v>
      </c>
      <c r="Z159" s="529">
        <f t="shared" si="97"/>
        <v>0</v>
      </c>
      <c r="AA159" s="529">
        <f t="shared" si="97"/>
        <v>0</v>
      </c>
      <c r="AB159" s="529">
        <f t="shared" si="97"/>
        <v>0</v>
      </c>
      <c r="AC159" s="529">
        <f t="shared" si="97"/>
        <v>0</v>
      </c>
      <c r="AD159" s="529">
        <f t="shared" si="97"/>
        <v>0</v>
      </c>
      <c r="AE159" s="529">
        <f t="shared" si="97"/>
        <v>0</v>
      </c>
      <c r="AF159" s="529">
        <f t="shared" si="97"/>
        <v>0</v>
      </c>
      <c r="AG159" s="529">
        <f t="shared" si="97"/>
        <v>0</v>
      </c>
      <c r="AH159" s="529">
        <f t="shared" si="97"/>
        <v>0</v>
      </c>
      <c r="AI159" s="529">
        <f t="shared" si="97"/>
        <v>0</v>
      </c>
      <c r="AJ159" s="529">
        <f t="shared" si="97"/>
        <v>0</v>
      </c>
      <c r="AK159"/>
      <c r="AL159"/>
      <c r="AM159"/>
    </row>
    <row r="160" spans="1:39" s="234" customFormat="1" ht="20.25">
      <c r="A160" s="530" t="s">
        <v>152</v>
      </c>
      <c r="B160" s="531"/>
      <c r="C160" s="531"/>
      <c r="D160" s="532"/>
      <c r="E160" s="533">
        <f>E159/6</f>
        <v>0</v>
      </c>
      <c r="F160" s="533">
        <f t="shared" ref="F160:G160" si="98">F159/6</f>
        <v>0</v>
      </c>
      <c r="G160" s="533">
        <f t="shared" si="98"/>
        <v>0</v>
      </c>
      <c r="H160" s="533">
        <f>H159/6</f>
        <v>0</v>
      </c>
      <c r="I160" s="533">
        <f t="shared" ref="I160:K160" si="99">I159/6</f>
        <v>0</v>
      </c>
      <c r="J160" s="533">
        <f t="shared" si="99"/>
        <v>0</v>
      </c>
      <c r="K160" s="533">
        <f t="shared" si="99"/>
        <v>0</v>
      </c>
      <c r="L160" s="533">
        <f t="shared" ref="L160:AJ160" si="100">L159/16</f>
        <v>0</v>
      </c>
      <c r="M160" s="533">
        <f>M159/16</f>
        <v>0</v>
      </c>
      <c r="N160" s="533">
        <f t="shared" si="100"/>
        <v>0</v>
      </c>
      <c r="O160" s="533">
        <f t="shared" si="100"/>
        <v>0</v>
      </c>
      <c r="P160" s="533">
        <f t="shared" si="100"/>
        <v>0</v>
      </c>
      <c r="Q160" s="533">
        <f t="shared" si="100"/>
        <v>0</v>
      </c>
      <c r="R160" s="533">
        <f t="shared" si="100"/>
        <v>0</v>
      </c>
      <c r="S160" s="533">
        <f t="shared" si="100"/>
        <v>0</v>
      </c>
      <c r="T160" s="533">
        <f t="shared" si="100"/>
        <v>0</v>
      </c>
      <c r="U160" s="533">
        <f t="shared" si="100"/>
        <v>0</v>
      </c>
      <c r="V160" s="533">
        <f t="shared" si="100"/>
        <v>0</v>
      </c>
      <c r="W160" s="533">
        <f t="shared" si="100"/>
        <v>0</v>
      </c>
      <c r="X160" s="533">
        <f t="shared" si="100"/>
        <v>0</v>
      </c>
      <c r="Y160" s="533">
        <f t="shared" si="100"/>
        <v>0</v>
      </c>
      <c r="Z160" s="533">
        <f t="shared" si="100"/>
        <v>0</v>
      </c>
      <c r="AA160" s="533">
        <f t="shared" si="100"/>
        <v>0</v>
      </c>
      <c r="AB160" s="533">
        <f t="shared" si="100"/>
        <v>0</v>
      </c>
      <c r="AC160" s="533">
        <f t="shared" si="100"/>
        <v>0</v>
      </c>
      <c r="AD160" s="533">
        <f t="shared" si="100"/>
        <v>0</v>
      </c>
      <c r="AE160" s="533">
        <f t="shared" si="100"/>
        <v>0</v>
      </c>
      <c r="AF160" s="533">
        <f t="shared" si="100"/>
        <v>0</v>
      </c>
      <c r="AG160" s="533">
        <f t="shared" si="100"/>
        <v>0</v>
      </c>
      <c r="AH160" s="533">
        <f t="shared" si="100"/>
        <v>0</v>
      </c>
      <c r="AI160" s="533">
        <f t="shared" si="100"/>
        <v>0</v>
      </c>
      <c r="AJ160" s="533">
        <f t="shared" si="100"/>
        <v>0</v>
      </c>
      <c r="AK160"/>
      <c r="AL160"/>
      <c r="AM160"/>
    </row>
    <row r="161" spans="1:39" s="234" customFormat="1" ht="23.25">
      <c r="A161" s="3755" t="s">
        <v>147</v>
      </c>
      <c r="B161" s="3755"/>
      <c r="C161" s="3755"/>
      <c r="D161" s="3755"/>
      <c r="E161" s="3756"/>
      <c r="F161" s="3756"/>
      <c r="G161" s="3756"/>
      <c r="H161" s="3756"/>
      <c r="I161" s="3756"/>
      <c r="J161" s="3756"/>
      <c r="K161" s="3756"/>
      <c r="L161" s="3755"/>
      <c r="M161" s="3755"/>
      <c r="N161" s="3755"/>
      <c r="O161" s="3755"/>
      <c r="P161" s="3755"/>
      <c r="Q161" s="3755"/>
      <c r="R161" s="3755"/>
      <c r="S161" s="3755"/>
      <c r="T161" s="3755"/>
      <c r="U161" s="3755"/>
      <c r="V161" s="3755"/>
      <c r="W161" s="3755"/>
      <c r="X161" s="3755"/>
      <c r="Y161" s="3755"/>
      <c r="Z161" s="3755"/>
      <c r="AA161" s="3755"/>
      <c r="AB161" s="3755"/>
      <c r="AC161" s="3755"/>
      <c r="AD161" s="3755"/>
      <c r="AE161" s="3755"/>
      <c r="AF161" s="3755"/>
      <c r="AG161" s="3755"/>
      <c r="AH161" s="3755"/>
      <c r="AI161" s="3755"/>
      <c r="AJ161" s="3755"/>
      <c r="AK161" s="1"/>
      <c r="AL161" s="1"/>
      <c r="AM161" s="1"/>
    </row>
    <row r="162" spans="1:39" s="234" customFormat="1" ht="23.25">
      <c r="A162" s="3888" t="s">
        <v>4</v>
      </c>
      <c r="B162" s="3889"/>
      <c r="C162" s="3889"/>
      <c r="D162" s="3896"/>
      <c r="E162" s="3891" t="s">
        <v>263</v>
      </c>
      <c r="F162" s="3892"/>
      <c r="G162" s="3892"/>
      <c r="H162" s="3892"/>
      <c r="I162" s="3892"/>
      <c r="J162" s="3892"/>
      <c r="K162" s="3892"/>
      <c r="L162" s="336"/>
      <c r="M162" s="3893" t="s">
        <v>253</v>
      </c>
      <c r="N162" s="3894"/>
      <c r="O162" s="3894"/>
      <c r="P162" s="3894"/>
      <c r="Q162" s="3894"/>
      <c r="R162" s="3894"/>
      <c r="S162" s="3894"/>
      <c r="T162" s="3895"/>
      <c r="U162" s="364"/>
      <c r="V162" s="3893"/>
      <c r="W162" s="3894"/>
      <c r="X162" s="3894"/>
      <c r="Y162" s="3894"/>
      <c r="Z162" s="3894"/>
      <c r="AA162" s="3894"/>
      <c r="AB162" s="3894"/>
      <c r="AC162" s="3895"/>
      <c r="AD162" s="364"/>
      <c r="AE162" s="3893"/>
      <c r="AF162" s="3894"/>
      <c r="AG162" s="3894"/>
      <c r="AH162" s="3894"/>
      <c r="AI162" s="3894"/>
      <c r="AJ162" s="3895"/>
      <c r="AK162"/>
      <c r="AL162"/>
      <c r="AM162"/>
    </row>
    <row r="163" spans="1:39" s="234" customFormat="1" ht="30.75" thickBot="1">
      <c r="A163" s="535" t="s">
        <v>148</v>
      </c>
      <c r="B163" s="749" t="s">
        <v>68</v>
      </c>
      <c r="C163" s="536" t="s">
        <v>69</v>
      </c>
      <c r="D163" s="536" t="s">
        <v>70</v>
      </c>
      <c r="E163" s="750" t="s">
        <v>86</v>
      </c>
      <c r="F163" s="751" t="s">
        <v>85</v>
      </c>
      <c r="G163" s="752" t="s">
        <v>258</v>
      </c>
      <c r="H163" s="753" t="s">
        <v>252</v>
      </c>
      <c r="I163" s="753" t="s">
        <v>255</v>
      </c>
      <c r="J163" s="759" t="s">
        <v>53</v>
      </c>
      <c r="K163" s="760" t="s">
        <v>80</v>
      </c>
      <c r="L163" s="578"/>
      <c r="M163" s="750" t="s">
        <v>71</v>
      </c>
      <c r="N163" s="752" t="s">
        <v>72</v>
      </c>
      <c r="O163" s="753" t="s">
        <v>118</v>
      </c>
      <c r="P163" s="759" t="s">
        <v>95</v>
      </c>
      <c r="Q163" s="751" t="s">
        <v>75</v>
      </c>
      <c r="R163" s="751" t="s">
        <v>53</v>
      </c>
      <c r="S163" s="752" t="s">
        <v>77</v>
      </c>
      <c r="T163" s="763" t="s">
        <v>239</v>
      </c>
      <c r="U163" s="578"/>
      <c r="V163" s="764" t="str">
        <f>V3</f>
        <v>S-W</v>
      </c>
      <c r="W163" s="765" t="str">
        <f>W3</f>
        <v>C-W</v>
      </c>
      <c r="X163" s="766" t="s">
        <v>260</v>
      </c>
      <c r="Y163" s="770" t="str">
        <f>Y127</f>
        <v>BLACK</v>
      </c>
      <c r="Z163" s="770" t="str">
        <f>Z127</f>
        <v>Karara</v>
      </c>
      <c r="AA163" s="765" t="str">
        <f>AA127</f>
        <v>B-Brown</v>
      </c>
      <c r="AB163" s="771" t="s">
        <v>257</v>
      </c>
      <c r="AC163" s="772" t="str">
        <f>AC3</f>
        <v>Karara</v>
      </c>
      <c r="AD163" s="589"/>
      <c r="AE163" s="590" t="s">
        <v>172</v>
      </c>
      <c r="AF163" s="591" t="s">
        <v>80</v>
      </c>
      <c r="AG163" s="602" t="s">
        <v>150</v>
      </c>
      <c r="AH163" s="603" t="s">
        <v>106</v>
      </c>
      <c r="AI163" s="602" t="s">
        <v>173</v>
      </c>
      <c r="AJ163" s="604" t="s">
        <v>108</v>
      </c>
      <c r="AK163" s="276"/>
      <c r="AL163" s="276"/>
      <c r="AM163" s="276"/>
    </row>
    <row r="164" spans="1:39" s="234" customFormat="1" ht="20.25">
      <c r="A164" s="537"/>
      <c r="B164" s="545"/>
      <c r="C164" s="539"/>
      <c r="D164" s="544"/>
      <c r="E164" s="332"/>
      <c r="F164" s="333"/>
      <c r="G164" s="333"/>
      <c r="H164" s="333"/>
      <c r="I164" s="334"/>
      <c r="J164" s="334"/>
      <c r="K164" s="333"/>
      <c r="L164" s="352"/>
      <c r="M164" s="353"/>
      <c r="N164" s="321"/>
      <c r="O164" s="321"/>
      <c r="P164" s="321"/>
      <c r="Q164" s="321"/>
      <c r="R164" s="321"/>
      <c r="S164" s="321"/>
      <c r="T164" s="363"/>
      <c r="U164" s="352"/>
      <c r="V164" s="353"/>
      <c r="W164" s="321"/>
      <c r="X164" s="321"/>
      <c r="Y164" s="321"/>
      <c r="Z164" s="321"/>
      <c r="AA164" s="321"/>
      <c r="AB164" s="321"/>
      <c r="AC164" s="380"/>
      <c r="AD164" s="352"/>
      <c r="AE164" s="408">
        <f t="shared" ref="AE164:AE186" si="101">SUM(E164:AC164)</f>
        <v>0</v>
      </c>
      <c r="AF164" s="409"/>
      <c r="AG164" s="408"/>
      <c r="AH164" s="409">
        <f t="shared" ref="AH164:AH215" si="102">AE164+AF164+AG164</f>
        <v>0</v>
      </c>
      <c r="AI164" s="410"/>
      <c r="AJ164" s="411">
        <f t="shared" ref="AJ164:AJ215" si="103">AH164+AI164</f>
        <v>0</v>
      </c>
    </row>
    <row r="165" spans="1:39" s="234" customFormat="1" ht="20.25">
      <c r="A165" s="537"/>
      <c r="B165" s="538"/>
      <c r="C165" s="539"/>
      <c r="D165" s="544"/>
      <c r="E165" s="319"/>
      <c r="F165" s="320"/>
      <c r="G165" s="320"/>
      <c r="H165" s="320"/>
      <c r="I165" s="321"/>
      <c r="J165" s="321"/>
      <c r="K165" s="320"/>
      <c r="L165" s="352"/>
      <c r="M165" s="353"/>
      <c r="N165" s="321"/>
      <c r="O165" s="321"/>
      <c r="P165" s="321"/>
      <c r="Q165" s="321"/>
      <c r="R165" s="321"/>
      <c r="S165" s="321"/>
      <c r="T165" s="363"/>
      <c r="U165" s="580"/>
      <c r="V165" s="581"/>
      <c r="W165" s="543"/>
      <c r="X165" s="543"/>
      <c r="Y165" s="543"/>
      <c r="Z165" s="543"/>
      <c r="AA165" s="543"/>
      <c r="AB165" s="543"/>
      <c r="AC165" s="592"/>
      <c r="AD165" s="580"/>
      <c r="AE165" s="593">
        <f t="shared" si="101"/>
        <v>0</v>
      </c>
      <c r="AF165" s="594"/>
      <c r="AG165" s="593"/>
      <c r="AH165" s="594">
        <f t="shared" si="102"/>
        <v>0</v>
      </c>
      <c r="AI165" s="605"/>
      <c r="AJ165" s="606">
        <f t="shared" si="103"/>
        <v>0</v>
      </c>
      <c r="AK165" s="276"/>
      <c r="AL165" s="276"/>
      <c r="AM165" s="276"/>
    </row>
    <row r="166" spans="1:39" s="234" customFormat="1" ht="20.25">
      <c r="A166" s="551"/>
      <c r="B166" s="552"/>
      <c r="C166" s="553"/>
      <c r="D166" s="544"/>
      <c r="E166" s="541"/>
      <c r="F166" s="542"/>
      <c r="G166" s="542"/>
      <c r="H166" s="542"/>
      <c r="I166" s="543"/>
      <c r="J166" s="543"/>
      <c r="K166" s="542"/>
      <c r="L166" s="580"/>
      <c r="M166" s="581"/>
      <c r="N166" s="543"/>
      <c r="O166" s="543"/>
      <c r="P166" s="543"/>
      <c r="Q166" s="543"/>
      <c r="R166" s="543"/>
      <c r="S166" s="543"/>
      <c r="T166" s="767"/>
      <c r="U166" s="580"/>
      <c r="V166" s="581"/>
      <c r="W166" s="543"/>
      <c r="X166" s="543"/>
      <c r="Y166" s="543"/>
      <c r="Z166" s="543"/>
      <c r="AA166" s="543"/>
      <c r="AB166" s="543"/>
      <c r="AC166" s="592"/>
      <c r="AD166" s="580"/>
      <c r="AE166" s="593">
        <f t="shared" si="101"/>
        <v>0</v>
      </c>
      <c r="AF166" s="594"/>
      <c r="AG166" s="593"/>
      <c r="AH166" s="594">
        <f t="shared" si="102"/>
        <v>0</v>
      </c>
      <c r="AI166" s="605"/>
      <c r="AJ166" s="606">
        <f t="shared" si="103"/>
        <v>0</v>
      </c>
      <c r="AK166" s="276"/>
      <c r="AL166" s="276"/>
      <c r="AM166" s="276"/>
    </row>
    <row r="167" spans="1:39" s="234" customFormat="1" ht="20.25">
      <c r="A167" s="537"/>
      <c r="B167" s="538"/>
      <c r="C167" s="539"/>
      <c r="D167" s="540"/>
      <c r="E167" s="541"/>
      <c r="F167" s="542"/>
      <c r="G167" s="542"/>
      <c r="H167" s="542"/>
      <c r="I167" s="543"/>
      <c r="J167" s="543"/>
      <c r="K167" s="542"/>
      <c r="L167" s="580"/>
      <c r="M167" s="581"/>
      <c r="N167" s="543"/>
      <c r="O167" s="543"/>
      <c r="P167" s="543"/>
      <c r="Q167" s="543"/>
      <c r="R167" s="543"/>
      <c r="S167" s="543"/>
      <c r="T167" s="767"/>
      <c r="U167" s="352"/>
      <c r="V167" s="353"/>
      <c r="W167" s="321"/>
      <c r="X167" s="321"/>
      <c r="Y167" s="321"/>
      <c r="Z167" s="321"/>
      <c r="AA167" s="321"/>
      <c r="AB167" s="321"/>
      <c r="AC167" s="380"/>
      <c r="AD167" s="352"/>
      <c r="AE167" s="593">
        <f t="shared" si="101"/>
        <v>0</v>
      </c>
      <c r="AF167" s="409"/>
      <c r="AG167" s="408"/>
      <c r="AH167" s="409">
        <f t="shared" si="102"/>
        <v>0</v>
      </c>
      <c r="AI167" s="410"/>
      <c r="AJ167" s="411">
        <f t="shared" si="103"/>
        <v>0</v>
      </c>
    </row>
    <row r="168" spans="1:39" s="234" customFormat="1" ht="20.25">
      <c r="A168" s="537"/>
      <c r="B168" s="552"/>
      <c r="C168" s="565"/>
      <c r="D168" s="566"/>
      <c r="E168" s="541"/>
      <c r="F168" s="542"/>
      <c r="G168" s="542"/>
      <c r="H168" s="542"/>
      <c r="I168" s="543"/>
      <c r="J168" s="543"/>
      <c r="K168" s="542"/>
      <c r="L168" s="580"/>
      <c r="M168" s="581"/>
      <c r="N168" s="543"/>
      <c r="O168" s="543"/>
      <c r="P168" s="543"/>
      <c r="Q168" s="543"/>
      <c r="R168" s="543"/>
      <c r="S168" s="543"/>
      <c r="T168" s="767"/>
      <c r="U168" s="580"/>
      <c r="V168" s="581"/>
      <c r="W168" s="543"/>
      <c r="X168" s="543"/>
      <c r="Y168" s="543"/>
      <c r="Z168" s="543"/>
      <c r="AA168" s="543"/>
      <c r="AB168" s="543"/>
      <c r="AC168" s="592"/>
      <c r="AD168" s="580"/>
      <c r="AE168" s="593">
        <f t="shared" si="101"/>
        <v>0</v>
      </c>
      <c r="AF168" s="594"/>
      <c r="AG168" s="593"/>
      <c r="AH168" s="594">
        <f t="shared" si="102"/>
        <v>0</v>
      </c>
      <c r="AI168" s="605"/>
      <c r="AJ168" s="606">
        <f t="shared" si="103"/>
        <v>0</v>
      </c>
      <c r="AK168" s="276"/>
      <c r="AL168" s="276"/>
      <c r="AM168" s="276"/>
    </row>
    <row r="169" spans="1:39" s="234" customFormat="1" ht="20.25">
      <c r="A169" s="537"/>
      <c r="B169" s="552"/>
      <c r="C169" s="570"/>
      <c r="D169" s="571"/>
      <c r="E169" s="541"/>
      <c r="F169" s="542"/>
      <c r="G169" s="542"/>
      <c r="H169" s="542"/>
      <c r="I169" s="543"/>
      <c r="J169" s="543"/>
      <c r="K169" s="542"/>
      <c r="L169" s="580"/>
      <c r="M169" s="581"/>
      <c r="N169" s="543"/>
      <c r="O169" s="543"/>
      <c r="P169" s="543"/>
      <c r="Q169" s="543"/>
      <c r="R169" s="543"/>
      <c r="S169" s="543"/>
      <c r="T169" s="767"/>
      <c r="U169" s="352"/>
      <c r="V169" s="353"/>
      <c r="W169" s="321"/>
      <c r="X169" s="321"/>
      <c r="Y169" s="321"/>
      <c r="Z169" s="321"/>
      <c r="AA169" s="321"/>
      <c r="AB169" s="321"/>
      <c r="AC169" s="380"/>
      <c r="AD169" s="352"/>
      <c r="AE169" s="408">
        <f t="shared" si="101"/>
        <v>0</v>
      </c>
      <c r="AF169" s="409"/>
      <c r="AG169" s="408"/>
      <c r="AH169" s="409">
        <f t="shared" si="102"/>
        <v>0</v>
      </c>
      <c r="AI169" s="410"/>
      <c r="AJ169" s="411">
        <f t="shared" si="103"/>
        <v>0</v>
      </c>
    </row>
    <row r="170" spans="1:39" s="234" customFormat="1" ht="20.25">
      <c r="A170" s="537"/>
      <c r="B170" s="565"/>
      <c r="C170" s="565"/>
      <c r="D170" s="566"/>
      <c r="E170" s="319"/>
      <c r="F170" s="320"/>
      <c r="G170" s="320"/>
      <c r="H170" s="320"/>
      <c r="I170" s="321"/>
      <c r="J170" s="321"/>
      <c r="K170" s="320"/>
      <c r="L170" s="352"/>
      <c r="M170" s="353"/>
      <c r="N170" s="321"/>
      <c r="O170" s="321"/>
      <c r="P170" s="321"/>
      <c r="Q170" s="321"/>
      <c r="R170" s="321"/>
      <c r="S170" s="321"/>
      <c r="T170" s="363"/>
      <c r="U170" s="580"/>
      <c r="V170" s="581"/>
      <c r="W170" s="543"/>
      <c r="X170" s="543"/>
      <c r="Y170" s="543"/>
      <c r="Z170" s="543"/>
      <c r="AA170" s="543"/>
      <c r="AB170" s="543"/>
      <c r="AC170" s="592"/>
      <c r="AD170" s="580"/>
      <c r="AE170" s="593">
        <f t="shared" si="101"/>
        <v>0</v>
      </c>
      <c r="AF170" s="594"/>
      <c r="AG170" s="593"/>
      <c r="AH170" s="594">
        <f t="shared" si="102"/>
        <v>0</v>
      </c>
      <c r="AI170" s="605"/>
      <c r="AJ170" s="606">
        <f t="shared" si="103"/>
        <v>0</v>
      </c>
      <c r="AK170" s="276"/>
      <c r="AL170" s="276"/>
      <c r="AM170" s="276"/>
    </row>
    <row r="171" spans="1:39" s="234" customFormat="1" ht="20.25">
      <c r="A171" s="537"/>
      <c r="B171" s="565"/>
      <c r="C171" s="565"/>
      <c r="D171" s="566"/>
      <c r="E171" s="541"/>
      <c r="F171" s="542"/>
      <c r="G171" s="542"/>
      <c r="H171" s="542"/>
      <c r="I171" s="543"/>
      <c r="J171" s="543"/>
      <c r="K171" s="542"/>
      <c r="L171" s="580"/>
      <c r="M171" s="581"/>
      <c r="N171" s="543"/>
      <c r="O171" s="543"/>
      <c r="P171" s="543"/>
      <c r="Q171" s="543"/>
      <c r="R171" s="543"/>
      <c r="S171" s="543"/>
      <c r="T171" s="767"/>
      <c r="U171" s="580"/>
      <c r="V171" s="581"/>
      <c r="W171" s="543"/>
      <c r="X171" s="543"/>
      <c r="Y171" s="543"/>
      <c r="Z171" s="543"/>
      <c r="AA171" s="543"/>
      <c r="AB171" s="543"/>
      <c r="AC171" s="592"/>
      <c r="AD171" s="580"/>
      <c r="AE171" s="593">
        <f t="shared" si="101"/>
        <v>0</v>
      </c>
      <c r="AF171" s="594"/>
      <c r="AG171" s="593"/>
      <c r="AH171" s="594">
        <f t="shared" si="102"/>
        <v>0</v>
      </c>
      <c r="AI171" s="605"/>
      <c r="AJ171" s="606">
        <f t="shared" si="103"/>
        <v>0</v>
      </c>
    </row>
    <row r="172" spans="1:39" s="234" customFormat="1" ht="20.25">
      <c r="A172" s="537"/>
      <c r="B172" s="565"/>
      <c r="C172" s="570"/>
      <c r="D172" s="571"/>
      <c r="E172" s="541"/>
      <c r="F172" s="542"/>
      <c r="G172" s="542"/>
      <c r="H172" s="542"/>
      <c r="I172" s="543"/>
      <c r="J172" s="543"/>
      <c r="K172" s="542"/>
      <c r="L172" s="580"/>
      <c r="M172" s="581"/>
      <c r="N172" s="543"/>
      <c r="O172" s="543"/>
      <c r="P172" s="543"/>
      <c r="Q172" s="543"/>
      <c r="R172" s="543"/>
      <c r="S172" s="543"/>
      <c r="T172" s="767"/>
      <c r="U172" s="352"/>
      <c r="V172" s="353"/>
      <c r="W172" s="321"/>
      <c r="X172" s="321"/>
      <c r="Y172" s="321"/>
      <c r="Z172" s="321"/>
      <c r="AA172" s="321"/>
      <c r="AB172" s="321"/>
      <c r="AC172" s="380"/>
      <c r="AD172" s="352"/>
      <c r="AE172" s="408">
        <f t="shared" si="101"/>
        <v>0</v>
      </c>
      <c r="AF172" s="409"/>
      <c r="AG172" s="408"/>
      <c r="AH172" s="409">
        <f t="shared" si="102"/>
        <v>0</v>
      </c>
      <c r="AI172" s="410"/>
      <c r="AJ172" s="411">
        <f t="shared" si="103"/>
        <v>0</v>
      </c>
      <c r="AK172" s="276"/>
      <c r="AL172" s="276"/>
      <c r="AM172" s="276"/>
    </row>
    <row r="173" spans="1:39" s="234" customFormat="1" ht="20.25">
      <c r="A173" s="551"/>
      <c r="B173" s="552"/>
      <c r="C173" s="553"/>
      <c r="D173" s="544"/>
      <c r="E173" s="319"/>
      <c r="F173" s="320"/>
      <c r="G173" s="320"/>
      <c r="H173" s="320"/>
      <c r="I173" s="321"/>
      <c r="J173" s="321"/>
      <c r="K173" s="320"/>
      <c r="L173" s="352"/>
      <c r="M173" s="353"/>
      <c r="N173" s="321"/>
      <c r="O173" s="321"/>
      <c r="P173" s="321"/>
      <c r="Q173" s="321"/>
      <c r="R173" s="321"/>
      <c r="S173" s="321"/>
      <c r="T173" s="363"/>
      <c r="U173" s="580"/>
      <c r="V173" s="581"/>
      <c r="W173" s="543"/>
      <c r="X173" s="543"/>
      <c r="Y173" s="543"/>
      <c r="Z173" s="543"/>
      <c r="AA173" s="543"/>
      <c r="AB173" s="543"/>
      <c r="AC173" s="592"/>
      <c r="AD173" s="580"/>
      <c r="AE173" s="593">
        <f t="shared" si="101"/>
        <v>0</v>
      </c>
      <c r="AF173" s="594"/>
      <c r="AG173" s="593"/>
      <c r="AH173" s="594">
        <f t="shared" si="102"/>
        <v>0</v>
      </c>
      <c r="AI173" s="605"/>
      <c r="AJ173" s="606">
        <f t="shared" si="103"/>
        <v>0</v>
      </c>
    </row>
    <row r="174" spans="1:39" s="234" customFormat="1" ht="20.25">
      <c r="A174" s="551"/>
      <c r="B174" s="565"/>
      <c r="C174" s="570"/>
      <c r="D174" s="571"/>
      <c r="E174" s="541"/>
      <c r="F174" s="542"/>
      <c r="G174" s="542"/>
      <c r="H174" s="542"/>
      <c r="I174" s="543"/>
      <c r="J174" s="543"/>
      <c r="K174" s="542"/>
      <c r="L174" s="580"/>
      <c r="M174" s="581"/>
      <c r="N174" s="543"/>
      <c r="O174" s="543"/>
      <c r="P174" s="543"/>
      <c r="Q174" s="543"/>
      <c r="R174" s="543"/>
      <c r="S174" s="543"/>
      <c r="T174" s="767"/>
      <c r="U174" s="352"/>
      <c r="V174" s="353"/>
      <c r="W174" s="321"/>
      <c r="X174" s="321"/>
      <c r="Y174" s="321"/>
      <c r="Z174" s="321"/>
      <c r="AA174" s="321"/>
      <c r="AB174" s="321"/>
      <c r="AC174" s="380"/>
      <c r="AD174" s="352"/>
      <c r="AE174" s="408">
        <f t="shared" si="101"/>
        <v>0</v>
      </c>
      <c r="AF174" s="409"/>
      <c r="AG174" s="408"/>
      <c r="AH174" s="409">
        <f t="shared" si="102"/>
        <v>0</v>
      </c>
      <c r="AI174" s="410"/>
      <c r="AJ174" s="411">
        <f t="shared" si="103"/>
        <v>0</v>
      </c>
      <c r="AK174" s="276"/>
      <c r="AL174" s="276"/>
      <c r="AM174" s="276"/>
    </row>
    <row r="175" spans="1:39" s="234" customFormat="1" ht="20.25">
      <c r="A175" s="551"/>
      <c r="B175" s="565"/>
      <c r="C175" s="565"/>
      <c r="D175" s="566"/>
      <c r="E175" s="319"/>
      <c r="F175" s="320"/>
      <c r="G175" s="320"/>
      <c r="H175" s="320"/>
      <c r="I175" s="321"/>
      <c r="J175" s="321"/>
      <c r="K175" s="320"/>
      <c r="L175" s="352"/>
      <c r="M175" s="353"/>
      <c r="N175" s="321"/>
      <c r="O175" s="321"/>
      <c r="P175" s="321"/>
      <c r="Q175" s="321"/>
      <c r="R175" s="321"/>
      <c r="S175" s="321"/>
      <c r="T175" s="363"/>
      <c r="U175" s="580"/>
      <c r="V175" s="581"/>
      <c r="W175" s="543"/>
      <c r="X175" s="543"/>
      <c r="Y175" s="543"/>
      <c r="Z175" s="543"/>
      <c r="AA175" s="543"/>
      <c r="AB175" s="543"/>
      <c r="AC175" s="592"/>
      <c r="AD175" s="580"/>
      <c r="AE175" s="593">
        <f t="shared" si="101"/>
        <v>0</v>
      </c>
      <c r="AF175" s="594"/>
      <c r="AG175" s="593"/>
      <c r="AH175" s="594">
        <f t="shared" si="102"/>
        <v>0</v>
      </c>
      <c r="AI175" s="605"/>
      <c r="AJ175" s="606">
        <f t="shared" si="103"/>
        <v>0</v>
      </c>
      <c r="AK175" s="276"/>
      <c r="AL175" s="276"/>
      <c r="AM175" s="276"/>
    </row>
    <row r="176" spans="1:39" s="234" customFormat="1" ht="20.25">
      <c r="A176" s="551"/>
      <c r="B176" s="565"/>
      <c r="C176" s="565"/>
      <c r="D176" s="566"/>
      <c r="E176" s="319"/>
      <c r="F176" s="320"/>
      <c r="G176" s="320"/>
      <c r="H176" s="320"/>
      <c r="I176" s="321"/>
      <c r="J176" s="321"/>
      <c r="K176" s="320"/>
      <c r="L176" s="352"/>
      <c r="M176" s="353"/>
      <c r="N176" s="321"/>
      <c r="O176" s="321"/>
      <c r="P176" s="321"/>
      <c r="Q176" s="321"/>
      <c r="R176" s="321"/>
      <c r="S176" s="321"/>
      <c r="T176" s="363"/>
      <c r="U176" s="580"/>
      <c r="V176" s="581"/>
      <c r="W176" s="543"/>
      <c r="X176" s="543"/>
      <c r="Y176" s="543"/>
      <c r="Z176" s="543"/>
      <c r="AA176" s="543"/>
      <c r="AB176" s="543"/>
      <c r="AC176" s="592"/>
      <c r="AD176" s="580"/>
      <c r="AE176" s="593">
        <f t="shared" ref="AE176" si="104">SUM(E176:AC176)</f>
        <v>0</v>
      </c>
      <c r="AF176" s="594"/>
      <c r="AG176" s="593"/>
      <c r="AH176" s="594">
        <f t="shared" ref="AH176" si="105">AE176+AF176+AG176</f>
        <v>0</v>
      </c>
      <c r="AI176" s="605"/>
      <c r="AJ176" s="606">
        <f t="shared" ref="AJ176" si="106">AH176+AI176</f>
        <v>0</v>
      </c>
    </row>
    <row r="177" spans="1:36" s="234" customFormat="1" ht="20.25">
      <c r="A177" s="551"/>
      <c r="B177" s="570"/>
      <c r="C177" s="570"/>
      <c r="D177" s="571"/>
      <c r="E177" s="541"/>
      <c r="F177" s="542"/>
      <c r="G177" s="542"/>
      <c r="H177" s="542"/>
      <c r="I177" s="543"/>
      <c r="J177" s="543"/>
      <c r="K177" s="542"/>
      <c r="L177" s="580"/>
      <c r="M177" s="581"/>
      <c r="N177" s="543"/>
      <c r="O177" s="543"/>
      <c r="P177" s="543"/>
      <c r="Q177" s="543"/>
      <c r="R177" s="543"/>
      <c r="S177" s="543"/>
      <c r="T177" s="767"/>
      <c r="U177" s="352"/>
      <c r="V177" s="353"/>
      <c r="W177" s="321"/>
      <c r="X177" s="321"/>
      <c r="Y177" s="321"/>
      <c r="Z177" s="321"/>
      <c r="AA177" s="321"/>
      <c r="AB177" s="321"/>
      <c r="AC177" s="380"/>
      <c r="AD177" s="352"/>
      <c r="AE177" s="408">
        <f t="shared" si="101"/>
        <v>0</v>
      </c>
      <c r="AF177" s="409"/>
      <c r="AG177" s="408"/>
      <c r="AH177" s="409">
        <f t="shared" si="102"/>
        <v>0</v>
      </c>
      <c r="AI177" s="410"/>
      <c r="AJ177" s="411">
        <f t="shared" si="103"/>
        <v>0</v>
      </c>
    </row>
    <row r="178" spans="1:36" s="234" customFormat="1" ht="20.25">
      <c r="A178" s="551"/>
      <c r="B178" s="570"/>
      <c r="C178" s="570"/>
      <c r="D178" s="571"/>
      <c r="E178" s="319"/>
      <c r="F178" s="320"/>
      <c r="G178" s="320"/>
      <c r="H178" s="321"/>
      <c r="I178" s="321"/>
      <c r="J178" s="321"/>
      <c r="K178" s="320"/>
      <c r="L178" s="352"/>
      <c r="M178" s="353"/>
      <c r="N178" s="321"/>
      <c r="O178" s="321"/>
      <c r="P178" s="321"/>
      <c r="Q178" s="321"/>
      <c r="R178" s="321"/>
      <c r="S178" s="321"/>
      <c r="T178" s="363"/>
      <c r="U178" s="352"/>
      <c r="V178" s="353"/>
      <c r="W178" s="321"/>
      <c r="X178" s="321"/>
      <c r="Y178" s="321"/>
      <c r="Z178" s="321"/>
      <c r="AA178" s="321"/>
      <c r="AB178" s="321"/>
      <c r="AC178" s="380"/>
      <c r="AD178" s="352"/>
      <c r="AE178" s="408">
        <f t="shared" si="101"/>
        <v>0</v>
      </c>
      <c r="AF178" s="409"/>
      <c r="AG178" s="408"/>
      <c r="AH178" s="409">
        <f t="shared" si="102"/>
        <v>0</v>
      </c>
      <c r="AI178" s="410"/>
      <c r="AJ178" s="411">
        <f t="shared" si="103"/>
        <v>0</v>
      </c>
    </row>
    <row r="179" spans="1:36" s="234" customFormat="1" ht="20.25">
      <c r="A179" s="551"/>
      <c r="B179" s="570"/>
      <c r="C179" s="570"/>
      <c r="D179" s="571"/>
      <c r="E179" s="319"/>
      <c r="F179" s="320"/>
      <c r="G179" s="320"/>
      <c r="H179" s="321"/>
      <c r="I179" s="321"/>
      <c r="J179" s="321"/>
      <c r="K179" s="320"/>
      <c r="L179" s="352"/>
      <c r="M179" s="353"/>
      <c r="N179" s="321"/>
      <c r="O179" s="321"/>
      <c r="P179" s="321"/>
      <c r="Q179" s="321"/>
      <c r="R179" s="321"/>
      <c r="S179" s="321"/>
      <c r="T179" s="363"/>
      <c r="U179" s="352"/>
      <c r="V179" s="353"/>
      <c r="W179" s="321"/>
      <c r="X179" s="321"/>
      <c r="Y179" s="321"/>
      <c r="Z179" s="321"/>
      <c r="AA179" s="321"/>
      <c r="AB179" s="321"/>
      <c r="AC179" s="380"/>
      <c r="AD179" s="352"/>
      <c r="AE179" s="408">
        <f t="shared" ref="AE179:AE185" si="107">SUM(E179:AC179)</f>
        <v>0</v>
      </c>
      <c r="AF179" s="409"/>
      <c r="AG179" s="408"/>
      <c r="AH179" s="409">
        <f t="shared" si="102"/>
        <v>0</v>
      </c>
      <c r="AI179" s="410"/>
      <c r="AJ179" s="411">
        <f t="shared" si="103"/>
        <v>0</v>
      </c>
    </row>
    <row r="180" spans="1:36" s="234" customFormat="1" ht="20.25">
      <c r="A180" s="551"/>
      <c r="B180" s="570"/>
      <c r="C180" s="570"/>
      <c r="D180" s="571"/>
      <c r="E180" s="319"/>
      <c r="F180" s="320"/>
      <c r="G180" s="320"/>
      <c r="H180" s="320"/>
      <c r="I180" s="321"/>
      <c r="J180" s="321"/>
      <c r="K180" s="320"/>
      <c r="L180" s="352"/>
      <c r="M180" s="353"/>
      <c r="N180" s="321"/>
      <c r="O180" s="321"/>
      <c r="P180" s="321"/>
      <c r="Q180" s="321"/>
      <c r="R180" s="321"/>
      <c r="S180" s="321"/>
      <c r="T180" s="363"/>
      <c r="U180" s="352"/>
      <c r="V180" s="353"/>
      <c r="W180" s="321"/>
      <c r="X180" s="321"/>
      <c r="Y180" s="321"/>
      <c r="Z180" s="321"/>
      <c r="AA180" s="321"/>
      <c r="AB180" s="321"/>
      <c r="AC180" s="380"/>
      <c r="AD180" s="352"/>
      <c r="AE180" s="408">
        <f t="shared" si="107"/>
        <v>0</v>
      </c>
      <c r="AF180" s="409"/>
      <c r="AG180" s="408"/>
      <c r="AH180" s="409">
        <f t="shared" si="102"/>
        <v>0</v>
      </c>
      <c r="AI180" s="410"/>
      <c r="AJ180" s="411">
        <f t="shared" si="103"/>
        <v>0</v>
      </c>
    </row>
    <row r="181" spans="1:36" s="234" customFormat="1" ht="20.25">
      <c r="A181" s="551"/>
      <c r="B181" s="570"/>
      <c r="C181" s="570"/>
      <c r="D181" s="571"/>
      <c r="E181" s="319"/>
      <c r="F181" s="320"/>
      <c r="G181" s="320"/>
      <c r="H181" s="320"/>
      <c r="I181" s="321"/>
      <c r="J181" s="321"/>
      <c r="K181" s="320"/>
      <c r="L181" s="352"/>
      <c r="M181" s="353"/>
      <c r="N181" s="321"/>
      <c r="O181" s="321"/>
      <c r="P181" s="321"/>
      <c r="Q181" s="321"/>
      <c r="R181" s="321"/>
      <c r="S181" s="321"/>
      <c r="T181" s="363"/>
      <c r="U181" s="352"/>
      <c r="V181" s="353"/>
      <c r="W181" s="321"/>
      <c r="X181" s="321"/>
      <c r="Y181" s="321"/>
      <c r="Z181" s="321"/>
      <c r="AA181" s="321"/>
      <c r="AB181" s="321"/>
      <c r="AC181" s="380"/>
      <c r="AD181" s="352"/>
      <c r="AE181" s="408">
        <f t="shared" ref="AE181" si="108">SUM(E181:AC181)</f>
        <v>0</v>
      </c>
      <c r="AF181" s="409"/>
      <c r="AG181" s="408"/>
      <c r="AH181" s="409">
        <f t="shared" ref="AH181" si="109">AE181+AF181+AG181</f>
        <v>0</v>
      </c>
      <c r="AI181" s="410"/>
      <c r="AJ181" s="411">
        <f t="shared" si="103"/>
        <v>0</v>
      </c>
    </row>
    <row r="182" spans="1:36" s="234" customFormat="1" ht="20.25">
      <c r="A182" s="551"/>
      <c r="B182" s="570"/>
      <c r="C182" s="570"/>
      <c r="D182" s="571"/>
      <c r="E182" s="319"/>
      <c r="F182" s="320"/>
      <c r="G182" s="320"/>
      <c r="H182" s="320"/>
      <c r="I182" s="321"/>
      <c r="J182" s="321"/>
      <c r="K182" s="320"/>
      <c r="L182" s="352"/>
      <c r="M182" s="353"/>
      <c r="N182" s="321"/>
      <c r="O182" s="321"/>
      <c r="P182" s="321"/>
      <c r="Q182" s="321"/>
      <c r="R182" s="321"/>
      <c r="S182" s="321"/>
      <c r="T182" s="363"/>
      <c r="U182" s="352"/>
      <c r="V182" s="353"/>
      <c r="W182" s="321"/>
      <c r="X182" s="321"/>
      <c r="Y182" s="321"/>
      <c r="Z182" s="321"/>
      <c r="AA182" s="321"/>
      <c r="AB182" s="321"/>
      <c r="AC182" s="380"/>
      <c r="AD182" s="352"/>
      <c r="AE182" s="408">
        <f t="shared" si="107"/>
        <v>0</v>
      </c>
      <c r="AF182" s="409"/>
      <c r="AG182" s="408"/>
      <c r="AH182" s="409">
        <f t="shared" si="102"/>
        <v>0</v>
      </c>
      <c r="AI182" s="410"/>
      <c r="AJ182" s="411">
        <f t="shared" si="103"/>
        <v>0</v>
      </c>
    </row>
    <row r="183" spans="1:36" s="234" customFormat="1" ht="20.25">
      <c r="A183" s="551"/>
      <c r="B183" s="570"/>
      <c r="C183" s="570"/>
      <c r="D183" s="571"/>
      <c r="E183" s="319"/>
      <c r="F183" s="320"/>
      <c r="G183" s="320"/>
      <c r="H183" s="320"/>
      <c r="I183" s="321"/>
      <c r="J183" s="321"/>
      <c r="K183" s="320"/>
      <c r="L183" s="352"/>
      <c r="M183" s="353"/>
      <c r="N183" s="321"/>
      <c r="O183" s="321"/>
      <c r="P183" s="321"/>
      <c r="Q183" s="321"/>
      <c r="R183" s="321"/>
      <c r="S183" s="321"/>
      <c r="T183" s="363"/>
      <c r="U183" s="352"/>
      <c r="V183" s="353"/>
      <c r="W183" s="321"/>
      <c r="X183" s="321"/>
      <c r="Y183" s="321"/>
      <c r="Z183" s="321"/>
      <c r="AA183" s="321"/>
      <c r="AB183" s="321"/>
      <c r="AC183" s="380"/>
      <c r="AD183" s="352"/>
      <c r="AE183" s="408">
        <f t="shared" si="107"/>
        <v>0</v>
      </c>
      <c r="AF183" s="409"/>
      <c r="AG183" s="408"/>
      <c r="AH183" s="409">
        <f t="shared" si="102"/>
        <v>0</v>
      </c>
      <c r="AI183" s="410"/>
      <c r="AJ183" s="411">
        <f t="shared" si="103"/>
        <v>0</v>
      </c>
    </row>
    <row r="184" spans="1:36" s="234" customFormat="1" ht="20.25">
      <c r="A184" s="537"/>
      <c r="B184" s="545"/>
      <c r="C184" s="539"/>
      <c r="D184" s="544"/>
      <c r="E184" s="319"/>
      <c r="F184" s="320"/>
      <c r="G184" s="320"/>
      <c r="H184" s="320"/>
      <c r="I184" s="321"/>
      <c r="J184" s="321"/>
      <c r="K184" s="320"/>
      <c r="L184" s="352"/>
      <c r="M184" s="353"/>
      <c r="N184" s="321"/>
      <c r="O184" s="321"/>
      <c r="P184" s="321"/>
      <c r="Q184" s="321"/>
      <c r="R184" s="321"/>
      <c r="S184" s="321"/>
      <c r="T184" s="363"/>
      <c r="U184" s="352"/>
      <c r="V184" s="353"/>
      <c r="W184" s="321"/>
      <c r="X184" s="321"/>
      <c r="Y184" s="321"/>
      <c r="Z184" s="321"/>
      <c r="AA184" s="321"/>
      <c r="AB184" s="321"/>
      <c r="AC184" s="380"/>
      <c r="AD184" s="352"/>
      <c r="AE184" s="408">
        <f t="shared" si="107"/>
        <v>0</v>
      </c>
      <c r="AF184" s="409"/>
      <c r="AG184" s="408"/>
      <c r="AH184" s="409">
        <f t="shared" si="102"/>
        <v>0</v>
      </c>
      <c r="AI184" s="410"/>
      <c r="AJ184" s="411">
        <f t="shared" si="103"/>
        <v>0</v>
      </c>
    </row>
    <row r="185" spans="1:36" s="234" customFormat="1" ht="20.25">
      <c r="A185" s="316"/>
      <c r="B185" s="570"/>
      <c r="C185" s="570"/>
      <c r="D185" s="571"/>
      <c r="E185" s="319"/>
      <c r="F185" s="320"/>
      <c r="G185" s="320"/>
      <c r="H185" s="320"/>
      <c r="I185" s="321"/>
      <c r="J185" s="321"/>
      <c r="K185" s="320"/>
      <c r="L185" s="352"/>
      <c r="M185" s="353"/>
      <c r="N185" s="321"/>
      <c r="O185" s="321"/>
      <c r="P185" s="321"/>
      <c r="Q185" s="321"/>
      <c r="R185" s="321"/>
      <c r="S185" s="321"/>
      <c r="T185" s="363"/>
      <c r="U185" s="352"/>
      <c r="V185" s="353"/>
      <c r="W185" s="321"/>
      <c r="X185" s="321"/>
      <c r="Y185" s="321"/>
      <c r="Z185" s="321"/>
      <c r="AA185" s="321"/>
      <c r="AB185" s="321"/>
      <c r="AC185" s="380"/>
      <c r="AD185" s="352"/>
      <c r="AE185" s="408">
        <f t="shared" si="107"/>
        <v>0</v>
      </c>
      <c r="AF185" s="409"/>
      <c r="AG185" s="408"/>
      <c r="AH185" s="409">
        <f t="shared" si="102"/>
        <v>0</v>
      </c>
      <c r="AI185" s="410"/>
      <c r="AJ185" s="411">
        <f t="shared" si="103"/>
        <v>0</v>
      </c>
    </row>
    <row r="186" spans="1:36" s="234" customFormat="1" ht="20.25">
      <c r="A186" s="564"/>
      <c r="B186" s="609"/>
      <c r="C186" s="609"/>
      <c r="D186" s="610"/>
      <c r="E186" s="319"/>
      <c r="F186" s="320"/>
      <c r="G186" s="320"/>
      <c r="H186" s="320"/>
      <c r="I186" s="321"/>
      <c r="J186" s="321"/>
      <c r="K186" s="320"/>
      <c r="L186" s="352"/>
      <c r="M186" s="353"/>
      <c r="N186" s="321"/>
      <c r="O186" s="321"/>
      <c r="P186" s="321"/>
      <c r="Q186" s="321"/>
      <c r="R186" s="321"/>
      <c r="S186" s="321"/>
      <c r="T186" s="363"/>
      <c r="U186" s="654"/>
      <c r="V186" s="655"/>
      <c r="W186" s="613"/>
      <c r="X186" s="613"/>
      <c r="Y186" s="613"/>
      <c r="Z186" s="613"/>
      <c r="AA186" s="613"/>
      <c r="AB186" s="613"/>
      <c r="AC186" s="678"/>
      <c r="AD186" s="654"/>
      <c r="AE186" s="679">
        <f t="shared" si="101"/>
        <v>0</v>
      </c>
      <c r="AF186" s="680"/>
      <c r="AG186" s="679"/>
      <c r="AH186" s="680">
        <f t="shared" si="102"/>
        <v>0</v>
      </c>
      <c r="AI186" s="697"/>
      <c r="AJ186" s="698">
        <f t="shared" si="103"/>
        <v>0</v>
      </c>
    </row>
    <row r="187" spans="1:36" s="234" customFormat="1" ht="20.25">
      <c r="A187" s="614"/>
      <c r="B187" s="615"/>
      <c r="C187" s="615"/>
      <c r="D187" s="616"/>
      <c r="E187" s="611"/>
      <c r="F187" s="612"/>
      <c r="G187" s="612"/>
      <c r="H187" s="612"/>
      <c r="I187" s="613"/>
      <c r="J187" s="613"/>
      <c r="K187" s="612"/>
      <c r="L187" s="654"/>
      <c r="M187" s="655"/>
      <c r="N187" s="613"/>
      <c r="O187" s="613"/>
      <c r="P187" s="613"/>
      <c r="Q187" s="613"/>
      <c r="R187" s="613"/>
      <c r="S187" s="613"/>
      <c r="T187" s="768"/>
      <c r="U187" s="657"/>
      <c r="V187" s="658"/>
      <c r="W187" s="619"/>
      <c r="X187" s="619"/>
      <c r="Y187" s="619"/>
      <c r="Z187" s="619"/>
      <c r="AA187" s="619"/>
      <c r="AB187" s="619"/>
      <c r="AC187" s="681"/>
      <c r="AD187" s="657"/>
      <c r="AE187" s="682">
        <f t="shared" ref="AE187:AE215" si="110">SUM(E187:AC187)</f>
        <v>0</v>
      </c>
      <c r="AF187" s="683"/>
      <c r="AG187" s="682"/>
      <c r="AH187" s="683">
        <f t="shared" si="102"/>
        <v>0</v>
      </c>
      <c r="AI187" s="699"/>
      <c r="AJ187" s="700">
        <f t="shared" si="103"/>
        <v>0</v>
      </c>
    </row>
    <row r="188" spans="1:36" s="234" customFormat="1" ht="20.25">
      <c r="A188" s="316"/>
      <c r="B188" s="570"/>
      <c r="C188" s="570"/>
      <c r="D188" s="754"/>
      <c r="E188" s="617"/>
      <c r="F188" s="618"/>
      <c r="G188" s="618"/>
      <c r="H188" s="618"/>
      <c r="I188" s="619"/>
      <c r="J188" s="619"/>
      <c r="K188" s="618"/>
      <c r="L188" s="657"/>
      <c r="M188" s="658"/>
      <c r="N188" s="619"/>
      <c r="O188" s="619"/>
      <c r="P188" s="619"/>
      <c r="Q188" s="619"/>
      <c r="R188" s="619"/>
      <c r="S188" s="619"/>
      <c r="T188" s="769"/>
      <c r="U188" s="657"/>
      <c r="V188" s="658"/>
      <c r="W188" s="619"/>
      <c r="X188" s="619"/>
      <c r="Y188" s="619"/>
      <c r="Z188" s="619"/>
      <c r="AA188" s="619"/>
      <c r="AB188" s="619"/>
      <c r="AC188" s="681"/>
      <c r="AD188" s="773"/>
      <c r="AE188" s="408">
        <f t="shared" si="110"/>
        <v>0</v>
      </c>
      <c r="AF188" s="409"/>
      <c r="AG188" s="408"/>
      <c r="AH188" s="409">
        <f t="shared" si="102"/>
        <v>0</v>
      </c>
      <c r="AI188" s="410"/>
      <c r="AJ188" s="411">
        <f t="shared" si="103"/>
        <v>0</v>
      </c>
    </row>
    <row r="189" spans="1:36" s="234" customFormat="1" ht="20.25">
      <c r="A189" s="316"/>
      <c r="B189" s="570"/>
      <c r="C189" s="570"/>
      <c r="D189" s="754"/>
      <c r="E189" s="617"/>
      <c r="F189" s="618"/>
      <c r="G189" s="618"/>
      <c r="H189" s="618"/>
      <c r="I189" s="619"/>
      <c r="J189" s="619"/>
      <c r="K189" s="618"/>
      <c r="L189" s="657"/>
      <c r="M189" s="658"/>
      <c r="N189" s="619"/>
      <c r="O189" s="619"/>
      <c r="P189" s="619"/>
      <c r="Q189" s="619"/>
      <c r="R189" s="619"/>
      <c r="S189" s="619"/>
      <c r="T189" s="769"/>
      <c r="U189" s="657"/>
      <c r="V189" s="658"/>
      <c r="W189" s="619"/>
      <c r="X189" s="619"/>
      <c r="Y189" s="619"/>
      <c r="Z189" s="619"/>
      <c r="AA189" s="619"/>
      <c r="AB189" s="619"/>
      <c r="AC189" s="681"/>
      <c r="AD189" s="773"/>
      <c r="AE189" s="408">
        <f t="shared" si="110"/>
        <v>0</v>
      </c>
      <c r="AF189" s="409"/>
      <c r="AG189" s="408"/>
      <c r="AH189" s="409">
        <f t="shared" si="102"/>
        <v>0</v>
      </c>
      <c r="AI189" s="410"/>
      <c r="AJ189" s="411">
        <f t="shared" si="103"/>
        <v>0</v>
      </c>
    </row>
    <row r="190" spans="1:36" s="234" customFormat="1" ht="20.25">
      <c r="A190" s="316"/>
      <c r="B190" s="570"/>
      <c r="C190" s="570"/>
      <c r="D190" s="754"/>
      <c r="E190" s="617"/>
      <c r="F190" s="618"/>
      <c r="G190" s="618"/>
      <c r="H190" s="618"/>
      <c r="I190" s="619"/>
      <c r="J190" s="619"/>
      <c r="K190" s="618"/>
      <c r="L190" s="657"/>
      <c r="M190" s="658"/>
      <c r="N190" s="619"/>
      <c r="O190" s="619"/>
      <c r="P190" s="619"/>
      <c r="Q190" s="619"/>
      <c r="R190" s="619"/>
      <c r="S190" s="619"/>
      <c r="T190" s="769"/>
      <c r="U190" s="657"/>
      <c r="V190" s="658"/>
      <c r="W190" s="619"/>
      <c r="X190" s="619"/>
      <c r="Y190" s="619"/>
      <c r="Z190" s="619"/>
      <c r="AA190" s="619"/>
      <c r="AB190" s="619"/>
      <c r="AC190" s="681"/>
      <c r="AD190" s="773"/>
      <c r="AE190" s="408">
        <f t="shared" si="110"/>
        <v>0</v>
      </c>
      <c r="AF190" s="409"/>
      <c r="AG190" s="408"/>
      <c r="AH190" s="409">
        <f t="shared" si="102"/>
        <v>0</v>
      </c>
      <c r="AI190" s="410"/>
      <c r="AJ190" s="411">
        <f t="shared" si="103"/>
        <v>0</v>
      </c>
    </row>
    <row r="191" spans="1:36" s="234" customFormat="1" ht="21" thickBot="1">
      <c r="A191" s="316"/>
      <c r="B191" s="570"/>
      <c r="C191" s="570"/>
      <c r="D191" s="754"/>
      <c r="E191" s="617"/>
      <c r="F191" s="618"/>
      <c r="G191" s="618"/>
      <c r="H191" s="618"/>
      <c r="I191" s="619"/>
      <c r="J191" s="619"/>
      <c r="K191" s="618"/>
      <c r="L191" s="657"/>
      <c r="M191" s="658"/>
      <c r="N191" s="619"/>
      <c r="O191" s="619"/>
      <c r="P191" s="619"/>
      <c r="Q191" s="619"/>
      <c r="R191" s="619"/>
      <c r="S191" s="619"/>
      <c r="T191" s="769"/>
      <c r="U191" s="657"/>
      <c r="V191" s="658"/>
      <c r="W191" s="619"/>
      <c r="X191" s="619"/>
      <c r="Y191" s="619"/>
      <c r="Z191" s="619"/>
      <c r="AA191" s="619"/>
      <c r="AB191" s="619"/>
      <c r="AC191" s="681"/>
      <c r="AD191" s="774"/>
      <c r="AE191" s="408">
        <f t="shared" si="110"/>
        <v>0</v>
      </c>
      <c r="AF191" s="409"/>
      <c r="AG191" s="408"/>
      <c r="AH191" s="409">
        <f t="shared" si="102"/>
        <v>0</v>
      </c>
      <c r="AI191" s="410"/>
      <c r="AJ191" s="411">
        <f t="shared" si="103"/>
        <v>0</v>
      </c>
    </row>
    <row r="192" spans="1:36" s="234" customFormat="1" ht="20.25">
      <c r="A192" s="608"/>
      <c r="B192" s="609"/>
      <c r="C192" s="609"/>
      <c r="D192" s="610"/>
      <c r="E192" s="617"/>
      <c r="F192" s="618"/>
      <c r="G192" s="618"/>
      <c r="H192" s="618"/>
      <c r="I192" s="619"/>
      <c r="J192" s="619"/>
      <c r="K192" s="618"/>
      <c r="L192" s="657"/>
      <c r="M192" s="658"/>
      <c r="N192" s="619"/>
      <c r="O192" s="619"/>
      <c r="P192" s="619"/>
      <c r="Q192" s="619"/>
      <c r="R192" s="619"/>
      <c r="S192" s="619"/>
      <c r="T192" s="769"/>
      <c r="U192" s="657"/>
      <c r="V192" s="658"/>
      <c r="W192" s="619"/>
      <c r="X192" s="619"/>
      <c r="Y192" s="619"/>
      <c r="Z192" s="619"/>
      <c r="AA192" s="619"/>
      <c r="AB192" s="619"/>
      <c r="AC192" s="681"/>
      <c r="AD192" s="775"/>
      <c r="AE192" s="419">
        <f t="shared" si="110"/>
        <v>0</v>
      </c>
      <c r="AF192" s="420"/>
      <c r="AG192" s="419"/>
      <c r="AH192" s="420">
        <f t="shared" si="102"/>
        <v>0</v>
      </c>
      <c r="AI192" s="421"/>
      <c r="AJ192" s="422">
        <f t="shared" si="103"/>
        <v>0</v>
      </c>
    </row>
    <row r="193" spans="1:39" s="234" customFormat="1" ht="21" thickBot="1">
      <c r="A193" s="424"/>
      <c r="B193" s="570"/>
      <c r="C193" s="570"/>
      <c r="D193" s="777"/>
      <c r="E193" s="778"/>
      <c r="F193" s="618"/>
      <c r="G193" s="618"/>
      <c r="H193" s="618"/>
      <c r="I193" s="619"/>
      <c r="J193" s="619"/>
      <c r="K193" s="618"/>
      <c r="L193" s="657"/>
      <c r="M193" s="658"/>
      <c r="N193" s="619"/>
      <c r="O193" s="619"/>
      <c r="P193" s="619"/>
      <c r="Q193" s="619"/>
      <c r="R193" s="619"/>
      <c r="S193" s="619"/>
      <c r="T193" s="769"/>
      <c r="U193" s="657"/>
      <c r="V193" s="658"/>
      <c r="W193" s="619"/>
      <c r="X193" s="619"/>
      <c r="Y193" s="619"/>
      <c r="Z193" s="619"/>
      <c r="AA193" s="619"/>
      <c r="AB193" s="619"/>
      <c r="AC193" s="681"/>
      <c r="AD193" s="774"/>
      <c r="AE193" s="408">
        <f t="shared" si="110"/>
        <v>0</v>
      </c>
      <c r="AF193" s="409"/>
      <c r="AG193" s="408"/>
      <c r="AH193" s="409">
        <f t="shared" si="102"/>
        <v>0</v>
      </c>
      <c r="AI193" s="410"/>
      <c r="AJ193" s="411">
        <f t="shared" si="103"/>
        <v>0</v>
      </c>
    </row>
    <row r="194" spans="1:39" s="234" customFormat="1" ht="21" thickBot="1">
      <c r="A194" s="424"/>
      <c r="B194" s="570"/>
      <c r="C194" s="570"/>
      <c r="D194" s="754"/>
      <c r="E194" s="617"/>
      <c r="F194" s="618"/>
      <c r="G194" s="618"/>
      <c r="H194" s="618"/>
      <c r="I194" s="619"/>
      <c r="J194" s="619"/>
      <c r="K194" s="618"/>
      <c r="L194" s="657"/>
      <c r="M194" s="658"/>
      <c r="N194" s="619"/>
      <c r="O194" s="619"/>
      <c r="P194" s="619"/>
      <c r="Q194" s="619"/>
      <c r="R194" s="619"/>
      <c r="S194" s="619"/>
      <c r="T194" s="769"/>
      <c r="U194" s="657"/>
      <c r="V194" s="658"/>
      <c r="W194" s="619"/>
      <c r="X194" s="619"/>
      <c r="Y194" s="619"/>
      <c r="Z194" s="619"/>
      <c r="AA194" s="619"/>
      <c r="AB194" s="619"/>
      <c r="AC194" s="681"/>
      <c r="AD194" s="774"/>
      <c r="AE194" s="408">
        <f t="shared" si="110"/>
        <v>0</v>
      </c>
      <c r="AF194" s="409"/>
      <c r="AG194" s="408"/>
      <c r="AH194" s="409">
        <f t="shared" si="102"/>
        <v>0</v>
      </c>
      <c r="AI194" s="410"/>
      <c r="AJ194" s="411">
        <f t="shared" si="103"/>
        <v>0</v>
      </c>
    </row>
    <row r="195" spans="1:39" s="234" customFormat="1" ht="21" thickBot="1">
      <c r="A195" s="316"/>
      <c r="B195" s="570"/>
      <c r="C195" s="570"/>
      <c r="D195" s="754"/>
      <c r="E195" s="617"/>
      <c r="F195" s="618"/>
      <c r="G195" s="618"/>
      <c r="H195" s="618"/>
      <c r="I195" s="619"/>
      <c r="J195" s="619"/>
      <c r="K195" s="618"/>
      <c r="L195" s="657"/>
      <c r="M195" s="658"/>
      <c r="N195" s="619"/>
      <c r="O195" s="619"/>
      <c r="P195" s="619"/>
      <c r="Q195" s="619"/>
      <c r="R195" s="619"/>
      <c r="S195" s="619"/>
      <c r="T195" s="769"/>
      <c r="U195" s="657"/>
      <c r="V195" s="658"/>
      <c r="W195" s="619"/>
      <c r="X195" s="619"/>
      <c r="Y195" s="619"/>
      <c r="Z195" s="619"/>
      <c r="AA195" s="619"/>
      <c r="AB195" s="619"/>
      <c r="AC195" s="681"/>
      <c r="AD195" s="774"/>
      <c r="AE195" s="408">
        <f t="shared" si="110"/>
        <v>0</v>
      </c>
      <c r="AF195" s="409"/>
      <c r="AG195" s="408"/>
      <c r="AH195" s="409">
        <f t="shared" si="102"/>
        <v>0</v>
      </c>
      <c r="AI195" s="410"/>
      <c r="AJ195" s="411">
        <f t="shared" si="103"/>
        <v>0</v>
      </c>
    </row>
    <row r="196" spans="1:39" s="234" customFormat="1" ht="21" thickBot="1">
      <c r="A196" s="537"/>
      <c r="B196" s="552"/>
      <c r="C196" s="553"/>
      <c r="D196" s="555"/>
      <c r="E196" s="617"/>
      <c r="F196" s="618"/>
      <c r="G196" s="618"/>
      <c r="H196" s="618"/>
      <c r="I196" s="619"/>
      <c r="J196" s="619"/>
      <c r="K196" s="618"/>
      <c r="L196" s="657"/>
      <c r="M196" s="658"/>
      <c r="N196" s="619"/>
      <c r="O196" s="619"/>
      <c r="P196" s="619"/>
      <c r="Q196" s="619"/>
      <c r="R196" s="619"/>
      <c r="S196" s="619"/>
      <c r="T196" s="769"/>
      <c r="U196" s="657"/>
      <c r="V196" s="658"/>
      <c r="W196" s="619"/>
      <c r="X196" s="619"/>
      <c r="Y196" s="619"/>
      <c r="Z196" s="619"/>
      <c r="AA196" s="619"/>
      <c r="AB196" s="619"/>
      <c r="AC196" s="681"/>
      <c r="AD196" s="774"/>
      <c r="AE196" s="419">
        <f t="shared" si="110"/>
        <v>0</v>
      </c>
      <c r="AF196" s="420"/>
      <c r="AG196" s="419"/>
      <c r="AH196" s="420">
        <f t="shared" si="102"/>
        <v>0</v>
      </c>
      <c r="AI196" s="421"/>
      <c r="AJ196" s="422">
        <f t="shared" si="103"/>
        <v>0</v>
      </c>
    </row>
    <row r="197" spans="1:39" ht="21" thickBot="1">
      <c r="A197" s="316"/>
      <c r="B197" s="570"/>
      <c r="C197" s="570"/>
      <c r="D197" s="754"/>
      <c r="E197" s="617"/>
      <c r="F197" s="618"/>
      <c r="G197" s="618"/>
      <c r="H197" s="618"/>
      <c r="I197" s="619"/>
      <c r="J197" s="619"/>
      <c r="K197" s="618"/>
      <c r="L197" s="657"/>
      <c r="M197" s="658"/>
      <c r="N197" s="619"/>
      <c r="O197" s="619"/>
      <c r="P197" s="619"/>
      <c r="Q197" s="619"/>
      <c r="R197" s="619"/>
      <c r="S197" s="619"/>
      <c r="T197" s="769"/>
      <c r="U197" s="657"/>
      <c r="V197" s="658"/>
      <c r="W197" s="619"/>
      <c r="X197" s="619"/>
      <c r="Y197" s="619"/>
      <c r="Z197" s="619"/>
      <c r="AA197" s="619"/>
      <c r="AB197" s="619"/>
      <c r="AC197" s="681"/>
      <c r="AD197" s="774"/>
      <c r="AE197" s="408">
        <f t="shared" si="110"/>
        <v>0</v>
      </c>
      <c r="AF197" s="409"/>
      <c r="AG197" s="408"/>
      <c r="AH197" s="409">
        <f t="shared" si="102"/>
        <v>0</v>
      </c>
      <c r="AI197" s="410"/>
      <c r="AJ197" s="411">
        <f t="shared" si="103"/>
        <v>0</v>
      </c>
      <c r="AK197" s="234"/>
      <c r="AL197" s="234"/>
      <c r="AM197" s="234"/>
    </row>
    <row r="198" spans="1:39" ht="21" thickBot="1">
      <c r="A198" s="316"/>
      <c r="B198" s="570"/>
      <c r="C198" s="570"/>
      <c r="D198" s="754"/>
      <c r="E198" s="617"/>
      <c r="F198" s="618"/>
      <c r="G198" s="618"/>
      <c r="H198" s="618"/>
      <c r="I198" s="619"/>
      <c r="J198" s="619"/>
      <c r="K198" s="618"/>
      <c r="L198" s="657"/>
      <c r="M198" s="658"/>
      <c r="N198" s="619"/>
      <c r="O198" s="619"/>
      <c r="P198" s="619"/>
      <c r="Q198" s="619"/>
      <c r="R198" s="619"/>
      <c r="S198" s="619"/>
      <c r="T198" s="769"/>
      <c r="U198" s="657"/>
      <c r="V198" s="658"/>
      <c r="W198" s="619"/>
      <c r="X198" s="619"/>
      <c r="Y198" s="619"/>
      <c r="Z198" s="619"/>
      <c r="AA198" s="619"/>
      <c r="AB198" s="619"/>
      <c r="AC198" s="681"/>
      <c r="AD198" s="774"/>
      <c r="AE198" s="408">
        <f t="shared" si="110"/>
        <v>0</v>
      </c>
      <c r="AF198" s="409"/>
      <c r="AG198" s="408"/>
      <c r="AH198" s="409">
        <f t="shared" si="102"/>
        <v>0</v>
      </c>
      <c r="AI198" s="410"/>
      <c r="AJ198" s="411">
        <f t="shared" si="103"/>
        <v>0</v>
      </c>
      <c r="AK198" s="234"/>
      <c r="AL198" s="234"/>
      <c r="AM198" s="234"/>
    </row>
    <row r="199" spans="1:39" s="284" customFormat="1" ht="21" thickBot="1">
      <c r="A199" s="316"/>
      <c r="B199" s="570"/>
      <c r="C199" s="570"/>
      <c r="D199" s="754"/>
      <c r="E199" s="617"/>
      <c r="F199" s="618"/>
      <c r="G199" s="618"/>
      <c r="H199" s="618"/>
      <c r="I199" s="619"/>
      <c r="J199" s="619"/>
      <c r="K199" s="618"/>
      <c r="L199" s="657"/>
      <c r="M199" s="658"/>
      <c r="N199" s="619"/>
      <c r="O199" s="619"/>
      <c r="P199" s="619"/>
      <c r="Q199" s="619"/>
      <c r="R199" s="619"/>
      <c r="S199" s="619"/>
      <c r="T199" s="769"/>
      <c r="U199" s="657"/>
      <c r="V199" s="658"/>
      <c r="W199" s="619"/>
      <c r="X199" s="619"/>
      <c r="Y199" s="619"/>
      <c r="Z199" s="619"/>
      <c r="AA199" s="619"/>
      <c r="AB199" s="619"/>
      <c r="AC199" s="681"/>
      <c r="AD199" s="774"/>
      <c r="AE199" s="408">
        <f t="shared" si="110"/>
        <v>0</v>
      </c>
      <c r="AF199" s="409"/>
      <c r="AG199" s="408"/>
      <c r="AH199" s="409">
        <f t="shared" si="102"/>
        <v>0</v>
      </c>
      <c r="AI199" s="410"/>
      <c r="AJ199" s="411">
        <f t="shared" si="103"/>
        <v>0</v>
      </c>
      <c r="AK199" s="234"/>
      <c r="AL199" s="234"/>
      <c r="AM199" s="234"/>
    </row>
    <row r="200" spans="1:39" s="282" customFormat="1" ht="21" thickBot="1">
      <c r="A200" s="316"/>
      <c r="B200" s="570"/>
      <c r="C200" s="570"/>
      <c r="D200" s="754"/>
      <c r="E200" s="617"/>
      <c r="F200" s="618"/>
      <c r="G200" s="618"/>
      <c r="H200" s="618"/>
      <c r="I200" s="619"/>
      <c r="J200" s="619"/>
      <c r="K200" s="618"/>
      <c r="L200" s="657"/>
      <c r="M200" s="658"/>
      <c r="N200" s="619"/>
      <c r="O200" s="619"/>
      <c r="P200" s="619"/>
      <c r="Q200" s="619"/>
      <c r="R200" s="619"/>
      <c r="S200" s="619"/>
      <c r="T200" s="769"/>
      <c r="U200" s="657"/>
      <c r="V200" s="658"/>
      <c r="W200" s="619"/>
      <c r="X200" s="619"/>
      <c r="Y200" s="619"/>
      <c r="Z200" s="619"/>
      <c r="AA200" s="619"/>
      <c r="AB200" s="619"/>
      <c r="AC200" s="681"/>
      <c r="AD200" s="774"/>
      <c r="AE200" s="408">
        <f t="shared" si="110"/>
        <v>0</v>
      </c>
      <c r="AF200" s="409"/>
      <c r="AG200" s="408"/>
      <c r="AH200" s="409">
        <f t="shared" si="102"/>
        <v>0</v>
      </c>
      <c r="AI200" s="410"/>
      <c r="AJ200" s="411">
        <f t="shared" si="103"/>
        <v>0</v>
      </c>
      <c r="AK200" s="234"/>
      <c r="AL200" s="234"/>
      <c r="AM200" s="234"/>
    </row>
    <row r="201" spans="1:39" s="283" customFormat="1" ht="21" thickBot="1">
      <c r="A201" s="608"/>
      <c r="B201" s="609"/>
      <c r="C201" s="609"/>
      <c r="D201" s="610"/>
      <c r="E201" s="617"/>
      <c r="F201" s="618"/>
      <c r="G201" s="618"/>
      <c r="H201" s="618"/>
      <c r="I201" s="619"/>
      <c r="J201" s="619"/>
      <c r="K201" s="618"/>
      <c r="L201" s="657"/>
      <c r="M201" s="658"/>
      <c r="N201" s="619"/>
      <c r="O201" s="619"/>
      <c r="P201" s="619"/>
      <c r="Q201" s="619"/>
      <c r="R201" s="619"/>
      <c r="S201" s="619"/>
      <c r="T201" s="769"/>
      <c r="U201" s="657"/>
      <c r="V201" s="658"/>
      <c r="W201" s="619"/>
      <c r="X201" s="619"/>
      <c r="Y201" s="619"/>
      <c r="Z201" s="619"/>
      <c r="AA201" s="619"/>
      <c r="AB201" s="619"/>
      <c r="AC201" s="681"/>
      <c r="AD201" s="774"/>
      <c r="AE201" s="408">
        <f t="shared" si="110"/>
        <v>0</v>
      </c>
      <c r="AF201" s="409"/>
      <c r="AG201" s="408"/>
      <c r="AH201" s="409">
        <f t="shared" si="102"/>
        <v>0</v>
      </c>
      <c r="AI201" s="410"/>
      <c r="AJ201" s="411">
        <f t="shared" si="103"/>
        <v>0</v>
      </c>
      <c r="AK201" s="234"/>
      <c r="AL201" s="234"/>
      <c r="AM201" s="234"/>
    </row>
    <row r="202" spans="1:39" s="283" customFormat="1" ht="21" thickBot="1">
      <c r="A202" s="316"/>
      <c r="B202" s="570"/>
      <c r="C202" s="570"/>
      <c r="D202" s="754"/>
      <c r="E202" s="617"/>
      <c r="F202" s="618"/>
      <c r="G202" s="618"/>
      <c r="H202" s="618"/>
      <c r="I202" s="619"/>
      <c r="J202" s="619"/>
      <c r="K202" s="618"/>
      <c r="L202" s="657"/>
      <c r="M202" s="658"/>
      <c r="N202" s="619"/>
      <c r="O202" s="619"/>
      <c r="P202" s="619"/>
      <c r="Q202" s="619"/>
      <c r="R202" s="619"/>
      <c r="S202" s="619"/>
      <c r="T202" s="769"/>
      <c r="U202" s="657"/>
      <c r="V202" s="658"/>
      <c r="W202" s="619"/>
      <c r="X202" s="619"/>
      <c r="Y202" s="619"/>
      <c r="Z202" s="619"/>
      <c r="AA202" s="619"/>
      <c r="AB202" s="619"/>
      <c r="AC202" s="681"/>
      <c r="AD202" s="774"/>
      <c r="AE202" s="408">
        <f t="shared" si="110"/>
        <v>0</v>
      </c>
      <c r="AF202" s="409"/>
      <c r="AG202" s="408"/>
      <c r="AH202" s="409">
        <f t="shared" si="102"/>
        <v>0</v>
      </c>
      <c r="AI202" s="410"/>
      <c r="AJ202" s="411">
        <f t="shared" si="103"/>
        <v>0</v>
      </c>
      <c r="AK202" s="234"/>
      <c r="AL202" s="234"/>
      <c r="AM202" s="234"/>
    </row>
    <row r="203" spans="1:39" s="283" customFormat="1" ht="19.5" customHeight="1" thickBot="1">
      <c r="A203" s="316"/>
      <c r="B203" s="570"/>
      <c r="C203" s="570"/>
      <c r="D203" s="754"/>
      <c r="E203" s="617"/>
      <c r="F203" s="618"/>
      <c r="G203" s="618"/>
      <c r="H203" s="618"/>
      <c r="I203" s="619"/>
      <c r="J203" s="619"/>
      <c r="K203" s="618"/>
      <c r="L203" s="657"/>
      <c r="M203" s="658"/>
      <c r="N203" s="619"/>
      <c r="O203" s="619"/>
      <c r="P203" s="619"/>
      <c r="Q203" s="619"/>
      <c r="R203" s="619"/>
      <c r="S203" s="619"/>
      <c r="T203" s="769"/>
      <c r="U203" s="657"/>
      <c r="V203" s="658"/>
      <c r="W203" s="619"/>
      <c r="X203" s="619"/>
      <c r="Y203" s="619"/>
      <c r="Z203" s="619"/>
      <c r="AA203" s="619"/>
      <c r="AB203" s="619"/>
      <c r="AC203" s="681"/>
      <c r="AD203" s="774"/>
      <c r="AE203" s="408">
        <f t="shared" si="110"/>
        <v>0</v>
      </c>
      <c r="AF203" s="409"/>
      <c r="AG203" s="408"/>
      <c r="AH203" s="409">
        <f t="shared" si="102"/>
        <v>0</v>
      </c>
      <c r="AI203" s="410"/>
      <c r="AJ203" s="411">
        <f t="shared" si="103"/>
        <v>0</v>
      </c>
      <c r="AK203" s="234"/>
      <c r="AL203" s="234"/>
      <c r="AM203" s="234"/>
    </row>
    <row r="204" spans="1:39" s="284" customFormat="1" ht="24.75" customHeight="1" thickBot="1">
      <c r="A204" s="316"/>
      <c r="B204" s="570"/>
      <c r="C204" s="570"/>
      <c r="D204" s="754"/>
      <c r="E204" s="617"/>
      <c r="F204" s="618"/>
      <c r="G204" s="618"/>
      <c r="H204" s="618"/>
      <c r="I204" s="619"/>
      <c r="J204" s="619"/>
      <c r="K204" s="618"/>
      <c r="L204" s="657"/>
      <c r="M204" s="658"/>
      <c r="N204" s="619"/>
      <c r="O204" s="619"/>
      <c r="P204" s="619"/>
      <c r="Q204" s="619"/>
      <c r="R204" s="619"/>
      <c r="S204" s="619"/>
      <c r="T204" s="769"/>
      <c r="U204" s="657"/>
      <c r="V204" s="658"/>
      <c r="W204" s="619"/>
      <c r="X204" s="619"/>
      <c r="Y204" s="619"/>
      <c r="Z204" s="619"/>
      <c r="AA204" s="619"/>
      <c r="AB204" s="619"/>
      <c r="AC204" s="681"/>
      <c r="AD204" s="774"/>
      <c r="AE204" s="408">
        <f t="shared" si="110"/>
        <v>0</v>
      </c>
      <c r="AF204" s="409"/>
      <c r="AG204" s="408"/>
      <c r="AH204" s="409">
        <f t="shared" si="102"/>
        <v>0</v>
      </c>
      <c r="AI204" s="410"/>
      <c r="AJ204" s="411">
        <f t="shared" si="103"/>
        <v>0</v>
      </c>
      <c r="AK204" s="234"/>
      <c r="AL204" s="234"/>
      <c r="AM204" s="234"/>
    </row>
    <row r="205" spans="1:39" ht="21" thickBot="1">
      <c r="A205" s="316"/>
      <c r="B205" s="570"/>
      <c r="C205" s="570"/>
      <c r="D205" s="754"/>
      <c r="E205" s="617"/>
      <c r="F205" s="618"/>
      <c r="G205" s="618"/>
      <c r="H205" s="618"/>
      <c r="I205" s="619"/>
      <c r="J205" s="619"/>
      <c r="K205" s="618"/>
      <c r="L205" s="657"/>
      <c r="M205" s="658"/>
      <c r="N205" s="619"/>
      <c r="O205" s="619"/>
      <c r="P205" s="619"/>
      <c r="Q205" s="619"/>
      <c r="R205" s="619"/>
      <c r="S205" s="619"/>
      <c r="T205" s="769"/>
      <c r="U205" s="657"/>
      <c r="V205" s="658"/>
      <c r="W205" s="619"/>
      <c r="X205" s="619"/>
      <c r="Y205" s="619"/>
      <c r="Z205" s="619"/>
      <c r="AA205" s="619"/>
      <c r="AB205" s="619"/>
      <c r="AC205" s="681"/>
      <c r="AD205" s="774"/>
      <c r="AE205" s="408">
        <f t="shared" si="110"/>
        <v>0</v>
      </c>
      <c r="AF205" s="409"/>
      <c r="AG205" s="408"/>
      <c r="AH205" s="409">
        <f t="shared" si="102"/>
        <v>0</v>
      </c>
      <c r="AI205" s="410"/>
      <c r="AJ205" s="411">
        <f t="shared" si="103"/>
        <v>0</v>
      </c>
      <c r="AK205" s="234"/>
      <c r="AL205" s="234"/>
      <c r="AM205" s="234"/>
    </row>
    <row r="206" spans="1:39" ht="21" thickBot="1">
      <c r="A206" s="316"/>
      <c r="B206" s="570"/>
      <c r="C206" s="570"/>
      <c r="D206" s="754"/>
      <c r="E206" s="617"/>
      <c r="F206" s="618"/>
      <c r="G206" s="618"/>
      <c r="H206" s="618"/>
      <c r="I206" s="619"/>
      <c r="J206" s="619"/>
      <c r="K206" s="618"/>
      <c r="L206" s="657"/>
      <c r="M206" s="658"/>
      <c r="N206" s="619"/>
      <c r="O206" s="619"/>
      <c r="P206" s="619"/>
      <c r="Q206" s="619"/>
      <c r="R206" s="619"/>
      <c r="S206" s="619"/>
      <c r="T206" s="769"/>
      <c r="U206" s="657"/>
      <c r="V206" s="658"/>
      <c r="W206" s="619"/>
      <c r="X206" s="619"/>
      <c r="Y206" s="619"/>
      <c r="Z206" s="619"/>
      <c r="AA206" s="619"/>
      <c r="AB206" s="619"/>
      <c r="AC206" s="681"/>
      <c r="AD206" s="774"/>
      <c r="AE206" s="408">
        <f t="shared" si="110"/>
        <v>0</v>
      </c>
      <c r="AF206" s="409"/>
      <c r="AG206" s="408"/>
      <c r="AH206" s="409">
        <f t="shared" si="102"/>
        <v>0</v>
      </c>
      <c r="AI206" s="410"/>
      <c r="AJ206" s="411">
        <f t="shared" si="103"/>
        <v>0</v>
      </c>
      <c r="AK206" s="234"/>
      <c r="AL206" s="234"/>
      <c r="AM206" s="234"/>
    </row>
    <row r="207" spans="1:39" ht="21" thickBot="1">
      <c r="A207" s="316"/>
      <c r="B207" s="570"/>
      <c r="C207" s="570"/>
      <c r="D207" s="754"/>
      <c r="E207" s="617"/>
      <c r="F207" s="618"/>
      <c r="G207" s="618"/>
      <c r="H207" s="618"/>
      <c r="I207" s="619"/>
      <c r="J207" s="619"/>
      <c r="K207" s="618"/>
      <c r="L207" s="657"/>
      <c r="M207" s="658"/>
      <c r="N207" s="619"/>
      <c r="O207" s="619"/>
      <c r="P207" s="619"/>
      <c r="Q207" s="619"/>
      <c r="R207" s="619"/>
      <c r="S207" s="619"/>
      <c r="T207" s="769"/>
      <c r="U207" s="657"/>
      <c r="V207" s="658"/>
      <c r="W207" s="619"/>
      <c r="X207" s="619"/>
      <c r="Y207" s="619"/>
      <c r="Z207" s="619"/>
      <c r="AA207" s="619"/>
      <c r="AB207" s="619"/>
      <c r="AC207" s="681"/>
      <c r="AD207" s="774"/>
      <c r="AE207" s="408">
        <f t="shared" si="110"/>
        <v>0</v>
      </c>
      <c r="AF207" s="409"/>
      <c r="AG207" s="408"/>
      <c r="AH207" s="409">
        <f t="shared" si="102"/>
        <v>0</v>
      </c>
      <c r="AI207" s="410"/>
      <c r="AJ207" s="411">
        <f t="shared" si="103"/>
        <v>0</v>
      </c>
      <c r="AK207" s="234"/>
      <c r="AL207" s="234"/>
      <c r="AM207" s="234"/>
    </row>
    <row r="208" spans="1:39" ht="21" thickBot="1">
      <c r="A208" s="316"/>
      <c r="B208" s="570"/>
      <c r="C208" s="570"/>
      <c r="D208" s="754"/>
      <c r="E208" s="617"/>
      <c r="F208" s="618"/>
      <c r="G208" s="618"/>
      <c r="H208" s="618"/>
      <c r="I208" s="619"/>
      <c r="J208" s="619"/>
      <c r="K208" s="618"/>
      <c r="L208" s="657"/>
      <c r="M208" s="658"/>
      <c r="N208" s="619"/>
      <c r="O208" s="619"/>
      <c r="P208" s="619"/>
      <c r="Q208" s="619"/>
      <c r="R208" s="619"/>
      <c r="S208" s="619"/>
      <c r="T208" s="769"/>
      <c r="U208" s="657"/>
      <c r="V208" s="658"/>
      <c r="W208" s="619"/>
      <c r="X208" s="619"/>
      <c r="Y208" s="619"/>
      <c r="Z208" s="619"/>
      <c r="AA208" s="619"/>
      <c r="AB208" s="619"/>
      <c r="AC208" s="681"/>
      <c r="AD208" s="774"/>
      <c r="AE208" s="408">
        <f t="shared" si="110"/>
        <v>0</v>
      </c>
      <c r="AF208" s="409"/>
      <c r="AG208" s="408"/>
      <c r="AH208" s="409">
        <f t="shared" si="102"/>
        <v>0</v>
      </c>
      <c r="AI208" s="410"/>
      <c r="AJ208" s="411">
        <f t="shared" si="103"/>
        <v>0</v>
      </c>
      <c r="AK208" s="234"/>
      <c r="AL208" s="234"/>
      <c r="AM208" s="234"/>
    </row>
    <row r="209" spans="1:39" ht="21" thickBot="1">
      <c r="A209" s="316"/>
      <c r="B209" s="570"/>
      <c r="C209" s="570"/>
      <c r="D209" s="754"/>
      <c r="E209" s="617"/>
      <c r="F209" s="618"/>
      <c r="G209" s="618"/>
      <c r="H209" s="618"/>
      <c r="I209" s="619"/>
      <c r="J209" s="619"/>
      <c r="K209" s="618"/>
      <c r="L209" s="657"/>
      <c r="M209" s="658"/>
      <c r="N209" s="619"/>
      <c r="O209" s="619"/>
      <c r="P209" s="619"/>
      <c r="Q209" s="619"/>
      <c r="R209" s="619"/>
      <c r="S209" s="619"/>
      <c r="T209" s="769"/>
      <c r="U209" s="657"/>
      <c r="V209" s="658"/>
      <c r="W209" s="619"/>
      <c r="X209" s="619"/>
      <c r="Y209" s="619"/>
      <c r="Z209" s="619"/>
      <c r="AA209" s="619"/>
      <c r="AB209" s="619"/>
      <c r="AC209" s="681"/>
      <c r="AD209" s="774"/>
      <c r="AE209" s="408">
        <f t="shared" si="110"/>
        <v>0</v>
      </c>
      <c r="AF209" s="409"/>
      <c r="AG209" s="408"/>
      <c r="AH209" s="409">
        <f t="shared" si="102"/>
        <v>0</v>
      </c>
      <c r="AI209" s="410"/>
      <c r="AJ209" s="411">
        <f t="shared" si="103"/>
        <v>0</v>
      </c>
      <c r="AK209" s="234"/>
      <c r="AL209" s="234"/>
      <c r="AM209" s="234"/>
    </row>
    <row r="210" spans="1:39" ht="21" thickBot="1">
      <c r="A210" s="316"/>
      <c r="B210" s="570"/>
      <c r="C210" s="570"/>
      <c r="D210" s="754"/>
      <c r="E210" s="617"/>
      <c r="F210" s="618"/>
      <c r="G210" s="618"/>
      <c r="H210" s="618"/>
      <c r="I210" s="619"/>
      <c r="J210" s="619"/>
      <c r="K210" s="618"/>
      <c r="L210" s="657"/>
      <c r="M210" s="658"/>
      <c r="N210" s="619"/>
      <c r="O210" s="619"/>
      <c r="P210" s="619"/>
      <c r="Q210" s="619"/>
      <c r="R210" s="619"/>
      <c r="S210" s="619"/>
      <c r="T210" s="769"/>
      <c r="U210" s="657"/>
      <c r="V210" s="658"/>
      <c r="W210" s="619"/>
      <c r="X210" s="619"/>
      <c r="Y210" s="619"/>
      <c r="Z210" s="619"/>
      <c r="AA210" s="619"/>
      <c r="AB210" s="619"/>
      <c r="AC210" s="681"/>
      <c r="AD210" s="774"/>
      <c r="AE210" s="408">
        <f t="shared" si="110"/>
        <v>0</v>
      </c>
      <c r="AF210" s="409"/>
      <c r="AG210" s="408"/>
      <c r="AH210" s="409">
        <f t="shared" si="102"/>
        <v>0</v>
      </c>
      <c r="AI210" s="410"/>
      <c r="AJ210" s="411">
        <f t="shared" si="103"/>
        <v>0</v>
      </c>
      <c r="AK210" s="234"/>
      <c r="AL210" s="234"/>
      <c r="AM210" s="234"/>
    </row>
    <row r="211" spans="1:39" ht="21" thickBot="1">
      <c r="A211" s="316"/>
      <c r="B211" s="570"/>
      <c r="C211" s="570"/>
      <c r="D211" s="754"/>
      <c r="E211" s="617"/>
      <c r="F211" s="618"/>
      <c r="G211" s="618"/>
      <c r="H211" s="618"/>
      <c r="I211" s="619"/>
      <c r="J211" s="619"/>
      <c r="K211" s="618"/>
      <c r="L211" s="657"/>
      <c r="M211" s="658"/>
      <c r="N211" s="619"/>
      <c r="O211" s="619"/>
      <c r="P211" s="619"/>
      <c r="Q211" s="619"/>
      <c r="R211" s="619"/>
      <c r="S211" s="619"/>
      <c r="T211" s="769"/>
      <c r="U211" s="657"/>
      <c r="V211" s="658"/>
      <c r="W211" s="619"/>
      <c r="X211" s="619"/>
      <c r="Y211" s="619"/>
      <c r="Z211" s="619"/>
      <c r="AA211" s="619"/>
      <c r="AB211" s="619"/>
      <c r="AC211" s="681"/>
      <c r="AD211" s="774"/>
      <c r="AE211" s="408">
        <f t="shared" si="110"/>
        <v>0</v>
      </c>
      <c r="AF211" s="409"/>
      <c r="AG211" s="408"/>
      <c r="AH211" s="409">
        <f t="shared" si="102"/>
        <v>0</v>
      </c>
      <c r="AI211" s="410"/>
      <c r="AJ211" s="411">
        <f t="shared" si="103"/>
        <v>0</v>
      </c>
      <c r="AK211" s="234"/>
      <c r="AL211" s="234"/>
      <c r="AM211" s="234"/>
    </row>
    <row r="212" spans="1:39" ht="21" thickBot="1">
      <c r="A212" s="316"/>
      <c r="B212" s="570"/>
      <c r="C212" s="570"/>
      <c r="D212" s="754"/>
      <c r="E212" s="617"/>
      <c r="F212" s="618"/>
      <c r="G212" s="618"/>
      <c r="H212" s="618"/>
      <c r="I212" s="619"/>
      <c r="J212" s="619"/>
      <c r="K212" s="618"/>
      <c r="L212" s="657"/>
      <c r="M212" s="658"/>
      <c r="N212" s="619"/>
      <c r="O212" s="619"/>
      <c r="P212" s="619"/>
      <c r="Q212" s="619"/>
      <c r="R212" s="619"/>
      <c r="S212" s="619"/>
      <c r="T212" s="769"/>
      <c r="U212" s="657"/>
      <c r="V212" s="658"/>
      <c r="W212" s="619"/>
      <c r="X212" s="619"/>
      <c r="Y212" s="619"/>
      <c r="Z212" s="619"/>
      <c r="AA212" s="619"/>
      <c r="AB212" s="619"/>
      <c r="AC212" s="681"/>
      <c r="AD212" s="774"/>
      <c r="AE212" s="408">
        <f t="shared" si="110"/>
        <v>0</v>
      </c>
      <c r="AF212" s="409"/>
      <c r="AG212" s="408"/>
      <c r="AH212" s="409">
        <f t="shared" si="102"/>
        <v>0</v>
      </c>
      <c r="AI212" s="410"/>
      <c r="AJ212" s="411">
        <f t="shared" si="103"/>
        <v>0</v>
      </c>
      <c r="AK212" s="234"/>
      <c r="AL212" s="234"/>
      <c r="AM212" s="234"/>
    </row>
    <row r="213" spans="1:39" ht="21" thickBot="1">
      <c r="A213" s="316"/>
      <c r="B213" s="570"/>
      <c r="C213" s="570"/>
      <c r="D213" s="754"/>
      <c r="E213" s="617"/>
      <c r="F213" s="618"/>
      <c r="G213" s="618"/>
      <c r="H213" s="618"/>
      <c r="I213" s="619"/>
      <c r="J213" s="619"/>
      <c r="K213" s="618"/>
      <c r="L213" s="657"/>
      <c r="M213" s="658"/>
      <c r="N213" s="619"/>
      <c r="O213" s="619"/>
      <c r="P213" s="619"/>
      <c r="Q213" s="619"/>
      <c r="R213" s="619"/>
      <c r="S213" s="619"/>
      <c r="T213" s="769"/>
      <c r="U213" s="657"/>
      <c r="V213" s="658"/>
      <c r="W213" s="619"/>
      <c r="X213" s="619"/>
      <c r="Y213" s="619"/>
      <c r="Z213" s="619"/>
      <c r="AA213" s="619"/>
      <c r="AB213" s="619"/>
      <c r="AC213" s="681"/>
      <c r="AD213" s="774"/>
      <c r="AE213" s="408">
        <f t="shared" si="110"/>
        <v>0</v>
      </c>
      <c r="AF213" s="409"/>
      <c r="AG213" s="408"/>
      <c r="AH213" s="409">
        <f t="shared" si="102"/>
        <v>0</v>
      </c>
      <c r="AI213" s="410"/>
      <c r="AJ213" s="411">
        <f t="shared" si="103"/>
        <v>0</v>
      </c>
      <c r="AK213" s="234"/>
      <c r="AL213" s="234"/>
      <c r="AM213" s="234"/>
    </row>
    <row r="214" spans="1:39" ht="20.25">
      <c r="A214" s="316"/>
      <c r="B214" s="570"/>
      <c r="C214" s="570"/>
      <c r="D214" s="754"/>
      <c r="E214" s="617"/>
      <c r="F214" s="618"/>
      <c r="G214" s="618"/>
      <c r="H214" s="618"/>
      <c r="I214" s="619"/>
      <c r="J214" s="619"/>
      <c r="K214" s="618"/>
      <c r="L214" s="657"/>
      <c r="M214" s="658"/>
      <c r="N214" s="619"/>
      <c r="O214" s="619"/>
      <c r="P214" s="619"/>
      <c r="Q214" s="619"/>
      <c r="R214" s="619"/>
      <c r="S214" s="619"/>
      <c r="T214" s="769"/>
      <c r="U214" s="657"/>
      <c r="V214" s="658"/>
      <c r="W214" s="619"/>
      <c r="X214" s="619"/>
      <c r="Y214" s="619"/>
      <c r="Z214" s="619"/>
      <c r="AA214" s="619"/>
      <c r="AB214" s="619"/>
      <c r="AC214" s="681"/>
      <c r="AD214" s="775"/>
      <c r="AE214" s="419">
        <f t="shared" si="110"/>
        <v>0</v>
      </c>
      <c r="AF214" s="420"/>
      <c r="AG214" s="419"/>
      <c r="AH214" s="420">
        <f t="shared" si="102"/>
        <v>0</v>
      </c>
      <c r="AI214" s="421"/>
      <c r="AJ214" s="422">
        <f t="shared" si="103"/>
        <v>0</v>
      </c>
      <c r="AK214" s="234"/>
      <c r="AL214" s="234"/>
      <c r="AM214" s="234"/>
    </row>
    <row r="215" spans="1:39" ht="21" thickBot="1">
      <c r="A215" s="779"/>
      <c r="B215" s="780"/>
      <c r="C215" s="780"/>
      <c r="D215" s="781"/>
      <c r="E215" s="617"/>
      <c r="F215" s="618"/>
      <c r="G215" s="618"/>
      <c r="H215" s="618"/>
      <c r="I215" s="619"/>
      <c r="J215" s="619"/>
      <c r="K215" s="618"/>
      <c r="L215" s="657"/>
      <c r="M215" s="658"/>
      <c r="N215" s="619"/>
      <c r="O215" s="619"/>
      <c r="P215" s="619"/>
      <c r="Q215" s="619"/>
      <c r="R215" s="619"/>
      <c r="S215" s="619"/>
      <c r="T215" s="769"/>
      <c r="U215" s="657"/>
      <c r="V215" s="658"/>
      <c r="W215" s="619"/>
      <c r="X215" s="619"/>
      <c r="Y215" s="619"/>
      <c r="Z215" s="619"/>
      <c r="AA215" s="619"/>
      <c r="AB215" s="619"/>
      <c r="AC215" s="681"/>
      <c r="AD215" s="774"/>
      <c r="AE215" s="785">
        <f t="shared" si="110"/>
        <v>0</v>
      </c>
      <c r="AF215" s="786"/>
      <c r="AG215" s="785"/>
      <c r="AH215" s="786">
        <f t="shared" si="102"/>
        <v>0</v>
      </c>
      <c r="AI215" s="790"/>
      <c r="AJ215" s="791">
        <f t="shared" si="103"/>
        <v>0</v>
      </c>
    </row>
    <row r="216" spans="1:39" ht="21" thickBot="1">
      <c r="A216" s="626" t="s">
        <v>151</v>
      </c>
      <c r="B216" s="627"/>
      <c r="C216" s="627"/>
      <c r="D216" s="628"/>
      <c r="E216" s="529">
        <f t="shared" ref="E216:K216" si="111">SUM(E164:E215)</f>
        <v>0</v>
      </c>
      <c r="F216" s="691">
        <f t="shared" si="111"/>
        <v>0</v>
      </c>
      <c r="G216" s="691">
        <f t="shared" si="111"/>
        <v>0</v>
      </c>
      <c r="H216" s="691">
        <f t="shared" si="111"/>
        <v>0</v>
      </c>
      <c r="I216" s="691">
        <f t="shared" si="111"/>
        <v>0</v>
      </c>
      <c r="J216" s="691">
        <f t="shared" si="111"/>
        <v>0</v>
      </c>
      <c r="K216" s="574">
        <f t="shared" si="111"/>
        <v>0</v>
      </c>
      <c r="L216" s="693"/>
      <c r="M216" s="691">
        <f t="shared" ref="M216:AJ216" si="112">SUM(M164:M215)</f>
        <v>0</v>
      </c>
      <c r="N216" s="691">
        <f t="shared" si="112"/>
        <v>0</v>
      </c>
      <c r="O216" s="691">
        <f t="shared" si="112"/>
        <v>0</v>
      </c>
      <c r="P216" s="691">
        <f t="shared" si="112"/>
        <v>0</v>
      </c>
      <c r="Q216" s="691">
        <f t="shared" si="112"/>
        <v>0</v>
      </c>
      <c r="R216" s="691">
        <f t="shared" si="112"/>
        <v>0</v>
      </c>
      <c r="S216" s="691">
        <f t="shared" si="112"/>
        <v>0</v>
      </c>
      <c r="T216" s="691">
        <f t="shared" si="112"/>
        <v>0</v>
      </c>
      <c r="U216" s="693">
        <f t="shared" si="112"/>
        <v>0</v>
      </c>
      <c r="V216" s="691">
        <f t="shared" si="112"/>
        <v>0</v>
      </c>
      <c r="W216" s="691">
        <f t="shared" si="112"/>
        <v>0</v>
      </c>
      <c r="X216" s="691">
        <f t="shared" si="112"/>
        <v>0</v>
      </c>
      <c r="Y216" s="691">
        <f t="shared" si="112"/>
        <v>0</v>
      </c>
      <c r="Z216" s="691">
        <f t="shared" si="112"/>
        <v>0</v>
      </c>
      <c r="AA216" s="691">
        <f t="shared" si="112"/>
        <v>0</v>
      </c>
      <c r="AB216" s="691">
        <f t="shared" si="112"/>
        <v>0</v>
      </c>
      <c r="AC216" s="691">
        <f t="shared" si="112"/>
        <v>0</v>
      </c>
      <c r="AD216" s="575">
        <f t="shared" si="112"/>
        <v>0</v>
      </c>
      <c r="AE216" s="687">
        <f t="shared" si="112"/>
        <v>0</v>
      </c>
      <c r="AF216" s="687">
        <f t="shared" si="112"/>
        <v>0</v>
      </c>
      <c r="AG216" s="687">
        <f t="shared" si="112"/>
        <v>0</v>
      </c>
      <c r="AH216" s="687">
        <f t="shared" si="112"/>
        <v>0</v>
      </c>
      <c r="AI216" s="687">
        <f t="shared" si="112"/>
        <v>0</v>
      </c>
      <c r="AJ216" s="687">
        <f t="shared" si="112"/>
        <v>0</v>
      </c>
    </row>
    <row r="217" spans="1:39" ht="21" thickBot="1">
      <c r="A217" s="530" t="s">
        <v>152</v>
      </c>
      <c r="B217" s="531"/>
      <c r="C217" s="531"/>
      <c r="D217" s="630"/>
      <c r="E217" s="533">
        <f t="shared" ref="E217:K217" si="113">E216/16</f>
        <v>0</v>
      </c>
      <c r="F217" s="533">
        <f t="shared" si="113"/>
        <v>0</v>
      </c>
      <c r="G217" s="533">
        <f t="shared" si="113"/>
        <v>0</v>
      </c>
      <c r="H217" s="533">
        <f t="shared" si="113"/>
        <v>0</v>
      </c>
      <c r="I217" s="533">
        <f t="shared" si="113"/>
        <v>0</v>
      </c>
      <c r="J217" s="533">
        <f t="shared" si="113"/>
        <v>0</v>
      </c>
      <c r="K217" s="533">
        <f t="shared" si="113"/>
        <v>0</v>
      </c>
      <c r="L217" s="533"/>
      <c r="M217" s="533">
        <f t="shared" ref="M217:AJ217" si="114">M216/16</f>
        <v>0</v>
      </c>
      <c r="N217" s="533">
        <f t="shared" si="114"/>
        <v>0</v>
      </c>
      <c r="O217" s="533">
        <f t="shared" si="114"/>
        <v>0</v>
      </c>
      <c r="P217" s="533">
        <f t="shared" si="114"/>
        <v>0</v>
      </c>
      <c r="Q217" s="533">
        <f t="shared" si="114"/>
        <v>0</v>
      </c>
      <c r="R217" s="533">
        <f t="shared" si="114"/>
        <v>0</v>
      </c>
      <c r="S217" s="533">
        <f t="shared" si="114"/>
        <v>0</v>
      </c>
      <c r="T217" s="533">
        <f t="shared" si="114"/>
        <v>0</v>
      </c>
      <c r="U217" s="533">
        <f t="shared" si="114"/>
        <v>0</v>
      </c>
      <c r="V217" s="691">
        <f>SUM(V165:V216)</f>
        <v>0</v>
      </c>
      <c r="W217" s="533">
        <f t="shared" si="114"/>
        <v>0</v>
      </c>
      <c r="X217" s="533">
        <f t="shared" si="114"/>
        <v>0</v>
      </c>
      <c r="Y217" s="533">
        <f t="shared" si="114"/>
        <v>0</v>
      </c>
      <c r="Z217" s="533">
        <f t="shared" si="114"/>
        <v>0</v>
      </c>
      <c r="AA217" s="533">
        <f t="shared" si="114"/>
        <v>0</v>
      </c>
      <c r="AB217" s="533">
        <f t="shared" si="114"/>
        <v>0</v>
      </c>
      <c r="AC217" s="687">
        <f t="shared" si="114"/>
        <v>0</v>
      </c>
      <c r="AD217" s="533">
        <f t="shared" si="114"/>
        <v>0</v>
      </c>
      <c r="AE217" s="533">
        <f t="shared" si="114"/>
        <v>0</v>
      </c>
      <c r="AF217" s="533">
        <f t="shared" si="114"/>
        <v>0</v>
      </c>
      <c r="AG217" s="533">
        <f t="shared" si="114"/>
        <v>0</v>
      </c>
      <c r="AH217" s="533">
        <f t="shared" si="114"/>
        <v>0</v>
      </c>
      <c r="AI217" s="533">
        <f t="shared" si="114"/>
        <v>0</v>
      </c>
      <c r="AJ217" s="533">
        <f t="shared" si="114"/>
        <v>0</v>
      </c>
      <c r="AK217" s="403"/>
      <c r="AL217" s="403"/>
      <c r="AM217" s="403"/>
    </row>
    <row r="218" spans="1:39" ht="19.5" thickBot="1">
      <c r="A218" s="306"/>
      <c r="B218" s="307"/>
      <c r="C218" s="307"/>
      <c r="D218" s="308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346"/>
      <c r="V218" s="347"/>
      <c r="W218" s="347"/>
      <c r="X218" s="347"/>
      <c r="Y218" s="347"/>
      <c r="Z218" s="347"/>
      <c r="AA218" s="347"/>
      <c r="AB218" s="347"/>
      <c r="AC218" s="347"/>
      <c r="AD218" s="346"/>
      <c r="AE218" s="347"/>
      <c r="AF218" s="347"/>
      <c r="AG218" s="347"/>
      <c r="AH218" s="347"/>
      <c r="AI218" s="347"/>
      <c r="AJ218" s="402"/>
      <c r="AK218" s="282"/>
      <c r="AL218" s="282"/>
      <c r="AM218" s="282"/>
    </row>
    <row r="219" spans="1:39" ht="16.5" thickBot="1">
      <c r="A219" s="3881" t="s">
        <v>183</v>
      </c>
      <c r="B219" s="3882"/>
      <c r="C219" s="3883"/>
      <c r="D219" s="288" t="s">
        <v>70</v>
      </c>
      <c r="E219" s="743" t="s">
        <v>86</v>
      </c>
      <c r="F219" s="744" t="s">
        <v>85</v>
      </c>
      <c r="G219" s="744" t="s">
        <v>258</v>
      </c>
      <c r="H219" s="744" t="s">
        <v>255</v>
      </c>
      <c r="I219" s="782" t="s">
        <v>255</v>
      </c>
      <c r="J219" s="755" t="s">
        <v>53</v>
      </c>
      <c r="K219" s="783" t="s">
        <v>80</v>
      </c>
      <c r="L219" s="79"/>
      <c r="M219" s="743" t="s">
        <v>71</v>
      </c>
      <c r="N219" s="50" t="s">
        <v>72</v>
      </c>
      <c r="O219" s="48" t="s">
        <v>118</v>
      </c>
      <c r="P219" s="755" t="s">
        <v>95</v>
      </c>
      <c r="Q219" s="744" t="s">
        <v>75</v>
      </c>
      <c r="R219" s="744" t="s">
        <v>223</v>
      </c>
      <c r="S219" s="50" t="s">
        <v>77</v>
      </c>
      <c r="T219" s="171" t="s">
        <v>94</v>
      </c>
      <c r="U219" s="79"/>
      <c r="V219" s="745" t="str">
        <f>V3</f>
        <v>S-W</v>
      </c>
      <c r="W219" s="746" t="str">
        <f>W3</f>
        <v>C-W</v>
      </c>
      <c r="X219" s="784" t="s">
        <v>260</v>
      </c>
      <c r="Y219" s="787" t="str">
        <f>Y3</f>
        <v>Black</v>
      </c>
      <c r="Z219" s="788" t="s">
        <v>81</v>
      </c>
      <c r="AA219" s="789" t="str">
        <f>AA3</f>
        <v>B-Brown</v>
      </c>
      <c r="AB219" s="746" t="str">
        <f>AB3</f>
        <v>T-W</v>
      </c>
      <c r="AC219" s="717" t="str">
        <f>AC3</f>
        <v>Karara</v>
      </c>
      <c r="AD219" s="79"/>
      <c r="AE219" s="371" t="s">
        <v>172</v>
      </c>
      <c r="AF219" s="372" t="s">
        <v>80</v>
      </c>
      <c r="AG219" s="385"/>
      <c r="AH219" s="386" t="s">
        <v>106</v>
      </c>
      <c r="AI219" s="385" t="s">
        <v>173</v>
      </c>
      <c r="AJ219" s="371" t="s">
        <v>108</v>
      </c>
      <c r="AK219" s="283"/>
      <c r="AL219" s="283"/>
      <c r="AM219" s="283"/>
    </row>
    <row r="220" spans="1:39" ht="20.25">
      <c r="A220" s="631" t="s">
        <v>184</v>
      </c>
      <c r="B220" s="443"/>
      <c r="C220" s="443"/>
      <c r="D220" s="444"/>
      <c r="E220" s="433"/>
      <c r="F220" s="434"/>
      <c r="G220" s="434"/>
      <c r="H220" s="434"/>
      <c r="I220" s="435"/>
      <c r="J220" s="435"/>
      <c r="K220" s="434"/>
      <c r="L220" s="483"/>
      <c r="M220" s="484"/>
      <c r="N220" s="435"/>
      <c r="O220" s="435"/>
      <c r="P220" s="435"/>
      <c r="Q220" s="435"/>
      <c r="R220" s="435"/>
      <c r="S220" s="435"/>
      <c r="T220" s="492"/>
      <c r="U220" s="483"/>
      <c r="V220" s="433"/>
      <c r="W220" s="434"/>
      <c r="X220" s="434"/>
      <c r="Y220" s="435"/>
      <c r="Z220" s="435"/>
      <c r="AA220" s="435"/>
      <c r="AB220" s="434"/>
      <c r="AC220" s="495"/>
      <c r="AD220" s="483"/>
      <c r="AE220" s="496">
        <f>SUM(E220:AC220)</f>
        <v>0</v>
      </c>
      <c r="AF220" s="497"/>
      <c r="AG220" s="510"/>
      <c r="AH220" s="511">
        <f t="shared" ref="AH220:AH221" si="115">AE220+AF220</f>
        <v>0</v>
      </c>
      <c r="AI220" s="512"/>
      <c r="AJ220" s="703">
        <f>AH220+AI220</f>
        <v>0</v>
      </c>
      <c r="AK220" s="283"/>
      <c r="AL220" s="283"/>
      <c r="AM220" s="283"/>
    </row>
    <row r="221" spans="1:39" ht="21" thickBot="1">
      <c r="A221" s="322"/>
      <c r="B221" s="323"/>
      <c r="C221" s="323"/>
      <c r="D221" s="324"/>
      <c r="E221" s="325"/>
      <c r="F221" s="297"/>
      <c r="G221" s="297"/>
      <c r="H221" s="297"/>
      <c r="I221" s="298"/>
      <c r="J221" s="298"/>
      <c r="K221" s="297"/>
      <c r="L221" s="355"/>
      <c r="M221" s="343"/>
      <c r="N221" s="298"/>
      <c r="O221" s="298"/>
      <c r="P221" s="298"/>
      <c r="Q221" s="298"/>
      <c r="R221" s="298"/>
      <c r="S221" s="298"/>
      <c r="T221" s="367"/>
      <c r="U221" s="355"/>
      <c r="V221" s="325"/>
      <c r="W221" s="297"/>
      <c r="X221" s="297"/>
      <c r="Y221" s="298"/>
      <c r="Z221" s="298"/>
      <c r="AA221" s="298"/>
      <c r="AB221" s="297"/>
      <c r="AC221" s="375"/>
      <c r="AD221" s="355"/>
      <c r="AE221" s="377">
        <f>SUM(E221:AC221)</f>
        <v>0</v>
      </c>
      <c r="AF221" s="377"/>
      <c r="AG221" s="390"/>
      <c r="AH221" s="507">
        <f t="shared" si="115"/>
        <v>0</v>
      </c>
      <c r="AI221" s="412"/>
      <c r="AJ221" s="508">
        <f t="shared" ref="AJ221" si="116">AH221+AI221</f>
        <v>0</v>
      </c>
      <c r="AK221" s="283"/>
      <c r="AL221" s="283"/>
      <c r="AM221" s="283"/>
    </row>
    <row r="222" spans="1:39" ht="21" thickBot="1">
      <c r="A222" s="436"/>
      <c r="B222" s="437"/>
      <c r="C222" s="437"/>
      <c r="D222" s="438"/>
      <c r="E222" s="439">
        <f>SUM(E220:E221)</f>
        <v>0</v>
      </c>
      <c r="F222" s="439">
        <f t="shared" ref="F222:K222" si="117">SUM(F220:F221)</f>
        <v>0</v>
      </c>
      <c r="G222" s="439">
        <f t="shared" si="117"/>
        <v>0</v>
      </c>
      <c r="H222" s="439">
        <f t="shared" si="117"/>
        <v>0</v>
      </c>
      <c r="I222" s="439">
        <f t="shared" si="117"/>
        <v>0</v>
      </c>
      <c r="J222" s="439">
        <f t="shared" si="117"/>
        <v>0</v>
      </c>
      <c r="K222" s="439">
        <f t="shared" si="117"/>
        <v>0</v>
      </c>
      <c r="L222" s="482"/>
      <c r="M222" s="439">
        <f>SUM(M220:M221)</f>
        <v>0</v>
      </c>
      <c r="N222" s="440">
        <f>SUM(N220:N221)</f>
        <v>0</v>
      </c>
      <c r="O222" s="440">
        <f>SUM(O220:O221)</f>
        <v>0</v>
      </c>
      <c r="P222" s="440">
        <f>SUM(P220:P221)</f>
        <v>0</v>
      </c>
      <c r="Q222" s="440">
        <f>SUM(Q220:Q221)</f>
        <v>0</v>
      </c>
      <c r="R222" s="440">
        <f t="shared" ref="R222:T222" si="118">SUM(R220:R221)</f>
        <v>0</v>
      </c>
      <c r="S222" s="440">
        <f t="shared" si="118"/>
        <v>0</v>
      </c>
      <c r="T222" s="481">
        <f t="shared" si="118"/>
        <v>0</v>
      </c>
      <c r="U222" s="482"/>
      <c r="V222" s="439">
        <f t="shared" ref="V222:AC222" si="119">SUM(V220:V221)</f>
        <v>0</v>
      </c>
      <c r="W222" s="440">
        <f t="shared" si="119"/>
        <v>0</v>
      </c>
      <c r="X222" s="440">
        <f t="shared" si="119"/>
        <v>0</v>
      </c>
      <c r="Y222" s="440">
        <f t="shared" si="119"/>
        <v>0</v>
      </c>
      <c r="Z222" s="440">
        <f t="shared" si="119"/>
        <v>0</v>
      </c>
      <c r="AA222" s="440">
        <f t="shared" si="119"/>
        <v>0</v>
      </c>
      <c r="AB222" s="440">
        <f t="shared" si="119"/>
        <v>0</v>
      </c>
      <c r="AC222" s="481">
        <f t="shared" si="119"/>
        <v>0</v>
      </c>
      <c r="AD222" s="482"/>
      <c r="AE222" s="494">
        <f>SUM(AE220:AE221)</f>
        <v>0</v>
      </c>
      <c r="AF222" s="494">
        <f>SUM(AF220:AF221)</f>
        <v>0</v>
      </c>
      <c r="AG222" s="509"/>
      <c r="AH222" s="514">
        <f>SUM(AH220:AH221)</f>
        <v>0</v>
      </c>
      <c r="AI222" s="494">
        <f>SUM(AI220:AI221)</f>
        <v>0</v>
      </c>
      <c r="AJ222" s="515">
        <f>SUM(AJ220:AJ221)</f>
        <v>0</v>
      </c>
      <c r="AK222" s="403"/>
      <c r="AL222" s="403"/>
      <c r="AM222" s="403"/>
    </row>
    <row r="223" spans="1:39" ht="19.5" thickBot="1">
      <c r="A223" s="522"/>
      <c r="B223" s="523"/>
      <c r="C223" s="523"/>
      <c r="D223" s="524"/>
      <c r="E223" s="525"/>
      <c r="F223" s="525"/>
      <c r="G223" s="525"/>
      <c r="H223" s="525"/>
      <c r="I223" s="525"/>
      <c r="J223" s="525"/>
      <c r="K223" s="525"/>
      <c r="L223" s="572"/>
      <c r="M223" s="573"/>
      <c r="N223" s="573"/>
      <c r="O223" s="573"/>
      <c r="P223" s="573"/>
      <c r="Q223" s="573"/>
      <c r="R223" s="573"/>
      <c r="S223" s="573"/>
      <c r="T223" s="573"/>
      <c r="U223" s="572"/>
      <c r="V223" s="573"/>
      <c r="W223" s="573"/>
      <c r="X223" s="573"/>
      <c r="Y223" s="573"/>
      <c r="Z223" s="573"/>
      <c r="AA223" s="573"/>
      <c r="AB223" s="573"/>
      <c r="AC223" s="573"/>
      <c r="AD223" s="572"/>
      <c r="AE223" s="573"/>
      <c r="AF223" s="573"/>
      <c r="AG223" s="599"/>
      <c r="AH223" s="573"/>
      <c r="AI223" s="573"/>
      <c r="AJ223" s="600"/>
    </row>
    <row r="224" spans="1:39" ht="21" thickBot="1">
      <c r="A224" s="636" t="s">
        <v>264</v>
      </c>
      <c r="B224" s="637"/>
      <c r="C224" s="637"/>
      <c r="D224" s="638"/>
      <c r="E224" s="529">
        <f t="shared" ref="E224:K224" si="120">E159-E216+E222</f>
        <v>0</v>
      </c>
      <c r="F224" s="639">
        <f t="shared" si="120"/>
        <v>0</v>
      </c>
      <c r="G224" s="639">
        <f t="shared" si="120"/>
        <v>0</v>
      </c>
      <c r="H224" s="639">
        <f t="shared" si="120"/>
        <v>0</v>
      </c>
      <c r="I224" s="639">
        <f t="shared" si="120"/>
        <v>0</v>
      </c>
      <c r="J224" s="639">
        <f t="shared" si="120"/>
        <v>0</v>
      </c>
      <c r="K224" s="639">
        <f t="shared" si="120"/>
        <v>0</v>
      </c>
      <c r="L224" s="574"/>
      <c r="M224" s="665">
        <f t="shared" ref="M224:T224" si="121">M159-M216+M222</f>
        <v>0</v>
      </c>
      <c r="N224" s="666">
        <f t="shared" si="121"/>
        <v>0</v>
      </c>
      <c r="O224" s="666">
        <f t="shared" si="121"/>
        <v>0</v>
      </c>
      <c r="P224" s="666">
        <f t="shared" si="121"/>
        <v>0</v>
      </c>
      <c r="Q224" s="666">
        <f t="shared" si="121"/>
        <v>0</v>
      </c>
      <c r="R224" s="666">
        <f t="shared" si="121"/>
        <v>0</v>
      </c>
      <c r="S224" s="666">
        <f t="shared" si="121"/>
        <v>0</v>
      </c>
      <c r="T224" s="674">
        <f t="shared" si="121"/>
        <v>0</v>
      </c>
      <c r="U224" s="574"/>
      <c r="V224" s="665">
        <f t="shared" ref="V224:AC224" si="122">V159-V216+V222</f>
        <v>0</v>
      </c>
      <c r="W224" s="666">
        <f t="shared" si="122"/>
        <v>0</v>
      </c>
      <c r="X224" s="666">
        <f t="shared" si="122"/>
        <v>0</v>
      </c>
      <c r="Y224" s="666">
        <f t="shared" si="122"/>
        <v>0</v>
      </c>
      <c r="Z224" s="666">
        <f t="shared" si="122"/>
        <v>0</v>
      </c>
      <c r="AA224" s="666">
        <f t="shared" si="122"/>
        <v>0</v>
      </c>
      <c r="AB224" s="666">
        <f t="shared" si="122"/>
        <v>0</v>
      </c>
      <c r="AC224" s="674">
        <f t="shared" si="122"/>
        <v>0</v>
      </c>
      <c r="AD224" s="691"/>
      <c r="AE224" s="529">
        <f>AE159-AE216+AE222</f>
        <v>0</v>
      </c>
      <c r="AF224" s="3775">
        <f>AF159-AF216-AG216+AF222</f>
        <v>0</v>
      </c>
      <c r="AG224" s="3884"/>
      <c r="AH224" s="529">
        <f>AH159-AH216+AH222</f>
        <v>0</v>
      </c>
      <c r="AI224" s="529">
        <f>AI159-AI216+AI222</f>
        <v>0</v>
      </c>
      <c r="AJ224" s="693">
        <f>AJ159-AJ216+AJ222</f>
        <v>0</v>
      </c>
    </row>
    <row r="225" spans="1:37" ht="21" thickBot="1">
      <c r="A225" s="640" t="s">
        <v>265</v>
      </c>
      <c r="B225" s="641"/>
      <c r="C225" s="641"/>
      <c r="D225" s="642"/>
      <c r="E225" s="529">
        <f>E224/6</f>
        <v>0</v>
      </c>
      <c r="F225" s="529">
        <f t="shared" ref="F225:K225" si="123">F224/6</f>
        <v>0</v>
      </c>
      <c r="G225" s="529">
        <f t="shared" si="123"/>
        <v>0</v>
      </c>
      <c r="H225" s="529">
        <f t="shared" si="123"/>
        <v>0</v>
      </c>
      <c r="I225" s="529">
        <f t="shared" si="123"/>
        <v>0</v>
      </c>
      <c r="J225" s="529">
        <f t="shared" si="123"/>
        <v>0</v>
      </c>
      <c r="K225" s="529">
        <f t="shared" si="123"/>
        <v>0</v>
      </c>
      <c r="L225" s="529"/>
      <c r="M225" s="529">
        <f>M224/6</f>
        <v>0</v>
      </c>
      <c r="N225" s="529">
        <f t="shared" ref="N225:T225" si="124">N224/6</f>
        <v>0</v>
      </c>
      <c r="O225" s="529">
        <f t="shared" si="124"/>
        <v>0</v>
      </c>
      <c r="P225" s="529">
        <f t="shared" si="124"/>
        <v>0</v>
      </c>
      <c r="Q225" s="529">
        <f t="shared" si="124"/>
        <v>0</v>
      </c>
      <c r="R225" s="529">
        <f t="shared" si="124"/>
        <v>0</v>
      </c>
      <c r="S225" s="529">
        <f t="shared" si="124"/>
        <v>0</v>
      </c>
      <c r="T225" s="529">
        <f t="shared" si="124"/>
        <v>0</v>
      </c>
      <c r="U225" s="529"/>
      <c r="V225" s="529">
        <f>V224/6</f>
        <v>0</v>
      </c>
      <c r="W225" s="529">
        <f t="shared" ref="W225:AC225" si="125">W224/6</f>
        <v>0</v>
      </c>
      <c r="X225" s="529">
        <f t="shared" si="125"/>
        <v>0</v>
      </c>
      <c r="Y225" s="529">
        <f t="shared" si="125"/>
        <v>0</v>
      </c>
      <c r="Z225" s="529">
        <f t="shared" si="125"/>
        <v>0</v>
      </c>
      <c r="AA225" s="529">
        <f t="shared" si="125"/>
        <v>0</v>
      </c>
      <c r="AB225" s="529">
        <f t="shared" si="125"/>
        <v>0</v>
      </c>
      <c r="AC225" s="529">
        <f t="shared" si="125"/>
        <v>0</v>
      </c>
      <c r="AD225" s="692"/>
      <c r="AE225" s="693">
        <f>AE224/6</f>
        <v>0</v>
      </c>
      <c r="AF225" s="3775">
        <f>AF224/6</f>
        <v>0</v>
      </c>
      <c r="AG225" s="3884"/>
      <c r="AH225" s="693">
        <f>AH224/6</f>
        <v>0</v>
      </c>
      <c r="AI225" s="693">
        <f>AI224/6</f>
        <v>0</v>
      </c>
      <c r="AJ225" s="693">
        <f>AJ224/6</f>
        <v>0</v>
      </c>
      <c r="AK225" s="1"/>
    </row>
    <row r="226" spans="1:37" ht="21" thickBot="1">
      <c r="A226" s="643" t="s">
        <v>156</v>
      </c>
      <c r="B226" s="644"/>
      <c r="C226" s="644"/>
      <c r="D226" s="645"/>
      <c r="E226" s="3885">
        <f>SUM(E225:K225)</f>
        <v>0</v>
      </c>
      <c r="F226" s="3886"/>
      <c r="G226" s="3886"/>
      <c r="H226" s="3886"/>
      <c r="I226" s="3886"/>
      <c r="J226" s="3886"/>
      <c r="K226" s="3886"/>
      <c r="L226" s="667"/>
      <c r="M226" s="3775">
        <f>SUM(M225:T225)</f>
        <v>0</v>
      </c>
      <c r="N226" s="3887"/>
      <c r="O226" s="3887"/>
      <c r="P226" s="3887"/>
      <c r="Q226" s="3887"/>
      <c r="R226" s="3887"/>
      <c r="S226" s="3887"/>
      <c r="T226" s="3884"/>
      <c r="U226" s="675"/>
      <c r="V226" s="3778">
        <f>SUM(V225:AC225)</f>
        <v>0</v>
      </c>
      <c r="W226" s="3779"/>
      <c r="X226" s="3779"/>
      <c r="Y226" s="3779"/>
      <c r="Z226" s="3779"/>
      <c r="AA226" s="3779"/>
      <c r="AB226" s="3779"/>
      <c r="AC226" s="3780"/>
      <c r="AD226" s="694"/>
      <c r="AE226" s="694"/>
      <c r="AF226" s="694"/>
      <c r="AG226" s="694"/>
      <c r="AH226" s="694"/>
      <c r="AI226" s="694"/>
      <c r="AJ226" s="707"/>
    </row>
    <row r="227" spans="1:37" ht="21" thickBot="1">
      <c r="A227" s="646" t="s">
        <v>157</v>
      </c>
      <c r="B227" s="647"/>
      <c r="C227" s="647"/>
      <c r="D227" s="648"/>
      <c r="E227" s="3875">
        <f>SUM(E224:K224)</f>
        <v>0</v>
      </c>
      <c r="F227" s="3876"/>
      <c r="G227" s="3876"/>
      <c r="H227" s="3876"/>
      <c r="I227" s="3876"/>
      <c r="J227" s="3876"/>
      <c r="K227" s="3876"/>
      <c r="L227" s="669"/>
      <c r="M227" s="3877">
        <f>SUM(M224:T224)</f>
        <v>0</v>
      </c>
      <c r="N227" s="3878"/>
      <c r="O227" s="3878"/>
      <c r="P227" s="3878"/>
      <c r="Q227" s="3878"/>
      <c r="R227" s="3878"/>
      <c r="S227" s="3878"/>
      <c r="T227" s="3879"/>
      <c r="U227" s="676"/>
      <c r="V227" s="3781">
        <f>SUM(V224:AC224)</f>
        <v>0</v>
      </c>
      <c r="W227" s="3788"/>
      <c r="X227" s="3788"/>
      <c r="Y227" s="3788"/>
      <c r="Z227" s="3788"/>
      <c r="AA227" s="3788"/>
      <c r="AB227" s="3788"/>
      <c r="AC227" s="3880"/>
      <c r="AD227" s="688"/>
      <c r="AE227" s="689"/>
      <c r="AF227" s="673"/>
      <c r="AG227" s="673"/>
      <c r="AH227" s="689"/>
      <c r="AI227" s="689"/>
      <c r="AJ227" s="704"/>
    </row>
    <row r="228" spans="1:37">
      <c r="A228" s="634"/>
      <c r="B228" s="635"/>
      <c r="C228" s="635"/>
      <c r="D228" s="649"/>
      <c r="U228" s="634"/>
      <c r="V228" s="634"/>
      <c r="W228" s="634"/>
      <c r="X228" s="634"/>
      <c r="Y228" s="634"/>
      <c r="Z228" s="634"/>
      <c r="AA228" s="634"/>
      <c r="AB228" s="690"/>
      <c r="AC228" s="690"/>
      <c r="AD228" s="690"/>
      <c r="AE228" s="690"/>
      <c r="AF228" s="634"/>
      <c r="AG228" s="634"/>
      <c r="AH228" s="634"/>
      <c r="AI228" s="634"/>
      <c r="AJ228" s="634"/>
    </row>
    <row r="229" spans="1:37" ht="21" thickBot="1">
      <c r="A229" s="650"/>
      <c r="B229" s="651"/>
      <c r="C229" s="651"/>
      <c r="D229" s="650"/>
      <c r="E229" s="634"/>
      <c r="F229" s="634"/>
      <c r="G229" s="634"/>
      <c r="H229" s="634"/>
      <c r="I229" s="634"/>
      <c r="J229" s="634"/>
      <c r="K229" s="634" t="s">
        <v>4</v>
      </c>
      <c r="L229" s="634"/>
      <c r="M229" s="634"/>
      <c r="N229" s="634"/>
      <c r="O229" s="634"/>
      <c r="P229" s="634"/>
      <c r="Q229" s="634"/>
      <c r="R229" s="634"/>
      <c r="S229" s="634"/>
      <c r="T229" s="634"/>
      <c r="U229" s="650"/>
      <c r="V229" s="650"/>
      <c r="W229" s="650"/>
      <c r="X229" s="650"/>
      <c r="Y229" s="650"/>
      <c r="Z229" s="650"/>
      <c r="AA229" s="650"/>
      <c r="AB229" s="650"/>
      <c r="AC229" s="650"/>
      <c r="AD229" s="650"/>
      <c r="AE229" s="650"/>
      <c r="AF229" s="650"/>
      <c r="AG229" s="650"/>
      <c r="AH229" s="650"/>
      <c r="AI229" s="650"/>
      <c r="AJ229" s="650"/>
    </row>
    <row r="230" spans="1:37" ht="27.75" thickBot="1">
      <c r="A230" s="634"/>
      <c r="B230" s="635"/>
      <c r="C230" s="635"/>
      <c r="D230" s="634"/>
      <c r="E230" s="650"/>
      <c r="F230" s="650"/>
      <c r="G230" s="650"/>
      <c r="H230" s="650"/>
      <c r="I230" s="650"/>
      <c r="J230" s="650"/>
      <c r="K230" s="650"/>
      <c r="L230" s="650"/>
      <c r="M230" s="650"/>
      <c r="N230" s="650"/>
      <c r="O230" s="650"/>
      <c r="P230" s="650"/>
      <c r="Q230" s="650"/>
      <c r="R230" s="650"/>
      <c r="S230" s="650"/>
      <c r="T230" s="650"/>
      <c r="U230" s="634"/>
      <c r="V230" s="634"/>
      <c r="W230" s="677"/>
      <c r="X230" s="3857" t="s">
        <v>158</v>
      </c>
      <c r="Y230" s="3858"/>
      <c r="Z230" s="3858"/>
      <c r="AA230" s="3858"/>
      <c r="AB230" s="3859"/>
      <c r="AC230" s="3802">
        <f>'BIG CHAIR'!CI325</f>
        <v>0</v>
      </c>
      <c r="AD230" s="3803"/>
      <c r="AE230" s="3804"/>
      <c r="AF230" s="634"/>
      <c r="AG230" s="634"/>
      <c r="AH230" s="634"/>
      <c r="AI230" s="634"/>
      <c r="AJ230" s="634"/>
    </row>
    <row r="231" spans="1:37" ht="27.75" thickBot="1">
      <c r="A231" s="634"/>
      <c r="B231" s="635"/>
      <c r="C231" s="635"/>
      <c r="D231" s="634"/>
      <c r="E231" s="634"/>
      <c r="F231" s="634"/>
      <c r="G231" s="634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77"/>
      <c r="X231" s="3857" t="s">
        <v>159</v>
      </c>
      <c r="Y231" s="3858"/>
      <c r="Z231" s="3858"/>
      <c r="AA231" s="3858"/>
      <c r="AB231" s="3859"/>
      <c r="AC231" s="3872">
        <f>AE224</f>
        <v>0</v>
      </c>
      <c r="AD231" s="3873"/>
      <c r="AE231" s="3874"/>
      <c r="AF231" s="634"/>
      <c r="AG231" s="634"/>
      <c r="AH231" s="634"/>
      <c r="AI231" s="634"/>
      <c r="AJ231" s="708"/>
    </row>
    <row r="232" spans="1:37" ht="27.75" thickBot="1">
      <c r="A232" s="634"/>
      <c r="B232" s="635"/>
      <c r="C232" s="635"/>
      <c r="D232" s="634"/>
      <c r="E232" s="634"/>
      <c r="F232" s="634"/>
      <c r="G232" s="634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4"/>
      <c r="S232" s="634"/>
      <c r="T232" s="634"/>
      <c r="U232" s="634"/>
      <c r="V232" s="634"/>
      <c r="W232" s="677"/>
      <c r="X232" s="3857" t="s">
        <v>160</v>
      </c>
      <c r="Y232" s="3858"/>
      <c r="Z232" s="3858"/>
      <c r="AA232" s="3858"/>
      <c r="AB232" s="3859"/>
      <c r="AC232" s="3802">
        <f>'BIG CHAIR'!CJ325</f>
        <v>0</v>
      </c>
      <c r="AD232" s="3803"/>
      <c r="AE232" s="3804"/>
      <c r="AF232" s="634"/>
      <c r="AG232" s="634"/>
      <c r="AH232" s="634"/>
      <c r="AI232" s="634"/>
      <c r="AJ232" s="634"/>
    </row>
    <row r="233" spans="1:37" ht="27.75" thickBot="1">
      <c r="A233" s="634"/>
      <c r="B233" s="635"/>
      <c r="C233" s="635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77"/>
      <c r="X233" s="3857" t="s">
        <v>161</v>
      </c>
      <c r="Y233" s="3858"/>
      <c r="Z233" s="3858"/>
      <c r="AA233" s="3858"/>
      <c r="AB233" s="3858"/>
      <c r="AC233" s="3872">
        <f>AF224</f>
        <v>0</v>
      </c>
      <c r="AD233" s="3803"/>
      <c r="AE233" s="3804"/>
      <c r="AF233" s="634"/>
      <c r="AG233" s="634"/>
      <c r="AH233" s="634"/>
      <c r="AI233" s="634"/>
      <c r="AJ233" s="634"/>
    </row>
    <row r="234" spans="1:37" ht="27.75" thickBot="1">
      <c r="A234" s="634"/>
      <c r="B234" s="635"/>
      <c r="C234" s="635"/>
      <c r="D234" s="634"/>
      <c r="E234" s="634"/>
      <c r="F234" s="634"/>
      <c r="G234" s="634"/>
      <c r="H234" s="634"/>
      <c r="I234" s="634"/>
      <c r="J234" s="634"/>
      <c r="K234" s="634"/>
      <c r="L234" s="634"/>
      <c r="M234" s="634"/>
      <c r="N234" s="634"/>
      <c r="O234" s="634"/>
      <c r="P234" s="634"/>
      <c r="Q234" s="634"/>
      <c r="R234" s="634"/>
      <c r="S234" s="634"/>
      <c r="T234" s="634"/>
      <c r="U234" s="634"/>
      <c r="V234" s="634"/>
      <c r="W234" s="677"/>
      <c r="X234" s="3857" t="s">
        <v>162</v>
      </c>
      <c r="Y234" s="3858"/>
      <c r="Z234" s="3858"/>
      <c r="AA234" s="3858"/>
      <c r="AB234" s="3859"/>
      <c r="AC234" s="3802">
        <f>'Tea Table'!U285</f>
        <v>2676</v>
      </c>
      <c r="AD234" s="3803"/>
      <c r="AE234" s="3804"/>
      <c r="AF234" s="634"/>
      <c r="AG234" s="634"/>
      <c r="AH234" s="634"/>
      <c r="AI234" s="634"/>
      <c r="AJ234" s="634"/>
    </row>
    <row r="235" spans="1:37" ht="27.75" thickBot="1">
      <c r="A235" s="634"/>
      <c r="B235" s="635"/>
      <c r="C235" s="635"/>
      <c r="D235" s="634"/>
      <c r="E235" s="634"/>
      <c r="F235" s="634"/>
      <c r="G235" s="634"/>
      <c r="H235" s="634"/>
      <c r="I235" s="634"/>
      <c r="J235" s="634"/>
      <c r="K235" s="634"/>
      <c r="L235" s="634"/>
      <c r="M235" s="634"/>
      <c r="N235" s="634"/>
      <c r="O235" s="634"/>
      <c r="P235" s="634"/>
      <c r="Q235" s="634"/>
      <c r="R235" s="634"/>
      <c r="S235" s="634"/>
      <c r="T235" s="634"/>
      <c r="U235" s="634"/>
      <c r="V235" s="634"/>
      <c r="W235" s="677"/>
      <c r="X235" s="3860" t="s">
        <v>163</v>
      </c>
      <c r="Y235" s="3861"/>
      <c r="Z235" s="3861"/>
      <c r="AA235" s="3861"/>
      <c r="AB235" s="3862"/>
      <c r="AC235" s="3863">
        <f>'Tea Table'!V285</f>
        <v>29</v>
      </c>
      <c r="AD235" s="3864"/>
      <c r="AE235" s="3865"/>
      <c r="AF235" s="634"/>
      <c r="AG235" s="634"/>
      <c r="AH235" s="634"/>
      <c r="AI235" s="634"/>
      <c r="AJ235" s="634"/>
    </row>
    <row r="236" spans="1:37" ht="28.5" thickTop="1" thickBot="1">
      <c r="A236" s="634"/>
      <c r="B236" s="635"/>
      <c r="C236" s="635"/>
      <c r="D236" s="634"/>
      <c r="E236" s="634"/>
      <c r="F236" s="634"/>
      <c r="G236" s="634"/>
      <c r="H236" s="634"/>
      <c r="I236" s="634"/>
      <c r="J236" s="634"/>
      <c r="K236" s="634"/>
      <c r="L236" s="634"/>
      <c r="M236" s="634"/>
      <c r="N236" s="634"/>
      <c r="O236" s="634"/>
      <c r="P236" s="634"/>
      <c r="Q236" s="634"/>
      <c r="R236" s="634"/>
      <c r="S236" s="634"/>
      <c r="T236" s="634"/>
      <c r="U236" s="634"/>
      <c r="V236" s="634"/>
      <c r="W236" s="677"/>
      <c r="X236" s="3866"/>
      <c r="Y236" s="3867"/>
      <c r="Z236" s="3867"/>
      <c r="AA236" s="3867"/>
      <c r="AB236" s="3868"/>
      <c r="AC236" s="3869"/>
      <c r="AD236" s="3870"/>
      <c r="AE236" s="3871"/>
      <c r="AF236" s="634"/>
      <c r="AG236" s="634"/>
      <c r="AH236" s="634"/>
      <c r="AI236" s="634"/>
      <c r="AJ236" s="634"/>
    </row>
    <row r="237" spans="1:37" ht="27.75" thickBot="1">
      <c r="A237" s="634"/>
      <c r="B237" s="635"/>
      <c r="C237" s="635"/>
      <c r="D237" s="634"/>
      <c r="E237" s="634"/>
      <c r="F237" s="634"/>
      <c r="G237" s="634"/>
      <c r="H237" s="634"/>
      <c r="I237" s="634"/>
      <c r="J237" s="634"/>
      <c r="K237" s="634"/>
      <c r="L237" s="634"/>
      <c r="M237" s="634"/>
      <c r="N237" s="634"/>
      <c r="O237" s="634"/>
      <c r="P237" s="634"/>
      <c r="Q237" s="634"/>
      <c r="R237" s="634"/>
      <c r="S237" s="634"/>
      <c r="T237" s="634"/>
      <c r="U237" s="634"/>
      <c r="V237" s="634"/>
      <c r="W237" s="677"/>
      <c r="X237" s="3857" t="s">
        <v>164</v>
      </c>
      <c r="Y237" s="3858"/>
      <c r="Z237" s="3858"/>
      <c r="AA237" s="3858"/>
      <c r="AB237" s="3859"/>
      <c r="AC237" s="3796">
        <f>SUM(AC230:AE236)</f>
        <v>2705</v>
      </c>
      <c r="AD237" s="3797"/>
      <c r="AE237" s="3798"/>
      <c r="AF237" s="634"/>
      <c r="AG237" s="634"/>
      <c r="AH237" s="634"/>
      <c r="AI237" s="634"/>
      <c r="AJ237" s="634"/>
    </row>
    <row r="238" spans="1:37" ht="27.75" thickBot="1">
      <c r="A238" s="634"/>
      <c r="B238" s="635"/>
      <c r="C238" s="635"/>
      <c r="D238" s="634"/>
      <c r="E238" s="634"/>
      <c r="F238" s="634"/>
      <c r="G238" s="634"/>
      <c r="H238" s="634"/>
      <c r="I238" s="634"/>
      <c r="J238" s="634"/>
      <c r="K238" s="634"/>
      <c r="L238" s="634"/>
      <c r="M238" s="634"/>
      <c r="N238" s="634"/>
      <c r="O238" s="634"/>
      <c r="P238" s="634"/>
      <c r="Q238" s="634"/>
      <c r="R238" s="634"/>
      <c r="S238" s="634"/>
      <c r="T238" s="634"/>
      <c r="U238" s="634"/>
      <c r="V238" s="634"/>
      <c r="W238" s="677"/>
      <c r="X238" s="3857" t="s">
        <v>165</v>
      </c>
      <c r="Y238" s="3858"/>
      <c r="Z238" s="3858"/>
      <c r="AA238" s="3858"/>
      <c r="AB238" s="3859"/>
      <c r="AC238" s="3796">
        <f>AE225+'BIG CHAIR'!CI326+'Tea Table'!U286</f>
        <v>223</v>
      </c>
      <c r="AD238" s="3797"/>
      <c r="AE238" s="3798"/>
      <c r="AF238" s="695"/>
      <c r="AG238" s="695"/>
      <c r="AH238" s="695"/>
      <c r="AI238" s="634"/>
      <c r="AJ238" s="634"/>
    </row>
    <row r="239" spans="1:37">
      <c r="B239" s="652"/>
      <c r="C239" s="652"/>
      <c r="E239" s="634"/>
      <c r="F239" s="634"/>
      <c r="G239" s="634"/>
      <c r="H239" s="634"/>
      <c r="I239" s="634"/>
      <c r="J239" s="634"/>
      <c r="K239" s="634"/>
      <c r="L239" s="634"/>
      <c r="M239" s="634"/>
      <c r="N239" s="634"/>
      <c r="O239" s="634"/>
      <c r="P239" s="634"/>
      <c r="Q239" s="634"/>
      <c r="R239" s="634"/>
      <c r="S239" s="634"/>
      <c r="T239" s="634"/>
      <c r="AB239" s="696"/>
      <c r="AC239" s="696"/>
      <c r="AD239" s="696"/>
      <c r="AE239" s="696"/>
    </row>
    <row r="240" spans="1:37">
      <c r="B240" s="652"/>
      <c r="C240" s="652"/>
      <c r="AB240" s="696"/>
      <c r="AC240" s="696"/>
      <c r="AD240" s="696"/>
      <c r="AE240" s="696"/>
    </row>
    <row r="241" spans="2:31">
      <c r="B241" s="652"/>
      <c r="C241" s="652"/>
      <c r="AB241" s="696"/>
      <c r="AC241" s="696"/>
      <c r="AD241" s="696"/>
      <c r="AE241" s="696"/>
    </row>
    <row r="242" spans="2:31">
      <c r="B242" s="652"/>
      <c r="C242" s="652"/>
      <c r="AB242" s="696"/>
      <c r="AC242" s="696"/>
      <c r="AD242" s="696"/>
      <c r="AE242" s="696"/>
    </row>
    <row r="243" spans="2:31">
      <c r="B243" s="652"/>
      <c r="C243" s="652"/>
      <c r="AB243" s="696"/>
      <c r="AC243" s="696"/>
      <c r="AD243" s="696"/>
      <c r="AE243" s="696"/>
    </row>
    <row r="244" spans="2:31">
      <c r="B244" s="652"/>
      <c r="C244" s="652"/>
      <c r="AB244" s="696"/>
      <c r="AC244" s="696"/>
      <c r="AD244" s="696"/>
      <c r="AE244" s="696"/>
    </row>
    <row r="245" spans="2:31">
      <c r="B245" s="652"/>
      <c r="C245" s="652"/>
      <c r="AB245" s="696"/>
      <c r="AC245" s="696"/>
      <c r="AD245" s="696"/>
      <c r="AE245" s="696"/>
    </row>
    <row r="246" spans="2:31">
      <c r="B246" s="652"/>
      <c r="C246" s="652"/>
      <c r="AB246" s="696"/>
      <c r="AC246" s="696"/>
      <c r="AD246" s="696"/>
      <c r="AE246" s="696"/>
    </row>
    <row r="247" spans="2:31">
      <c r="B247" s="652"/>
      <c r="C247" s="652"/>
      <c r="AB247" s="696"/>
      <c r="AC247" s="696"/>
      <c r="AD247" s="696"/>
      <c r="AE247" s="696"/>
    </row>
    <row r="248" spans="2:31">
      <c r="B248" s="652"/>
      <c r="C248" s="652"/>
      <c r="AB248" s="696"/>
      <c r="AC248" s="696"/>
      <c r="AD248" s="696"/>
      <c r="AE248" s="696"/>
    </row>
    <row r="249" spans="2:31">
      <c r="B249" s="652"/>
      <c r="C249" s="652"/>
      <c r="AB249" s="696"/>
      <c r="AC249" s="696"/>
      <c r="AD249" s="696"/>
      <c r="AE249" s="696"/>
    </row>
    <row r="250" spans="2:31">
      <c r="B250" s="652"/>
      <c r="C250" s="652"/>
      <c r="AB250" s="696"/>
      <c r="AC250" s="696"/>
      <c r="AD250" s="696"/>
      <c r="AE250" s="696"/>
    </row>
    <row r="251" spans="2:31">
      <c r="B251" s="652"/>
      <c r="C251" s="652"/>
      <c r="AB251" s="696"/>
      <c r="AC251" s="696"/>
      <c r="AD251" s="696"/>
      <c r="AE251" s="696"/>
    </row>
    <row r="252" spans="2:31">
      <c r="B252" s="652"/>
      <c r="C252" s="652"/>
      <c r="AB252" s="696"/>
      <c r="AC252" s="696"/>
      <c r="AD252" s="696"/>
      <c r="AE252" s="696"/>
    </row>
    <row r="253" spans="2:31">
      <c r="B253" s="652"/>
      <c r="C253" s="652"/>
      <c r="AB253" s="696"/>
      <c r="AC253" s="696"/>
      <c r="AD253" s="696"/>
      <c r="AE253" s="696"/>
    </row>
    <row r="254" spans="2:31">
      <c r="B254" s="652"/>
      <c r="C254" s="652"/>
      <c r="AB254" s="696"/>
      <c r="AC254" s="696"/>
      <c r="AD254" s="696"/>
      <c r="AE254" s="696"/>
    </row>
    <row r="255" spans="2:31">
      <c r="B255" s="652"/>
      <c r="C255" s="652"/>
      <c r="AB255" s="696"/>
      <c r="AC255" s="696"/>
      <c r="AD255" s="696"/>
      <c r="AE255" s="696"/>
    </row>
    <row r="256" spans="2:31">
      <c r="B256" s="652"/>
      <c r="C256" s="652"/>
      <c r="AB256" s="696"/>
      <c r="AC256" s="696"/>
      <c r="AD256" s="696"/>
      <c r="AE256" s="696"/>
    </row>
  </sheetData>
  <mergeCells count="38">
    <mergeCell ref="A2:D2"/>
    <mergeCell ref="E2:K2"/>
    <mergeCell ref="M2:T2"/>
    <mergeCell ref="V2:AC2"/>
    <mergeCell ref="AE2:AJ2"/>
    <mergeCell ref="A161:AJ161"/>
    <mergeCell ref="A162:D162"/>
    <mergeCell ref="E162:K162"/>
    <mergeCell ref="M162:T162"/>
    <mergeCell ref="V162:AC162"/>
    <mergeCell ref="AE162:AJ162"/>
    <mergeCell ref="A219:C219"/>
    <mergeCell ref="AF224:AG224"/>
    <mergeCell ref="AF225:AG225"/>
    <mergeCell ref="E226:K226"/>
    <mergeCell ref="M226:T226"/>
    <mergeCell ref="V226:AC226"/>
    <mergeCell ref="E227:K227"/>
    <mergeCell ref="M227:T227"/>
    <mergeCell ref="V227:AC227"/>
    <mergeCell ref="X230:AB230"/>
    <mergeCell ref="AC230:AE230"/>
    <mergeCell ref="X231:AB231"/>
    <mergeCell ref="AC231:AE231"/>
    <mergeCell ref="X232:AB232"/>
    <mergeCell ref="AC232:AE232"/>
    <mergeCell ref="X233:AB233"/>
    <mergeCell ref="AC233:AE233"/>
    <mergeCell ref="X237:AB237"/>
    <mergeCell ref="AC237:AE237"/>
    <mergeCell ref="X238:AB238"/>
    <mergeCell ref="AC238:AE238"/>
    <mergeCell ref="X234:AB234"/>
    <mergeCell ref="AC234:AE234"/>
    <mergeCell ref="X235:AB235"/>
    <mergeCell ref="AC235:AE235"/>
    <mergeCell ref="X236:AB236"/>
    <mergeCell ref="AC236:AE236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10"/>
  <sheetViews>
    <sheetView tabSelected="1" topLeftCell="A213" zoomScale="91" zoomScaleNormal="91" workbookViewId="0">
      <selection activeCell="B213" sqref="B213"/>
    </sheetView>
  </sheetViews>
  <sheetFormatPr defaultColWidth="9" defaultRowHeight="18.75"/>
  <cols>
    <col min="1" max="1" width="22.28515625" customWidth="1"/>
    <col min="2" max="2" width="43.7109375" customWidth="1"/>
    <col min="3" max="3" width="21.42578125" customWidth="1"/>
    <col min="4" max="4" width="20.85546875" customWidth="1"/>
    <col min="5" max="5" width="27.140625" customWidth="1"/>
    <col min="6" max="6" width="15" customWidth="1"/>
    <col min="7" max="7" width="16" customWidth="1"/>
    <col min="8" max="8" width="17.140625" customWidth="1"/>
    <col min="9" max="9" width="16.42578125" customWidth="1"/>
    <col min="10" max="10" width="15.5703125" customWidth="1"/>
    <col min="11" max="11" width="26.140625" customWidth="1"/>
    <col min="12" max="12" width="36.85546875" customWidth="1"/>
    <col min="13" max="13" width="29.7109375" customWidth="1"/>
    <col min="14" max="14" width="32.85546875" bestFit="1" customWidth="1"/>
    <col min="15" max="15" width="30.5703125" customWidth="1"/>
    <col min="16" max="16" width="16.5703125" customWidth="1"/>
    <col min="17" max="17" width="30.5703125" customWidth="1"/>
    <col min="18" max="18" width="17" customWidth="1"/>
    <col min="19" max="19" width="6.28515625" customWidth="1"/>
    <col min="20" max="20" width="22.140625" customWidth="1"/>
    <col min="21" max="21" width="19.5703125" customWidth="1"/>
    <col min="22" max="22" width="31.85546875" customWidth="1"/>
    <col min="23" max="23" width="12.7109375" customWidth="1"/>
    <col min="24" max="24" width="22.5703125" customWidth="1"/>
    <col min="25" max="25" width="18.140625" customWidth="1"/>
    <col min="26" max="26" width="18.7109375" customWidth="1"/>
    <col min="27" max="28" width="16.5703125" customWidth="1"/>
    <col min="29" max="29" width="20.140625" customWidth="1"/>
    <col min="30" max="30" width="14.42578125" customWidth="1"/>
    <col min="31" max="31" width="16.5703125" style="4" customWidth="1"/>
    <col min="32" max="33" width="14.42578125" customWidth="1"/>
    <col min="34" max="256" width="10" customWidth="1"/>
  </cols>
  <sheetData>
    <row r="1" spans="1:34" ht="41.25" customHeight="1">
      <c r="A1" s="3937" t="s">
        <v>522</v>
      </c>
      <c r="B1" s="3937"/>
      <c r="C1" s="3937"/>
      <c r="D1" s="3937"/>
      <c r="E1" s="3937"/>
      <c r="F1" s="3937"/>
      <c r="G1" s="3937"/>
      <c r="H1" s="3937"/>
      <c r="I1" s="3937"/>
      <c r="J1" s="3937"/>
      <c r="K1" s="3937"/>
      <c r="L1" s="3937"/>
      <c r="M1" s="3937"/>
      <c r="N1" s="3937"/>
      <c r="O1" s="3937"/>
      <c r="P1" s="3937"/>
      <c r="Q1" s="3937"/>
      <c r="R1" s="3937"/>
      <c r="S1" s="3937"/>
      <c r="T1" s="3937"/>
      <c r="U1" s="3937"/>
      <c r="V1" s="3937"/>
      <c r="W1" s="3937"/>
      <c r="X1" s="3937"/>
      <c r="Y1" s="3937"/>
      <c r="Z1" s="3937"/>
      <c r="AA1" s="3937"/>
      <c r="AB1" s="3937"/>
    </row>
    <row r="2" spans="1:34" ht="9" customHeight="1" thickBot="1">
      <c r="A2" s="5"/>
      <c r="B2" s="5"/>
      <c r="C2" s="5"/>
      <c r="D2" s="5"/>
      <c r="E2" s="5"/>
      <c r="F2" s="5"/>
      <c r="G2" s="5"/>
      <c r="H2" s="5"/>
    </row>
    <row r="3" spans="1:34" ht="32.25" thickBot="1">
      <c r="A3" s="6"/>
      <c r="B3" s="3938" t="s">
        <v>58</v>
      </c>
      <c r="C3" s="3939"/>
      <c r="D3" s="3939"/>
      <c r="E3" s="3939"/>
      <c r="F3" s="3939"/>
      <c r="G3" s="3939"/>
      <c r="H3" s="3939"/>
      <c r="I3" s="3940"/>
      <c r="J3" s="52"/>
      <c r="K3" s="3908" t="s">
        <v>65</v>
      </c>
      <c r="L3" s="3909"/>
      <c r="M3" s="3909"/>
      <c r="N3" s="3909"/>
      <c r="O3" s="3909"/>
      <c r="P3" s="3909"/>
      <c r="Q3" s="3909"/>
      <c r="R3" s="3910"/>
      <c r="S3" s="52"/>
      <c r="T3" s="3908" t="s">
        <v>273</v>
      </c>
      <c r="U3" s="3909"/>
      <c r="V3" s="3909"/>
      <c r="W3" s="3909"/>
      <c r="X3" s="3909"/>
      <c r="Y3" s="3909"/>
      <c r="Z3" s="3909"/>
      <c r="AA3" s="3910"/>
      <c r="AB3" s="105" t="s">
        <v>106</v>
      </c>
      <c r="AC3" s="106"/>
      <c r="AF3" s="106"/>
      <c r="AG3" s="106"/>
      <c r="AH3" s="106"/>
    </row>
    <row r="4" spans="1:34" ht="19.5" thickBot="1">
      <c r="A4" s="7" t="s">
        <v>274</v>
      </c>
      <c r="B4" s="8" t="s">
        <v>71</v>
      </c>
      <c r="C4" s="9" t="s">
        <v>72</v>
      </c>
      <c r="D4" s="9" t="s">
        <v>73</v>
      </c>
      <c r="E4" s="41" t="s">
        <v>94</v>
      </c>
      <c r="F4" s="9" t="s">
        <v>75</v>
      </c>
      <c r="G4" s="9" t="s">
        <v>76</v>
      </c>
      <c r="H4" s="10" t="s">
        <v>77</v>
      </c>
      <c r="I4" s="53" t="s">
        <v>53</v>
      </c>
      <c r="J4" s="54"/>
      <c r="K4" s="88" t="s">
        <v>250</v>
      </c>
      <c r="L4" s="30" t="s">
        <v>466</v>
      </c>
      <c r="M4" s="30" t="s">
        <v>92</v>
      </c>
      <c r="N4" s="30" t="s">
        <v>53</v>
      </c>
      <c r="O4" s="89" t="s">
        <v>469</v>
      </c>
      <c r="P4" s="30" t="s">
        <v>491</v>
      </c>
      <c r="Q4" s="89" t="s">
        <v>149</v>
      </c>
      <c r="R4" s="87" t="s">
        <v>123</v>
      </c>
      <c r="S4" s="54"/>
      <c r="T4" s="84" t="s">
        <v>80</v>
      </c>
      <c r="U4" s="62" t="s">
        <v>72</v>
      </c>
      <c r="V4" s="62" t="s">
        <v>485</v>
      </c>
      <c r="W4" s="85" t="s">
        <v>103</v>
      </c>
      <c r="X4" s="62" t="s">
        <v>75</v>
      </c>
      <c r="Y4" s="62" t="s">
        <v>53</v>
      </c>
      <c r="Z4" s="24" t="s">
        <v>77</v>
      </c>
      <c r="AA4" s="61" t="s">
        <v>93</v>
      </c>
      <c r="AB4" s="107"/>
    </row>
    <row r="5" spans="1:34" s="1" customFormat="1" ht="24" thickBot="1">
      <c r="A5" s="11" t="s">
        <v>151</v>
      </c>
      <c r="B5" s="12">
        <f>'BIG CHAIR'!F359</f>
        <v>0</v>
      </c>
      <c r="C5" s="12">
        <f>'BIG CHAIR'!G359</f>
        <v>0</v>
      </c>
      <c r="D5" s="12">
        <f>'BIG CHAIR'!H359</f>
        <v>1232</v>
      </c>
      <c r="E5" s="12">
        <f>'BIG CHAIR'!I359</f>
        <v>0</v>
      </c>
      <c r="F5" s="12">
        <f>'BIG CHAIR'!J359</f>
        <v>768</v>
      </c>
      <c r="G5" s="12">
        <f>'BIG CHAIR'!K359</f>
        <v>0</v>
      </c>
      <c r="H5" s="12">
        <f>'BIG CHAIR'!L359</f>
        <v>416</v>
      </c>
      <c r="I5" s="12">
        <f>'BIG CHAIR'!M359</f>
        <v>0</v>
      </c>
      <c r="J5" s="55"/>
      <c r="K5" s="56">
        <f>'BIG CHAIR'!BQ359</f>
        <v>16</v>
      </c>
      <c r="L5" s="56">
        <f>'BIG CHAIR'!BR359</f>
        <v>0</v>
      </c>
      <c r="M5" s="56">
        <f>'BIG CHAIR'!BS359</f>
        <v>0</v>
      </c>
      <c r="N5" s="56">
        <f>'BIG CHAIR'!BT359</f>
        <v>0</v>
      </c>
      <c r="O5" s="56">
        <f>'BIG CHAIR'!BU359</f>
        <v>0</v>
      </c>
      <c r="P5" s="56">
        <f>'BIG CHAIR'!BV359</f>
        <v>272</v>
      </c>
      <c r="Q5" s="56">
        <f>'BIG CHAIR'!BW359</f>
        <v>0</v>
      </c>
      <c r="R5" s="56">
        <f>'BIG CHAIR'!BX359</f>
        <v>464</v>
      </c>
      <c r="S5" s="70"/>
      <c r="T5" s="12">
        <f>'BIG CHAIR'!BZ359</f>
        <v>-448</v>
      </c>
      <c r="U5" s="12">
        <f>'BIG CHAIR'!CA359</f>
        <v>0</v>
      </c>
      <c r="V5" s="12">
        <f>'BIG CHAIR'!CB359</f>
        <v>0</v>
      </c>
      <c r="W5" s="12">
        <f>'BIG CHAIR'!CC359</f>
        <v>0</v>
      </c>
      <c r="X5" s="12">
        <f>'BIG CHAIR'!CD359</f>
        <v>288</v>
      </c>
      <c r="Y5" s="12">
        <f>'BIG CHAIR'!CE359</f>
        <v>0</v>
      </c>
      <c r="Z5" s="12">
        <f>'BIG CHAIR'!CF359</f>
        <v>0</v>
      </c>
      <c r="AA5" s="12">
        <f>'BIG CHAIR'!CG359</f>
        <v>0</v>
      </c>
      <c r="AB5" s="108">
        <f>SUM(B5:AA5)</f>
        <v>3008</v>
      </c>
      <c r="AD5"/>
      <c r="AE5" s="4"/>
    </row>
    <row r="6" spans="1:34" ht="24" thickBot="1">
      <c r="A6" s="2712" t="s">
        <v>146</v>
      </c>
      <c r="B6" s="15">
        <f t="shared" ref="B6:I6" si="0">B5/16</f>
        <v>0</v>
      </c>
      <c r="C6" s="16">
        <f t="shared" si="0"/>
        <v>0</v>
      </c>
      <c r="D6" s="16">
        <f t="shared" si="0"/>
        <v>77</v>
      </c>
      <c r="E6" s="17">
        <f t="shared" si="0"/>
        <v>0</v>
      </c>
      <c r="F6" s="17">
        <f t="shared" si="0"/>
        <v>48</v>
      </c>
      <c r="G6" s="17">
        <f t="shared" si="0"/>
        <v>0</v>
      </c>
      <c r="H6" s="17">
        <f t="shared" si="0"/>
        <v>26</v>
      </c>
      <c r="I6" s="57">
        <f t="shared" si="0"/>
        <v>0</v>
      </c>
      <c r="J6" s="58"/>
      <c r="K6" s="59">
        <f t="shared" ref="K6:R6" si="1">K5/16</f>
        <v>1</v>
      </c>
      <c r="L6" s="60">
        <f t="shared" si="1"/>
        <v>0</v>
      </c>
      <c r="M6" s="60">
        <f t="shared" si="1"/>
        <v>0</v>
      </c>
      <c r="N6" s="60">
        <f t="shared" si="1"/>
        <v>0</v>
      </c>
      <c r="O6" s="60">
        <f t="shared" si="1"/>
        <v>0</v>
      </c>
      <c r="P6" s="60">
        <f t="shared" si="1"/>
        <v>17</v>
      </c>
      <c r="Q6" s="60">
        <f t="shared" si="1"/>
        <v>0</v>
      </c>
      <c r="R6" s="86">
        <f t="shared" si="1"/>
        <v>29</v>
      </c>
      <c r="S6" s="77"/>
      <c r="T6" s="15">
        <f t="shared" ref="T6:AA6" si="2">T5/16</f>
        <v>-28</v>
      </c>
      <c r="U6" s="16">
        <f t="shared" si="2"/>
        <v>0</v>
      </c>
      <c r="V6" s="16">
        <f t="shared" si="2"/>
        <v>0</v>
      </c>
      <c r="W6" s="16">
        <f t="shared" si="2"/>
        <v>0</v>
      </c>
      <c r="X6" s="16">
        <f t="shared" si="2"/>
        <v>18</v>
      </c>
      <c r="Y6" s="16">
        <f t="shared" si="2"/>
        <v>0</v>
      </c>
      <c r="Z6" s="16">
        <f t="shared" si="2"/>
        <v>0</v>
      </c>
      <c r="AA6" s="86">
        <f t="shared" si="2"/>
        <v>0</v>
      </c>
      <c r="AB6" s="109">
        <f>SUM(B6:AA6)</f>
        <v>188</v>
      </c>
    </row>
    <row r="7" spans="1:34" ht="24" thickBot="1">
      <c r="A7" s="18"/>
      <c r="B7" s="3914">
        <f>SUM(B5:I5)</f>
        <v>2416</v>
      </c>
      <c r="C7" s="3915"/>
      <c r="D7" s="3915"/>
      <c r="E7" s="3915"/>
      <c r="F7" s="3915"/>
      <c r="G7" s="3915"/>
      <c r="H7" s="3915"/>
      <c r="I7" s="3916"/>
      <c r="J7" s="1"/>
      <c r="K7" s="3914">
        <f>SUM(K5:R5)</f>
        <v>752</v>
      </c>
      <c r="L7" s="3915"/>
      <c r="M7" s="3915"/>
      <c r="N7" s="3915"/>
      <c r="O7" s="3915"/>
      <c r="P7" s="3915"/>
      <c r="Q7" s="3915"/>
      <c r="R7" s="3916"/>
      <c r="S7" s="1"/>
      <c r="T7" s="3914">
        <f>SUM(T5:AA5)</f>
        <v>-160</v>
      </c>
      <c r="U7" s="3915"/>
      <c r="V7" s="3915"/>
      <c r="W7" s="3915"/>
      <c r="X7" s="3915"/>
      <c r="Y7" s="3915"/>
      <c r="Z7" s="3915"/>
      <c r="AA7" s="3916"/>
    </row>
    <row r="8" spans="1:34" ht="24" thickBot="1">
      <c r="A8" s="19"/>
      <c r="B8" s="3914">
        <f>SUM(B6:I6)</f>
        <v>151</v>
      </c>
      <c r="C8" s="3915"/>
      <c r="D8" s="3915"/>
      <c r="E8" s="3915"/>
      <c r="F8" s="3915"/>
      <c r="G8" s="3915"/>
      <c r="H8" s="3915"/>
      <c r="I8" s="3916"/>
      <c r="J8" s="1"/>
      <c r="K8" s="3914">
        <f>SUM(K6:R6)</f>
        <v>47</v>
      </c>
      <c r="L8" s="3915"/>
      <c r="M8" s="3915"/>
      <c r="N8" s="3915"/>
      <c r="O8" s="3915"/>
      <c r="P8" s="3915"/>
      <c r="Q8" s="3915"/>
      <c r="R8" s="3916"/>
      <c r="S8" s="1"/>
      <c r="T8" s="3914">
        <f>SUM(T6:AA6)</f>
        <v>-10</v>
      </c>
      <c r="U8" s="3915"/>
      <c r="V8" s="3915"/>
      <c r="W8" s="3915"/>
      <c r="X8" s="3915"/>
      <c r="Y8" s="3915"/>
      <c r="Z8" s="3915"/>
      <c r="AA8" s="3916"/>
    </row>
    <row r="9" spans="1:34" ht="10.5" customHeight="1" thickBot="1">
      <c r="A9" s="20"/>
      <c r="B9" s="21"/>
      <c r="C9" s="22"/>
      <c r="D9" s="22"/>
      <c r="E9" s="22"/>
      <c r="F9" s="22"/>
      <c r="G9" s="22"/>
      <c r="H9" s="22"/>
      <c r="I9" s="22"/>
      <c r="J9" s="20"/>
      <c r="K9" s="21"/>
      <c r="L9" s="22"/>
      <c r="M9" s="22"/>
      <c r="N9" s="22"/>
      <c r="O9" s="22"/>
      <c r="P9" s="22"/>
      <c r="Q9" s="22"/>
      <c r="R9" s="22"/>
      <c r="S9" s="20"/>
      <c r="T9" s="21"/>
      <c r="U9" s="22"/>
      <c r="V9" s="22"/>
      <c r="W9" s="22"/>
      <c r="X9" s="22"/>
      <c r="Y9" s="22"/>
      <c r="Z9" s="22"/>
      <c r="AA9" s="22"/>
      <c r="AB9" s="20"/>
    </row>
    <row r="10" spans="1:34" ht="32.25" thickBot="1">
      <c r="A10" s="6"/>
      <c r="B10" s="3908" t="s">
        <v>62</v>
      </c>
      <c r="C10" s="3909"/>
      <c r="D10" s="3909"/>
      <c r="E10" s="3909"/>
      <c r="F10" s="3909"/>
      <c r="G10" s="3909"/>
      <c r="H10" s="3909"/>
      <c r="I10" s="3910"/>
      <c r="J10" s="52"/>
      <c r="K10" s="3908" t="s">
        <v>63</v>
      </c>
      <c r="L10" s="3909"/>
      <c r="M10" s="3909"/>
      <c r="N10" s="3909"/>
      <c r="O10" s="3909"/>
      <c r="P10" s="3909"/>
      <c r="Q10" s="3909"/>
      <c r="R10" s="3910"/>
      <c r="S10" s="52"/>
      <c r="T10" s="3908" t="s">
        <v>64</v>
      </c>
      <c r="U10" s="3909"/>
      <c r="V10" s="3909"/>
      <c r="W10" s="3909"/>
      <c r="X10" s="3909"/>
      <c r="Y10" s="3909"/>
      <c r="Z10" s="3909"/>
      <c r="AA10" s="3910"/>
      <c r="AB10" s="105" t="s">
        <v>106</v>
      </c>
      <c r="AC10" s="106"/>
      <c r="AF10" s="106"/>
      <c r="AG10" s="106"/>
      <c r="AH10" s="106"/>
    </row>
    <row r="11" spans="1:34" ht="19.5" thickBot="1">
      <c r="A11" s="7" t="s">
        <v>274</v>
      </c>
      <c r="B11" s="88" t="s">
        <v>86</v>
      </c>
      <c r="C11" s="30" t="s">
        <v>123</v>
      </c>
      <c r="D11" s="30" t="s">
        <v>90</v>
      </c>
      <c r="E11" s="30" t="s">
        <v>92</v>
      </c>
      <c r="F11" s="89" t="s">
        <v>250</v>
      </c>
      <c r="G11" s="30" t="s">
        <v>85</v>
      </c>
      <c r="H11" s="89" t="s">
        <v>381</v>
      </c>
      <c r="I11" s="936" t="s">
        <v>481</v>
      </c>
      <c r="J11" s="54"/>
      <c r="K11" s="88" t="s">
        <v>82</v>
      </c>
      <c r="L11" s="30" t="s">
        <v>93</v>
      </c>
      <c r="M11" s="30" t="s">
        <v>94</v>
      </c>
      <c r="N11" s="30" t="s">
        <v>95</v>
      </c>
      <c r="O11" s="89" t="s">
        <v>75</v>
      </c>
      <c r="P11" s="30" t="s">
        <v>53</v>
      </c>
      <c r="Q11" s="89" t="s">
        <v>96</v>
      </c>
      <c r="R11" s="87" t="s">
        <v>97</v>
      </c>
      <c r="S11" s="54"/>
      <c r="T11" s="88" t="s">
        <v>71</v>
      </c>
      <c r="U11" s="30" t="s">
        <v>465</v>
      </c>
      <c r="V11" s="30" t="s">
        <v>99</v>
      </c>
      <c r="W11" s="30" t="s">
        <v>100</v>
      </c>
      <c r="X11" s="89" t="s">
        <v>75</v>
      </c>
      <c r="Y11" s="110" t="s">
        <v>466</v>
      </c>
      <c r="Z11" s="89" t="s">
        <v>77</v>
      </c>
      <c r="AA11" s="3366" t="s">
        <v>170</v>
      </c>
      <c r="AB11" s="107"/>
    </row>
    <row r="12" spans="1:34" s="1" customFormat="1" ht="24" thickBot="1">
      <c r="A12" s="11" t="s">
        <v>151</v>
      </c>
      <c r="B12" s="26">
        <f>'BIG CHAIR'!AP359</f>
        <v>32</v>
      </c>
      <c r="C12" s="26">
        <f>'BIG CHAIR'!AQ359</f>
        <v>368</v>
      </c>
      <c r="D12" s="26">
        <f>'BIG CHAIR'!AR359</f>
        <v>48</v>
      </c>
      <c r="E12" s="26">
        <f>'BIG CHAIR'!AS359</f>
        <v>0</v>
      </c>
      <c r="F12" s="26">
        <f>'BIG CHAIR'!AT359</f>
        <v>0</v>
      </c>
      <c r="G12" s="26">
        <f>'BIG CHAIR'!AU359</f>
        <v>0</v>
      </c>
      <c r="H12" s="26">
        <f>'BIG CHAIR'!AV359</f>
        <v>0</v>
      </c>
      <c r="I12" s="26">
        <f>'BIG CHAIR'!AW359</f>
        <v>0</v>
      </c>
      <c r="J12" s="63"/>
      <c r="K12" s="64">
        <f>'BIG CHAIR'!AY359</f>
        <v>0</v>
      </c>
      <c r="L12" s="64">
        <f>'BIG CHAIR'!AZ359</f>
        <v>0</v>
      </c>
      <c r="M12" s="64">
        <f>'BIG CHAIR'!BA359</f>
        <v>1552</v>
      </c>
      <c r="N12" s="64">
        <f>'BIG CHAIR'!BB359</f>
        <v>-192</v>
      </c>
      <c r="O12" s="64">
        <f>'BIG CHAIR'!BC359</f>
        <v>416</v>
      </c>
      <c r="P12" s="64">
        <f>'BIG CHAIR'!BD359</f>
        <v>1504</v>
      </c>
      <c r="Q12" s="64">
        <f>'BIG CHAIR'!BE359</f>
        <v>0</v>
      </c>
      <c r="R12" s="64">
        <f>'BIG CHAIR'!BF359</f>
        <v>-800</v>
      </c>
      <c r="S12" s="70"/>
      <c r="T12" s="12">
        <f>'BIG CHAIR'!BH359</f>
        <v>0</v>
      </c>
      <c r="U12" s="12">
        <f>'BIG CHAIR'!BI359</f>
        <v>1216</v>
      </c>
      <c r="V12" s="12">
        <f>'BIG CHAIR'!BJ359</f>
        <v>848</v>
      </c>
      <c r="W12" s="12">
        <f>'BIG CHAIR'!BK359</f>
        <v>192</v>
      </c>
      <c r="X12" s="12">
        <f>'BIG CHAIR'!BL359</f>
        <v>0</v>
      </c>
      <c r="Y12" s="12">
        <f>'BIG CHAIR'!BM359</f>
        <v>0</v>
      </c>
      <c r="Z12" s="12">
        <f>'BIG CHAIR'!BN359</f>
        <v>0</v>
      </c>
      <c r="AA12" s="12">
        <f>'BIG CHAIR'!BO359</f>
        <v>0</v>
      </c>
      <c r="AB12" s="109">
        <f>SUM(B12:AA12)</f>
        <v>5184</v>
      </c>
      <c r="AD12"/>
      <c r="AE12" s="4"/>
    </row>
    <row r="13" spans="1:34" ht="24" thickBot="1">
      <c r="A13" s="2712" t="s">
        <v>146</v>
      </c>
      <c r="B13" s="27">
        <f t="shared" ref="B13:I13" si="3">B12/16</f>
        <v>2</v>
      </c>
      <c r="C13" s="28">
        <f t="shared" si="3"/>
        <v>23</v>
      </c>
      <c r="D13" s="28">
        <f t="shared" si="3"/>
        <v>3</v>
      </c>
      <c r="E13" s="28">
        <f t="shared" si="3"/>
        <v>0</v>
      </c>
      <c r="F13" s="28">
        <f t="shared" si="3"/>
        <v>0</v>
      </c>
      <c r="G13" s="28">
        <f t="shared" si="3"/>
        <v>0</v>
      </c>
      <c r="H13" s="28">
        <f t="shared" si="3"/>
        <v>0</v>
      </c>
      <c r="I13" s="65">
        <f t="shared" si="3"/>
        <v>0</v>
      </c>
      <c r="J13" s="66"/>
      <c r="K13" s="67">
        <f t="shared" ref="K13:R13" si="4">K12/16</f>
        <v>0</v>
      </c>
      <c r="L13" s="60">
        <f t="shared" si="4"/>
        <v>0</v>
      </c>
      <c r="M13" s="68">
        <f t="shared" si="4"/>
        <v>97</v>
      </c>
      <c r="N13" s="60">
        <f t="shared" si="4"/>
        <v>-12</v>
      </c>
      <c r="O13" s="60">
        <f t="shared" si="4"/>
        <v>26</v>
      </c>
      <c r="P13" s="60">
        <f t="shared" si="4"/>
        <v>94</v>
      </c>
      <c r="Q13" s="60">
        <f t="shared" si="4"/>
        <v>0</v>
      </c>
      <c r="R13" s="86">
        <f t="shared" si="4"/>
        <v>-50</v>
      </c>
      <c r="S13" s="77"/>
      <c r="T13" s="15">
        <f t="shared" ref="T13:AA13" si="5">T12/16</f>
        <v>0</v>
      </c>
      <c r="U13" s="16">
        <f t="shared" si="5"/>
        <v>76</v>
      </c>
      <c r="V13" s="16">
        <f t="shared" si="5"/>
        <v>53</v>
      </c>
      <c r="W13" s="16">
        <f t="shared" si="5"/>
        <v>12</v>
      </c>
      <c r="X13" s="16">
        <f t="shared" si="5"/>
        <v>0</v>
      </c>
      <c r="Y13" s="16">
        <f t="shared" si="5"/>
        <v>0</v>
      </c>
      <c r="Z13" s="16">
        <f t="shared" si="5"/>
        <v>0</v>
      </c>
      <c r="AA13" s="111">
        <f t="shared" si="5"/>
        <v>0</v>
      </c>
      <c r="AB13" s="108">
        <f>SUM(B13:AA13)</f>
        <v>324</v>
      </c>
    </row>
    <row r="14" spans="1:34" ht="24" thickBot="1">
      <c r="A14" s="18"/>
      <c r="B14" s="3914">
        <f>SUM(B12:I12)</f>
        <v>448</v>
      </c>
      <c r="C14" s="3915"/>
      <c r="D14" s="3915"/>
      <c r="E14" s="3915"/>
      <c r="F14" s="3915"/>
      <c r="G14" s="3915"/>
      <c r="H14" s="3915"/>
      <c r="I14" s="3916"/>
      <c r="J14" s="1"/>
      <c r="K14" s="3914">
        <f>SUM(K12:R12)</f>
        <v>2480</v>
      </c>
      <c r="L14" s="3915"/>
      <c r="M14" s="3915"/>
      <c r="N14" s="3915"/>
      <c r="O14" s="3915"/>
      <c r="P14" s="3915"/>
      <c r="Q14" s="3915"/>
      <c r="R14" s="3916"/>
      <c r="S14" s="1"/>
      <c r="T14" s="3914">
        <f>SUM(T12:AA12)</f>
        <v>2256</v>
      </c>
      <c r="U14" s="3915"/>
      <c r="V14" s="3915"/>
      <c r="W14" s="3915"/>
      <c r="X14" s="3915"/>
      <c r="Y14" s="3915"/>
      <c r="Z14" s="3915"/>
      <c r="AA14" s="3916"/>
    </row>
    <row r="15" spans="1:34" ht="24" thickBot="1">
      <c r="A15" s="19"/>
      <c r="B15" s="3914">
        <f>SUM(B13:I13)</f>
        <v>28</v>
      </c>
      <c r="C15" s="3915"/>
      <c r="D15" s="3915"/>
      <c r="E15" s="3915"/>
      <c r="F15" s="3915"/>
      <c r="G15" s="3915"/>
      <c r="H15" s="3915"/>
      <c r="I15" s="3916"/>
      <c r="J15" s="1"/>
      <c r="K15" s="3914">
        <f>SUM(K13:R13)</f>
        <v>155</v>
      </c>
      <c r="L15" s="3915"/>
      <c r="M15" s="3915"/>
      <c r="N15" s="3915"/>
      <c r="O15" s="3915"/>
      <c r="P15" s="3915"/>
      <c r="Q15" s="3915"/>
      <c r="R15" s="3916"/>
      <c r="S15" s="1"/>
      <c r="T15" s="3914">
        <f>SUM(T13:AA13)</f>
        <v>141</v>
      </c>
      <c r="U15" s="3915"/>
      <c r="V15" s="3915"/>
      <c r="W15" s="3915"/>
      <c r="X15" s="3915"/>
      <c r="Y15" s="3915"/>
      <c r="Z15" s="3915"/>
      <c r="AA15" s="3916"/>
    </row>
    <row r="16" spans="1:34" ht="10.5" customHeight="1" thickBot="1">
      <c r="A16" s="20"/>
      <c r="B16" s="21"/>
      <c r="C16" s="22"/>
      <c r="D16" s="22"/>
      <c r="E16" s="22"/>
      <c r="F16" s="22"/>
      <c r="G16" s="22"/>
      <c r="H16" s="22"/>
      <c r="I16" s="22"/>
      <c r="J16" s="20"/>
      <c r="K16" s="21"/>
      <c r="L16" s="22"/>
      <c r="M16" s="22"/>
      <c r="N16" s="22"/>
      <c r="O16" s="22"/>
      <c r="P16" s="22"/>
      <c r="Q16" s="22"/>
      <c r="R16" s="22"/>
      <c r="S16" s="20"/>
      <c r="T16" s="21"/>
      <c r="U16" s="22"/>
      <c r="V16" s="22"/>
      <c r="W16" s="22"/>
      <c r="X16" s="22"/>
      <c r="Y16" s="22"/>
      <c r="Z16" s="22"/>
      <c r="AA16" s="22"/>
      <c r="AB16" s="20"/>
    </row>
    <row r="17" spans="1:34" ht="32.25" thickBot="1">
      <c r="A17" s="6"/>
      <c r="B17" s="3908" t="s">
        <v>275</v>
      </c>
      <c r="C17" s="3909"/>
      <c r="D17" s="3909"/>
      <c r="E17" s="3909"/>
      <c r="F17" s="3909"/>
      <c r="G17" s="3909"/>
      <c r="H17" s="3909"/>
      <c r="I17" s="3910"/>
      <c r="J17" s="52"/>
      <c r="K17" s="3908" t="s">
        <v>276</v>
      </c>
      <c r="L17" s="3909"/>
      <c r="M17" s="3909"/>
      <c r="N17" s="3909"/>
      <c r="O17" s="3909"/>
      <c r="P17" s="3909"/>
      <c r="Q17" s="3909"/>
      <c r="R17" s="3910"/>
      <c r="S17" s="52"/>
      <c r="T17" s="3938" t="s">
        <v>277</v>
      </c>
      <c r="U17" s="3939"/>
      <c r="V17" s="3939"/>
      <c r="W17" s="3939"/>
      <c r="X17" s="3939"/>
      <c r="Y17" s="3939"/>
      <c r="Z17" s="3939"/>
      <c r="AA17" s="3940"/>
      <c r="AB17" s="105" t="s">
        <v>106</v>
      </c>
      <c r="AC17" s="106"/>
      <c r="AF17" s="106"/>
      <c r="AG17" s="106"/>
      <c r="AH17" s="106"/>
    </row>
    <row r="18" spans="1:34" ht="19.5" thickBot="1">
      <c r="A18" s="7" t="s">
        <v>274</v>
      </c>
      <c r="B18" s="23" t="s">
        <v>71</v>
      </c>
      <c r="C18" s="24" t="s">
        <v>72</v>
      </c>
      <c r="D18" s="24" t="s">
        <v>78</v>
      </c>
      <c r="E18" s="24" t="s">
        <v>74</v>
      </c>
      <c r="F18" s="24" t="s">
        <v>75</v>
      </c>
      <c r="G18" s="24" t="s">
        <v>79</v>
      </c>
      <c r="H18" s="25" t="s">
        <v>77</v>
      </c>
      <c r="I18" s="61" t="s">
        <v>80</v>
      </c>
      <c r="J18" s="54"/>
      <c r="K18" s="88" t="s">
        <v>94</v>
      </c>
      <c r="L18" s="744" t="s">
        <v>96</v>
      </c>
      <c r="M18" s="30" t="s">
        <v>81</v>
      </c>
      <c r="N18" s="30" t="s">
        <v>82</v>
      </c>
      <c r="O18" s="89" t="s">
        <v>75</v>
      </c>
      <c r="P18" s="30" t="s">
        <v>83</v>
      </c>
      <c r="Q18" s="30" t="s">
        <v>87</v>
      </c>
      <c r="R18" s="87" t="s">
        <v>84</v>
      </c>
      <c r="S18" s="54"/>
      <c r="T18" s="88" t="s">
        <v>85</v>
      </c>
      <c r="U18" s="30" t="s">
        <v>86</v>
      </c>
      <c r="V18" s="30" t="s">
        <v>94</v>
      </c>
      <c r="W18" s="30" t="s">
        <v>77</v>
      </c>
      <c r="X18" s="89" t="s">
        <v>75</v>
      </c>
      <c r="Y18" s="30" t="s">
        <v>78</v>
      </c>
      <c r="Z18" s="89" t="s">
        <v>53</v>
      </c>
      <c r="AA18" s="112" t="s">
        <v>88</v>
      </c>
      <c r="AB18" s="113"/>
      <c r="AC18" s="1"/>
      <c r="AE18"/>
      <c r="AF18" s="4"/>
    </row>
    <row r="19" spans="1:34" s="1" customFormat="1" ht="24" thickBot="1">
      <c r="A19" s="11" t="s">
        <v>151</v>
      </c>
      <c r="B19" s="26">
        <f>'BIG CHAIR'!O359</f>
        <v>0</v>
      </c>
      <c r="C19" s="26">
        <f>'BIG CHAIR'!P359</f>
        <v>0</v>
      </c>
      <c r="D19" s="26">
        <f>'BIG CHAIR'!Q359</f>
        <v>0</v>
      </c>
      <c r="E19" s="26">
        <f>'BIG CHAIR'!R359</f>
        <v>0</v>
      </c>
      <c r="F19" s="26">
        <f>'BIG CHAIR'!S359</f>
        <v>0</v>
      </c>
      <c r="G19" s="26">
        <f>'BIG CHAIR'!T359</f>
        <v>0</v>
      </c>
      <c r="H19" s="26">
        <f>'BIG CHAIR'!U359</f>
        <v>0</v>
      </c>
      <c r="I19" s="26">
        <f>'BIG CHAIR'!V359</f>
        <v>0</v>
      </c>
      <c r="J19" s="63"/>
      <c r="K19" s="64">
        <f>'BIG CHAIR'!X359</f>
        <v>0</v>
      </c>
      <c r="L19" s="64">
        <f>'BIG CHAIR'!Y359</f>
        <v>128</v>
      </c>
      <c r="M19" s="64">
        <f>'BIG CHAIR'!Z359</f>
        <v>0</v>
      </c>
      <c r="N19" s="64">
        <f>'BIG CHAIR'!AA359</f>
        <v>0</v>
      </c>
      <c r="O19" s="64">
        <f>'BIG CHAIR'!AB359</f>
        <v>0</v>
      </c>
      <c r="P19" s="64">
        <f>'BIG CHAIR'!AC359</f>
        <v>0</v>
      </c>
      <c r="Q19" s="64">
        <f>'BIG CHAIR'!AD359</f>
        <v>32</v>
      </c>
      <c r="R19" s="64">
        <f>'BIG CHAIR'!AE359</f>
        <v>272</v>
      </c>
      <c r="S19" s="70"/>
      <c r="T19" s="13">
        <f>'BIG CHAIR'!AG359</f>
        <v>0</v>
      </c>
      <c r="U19" s="13">
        <f>'BIG CHAIR'!AH359</f>
        <v>0</v>
      </c>
      <c r="V19" s="13">
        <f>'BIG CHAIR'!AN359</f>
        <v>0</v>
      </c>
      <c r="W19" s="13">
        <f>'BIG CHAIR'!AI359</f>
        <v>0</v>
      </c>
      <c r="X19" s="13">
        <f>'BIG CHAIR'!AJ359</f>
        <v>0</v>
      </c>
      <c r="Y19" s="13">
        <f>'BIG CHAIR'!AK359</f>
        <v>992</v>
      </c>
      <c r="Z19" s="13">
        <f>'BIG CHAIR'!AL359</f>
        <v>0</v>
      </c>
      <c r="AA19" s="13">
        <f>'BIG CHAIR'!AM359</f>
        <v>-176</v>
      </c>
      <c r="AB19" s="109">
        <f>SUM(B19:AA19)</f>
        <v>1248</v>
      </c>
      <c r="AC19" s="115"/>
      <c r="AE19"/>
      <c r="AF19" s="4"/>
    </row>
    <row r="20" spans="1:34" ht="24" thickBot="1">
      <c r="A20" s="2712" t="s">
        <v>146</v>
      </c>
      <c r="B20" s="27">
        <f t="shared" ref="B20:I20" si="6">B19/16</f>
        <v>0</v>
      </c>
      <c r="C20" s="28">
        <f t="shared" si="6"/>
        <v>0</v>
      </c>
      <c r="D20" s="29">
        <f t="shared" si="6"/>
        <v>0</v>
      </c>
      <c r="E20" s="28">
        <f t="shared" si="6"/>
        <v>0</v>
      </c>
      <c r="F20" s="28">
        <f t="shared" si="6"/>
        <v>0</v>
      </c>
      <c r="G20" s="28">
        <f t="shared" si="6"/>
        <v>0</v>
      </c>
      <c r="H20" s="28">
        <f t="shared" si="6"/>
        <v>0</v>
      </c>
      <c r="I20" s="65">
        <f t="shared" si="6"/>
        <v>0</v>
      </c>
      <c r="J20" s="66"/>
      <c r="K20" s="67">
        <f t="shared" ref="K20:R20" si="7">K19/16</f>
        <v>0</v>
      </c>
      <c r="L20" s="60">
        <f t="shared" si="7"/>
        <v>8</v>
      </c>
      <c r="M20" s="60">
        <f t="shared" si="7"/>
        <v>0</v>
      </c>
      <c r="N20" s="60">
        <f t="shared" si="7"/>
        <v>0</v>
      </c>
      <c r="O20" s="60">
        <f t="shared" si="7"/>
        <v>0</v>
      </c>
      <c r="P20" s="60">
        <f t="shared" si="7"/>
        <v>0</v>
      </c>
      <c r="Q20" s="60">
        <f t="shared" si="7"/>
        <v>2</v>
      </c>
      <c r="R20" s="86">
        <f t="shared" si="7"/>
        <v>17</v>
      </c>
      <c r="S20" s="77"/>
      <c r="T20" s="15">
        <f t="shared" ref="T20:AB20" si="8">T19/16</f>
        <v>0</v>
      </c>
      <c r="U20" s="16">
        <f t="shared" si="8"/>
        <v>0</v>
      </c>
      <c r="V20" s="16">
        <f t="shared" si="8"/>
        <v>0</v>
      </c>
      <c r="W20" s="16">
        <f t="shared" si="8"/>
        <v>0</v>
      </c>
      <c r="X20" s="16">
        <f t="shared" si="8"/>
        <v>0</v>
      </c>
      <c r="Y20" s="16">
        <f t="shared" si="8"/>
        <v>62</v>
      </c>
      <c r="Z20" s="16">
        <f t="shared" si="8"/>
        <v>0</v>
      </c>
      <c r="AA20" s="116">
        <f t="shared" si="8"/>
        <v>-11</v>
      </c>
      <c r="AB20" s="117">
        <f t="shared" si="8"/>
        <v>78</v>
      </c>
      <c r="AC20" s="115"/>
      <c r="AE20"/>
      <c r="AF20" s="4"/>
    </row>
    <row r="21" spans="1:34" ht="24" thickBot="1">
      <c r="A21" s="18"/>
      <c r="B21" s="3914">
        <f>SUM(B19:I19)</f>
        <v>0</v>
      </c>
      <c r="C21" s="3915"/>
      <c r="D21" s="3915"/>
      <c r="E21" s="3915"/>
      <c r="F21" s="3915"/>
      <c r="G21" s="3915"/>
      <c r="H21" s="3915"/>
      <c r="I21" s="3916"/>
      <c r="J21" s="1"/>
      <c r="K21" s="3914">
        <f>SUM(K19:R19)</f>
        <v>432</v>
      </c>
      <c r="L21" s="3915"/>
      <c r="M21" s="3915"/>
      <c r="N21" s="3915"/>
      <c r="O21" s="3915"/>
      <c r="P21" s="3915"/>
      <c r="Q21" s="3915"/>
      <c r="R21" s="3916"/>
      <c r="S21" s="1"/>
      <c r="T21" s="3914">
        <f>SUM(T19:AA19)</f>
        <v>816</v>
      </c>
      <c r="U21" s="3915"/>
      <c r="V21" s="3915"/>
      <c r="W21" s="3915"/>
      <c r="X21" s="3915"/>
      <c r="Y21" s="3915"/>
      <c r="Z21" s="3915"/>
      <c r="AA21" s="3916"/>
      <c r="AB21" s="19"/>
    </row>
    <row r="22" spans="1:34" ht="24" thickBot="1">
      <c r="A22" s="19"/>
      <c r="B22" s="3914">
        <f>SUM(B20:I20)</f>
        <v>0</v>
      </c>
      <c r="C22" s="3915"/>
      <c r="D22" s="3915"/>
      <c r="E22" s="3915"/>
      <c r="F22" s="3915"/>
      <c r="G22" s="3915"/>
      <c r="H22" s="3915"/>
      <c r="I22" s="3916"/>
      <c r="J22" s="1"/>
      <c r="K22" s="3914">
        <f>SUM(K20:R20)</f>
        <v>27</v>
      </c>
      <c r="L22" s="3915"/>
      <c r="M22" s="3915"/>
      <c r="N22" s="3915"/>
      <c r="O22" s="3915"/>
      <c r="P22" s="3915"/>
      <c r="Q22" s="3915"/>
      <c r="R22" s="3916"/>
      <c r="S22" s="1"/>
      <c r="T22" s="3914">
        <f>SUM(T20:AA20)</f>
        <v>51</v>
      </c>
      <c r="U22" s="3915"/>
      <c r="V22" s="3915"/>
      <c r="W22" s="3915"/>
      <c r="X22" s="3915"/>
      <c r="Y22" s="3915"/>
      <c r="Z22" s="3915"/>
      <c r="AA22" s="3916"/>
    </row>
    <row r="23" spans="1:34" s="1" customFormat="1" ht="8.25" customHeight="1" thickBot="1">
      <c r="A23" s="20"/>
      <c r="B23" s="21"/>
      <c r="C23" s="22"/>
      <c r="D23" s="22"/>
      <c r="E23" s="22"/>
      <c r="F23" s="22"/>
      <c r="G23" s="22"/>
      <c r="H23" s="22"/>
      <c r="I23" s="22"/>
      <c r="J23" s="20"/>
      <c r="K23" s="21"/>
      <c r="L23" s="22"/>
      <c r="M23" s="22"/>
      <c r="N23" s="22"/>
      <c r="O23" s="22"/>
      <c r="P23" s="22"/>
      <c r="Q23" s="22"/>
      <c r="R23" s="22"/>
      <c r="S23" s="20"/>
      <c r="T23" s="21"/>
      <c r="U23" s="22"/>
      <c r="V23" s="22"/>
      <c r="W23" s="22"/>
      <c r="X23" s="22"/>
      <c r="Y23" s="22"/>
      <c r="Z23" s="22"/>
      <c r="AA23" s="22"/>
      <c r="AB23" s="20"/>
      <c r="AE23" s="4"/>
    </row>
    <row r="24" spans="1:34" ht="32.25" thickBot="1">
      <c r="A24" s="6"/>
      <c r="B24" s="3908" t="s">
        <v>225</v>
      </c>
      <c r="C24" s="3909"/>
      <c r="D24" s="3909"/>
      <c r="E24" s="3909"/>
      <c r="F24" s="3909"/>
      <c r="G24" s="3909"/>
      <c r="H24" s="3909"/>
      <c r="I24" s="3910"/>
      <c r="J24" s="52"/>
      <c r="K24" s="3908" t="s">
        <v>226</v>
      </c>
      <c r="L24" s="3909"/>
      <c r="M24" s="3909"/>
      <c r="N24" s="3909"/>
      <c r="O24" s="3909"/>
      <c r="P24" s="3909"/>
      <c r="Q24" s="3909"/>
      <c r="R24" s="3910"/>
      <c r="S24" s="52"/>
      <c r="T24" s="3908" t="s">
        <v>227</v>
      </c>
      <c r="U24" s="3909"/>
      <c r="V24" s="3909"/>
      <c r="W24" s="3909"/>
      <c r="X24" s="3909"/>
      <c r="Y24" s="3909"/>
      <c r="Z24" s="3909"/>
      <c r="AA24" s="3910"/>
      <c r="AB24" s="105" t="s">
        <v>106</v>
      </c>
    </row>
    <row r="25" spans="1:34" ht="19.5" thickBot="1">
      <c r="A25" s="7" t="s">
        <v>274</v>
      </c>
      <c r="B25" s="88" t="s">
        <v>96</v>
      </c>
      <c r="C25" s="30" t="s">
        <v>124</v>
      </c>
      <c r="D25" s="30" t="s">
        <v>228</v>
      </c>
      <c r="E25" s="30" t="s">
        <v>149</v>
      </c>
      <c r="F25" s="3368" t="s">
        <v>470</v>
      </c>
      <c r="G25" s="30" t="s">
        <v>92</v>
      </c>
      <c r="H25" s="50" t="s">
        <v>479</v>
      </c>
      <c r="I25" s="2556" t="s">
        <v>123</v>
      </c>
      <c r="J25" s="54"/>
      <c r="K25" s="40" t="s">
        <v>71</v>
      </c>
      <c r="L25" s="41" t="s">
        <v>53</v>
      </c>
      <c r="M25" s="41" t="s">
        <v>118</v>
      </c>
      <c r="N25" s="41" t="s">
        <v>74</v>
      </c>
      <c r="O25" s="41" t="s">
        <v>75</v>
      </c>
      <c r="P25" s="41" t="s">
        <v>94</v>
      </c>
      <c r="Q25" s="81" t="s">
        <v>77</v>
      </c>
      <c r="R25" s="90" t="s">
        <v>101</v>
      </c>
      <c r="S25" s="54"/>
      <c r="T25" s="23" t="s">
        <v>71</v>
      </c>
      <c r="U25" s="24" t="s">
        <v>96</v>
      </c>
      <c r="V25" s="24" t="s">
        <v>118</v>
      </c>
      <c r="W25" s="24" t="s">
        <v>229</v>
      </c>
      <c r="X25" s="24" t="s">
        <v>250</v>
      </c>
      <c r="Y25" s="24" t="s">
        <v>53</v>
      </c>
      <c r="Z25" s="24" t="s">
        <v>278</v>
      </c>
      <c r="AA25" s="94" t="s">
        <v>222</v>
      </c>
      <c r="AB25" s="18"/>
    </row>
    <row r="26" spans="1:34" ht="24" thickBot="1">
      <c r="A26" s="11" t="s">
        <v>151</v>
      </c>
      <c r="B26" s="32">
        <f>Aless!E352</f>
        <v>0</v>
      </c>
      <c r="C26" s="33">
        <f>Aless!F352</f>
        <v>0</v>
      </c>
      <c r="D26" s="33">
        <f>Aless!G352</f>
        <v>0</v>
      </c>
      <c r="E26" s="33">
        <f>Aless!H352</f>
        <v>0</v>
      </c>
      <c r="F26" s="33">
        <f>Aless!I352</f>
        <v>20</v>
      </c>
      <c r="G26" s="33">
        <f>Aless!J352</f>
        <v>-220</v>
      </c>
      <c r="H26" s="33">
        <f>Aless!K352</f>
        <v>820</v>
      </c>
      <c r="I26" s="69">
        <f>Aless!L352</f>
        <v>80</v>
      </c>
      <c r="J26" s="70"/>
      <c r="K26" s="12">
        <f>Aless!N352</f>
        <v>0</v>
      </c>
      <c r="L26" s="13">
        <f>Aless!O352</f>
        <v>-500</v>
      </c>
      <c r="M26" s="13">
        <f>Aless!P352</f>
        <v>0</v>
      </c>
      <c r="N26" s="13">
        <f>Aless!Q352</f>
        <v>0</v>
      </c>
      <c r="O26" s="13">
        <f>Aless!R352</f>
        <v>360</v>
      </c>
      <c r="P26" s="13">
        <f>Aless!S352</f>
        <v>1200</v>
      </c>
      <c r="Q26" s="13">
        <f>Aless!T352</f>
        <v>0</v>
      </c>
      <c r="R26" s="91">
        <f>Aless!U352</f>
        <v>0</v>
      </c>
      <c r="S26" s="70"/>
      <c r="T26" s="32">
        <f>Aless!W352</f>
        <v>0</v>
      </c>
      <c r="U26" s="33">
        <f>Aless!X352</f>
        <v>0</v>
      </c>
      <c r="V26" s="33">
        <f>Aless!Y352</f>
        <v>0</v>
      </c>
      <c r="W26" s="33">
        <f>Aless!Z352</f>
        <v>0</v>
      </c>
      <c r="X26" s="33">
        <f>Aless!AC352</f>
        <v>0</v>
      </c>
      <c r="Y26" s="33">
        <f>Aless!AB352</f>
        <v>0</v>
      </c>
      <c r="Z26" s="33">
        <f>Aless!AA352</f>
        <v>0</v>
      </c>
      <c r="AA26" s="69">
        <f>Aless!AD352</f>
        <v>0</v>
      </c>
      <c r="AB26" s="108">
        <f>SUM(B26:AA26)</f>
        <v>1760</v>
      </c>
    </row>
    <row r="27" spans="1:34" s="2" customFormat="1" ht="24" thickBot="1">
      <c r="A27" s="34" t="s">
        <v>146</v>
      </c>
      <c r="B27" s="35">
        <f t="shared" ref="B27:I27" si="9">B26/20</f>
        <v>0</v>
      </c>
      <c r="C27" s="36">
        <f t="shared" si="9"/>
        <v>0</v>
      </c>
      <c r="D27" s="36">
        <f t="shared" si="9"/>
        <v>0</v>
      </c>
      <c r="E27" s="36">
        <f t="shared" si="9"/>
        <v>0</v>
      </c>
      <c r="F27" s="36">
        <f t="shared" si="9"/>
        <v>1</v>
      </c>
      <c r="G27" s="36">
        <f t="shared" si="9"/>
        <v>-11</v>
      </c>
      <c r="H27" s="36">
        <f t="shared" si="9"/>
        <v>41</v>
      </c>
      <c r="I27" s="71">
        <f t="shared" si="9"/>
        <v>4</v>
      </c>
      <c r="J27" s="72"/>
      <c r="K27" s="73">
        <f t="shared" ref="K27:R27" si="10">K26/20</f>
        <v>0</v>
      </c>
      <c r="L27" s="74">
        <f t="shared" si="10"/>
        <v>-25</v>
      </c>
      <c r="M27" s="74">
        <f t="shared" si="10"/>
        <v>0</v>
      </c>
      <c r="N27" s="74">
        <f t="shared" si="10"/>
        <v>0</v>
      </c>
      <c r="O27" s="74">
        <f t="shared" si="10"/>
        <v>18</v>
      </c>
      <c r="P27" s="74">
        <f t="shared" si="10"/>
        <v>60</v>
      </c>
      <c r="Q27" s="74">
        <f t="shared" si="10"/>
        <v>0</v>
      </c>
      <c r="R27" s="92">
        <f t="shared" si="10"/>
        <v>0</v>
      </c>
      <c r="S27" s="72"/>
      <c r="T27" s="35">
        <f t="shared" ref="T27:AA27" si="11">T26/20</f>
        <v>0</v>
      </c>
      <c r="U27" s="36">
        <f t="shared" si="11"/>
        <v>0</v>
      </c>
      <c r="V27" s="36">
        <f t="shared" si="11"/>
        <v>0</v>
      </c>
      <c r="W27" s="36">
        <f t="shared" si="11"/>
        <v>0</v>
      </c>
      <c r="X27" s="93">
        <f t="shared" si="11"/>
        <v>0</v>
      </c>
      <c r="Y27" s="93">
        <f t="shared" si="11"/>
        <v>0</v>
      </c>
      <c r="Z27" s="93">
        <f t="shared" si="11"/>
        <v>0</v>
      </c>
      <c r="AA27" s="71">
        <f t="shared" si="11"/>
        <v>0</v>
      </c>
      <c r="AB27" s="118">
        <f>SUM(B27:AA27)</f>
        <v>88</v>
      </c>
      <c r="AE27" s="119"/>
    </row>
    <row r="28" spans="1:34" ht="24" thickBot="1">
      <c r="A28" s="37"/>
      <c r="B28" s="3911">
        <f>SUM(B26:I26)</f>
        <v>700</v>
      </c>
      <c r="C28" s="3912"/>
      <c r="D28" s="3912"/>
      <c r="E28" s="3912"/>
      <c r="F28" s="3912"/>
      <c r="G28" s="3912"/>
      <c r="H28" s="3912"/>
      <c r="I28" s="3913"/>
      <c r="J28" s="75"/>
      <c r="K28" s="3911">
        <f>SUM(K26:R26)</f>
        <v>1060</v>
      </c>
      <c r="L28" s="3912"/>
      <c r="M28" s="3912"/>
      <c r="N28" s="3912"/>
      <c r="O28" s="3912"/>
      <c r="P28" s="3912"/>
      <c r="Q28" s="3912"/>
      <c r="R28" s="3913"/>
      <c r="S28" s="75"/>
      <c r="T28" s="3911">
        <f>SUM(T26:AA26)</f>
        <v>0</v>
      </c>
      <c r="U28" s="3912"/>
      <c r="V28" s="3912"/>
      <c r="W28" s="3912"/>
      <c r="X28" s="3912"/>
      <c r="Y28" s="3912"/>
      <c r="Z28" s="3912"/>
      <c r="AA28" s="3913"/>
      <c r="AB28" s="1"/>
    </row>
    <row r="29" spans="1:34" ht="27" thickBot="1">
      <c r="A29" s="38"/>
      <c r="B29" s="3914">
        <f>SUM(B27:I27)</f>
        <v>35</v>
      </c>
      <c r="C29" s="3915"/>
      <c r="D29" s="3915"/>
      <c r="E29" s="3915"/>
      <c r="F29" s="3915"/>
      <c r="G29" s="3915"/>
      <c r="H29" s="3915"/>
      <c r="I29" s="3916"/>
      <c r="J29" s="76"/>
      <c r="K29" s="3914">
        <f>SUM(K27:R27)</f>
        <v>53</v>
      </c>
      <c r="L29" s="3915"/>
      <c r="M29" s="3915"/>
      <c r="N29" s="3915"/>
      <c r="O29" s="3915"/>
      <c r="P29" s="3915"/>
      <c r="Q29" s="3915"/>
      <c r="R29" s="3916"/>
      <c r="S29" s="76"/>
      <c r="T29" s="3914">
        <f>SUM(T27:AA27)</f>
        <v>0</v>
      </c>
      <c r="U29" s="3915"/>
      <c r="V29" s="3915"/>
      <c r="W29" s="3915"/>
      <c r="X29" s="3915"/>
      <c r="Y29" s="3915"/>
      <c r="Z29" s="3915"/>
      <c r="AA29" s="3916"/>
      <c r="AB29" s="1"/>
    </row>
    <row r="30" spans="1:34" ht="32.25" thickBot="1">
      <c r="A30" s="6"/>
      <c r="B30" s="3908" t="s">
        <v>354</v>
      </c>
      <c r="C30" s="3909"/>
      <c r="D30" s="3909"/>
      <c r="E30" s="3909"/>
      <c r="F30" s="3909"/>
      <c r="G30" s="3909"/>
      <c r="H30" s="3909"/>
      <c r="I30" s="3910"/>
      <c r="J30" s="52"/>
      <c r="K30" s="3908" t="s">
        <v>356</v>
      </c>
      <c r="L30" s="3909"/>
      <c r="M30" s="3909"/>
      <c r="N30" s="3909"/>
      <c r="O30" s="3909"/>
      <c r="P30" s="3909"/>
      <c r="Q30" s="3909"/>
      <c r="R30" s="3910"/>
      <c r="S30" s="52"/>
      <c r="T30" s="3908" t="s">
        <v>355</v>
      </c>
      <c r="U30" s="3909"/>
      <c r="V30" s="3909"/>
      <c r="W30" s="3909"/>
      <c r="X30" s="3909"/>
      <c r="Y30" s="3909"/>
      <c r="Z30" s="3909"/>
      <c r="AA30" s="3910"/>
      <c r="AB30" s="105" t="s">
        <v>106</v>
      </c>
    </row>
    <row r="31" spans="1:34" ht="19.5" thickBot="1">
      <c r="A31" s="7" t="s">
        <v>274</v>
      </c>
      <c r="B31" s="88" t="s">
        <v>88</v>
      </c>
      <c r="C31" s="30" t="s">
        <v>407</v>
      </c>
      <c r="D31" s="30" t="s">
        <v>53</v>
      </c>
      <c r="E31" s="30" t="s">
        <v>170</v>
      </c>
      <c r="F31" s="30" t="s">
        <v>222</v>
      </c>
      <c r="G31" s="30" t="s">
        <v>149</v>
      </c>
      <c r="H31" s="30" t="s">
        <v>206</v>
      </c>
      <c r="I31" s="2556" t="s">
        <v>124</v>
      </c>
      <c r="J31" s="2557"/>
      <c r="K31" s="40" t="s">
        <v>96</v>
      </c>
      <c r="L31" s="41" t="s">
        <v>407</v>
      </c>
      <c r="M31" s="41" t="s">
        <v>53</v>
      </c>
      <c r="N31" s="41" t="s">
        <v>86</v>
      </c>
      <c r="O31" s="41" t="s">
        <v>94</v>
      </c>
      <c r="P31" s="41" t="s">
        <v>85</v>
      </c>
      <c r="Q31" s="81" t="s">
        <v>92</v>
      </c>
      <c r="R31" s="90" t="s">
        <v>432</v>
      </c>
      <c r="S31" s="98"/>
      <c r="T31" s="40" t="s">
        <v>88</v>
      </c>
      <c r="U31" s="41"/>
      <c r="V31" s="41" t="s">
        <v>206</v>
      </c>
      <c r="W31" s="41"/>
      <c r="X31" s="41" t="s">
        <v>222</v>
      </c>
      <c r="Y31" s="41"/>
      <c r="Z31" s="81" t="s">
        <v>76</v>
      </c>
      <c r="AA31" s="90"/>
      <c r="AB31" s="18"/>
    </row>
    <row r="32" spans="1:34" ht="24" thickBot="1">
      <c r="A32" s="11" t="s">
        <v>151</v>
      </c>
      <c r="B32" s="32">
        <f>'Small Chair'!E336</f>
        <v>0</v>
      </c>
      <c r="C32" s="32">
        <f>'Small Chair'!F336</f>
        <v>0</v>
      </c>
      <c r="D32" s="32">
        <f>'Small Chair'!G336</f>
        <v>0</v>
      </c>
      <c r="E32" s="32">
        <f>'Small Chair'!H336</f>
        <v>0</v>
      </c>
      <c r="F32" s="32">
        <f>'Small Chair'!I336</f>
        <v>0</v>
      </c>
      <c r="G32" s="32">
        <f>'Small Chair'!J336</f>
        <v>140</v>
      </c>
      <c r="H32" s="32">
        <f>'Small Chair'!K336</f>
        <v>360</v>
      </c>
      <c r="I32" s="32">
        <f>'Small Chair'!L336</f>
        <v>0</v>
      </c>
      <c r="J32" s="70"/>
      <c r="K32" s="12">
        <f>'Small Chair'!N336</f>
        <v>140</v>
      </c>
      <c r="L32" s="12">
        <f>'Small Chair'!O336</f>
        <v>0</v>
      </c>
      <c r="M32" s="12">
        <f>'Small Chair'!P336</f>
        <v>180</v>
      </c>
      <c r="N32" s="12">
        <f>'Small Chair'!Q336</f>
        <v>280</v>
      </c>
      <c r="O32" s="12">
        <f>'Small Chair'!R336</f>
        <v>-20</v>
      </c>
      <c r="P32" s="12">
        <f>'Small Chair'!S336</f>
        <v>0</v>
      </c>
      <c r="Q32" s="12">
        <f>'Small Chair'!T336</f>
        <v>0</v>
      </c>
      <c r="R32" s="12">
        <f>'Small Chair'!U336</f>
        <v>660</v>
      </c>
      <c r="S32" s="70"/>
      <c r="T32" s="32">
        <f>'Small Chair'!W336</f>
        <v>-280</v>
      </c>
      <c r="U32" s="32">
        <f>'Small Chair'!X336</f>
        <v>1200</v>
      </c>
      <c r="V32" s="32">
        <f>'Small Chair'!Y336</f>
        <v>800</v>
      </c>
      <c r="W32" s="32">
        <f>'Small Chair'!Z336</f>
        <v>0</v>
      </c>
      <c r="X32" s="32">
        <f>'Small Chair'!AA336</f>
        <v>1300</v>
      </c>
      <c r="Y32" s="32">
        <f>'Small Chair'!AB336</f>
        <v>0</v>
      </c>
      <c r="Z32" s="32">
        <f>'Small Chair'!AC336</f>
        <v>0</v>
      </c>
      <c r="AA32" s="32">
        <f>'Small Chair'!AD336</f>
        <v>0</v>
      </c>
      <c r="AB32" s="108">
        <f>SUM(B32:AA32)</f>
        <v>4760</v>
      </c>
    </row>
    <row r="33" spans="1:32" s="2" customFormat="1" ht="24" thickBot="1">
      <c r="A33" s="34" t="s">
        <v>146</v>
      </c>
      <c r="B33" s="35">
        <f t="shared" ref="B33:I33" si="12">B32/20</f>
        <v>0</v>
      </c>
      <c r="C33" s="36">
        <f t="shared" si="12"/>
        <v>0</v>
      </c>
      <c r="D33" s="36">
        <f t="shared" si="12"/>
        <v>0</v>
      </c>
      <c r="E33" s="36">
        <f t="shared" si="12"/>
        <v>0</v>
      </c>
      <c r="F33" s="36">
        <f t="shared" si="12"/>
        <v>0</v>
      </c>
      <c r="G33" s="36">
        <f t="shared" si="12"/>
        <v>7</v>
      </c>
      <c r="H33" s="36">
        <f t="shared" si="12"/>
        <v>18</v>
      </c>
      <c r="I33" s="71">
        <f t="shared" si="12"/>
        <v>0</v>
      </c>
      <c r="J33" s="72"/>
      <c r="K33" s="73">
        <f t="shared" ref="K33:R33" si="13">K32/20</f>
        <v>7</v>
      </c>
      <c r="L33" s="74">
        <f t="shared" si="13"/>
        <v>0</v>
      </c>
      <c r="M33" s="74">
        <f t="shared" si="13"/>
        <v>9</v>
      </c>
      <c r="N33" s="74">
        <f t="shared" si="13"/>
        <v>14</v>
      </c>
      <c r="O33" s="74">
        <f t="shared" si="13"/>
        <v>-1</v>
      </c>
      <c r="P33" s="74">
        <f t="shared" si="13"/>
        <v>0</v>
      </c>
      <c r="Q33" s="74">
        <f t="shared" si="13"/>
        <v>0</v>
      </c>
      <c r="R33" s="92">
        <f t="shared" si="13"/>
        <v>33</v>
      </c>
      <c r="S33" s="72"/>
      <c r="T33" s="35">
        <f t="shared" ref="T33:AA33" si="14">T32/20</f>
        <v>-14</v>
      </c>
      <c r="U33" s="36">
        <f t="shared" si="14"/>
        <v>60</v>
      </c>
      <c r="V33" s="36">
        <f t="shared" si="14"/>
        <v>40</v>
      </c>
      <c r="W33" s="36">
        <f t="shared" si="14"/>
        <v>0</v>
      </c>
      <c r="X33" s="93">
        <f t="shared" si="14"/>
        <v>65</v>
      </c>
      <c r="Y33" s="93">
        <f t="shared" si="14"/>
        <v>0</v>
      </c>
      <c r="Z33" s="93">
        <f t="shared" si="14"/>
        <v>0</v>
      </c>
      <c r="AA33" s="71">
        <f t="shared" si="14"/>
        <v>0</v>
      </c>
      <c r="AB33" s="118">
        <f>SUM(B33:AA33)</f>
        <v>238</v>
      </c>
      <c r="AE33" s="119"/>
    </row>
    <row r="34" spans="1:32" ht="24" thickBot="1">
      <c r="A34" s="37"/>
      <c r="B34" s="3911">
        <f>SUM(B32:I32)</f>
        <v>500</v>
      </c>
      <c r="C34" s="3912"/>
      <c r="D34" s="3912"/>
      <c r="E34" s="3912"/>
      <c r="F34" s="3912"/>
      <c r="G34" s="3912"/>
      <c r="H34" s="3912"/>
      <c r="I34" s="3913"/>
      <c r="J34" s="75"/>
      <c r="K34" s="3911">
        <f>SUM(K32:R32)</f>
        <v>1240</v>
      </c>
      <c r="L34" s="3912"/>
      <c r="M34" s="3912"/>
      <c r="N34" s="3912"/>
      <c r="O34" s="3912"/>
      <c r="P34" s="3912"/>
      <c r="Q34" s="3912"/>
      <c r="R34" s="3913"/>
      <c r="S34" s="75"/>
      <c r="T34" s="3911">
        <f>SUM(T32:AA32)</f>
        <v>3020</v>
      </c>
      <c r="U34" s="3912"/>
      <c r="V34" s="3912"/>
      <c r="W34" s="3912"/>
      <c r="X34" s="3912"/>
      <c r="Y34" s="3912"/>
      <c r="Z34" s="3912"/>
      <c r="AA34" s="3913"/>
      <c r="AB34" s="1"/>
    </row>
    <row r="35" spans="1:32" ht="27" thickBot="1">
      <c r="A35" s="38"/>
      <c r="B35" s="3914">
        <f>SUM(B33:I33)</f>
        <v>25</v>
      </c>
      <c r="C35" s="3915"/>
      <c r="D35" s="3915"/>
      <c r="E35" s="3915"/>
      <c r="F35" s="3915"/>
      <c r="G35" s="3915"/>
      <c r="H35" s="3915"/>
      <c r="I35" s="3916"/>
      <c r="J35" s="76"/>
      <c r="K35" s="3914">
        <f>SUM(K33:R33)</f>
        <v>62</v>
      </c>
      <c r="L35" s="3915"/>
      <c r="M35" s="3915"/>
      <c r="N35" s="3915"/>
      <c r="O35" s="3915"/>
      <c r="P35" s="3915"/>
      <c r="Q35" s="3915"/>
      <c r="R35" s="3916"/>
      <c r="S35" s="76"/>
      <c r="T35" s="3914">
        <f>SUM(T33:AA33)</f>
        <v>151</v>
      </c>
      <c r="U35" s="3915"/>
      <c r="V35" s="3915"/>
      <c r="W35" s="3915"/>
      <c r="X35" s="3915"/>
      <c r="Y35" s="3915"/>
      <c r="Z35" s="3915"/>
      <c r="AA35" s="3916"/>
      <c r="AB35" s="1"/>
    </row>
    <row r="36" spans="1:32" s="1" customFormat="1" ht="24" thickBot="1">
      <c r="A36" s="20"/>
      <c r="B36" s="21"/>
      <c r="C36" s="22"/>
      <c r="D36" s="22"/>
      <c r="E36" s="22"/>
      <c r="F36" s="22"/>
      <c r="G36" s="22"/>
      <c r="H36" s="22"/>
      <c r="I36" s="22"/>
      <c r="J36" s="20"/>
      <c r="K36" s="21"/>
      <c r="L36" s="22"/>
      <c r="M36" s="22"/>
      <c r="N36" s="22"/>
      <c r="O36" s="22"/>
      <c r="P36" s="22"/>
      <c r="Q36" s="22"/>
      <c r="R36" s="22"/>
      <c r="S36" s="20"/>
      <c r="T36" s="21"/>
      <c r="U36" s="22"/>
      <c r="V36" s="22"/>
      <c r="W36" s="22"/>
      <c r="X36" s="22"/>
      <c r="Y36" s="22"/>
      <c r="Z36" s="22"/>
      <c r="AA36" s="22"/>
      <c r="AB36" s="20"/>
      <c r="AE36" s="4"/>
    </row>
    <row r="37" spans="1:32" ht="32.25" thickBot="1">
      <c r="A37" s="6"/>
      <c r="B37" s="3908" t="s">
        <v>217</v>
      </c>
      <c r="C37" s="3909"/>
      <c r="D37" s="3909"/>
      <c r="E37" s="3909"/>
      <c r="F37" s="3909"/>
      <c r="G37" s="3909"/>
      <c r="H37" s="3909"/>
      <c r="I37" s="3910"/>
      <c r="J37" s="52"/>
      <c r="K37" s="3908" t="s">
        <v>218</v>
      </c>
      <c r="L37" s="3909"/>
      <c r="M37" s="3909"/>
      <c r="N37" s="3909"/>
      <c r="O37" s="3909"/>
      <c r="P37" s="3909"/>
      <c r="Q37" s="3909"/>
      <c r="R37" s="3910"/>
      <c r="S37" s="52"/>
      <c r="T37" s="3908" t="s">
        <v>219</v>
      </c>
      <c r="U37" s="3909"/>
      <c r="V37" s="3909"/>
      <c r="W37" s="3909"/>
      <c r="X37" s="3909"/>
      <c r="Y37" s="3909"/>
      <c r="Z37" s="3909"/>
      <c r="AA37" s="3910"/>
      <c r="AB37" s="105" t="s">
        <v>106</v>
      </c>
    </row>
    <row r="38" spans="1:32" ht="19.5" thickBot="1">
      <c r="A38" s="7" t="s">
        <v>274</v>
      </c>
      <c r="B38" s="40" t="s">
        <v>86</v>
      </c>
      <c r="C38" s="24"/>
      <c r="D38" s="24"/>
      <c r="E38" s="24"/>
      <c r="F38" s="24"/>
      <c r="G38" s="24"/>
      <c r="H38" s="31"/>
      <c r="I38" s="61"/>
      <c r="J38" s="54"/>
      <c r="K38" s="23" t="s">
        <v>71</v>
      </c>
      <c r="L38" s="24" t="s">
        <v>72</v>
      </c>
      <c r="M38" s="24" t="s">
        <v>100</v>
      </c>
      <c r="N38" s="24" t="s">
        <v>95</v>
      </c>
      <c r="O38" s="24" t="s">
        <v>75</v>
      </c>
      <c r="P38" s="24" t="s">
        <v>279</v>
      </c>
      <c r="Q38" s="24" t="s">
        <v>77</v>
      </c>
      <c r="R38" s="94" t="s">
        <v>101</v>
      </c>
      <c r="S38" s="54"/>
      <c r="T38" s="23" t="str">
        <f>'Chota Heritage'!V3</f>
        <v>S-W</v>
      </c>
      <c r="U38" s="23" t="s">
        <v>484</v>
      </c>
      <c r="V38" s="23" t="s">
        <v>100</v>
      </c>
      <c r="W38" s="95" t="s">
        <v>220</v>
      </c>
      <c r="X38" s="23" t="str">
        <f>'Chota Heritage'!Z3</f>
        <v>M.Bz</v>
      </c>
      <c r="Y38" s="23" t="str">
        <f>'Chota Heritage'!AA3</f>
        <v>Brown</v>
      </c>
      <c r="Z38" s="23" t="str">
        <f>'Chota Heritage'!AB3</f>
        <v>R-W</v>
      </c>
      <c r="AA38" s="23" t="s">
        <v>86</v>
      </c>
      <c r="AB38" s="18"/>
    </row>
    <row r="39" spans="1:32" ht="24" thickBot="1">
      <c r="A39" s="11" t="s">
        <v>151</v>
      </c>
      <c r="B39" s="32">
        <f>'Chota Heritage'!E254</f>
        <v>0</v>
      </c>
      <c r="C39" s="32">
        <f>'Chota Heritage'!F254</f>
        <v>0</v>
      </c>
      <c r="D39" s="32">
        <f>'Chota Heritage'!G254</f>
        <v>0</v>
      </c>
      <c r="E39" s="32">
        <f>'Chota Heritage'!H254</f>
        <v>0</v>
      </c>
      <c r="F39" s="32">
        <f>'Chota Heritage'!I254</f>
        <v>0</v>
      </c>
      <c r="G39" s="32">
        <f>'Chota Heritage'!J254</f>
        <v>0</v>
      </c>
      <c r="H39" s="32">
        <f>'Chota Heritage'!K254</f>
        <v>0</v>
      </c>
      <c r="I39" s="32">
        <f>'Chota Heritage'!L254</f>
        <v>0</v>
      </c>
      <c r="J39" s="70"/>
      <c r="K39" s="12">
        <f>'Chota Heritage'!M254</f>
        <v>0</v>
      </c>
      <c r="L39" s="12">
        <f>'Chota Heritage'!N254</f>
        <v>0</v>
      </c>
      <c r="M39" s="12">
        <f>'Chota Heritage'!O254</f>
        <v>0</v>
      </c>
      <c r="N39" s="12">
        <f>'Chota Heritage'!P254</f>
        <v>0</v>
      </c>
      <c r="O39" s="12">
        <f>'Chota Heritage'!Q254</f>
        <v>0</v>
      </c>
      <c r="P39" s="12">
        <f>'Chota Heritage'!R254</f>
        <v>0</v>
      </c>
      <c r="Q39" s="12">
        <f>'Chota Heritage'!S254</f>
        <v>0</v>
      </c>
      <c r="R39" s="12">
        <f>'Chota Heritage'!T254</f>
        <v>0</v>
      </c>
      <c r="S39" s="70"/>
      <c r="T39" s="32">
        <f>'Chota Heritage'!V254</f>
        <v>768</v>
      </c>
      <c r="U39" s="32">
        <f>'Chota Heritage'!W254</f>
        <v>0</v>
      </c>
      <c r="V39" s="32">
        <f>'Chota Heritage'!X254</f>
        <v>464</v>
      </c>
      <c r="W39" s="32">
        <f>'Chota Heritage'!Y254</f>
        <v>0</v>
      </c>
      <c r="X39" s="32">
        <f>'Chota Heritage'!Z254</f>
        <v>0</v>
      </c>
      <c r="Y39" s="32">
        <f>'Chota Heritage'!AA254</f>
        <v>0</v>
      </c>
      <c r="Z39" s="32">
        <f>'Chota Heritage'!AB254</f>
        <v>1152</v>
      </c>
      <c r="AA39" s="32">
        <f>'Chota Heritage'!AC254</f>
        <v>0</v>
      </c>
      <c r="AB39" s="108">
        <f>SUM(B39:AA39)</f>
        <v>2384</v>
      </c>
    </row>
    <row r="40" spans="1:32" ht="24" thickBot="1">
      <c r="A40" s="11" t="s">
        <v>146</v>
      </c>
      <c r="B40" s="39">
        <f t="shared" ref="B40:I40" si="15">B39/16</f>
        <v>0</v>
      </c>
      <c r="C40" s="39">
        <f t="shared" si="15"/>
        <v>0</v>
      </c>
      <c r="D40" s="39">
        <f t="shared" si="15"/>
        <v>0</v>
      </c>
      <c r="E40" s="39">
        <f t="shared" si="15"/>
        <v>0</v>
      </c>
      <c r="F40" s="39">
        <f t="shared" si="15"/>
        <v>0</v>
      </c>
      <c r="G40" s="39">
        <f t="shared" si="15"/>
        <v>0</v>
      </c>
      <c r="H40" s="39">
        <f t="shared" si="15"/>
        <v>0</v>
      </c>
      <c r="I40" s="39">
        <f t="shared" si="15"/>
        <v>0</v>
      </c>
      <c r="J40" s="77"/>
      <c r="K40" s="78">
        <f t="shared" ref="K40:R40" si="16">K39/16</f>
        <v>0</v>
      </c>
      <c r="L40" s="78">
        <f t="shared" si="16"/>
        <v>0</v>
      </c>
      <c r="M40" s="78">
        <f t="shared" si="16"/>
        <v>0</v>
      </c>
      <c r="N40" s="78">
        <f t="shared" si="16"/>
        <v>0</v>
      </c>
      <c r="O40" s="78">
        <f t="shared" si="16"/>
        <v>0</v>
      </c>
      <c r="P40" s="78">
        <f t="shared" si="16"/>
        <v>0</v>
      </c>
      <c r="Q40" s="78">
        <f t="shared" si="16"/>
        <v>0</v>
      </c>
      <c r="R40" s="78">
        <f t="shared" si="16"/>
        <v>0</v>
      </c>
      <c r="S40" s="77"/>
      <c r="T40" s="39">
        <f t="shared" ref="T40:AA40" si="17">T39/16</f>
        <v>48</v>
      </c>
      <c r="U40" s="39">
        <f t="shared" si="17"/>
        <v>0</v>
      </c>
      <c r="V40" s="39">
        <f t="shared" si="17"/>
        <v>29</v>
      </c>
      <c r="W40" s="39">
        <f t="shared" si="17"/>
        <v>0</v>
      </c>
      <c r="X40" s="96">
        <f t="shared" si="17"/>
        <v>0</v>
      </c>
      <c r="Y40" s="39">
        <f t="shared" si="17"/>
        <v>0</v>
      </c>
      <c r="Z40" s="39">
        <f t="shared" si="17"/>
        <v>72</v>
      </c>
      <c r="AA40" s="39">
        <f t="shared" si="17"/>
        <v>0</v>
      </c>
      <c r="AB40" s="109">
        <f>SUM(B40:AA40)</f>
        <v>149</v>
      </c>
      <c r="AF40" s="120"/>
    </row>
    <row r="41" spans="1:32" ht="24" thickBot="1">
      <c r="A41" s="37"/>
      <c r="B41" s="3911">
        <f>SUM(B39:I39)</f>
        <v>0</v>
      </c>
      <c r="C41" s="3912"/>
      <c r="D41" s="3912"/>
      <c r="E41" s="3912"/>
      <c r="F41" s="3912"/>
      <c r="G41" s="3912"/>
      <c r="H41" s="3912"/>
      <c r="I41" s="3913"/>
      <c r="J41" s="75"/>
      <c r="K41" s="3911">
        <f>SUM(K39:R39)</f>
        <v>0</v>
      </c>
      <c r="L41" s="3912"/>
      <c r="M41" s="3912"/>
      <c r="N41" s="3912"/>
      <c r="O41" s="3912"/>
      <c r="P41" s="3912"/>
      <c r="Q41" s="3912"/>
      <c r="R41" s="3913"/>
      <c r="S41" s="75"/>
      <c r="T41" s="3911">
        <f>SUM(T39:AA39)</f>
        <v>2384</v>
      </c>
      <c r="U41" s="3912"/>
      <c r="V41" s="3912"/>
      <c r="W41" s="3912"/>
      <c r="X41" s="3912"/>
      <c r="Y41" s="3912"/>
      <c r="Z41" s="3912"/>
      <c r="AA41" s="3913"/>
      <c r="AB41" s="1"/>
    </row>
    <row r="42" spans="1:32" ht="27" thickBot="1">
      <c r="A42" s="38"/>
      <c r="B42" s="3914">
        <f>SUM(B40:I40)</f>
        <v>0</v>
      </c>
      <c r="C42" s="3915"/>
      <c r="D42" s="3915"/>
      <c r="E42" s="3915"/>
      <c r="F42" s="3915"/>
      <c r="G42" s="3915"/>
      <c r="H42" s="3915"/>
      <c r="I42" s="3916"/>
      <c r="J42" s="76"/>
      <c r="K42" s="3914">
        <f>SUM(K40:R40)</f>
        <v>0</v>
      </c>
      <c r="L42" s="3915"/>
      <c r="M42" s="3915"/>
      <c r="N42" s="3915"/>
      <c r="O42" s="3915"/>
      <c r="P42" s="3915"/>
      <c r="Q42" s="3915"/>
      <c r="R42" s="3916"/>
      <c r="S42" s="76"/>
      <c r="T42" s="3914">
        <f>SUM(T40:AA40)</f>
        <v>149</v>
      </c>
      <c r="U42" s="3915"/>
      <c r="V42" s="3915"/>
      <c r="W42" s="3915"/>
      <c r="X42" s="3915"/>
      <c r="Y42" s="3915"/>
      <c r="Z42" s="3915"/>
      <c r="AA42" s="3916"/>
      <c r="AB42" s="1"/>
    </row>
    <row r="43" spans="1:32" s="1" customFormat="1" ht="24" thickBot="1">
      <c r="A43" s="20"/>
      <c r="B43" s="21"/>
      <c r="C43" s="22"/>
      <c r="D43" s="22"/>
      <c r="E43" s="22"/>
      <c r="F43" s="22"/>
      <c r="G43" s="22"/>
      <c r="H43" s="22"/>
      <c r="I43" s="22"/>
      <c r="J43" s="20"/>
      <c r="K43" s="21"/>
      <c r="L43" s="22"/>
      <c r="M43" s="22"/>
      <c r="N43" s="22"/>
      <c r="O43" s="22"/>
      <c r="P43" s="22"/>
      <c r="Q43" s="22"/>
      <c r="R43" s="22"/>
      <c r="S43" s="20"/>
      <c r="T43" s="21"/>
      <c r="U43" s="22"/>
      <c r="V43" s="22"/>
      <c r="W43" s="22"/>
      <c r="X43" s="22"/>
      <c r="Y43" s="22"/>
      <c r="Z43" s="22"/>
      <c r="AA43" s="22"/>
      <c r="AB43" s="20"/>
      <c r="AE43" s="4"/>
    </row>
    <row r="44" spans="1:32" ht="32.25" thickBot="1">
      <c r="A44" s="6"/>
      <c r="B44" s="3908" t="s">
        <v>167</v>
      </c>
      <c r="C44" s="3909"/>
      <c r="D44" s="3909"/>
      <c r="E44" s="3909"/>
      <c r="F44" s="3909"/>
      <c r="G44" s="3909"/>
      <c r="H44" s="3909"/>
      <c r="I44" s="3910"/>
      <c r="J44" s="52"/>
      <c r="K44" s="3908" t="s">
        <v>168</v>
      </c>
      <c r="L44" s="3909"/>
      <c r="M44" s="3909"/>
      <c r="N44" s="3909"/>
      <c r="O44" s="3909"/>
      <c r="P44" s="3909"/>
      <c r="Q44" s="3909"/>
      <c r="R44" s="3910"/>
      <c r="S44" s="52"/>
      <c r="T44" s="3908" t="s">
        <v>169</v>
      </c>
      <c r="U44" s="3909"/>
      <c r="V44" s="3909"/>
      <c r="W44" s="3909"/>
      <c r="X44" s="3909"/>
      <c r="Y44" s="3909"/>
      <c r="Z44" s="3909"/>
      <c r="AA44" s="3910"/>
      <c r="AB44" s="105" t="s">
        <v>106</v>
      </c>
    </row>
    <row r="45" spans="1:32" ht="19.5" thickBot="1">
      <c r="A45" s="7" t="s">
        <v>274</v>
      </c>
      <c r="B45" s="2697" t="s">
        <v>94</v>
      </c>
      <c r="C45" s="2698" t="s">
        <v>92</v>
      </c>
      <c r="D45" s="2698" t="s">
        <v>53</v>
      </c>
      <c r="E45" s="2698" t="s">
        <v>85</v>
      </c>
      <c r="F45" s="2698" t="s">
        <v>75</v>
      </c>
      <c r="G45" s="2698" t="s">
        <v>488</v>
      </c>
      <c r="H45" s="2698" t="s">
        <v>86</v>
      </c>
      <c r="I45" s="79"/>
      <c r="J45" s="80"/>
      <c r="K45" s="2697" t="s">
        <v>94</v>
      </c>
      <c r="L45" s="2698" t="s">
        <v>476</v>
      </c>
      <c r="M45" s="2698" t="s">
        <v>95</v>
      </c>
      <c r="N45" s="2698"/>
      <c r="O45" s="2698" t="s">
        <v>75</v>
      </c>
      <c r="P45" s="2698"/>
      <c r="Q45" s="2698" t="s">
        <v>53</v>
      </c>
      <c r="R45" s="2700" t="s">
        <v>136</v>
      </c>
      <c r="S45" s="99"/>
      <c r="T45" s="2701" t="s">
        <v>94</v>
      </c>
      <c r="U45" s="2701" t="s">
        <v>501</v>
      </c>
      <c r="V45" s="2698" t="s">
        <v>371</v>
      </c>
      <c r="W45" s="2698"/>
      <c r="X45" s="2701" t="s">
        <v>53</v>
      </c>
      <c r="Y45" s="2701"/>
      <c r="Z45" s="2702" t="s">
        <v>170</v>
      </c>
      <c r="AA45" s="2700" t="s">
        <v>136</v>
      </c>
      <c r="AB45" s="18"/>
    </row>
    <row r="46" spans="1:32" ht="24" thickBot="1">
      <c r="A46" s="11" t="s">
        <v>151</v>
      </c>
      <c r="B46" s="32">
        <f>Activa!E286</f>
        <v>0</v>
      </c>
      <c r="C46" s="32">
        <f>Activa!F286</f>
        <v>0</v>
      </c>
      <c r="D46" s="32">
        <f>Activa!G286</f>
        <v>1072</v>
      </c>
      <c r="E46" s="32">
        <f>Activa!H286</f>
        <v>0</v>
      </c>
      <c r="F46" s="32">
        <f>Activa!I286</f>
        <v>0</v>
      </c>
      <c r="G46" s="32">
        <f>Activa!J286</f>
        <v>0</v>
      </c>
      <c r="H46" s="32">
        <f>Activa!K286</f>
        <v>0</v>
      </c>
      <c r="I46" s="32">
        <f>Activa!L286</f>
        <v>0</v>
      </c>
      <c r="J46" s="70"/>
      <c r="K46" s="12">
        <f>Activa!M286</f>
        <v>736</v>
      </c>
      <c r="L46" s="12">
        <f>Activa!N286</f>
        <v>1456</v>
      </c>
      <c r="M46" s="12">
        <f>Activa!O286</f>
        <v>0</v>
      </c>
      <c r="N46" s="12">
        <f>Activa!P286</f>
        <v>0</v>
      </c>
      <c r="O46" s="12">
        <f>Activa!Q286</f>
        <v>0</v>
      </c>
      <c r="P46" s="12">
        <f>Activa!R286</f>
        <v>0</v>
      </c>
      <c r="Q46" s="12">
        <f>Activa!S286</f>
        <v>1712</v>
      </c>
      <c r="R46" s="12">
        <f>Activa!T286</f>
        <v>2784</v>
      </c>
      <c r="S46" s="70"/>
      <c r="T46" s="32">
        <f>Activa!V286</f>
        <v>368</v>
      </c>
      <c r="U46" s="32">
        <f>Activa!W286</f>
        <v>224</v>
      </c>
      <c r="V46" s="32">
        <f>Activa!X286</f>
        <v>0</v>
      </c>
      <c r="W46" s="32">
        <f>Activa!Y286</f>
        <v>128</v>
      </c>
      <c r="X46" s="32">
        <f>Activa!Z286</f>
        <v>1232</v>
      </c>
      <c r="Y46" s="32">
        <f>Activa!AA286</f>
        <v>0</v>
      </c>
      <c r="Z46" s="32">
        <f>Activa!AB286</f>
        <v>0</v>
      </c>
      <c r="AA46" s="32">
        <f>Activa!AC286</f>
        <v>400</v>
      </c>
      <c r="AB46" s="108">
        <f>SUM(B46:AA46)</f>
        <v>10112</v>
      </c>
    </row>
    <row r="47" spans="1:32" ht="24" thickBot="1">
      <c r="A47" s="11" t="s">
        <v>146</v>
      </c>
      <c r="B47" s="39">
        <f t="shared" ref="B47:I47" si="18">B46/16</f>
        <v>0</v>
      </c>
      <c r="C47" s="39">
        <f t="shared" si="18"/>
        <v>0</v>
      </c>
      <c r="D47" s="39">
        <f t="shared" si="18"/>
        <v>67</v>
      </c>
      <c r="E47" s="39">
        <f t="shared" si="18"/>
        <v>0</v>
      </c>
      <c r="F47" s="39">
        <f t="shared" si="18"/>
        <v>0</v>
      </c>
      <c r="G47" s="39">
        <f t="shared" si="18"/>
        <v>0</v>
      </c>
      <c r="H47" s="39">
        <f t="shared" si="18"/>
        <v>0</v>
      </c>
      <c r="I47" s="39">
        <f t="shared" si="18"/>
        <v>0</v>
      </c>
      <c r="J47" s="77"/>
      <c r="K47" s="78">
        <f t="shared" ref="K47:R47" si="19">K46/16</f>
        <v>46</v>
      </c>
      <c r="L47" s="78">
        <f t="shared" si="19"/>
        <v>91</v>
      </c>
      <c r="M47" s="78">
        <f t="shared" si="19"/>
        <v>0</v>
      </c>
      <c r="N47" s="78">
        <f t="shared" si="19"/>
        <v>0</v>
      </c>
      <c r="O47" s="78">
        <f t="shared" si="19"/>
        <v>0</v>
      </c>
      <c r="P47" s="78">
        <f t="shared" si="19"/>
        <v>0</v>
      </c>
      <c r="Q47" s="78">
        <f t="shared" si="19"/>
        <v>107</v>
      </c>
      <c r="R47" s="78">
        <f t="shared" si="19"/>
        <v>174</v>
      </c>
      <c r="S47" s="77"/>
      <c r="T47" s="39">
        <f t="shared" ref="T47:AA47" si="20">T46/16</f>
        <v>23</v>
      </c>
      <c r="U47" s="39">
        <f t="shared" si="20"/>
        <v>14</v>
      </c>
      <c r="V47" s="39">
        <f t="shared" si="20"/>
        <v>0</v>
      </c>
      <c r="W47" s="39">
        <f t="shared" si="20"/>
        <v>8</v>
      </c>
      <c r="X47" s="96">
        <f t="shared" si="20"/>
        <v>77</v>
      </c>
      <c r="Y47" s="39">
        <f t="shared" si="20"/>
        <v>0</v>
      </c>
      <c r="Z47" s="39">
        <f t="shared" si="20"/>
        <v>0</v>
      </c>
      <c r="AA47" s="39">
        <f t="shared" si="20"/>
        <v>25</v>
      </c>
      <c r="AB47" s="109">
        <f>SUM(B47:AA47)</f>
        <v>632</v>
      </c>
      <c r="AF47" s="120"/>
    </row>
    <row r="48" spans="1:32" ht="24" thickBot="1">
      <c r="A48" s="37"/>
      <c r="B48" s="3911">
        <f>SUM(B46:I46)</f>
        <v>1072</v>
      </c>
      <c r="C48" s="3912"/>
      <c r="D48" s="3912"/>
      <c r="E48" s="3912"/>
      <c r="F48" s="3912"/>
      <c r="G48" s="3912"/>
      <c r="H48" s="3912"/>
      <c r="I48" s="3913"/>
      <c r="J48" s="75"/>
      <c r="K48" s="3911">
        <f>SUM(K46:R46)</f>
        <v>6688</v>
      </c>
      <c r="L48" s="3912"/>
      <c r="M48" s="3912"/>
      <c r="N48" s="3912"/>
      <c r="O48" s="3912"/>
      <c r="P48" s="3912"/>
      <c r="Q48" s="3912"/>
      <c r="R48" s="3913"/>
      <c r="S48" s="75"/>
      <c r="T48" s="3911">
        <f>SUM(T46:AA46)</f>
        <v>2352</v>
      </c>
      <c r="U48" s="3912"/>
      <c r="V48" s="3912"/>
      <c r="W48" s="3912"/>
      <c r="X48" s="3912"/>
      <c r="Y48" s="3912"/>
      <c r="Z48" s="3912"/>
      <c r="AA48" s="3913"/>
      <c r="AB48" s="1"/>
    </row>
    <row r="49" spans="1:32" ht="27" thickBot="1">
      <c r="A49" s="38"/>
      <c r="B49" s="3914">
        <f>SUM(B47:I47)</f>
        <v>67</v>
      </c>
      <c r="C49" s="3915"/>
      <c r="D49" s="3915"/>
      <c r="E49" s="3915"/>
      <c r="F49" s="3915"/>
      <c r="G49" s="3915"/>
      <c r="H49" s="3915"/>
      <c r="I49" s="3916"/>
      <c r="J49" s="76"/>
      <c r="K49" s="3914">
        <f>SUM(K47:R47)</f>
        <v>418</v>
      </c>
      <c r="L49" s="3915"/>
      <c r="M49" s="3915"/>
      <c r="N49" s="3915"/>
      <c r="O49" s="3915"/>
      <c r="P49" s="3915"/>
      <c r="Q49" s="3915"/>
      <c r="R49" s="3916"/>
      <c r="S49" s="76"/>
      <c r="T49" s="3914">
        <f>SUM(T47:AA47)</f>
        <v>147</v>
      </c>
      <c r="U49" s="3915"/>
      <c r="V49" s="3915"/>
      <c r="W49" s="3915"/>
      <c r="X49" s="3915"/>
      <c r="Y49" s="3915"/>
      <c r="Z49" s="3915"/>
      <c r="AA49" s="3916"/>
      <c r="AB49" s="1"/>
    </row>
    <row r="50" spans="1:32" s="1" customFormat="1" ht="24" thickBot="1">
      <c r="A50" s="20"/>
      <c r="B50" s="21"/>
      <c r="C50" s="22"/>
      <c r="D50" s="22"/>
      <c r="E50" s="22"/>
      <c r="F50" s="22"/>
      <c r="G50" s="22"/>
      <c r="H50" s="22"/>
      <c r="I50" s="22"/>
      <c r="J50" s="20"/>
      <c r="K50" s="21"/>
      <c r="L50" s="22"/>
      <c r="M50" s="22"/>
      <c r="N50" s="22"/>
      <c r="O50" s="22"/>
      <c r="P50" s="22"/>
      <c r="Q50" s="22"/>
      <c r="R50" s="22"/>
      <c r="S50" s="20"/>
      <c r="T50" s="21"/>
      <c r="U50" s="22"/>
      <c r="V50" s="22"/>
      <c r="W50" s="22"/>
      <c r="X50" s="22"/>
      <c r="Y50" s="22"/>
      <c r="Z50" s="22"/>
      <c r="AA50" s="22"/>
      <c r="AB50" s="20"/>
      <c r="AE50" s="4"/>
    </row>
    <row r="51" spans="1:32" ht="32.25" thickBot="1">
      <c r="A51" s="6"/>
      <c r="B51" s="3908" t="s">
        <v>363</v>
      </c>
      <c r="C51" s="3909"/>
      <c r="D51" s="3909"/>
      <c r="E51" s="3909"/>
      <c r="F51" s="3909"/>
      <c r="G51" s="3909"/>
      <c r="H51" s="3909"/>
      <c r="I51" s="3910"/>
      <c r="J51" s="52"/>
      <c r="K51" s="3908" t="s">
        <v>280</v>
      </c>
      <c r="L51" s="3909"/>
      <c r="M51" s="3909"/>
      <c r="N51" s="3909"/>
      <c r="O51" s="3909"/>
      <c r="P51" s="3909"/>
      <c r="Q51" s="3909"/>
      <c r="R51" s="3910"/>
      <c r="S51" s="52"/>
      <c r="T51" s="3908" t="s">
        <v>281</v>
      </c>
      <c r="U51" s="3909"/>
      <c r="V51" s="3909"/>
      <c r="W51" s="3909"/>
      <c r="X51" s="3909"/>
      <c r="Y51" s="3909"/>
      <c r="Z51" s="3909"/>
      <c r="AA51" s="3910"/>
      <c r="AB51" s="105" t="s">
        <v>106</v>
      </c>
    </row>
    <row r="52" spans="1:32" ht="19.5" thickBot="1">
      <c r="A52" s="7" t="s">
        <v>274</v>
      </c>
      <c r="B52" s="88" t="s">
        <v>358</v>
      </c>
      <c r="C52" s="744" t="s">
        <v>364</v>
      </c>
      <c r="D52" s="30" t="s">
        <v>359</v>
      </c>
      <c r="E52" s="744" t="s">
        <v>365</v>
      </c>
      <c r="F52" s="744" t="s">
        <v>360</v>
      </c>
      <c r="G52" s="751" t="s">
        <v>366</v>
      </c>
      <c r="H52" s="783" t="s">
        <v>361</v>
      </c>
      <c r="I52" s="79" t="s">
        <v>367</v>
      </c>
      <c r="J52" s="54"/>
      <c r="K52" s="40" t="s">
        <v>71</v>
      </c>
      <c r="L52" s="49" t="s">
        <v>482</v>
      </c>
      <c r="M52" s="41" t="s">
        <v>118</v>
      </c>
      <c r="N52" s="41" t="s">
        <v>97</v>
      </c>
      <c r="O52" s="41" t="s">
        <v>75</v>
      </c>
      <c r="P52" s="41" t="s">
        <v>53</v>
      </c>
      <c r="Q52" s="81" t="s">
        <v>77</v>
      </c>
      <c r="R52" s="90" t="s">
        <v>94</v>
      </c>
      <c r="S52" s="54"/>
      <c r="T52" s="40" t="s">
        <v>86</v>
      </c>
      <c r="U52" s="2711" t="s">
        <v>368</v>
      </c>
      <c r="V52" s="41" t="s">
        <v>85</v>
      </c>
      <c r="W52" s="95" t="s">
        <v>369</v>
      </c>
      <c r="X52" s="169" t="s">
        <v>90</v>
      </c>
      <c r="Y52" s="97" t="s">
        <v>391</v>
      </c>
      <c r="Z52" s="177" t="s">
        <v>208</v>
      </c>
      <c r="AA52" s="178" t="s">
        <v>92</v>
      </c>
      <c r="AB52" s="18"/>
    </row>
    <row r="53" spans="1:32" ht="24" thickBot="1">
      <c r="A53" s="11" t="s">
        <v>151</v>
      </c>
      <c r="B53" s="32">
        <f>XUV!E296</f>
        <v>0</v>
      </c>
      <c r="C53" s="32">
        <f>XUV!F296</f>
        <v>0</v>
      </c>
      <c r="D53" s="32">
        <f>XUV!G296</f>
        <v>0</v>
      </c>
      <c r="E53" s="32">
        <f>XUV!H296</f>
        <v>0</v>
      </c>
      <c r="F53" s="32">
        <f>XUV!I296</f>
        <v>96</v>
      </c>
      <c r="G53" s="32">
        <f>XUV!J296</f>
        <v>0</v>
      </c>
      <c r="H53" s="32">
        <f>XUV!K296</f>
        <v>0</v>
      </c>
      <c r="I53" s="32">
        <f>XUV!L296</f>
        <v>0</v>
      </c>
      <c r="J53" s="70"/>
      <c r="K53" s="12">
        <f>XUV!M296</f>
        <v>0</v>
      </c>
      <c r="L53" s="12">
        <f>XUV!N296</f>
        <v>480</v>
      </c>
      <c r="M53" s="12">
        <f>XUV!O296</f>
        <v>560</v>
      </c>
      <c r="N53" s="12">
        <f>XUV!P296</f>
        <v>1328</v>
      </c>
      <c r="O53" s="12">
        <f>XUV!Q296</f>
        <v>32</v>
      </c>
      <c r="P53" s="12">
        <f>XUV!R296</f>
        <v>1584</v>
      </c>
      <c r="Q53" s="12">
        <f>XUV!S296</f>
        <v>0</v>
      </c>
      <c r="R53" s="12">
        <f>XUV!T296</f>
        <v>1120</v>
      </c>
      <c r="S53" s="70"/>
      <c r="T53" s="32">
        <f>XUV!V296</f>
        <v>224</v>
      </c>
      <c r="U53" s="32">
        <f>XUV!W296</f>
        <v>0</v>
      </c>
      <c r="V53" s="32">
        <f>XUV!X296</f>
        <v>96</v>
      </c>
      <c r="W53" s="32">
        <f>XUV!Y296</f>
        <v>0</v>
      </c>
      <c r="X53" s="32">
        <f>XUV!Z296</f>
        <v>160</v>
      </c>
      <c r="Y53" s="32">
        <f>XUV!AA296</f>
        <v>208</v>
      </c>
      <c r="Z53" s="32">
        <f>XUV!AB296</f>
        <v>0</v>
      </c>
      <c r="AA53" s="32">
        <f>XUV!AC296</f>
        <v>128</v>
      </c>
      <c r="AB53" s="108">
        <f>SUM(B53:AA53)</f>
        <v>6016</v>
      </c>
      <c r="AC53" s="122"/>
    </row>
    <row r="54" spans="1:32" ht="24" thickBot="1">
      <c r="A54" s="11" t="s">
        <v>146</v>
      </c>
      <c r="B54" s="39">
        <f t="shared" ref="B54:I54" si="21">B53/16</f>
        <v>0</v>
      </c>
      <c r="C54" s="39">
        <f t="shared" si="21"/>
        <v>0</v>
      </c>
      <c r="D54" s="39">
        <f t="shared" si="21"/>
        <v>0</v>
      </c>
      <c r="E54" s="39">
        <f t="shared" si="21"/>
        <v>0</v>
      </c>
      <c r="F54" s="39">
        <f t="shared" si="21"/>
        <v>6</v>
      </c>
      <c r="G54" s="39">
        <f t="shared" si="21"/>
        <v>0</v>
      </c>
      <c r="H54" s="39">
        <f t="shared" si="21"/>
        <v>0</v>
      </c>
      <c r="I54" s="39">
        <f t="shared" si="21"/>
        <v>0</v>
      </c>
      <c r="J54" s="77"/>
      <c r="K54" s="78">
        <f t="shared" ref="K54:R54" si="22">K53/16</f>
        <v>0</v>
      </c>
      <c r="L54" s="78">
        <f t="shared" si="22"/>
        <v>30</v>
      </c>
      <c r="M54" s="78">
        <f t="shared" si="22"/>
        <v>35</v>
      </c>
      <c r="N54" s="78">
        <f t="shared" si="22"/>
        <v>83</v>
      </c>
      <c r="O54" s="78">
        <f t="shared" si="22"/>
        <v>2</v>
      </c>
      <c r="P54" s="78">
        <f t="shared" si="22"/>
        <v>99</v>
      </c>
      <c r="Q54" s="78">
        <f t="shared" si="22"/>
        <v>0</v>
      </c>
      <c r="R54" s="78">
        <f t="shared" si="22"/>
        <v>70</v>
      </c>
      <c r="S54" s="77"/>
      <c r="T54" s="39">
        <f t="shared" ref="T54:AA54" si="23">T53/16</f>
        <v>14</v>
      </c>
      <c r="U54" s="39">
        <f t="shared" si="23"/>
        <v>0</v>
      </c>
      <c r="V54" s="39">
        <f t="shared" si="23"/>
        <v>6</v>
      </c>
      <c r="W54" s="39">
        <f t="shared" si="23"/>
        <v>0</v>
      </c>
      <c r="X54" s="39">
        <f t="shared" si="23"/>
        <v>10</v>
      </c>
      <c r="Y54" s="39">
        <f t="shared" si="23"/>
        <v>13</v>
      </c>
      <c r="Z54" s="39">
        <f t="shared" si="23"/>
        <v>0</v>
      </c>
      <c r="AA54" s="39">
        <f t="shared" si="23"/>
        <v>8</v>
      </c>
      <c r="AB54" s="109">
        <f>SUM(B54:AA54)</f>
        <v>376</v>
      </c>
      <c r="AF54" s="120"/>
    </row>
    <row r="55" spans="1:32" ht="24" thickBot="1">
      <c r="A55" s="37"/>
      <c r="B55" s="3911">
        <f>SUM(B53:I53)</f>
        <v>96</v>
      </c>
      <c r="C55" s="3912"/>
      <c r="D55" s="3912"/>
      <c r="E55" s="3912"/>
      <c r="F55" s="3912"/>
      <c r="G55" s="3912"/>
      <c r="H55" s="3912"/>
      <c r="I55" s="3913"/>
      <c r="J55" s="75"/>
      <c r="K55" s="3911">
        <f>SUM(K53:R53)</f>
        <v>5104</v>
      </c>
      <c r="L55" s="3912"/>
      <c r="M55" s="3912"/>
      <c r="N55" s="3912"/>
      <c r="O55" s="3912"/>
      <c r="P55" s="3912"/>
      <c r="Q55" s="3912"/>
      <c r="R55" s="3913"/>
      <c r="S55" s="75"/>
      <c r="T55" s="3911">
        <f>SUM(T53:AA53)</f>
        <v>816</v>
      </c>
      <c r="U55" s="3912"/>
      <c r="V55" s="3912"/>
      <c r="W55" s="3912"/>
      <c r="X55" s="3912"/>
      <c r="Y55" s="3912"/>
      <c r="Z55" s="3912"/>
      <c r="AA55" s="3913"/>
      <c r="AB55" s="1"/>
    </row>
    <row r="56" spans="1:32" ht="27" thickBot="1">
      <c r="A56" s="38"/>
      <c r="B56" s="3914">
        <f>SUM(B54:I54)</f>
        <v>6</v>
      </c>
      <c r="C56" s="3915"/>
      <c r="D56" s="3915"/>
      <c r="E56" s="3915"/>
      <c r="F56" s="3915"/>
      <c r="G56" s="3915"/>
      <c r="H56" s="3915"/>
      <c r="I56" s="3916"/>
      <c r="J56" s="76"/>
      <c r="K56" s="3914">
        <f>SUM(K54:R54)</f>
        <v>319</v>
      </c>
      <c r="L56" s="3915"/>
      <c r="M56" s="3915"/>
      <c r="N56" s="3915"/>
      <c r="O56" s="3915"/>
      <c r="P56" s="3915"/>
      <c r="Q56" s="3915"/>
      <c r="R56" s="3916"/>
      <c r="S56" s="76"/>
      <c r="T56" s="3914">
        <f>SUM(T54:AA54)</f>
        <v>51</v>
      </c>
      <c r="U56" s="3915"/>
      <c r="V56" s="3915"/>
      <c r="W56" s="3915"/>
      <c r="X56" s="3915"/>
      <c r="Y56" s="3915"/>
      <c r="Z56" s="3915"/>
      <c r="AA56" s="3916"/>
      <c r="AB56" s="1"/>
    </row>
    <row r="57" spans="1:32" s="1" customFormat="1" ht="24" thickBot="1">
      <c r="A57" s="20"/>
      <c r="B57" s="21"/>
      <c r="C57" s="22"/>
      <c r="D57" s="22"/>
      <c r="E57" s="22"/>
      <c r="F57" s="22"/>
      <c r="G57" s="22"/>
      <c r="H57" s="22"/>
      <c r="I57" s="22"/>
      <c r="J57" s="20"/>
      <c r="K57" s="21"/>
      <c r="L57" s="22"/>
      <c r="M57" s="22"/>
      <c r="N57" s="22"/>
      <c r="O57" s="22"/>
      <c r="P57" s="22"/>
      <c r="Q57" s="22"/>
      <c r="R57" s="22"/>
      <c r="S57" s="20"/>
      <c r="T57" s="21"/>
      <c r="U57" s="22"/>
      <c r="V57" s="22"/>
      <c r="W57" s="22"/>
      <c r="X57" s="22"/>
      <c r="Y57" s="22"/>
      <c r="Z57" s="22"/>
      <c r="AA57" s="22"/>
      <c r="AB57" s="20"/>
      <c r="AE57" s="4"/>
    </row>
    <row r="58" spans="1:32" ht="32.25" thickBot="1">
      <c r="A58" s="6"/>
      <c r="B58" s="3908" t="s">
        <v>282</v>
      </c>
      <c r="C58" s="3909"/>
      <c r="D58" s="3909"/>
      <c r="E58" s="3909"/>
      <c r="F58" s="3909"/>
      <c r="G58" s="3909"/>
      <c r="H58" s="3909"/>
      <c r="I58" s="3910"/>
      <c r="J58" s="52"/>
      <c r="K58" s="3908" t="s">
        <v>253</v>
      </c>
      <c r="L58" s="3909"/>
      <c r="M58" s="3909"/>
      <c r="N58" s="3909"/>
      <c r="O58" s="3909"/>
      <c r="P58" s="3909"/>
      <c r="Q58" s="3909"/>
      <c r="R58" s="3910"/>
      <c r="S58" s="52"/>
      <c r="T58" s="3908" t="s">
        <v>33</v>
      </c>
      <c r="U58" s="3909"/>
      <c r="V58" s="3909"/>
      <c r="W58" s="3909"/>
      <c r="X58" s="3909"/>
      <c r="Y58" s="3909"/>
      <c r="Z58" s="3909"/>
      <c r="AA58" s="3910"/>
      <c r="AB58" s="105" t="s">
        <v>106</v>
      </c>
    </row>
    <row r="59" spans="1:32" ht="19.5" thickBot="1">
      <c r="A59" s="7" t="s">
        <v>274</v>
      </c>
      <c r="B59" s="43" t="s">
        <v>86</v>
      </c>
      <c r="C59" s="24" t="s">
        <v>85</v>
      </c>
      <c r="D59" s="24" t="s">
        <v>283</v>
      </c>
      <c r="E59" s="44" t="s">
        <v>252</v>
      </c>
      <c r="F59" s="44" t="s">
        <v>255</v>
      </c>
      <c r="G59" s="24" t="s">
        <v>53</v>
      </c>
      <c r="H59" s="31" t="s">
        <v>80</v>
      </c>
      <c r="I59" s="61"/>
      <c r="J59" s="54"/>
      <c r="K59" s="23" t="s">
        <v>71</v>
      </c>
      <c r="L59" s="24" t="s">
        <v>72</v>
      </c>
      <c r="M59" s="24" t="s">
        <v>118</v>
      </c>
      <c r="N59" s="24" t="s">
        <v>95</v>
      </c>
      <c r="O59" s="24" t="s">
        <v>75</v>
      </c>
      <c r="P59" s="24" t="s">
        <v>53</v>
      </c>
      <c r="Q59" s="24" t="s">
        <v>77</v>
      </c>
      <c r="R59" s="94" t="s">
        <v>80</v>
      </c>
      <c r="S59" s="54"/>
      <c r="T59" s="23"/>
      <c r="U59" s="23"/>
      <c r="V59" s="23"/>
      <c r="W59" s="23"/>
      <c r="X59" s="104"/>
      <c r="Y59" s="23"/>
      <c r="Z59" s="23"/>
      <c r="AA59" s="23"/>
      <c r="AB59" s="18"/>
    </row>
    <row r="60" spans="1:32" ht="24" thickBot="1">
      <c r="A60" s="11" t="s">
        <v>151</v>
      </c>
      <c r="B60" s="32">
        <f>'Fruit Crate'!E224</f>
        <v>0</v>
      </c>
      <c r="C60" s="32">
        <f>'Fruit Crate'!F224</f>
        <v>0</v>
      </c>
      <c r="D60" s="32">
        <f>'Fruit Crate'!G224</f>
        <v>0</v>
      </c>
      <c r="E60" s="32">
        <f>'Fruit Crate'!H224</f>
        <v>0</v>
      </c>
      <c r="F60" s="32">
        <f>'Fruit Crate'!I224</f>
        <v>0</v>
      </c>
      <c r="G60" s="32">
        <f>'Fruit Crate'!J224</f>
        <v>0</v>
      </c>
      <c r="H60" s="32">
        <f>'Fruit Crate'!K224</f>
        <v>0</v>
      </c>
      <c r="I60" s="32"/>
      <c r="J60" s="70"/>
      <c r="K60" s="12">
        <f>'Fruit Crate'!M224</f>
        <v>0</v>
      </c>
      <c r="L60" s="12">
        <f>'Fruit Crate'!N224</f>
        <v>0</v>
      </c>
      <c r="M60" s="12">
        <f>'Fruit Crate'!O224</f>
        <v>0</v>
      </c>
      <c r="N60" s="12">
        <f>'Fruit Crate'!P224</f>
        <v>0</v>
      </c>
      <c r="O60" s="12">
        <f>'Fruit Crate'!Q224</f>
        <v>0</v>
      </c>
      <c r="P60" s="12">
        <f>'Fruit Crate'!R224</f>
        <v>0</v>
      </c>
      <c r="Q60" s="12">
        <f>'Fruit Crate'!S224</f>
        <v>0</v>
      </c>
      <c r="R60" s="12">
        <f>'Fruit Crate'!T224</f>
        <v>0</v>
      </c>
      <c r="S60" s="70"/>
      <c r="T60" s="32"/>
      <c r="U60" s="32"/>
      <c r="V60" s="32"/>
      <c r="W60" s="32"/>
      <c r="X60" s="32"/>
      <c r="Y60" s="32"/>
      <c r="Z60" s="32"/>
      <c r="AA60" s="32"/>
      <c r="AB60" s="108">
        <f>SUM(B60:AA60)</f>
        <v>0</v>
      </c>
    </row>
    <row r="61" spans="1:32" ht="24" thickBot="1">
      <c r="A61" s="11" t="s">
        <v>146</v>
      </c>
      <c r="B61" s="39">
        <f t="shared" ref="B61:H61" si="24">B60/6</f>
        <v>0</v>
      </c>
      <c r="C61" s="39">
        <f t="shared" si="24"/>
        <v>0</v>
      </c>
      <c r="D61" s="39">
        <f t="shared" si="24"/>
        <v>0</v>
      </c>
      <c r="E61" s="39">
        <f t="shared" si="24"/>
        <v>0</v>
      </c>
      <c r="F61" s="39">
        <f t="shared" si="24"/>
        <v>0</v>
      </c>
      <c r="G61" s="39">
        <f t="shared" si="24"/>
        <v>0</v>
      </c>
      <c r="H61" s="39">
        <f t="shared" si="24"/>
        <v>0</v>
      </c>
      <c r="I61" s="39"/>
      <c r="J61" s="77"/>
      <c r="K61" s="78">
        <f t="shared" ref="K61:R61" si="25">K60/6</f>
        <v>0</v>
      </c>
      <c r="L61" s="78">
        <f t="shared" si="25"/>
        <v>0</v>
      </c>
      <c r="M61" s="78">
        <f t="shared" si="25"/>
        <v>0</v>
      </c>
      <c r="N61" s="78">
        <f t="shared" si="25"/>
        <v>0</v>
      </c>
      <c r="O61" s="78">
        <f t="shared" si="25"/>
        <v>0</v>
      </c>
      <c r="P61" s="78">
        <f t="shared" si="25"/>
        <v>0</v>
      </c>
      <c r="Q61" s="78">
        <f t="shared" si="25"/>
        <v>0</v>
      </c>
      <c r="R61" s="78">
        <f t="shared" si="25"/>
        <v>0</v>
      </c>
      <c r="S61" s="77"/>
      <c r="T61" s="39"/>
      <c r="U61" s="39"/>
      <c r="V61" s="39"/>
      <c r="W61" s="39"/>
      <c r="X61" s="39"/>
      <c r="Y61" s="39"/>
      <c r="Z61" s="39"/>
      <c r="AA61" s="39"/>
      <c r="AB61" s="109">
        <f>SUM(B61:AA61)</f>
        <v>0</v>
      </c>
      <c r="AF61" s="120"/>
    </row>
    <row r="62" spans="1:32" ht="24" thickBot="1">
      <c r="A62" s="37"/>
      <c r="B62" s="3911">
        <f>SUM(B60:I60)</f>
        <v>0</v>
      </c>
      <c r="C62" s="3912"/>
      <c r="D62" s="3912"/>
      <c r="E62" s="3912"/>
      <c r="F62" s="3912"/>
      <c r="G62" s="3912"/>
      <c r="H62" s="3912"/>
      <c r="I62" s="3913"/>
      <c r="J62" s="75"/>
      <c r="K62" s="3911">
        <f>SUM(K60:R60)</f>
        <v>0</v>
      </c>
      <c r="L62" s="3912"/>
      <c r="M62" s="3912"/>
      <c r="N62" s="3912"/>
      <c r="O62" s="3912"/>
      <c r="P62" s="3912"/>
      <c r="Q62" s="3912"/>
      <c r="R62" s="3913"/>
      <c r="S62" s="75"/>
      <c r="T62" s="3911" t="s">
        <v>284</v>
      </c>
      <c r="U62" s="3912"/>
      <c r="V62" s="3912"/>
      <c r="W62" s="3912"/>
      <c r="X62" s="3912"/>
      <c r="Y62" s="3912"/>
      <c r="Z62" s="3912"/>
      <c r="AA62" s="3913"/>
      <c r="AB62" s="1"/>
    </row>
    <row r="63" spans="1:32" ht="27" thickBot="1">
      <c r="A63" s="38"/>
      <c r="B63" s="3914">
        <f>SUM(B61:I61)</f>
        <v>0</v>
      </c>
      <c r="C63" s="3915"/>
      <c r="D63" s="3915"/>
      <c r="E63" s="3915"/>
      <c r="F63" s="3915"/>
      <c r="G63" s="3915"/>
      <c r="H63" s="3915"/>
      <c r="I63" s="3916"/>
      <c r="J63" s="76"/>
      <c r="K63" s="3914">
        <f>SUM(K61:R61)</f>
        <v>0</v>
      </c>
      <c r="L63" s="3915"/>
      <c r="M63" s="3915"/>
      <c r="N63" s="3915"/>
      <c r="O63" s="3915"/>
      <c r="P63" s="3915"/>
      <c r="Q63" s="3915"/>
      <c r="R63" s="3916"/>
      <c r="S63" s="76"/>
      <c r="T63" s="3914">
        <f>SUM(T61:AA61)</f>
        <v>0</v>
      </c>
      <c r="U63" s="3915"/>
      <c r="V63" s="3915"/>
      <c r="W63" s="3915"/>
      <c r="X63" s="3915"/>
      <c r="Y63" s="3915"/>
      <c r="Z63" s="3915"/>
      <c r="AA63" s="3916"/>
      <c r="AB63" s="1"/>
    </row>
    <row r="64" spans="1:32" s="3" customFormat="1" ht="27" thickBot="1">
      <c r="A64" s="45"/>
      <c r="B64" s="46"/>
      <c r="C64" s="47"/>
      <c r="D64" s="47"/>
      <c r="E64" s="47"/>
      <c r="F64" s="47"/>
      <c r="G64" s="47"/>
      <c r="H64" s="47"/>
      <c r="I64" s="47"/>
      <c r="J64" s="82"/>
      <c r="K64" s="46"/>
      <c r="L64" s="47"/>
      <c r="M64" s="47"/>
      <c r="N64" s="47"/>
      <c r="O64" s="47"/>
      <c r="P64" s="47"/>
      <c r="Q64" s="47"/>
      <c r="R64" s="47"/>
      <c r="S64" s="82"/>
      <c r="T64" s="46"/>
      <c r="U64" s="47"/>
      <c r="V64" s="47"/>
      <c r="W64" s="47"/>
      <c r="X64" s="47"/>
      <c r="Y64" s="47"/>
      <c r="Z64" s="47"/>
      <c r="AA64" s="47"/>
      <c r="AB64" s="123"/>
      <c r="AE64" s="124"/>
    </row>
    <row r="65" spans="1:32" ht="32.25" thickBot="1">
      <c r="A65" s="6"/>
      <c r="B65" s="3908" t="s">
        <v>435</v>
      </c>
      <c r="C65" s="3909"/>
      <c r="D65" s="3909"/>
      <c r="E65" s="3909"/>
      <c r="F65" s="3909"/>
      <c r="G65" s="3909"/>
      <c r="H65" s="3909"/>
      <c r="I65" s="3910"/>
      <c r="J65" s="52"/>
      <c r="K65" s="3908" t="s">
        <v>436</v>
      </c>
      <c r="L65" s="3909"/>
      <c r="M65" s="3909"/>
      <c r="N65" s="3909"/>
      <c r="O65" s="3909"/>
      <c r="P65" s="3909"/>
      <c r="Q65" s="3909"/>
      <c r="R65" s="3910"/>
      <c r="S65" s="52"/>
      <c r="T65" s="3908" t="s">
        <v>437</v>
      </c>
      <c r="U65" s="3909"/>
      <c r="V65" s="3909"/>
      <c r="W65" s="3909"/>
      <c r="X65" s="3909"/>
      <c r="Y65" s="3909"/>
      <c r="Z65" s="3909"/>
      <c r="AA65" s="3910"/>
      <c r="AB65" s="105" t="s">
        <v>106</v>
      </c>
    </row>
    <row r="66" spans="1:32" ht="19.5" thickBot="1">
      <c r="A66" s="7" t="s">
        <v>274</v>
      </c>
      <c r="B66" s="2697" t="s">
        <v>53</v>
      </c>
      <c r="C66" s="2698" t="s">
        <v>442</v>
      </c>
      <c r="D66" s="2698" t="s">
        <v>372</v>
      </c>
      <c r="E66" s="2698" t="s">
        <v>473</v>
      </c>
      <c r="F66" s="2698" t="s">
        <v>94</v>
      </c>
      <c r="G66" s="2698"/>
      <c r="H66" s="2702" t="s">
        <v>95</v>
      </c>
      <c r="I66" s="2707"/>
      <c r="J66" s="2697"/>
      <c r="K66" s="2697" t="s">
        <v>53</v>
      </c>
      <c r="L66" s="2698" t="s">
        <v>190</v>
      </c>
      <c r="M66" s="2698" t="s">
        <v>467</v>
      </c>
      <c r="N66" s="2698" t="s">
        <v>206</v>
      </c>
      <c r="O66" s="2698" t="s">
        <v>94</v>
      </c>
      <c r="P66" s="2698" t="s">
        <v>446</v>
      </c>
      <c r="Q66" s="2702" t="s">
        <v>96</v>
      </c>
      <c r="R66" s="2700" t="s">
        <v>86</v>
      </c>
      <c r="S66" s="2697"/>
      <c r="T66" s="2697" t="s">
        <v>53</v>
      </c>
      <c r="U66" s="2698" t="s">
        <v>487</v>
      </c>
      <c r="V66" s="2701" t="s">
        <v>136</v>
      </c>
      <c r="W66" s="2698" t="s">
        <v>304</v>
      </c>
      <c r="X66" s="2701" t="s">
        <v>94</v>
      </c>
      <c r="Y66" s="2698" t="s">
        <v>170</v>
      </c>
      <c r="Z66" s="2702" t="s">
        <v>505</v>
      </c>
      <c r="AA66" s="2700" t="s">
        <v>506</v>
      </c>
      <c r="AB66" s="18"/>
    </row>
    <row r="67" spans="1:32" ht="24" thickBot="1">
      <c r="A67" s="11" t="s">
        <v>151</v>
      </c>
      <c r="B67" s="32">
        <f>Yoddha!E266</f>
        <v>0</v>
      </c>
      <c r="C67" s="32">
        <f>Yoddha!F266</f>
        <v>0</v>
      </c>
      <c r="D67" s="32">
        <f>Yoddha!G266</f>
        <v>0</v>
      </c>
      <c r="E67" s="32">
        <f>Yoddha!H266</f>
        <v>0</v>
      </c>
      <c r="F67" s="32">
        <f>Yoddha!I266</f>
        <v>0</v>
      </c>
      <c r="G67" s="32">
        <f>Yoddha!J266</f>
        <v>144</v>
      </c>
      <c r="H67" s="32">
        <f>Yoddha!K266</f>
        <v>0</v>
      </c>
      <c r="I67" s="32">
        <f>Yoddha!L266</f>
        <v>0</v>
      </c>
      <c r="J67" s="70"/>
      <c r="K67" s="83">
        <f>Yoddha!M266</f>
        <v>228</v>
      </c>
      <c r="L67" s="83">
        <f>Yoddha!N266</f>
        <v>24</v>
      </c>
      <c r="M67" s="83">
        <f>Yoddha!O266</f>
        <v>1320</v>
      </c>
      <c r="N67" s="83">
        <f>Yoddha!P266</f>
        <v>0</v>
      </c>
      <c r="O67" s="83">
        <f>Yoddha!Q266</f>
        <v>-36</v>
      </c>
      <c r="P67" s="83">
        <f>Yoddha!R266</f>
        <v>168</v>
      </c>
      <c r="Q67" s="83">
        <f>Yoddha!S266</f>
        <v>0</v>
      </c>
      <c r="R67" s="83">
        <f>Yoddha!T266</f>
        <v>348</v>
      </c>
      <c r="S67" s="70"/>
      <c r="T67" s="83">
        <f>Yoddha!V266</f>
        <v>0</v>
      </c>
      <c r="U67" s="83">
        <f>Yoddha!W266</f>
        <v>1356</v>
      </c>
      <c r="V67" s="83">
        <f>Yoddha!X266</f>
        <v>144</v>
      </c>
      <c r="W67" s="83">
        <f>Yoddha!Y266</f>
        <v>24</v>
      </c>
      <c r="X67" s="83">
        <f>Yoddha!Z266</f>
        <v>216</v>
      </c>
      <c r="Y67" s="83">
        <f>Yoddha!AA266</f>
        <v>0</v>
      </c>
      <c r="Z67" s="83">
        <f>Yoddha!AB266</f>
        <v>0</v>
      </c>
      <c r="AA67" s="83">
        <f>Yoddha!AC266</f>
        <v>240</v>
      </c>
      <c r="AB67" s="108">
        <f>SUM(B67:AA67)</f>
        <v>4176</v>
      </c>
    </row>
    <row r="68" spans="1:32" ht="24" thickBot="1">
      <c r="A68" s="11" t="s">
        <v>146</v>
      </c>
      <c r="B68" s="2717">
        <f t="shared" ref="B68:I68" si="26">B67/12</f>
        <v>0</v>
      </c>
      <c r="C68" s="2717">
        <f t="shared" si="26"/>
        <v>0</v>
      </c>
      <c r="D68" s="2717">
        <f t="shared" si="26"/>
        <v>0</v>
      </c>
      <c r="E68" s="2717">
        <f t="shared" si="26"/>
        <v>0</v>
      </c>
      <c r="F68" s="2717">
        <f t="shared" si="26"/>
        <v>0</v>
      </c>
      <c r="G68" s="2717">
        <f t="shared" si="26"/>
        <v>12</v>
      </c>
      <c r="H68" s="2717">
        <f t="shared" si="26"/>
        <v>0</v>
      </c>
      <c r="I68" s="2717">
        <f t="shared" si="26"/>
        <v>0</v>
      </c>
      <c r="J68" s="77"/>
      <c r="K68" s="78">
        <f t="shared" ref="K68:R68" si="27">K67/12</f>
        <v>19</v>
      </c>
      <c r="L68" s="78">
        <f t="shared" si="27"/>
        <v>2</v>
      </c>
      <c r="M68" s="78">
        <f t="shared" si="27"/>
        <v>110</v>
      </c>
      <c r="N68" s="78">
        <f t="shared" si="27"/>
        <v>0</v>
      </c>
      <c r="O68" s="78">
        <f t="shared" si="27"/>
        <v>-3</v>
      </c>
      <c r="P68" s="78">
        <f t="shared" si="27"/>
        <v>14</v>
      </c>
      <c r="Q68" s="78">
        <f t="shared" si="27"/>
        <v>0</v>
      </c>
      <c r="R68" s="78">
        <f t="shared" si="27"/>
        <v>29</v>
      </c>
      <c r="S68" s="77"/>
      <c r="T68" s="39">
        <f t="shared" ref="T68:AA68" si="28">T67/12</f>
        <v>0</v>
      </c>
      <c r="U68" s="39">
        <f t="shared" si="28"/>
        <v>113</v>
      </c>
      <c r="V68" s="39">
        <f t="shared" si="28"/>
        <v>12</v>
      </c>
      <c r="W68" s="39">
        <f t="shared" si="28"/>
        <v>2</v>
      </c>
      <c r="X68" s="39">
        <f t="shared" si="28"/>
        <v>18</v>
      </c>
      <c r="Y68" s="39">
        <f t="shared" si="28"/>
        <v>0</v>
      </c>
      <c r="Z68" s="39">
        <f t="shared" si="28"/>
        <v>0</v>
      </c>
      <c r="AA68" s="39">
        <f t="shared" si="28"/>
        <v>20</v>
      </c>
      <c r="AB68" s="109">
        <f>SUM(B68:AA68)</f>
        <v>348</v>
      </c>
      <c r="AF68" s="120"/>
    </row>
    <row r="69" spans="1:32" ht="24" thickBot="1">
      <c r="A69" s="37"/>
      <c r="B69" s="3911">
        <f>SUM(B67:I67)</f>
        <v>144</v>
      </c>
      <c r="C69" s="3912"/>
      <c r="D69" s="3912"/>
      <c r="E69" s="3912"/>
      <c r="F69" s="3912"/>
      <c r="G69" s="3912"/>
      <c r="H69" s="3912"/>
      <c r="I69" s="3913"/>
      <c r="J69" s="75"/>
      <c r="K69" s="3911">
        <f>SUM(K67:R67)</f>
        <v>2052</v>
      </c>
      <c r="L69" s="3912"/>
      <c r="M69" s="3912"/>
      <c r="N69" s="3912"/>
      <c r="O69" s="3912"/>
      <c r="P69" s="3912"/>
      <c r="Q69" s="3912"/>
      <c r="R69" s="3913"/>
      <c r="S69" s="75"/>
      <c r="T69" s="3911" t="s">
        <v>284</v>
      </c>
      <c r="U69" s="3912"/>
      <c r="V69" s="3912"/>
      <c r="W69" s="3912"/>
      <c r="X69" s="3912"/>
      <c r="Y69" s="3912"/>
      <c r="Z69" s="3912"/>
      <c r="AA69" s="3913"/>
      <c r="AB69" s="1"/>
    </row>
    <row r="70" spans="1:32" ht="27" thickBot="1">
      <c r="A70" s="38"/>
      <c r="B70" s="3914">
        <f>SUM(B68:I68)</f>
        <v>12</v>
      </c>
      <c r="C70" s="3915"/>
      <c r="D70" s="3915"/>
      <c r="E70" s="3915"/>
      <c r="F70" s="3915"/>
      <c r="G70" s="3915"/>
      <c r="H70" s="3915"/>
      <c r="I70" s="3916"/>
      <c r="J70" s="76"/>
      <c r="K70" s="3914">
        <f>SUM(K68:R68)</f>
        <v>171</v>
      </c>
      <c r="L70" s="3915"/>
      <c r="M70" s="3915"/>
      <c r="N70" s="3915"/>
      <c r="O70" s="3915"/>
      <c r="P70" s="3915"/>
      <c r="Q70" s="3915"/>
      <c r="R70" s="3916"/>
      <c r="S70" s="76"/>
      <c r="T70" s="3914">
        <f>SUM(T68:AA68)</f>
        <v>165</v>
      </c>
      <c r="U70" s="3915"/>
      <c r="V70" s="3915"/>
      <c r="W70" s="3915"/>
      <c r="X70" s="3915"/>
      <c r="Y70" s="3915"/>
      <c r="Z70" s="3915"/>
      <c r="AA70" s="3916"/>
      <c r="AB70" s="1"/>
    </row>
    <row r="71" spans="1:32" s="3" customFormat="1" ht="27" thickBot="1">
      <c r="A71" s="45"/>
      <c r="B71" s="46"/>
      <c r="C71" s="47"/>
      <c r="D71" s="47"/>
      <c r="E71" s="47"/>
      <c r="F71" s="47"/>
      <c r="G71" s="47"/>
      <c r="H71" s="47"/>
      <c r="I71" s="47"/>
      <c r="J71" s="82"/>
      <c r="K71" s="46"/>
      <c r="L71" s="47"/>
      <c r="M71" s="47"/>
      <c r="N71" s="47"/>
      <c r="O71" s="47"/>
      <c r="P71" s="47"/>
      <c r="Q71" s="47"/>
      <c r="R71" s="47"/>
      <c r="S71" s="82"/>
      <c r="T71" s="46"/>
      <c r="U71" s="47"/>
      <c r="V71" s="47"/>
      <c r="W71" s="47"/>
      <c r="X71" s="47"/>
      <c r="Y71" s="47"/>
      <c r="Z71" s="47"/>
      <c r="AA71" s="47"/>
      <c r="AB71" s="123"/>
      <c r="AE71" s="124"/>
    </row>
    <row r="72" spans="1:32" ht="32.25" thickBot="1">
      <c r="A72" s="6"/>
      <c r="B72" s="3908" t="s">
        <v>285</v>
      </c>
      <c r="C72" s="3909"/>
      <c r="D72" s="3909"/>
      <c r="E72" s="3909"/>
      <c r="F72" s="3909"/>
      <c r="G72" s="3909"/>
      <c r="H72" s="3909"/>
      <c r="I72" s="3910"/>
      <c r="J72" s="52"/>
      <c r="K72" s="3908" t="s">
        <v>286</v>
      </c>
      <c r="L72" s="3909"/>
      <c r="M72" s="3909"/>
      <c r="N72" s="3909"/>
      <c r="O72" s="3909"/>
      <c r="P72" s="3909"/>
      <c r="Q72" s="3909"/>
      <c r="R72" s="3910"/>
      <c r="S72" s="52"/>
      <c r="T72" s="3908" t="s">
        <v>287</v>
      </c>
      <c r="U72" s="3909"/>
      <c r="V72" s="3909"/>
      <c r="W72" s="3909"/>
      <c r="X72" s="3909"/>
      <c r="Y72" s="3909"/>
      <c r="Z72" s="3909"/>
      <c r="AA72" s="3910"/>
      <c r="AB72" s="105" t="s">
        <v>106</v>
      </c>
    </row>
    <row r="73" spans="1:32" ht="19.5" thickBot="1">
      <c r="A73" s="7" t="s">
        <v>274</v>
      </c>
      <c r="B73" s="2703" t="s">
        <v>190</v>
      </c>
      <c r="C73" s="2698" t="s">
        <v>222</v>
      </c>
      <c r="D73" s="2701" t="s">
        <v>94</v>
      </c>
      <c r="E73" s="2701"/>
      <c r="F73" s="2701" t="s">
        <v>95</v>
      </c>
      <c r="G73" s="2701"/>
      <c r="H73" s="2706" t="s">
        <v>53</v>
      </c>
      <c r="I73" s="2707"/>
      <c r="J73" s="2697"/>
      <c r="K73" s="2703" t="s">
        <v>85</v>
      </c>
      <c r="L73" s="2701" t="s">
        <v>190</v>
      </c>
      <c r="M73" s="2701" t="s">
        <v>76</v>
      </c>
      <c r="N73" s="2701" t="s">
        <v>53</v>
      </c>
      <c r="O73" s="2701" t="s">
        <v>86</v>
      </c>
      <c r="P73" s="2701" t="s">
        <v>94</v>
      </c>
      <c r="Q73" s="2704" t="s">
        <v>96</v>
      </c>
      <c r="R73" s="2705" t="s">
        <v>238</v>
      </c>
      <c r="S73" s="2697"/>
      <c r="T73" s="2703"/>
      <c r="U73" s="2701"/>
      <c r="V73" s="2701"/>
      <c r="W73" s="2701"/>
      <c r="X73" s="2701"/>
      <c r="Y73" s="2701" t="s">
        <v>53</v>
      </c>
      <c r="Z73" s="2704"/>
      <c r="AA73" s="2705"/>
      <c r="AB73" s="18"/>
    </row>
    <row r="74" spans="1:32" ht="24" thickBot="1">
      <c r="A74" s="11" t="s">
        <v>151</v>
      </c>
      <c r="B74" s="32">
        <f>'Jordan Chair'!E250</f>
        <v>0</v>
      </c>
      <c r="C74" s="32">
        <f>'Jordan Chair'!F250</f>
        <v>0</v>
      </c>
      <c r="D74" s="32">
        <f>('Jordan Chair'!G250)</f>
        <v>12</v>
      </c>
      <c r="E74" s="32">
        <f>'Jordan Chair'!H250</f>
        <v>0</v>
      </c>
      <c r="F74" s="32">
        <f>('Jordan Chair'!I250)</f>
        <v>312</v>
      </c>
      <c r="G74" s="32">
        <f>'Jordan Chair'!J250</f>
        <v>-24</v>
      </c>
      <c r="H74" s="32">
        <f>('Jordan Chair'!K250)</f>
        <v>12</v>
      </c>
      <c r="I74" s="32">
        <f>('Jordan Chair'!L250)</f>
        <v>0</v>
      </c>
      <c r="J74" s="70"/>
      <c r="K74" s="83">
        <f>'Jordan Chair'!M250</f>
        <v>0</v>
      </c>
      <c r="L74" s="83">
        <f>'Jordan Chair'!N250</f>
        <v>0</v>
      </c>
      <c r="M74" s="83">
        <f>'Jordan Chair'!O250</f>
        <v>180</v>
      </c>
      <c r="N74" s="83">
        <f>'Jordan Chair'!P250</f>
        <v>636</v>
      </c>
      <c r="O74" s="83">
        <f>'Jordan Chair'!Q250</f>
        <v>0</v>
      </c>
      <c r="P74" s="83">
        <f>'Jordan Chair'!R250</f>
        <v>0</v>
      </c>
      <c r="Q74" s="83">
        <f>'Jordan Chair'!S250</f>
        <v>0</v>
      </c>
      <c r="R74" s="83">
        <f>'Jordan Chair'!T250</f>
        <v>12</v>
      </c>
      <c r="S74" s="70"/>
      <c r="T74" s="83">
        <f>('Jordan Chair'!V250)</f>
        <v>480</v>
      </c>
      <c r="U74" s="83">
        <f>('Jordan Chair'!W250)</f>
        <v>12</v>
      </c>
      <c r="V74" s="83">
        <f>('Jordan Chair'!X250)</f>
        <v>108</v>
      </c>
      <c r="W74" s="83">
        <f>('Jordan Chair'!Y250)</f>
        <v>0</v>
      </c>
      <c r="X74" s="83">
        <f>('Jordan Chair'!Z250)</f>
        <v>228</v>
      </c>
      <c r="Y74" s="83">
        <f>('Jordan Chair'!AA250)</f>
        <v>444</v>
      </c>
      <c r="Z74" s="83">
        <f>('Jordan Chair'!AB250)</f>
        <v>0</v>
      </c>
      <c r="AA74" s="83">
        <f>('Jordan Chair'!AC250)</f>
        <v>0</v>
      </c>
      <c r="AB74" s="108">
        <f>SUM(B74:AA74)</f>
        <v>2412</v>
      </c>
    </row>
    <row r="75" spans="1:32" ht="24" thickBot="1">
      <c r="A75" s="11" t="s">
        <v>146</v>
      </c>
      <c r="B75" s="39">
        <f t="shared" ref="B75:I75" si="29">B74/12</f>
        <v>0</v>
      </c>
      <c r="C75" s="39">
        <f t="shared" si="29"/>
        <v>0</v>
      </c>
      <c r="D75" s="39">
        <f t="shared" si="29"/>
        <v>1</v>
      </c>
      <c r="E75" s="39">
        <f t="shared" si="29"/>
        <v>0</v>
      </c>
      <c r="F75" s="39">
        <f t="shared" si="29"/>
        <v>26</v>
      </c>
      <c r="G75" s="39">
        <f t="shared" si="29"/>
        <v>-2</v>
      </c>
      <c r="H75" s="39">
        <f t="shared" si="29"/>
        <v>1</v>
      </c>
      <c r="I75" s="39">
        <f t="shared" si="29"/>
        <v>0</v>
      </c>
      <c r="J75" s="77"/>
      <c r="K75" s="78">
        <f t="shared" ref="K75:R75" si="30">K74/12</f>
        <v>0</v>
      </c>
      <c r="L75" s="78">
        <f t="shared" si="30"/>
        <v>0</v>
      </c>
      <c r="M75" s="78">
        <f t="shared" si="30"/>
        <v>15</v>
      </c>
      <c r="N75" s="78">
        <f t="shared" si="30"/>
        <v>53</v>
      </c>
      <c r="O75" s="78">
        <f t="shared" si="30"/>
        <v>0</v>
      </c>
      <c r="P75" s="78">
        <f t="shared" si="30"/>
        <v>0</v>
      </c>
      <c r="Q75" s="78">
        <f t="shared" si="30"/>
        <v>0</v>
      </c>
      <c r="R75" s="78">
        <f t="shared" si="30"/>
        <v>1</v>
      </c>
      <c r="S75" s="77"/>
      <c r="T75" s="39">
        <f t="shared" ref="T75:AA75" si="31">T74/12</f>
        <v>40</v>
      </c>
      <c r="U75" s="39">
        <f t="shared" si="31"/>
        <v>1</v>
      </c>
      <c r="V75" s="39">
        <f t="shared" si="31"/>
        <v>9</v>
      </c>
      <c r="W75" s="39">
        <f t="shared" si="31"/>
        <v>0</v>
      </c>
      <c r="X75" s="39">
        <f t="shared" si="31"/>
        <v>19</v>
      </c>
      <c r="Y75" s="39">
        <f t="shared" si="31"/>
        <v>37</v>
      </c>
      <c r="Z75" s="39">
        <f t="shared" si="31"/>
        <v>0</v>
      </c>
      <c r="AA75" s="39">
        <f t="shared" si="31"/>
        <v>0</v>
      </c>
      <c r="AB75" s="109">
        <f>SUM(B75:AA75)</f>
        <v>201</v>
      </c>
      <c r="AF75" s="120"/>
    </row>
    <row r="76" spans="1:32" ht="24" thickBot="1">
      <c r="A76" s="37"/>
      <c r="B76" s="3911">
        <f>SUM(B74:I74)</f>
        <v>312</v>
      </c>
      <c r="C76" s="3912"/>
      <c r="D76" s="3912"/>
      <c r="E76" s="3912"/>
      <c r="F76" s="3912"/>
      <c r="G76" s="3912"/>
      <c r="H76" s="3912"/>
      <c r="I76" s="3913"/>
      <c r="J76" s="75"/>
      <c r="K76" s="3911">
        <f>SUM(K74:R74)</f>
        <v>828</v>
      </c>
      <c r="L76" s="3912"/>
      <c r="M76" s="3912"/>
      <c r="N76" s="3912"/>
      <c r="O76" s="3912"/>
      <c r="P76" s="3912"/>
      <c r="Q76" s="3912"/>
      <c r="R76" s="3913"/>
      <c r="S76" s="75"/>
      <c r="T76" s="3911" t="s">
        <v>284</v>
      </c>
      <c r="U76" s="3912"/>
      <c r="V76" s="3912"/>
      <c r="W76" s="3912"/>
      <c r="X76" s="3912"/>
      <c r="Y76" s="3912"/>
      <c r="Z76" s="3912"/>
      <c r="AA76" s="3913"/>
      <c r="AB76" s="1"/>
    </row>
    <row r="77" spans="1:32" ht="27" thickBot="1">
      <c r="A77" s="38"/>
      <c r="B77" s="3914">
        <f>SUM(B75:I75)</f>
        <v>26</v>
      </c>
      <c r="C77" s="3915"/>
      <c r="D77" s="3915"/>
      <c r="E77" s="3915"/>
      <c r="F77" s="3915"/>
      <c r="G77" s="3915"/>
      <c r="H77" s="3915"/>
      <c r="I77" s="3916"/>
      <c r="J77" s="76"/>
      <c r="K77" s="3914">
        <f>SUM(K75:R75)</f>
        <v>69</v>
      </c>
      <c r="L77" s="3915"/>
      <c r="M77" s="3915"/>
      <c r="N77" s="3915"/>
      <c r="O77" s="3915"/>
      <c r="P77" s="3915"/>
      <c r="Q77" s="3915"/>
      <c r="R77" s="3916"/>
      <c r="S77" s="76"/>
      <c r="T77" s="3914">
        <f>SUM(T75:AA75)</f>
        <v>106</v>
      </c>
      <c r="U77" s="3915"/>
      <c r="V77" s="3915"/>
      <c r="W77" s="3915"/>
      <c r="X77" s="3915"/>
      <c r="Y77" s="3915"/>
      <c r="Z77" s="3915"/>
      <c r="AA77" s="3916"/>
      <c r="AB77" s="1"/>
    </row>
    <row r="78" spans="1:32" s="3" customFormat="1" ht="27" thickBot="1">
      <c r="A78" s="45"/>
      <c r="B78" s="46"/>
      <c r="C78" s="47"/>
      <c r="D78" s="47"/>
      <c r="E78" s="47"/>
      <c r="F78" s="47"/>
      <c r="G78" s="47"/>
      <c r="H78" s="47"/>
      <c r="I78" s="47"/>
      <c r="J78" s="82"/>
      <c r="K78" s="46"/>
      <c r="L78" s="47"/>
      <c r="M78" s="47"/>
      <c r="N78" s="47"/>
      <c r="O78" s="47"/>
      <c r="P78" s="47"/>
      <c r="Q78" s="47"/>
      <c r="R78" s="47"/>
      <c r="S78" s="82"/>
      <c r="T78" s="46"/>
      <c r="U78" s="47"/>
      <c r="V78" s="47"/>
      <c r="W78" s="47"/>
      <c r="X78" s="47"/>
      <c r="Y78" s="47"/>
      <c r="Z78" s="47"/>
      <c r="AA78" s="47"/>
      <c r="AB78" s="123"/>
      <c r="AE78" s="124"/>
    </row>
    <row r="79" spans="1:32" ht="32.25" thickBot="1">
      <c r="A79" s="6"/>
      <c r="B79" s="3908" t="s">
        <v>288</v>
      </c>
      <c r="C79" s="3909"/>
      <c r="D79" s="3909"/>
      <c r="E79" s="3909"/>
      <c r="F79" s="3909"/>
      <c r="G79" s="3909"/>
      <c r="H79" s="3909"/>
      <c r="I79" s="3910"/>
      <c r="J79" s="52"/>
      <c r="K79" s="3908" t="s">
        <v>289</v>
      </c>
      <c r="L79" s="3909"/>
      <c r="M79" s="3909"/>
      <c r="N79" s="3909"/>
      <c r="O79" s="3909"/>
      <c r="P79" s="3909"/>
      <c r="Q79" s="3909"/>
      <c r="R79" s="3910"/>
      <c r="S79" s="52"/>
      <c r="T79" s="3908" t="s">
        <v>290</v>
      </c>
      <c r="U79" s="3909"/>
      <c r="V79" s="3909"/>
      <c r="W79" s="3909"/>
      <c r="X79" s="3909"/>
      <c r="Y79" s="3909"/>
      <c r="Z79" s="3909"/>
      <c r="AA79" s="3910"/>
      <c r="AB79" s="105" t="s">
        <v>106</v>
      </c>
    </row>
    <row r="80" spans="1:32" ht="19.5" thickBot="1">
      <c r="A80" s="7" t="s">
        <v>274</v>
      </c>
      <c r="B80" s="40" t="s">
        <v>96</v>
      </c>
      <c r="C80" s="41" t="s">
        <v>190</v>
      </c>
      <c r="D80" s="41" t="s">
        <v>206</v>
      </c>
      <c r="E80" s="41" t="s">
        <v>53</v>
      </c>
      <c r="F80" s="41" t="s">
        <v>94</v>
      </c>
      <c r="G80" s="41" t="s">
        <v>461</v>
      </c>
      <c r="H80" s="41" t="s">
        <v>92</v>
      </c>
      <c r="I80" s="61"/>
      <c r="J80" s="54"/>
      <c r="K80" s="40" t="s">
        <v>71</v>
      </c>
      <c r="L80" s="41" t="s">
        <v>72</v>
      </c>
      <c r="M80" s="41" t="s">
        <v>118</v>
      </c>
      <c r="N80" s="41" t="s">
        <v>95</v>
      </c>
      <c r="O80" s="41" t="s">
        <v>75</v>
      </c>
      <c r="P80" s="41" t="s">
        <v>53</v>
      </c>
      <c r="Q80" s="81" t="s">
        <v>77</v>
      </c>
      <c r="R80" s="90" t="s">
        <v>94</v>
      </c>
      <c r="S80" s="54"/>
      <c r="T80" s="90" t="s">
        <v>94</v>
      </c>
      <c r="U80" s="169" t="s">
        <v>136</v>
      </c>
      <c r="V80" s="41" t="s">
        <v>53</v>
      </c>
      <c r="W80" s="95" t="s">
        <v>171</v>
      </c>
      <c r="X80" s="169" t="s">
        <v>190</v>
      </c>
      <c r="Y80" s="97" t="s">
        <v>240</v>
      </c>
      <c r="Z80" s="177" t="s">
        <v>206</v>
      </c>
      <c r="AA80" s="178" t="s">
        <v>170</v>
      </c>
      <c r="AB80" s="18"/>
    </row>
    <row r="81" spans="1:32" ht="24" thickBot="1">
      <c r="A81" s="11" t="s">
        <v>151</v>
      </c>
      <c r="B81" s="125">
        <f>'Jordan New'!E253</f>
        <v>0</v>
      </c>
      <c r="C81" s="125">
        <f>'Jordan New'!F253</f>
        <v>60</v>
      </c>
      <c r="D81" s="125">
        <f>'Jordan New'!G253</f>
        <v>24</v>
      </c>
      <c r="E81" s="125">
        <f>'Jordan New'!H253</f>
        <v>144</v>
      </c>
      <c r="F81" s="125">
        <f>'Jordan New'!I253</f>
        <v>24</v>
      </c>
      <c r="G81" s="125">
        <f>'Jordan New'!J253</f>
        <v>144</v>
      </c>
      <c r="H81" s="125">
        <f>'Jordan New'!K253</f>
        <v>0</v>
      </c>
      <c r="I81" s="125">
        <f>'Jordan New'!L253</f>
        <v>0</v>
      </c>
      <c r="J81" s="153"/>
      <c r="K81" s="125">
        <f>'Jordan New'!M253</f>
        <v>0</v>
      </c>
      <c r="L81" s="125">
        <f>'Jordan New'!N253</f>
        <v>0</v>
      </c>
      <c r="M81" s="125">
        <f>'Jordan New'!O253</f>
        <v>0</v>
      </c>
      <c r="N81" s="125">
        <f>'Jordan New'!P253</f>
        <v>0</v>
      </c>
      <c r="O81" s="125">
        <f>'Jordan New'!Q253</f>
        <v>0</v>
      </c>
      <c r="P81" s="125">
        <f>'Jordan New'!R253</f>
        <v>0</v>
      </c>
      <c r="Q81" s="125">
        <f>'Jordan New'!S253</f>
        <v>0</v>
      </c>
      <c r="R81" s="125">
        <f>'Jordan New'!T253</f>
        <v>0</v>
      </c>
      <c r="S81" s="153"/>
      <c r="T81" s="153">
        <f>'Jordan New'!V253</f>
        <v>708</v>
      </c>
      <c r="U81" s="153">
        <f>'Jordan New'!W253</f>
        <v>576</v>
      </c>
      <c r="V81" s="153">
        <f>'Jordan New'!X253</f>
        <v>420</v>
      </c>
      <c r="W81" s="153">
        <f>'Jordan New'!Y253</f>
        <v>912</v>
      </c>
      <c r="X81" s="153">
        <f>'Jordan New'!Z253</f>
        <v>144</v>
      </c>
      <c r="Y81" s="153">
        <f>'Jordan New'!AA253</f>
        <v>708</v>
      </c>
      <c r="Z81" s="153">
        <f>'Jordan New'!AB253</f>
        <v>0</v>
      </c>
      <c r="AA81" s="153">
        <f>'Jordan New'!AC253</f>
        <v>0</v>
      </c>
      <c r="AB81" s="108">
        <f>SUM(B81:AA81)</f>
        <v>3864</v>
      </c>
      <c r="AC81" s="120"/>
    </row>
    <row r="82" spans="1:32" ht="24" thickBot="1">
      <c r="A82" s="11" t="s">
        <v>146</v>
      </c>
      <c r="B82" s="96">
        <f t="shared" ref="B82:I82" si="32">B81/12</f>
        <v>0</v>
      </c>
      <c r="C82" s="96">
        <f t="shared" si="32"/>
        <v>5</v>
      </c>
      <c r="D82" s="96">
        <f t="shared" si="32"/>
        <v>2</v>
      </c>
      <c r="E82" s="96">
        <f t="shared" si="32"/>
        <v>12</v>
      </c>
      <c r="F82" s="96">
        <f t="shared" si="32"/>
        <v>2</v>
      </c>
      <c r="G82" s="96">
        <f t="shared" si="32"/>
        <v>12</v>
      </c>
      <c r="H82" s="96">
        <f t="shared" si="32"/>
        <v>0</v>
      </c>
      <c r="I82" s="96">
        <f t="shared" si="32"/>
        <v>0</v>
      </c>
      <c r="J82" s="154"/>
      <c r="K82" s="155">
        <f t="shared" ref="K82:R82" si="33">K81/12</f>
        <v>0</v>
      </c>
      <c r="L82" s="155">
        <f t="shared" si="33"/>
        <v>0</v>
      </c>
      <c r="M82" s="155">
        <f t="shared" si="33"/>
        <v>0</v>
      </c>
      <c r="N82" s="155">
        <f t="shared" si="33"/>
        <v>0</v>
      </c>
      <c r="O82" s="155">
        <f t="shared" si="33"/>
        <v>0</v>
      </c>
      <c r="P82" s="155">
        <f t="shared" si="33"/>
        <v>0</v>
      </c>
      <c r="Q82" s="155">
        <f t="shared" si="33"/>
        <v>0</v>
      </c>
      <c r="R82" s="155">
        <f t="shared" si="33"/>
        <v>0</v>
      </c>
      <c r="S82" s="154"/>
      <c r="T82" s="96">
        <f t="shared" ref="T82:AA82" si="34">T81/12</f>
        <v>59</v>
      </c>
      <c r="U82" s="96">
        <f t="shared" si="34"/>
        <v>48</v>
      </c>
      <c r="V82" s="96">
        <f t="shared" si="34"/>
        <v>35</v>
      </c>
      <c r="W82" s="96">
        <f t="shared" si="34"/>
        <v>76</v>
      </c>
      <c r="X82" s="96">
        <f t="shared" si="34"/>
        <v>12</v>
      </c>
      <c r="Y82" s="96">
        <f t="shared" si="34"/>
        <v>59</v>
      </c>
      <c r="Z82" s="96">
        <f t="shared" si="34"/>
        <v>0</v>
      </c>
      <c r="AA82" s="96">
        <f t="shared" si="34"/>
        <v>0</v>
      </c>
      <c r="AB82" s="109">
        <f>SUM(B84:AA84)</f>
        <v>322</v>
      </c>
      <c r="AF82" s="120"/>
    </row>
    <row r="83" spans="1:32" ht="24" thickBot="1">
      <c r="A83" s="37"/>
      <c r="B83" s="3911">
        <f>SUM(B81:I81)</f>
        <v>396</v>
      </c>
      <c r="C83" s="3912"/>
      <c r="D83" s="3912"/>
      <c r="E83" s="3912"/>
      <c r="F83" s="3912"/>
      <c r="G83" s="3912"/>
      <c r="H83" s="3912"/>
      <c r="I83" s="3913"/>
      <c r="J83" s="75"/>
      <c r="K83" s="3911">
        <f>SUM(K81:R81)</f>
        <v>0</v>
      </c>
      <c r="L83" s="3912"/>
      <c r="M83" s="3912"/>
      <c r="N83" s="3912"/>
      <c r="O83" s="3912"/>
      <c r="P83" s="3912"/>
      <c r="Q83" s="3912"/>
      <c r="R83" s="3913"/>
      <c r="S83" s="75"/>
      <c r="T83" s="3911">
        <f>SUM(T81:AA81)</f>
        <v>3468</v>
      </c>
      <c r="U83" s="3912"/>
      <c r="V83" s="3912"/>
      <c r="W83" s="3912"/>
      <c r="X83" s="3912"/>
      <c r="Y83" s="3912"/>
      <c r="Z83" s="3912"/>
      <c r="AA83" s="3913"/>
      <c r="AB83" s="1"/>
    </row>
    <row r="84" spans="1:32" ht="27" thickBot="1">
      <c r="A84" s="38"/>
      <c r="B84" s="3914">
        <f>SUM(B82:I82)</f>
        <v>33</v>
      </c>
      <c r="C84" s="3915"/>
      <c r="D84" s="3915"/>
      <c r="E84" s="3915"/>
      <c r="F84" s="3915"/>
      <c r="G84" s="3915"/>
      <c r="H84" s="3915"/>
      <c r="I84" s="3916"/>
      <c r="J84" s="76"/>
      <c r="K84" s="3914">
        <f>SUM(K82:R82)</f>
        <v>0</v>
      </c>
      <c r="L84" s="3915"/>
      <c r="M84" s="3915"/>
      <c r="N84" s="3915"/>
      <c r="O84" s="3915"/>
      <c r="P84" s="3915"/>
      <c r="Q84" s="3915"/>
      <c r="R84" s="3916"/>
      <c r="S84" s="76"/>
      <c r="T84" s="3914">
        <f>SUM(T82:AA82)</f>
        <v>289</v>
      </c>
      <c r="U84" s="3915"/>
      <c r="V84" s="3915"/>
      <c r="W84" s="3915"/>
      <c r="X84" s="3915"/>
      <c r="Y84" s="3915"/>
      <c r="Z84" s="3915"/>
      <c r="AA84" s="3916"/>
      <c r="AB84" s="1"/>
    </row>
    <row r="85" spans="1:32" s="3" customFormat="1" ht="27" thickBot="1">
      <c r="A85" s="45"/>
      <c r="B85" s="46"/>
      <c r="C85" s="47"/>
      <c r="D85" s="47"/>
      <c r="E85" s="47"/>
      <c r="F85" s="47"/>
      <c r="G85" s="47"/>
      <c r="H85" s="47"/>
      <c r="I85" s="47"/>
      <c r="J85" s="82"/>
      <c r="K85" s="46"/>
      <c r="L85" s="47"/>
      <c r="M85" s="47"/>
      <c r="N85" s="47"/>
      <c r="O85" s="47"/>
      <c r="P85" s="47"/>
      <c r="Q85" s="47"/>
      <c r="R85" s="47"/>
      <c r="S85" s="82"/>
      <c r="T85" s="46"/>
      <c r="U85" s="47"/>
      <c r="V85" s="47"/>
      <c r="W85" s="47"/>
      <c r="X85" s="47"/>
      <c r="Y85" s="47"/>
      <c r="Z85" s="47"/>
      <c r="AA85" s="47"/>
      <c r="AB85" s="123"/>
      <c r="AE85" s="124"/>
    </row>
    <row r="86" spans="1:32" ht="32.25" thickBot="1">
      <c r="A86" s="6"/>
      <c r="B86" s="3908" t="s">
        <v>247</v>
      </c>
      <c r="C86" s="3909"/>
      <c r="D86" s="3909"/>
      <c r="E86" s="3909"/>
      <c r="F86" s="3909"/>
      <c r="G86" s="3909"/>
      <c r="H86" s="3909"/>
      <c r="I86" s="3910"/>
      <c r="J86" s="52"/>
      <c r="K86" s="3908" t="s">
        <v>291</v>
      </c>
      <c r="L86" s="3909"/>
      <c r="M86" s="3909"/>
      <c r="N86" s="3909"/>
      <c r="O86" s="3909"/>
      <c r="P86" s="3909"/>
      <c r="Q86" s="3909"/>
      <c r="R86" s="3910"/>
      <c r="S86" s="52"/>
      <c r="T86" s="3908" t="s">
        <v>429</v>
      </c>
      <c r="U86" s="3909"/>
      <c r="V86" s="3909"/>
      <c r="W86" s="3909"/>
      <c r="X86" s="3909"/>
      <c r="Y86" s="3909"/>
      <c r="Z86" s="3909"/>
      <c r="AA86" s="3910"/>
      <c r="AB86" s="105" t="s">
        <v>106</v>
      </c>
    </row>
    <row r="87" spans="1:32" ht="19.5" thickBot="1">
      <c r="A87" s="7" t="s">
        <v>274</v>
      </c>
      <c r="B87" s="40" t="s">
        <v>96</v>
      </c>
      <c r="C87" s="41" t="s">
        <v>250</v>
      </c>
      <c r="D87" s="41" t="s">
        <v>86</v>
      </c>
      <c r="E87" s="41" t="s">
        <v>85</v>
      </c>
      <c r="F87" s="41" t="s">
        <v>123</v>
      </c>
      <c r="G87" s="41" t="s">
        <v>149</v>
      </c>
      <c r="H87" s="81" t="s">
        <v>92</v>
      </c>
      <c r="I87" s="112"/>
      <c r="J87" s="54"/>
      <c r="K87" s="23" t="str">
        <f>'F.Stand &amp; C Table'!M3</f>
        <v>M.Beize</v>
      </c>
      <c r="L87" s="23" t="str">
        <f>'F.Stand &amp; C Table'!N3</f>
        <v>Orange</v>
      </c>
      <c r="M87" s="23" t="str">
        <f>'F.Stand &amp; C Table'!O3</f>
        <v>White. F</v>
      </c>
      <c r="N87" s="23" t="str">
        <f>'F.Stand &amp; C Table'!P3</f>
        <v>Brown</v>
      </c>
      <c r="O87" s="23" t="str">
        <f>'F.Stand &amp; C Table'!Q3</f>
        <v>A.Gold</v>
      </c>
      <c r="P87" s="23" t="str">
        <f>'F.Stand &amp; C Table'!R3</f>
        <v>T.W</v>
      </c>
      <c r="Q87" s="23" t="str">
        <f>'F.Stand &amp; C Table'!S3</f>
        <v>S . BLACK</v>
      </c>
      <c r="R87" s="23" t="str">
        <f>'F.Stand &amp; C Table'!T3</f>
        <v>P.Green</v>
      </c>
      <c r="S87" s="54"/>
      <c r="T87" s="49" t="s">
        <v>95</v>
      </c>
      <c r="U87" s="49"/>
      <c r="V87" s="49" t="s">
        <v>252</v>
      </c>
      <c r="W87" s="49"/>
      <c r="X87" s="104"/>
      <c r="Y87" s="49" t="s">
        <v>76</v>
      </c>
      <c r="Z87" s="121"/>
      <c r="AA87" s="49" t="s">
        <v>53</v>
      </c>
      <c r="AB87" s="18"/>
    </row>
    <row r="88" spans="1:32" ht="24" thickBot="1">
      <c r="A88" s="11" t="s">
        <v>151</v>
      </c>
      <c r="B88" s="32">
        <f>'F.Stand &amp; C Table'!E230</f>
        <v>0</v>
      </c>
      <c r="C88" s="32">
        <f>'F.Stand &amp; C Table'!F230</f>
        <v>-160</v>
      </c>
      <c r="D88" s="32">
        <f>'F.Stand &amp; C Table'!G230</f>
        <v>-20</v>
      </c>
      <c r="E88" s="32">
        <f>'F.Stand &amp; C Table'!H230</f>
        <v>0</v>
      </c>
      <c r="F88" s="32">
        <f>'F.Stand &amp; C Table'!I230</f>
        <v>0</v>
      </c>
      <c r="G88" s="32">
        <f>'F.Stand &amp; C Table'!J230</f>
        <v>0</v>
      </c>
      <c r="H88" s="32">
        <f>'F.Stand &amp; C Table'!K230</f>
        <v>-140</v>
      </c>
      <c r="I88" s="32">
        <f>'F.Stand &amp; C Table'!L230</f>
        <v>0</v>
      </c>
      <c r="J88" s="70"/>
      <c r="K88" s="83">
        <f>'F.Stand &amp; C Table'!M230</f>
        <v>288</v>
      </c>
      <c r="L88" s="83">
        <f>'F.Stand &amp; C Table'!N230</f>
        <v>0</v>
      </c>
      <c r="M88" s="83">
        <f>'F.Stand &amp; C Table'!O230</f>
        <v>0</v>
      </c>
      <c r="N88" s="83">
        <f>'F.Stand &amp; C Table'!P230</f>
        <v>1696</v>
      </c>
      <c r="O88" s="83">
        <f>'F.Stand &amp; C Table'!Q230</f>
        <v>544</v>
      </c>
      <c r="P88" s="83">
        <f>'F.Stand &amp; C Table'!R230</f>
        <v>416</v>
      </c>
      <c r="Q88" s="83">
        <f>'F.Stand &amp; C Table'!S230</f>
        <v>880</v>
      </c>
      <c r="R88" s="83">
        <f>'F.Stand &amp; C Table'!T230</f>
        <v>0</v>
      </c>
      <c r="S88" s="70"/>
      <c r="T88" s="83">
        <f>'F.Stand &amp; C Table'!V230</f>
        <v>-580</v>
      </c>
      <c r="U88" s="83">
        <f>'F.Stand &amp; C Table'!W230</f>
        <v>0</v>
      </c>
      <c r="V88" s="83">
        <f>'F.Stand &amp; C Table'!X230</f>
        <v>-520</v>
      </c>
      <c r="W88" s="83">
        <f>'F.Stand &amp; C Table'!Y230</f>
        <v>-60</v>
      </c>
      <c r="X88" s="83">
        <f>'F.Stand &amp; C Table'!Z230</f>
        <v>0</v>
      </c>
      <c r="Y88" s="83">
        <f>'F.Stand &amp; C Table'!AA230</f>
        <v>0</v>
      </c>
      <c r="Z88" s="83">
        <f>'F.Stand &amp; C Table'!AB230</f>
        <v>0</v>
      </c>
      <c r="AA88" s="83">
        <f>'F.Stand &amp; C Table'!AC230</f>
        <v>-1600</v>
      </c>
      <c r="AB88" s="108">
        <f>SUM(B88:I88)+SUM(T88:AA88)</f>
        <v>-3080</v>
      </c>
    </row>
    <row r="89" spans="1:32" ht="24" thickBot="1">
      <c r="A89" s="11" t="s">
        <v>146</v>
      </c>
      <c r="B89" s="39">
        <f t="shared" ref="B89:AA89" si="35">B88/20</f>
        <v>0</v>
      </c>
      <c r="C89" s="39">
        <f t="shared" si="35"/>
        <v>-8</v>
      </c>
      <c r="D89" s="39">
        <f t="shared" si="35"/>
        <v>-1</v>
      </c>
      <c r="E89" s="39">
        <f t="shared" si="35"/>
        <v>0</v>
      </c>
      <c r="F89" s="39">
        <f t="shared" si="35"/>
        <v>0</v>
      </c>
      <c r="G89" s="39">
        <f t="shared" si="35"/>
        <v>0</v>
      </c>
      <c r="H89" s="39">
        <f t="shared" si="35"/>
        <v>-7</v>
      </c>
      <c r="I89" s="39">
        <f t="shared" si="35"/>
        <v>0</v>
      </c>
      <c r="J89" s="39">
        <f t="shared" si="35"/>
        <v>0</v>
      </c>
      <c r="K89" s="39">
        <f t="shared" si="35"/>
        <v>14.4</v>
      </c>
      <c r="L89" s="39">
        <f t="shared" si="35"/>
        <v>0</v>
      </c>
      <c r="M89" s="39">
        <f t="shared" si="35"/>
        <v>0</v>
      </c>
      <c r="N89" s="39">
        <f t="shared" si="35"/>
        <v>84.8</v>
      </c>
      <c r="O89" s="39">
        <f t="shared" si="35"/>
        <v>27.2</v>
      </c>
      <c r="P89" s="39">
        <f t="shared" si="35"/>
        <v>20.8</v>
      </c>
      <c r="Q89" s="39">
        <f t="shared" si="35"/>
        <v>44</v>
      </c>
      <c r="R89" s="39">
        <f t="shared" si="35"/>
        <v>0</v>
      </c>
      <c r="S89" s="39">
        <f t="shared" si="35"/>
        <v>0</v>
      </c>
      <c r="T89" s="39">
        <f t="shared" si="35"/>
        <v>-29</v>
      </c>
      <c r="U89" s="39">
        <f t="shared" si="35"/>
        <v>0</v>
      </c>
      <c r="V89" s="39">
        <f t="shared" si="35"/>
        <v>-26</v>
      </c>
      <c r="W89" s="39">
        <f t="shared" si="35"/>
        <v>-3</v>
      </c>
      <c r="X89" s="39">
        <f t="shared" si="35"/>
        <v>0</v>
      </c>
      <c r="Y89" s="39">
        <f t="shared" si="35"/>
        <v>0</v>
      </c>
      <c r="Z89" s="39">
        <f t="shared" si="35"/>
        <v>0</v>
      </c>
      <c r="AA89" s="39">
        <f t="shared" si="35"/>
        <v>-80</v>
      </c>
      <c r="AB89" s="109">
        <f>SUM(B89:AA89)</f>
        <v>37.200000000000017</v>
      </c>
      <c r="AF89" s="120"/>
    </row>
    <row r="90" spans="1:32" ht="24" thickBot="1">
      <c r="A90" s="37"/>
      <c r="B90" s="3911">
        <f>SUM(B88:I88)</f>
        <v>-320</v>
      </c>
      <c r="C90" s="3912"/>
      <c r="D90" s="3912"/>
      <c r="E90" s="3912"/>
      <c r="F90" s="3912"/>
      <c r="G90" s="3912"/>
      <c r="H90" s="3912"/>
      <c r="I90" s="3913"/>
      <c r="J90" s="75"/>
      <c r="K90" s="3911">
        <f>SUM(K88:R88)</f>
        <v>3824</v>
      </c>
      <c r="L90" s="3912"/>
      <c r="M90" s="3912"/>
      <c r="N90" s="3912"/>
      <c r="O90" s="3912"/>
      <c r="P90" s="3912"/>
      <c r="Q90" s="3912"/>
      <c r="R90" s="3913"/>
      <c r="S90" s="75"/>
      <c r="T90" s="3911" t="s">
        <v>284</v>
      </c>
      <c r="U90" s="3912"/>
      <c r="V90" s="3912"/>
      <c r="W90" s="3912"/>
      <c r="X90" s="3912"/>
      <c r="Y90" s="3912"/>
      <c r="Z90" s="3912"/>
      <c r="AA90" s="3913"/>
      <c r="AB90" s="1"/>
    </row>
    <row r="91" spans="1:32" ht="27" thickBot="1">
      <c r="A91" s="38"/>
      <c r="B91" s="3914">
        <f>SUM(B89:I89)</f>
        <v>-16</v>
      </c>
      <c r="C91" s="3915"/>
      <c r="D91" s="3915"/>
      <c r="E91" s="3915"/>
      <c r="F91" s="3915"/>
      <c r="G91" s="3915"/>
      <c r="H91" s="3915"/>
      <c r="I91" s="3916"/>
      <c r="J91" s="76"/>
      <c r="K91" s="3914">
        <f>SUM(K89:R89)</f>
        <v>191.20000000000002</v>
      </c>
      <c r="L91" s="3915"/>
      <c r="M91" s="3915"/>
      <c r="N91" s="3915"/>
      <c r="O91" s="3915"/>
      <c r="P91" s="3915"/>
      <c r="Q91" s="3915"/>
      <c r="R91" s="3916"/>
      <c r="S91" s="76"/>
      <c r="T91" s="3914">
        <f>SUM(T89:AA89)</f>
        <v>-138</v>
      </c>
      <c r="U91" s="3915"/>
      <c r="V91" s="3915"/>
      <c r="W91" s="3915"/>
      <c r="X91" s="3915"/>
      <c r="Y91" s="3915"/>
      <c r="Z91" s="3915"/>
      <c r="AA91" s="3916"/>
      <c r="AB91" s="1"/>
    </row>
    <row r="92" spans="1:32" s="3" customFormat="1" ht="27" thickBot="1">
      <c r="A92" s="45"/>
      <c r="B92" s="46"/>
      <c r="C92" s="47"/>
      <c r="D92" s="47"/>
      <c r="E92" s="47"/>
      <c r="F92" s="47"/>
      <c r="G92" s="47"/>
      <c r="H92" s="47"/>
      <c r="I92" s="47"/>
      <c r="J92" s="82"/>
      <c r="K92" s="46"/>
      <c r="L92" s="47"/>
      <c r="M92" s="47"/>
      <c r="N92" s="47"/>
      <c r="O92" s="47"/>
      <c r="P92" s="47"/>
      <c r="Q92" s="47"/>
      <c r="R92" s="47"/>
      <c r="S92" s="82"/>
      <c r="T92" s="46"/>
      <c r="U92" s="47"/>
      <c r="V92" s="47"/>
      <c r="W92" s="47"/>
      <c r="X92" s="47"/>
      <c r="Y92" s="47"/>
      <c r="Z92" s="47"/>
      <c r="AA92" s="47"/>
      <c r="AB92" s="123"/>
      <c r="AE92" s="124"/>
    </row>
    <row r="93" spans="1:32" ht="32.25" thickBot="1">
      <c r="A93" s="6"/>
      <c r="B93" s="3908" t="s">
        <v>292</v>
      </c>
      <c r="C93" s="3909"/>
      <c r="D93" s="3909"/>
      <c r="E93" s="3909"/>
      <c r="F93" s="3909"/>
      <c r="G93" s="3909"/>
      <c r="H93" s="3909"/>
      <c r="I93" s="3910"/>
      <c r="J93" s="52"/>
      <c r="K93" s="3908" t="s">
        <v>293</v>
      </c>
      <c r="L93" s="3909"/>
      <c r="M93" s="3909"/>
      <c r="N93" s="3909"/>
      <c r="O93" s="3909"/>
      <c r="P93" s="3909"/>
      <c r="Q93" s="3909"/>
      <c r="R93" s="3910"/>
      <c r="S93" s="52"/>
      <c r="T93" s="3908" t="s">
        <v>294</v>
      </c>
      <c r="U93" s="3909"/>
      <c r="V93" s="3909"/>
      <c r="W93" s="3909"/>
      <c r="X93" s="3909"/>
      <c r="Y93" s="3909"/>
      <c r="Z93" s="3909"/>
      <c r="AA93" s="3910"/>
      <c r="AB93" s="105" t="s">
        <v>106</v>
      </c>
    </row>
    <row r="94" spans="1:32" ht="19.5" thickBot="1">
      <c r="A94" s="7" t="s">
        <v>274</v>
      </c>
      <c r="B94" s="40" t="s">
        <v>87</v>
      </c>
      <c r="C94" s="41" t="s">
        <v>85</v>
      </c>
      <c r="D94" s="41" t="s">
        <v>86</v>
      </c>
      <c r="E94" s="41" t="s">
        <v>92</v>
      </c>
      <c r="F94" s="41" t="s">
        <v>213</v>
      </c>
      <c r="G94" s="41" t="s">
        <v>97</v>
      </c>
      <c r="H94" s="81" t="s">
        <v>407</v>
      </c>
      <c r="I94" s="40">
        <f>Stool!L3</f>
        <v>0</v>
      </c>
      <c r="J94" s="54"/>
      <c r="K94" s="23" t="str">
        <f>Stool!M3</f>
        <v>M.Beize</v>
      </c>
      <c r="L94" s="23" t="str">
        <f>Stool!N3</f>
        <v>Brown</v>
      </c>
      <c r="M94" s="23" t="str">
        <f>Stool!O3</f>
        <v>A.Gold</v>
      </c>
      <c r="N94" s="23" t="str">
        <f>Stool!P3</f>
        <v>P.Silver</v>
      </c>
      <c r="O94" s="23" t="str">
        <f>Stool!Q3</f>
        <v>Black</v>
      </c>
      <c r="P94" s="23" t="str">
        <f>Stool!R3</f>
        <v>B.Silver</v>
      </c>
      <c r="Q94" s="23" t="str">
        <f>Stool!S3</f>
        <v>B Red</v>
      </c>
      <c r="R94" s="23" t="str">
        <f>Stool!T3</f>
        <v>S.W</v>
      </c>
      <c r="S94" s="54"/>
      <c r="T94" s="170" t="s">
        <v>101</v>
      </c>
      <c r="U94" s="97" t="s">
        <v>473</v>
      </c>
      <c r="V94" s="169" t="s">
        <v>215</v>
      </c>
      <c r="W94" s="95" t="s">
        <v>295</v>
      </c>
      <c r="X94" s="169"/>
      <c r="Y94" s="169" t="s">
        <v>474</v>
      </c>
      <c r="Z94" s="177" t="s">
        <v>86</v>
      </c>
      <c r="AA94" s="178"/>
      <c r="AB94" s="18"/>
    </row>
    <row r="95" spans="1:32" ht="24" thickBot="1">
      <c r="A95" s="11" t="s">
        <v>151</v>
      </c>
      <c r="B95" s="32">
        <f>Stool!E242</f>
        <v>2220</v>
      </c>
      <c r="C95" s="32">
        <f>Stool!F242</f>
        <v>160</v>
      </c>
      <c r="D95" s="32">
        <f>Stool!G242</f>
        <v>860</v>
      </c>
      <c r="E95" s="32">
        <f>Stool!H242</f>
        <v>900</v>
      </c>
      <c r="F95" s="32">
        <f>Stool!I242</f>
        <v>0</v>
      </c>
      <c r="G95" s="32">
        <f>Stool!J242</f>
        <v>0</v>
      </c>
      <c r="H95" s="32">
        <f>Stool!K242</f>
        <v>540</v>
      </c>
      <c r="I95" s="32">
        <f>Stool!L242</f>
        <v>0</v>
      </c>
      <c r="J95" s="70"/>
      <c r="K95" s="83">
        <f>Stool!M242</f>
        <v>460</v>
      </c>
      <c r="L95" s="83">
        <f>Stool!N242</f>
        <v>2840</v>
      </c>
      <c r="M95" s="83">
        <f>Stool!O242</f>
        <v>2880</v>
      </c>
      <c r="N95" s="83">
        <f>Stool!P242</f>
        <v>0</v>
      </c>
      <c r="O95" s="83">
        <f>Stool!Q242</f>
        <v>0</v>
      </c>
      <c r="P95" s="83">
        <f>Stool!R242</f>
        <v>0</v>
      </c>
      <c r="Q95" s="83">
        <f>Stool!S242</f>
        <v>0</v>
      </c>
      <c r="R95" s="83">
        <f>Stool!T242</f>
        <v>0</v>
      </c>
      <c r="S95" s="70"/>
      <c r="T95" s="83">
        <f>Stool!V242</f>
        <v>0</v>
      </c>
      <c r="U95" s="83">
        <f>Stool!W242</f>
        <v>0</v>
      </c>
      <c r="V95" s="83">
        <f>Stool!X242</f>
        <v>0</v>
      </c>
      <c r="W95" s="83">
        <f>Stool!Y242</f>
        <v>0</v>
      </c>
      <c r="X95" s="83">
        <f>Stool!Z242</f>
        <v>0</v>
      </c>
      <c r="Y95" s="83">
        <f>Stool!AA242</f>
        <v>0</v>
      </c>
      <c r="Z95" s="83">
        <f>Stool!AB242</f>
        <v>0</v>
      </c>
      <c r="AA95" s="83">
        <f>Stool!AC242</f>
        <v>0</v>
      </c>
      <c r="AB95" s="108">
        <f>SUM(B95:R95)</f>
        <v>10860</v>
      </c>
    </row>
    <row r="96" spans="1:32" ht="24" thickBot="1">
      <c r="A96" s="11" t="s">
        <v>146</v>
      </c>
      <c r="B96" s="39">
        <f t="shared" ref="B96:I96" si="36">B95/20</f>
        <v>111</v>
      </c>
      <c r="C96" s="39">
        <f t="shared" si="36"/>
        <v>8</v>
      </c>
      <c r="D96" s="39">
        <f t="shared" si="36"/>
        <v>43</v>
      </c>
      <c r="E96" s="39">
        <f t="shared" si="36"/>
        <v>45</v>
      </c>
      <c r="F96" s="39">
        <f t="shared" si="36"/>
        <v>0</v>
      </c>
      <c r="G96" s="39">
        <f t="shared" si="36"/>
        <v>0</v>
      </c>
      <c r="H96" s="39">
        <f t="shared" si="36"/>
        <v>27</v>
      </c>
      <c r="I96" s="39">
        <f t="shared" si="36"/>
        <v>0</v>
      </c>
      <c r="J96" s="77"/>
      <c r="K96" s="78">
        <f t="shared" ref="K96:R96" si="37">K95/20</f>
        <v>23</v>
      </c>
      <c r="L96" s="78">
        <f t="shared" si="37"/>
        <v>142</v>
      </c>
      <c r="M96" s="78">
        <f t="shared" si="37"/>
        <v>144</v>
      </c>
      <c r="N96" s="78">
        <f t="shared" si="37"/>
        <v>0</v>
      </c>
      <c r="O96" s="78">
        <f t="shared" si="37"/>
        <v>0</v>
      </c>
      <c r="P96" s="78">
        <f t="shared" si="37"/>
        <v>0</v>
      </c>
      <c r="Q96" s="78">
        <f t="shared" si="37"/>
        <v>0</v>
      </c>
      <c r="R96" s="78">
        <f t="shared" si="37"/>
        <v>0</v>
      </c>
      <c r="S96" s="77"/>
      <c r="T96" s="39">
        <f t="shared" ref="T96:AA96" si="38">T95/12</f>
        <v>0</v>
      </c>
      <c r="U96" s="39">
        <f t="shared" si="38"/>
        <v>0</v>
      </c>
      <c r="V96" s="39">
        <f t="shared" si="38"/>
        <v>0</v>
      </c>
      <c r="W96" s="39">
        <f t="shared" si="38"/>
        <v>0</v>
      </c>
      <c r="X96" s="39">
        <f t="shared" si="38"/>
        <v>0</v>
      </c>
      <c r="Y96" s="39">
        <f t="shared" si="38"/>
        <v>0</v>
      </c>
      <c r="Z96" s="39">
        <f t="shared" si="38"/>
        <v>0</v>
      </c>
      <c r="AA96" s="39">
        <f t="shared" si="38"/>
        <v>0</v>
      </c>
      <c r="AB96" s="109">
        <f>SUM(B96:R96)</f>
        <v>543</v>
      </c>
      <c r="AF96" s="120"/>
    </row>
    <row r="97" spans="1:32" ht="24" thickBot="1">
      <c r="A97" s="37"/>
      <c r="B97" s="3911">
        <f>SUM(B95:I95)</f>
        <v>4680</v>
      </c>
      <c r="C97" s="3912"/>
      <c r="D97" s="3912"/>
      <c r="E97" s="3912"/>
      <c r="F97" s="3912"/>
      <c r="G97" s="3912"/>
      <c r="H97" s="3912"/>
      <c r="I97" s="3913"/>
      <c r="J97" s="75"/>
      <c r="K97" s="3911">
        <f>SUM(K95:R95)</f>
        <v>6180</v>
      </c>
      <c r="L97" s="3912"/>
      <c r="M97" s="3912"/>
      <c r="N97" s="3912"/>
      <c r="O97" s="3912"/>
      <c r="P97" s="3912"/>
      <c r="Q97" s="3912"/>
      <c r="R97" s="3913"/>
      <c r="S97" s="75"/>
      <c r="T97" s="3911">
        <f>SUM(T95:AA95)</f>
        <v>0</v>
      </c>
      <c r="U97" s="3912"/>
      <c r="V97" s="3912"/>
      <c r="W97" s="3912"/>
      <c r="X97" s="3912"/>
      <c r="Y97" s="3912"/>
      <c r="Z97" s="3912"/>
      <c r="AA97" s="3913"/>
      <c r="AB97" s="1"/>
    </row>
    <row r="98" spans="1:32" ht="27" thickBot="1">
      <c r="A98" s="38"/>
      <c r="B98" s="3914">
        <f>SUM(B96:I96)</f>
        <v>234</v>
      </c>
      <c r="C98" s="3915"/>
      <c r="D98" s="3915"/>
      <c r="E98" s="3915"/>
      <c r="F98" s="3915"/>
      <c r="G98" s="3915"/>
      <c r="H98" s="3915"/>
      <c r="I98" s="3916"/>
      <c r="J98" s="76"/>
      <c r="K98" s="3914">
        <f>SUM(K96:R96)</f>
        <v>309</v>
      </c>
      <c r="L98" s="3915"/>
      <c r="M98" s="3915"/>
      <c r="N98" s="3915"/>
      <c r="O98" s="3915"/>
      <c r="P98" s="3915"/>
      <c r="Q98" s="3915"/>
      <c r="R98" s="3916"/>
      <c r="S98" s="76"/>
      <c r="T98" s="3914"/>
      <c r="U98" s="3915"/>
      <c r="V98" s="3915"/>
      <c r="W98" s="3915"/>
      <c r="X98" s="3915"/>
      <c r="Y98" s="3915"/>
      <c r="Z98" s="3915"/>
      <c r="AA98" s="3916"/>
      <c r="AB98" s="1"/>
    </row>
    <row r="99" spans="1:32" s="3" customFormat="1" ht="27" thickBot="1">
      <c r="A99" s="45"/>
      <c r="B99" s="46"/>
      <c r="C99" s="47"/>
      <c r="D99" s="47"/>
      <c r="E99" s="47"/>
      <c r="F99" s="47"/>
      <c r="G99" s="47"/>
      <c r="H99" s="47"/>
      <c r="I99" s="47"/>
      <c r="J99" s="82"/>
      <c r="K99" s="46"/>
      <c r="L99" s="47"/>
      <c r="M99" s="47"/>
      <c r="N99" s="47"/>
      <c r="O99" s="47"/>
      <c r="P99" s="47"/>
      <c r="Q99" s="47"/>
      <c r="R99" s="47"/>
      <c r="S99" s="82"/>
      <c r="T99" s="46"/>
      <c r="U99" s="47"/>
      <c r="V99" s="47"/>
      <c r="W99" s="47"/>
      <c r="X99" s="47"/>
      <c r="Y99" s="47"/>
      <c r="Z99" s="47"/>
      <c r="AA99" s="47"/>
      <c r="AB99" s="123"/>
      <c r="AE99" s="124"/>
    </row>
    <row r="100" spans="1:32" ht="32.25" thickBot="1">
      <c r="A100" s="6"/>
      <c r="B100" s="3908" t="s">
        <v>383</v>
      </c>
      <c r="C100" s="3909"/>
      <c r="D100" s="3909"/>
      <c r="E100" s="3909"/>
      <c r="F100" s="3909"/>
      <c r="G100" s="3909"/>
      <c r="H100" s="3909"/>
      <c r="I100" s="3910"/>
      <c r="J100" s="52"/>
      <c r="K100" s="3908"/>
      <c r="L100" s="3909"/>
      <c r="M100" s="3909"/>
      <c r="N100" s="3909"/>
      <c r="O100" s="3909"/>
      <c r="P100" s="3909"/>
      <c r="Q100" s="3909"/>
      <c r="R100" s="3910"/>
      <c r="S100" s="52"/>
      <c r="T100" s="3908"/>
      <c r="U100" s="3909"/>
      <c r="V100" s="3909"/>
      <c r="W100" s="3909"/>
      <c r="X100" s="3909"/>
      <c r="Y100" s="3909"/>
      <c r="Z100" s="3909"/>
      <c r="AA100" s="3910"/>
      <c r="AB100" s="105" t="s">
        <v>106</v>
      </c>
    </row>
    <row r="101" spans="1:32" ht="19.5" thickBot="1">
      <c r="A101" s="7" t="s">
        <v>274</v>
      </c>
      <c r="B101" s="40" t="s">
        <v>382</v>
      </c>
      <c r="C101" s="41" t="s">
        <v>53</v>
      </c>
      <c r="D101" s="41" t="s">
        <v>206</v>
      </c>
      <c r="E101" s="41" t="s">
        <v>190</v>
      </c>
      <c r="F101" s="41" t="s">
        <v>94</v>
      </c>
      <c r="G101" s="40"/>
      <c r="H101" s="40" t="s">
        <v>469</v>
      </c>
      <c r="I101" s="40"/>
      <c r="J101" s="54"/>
      <c r="K101" s="40" t="s">
        <v>85</v>
      </c>
      <c r="L101" s="41" t="s">
        <v>457</v>
      </c>
      <c r="M101" s="41" t="s">
        <v>250</v>
      </c>
      <c r="N101" s="41"/>
      <c r="O101" s="30" t="s">
        <v>412</v>
      </c>
      <c r="P101" s="41"/>
      <c r="Q101" s="81" t="s">
        <v>413</v>
      </c>
      <c r="R101" s="90" t="s">
        <v>416</v>
      </c>
      <c r="S101" s="54"/>
      <c r="T101" s="170"/>
      <c r="U101" s="97"/>
      <c r="V101" s="169"/>
      <c r="W101" s="95"/>
      <c r="X101" s="169"/>
      <c r="Y101" s="169"/>
      <c r="Z101" s="177"/>
      <c r="AA101" s="178"/>
      <c r="AB101" s="18"/>
    </row>
    <row r="102" spans="1:32" ht="24" thickBot="1">
      <c r="A102" s="11" t="s">
        <v>151</v>
      </c>
      <c r="B102" s="32">
        <f>M.P.Stool!E222</f>
        <v>0</v>
      </c>
      <c r="C102" s="32">
        <f>M.P.Stool!F222</f>
        <v>1380</v>
      </c>
      <c r="D102" s="32">
        <f>M.P.Stool!G222</f>
        <v>0</v>
      </c>
      <c r="E102" s="32">
        <f>M.P.Stool!H222</f>
        <v>0</v>
      </c>
      <c r="F102" s="32">
        <f>M.P.Stool!I222</f>
        <v>1580</v>
      </c>
      <c r="G102" s="32">
        <f>M.P.Stool!J222</f>
        <v>0</v>
      </c>
      <c r="H102" s="32">
        <f>M.P.Stool!K222</f>
        <v>0</v>
      </c>
      <c r="I102" s="32">
        <f>M.P.Stool!L222</f>
        <v>0</v>
      </c>
      <c r="J102" s="70"/>
      <c r="K102" s="83">
        <f>M.P.Stool!M222</f>
        <v>0</v>
      </c>
      <c r="L102" s="83">
        <f>M.P.Stool!N222</f>
        <v>0</v>
      </c>
      <c r="M102" s="83">
        <f>M.P.Stool!O222</f>
        <v>0</v>
      </c>
      <c r="N102" s="83">
        <f>M.P.Stool!P222</f>
        <v>0</v>
      </c>
      <c r="O102" s="83">
        <f>M.P.Stool!Q222</f>
        <v>0</v>
      </c>
      <c r="P102" s="83">
        <f>M.P.Stool!R222</f>
        <v>0</v>
      </c>
      <c r="Q102" s="83">
        <f>M.P.Stool!S222</f>
        <v>0</v>
      </c>
      <c r="R102" s="83">
        <f>M.P.Stool!T222</f>
        <v>0</v>
      </c>
      <c r="S102" s="70"/>
      <c r="T102" s="83">
        <f>M.P.Stool!V222</f>
        <v>0</v>
      </c>
      <c r="U102" s="83">
        <f>M.P.Stool!W222</f>
        <v>0</v>
      </c>
      <c r="V102" s="83">
        <f>M.P.Stool!X222</f>
        <v>0</v>
      </c>
      <c r="W102" s="83">
        <f>M.P.Stool!Y222</f>
        <v>0</v>
      </c>
      <c r="X102" s="83">
        <f>M.P.Stool!Z222</f>
        <v>0</v>
      </c>
      <c r="Y102" s="83">
        <f>M.P.Stool!AA222</f>
        <v>0</v>
      </c>
      <c r="Z102" s="83">
        <f>M.P.Stool!AB222</f>
        <v>0</v>
      </c>
      <c r="AA102" s="83">
        <f>M.P.Stool!AC222</f>
        <v>0</v>
      </c>
      <c r="AB102" s="108">
        <f>SUM(B102:R102)</f>
        <v>2960</v>
      </c>
    </row>
    <row r="103" spans="1:32" ht="24" thickBot="1">
      <c r="A103" s="11" t="s">
        <v>146</v>
      </c>
      <c r="B103" s="39">
        <f t="shared" ref="B103:I103" si="39">B102/20</f>
        <v>0</v>
      </c>
      <c r="C103" s="39">
        <f t="shared" si="39"/>
        <v>69</v>
      </c>
      <c r="D103" s="39">
        <f t="shared" si="39"/>
        <v>0</v>
      </c>
      <c r="E103" s="39">
        <f t="shared" si="39"/>
        <v>0</v>
      </c>
      <c r="F103" s="39">
        <f t="shared" si="39"/>
        <v>79</v>
      </c>
      <c r="G103" s="39">
        <f t="shared" si="39"/>
        <v>0</v>
      </c>
      <c r="H103" s="39">
        <f t="shared" si="39"/>
        <v>0</v>
      </c>
      <c r="I103" s="39">
        <f t="shared" si="39"/>
        <v>0</v>
      </c>
      <c r="J103" s="77"/>
      <c r="K103" s="78">
        <f t="shared" ref="K103:R103" si="40">K102/20</f>
        <v>0</v>
      </c>
      <c r="L103" s="78">
        <f t="shared" si="40"/>
        <v>0</v>
      </c>
      <c r="M103" s="78">
        <f t="shared" si="40"/>
        <v>0</v>
      </c>
      <c r="N103" s="78">
        <f t="shared" si="40"/>
        <v>0</v>
      </c>
      <c r="O103" s="78">
        <f t="shared" si="40"/>
        <v>0</v>
      </c>
      <c r="P103" s="78">
        <f t="shared" si="40"/>
        <v>0</v>
      </c>
      <c r="Q103" s="78">
        <f t="shared" si="40"/>
        <v>0</v>
      </c>
      <c r="R103" s="78">
        <f t="shared" si="40"/>
        <v>0</v>
      </c>
      <c r="S103" s="77"/>
      <c r="T103" s="39">
        <f t="shared" ref="T103:AA103" si="41">T102/12</f>
        <v>0</v>
      </c>
      <c r="U103" s="39">
        <f t="shared" si="41"/>
        <v>0</v>
      </c>
      <c r="V103" s="39">
        <f t="shared" si="41"/>
        <v>0</v>
      </c>
      <c r="W103" s="39">
        <f t="shared" si="41"/>
        <v>0</v>
      </c>
      <c r="X103" s="39">
        <f t="shared" si="41"/>
        <v>0</v>
      </c>
      <c r="Y103" s="39">
        <f t="shared" si="41"/>
        <v>0</v>
      </c>
      <c r="Z103" s="39">
        <f t="shared" si="41"/>
        <v>0</v>
      </c>
      <c r="AA103" s="39">
        <f t="shared" si="41"/>
        <v>0</v>
      </c>
      <c r="AB103" s="109">
        <f>SUM(B103:R103)</f>
        <v>148</v>
      </c>
      <c r="AF103" s="120"/>
    </row>
    <row r="104" spans="1:32" ht="24" thickBot="1">
      <c r="A104" s="37"/>
      <c r="B104" s="3911">
        <f>SUM(B102:I102)</f>
        <v>2960</v>
      </c>
      <c r="C104" s="3912"/>
      <c r="D104" s="3912"/>
      <c r="E104" s="3912"/>
      <c r="F104" s="3912"/>
      <c r="G104" s="3912"/>
      <c r="H104" s="3912"/>
      <c r="I104" s="3913"/>
      <c r="J104" s="75"/>
      <c r="K104" s="3911">
        <f>SUM(K102:R102)</f>
        <v>0</v>
      </c>
      <c r="L104" s="3912"/>
      <c r="M104" s="3912"/>
      <c r="N104" s="3912"/>
      <c r="O104" s="3912"/>
      <c r="P104" s="3912"/>
      <c r="Q104" s="3912"/>
      <c r="R104" s="3913"/>
      <c r="S104" s="75"/>
      <c r="T104" s="3911">
        <f>SUM(T102:AA102)</f>
        <v>0</v>
      </c>
      <c r="U104" s="3912"/>
      <c r="V104" s="3912"/>
      <c r="W104" s="3912"/>
      <c r="X104" s="3912"/>
      <c r="Y104" s="3912"/>
      <c r="Z104" s="3912"/>
      <c r="AA104" s="3913"/>
      <c r="AB104" s="1"/>
    </row>
    <row r="105" spans="1:32" ht="27" thickBot="1">
      <c r="A105" s="38"/>
      <c r="B105" s="3914">
        <f>SUM(B103:I103)</f>
        <v>148</v>
      </c>
      <c r="C105" s="3915"/>
      <c r="D105" s="3915"/>
      <c r="E105" s="3915"/>
      <c r="F105" s="3915"/>
      <c r="G105" s="3915"/>
      <c r="H105" s="3915"/>
      <c r="I105" s="3916"/>
      <c r="J105" s="76"/>
      <c r="K105" s="3914">
        <f>SUM(K103:R103)</f>
        <v>0</v>
      </c>
      <c r="L105" s="3915"/>
      <c r="M105" s="3915"/>
      <c r="N105" s="3915"/>
      <c r="O105" s="3915"/>
      <c r="P105" s="3915"/>
      <c r="Q105" s="3915"/>
      <c r="R105" s="3916"/>
      <c r="S105" s="76"/>
      <c r="T105" s="3914"/>
      <c r="U105" s="3915"/>
      <c r="V105" s="3915"/>
      <c r="W105" s="3915"/>
      <c r="X105" s="3915"/>
      <c r="Y105" s="3915"/>
      <c r="Z105" s="3915"/>
      <c r="AA105" s="3916"/>
      <c r="AB105" s="1"/>
    </row>
    <row r="106" spans="1:32" s="3" customFormat="1" ht="27" thickBot="1">
      <c r="A106" s="45"/>
      <c r="B106" s="46"/>
      <c r="C106" s="47"/>
      <c r="D106" s="47"/>
      <c r="E106" s="47"/>
      <c r="F106" s="47"/>
      <c r="G106" s="47"/>
      <c r="H106" s="47"/>
      <c r="I106" s="47"/>
      <c r="J106" s="82"/>
      <c r="K106" s="46"/>
      <c r="L106" s="47"/>
      <c r="M106" s="47"/>
      <c r="N106" s="47"/>
      <c r="O106" s="47"/>
      <c r="P106" s="47"/>
      <c r="Q106" s="47"/>
      <c r="R106" s="47"/>
      <c r="S106" s="82"/>
      <c r="T106" s="46"/>
      <c r="U106" s="47"/>
      <c r="V106" s="47"/>
      <c r="W106" s="47"/>
      <c r="X106" s="47"/>
      <c r="Y106" s="47"/>
      <c r="Z106" s="47"/>
      <c r="AA106" s="47"/>
      <c r="AB106" s="123"/>
      <c r="AE106" s="124"/>
    </row>
    <row r="107" spans="1:32" ht="32.25" thickBot="1">
      <c r="A107" s="6"/>
      <c r="B107" s="3908" t="s">
        <v>296</v>
      </c>
      <c r="C107" s="3909"/>
      <c r="D107" s="3909"/>
      <c r="E107" s="3909"/>
      <c r="F107" s="3909"/>
      <c r="G107" s="3909"/>
      <c r="H107" s="3909"/>
      <c r="I107" s="3910"/>
      <c r="J107" s="52"/>
      <c r="K107" s="3908" t="s">
        <v>297</v>
      </c>
      <c r="L107" s="3909"/>
      <c r="M107" s="3909"/>
      <c r="N107" s="3909"/>
      <c r="O107" s="3909"/>
      <c r="P107" s="3909"/>
      <c r="Q107" s="3909"/>
      <c r="R107" s="3910"/>
      <c r="S107" s="52"/>
      <c r="T107" s="3908" t="s">
        <v>244</v>
      </c>
      <c r="U107" s="3909"/>
      <c r="V107" s="3909"/>
      <c r="W107" s="3909"/>
      <c r="X107" s="3909"/>
      <c r="Y107" s="3909"/>
      <c r="Z107" s="3909"/>
      <c r="AA107" s="3910"/>
      <c r="AB107" s="105" t="s">
        <v>106</v>
      </c>
    </row>
    <row r="108" spans="1:32" ht="19.5" thickBot="1">
      <c r="A108" s="7" t="s">
        <v>274</v>
      </c>
      <c r="B108" s="88" t="s">
        <v>86</v>
      </c>
      <c r="C108" s="30" t="s">
        <v>91</v>
      </c>
      <c r="D108" s="30" t="s">
        <v>245</v>
      </c>
      <c r="E108" s="30" t="s">
        <v>238</v>
      </c>
      <c r="F108" s="30" t="s">
        <v>90</v>
      </c>
      <c r="G108" s="30" t="s">
        <v>85</v>
      </c>
      <c r="H108" s="2683" t="s">
        <v>123</v>
      </c>
      <c r="I108" s="61"/>
      <c r="J108" s="54"/>
      <c r="K108" s="88" t="s">
        <v>95</v>
      </c>
      <c r="L108" s="30" t="s">
        <v>94</v>
      </c>
      <c r="M108" s="30" t="s">
        <v>190</v>
      </c>
      <c r="N108" s="30" t="s">
        <v>53</v>
      </c>
      <c r="O108" s="30" t="s">
        <v>119</v>
      </c>
      <c r="P108" s="30" t="s">
        <v>101</v>
      </c>
      <c r="Q108" s="30" t="s">
        <v>92</v>
      </c>
      <c r="R108" s="2683" t="s">
        <v>124</v>
      </c>
      <c r="S108" s="54"/>
      <c r="T108" s="3223" t="s">
        <v>448</v>
      </c>
      <c r="U108" s="23"/>
      <c r="V108" s="23"/>
      <c r="W108" s="23"/>
      <c r="X108" s="95"/>
      <c r="Y108" s="104" t="s">
        <v>76</v>
      </c>
      <c r="Z108" s="23"/>
      <c r="AA108" s="23"/>
      <c r="AB108" s="18"/>
    </row>
    <row r="109" spans="1:32" ht="24" thickBot="1">
      <c r="A109" s="11" t="s">
        <v>151</v>
      </c>
      <c r="B109" s="32">
        <f>'Baby Chair'!E217</f>
        <v>560</v>
      </c>
      <c r="C109" s="32">
        <f>'Baby Chair'!F217</f>
        <v>0</v>
      </c>
      <c r="D109" s="32">
        <f>'Baby Chair'!G217</f>
        <v>0</v>
      </c>
      <c r="E109" s="32">
        <f>'Baby Chair'!H217</f>
        <v>0</v>
      </c>
      <c r="F109" s="32">
        <f>'Baby Chair'!I217</f>
        <v>0</v>
      </c>
      <c r="G109" s="32">
        <f>'Baby Chair'!J217</f>
        <v>0</v>
      </c>
      <c r="H109" s="32">
        <f>'Baby Chair'!K217</f>
        <v>160</v>
      </c>
      <c r="I109" s="32">
        <f>'Baby Chair'!L217</f>
        <v>0</v>
      </c>
      <c r="J109" s="70"/>
      <c r="K109" s="83">
        <f>'Baby Chair'!M217</f>
        <v>0</v>
      </c>
      <c r="L109" s="83">
        <f>'Baby Chair'!N217</f>
        <v>0</v>
      </c>
      <c r="M109" s="83">
        <f>'Baby Chair'!O217</f>
        <v>0</v>
      </c>
      <c r="N109" s="83">
        <f>'Baby Chair'!P217</f>
        <v>0</v>
      </c>
      <c r="O109" s="83">
        <f>'Baby Chair'!Q217</f>
        <v>0</v>
      </c>
      <c r="P109" s="83">
        <f>'Baby Chair'!R217</f>
        <v>0</v>
      </c>
      <c r="Q109" s="83">
        <f>'Baby Chair'!S217</f>
        <v>0</v>
      </c>
      <c r="R109" s="83">
        <f>'Baby Chair'!T217</f>
        <v>0</v>
      </c>
      <c r="S109" s="70"/>
      <c r="T109" s="83">
        <f>'Baby Chair'!V217</f>
        <v>0</v>
      </c>
      <c r="U109" s="83">
        <f>'Baby Chair'!W217</f>
        <v>0</v>
      </c>
      <c r="V109" s="83">
        <f>'Baby Chair'!X217</f>
        <v>0</v>
      </c>
      <c r="W109" s="83">
        <f>'Baby Chair'!Y217</f>
        <v>0</v>
      </c>
      <c r="X109" s="83">
        <f>'Baby Chair'!Z217</f>
        <v>0</v>
      </c>
      <c r="Y109" s="83">
        <f>'Baby Chair'!AA217</f>
        <v>0</v>
      </c>
      <c r="Z109" s="83">
        <f>'Baby Chair'!AB217</f>
        <v>0</v>
      </c>
      <c r="AA109" s="83">
        <f>'Baby Chair'!AC217</f>
        <v>0</v>
      </c>
      <c r="AB109" s="108">
        <f>SUM(B109:AA109)</f>
        <v>720</v>
      </c>
    </row>
    <row r="110" spans="1:32" ht="24" thickBot="1">
      <c r="A110" s="11" t="s">
        <v>146</v>
      </c>
      <c r="B110" s="39">
        <f t="shared" ref="B110:I110" si="42">B109/20</f>
        <v>28</v>
      </c>
      <c r="C110" s="39">
        <f t="shared" si="42"/>
        <v>0</v>
      </c>
      <c r="D110" s="39">
        <f t="shared" si="42"/>
        <v>0</v>
      </c>
      <c r="E110" s="39">
        <f t="shared" si="42"/>
        <v>0</v>
      </c>
      <c r="F110" s="39">
        <f t="shared" si="42"/>
        <v>0</v>
      </c>
      <c r="G110" s="39">
        <f t="shared" si="42"/>
        <v>0</v>
      </c>
      <c r="H110" s="39">
        <f t="shared" si="42"/>
        <v>8</v>
      </c>
      <c r="I110" s="39">
        <f t="shared" si="42"/>
        <v>0</v>
      </c>
      <c r="J110" s="77"/>
      <c r="K110" s="78">
        <f t="shared" ref="K110:R110" si="43">K109/20</f>
        <v>0</v>
      </c>
      <c r="L110" s="78">
        <f t="shared" si="43"/>
        <v>0</v>
      </c>
      <c r="M110" s="78">
        <f t="shared" si="43"/>
        <v>0</v>
      </c>
      <c r="N110" s="78">
        <f t="shared" si="43"/>
        <v>0</v>
      </c>
      <c r="O110" s="78">
        <f t="shared" si="43"/>
        <v>0</v>
      </c>
      <c r="P110" s="78">
        <f t="shared" si="43"/>
        <v>0</v>
      </c>
      <c r="Q110" s="78">
        <f t="shared" si="43"/>
        <v>0</v>
      </c>
      <c r="R110" s="78">
        <f t="shared" si="43"/>
        <v>0</v>
      </c>
      <c r="S110" s="77"/>
      <c r="T110" s="39">
        <f t="shared" ref="T110:AA110" si="44">T109/12</f>
        <v>0</v>
      </c>
      <c r="U110" s="39">
        <f t="shared" si="44"/>
        <v>0</v>
      </c>
      <c r="V110" s="39">
        <f t="shared" si="44"/>
        <v>0</v>
      </c>
      <c r="W110" s="39">
        <f t="shared" si="44"/>
        <v>0</v>
      </c>
      <c r="X110" s="39">
        <f t="shared" si="44"/>
        <v>0</v>
      </c>
      <c r="Y110" s="39">
        <f t="shared" si="44"/>
        <v>0</v>
      </c>
      <c r="Z110" s="39">
        <f t="shared" si="44"/>
        <v>0</v>
      </c>
      <c r="AA110" s="39">
        <f t="shared" si="44"/>
        <v>0</v>
      </c>
      <c r="AB110" s="109">
        <f>SUM(B110:AA110)</f>
        <v>36</v>
      </c>
      <c r="AF110" s="120"/>
    </row>
    <row r="111" spans="1:32" ht="24" thickBot="1">
      <c r="A111" s="37"/>
      <c r="B111" s="3911">
        <f>SUM(B109:I109)</f>
        <v>720</v>
      </c>
      <c r="C111" s="3912"/>
      <c r="D111" s="3912"/>
      <c r="E111" s="3912"/>
      <c r="F111" s="3912"/>
      <c r="G111" s="3912"/>
      <c r="H111" s="3912"/>
      <c r="I111" s="3913"/>
      <c r="J111" s="75"/>
      <c r="K111" s="3911">
        <f>SUM(K109:R109)</f>
        <v>0</v>
      </c>
      <c r="L111" s="3912"/>
      <c r="M111" s="3912"/>
      <c r="N111" s="3912"/>
      <c r="O111" s="3912"/>
      <c r="P111" s="3912"/>
      <c r="Q111" s="3912"/>
      <c r="R111" s="3913"/>
      <c r="S111" s="75"/>
      <c r="T111" s="3911">
        <f>T109:AA109</f>
        <v>0</v>
      </c>
      <c r="U111" s="3912"/>
      <c r="V111" s="3912"/>
      <c r="W111" s="3912"/>
      <c r="X111" s="3912"/>
      <c r="Y111" s="3912"/>
      <c r="Z111" s="3912"/>
      <c r="AA111" s="3913"/>
      <c r="AB111" s="1"/>
    </row>
    <row r="112" spans="1:32" ht="27" thickBot="1">
      <c r="A112" s="38"/>
      <c r="B112" s="3914">
        <f>SUM(B110:I110)</f>
        <v>36</v>
      </c>
      <c r="C112" s="3915"/>
      <c r="D112" s="3915"/>
      <c r="E112" s="3915"/>
      <c r="F112" s="3915"/>
      <c r="G112" s="3915"/>
      <c r="H112" s="3915"/>
      <c r="I112" s="3916"/>
      <c r="J112" s="76"/>
      <c r="K112" s="3914">
        <f>SUM(K110:R110)</f>
        <v>0</v>
      </c>
      <c r="L112" s="3915"/>
      <c r="M112" s="3915"/>
      <c r="N112" s="3915"/>
      <c r="O112" s="3915"/>
      <c r="P112" s="3915"/>
      <c r="Q112" s="3915"/>
      <c r="R112" s="3916"/>
      <c r="S112" s="76"/>
      <c r="T112" s="3914">
        <f>SUM(T110:AA110)</f>
        <v>0</v>
      </c>
      <c r="U112" s="3915"/>
      <c r="V112" s="3915"/>
      <c r="W112" s="3915"/>
      <c r="X112" s="3915"/>
      <c r="Y112" s="3915"/>
      <c r="Z112" s="3915"/>
      <c r="AA112" s="3916"/>
      <c r="AB112" s="1"/>
    </row>
    <row r="113" spans="1:32" ht="32.25" thickBot="1">
      <c r="A113" s="6"/>
      <c r="B113" s="3908" t="s">
        <v>187</v>
      </c>
      <c r="C113" s="3909"/>
      <c r="D113" s="3909"/>
      <c r="E113" s="3909"/>
      <c r="F113" s="3909"/>
      <c r="G113" s="3909"/>
      <c r="H113" s="3909"/>
      <c r="I113" s="3910"/>
      <c r="J113" s="52"/>
      <c r="K113" s="3908" t="s">
        <v>298</v>
      </c>
      <c r="L113" s="3909"/>
      <c r="M113" s="3909"/>
      <c r="N113" s="3909"/>
      <c r="O113" s="3909"/>
      <c r="P113" s="3909"/>
      <c r="Q113" s="3909"/>
      <c r="R113" s="3910"/>
      <c r="S113" s="52"/>
      <c r="T113" s="3908" t="s">
        <v>299</v>
      </c>
      <c r="U113" s="3909"/>
      <c r="V113" s="3909"/>
      <c r="W113" s="3909"/>
      <c r="X113" s="3909"/>
      <c r="Y113" s="3909"/>
      <c r="Z113" s="3909"/>
      <c r="AA113" s="3910"/>
      <c r="AB113" s="105" t="s">
        <v>106</v>
      </c>
    </row>
    <row r="114" spans="1:32" ht="19.5" thickBot="1">
      <c r="A114" s="7" t="s">
        <v>274</v>
      </c>
      <c r="B114" s="40" t="s">
        <v>96</v>
      </c>
      <c r="C114" s="41"/>
      <c r="D114" s="41" t="s">
        <v>92</v>
      </c>
      <c r="E114" s="41"/>
      <c r="F114" s="41" t="s">
        <v>85</v>
      </c>
      <c r="G114" s="41"/>
      <c r="H114" s="41" t="s">
        <v>86</v>
      </c>
      <c r="I114" s="98"/>
      <c r="J114" s="40"/>
      <c r="K114" s="40" t="s">
        <v>97</v>
      </c>
      <c r="L114" s="41" t="s">
        <v>170</v>
      </c>
      <c r="M114" s="41" t="s">
        <v>190</v>
      </c>
      <c r="N114" s="41" t="s">
        <v>206</v>
      </c>
      <c r="O114" s="41" t="s">
        <v>53</v>
      </c>
      <c r="P114" s="41" t="s">
        <v>222</v>
      </c>
      <c r="Q114" s="81" t="s">
        <v>94</v>
      </c>
      <c r="R114" s="90"/>
      <c r="S114" s="40"/>
      <c r="T114" s="40" t="s">
        <v>94</v>
      </c>
      <c r="U114" s="41" t="s">
        <v>53</v>
      </c>
      <c r="V114" s="41" t="s">
        <v>97</v>
      </c>
      <c r="W114" s="95" t="s">
        <v>190</v>
      </c>
      <c r="X114" s="169"/>
      <c r="Y114" s="97"/>
      <c r="Z114" s="177"/>
      <c r="AA114" s="90"/>
      <c r="AB114" s="18"/>
    </row>
    <row r="115" spans="1:32" ht="24" thickBot="1">
      <c r="A115" s="11" t="s">
        <v>151</v>
      </c>
      <c r="B115" s="32">
        <f>Innova!E256</f>
        <v>0</v>
      </c>
      <c r="C115" s="32">
        <f>Innova!F256</f>
        <v>0</v>
      </c>
      <c r="D115" s="32">
        <f>Innova!G256</f>
        <v>0</v>
      </c>
      <c r="E115" s="32">
        <f>Innova!H256</f>
        <v>0</v>
      </c>
      <c r="F115" s="32">
        <f>Innova!I256</f>
        <v>0</v>
      </c>
      <c r="G115" s="32">
        <f>Innova!J256</f>
        <v>0</v>
      </c>
      <c r="H115" s="32">
        <f>Innova!K256</f>
        <v>0</v>
      </c>
      <c r="I115" s="32"/>
      <c r="J115" s="70"/>
      <c r="K115" s="83">
        <f>Innova!M256</f>
        <v>0</v>
      </c>
      <c r="L115" s="83">
        <f>Innova!N256</f>
        <v>0</v>
      </c>
      <c r="M115" s="83">
        <f>Innova!O256</f>
        <v>0</v>
      </c>
      <c r="N115" s="83">
        <f>Innova!P256</f>
        <v>0</v>
      </c>
      <c r="O115" s="83">
        <f>Innova!Q256</f>
        <v>0</v>
      </c>
      <c r="P115" s="83">
        <f>Innova!R256</f>
        <v>0</v>
      </c>
      <c r="Q115" s="83">
        <f>Innova!S256</f>
        <v>0</v>
      </c>
      <c r="R115" s="83">
        <f>Innova!T256</f>
        <v>0</v>
      </c>
      <c r="S115" s="70"/>
      <c r="T115" s="83">
        <f>Innova!V256</f>
        <v>0</v>
      </c>
      <c r="U115" s="83">
        <f>Innova!W256</f>
        <v>0</v>
      </c>
      <c r="V115" s="83">
        <f>Innova!X256</f>
        <v>0</v>
      </c>
      <c r="W115" s="83">
        <f>Innova!Y256</f>
        <v>0</v>
      </c>
      <c r="X115" s="83">
        <f>Innova!Z256</f>
        <v>0</v>
      </c>
      <c r="Y115" s="83">
        <f>Innova!AA256</f>
        <v>0</v>
      </c>
      <c r="Z115" s="83">
        <f>Innova!AB256</f>
        <v>0</v>
      </c>
      <c r="AA115" s="83">
        <f>Innova!AC256</f>
        <v>0</v>
      </c>
      <c r="AB115" s="108">
        <f>SUM(B115:AA115)</f>
        <v>0</v>
      </c>
    </row>
    <row r="116" spans="1:32" ht="24" thickBot="1">
      <c r="A116" s="11" t="s">
        <v>146</v>
      </c>
      <c r="B116" s="39">
        <f t="shared" ref="B116:H116" si="45">B115/16</f>
        <v>0</v>
      </c>
      <c r="C116" s="39">
        <f t="shared" si="45"/>
        <v>0</v>
      </c>
      <c r="D116" s="39">
        <f t="shared" si="45"/>
        <v>0</v>
      </c>
      <c r="E116" s="39">
        <f t="shared" si="45"/>
        <v>0</v>
      </c>
      <c r="F116" s="39">
        <f t="shared" si="45"/>
        <v>0</v>
      </c>
      <c r="G116" s="39">
        <f t="shared" si="45"/>
        <v>0</v>
      </c>
      <c r="H116" s="39">
        <f t="shared" si="45"/>
        <v>0</v>
      </c>
      <c r="I116" s="39"/>
      <c r="J116" s="77"/>
      <c r="K116" s="78">
        <f t="shared" ref="K116:R116" si="46">K115/16</f>
        <v>0</v>
      </c>
      <c r="L116" s="78">
        <f t="shared" si="46"/>
        <v>0</v>
      </c>
      <c r="M116" s="78">
        <f t="shared" si="46"/>
        <v>0</v>
      </c>
      <c r="N116" s="78">
        <f t="shared" si="46"/>
        <v>0</v>
      </c>
      <c r="O116" s="78">
        <f t="shared" si="46"/>
        <v>0</v>
      </c>
      <c r="P116" s="78">
        <f t="shared" si="46"/>
        <v>0</v>
      </c>
      <c r="Q116" s="78">
        <f t="shared" si="46"/>
        <v>0</v>
      </c>
      <c r="R116" s="78">
        <f t="shared" si="46"/>
        <v>0</v>
      </c>
      <c r="S116" s="77"/>
      <c r="T116" s="39">
        <f t="shared" ref="T116:AA116" si="47">T115/16</f>
        <v>0</v>
      </c>
      <c r="U116" s="39">
        <f t="shared" si="47"/>
        <v>0</v>
      </c>
      <c r="V116" s="39">
        <f t="shared" si="47"/>
        <v>0</v>
      </c>
      <c r="W116" s="39">
        <f t="shared" si="47"/>
        <v>0</v>
      </c>
      <c r="X116" s="39">
        <f t="shared" si="47"/>
        <v>0</v>
      </c>
      <c r="Y116" s="39">
        <f t="shared" si="47"/>
        <v>0</v>
      </c>
      <c r="Z116" s="39">
        <f t="shared" si="47"/>
        <v>0</v>
      </c>
      <c r="AA116" s="39">
        <f t="shared" si="47"/>
        <v>0</v>
      </c>
      <c r="AB116" s="108">
        <f>SUM(B116:AA116)</f>
        <v>0</v>
      </c>
      <c r="AF116" s="120"/>
    </row>
    <row r="117" spans="1:32" ht="24" thickBot="1">
      <c r="A117" s="37"/>
      <c r="B117" s="3911">
        <f>SUM(B115:I115)</f>
        <v>0</v>
      </c>
      <c r="C117" s="3912"/>
      <c r="D117" s="3912"/>
      <c r="E117" s="3912"/>
      <c r="F117" s="3912"/>
      <c r="G117" s="3912"/>
      <c r="H117" s="3912"/>
      <c r="I117" s="3913"/>
      <c r="J117" s="75"/>
      <c r="K117" s="3911">
        <f>SUM(K115:R115)</f>
        <v>0</v>
      </c>
      <c r="L117" s="3912"/>
      <c r="M117" s="3912"/>
      <c r="N117" s="3912"/>
      <c r="O117" s="3912"/>
      <c r="P117" s="3912"/>
      <c r="Q117" s="3912"/>
      <c r="R117" s="3913"/>
      <c r="S117" s="75"/>
      <c r="T117" s="3911">
        <f>SUM(T115:AA115)</f>
        <v>0</v>
      </c>
      <c r="U117" s="3912"/>
      <c r="V117" s="3912"/>
      <c r="W117" s="3912"/>
      <c r="X117" s="3912"/>
      <c r="Y117" s="3912"/>
      <c r="Z117" s="3912"/>
      <c r="AA117" s="3913"/>
      <c r="AB117" s="1"/>
    </row>
    <row r="118" spans="1:32" ht="27" thickBot="1">
      <c r="A118" s="38"/>
      <c r="B118" s="3914">
        <f>SUM(B116:I116)</f>
        <v>0</v>
      </c>
      <c r="C118" s="3915"/>
      <c r="D118" s="3915"/>
      <c r="E118" s="3915"/>
      <c r="F118" s="3915"/>
      <c r="G118" s="3915"/>
      <c r="H118" s="3915"/>
      <c r="I118" s="3916"/>
      <c r="J118" s="76"/>
      <c r="K118" s="3914">
        <f>SUM(K116:R116)</f>
        <v>0</v>
      </c>
      <c r="L118" s="3915"/>
      <c r="M118" s="3915"/>
      <c r="N118" s="3915"/>
      <c r="O118" s="3915"/>
      <c r="P118" s="3915"/>
      <c r="Q118" s="3915"/>
      <c r="R118" s="3916"/>
      <c r="S118" s="76"/>
      <c r="T118" s="3914">
        <f>SUM(T116:AA116)</f>
        <v>0</v>
      </c>
      <c r="U118" s="3915"/>
      <c r="V118" s="3915"/>
      <c r="W118" s="3915"/>
      <c r="X118" s="3915"/>
      <c r="Y118" s="3915"/>
      <c r="Z118" s="3915"/>
      <c r="AA118" s="3916"/>
      <c r="AB118" s="1"/>
    </row>
    <row r="119" spans="1:32" s="3" customFormat="1" ht="27" thickBot="1">
      <c r="A119" s="45"/>
      <c r="B119" s="46"/>
      <c r="C119" s="47"/>
      <c r="D119" s="47"/>
      <c r="E119" s="47"/>
      <c r="F119" s="47"/>
      <c r="G119" s="47"/>
      <c r="H119" s="47"/>
      <c r="I119" s="47"/>
      <c r="J119" s="82"/>
      <c r="K119" s="46"/>
      <c r="L119" s="47"/>
      <c r="M119" s="47"/>
      <c r="N119" s="47"/>
      <c r="O119" s="47"/>
      <c r="P119" s="47"/>
      <c r="Q119" s="47"/>
      <c r="R119" s="47"/>
      <c r="S119" s="82"/>
      <c r="T119" s="46"/>
      <c r="U119" s="47"/>
      <c r="V119" s="47"/>
      <c r="W119" s="47"/>
      <c r="X119" s="47"/>
      <c r="Y119" s="47"/>
      <c r="Z119" s="47"/>
      <c r="AA119" s="47"/>
      <c r="AB119" s="123"/>
      <c r="AE119" s="124"/>
    </row>
    <row r="120" spans="1:32" ht="32.25" thickBot="1">
      <c r="A120" s="6"/>
      <c r="B120" s="3908" t="s">
        <v>300</v>
      </c>
      <c r="C120" s="3909"/>
      <c r="D120" s="3909"/>
      <c r="E120" s="3909"/>
      <c r="F120" s="3909"/>
      <c r="G120" s="3909"/>
      <c r="H120" s="3909"/>
      <c r="I120" s="3910"/>
      <c r="J120" s="52"/>
      <c r="K120" s="3908" t="s">
        <v>301</v>
      </c>
      <c r="L120" s="3909"/>
      <c r="M120" s="3909"/>
      <c r="N120" s="3909"/>
      <c r="O120" s="3909"/>
      <c r="P120" s="3909"/>
      <c r="Q120" s="3909"/>
      <c r="R120" s="3910"/>
      <c r="S120" s="52"/>
      <c r="T120" s="3908" t="s">
        <v>302</v>
      </c>
      <c r="U120" s="3909"/>
      <c r="V120" s="3909"/>
      <c r="W120" s="3909"/>
      <c r="X120" s="3909"/>
      <c r="Y120" s="3909"/>
      <c r="Z120" s="3909"/>
      <c r="AA120" s="3910"/>
      <c r="AB120" s="105" t="s">
        <v>106</v>
      </c>
    </row>
    <row r="121" spans="1:32" ht="19.5" thickBot="1">
      <c r="A121" s="7" t="s">
        <v>274</v>
      </c>
      <c r="B121" s="40" t="s">
        <v>190</v>
      </c>
      <c r="C121" s="41" t="s">
        <v>94</v>
      </c>
      <c r="D121" s="41" t="s">
        <v>53</v>
      </c>
      <c r="E121" s="41" t="s">
        <v>136</v>
      </c>
      <c r="F121" s="41" t="s">
        <v>76</v>
      </c>
      <c r="G121" s="41" t="s">
        <v>206</v>
      </c>
      <c r="H121" s="81" t="s">
        <v>272</v>
      </c>
      <c r="I121" s="98"/>
      <c r="J121" s="40"/>
      <c r="K121" s="40" t="s">
        <v>222</v>
      </c>
      <c r="L121" s="41" t="s">
        <v>490</v>
      </c>
      <c r="M121" s="41" t="s">
        <v>251</v>
      </c>
      <c r="N121" s="41" t="s">
        <v>53</v>
      </c>
      <c r="O121" s="41" t="s">
        <v>94</v>
      </c>
      <c r="P121" s="41" t="s">
        <v>206</v>
      </c>
      <c r="Q121" s="81" t="s">
        <v>101</v>
      </c>
      <c r="R121" s="90" t="s">
        <v>86</v>
      </c>
      <c r="S121" s="40"/>
      <c r="T121" s="172" t="s">
        <v>270</v>
      </c>
      <c r="U121" s="103" t="s">
        <v>94</v>
      </c>
      <c r="V121" s="103" t="s">
        <v>53</v>
      </c>
      <c r="W121" s="103" t="s">
        <v>206</v>
      </c>
      <c r="X121" s="103" t="s">
        <v>269</v>
      </c>
      <c r="Y121" s="103" t="s">
        <v>96</v>
      </c>
      <c r="Z121" s="179" t="s">
        <v>92</v>
      </c>
      <c r="AA121" s="180" t="s">
        <v>101</v>
      </c>
      <c r="AB121" s="18"/>
    </row>
    <row r="122" spans="1:32" ht="24" thickBot="1">
      <c r="A122" s="11" t="s">
        <v>151</v>
      </c>
      <c r="B122" s="32">
        <f>'Dining Table'!E215</f>
        <v>91</v>
      </c>
      <c r="C122" s="32">
        <f>'Dining Table'!F215</f>
        <v>172</v>
      </c>
      <c r="D122" s="32">
        <f>'Dining Table'!G215</f>
        <v>492</v>
      </c>
      <c r="E122" s="32">
        <f>'Dining Table'!H215</f>
        <v>70</v>
      </c>
      <c r="F122" s="32">
        <f>'Dining Table'!I215</f>
        <v>0</v>
      </c>
      <c r="G122" s="32">
        <f>'Dining Table'!J215</f>
        <v>0</v>
      </c>
      <c r="H122" s="32">
        <f>'Dining Table'!K215</f>
        <v>0</v>
      </c>
      <c r="I122" s="3053"/>
      <c r="J122" s="70"/>
      <c r="K122" s="83">
        <f>'Dining Table'!M215</f>
        <v>0</v>
      </c>
      <c r="L122" s="83">
        <f>'Dining Table'!N215</f>
        <v>0</v>
      </c>
      <c r="M122" s="83">
        <f>'Dining Table'!O215</f>
        <v>0</v>
      </c>
      <c r="N122" s="83">
        <f>'Dining Table'!P215</f>
        <v>0</v>
      </c>
      <c r="O122" s="83">
        <f>'Dining Table'!Q215</f>
        <v>0</v>
      </c>
      <c r="P122" s="83">
        <f>'Dining Table'!R215</f>
        <v>0</v>
      </c>
      <c r="Q122" s="83">
        <f>'Dining Table'!S215</f>
        <v>0</v>
      </c>
      <c r="R122" s="83">
        <f>'Dining Table'!T215</f>
        <v>0</v>
      </c>
      <c r="S122" s="70"/>
      <c r="T122" s="83">
        <f>'Dining Table'!V215</f>
        <v>64</v>
      </c>
      <c r="U122" s="83">
        <f>'Dining Table'!W215</f>
        <v>0</v>
      </c>
      <c r="V122" s="83">
        <f>'Dining Table'!X215</f>
        <v>266</v>
      </c>
      <c r="W122" s="83">
        <f>'Dining Table'!Y215</f>
        <v>0</v>
      </c>
      <c r="X122" s="83">
        <f>'Dining Table'!Z215</f>
        <v>0</v>
      </c>
      <c r="Y122" s="83">
        <f>'Dining Table'!AA215</f>
        <v>1</v>
      </c>
      <c r="Z122" s="83">
        <f>'Dining Table'!AB215</f>
        <v>194</v>
      </c>
      <c r="AA122" s="83">
        <f>'Dining Table'!AC215</f>
        <v>510</v>
      </c>
      <c r="AB122" s="108">
        <f>SUM(B122:AA122)</f>
        <v>1860</v>
      </c>
    </row>
    <row r="123" spans="1:32" ht="24" thickBot="1">
      <c r="A123" s="11" t="s">
        <v>146</v>
      </c>
      <c r="B123" s="39">
        <f t="shared" ref="B123:H123" si="48">B122/16</f>
        <v>5.6875</v>
      </c>
      <c r="C123" s="39">
        <f t="shared" si="48"/>
        <v>10.75</v>
      </c>
      <c r="D123" s="39">
        <f t="shared" si="48"/>
        <v>30.75</v>
      </c>
      <c r="E123" s="39">
        <f t="shared" si="48"/>
        <v>4.375</v>
      </c>
      <c r="F123" s="39">
        <f t="shared" si="48"/>
        <v>0</v>
      </c>
      <c r="G123" s="39">
        <f t="shared" si="48"/>
        <v>0</v>
      </c>
      <c r="H123" s="39">
        <f t="shared" si="48"/>
        <v>0</v>
      </c>
      <c r="I123" s="2717"/>
      <c r="J123" s="77"/>
      <c r="K123" s="78">
        <f t="shared" ref="K123:R123" si="49">K122/16</f>
        <v>0</v>
      </c>
      <c r="L123" s="78">
        <f t="shared" si="49"/>
        <v>0</v>
      </c>
      <c r="M123" s="78">
        <f t="shared" si="49"/>
        <v>0</v>
      </c>
      <c r="N123" s="78">
        <f t="shared" si="49"/>
        <v>0</v>
      </c>
      <c r="O123" s="78">
        <f t="shared" si="49"/>
        <v>0</v>
      </c>
      <c r="P123" s="78">
        <f t="shared" si="49"/>
        <v>0</v>
      </c>
      <c r="Q123" s="78">
        <f t="shared" si="49"/>
        <v>0</v>
      </c>
      <c r="R123" s="78">
        <f t="shared" si="49"/>
        <v>0</v>
      </c>
      <c r="S123" s="77"/>
      <c r="T123" s="39">
        <f t="shared" ref="T123:AA123" si="50">T122/16</f>
        <v>4</v>
      </c>
      <c r="U123" s="39">
        <f t="shared" si="50"/>
        <v>0</v>
      </c>
      <c r="V123" s="39">
        <f t="shared" si="50"/>
        <v>16.625</v>
      </c>
      <c r="W123" s="39">
        <f t="shared" si="50"/>
        <v>0</v>
      </c>
      <c r="X123" s="39">
        <f t="shared" si="50"/>
        <v>0</v>
      </c>
      <c r="Y123" s="39">
        <f t="shared" si="50"/>
        <v>6.25E-2</v>
      </c>
      <c r="Z123" s="39">
        <f t="shared" si="50"/>
        <v>12.125</v>
      </c>
      <c r="AA123" s="39">
        <f t="shared" si="50"/>
        <v>31.875</v>
      </c>
      <c r="AB123" s="108">
        <f>'Dining Table'!AE216</f>
        <v>93</v>
      </c>
      <c r="AF123" s="120"/>
    </row>
    <row r="124" spans="1:32" ht="24" thickBot="1">
      <c r="A124" s="37"/>
      <c r="B124" s="3911">
        <f>SUM(B122:I122)</f>
        <v>825</v>
      </c>
      <c r="C124" s="3912"/>
      <c r="D124" s="3912"/>
      <c r="E124" s="3912"/>
      <c r="F124" s="3912"/>
      <c r="G124" s="3912"/>
      <c r="H124" s="3912"/>
      <c r="I124" s="3913"/>
      <c r="J124" s="75"/>
      <c r="K124" s="3911">
        <f>SUM(K122:R122)</f>
        <v>0</v>
      </c>
      <c r="L124" s="3912"/>
      <c r="M124" s="3912"/>
      <c r="N124" s="3912"/>
      <c r="O124" s="3912"/>
      <c r="P124" s="3912"/>
      <c r="Q124" s="3912"/>
      <c r="R124" s="3913"/>
      <c r="S124" s="75"/>
      <c r="T124" s="3911">
        <f>SUM(T122:AA122)</f>
        <v>1035</v>
      </c>
      <c r="U124" s="3912"/>
      <c r="V124" s="3912"/>
      <c r="W124" s="3912"/>
      <c r="X124" s="3912"/>
      <c r="Y124" s="3912"/>
      <c r="Z124" s="3912"/>
      <c r="AA124" s="3913"/>
      <c r="AB124" s="1"/>
    </row>
    <row r="125" spans="1:32" ht="27" thickBot="1">
      <c r="A125" s="38"/>
      <c r="B125" s="3914">
        <f>SUM(B123:I123)</f>
        <v>51.5625</v>
      </c>
      <c r="C125" s="3915"/>
      <c r="D125" s="3915"/>
      <c r="E125" s="3915"/>
      <c r="F125" s="3915"/>
      <c r="G125" s="3915"/>
      <c r="H125" s="3915"/>
      <c r="I125" s="3916"/>
      <c r="J125" s="76"/>
      <c r="K125" s="3914">
        <f>SUM(K123:R123)</f>
        <v>0</v>
      </c>
      <c r="L125" s="3915"/>
      <c r="M125" s="3915"/>
      <c r="N125" s="3915"/>
      <c r="O125" s="3915"/>
      <c r="P125" s="3915"/>
      <c r="Q125" s="3915"/>
      <c r="R125" s="3916"/>
      <c r="S125" s="76"/>
      <c r="T125" s="3914">
        <f>SUM(T123:AA123)</f>
        <v>64.6875</v>
      </c>
      <c r="U125" s="3915"/>
      <c r="V125" s="3915"/>
      <c r="W125" s="3915"/>
      <c r="X125" s="3915"/>
      <c r="Y125" s="3915"/>
      <c r="Z125" s="3915"/>
      <c r="AA125" s="3916"/>
      <c r="AB125" s="1"/>
    </row>
    <row r="126" spans="1:32" ht="34.5" thickBot="1">
      <c r="A126" s="127"/>
      <c r="B126" s="3928" t="s">
        <v>303</v>
      </c>
      <c r="C126" s="3929"/>
      <c r="D126" s="3929"/>
      <c r="E126" s="3929"/>
      <c r="F126" s="3929"/>
      <c r="G126" s="3929"/>
      <c r="H126" s="3929"/>
      <c r="I126" s="3929"/>
      <c r="J126" s="3929"/>
      <c r="K126" s="3929"/>
      <c r="L126" s="3929"/>
      <c r="M126" s="3929"/>
      <c r="N126" s="3929"/>
      <c r="O126" s="3929"/>
      <c r="P126" s="3929"/>
      <c r="Q126" s="3930"/>
      <c r="R126" s="105" t="s">
        <v>106</v>
      </c>
      <c r="S126" s="156"/>
    </row>
    <row r="127" spans="1:32" ht="19.5" thickBot="1">
      <c r="A127" s="128" t="s">
        <v>274</v>
      </c>
      <c r="B127" s="129" t="s">
        <v>71</v>
      </c>
      <c r="C127" s="880" t="s">
        <v>230</v>
      </c>
      <c r="D127" s="131" t="s">
        <v>476</v>
      </c>
      <c r="E127" s="130" t="s">
        <v>77</v>
      </c>
      <c r="F127" s="130" t="s">
        <v>136</v>
      </c>
      <c r="G127" s="130" t="s">
        <v>214</v>
      </c>
      <c r="H127" s="132" t="s">
        <v>53</v>
      </c>
      <c r="I127" s="132" t="s">
        <v>239</v>
      </c>
      <c r="J127" s="156"/>
      <c r="K127" s="129" t="s">
        <v>193</v>
      </c>
      <c r="L127" s="157" t="s">
        <v>504</v>
      </c>
      <c r="M127" s="157" t="s">
        <v>92</v>
      </c>
      <c r="N127" s="157" t="s">
        <v>194</v>
      </c>
      <c r="O127" s="130" t="s">
        <v>304</v>
      </c>
      <c r="P127" s="130" t="s">
        <v>91</v>
      </c>
      <c r="Q127" s="132" t="s">
        <v>206</v>
      </c>
      <c r="R127" s="18"/>
      <c r="S127" s="159"/>
    </row>
    <row r="128" spans="1:32" ht="29.25" thickBot="1">
      <c r="A128" s="128" t="s">
        <v>151</v>
      </c>
      <c r="B128" s="133">
        <f>'Tea Table'!E285</f>
        <v>600</v>
      </c>
      <c r="C128" s="134">
        <f>'Tea Table'!F285</f>
        <v>0</v>
      </c>
      <c r="D128" s="134">
        <f>'Tea Table'!M285</f>
        <v>0</v>
      </c>
      <c r="E128" s="134">
        <f>'Tea Table'!R285</f>
        <v>1164</v>
      </c>
      <c r="F128" s="134">
        <f>'Tea Table'!Q285</f>
        <v>0</v>
      </c>
      <c r="G128" s="134">
        <f>'Tea Table'!P285</f>
        <v>660</v>
      </c>
      <c r="H128" s="134">
        <f>'Tea Table'!S285</f>
        <v>-168</v>
      </c>
      <c r="I128" s="158">
        <f>'Tea Table'!N285</f>
        <v>-96</v>
      </c>
      <c r="J128" s="159"/>
      <c r="K128" s="133">
        <f>'Tea Table'!H285</f>
        <v>0</v>
      </c>
      <c r="L128" s="134">
        <f>'Tea Table'!I285</f>
        <v>0</v>
      </c>
      <c r="M128" s="134">
        <f>'Tea Table'!J285</f>
        <v>0</v>
      </c>
      <c r="N128" s="134">
        <f>'Tea Table'!K285</f>
        <v>0</v>
      </c>
      <c r="O128" s="134">
        <f>'Tea Table'!O285</f>
        <v>0</v>
      </c>
      <c r="P128" s="134">
        <f>'Tea Table'!G285</f>
        <v>0</v>
      </c>
      <c r="Q128" s="158">
        <f>'Tea Table'!L285</f>
        <v>516</v>
      </c>
      <c r="R128" s="109">
        <f>SUM(B128:Q128)</f>
        <v>2676</v>
      </c>
      <c r="S128" s="159"/>
      <c r="V128" s="3934" t="s">
        <v>305</v>
      </c>
      <c r="W128" s="3935"/>
      <c r="X128" s="3936"/>
      <c r="Y128" s="181">
        <f>AB5+AB12+AB19+AB26+AB39+AB53+AB60+AB74+AB88+AB95+AB109+T97+AB81+AB115+AB122+R128+R132</f>
        <v>40944</v>
      </c>
    </row>
    <row r="129" spans="1:28" ht="29.25" thickBot="1">
      <c r="A129" s="135" t="s">
        <v>146</v>
      </c>
      <c r="B129" s="27">
        <f t="shared" ref="B129:I129" si="51">B128/12</f>
        <v>50</v>
      </c>
      <c r="C129" s="28">
        <f t="shared" si="51"/>
        <v>0</v>
      </c>
      <c r="D129" s="28">
        <f t="shared" si="51"/>
        <v>0</v>
      </c>
      <c r="E129" s="28">
        <f t="shared" si="51"/>
        <v>97</v>
      </c>
      <c r="F129" s="28">
        <f t="shared" si="51"/>
        <v>0</v>
      </c>
      <c r="G129" s="28">
        <f t="shared" si="51"/>
        <v>55</v>
      </c>
      <c r="H129" s="28">
        <f t="shared" si="51"/>
        <v>-14</v>
      </c>
      <c r="I129" s="160">
        <f t="shared" si="51"/>
        <v>-8</v>
      </c>
      <c r="J129" s="161"/>
      <c r="K129" s="27">
        <f t="shared" ref="K129:Q129" si="52">K128/12</f>
        <v>0</v>
      </c>
      <c r="L129" s="28">
        <f t="shared" si="52"/>
        <v>0</v>
      </c>
      <c r="M129" s="28">
        <f t="shared" si="52"/>
        <v>0</v>
      </c>
      <c r="N129" s="28">
        <f t="shared" si="52"/>
        <v>0</v>
      </c>
      <c r="O129" s="28">
        <f t="shared" si="52"/>
        <v>0</v>
      </c>
      <c r="P129" s="28">
        <f t="shared" si="52"/>
        <v>0</v>
      </c>
      <c r="Q129" s="173">
        <f t="shared" si="52"/>
        <v>43</v>
      </c>
      <c r="R129" s="109">
        <f>SUM(B129:Q129)</f>
        <v>223</v>
      </c>
      <c r="S129" s="161"/>
      <c r="V129" s="3934" t="s">
        <v>306</v>
      </c>
      <c r="W129" s="3935"/>
      <c r="X129" s="3936"/>
      <c r="Y129" s="182">
        <f>AB6+AB13+AB20+AB27+AB40+AB54+AB61+AB75+AB89+AB96+AB110+AB82+AB116+R129+R133</f>
        <v>2692.2</v>
      </c>
    </row>
    <row r="130" spans="1:28" ht="34.5" thickBot="1">
      <c r="A130" s="127"/>
      <c r="B130" s="3928" t="s">
        <v>307</v>
      </c>
      <c r="C130" s="3929"/>
      <c r="D130" s="3929"/>
      <c r="E130" s="3929"/>
      <c r="F130" s="3929"/>
      <c r="G130" s="3929"/>
      <c r="H130" s="3929"/>
      <c r="I130" s="3929"/>
      <c r="J130" s="3929"/>
      <c r="K130" s="3929"/>
      <c r="L130" s="3929"/>
      <c r="M130" s="3929"/>
      <c r="N130" s="3929"/>
      <c r="O130" s="3929"/>
      <c r="P130" s="3929"/>
      <c r="Q130" s="3930"/>
      <c r="R130" s="105" t="s">
        <v>106</v>
      </c>
      <c r="S130" s="156"/>
    </row>
    <row r="131" spans="1:28" ht="19.5" thickBot="1">
      <c r="A131" s="128" t="s">
        <v>274</v>
      </c>
      <c r="B131" s="136" t="s">
        <v>71</v>
      </c>
      <c r="C131" s="89" t="s">
        <v>178</v>
      </c>
      <c r="D131" s="89" t="s">
        <v>75</v>
      </c>
      <c r="E131" s="89" t="s">
        <v>195</v>
      </c>
      <c r="F131" s="89" t="s">
        <v>196</v>
      </c>
      <c r="G131" s="89" t="s">
        <v>94</v>
      </c>
      <c r="H131" s="137" t="s">
        <v>77</v>
      </c>
      <c r="I131" s="162" t="s">
        <v>53</v>
      </c>
      <c r="J131" s="156"/>
      <c r="K131" s="89" t="s">
        <v>101</v>
      </c>
      <c r="L131" s="163" t="s">
        <v>193</v>
      </c>
      <c r="M131" s="163" t="s">
        <v>97</v>
      </c>
      <c r="N131" s="163" t="s">
        <v>92</v>
      </c>
      <c r="O131" s="163" t="s">
        <v>194</v>
      </c>
      <c r="P131" s="89" t="s">
        <v>86</v>
      </c>
      <c r="Q131" s="132" t="s">
        <v>95</v>
      </c>
      <c r="R131" s="18"/>
      <c r="S131" s="159"/>
    </row>
    <row r="132" spans="1:28" ht="24" thickBot="1">
      <c r="A132" s="128" t="s">
        <v>151</v>
      </c>
      <c r="B132" s="133">
        <f>Sumo!E252</f>
        <v>0</v>
      </c>
      <c r="C132" s="133">
        <f>Sumo!F252</f>
        <v>0</v>
      </c>
      <c r="D132" s="133">
        <f>Sumo!P252</f>
        <v>288</v>
      </c>
      <c r="E132" s="133">
        <f>Sumo!L252</f>
        <v>0</v>
      </c>
      <c r="F132" s="133">
        <f>Sumo!M252</f>
        <v>0</v>
      </c>
      <c r="G132" s="133">
        <f>Sumo!N252</f>
        <v>512</v>
      </c>
      <c r="H132" s="133">
        <f>Sumo!R252</f>
        <v>0</v>
      </c>
      <c r="I132" s="133">
        <f>Sumo!S252</f>
        <v>1232</v>
      </c>
      <c r="J132" s="159"/>
      <c r="K132" s="133">
        <f>Sumo!G252</f>
        <v>0</v>
      </c>
      <c r="L132" s="133">
        <f>Sumo!H252</f>
        <v>0</v>
      </c>
      <c r="M132" s="133">
        <f>Sumo!I252</f>
        <v>0</v>
      </c>
      <c r="N132" s="133">
        <f>Sumo!J252</f>
        <v>0</v>
      </c>
      <c r="O132" s="133">
        <f>Sumo!K252</f>
        <v>0</v>
      </c>
      <c r="P132" s="133">
        <f>Sumo!O252</f>
        <v>0</v>
      </c>
      <c r="Q132" s="133">
        <f>Sumo!Q252</f>
        <v>0</v>
      </c>
      <c r="R132" s="109">
        <f>SUM(B132:Q132)</f>
        <v>2032</v>
      </c>
      <c r="S132" s="159"/>
    </row>
    <row r="133" spans="1:28" ht="24" thickBot="1">
      <c r="A133" s="135" t="s">
        <v>146</v>
      </c>
      <c r="B133" s="27">
        <f t="shared" ref="B133:I133" si="53">B132/16</f>
        <v>0</v>
      </c>
      <c r="C133" s="27">
        <f t="shared" si="53"/>
        <v>0</v>
      </c>
      <c r="D133" s="27">
        <f t="shared" si="53"/>
        <v>18</v>
      </c>
      <c r="E133" s="27">
        <f t="shared" si="53"/>
        <v>0</v>
      </c>
      <c r="F133" s="27">
        <f t="shared" si="53"/>
        <v>0</v>
      </c>
      <c r="G133" s="27">
        <f t="shared" si="53"/>
        <v>32</v>
      </c>
      <c r="H133" s="27">
        <f t="shared" si="53"/>
        <v>0</v>
      </c>
      <c r="I133" s="27">
        <f t="shared" si="53"/>
        <v>77</v>
      </c>
      <c r="J133" s="161"/>
      <c r="K133" s="27">
        <f t="shared" ref="K133:Q133" si="54">K132/16</f>
        <v>0</v>
      </c>
      <c r="L133" s="27">
        <f t="shared" si="54"/>
        <v>0</v>
      </c>
      <c r="M133" s="27">
        <f t="shared" si="54"/>
        <v>0</v>
      </c>
      <c r="N133" s="27">
        <f t="shared" si="54"/>
        <v>0</v>
      </c>
      <c r="O133" s="27">
        <f t="shared" si="54"/>
        <v>0</v>
      </c>
      <c r="P133" s="27">
        <f t="shared" si="54"/>
        <v>0</v>
      </c>
      <c r="Q133" s="27">
        <f t="shared" si="54"/>
        <v>0</v>
      </c>
      <c r="R133" s="109">
        <f>SUM(B133:Q133)</f>
        <v>127</v>
      </c>
      <c r="S133" s="161"/>
    </row>
    <row r="134" spans="1:28" ht="39" customHeight="1" thickBot="1">
      <c r="A134" s="6"/>
      <c r="B134" s="3908" t="s">
        <v>608</v>
      </c>
      <c r="C134" s="3909"/>
      <c r="D134" s="3909"/>
      <c r="E134" s="3909"/>
      <c r="F134" s="3909"/>
      <c r="G134" s="3909"/>
      <c r="H134" s="3909"/>
      <c r="I134" s="3910"/>
      <c r="J134" s="52"/>
      <c r="K134" s="3908"/>
      <c r="L134" s="3909"/>
      <c r="M134" s="3909"/>
      <c r="N134" s="3909"/>
      <c r="O134" s="3909"/>
      <c r="P134" s="3909"/>
      <c r="Q134" s="3909"/>
      <c r="R134" s="3910"/>
      <c r="S134" s="52"/>
      <c r="T134" s="3908"/>
      <c r="U134" s="3909"/>
      <c r="V134" s="3909"/>
      <c r="W134" s="3909"/>
      <c r="X134" s="3909"/>
      <c r="Y134" s="3909"/>
      <c r="Z134" s="3909"/>
      <c r="AA134" s="3910"/>
      <c r="AB134" s="105" t="s">
        <v>106</v>
      </c>
    </row>
    <row r="135" spans="1:28" ht="19.5" thickBot="1">
      <c r="A135" s="7" t="s">
        <v>274</v>
      </c>
      <c r="B135" s="80" t="s">
        <v>86</v>
      </c>
      <c r="C135" s="49" t="s">
        <v>91</v>
      </c>
      <c r="D135" s="49" t="s">
        <v>245</v>
      </c>
      <c r="E135" s="49" t="s">
        <v>238</v>
      </c>
      <c r="F135" s="49" t="s">
        <v>90</v>
      </c>
      <c r="G135" s="49" t="s">
        <v>85</v>
      </c>
      <c r="H135" s="126" t="s">
        <v>123</v>
      </c>
      <c r="I135" s="2556"/>
      <c r="J135" s="54"/>
      <c r="K135" s="80" t="s">
        <v>95</v>
      </c>
      <c r="L135" s="49" t="s">
        <v>94</v>
      </c>
      <c r="M135" s="49" t="s">
        <v>190</v>
      </c>
      <c r="N135" s="49" t="s">
        <v>123</v>
      </c>
      <c r="O135" s="49" t="s">
        <v>119</v>
      </c>
      <c r="P135" s="49" t="s">
        <v>101</v>
      </c>
      <c r="Q135" s="49" t="s">
        <v>92</v>
      </c>
      <c r="R135" s="126" t="s">
        <v>124</v>
      </c>
      <c r="S135" s="79"/>
      <c r="T135" s="99"/>
      <c r="U135" s="716"/>
      <c r="V135" s="104"/>
      <c r="W135" s="103"/>
      <c r="X135" s="104"/>
      <c r="Y135" s="104" t="s">
        <v>76</v>
      </c>
      <c r="Z135" s="121"/>
      <c r="AA135" s="717"/>
      <c r="AB135" s="18"/>
    </row>
    <row r="136" spans="1:28" ht="24" thickBot="1">
      <c r="A136" s="11" t="s">
        <v>151</v>
      </c>
      <c r="B136" s="32">
        <f>' BABA CHAIR 1'!E219</f>
        <v>20</v>
      </c>
      <c r="C136" s="33">
        <f>' BABA CHAIR 1'!F219</f>
        <v>360</v>
      </c>
      <c r="D136" s="33">
        <f>' BABA CHAIR 1'!G219</f>
        <v>2520</v>
      </c>
      <c r="E136" s="33">
        <f>' BABA CHAIR 1'!H219</f>
        <v>820</v>
      </c>
      <c r="F136" s="33">
        <f>' BABA CHAIR 1'!I219</f>
        <v>0</v>
      </c>
      <c r="G136" s="33">
        <f>' BABA CHAIR 1'!J219</f>
        <v>0</v>
      </c>
      <c r="H136" s="33">
        <f>' BABA CHAIR 1'!K219</f>
        <v>20</v>
      </c>
      <c r="I136" s="69"/>
      <c r="J136" s="70"/>
      <c r="K136" s="12">
        <f>' BABA CHAIR 1'!M219</f>
        <v>0</v>
      </c>
      <c r="L136" s="13">
        <f>' BABA CHAIR 1'!N219</f>
        <v>0</v>
      </c>
      <c r="M136" s="13">
        <f>' BABA CHAIR 1'!O219</f>
        <v>0</v>
      </c>
      <c r="N136" s="13">
        <f>' BABA CHAIR 1'!P219</f>
        <v>0</v>
      </c>
      <c r="O136" s="13">
        <f>' BABA CHAIR 1'!Q219</f>
        <v>0</v>
      </c>
      <c r="P136" s="13">
        <f>' BABA CHAIR 1'!R219</f>
        <v>0</v>
      </c>
      <c r="Q136" s="13">
        <f>' BABA CHAIR 1'!S219</f>
        <v>0</v>
      </c>
      <c r="R136" s="91">
        <f>' BABA CHAIR 1'!T219</f>
        <v>0</v>
      </c>
      <c r="S136" s="70"/>
      <c r="T136" s="32">
        <f>Aless!W462</f>
        <v>0</v>
      </c>
      <c r="U136" s="33">
        <f>Aless!X462</f>
        <v>0</v>
      </c>
      <c r="V136" s="33">
        <f>Aless!Y462</f>
        <v>0</v>
      </c>
      <c r="W136" s="33"/>
      <c r="X136" s="33">
        <f>Aless!AC462</f>
        <v>0</v>
      </c>
      <c r="Y136" s="33">
        <f>' BABA CHAIR 1'!AA219</f>
        <v>0</v>
      </c>
      <c r="Z136" s="33">
        <f>Aless!AA462</f>
        <v>0</v>
      </c>
      <c r="AA136" s="69">
        <f>Aless!AD462</f>
        <v>0</v>
      </c>
      <c r="AB136" s="108">
        <f>SUM(B136:AA136)</f>
        <v>3740</v>
      </c>
    </row>
    <row r="137" spans="1:28" ht="24" thickBot="1">
      <c r="A137" s="34" t="s">
        <v>146</v>
      </c>
      <c r="B137" s="35">
        <f t="shared" ref="B137:H137" si="55">B136/20</f>
        <v>1</v>
      </c>
      <c r="C137" s="36">
        <f t="shared" si="55"/>
        <v>18</v>
      </c>
      <c r="D137" s="36">
        <f t="shared" si="55"/>
        <v>126</v>
      </c>
      <c r="E137" s="36">
        <f t="shared" si="55"/>
        <v>41</v>
      </c>
      <c r="F137" s="36">
        <f t="shared" si="55"/>
        <v>0</v>
      </c>
      <c r="G137" s="36">
        <f t="shared" si="55"/>
        <v>0</v>
      </c>
      <c r="H137" s="36">
        <f t="shared" si="55"/>
        <v>1</v>
      </c>
      <c r="I137" s="71"/>
      <c r="J137" s="72"/>
      <c r="K137" s="73">
        <f t="shared" ref="K137:R137" si="56">K136/20</f>
        <v>0</v>
      </c>
      <c r="L137" s="74">
        <f t="shared" si="56"/>
        <v>0</v>
      </c>
      <c r="M137" s="74">
        <f t="shared" si="56"/>
        <v>0</v>
      </c>
      <c r="N137" s="74">
        <f t="shared" si="56"/>
        <v>0</v>
      </c>
      <c r="O137" s="74">
        <f t="shared" si="56"/>
        <v>0</v>
      </c>
      <c r="P137" s="74">
        <f t="shared" si="56"/>
        <v>0</v>
      </c>
      <c r="Q137" s="74">
        <f t="shared" si="56"/>
        <v>0</v>
      </c>
      <c r="R137" s="92">
        <f t="shared" si="56"/>
        <v>0</v>
      </c>
      <c r="S137" s="72"/>
      <c r="T137" s="35">
        <f t="shared" ref="T137:AA137" si="57">T136/20</f>
        <v>0</v>
      </c>
      <c r="U137" s="36">
        <f t="shared" si="57"/>
        <v>0</v>
      </c>
      <c r="V137" s="36">
        <f t="shared" si="57"/>
        <v>0</v>
      </c>
      <c r="W137" s="36"/>
      <c r="X137" s="93">
        <f t="shared" si="57"/>
        <v>0</v>
      </c>
      <c r="Y137" s="93">
        <f t="shared" si="57"/>
        <v>0</v>
      </c>
      <c r="Z137" s="93">
        <f t="shared" si="57"/>
        <v>0</v>
      </c>
      <c r="AA137" s="71">
        <f t="shared" si="57"/>
        <v>0</v>
      </c>
      <c r="AB137" s="118">
        <f>SUM(B137:AA137)</f>
        <v>187</v>
      </c>
    </row>
    <row r="138" spans="1:28" ht="24" thickBot="1">
      <c r="A138" s="37"/>
      <c r="B138" s="3911">
        <f>SUM(B136:I136)</f>
        <v>3740</v>
      </c>
      <c r="C138" s="3912"/>
      <c r="D138" s="3912"/>
      <c r="E138" s="3912"/>
      <c r="F138" s="3912"/>
      <c r="G138" s="3912"/>
      <c r="H138" s="3912"/>
      <c r="I138" s="3913"/>
      <c r="J138" s="75"/>
      <c r="K138" s="3911">
        <f>SUM(K136:R136)</f>
        <v>0</v>
      </c>
      <c r="L138" s="3912"/>
      <c r="M138" s="3912"/>
      <c r="N138" s="3912"/>
      <c r="O138" s="3912"/>
      <c r="P138" s="3912"/>
      <c r="Q138" s="3912"/>
      <c r="R138" s="3913"/>
      <c r="S138" s="75"/>
      <c r="T138" s="3911">
        <f>SUM(T136:AA136)</f>
        <v>0</v>
      </c>
      <c r="U138" s="3912"/>
      <c r="V138" s="3912"/>
      <c r="W138" s="3912"/>
      <c r="X138" s="3912"/>
      <c r="Y138" s="3912"/>
      <c r="Z138" s="3912"/>
      <c r="AA138" s="3913"/>
      <c r="AB138" s="1"/>
    </row>
    <row r="139" spans="1:28" ht="29.25" thickBot="1">
      <c r="K139" s="164" t="s">
        <v>24</v>
      </c>
    </row>
    <row r="140" spans="1:28" ht="19.5" thickBot="1">
      <c r="A140" s="128" t="s">
        <v>274</v>
      </c>
      <c r="B140" s="163" t="s">
        <v>71</v>
      </c>
      <c r="C140" s="89" t="s">
        <v>407</v>
      </c>
      <c r="D140" s="89" t="s">
        <v>250</v>
      </c>
      <c r="E140" s="163" t="s">
        <v>193</v>
      </c>
      <c r="F140" s="163" t="s">
        <v>97</v>
      </c>
      <c r="G140" s="163" t="s">
        <v>92</v>
      </c>
      <c r="H140" s="163" t="s">
        <v>194</v>
      </c>
      <c r="I140" s="89" t="s">
        <v>195</v>
      </c>
      <c r="J140" s="89" t="s">
        <v>468</v>
      </c>
      <c r="K140" s="89" t="s">
        <v>94</v>
      </c>
      <c r="L140" s="89" t="s">
        <v>86</v>
      </c>
      <c r="M140" s="89" t="s">
        <v>420</v>
      </c>
      <c r="N140" s="3109" t="s">
        <v>95</v>
      </c>
      <c r="O140" s="3184" t="s">
        <v>77</v>
      </c>
      <c r="P140" s="3183" t="s">
        <v>53</v>
      </c>
      <c r="Q140" s="3109" t="s">
        <v>149</v>
      </c>
      <c r="R140" s="174"/>
      <c r="S140" s="159"/>
    </row>
    <row r="141" spans="1:28" ht="29.25" thickBot="1">
      <c r="A141" s="128" t="s">
        <v>151</v>
      </c>
      <c r="B141" s="133">
        <f>'Garden Table'!E283</f>
        <v>0</v>
      </c>
      <c r="C141" s="133">
        <f>'Garden Table'!F283</f>
        <v>144</v>
      </c>
      <c r="D141" s="133">
        <f>'Garden Table'!G283</f>
        <v>-12</v>
      </c>
      <c r="E141" s="133">
        <f>'Garden Table'!H283</f>
        <v>180</v>
      </c>
      <c r="F141" s="133">
        <f>'Garden Table'!I283</f>
        <v>0</v>
      </c>
      <c r="G141" s="133">
        <f>'Garden Table'!J283</f>
        <v>12</v>
      </c>
      <c r="H141" s="133">
        <f>'Garden Table'!K283</f>
        <v>276</v>
      </c>
      <c r="I141" s="133">
        <f>'Garden Table'!L283</f>
        <v>0</v>
      </c>
      <c r="J141" s="133">
        <f>'Garden Table'!M283</f>
        <v>180</v>
      </c>
      <c r="K141" s="133">
        <f>'Garden Table'!N283</f>
        <v>-48</v>
      </c>
      <c r="L141" s="133">
        <f>'Garden Table'!O283</f>
        <v>168</v>
      </c>
      <c r="M141" s="133">
        <f>'Garden Table'!P283</f>
        <v>-12</v>
      </c>
      <c r="N141" s="133">
        <f>'Garden Table'!Q283</f>
        <v>0</v>
      </c>
      <c r="O141" s="133">
        <f>'Garden Table'!R283</f>
        <v>0</v>
      </c>
      <c r="P141" s="133">
        <f>'Garden Table'!S283</f>
        <v>12</v>
      </c>
      <c r="Q141" s="133">
        <f>'Garden Table'!T283</f>
        <v>0</v>
      </c>
      <c r="R141" s="175">
        <f>SUM(B141:Q141)</f>
        <v>900</v>
      </c>
      <c r="S141" s="159"/>
      <c r="V141" s="176"/>
      <c r="W141" s="176"/>
      <c r="X141" s="176"/>
      <c r="Y141" s="183"/>
    </row>
    <row r="142" spans="1:28" ht="29.25" thickBot="1">
      <c r="A142" s="135" t="s">
        <v>146</v>
      </c>
      <c r="B142" s="27">
        <f t="shared" ref="B142:R142" si="58">B141/12</f>
        <v>0</v>
      </c>
      <c r="C142" s="27">
        <f t="shared" si="58"/>
        <v>12</v>
      </c>
      <c r="D142" s="27">
        <f t="shared" si="58"/>
        <v>-1</v>
      </c>
      <c r="E142" s="27">
        <f t="shared" si="58"/>
        <v>15</v>
      </c>
      <c r="F142" s="27">
        <f t="shared" si="58"/>
        <v>0</v>
      </c>
      <c r="G142" s="27">
        <f t="shared" si="58"/>
        <v>1</v>
      </c>
      <c r="H142" s="27">
        <f t="shared" si="58"/>
        <v>23</v>
      </c>
      <c r="I142" s="27">
        <f t="shared" si="58"/>
        <v>0</v>
      </c>
      <c r="J142" s="27">
        <f t="shared" si="58"/>
        <v>15</v>
      </c>
      <c r="K142" s="27">
        <f t="shared" si="58"/>
        <v>-4</v>
      </c>
      <c r="L142" s="27">
        <f t="shared" si="58"/>
        <v>14</v>
      </c>
      <c r="M142" s="27">
        <f t="shared" si="58"/>
        <v>-1</v>
      </c>
      <c r="N142" s="27">
        <f t="shared" si="58"/>
        <v>0</v>
      </c>
      <c r="O142" s="27">
        <f t="shared" si="58"/>
        <v>0</v>
      </c>
      <c r="P142" s="27">
        <f t="shared" si="58"/>
        <v>1</v>
      </c>
      <c r="Q142" s="27">
        <f t="shared" si="58"/>
        <v>0</v>
      </c>
      <c r="R142" s="27">
        <f t="shared" si="58"/>
        <v>75</v>
      </c>
      <c r="S142" s="161"/>
      <c r="V142" s="176"/>
      <c r="W142" s="176"/>
      <c r="X142" s="176"/>
      <c r="Y142" s="183"/>
    </row>
    <row r="143" spans="1:28" ht="21.75" thickBot="1">
      <c r="A143" s="3933" t="s">
        <v>308</v>
      </c>
      <c r="B143" s="3933"/>
      <c r="C143" s="3933"/>
      <c r="D143" s="3933"/>
      <c r="E143" s="3933"/>
      <c r="F143" s="3933"/>
      <c r="G143" s="3933"/>
      <c r="H143" s="3933"/>
    </row>
    <row r="144" spans="1:28" ht="27" thickBot="1">
      <c r="A144" s="138" t="s">
        <v>309</v>
      </c>
      <c r="B144" s="139" t="s">
        <v>104</v>
      </c>
      <c r="C144" s="140" t="s">
        <v>80</v>
      </c>
      <c r="D144" s="2713" t="s">
        <v>106</v>
      </c>
      <c r="E144" s="141"/>
      <c r="F144" s="142"/>
      <c r="G144" s="143"/>
      <c r="H144" s="144"/>
      <c r="O144" t="s">
        <v>4</v>
      </c>
    </row>
    <row r="145" spans="1:31" ht="27" thickBot="1">
      <c r="A145" s="145" t="s">
        <v>8</v>
      </c>
      <c r="B145" s="146">
        <f>'M-1'!E114</f>
        <v>0</v>
      </c>
      <c r="C145" s="146">
        <f>'M-1'!AA114</f>
        <v>0</v>
      </c>
      <c r="D145" s="146">
        <f t="shared" ref="D145:D166" si="59">SUM(B145:C145)</f>
        <v>0</v>
      </c>
      <c r="E145" s="147"/>
      <c r="F145" s="147"/>
      <c r="G145" s="147"/>
      <c r="H145" s="148"/>
    </row>
    <row r="146" spans="1:31" ht="21.75" thickBot="1">
      <c r="A146" s="145" t="s">
        <v>310</v>
      </c>
      <c r="B146" s="146">
        <f>'M-1'!F114</f>
        <v>0</v>
      </c>
      <c r="C146" s="146">
        <f>'M-1'!AB114</f>
        <v>0</v>
      </c>
      <c r="D146" s="146">
        <f t="shared" si="59"/>
        <v>0</v>
      </c>
      <c r="E146" s="149"/>
      <c r="F146" s="149"/>
      <c r="G146" s="149"/>
      <c r="H146" s="150"/>
      <c r="AE146"/>
    </row>
    <row r="147" spans="1:31" ht="19.5" thickBot="1">
      <c r="A147" s="145" t="s">
        <v>10</v>
      </c>
      <c r="B147" s="146">
        <f>'M-1'!G114</f>
        <v>2416</v>
      </c>
      <c r="C147" s="146">
        <f>'M-1'!AC114</f>
        <v>27</v>
      </c>
      <c r="D147" s="146">
        <f t="shared" si="59"/>
        <v>2443</v>
      </c>
      <c r="E147" s="147"/>
      <c r="F147" s="147"/>
      <c r="G147" s="147"/>
      <c r="H147" s="151"/>
      <c r="M147" s="165">
        <v>45748</v>
      </c>
      <c r="AE147"/>
    </row>
    <row r="148" spans="1:31" ht="16.5" thickBot="1">
      <c r="A148" s="145" t="s">
        <v>11</v>
      </c>
      <c r="B148" s="146">
        <f>'M-1'!H114</f>
        <v>2736</v>
      </c>
      <c r="C148" s="146">
        <f>'M-1'!AD114</f>
        <v>34</v>
      </c>
      <c r="D148" s="146">
        <f t="shared" si="59"/>
        <v>2770</v>
      </c>
      <c r="E148" s="147"/>
      <c r="F148" s="147"/>
      <c r="G148" s="147"/>
      <c r="H148" s="151"/>
      <c r="AE148"/>
    </row>
    <row r="149" spans="1:31" ht="47.25" thickBot="1">
      <c r="A149" s="145" t="s">
        <v>427</v>
      </c>
      <c r="B149" s="146">
        <f>'M-1'!J114</f>
        <v>0</v>
      </c>
      <c r="C149" s="146">
        <f>'M-1'!AF114</f>
        <v>0</v>
      </c>
      <c r="D149" s="146">
        <f t="shared" ref="D149" si="60">SUM(B149:C149)</f>
        <v>0</v>
      </c>
      <c r="E149" s="147"/>
      <c r="F149" s="147"/>
      <c r="G149" s="147"/>
      <c r="H149" s="151"/>
      <c r="K149" s="2942"/>
      <c r="L149" s="166" t="s">
        <v>311</v>
      </c>
      <c r="M149" s="166" t="s">
        <v>312</v>
      </c>
      <c r="N149" s="167" t="s">
        <v>313</v>
      </c>
      <c r="AE149"/>
    </row>
    <row r="150" spans="1:31" ht="47.25" thickBot="1">
      <c r="A150" s="145" t="s">
        <v>12</v>
      </c>
      <c r="B150" s="146">
        <f>'M-1'!I114</f>
        <v>0</v>
      </c>
      <c r="C150" s="146">
        <f>'M-1'!AE114</f>
        <v>0</v>
      </c>
      <c r="D150" s="146">
        <f t="shared" si="59"/>
        <v>0</v>
      </c>
      <c r="E150" s="147"/>
      <c r="F150" s="147"/>
      <c r="G150" s="147"/>
      <c r="H150" s="152"/>
      <c r="K150" s="2943"/>
      <c r="L150" s="168">
        <f>'Final Stock New'!D223+'Final Stock New'!Y189</f>
        <v>83027</v>
      </c>
      <c r="M150" s="168">
        <f>'Final Stock New'!N190</f>
        <v>114518</v>
      </c>
      <c r="N150" s="2672">
        <f>'Final Stock New'!Z192</f>
        <v>96005</v>
      </c>
      <c r="AE150"/>
    </row>
    <row r="151" spans="1:31" ht="41.25" customHeight="1" thickBot="1">
      <c r="A151" s="145" t="s">
        <v>18</v>
      </c>
      <c r="B151" s="146">
        <f>'M-1'!R114</f>
        <v>0</v>
      </c>
      <c r="C151" s="146">
        <f>'M-1'!AN114</f>
        <v>0</v>
      </c>
      <c r="D151" s="146">
        <f t="shared" si="59"/>
        <v>0</v>
      </c>
      <c r="E151" s="147"/>
      <c r="F151" s="147"/>
      <c r="G151" s="147"/>
      <c r="H151" s="152"/>
      <c r="K151" s="2944"/>
      <c r="L151" s="2945">
        <f>L150-'M-1'!V114</f>
        <v>83027</v>
      </c>
      <c r="M151" s="2673">
        <f>M150</f>
        <v>114518</v>
      </c>
      <c r="N151" s="2673">
        <f>N150</f>
        <v>96005</v>
      </c>
      <c r="P151" t="s">
        <v>495</v>
      </c>
      <c r="AE151"/>
    </row>
    <row r="152" spans="1:31" ht="21.75" thickBot="1">
      <c r="A152" s="3545" t="s">
        <v>562</v>
      </c>
      <c r="B152" s="146">
        <f>'M-1'!L114</f>
        <v>0</v>
      </c>
      <c r="C152" s="146">
        <f>'M-1'!AH114</f>
        <v>0</v>
      </c>
      <c r="D152" s="146">
        <f t="shared" si="59"/>
        <v>0</v>
      </c>
      <c r="E152" s="147"/>
      <c r="F152" s="147"/>
      <c r="G152" s="147"/>
      <c r="H152" s="152"/>
      <c r="L152" s="2845"/>
      <c r="N152" s="2845"/>
      <c r="AE152"/>
    </row>
    <row r="153" spans="1:31" ht="21.75" thickBot="1">
      <c r="A153" s="145" t="s">
        <v>383</v>
      </c>
      <c r="B153" s="146">
        <f>'M-1'!M114</f>
        <v>0</v>
      </c>
      <c r="C153" s="146">
        <f>'M-1'!AI114</f>
        <v>0</v>
      </c>
      <c r="D153" s="146">
        <f t="shared" si="59"/>
        <v>0</v>
      </c>
      <c r="E153" s="147"/>
      <c r="F153" s="147"/>
      <c r="G153" s="147"/>
      <c r="H153" s="152"/>
      <c r="K153" s="3152" t="s">
        <v>430</v>
      </c>
      <c r="L153" s="3153">
        <f>L151</f>
        <v>83027</v>
      </c>
      <c r="M153" s="3154"/>
      <c r="N153" s="3155">
        <f>N151-'M-4'!W115</f>
        <v>96005</v>
      </c>
      <c r="P153">
        <f>83027+3067</f>
        <v>86094</v>
      </c>
      <c r="AE153"/>
    </row>
    <row r="154" spans="1:31" ht="29.25" thickBot="1">
      <c r="A154" s="145" t="s">
        <v>44</v>
      </c>
      <c r="B154" s="146">
        <f>'M-1'!L115</f>
        <v>0</v>
      </c>
      <c r="C154" s="146">
        <f>'M-1'!AH115</f>
        <v>0</v>
      </c>
      <c r="D154" s="146">
        <f t="shared" si="59"/>
        <v>0</v>
      </c>
      <c r="E154" s="147"/>
      <c r="F154" s="147"/>
      <c r="G154" s="147"/>
      <c r="H154" s="152"/>
      <c r="O154" s="2845"/>
      <c r="U154" s="233" t="s">
        <v>599</v>
      </c>
      <c r="Y154" s="1"/>
      <c r="AE154"/>
    </row>
    <row r="155" spans="1:31" ht="21.75" thickBot="1">
      <c r="A155" s="145" t="s">
        <v>15</v>
      </c>
      <c r="B155" s="146">
        <f>'M-1'!O114</f>
        <v>0</v>
      </c>
      <c r="C155" s="146">
        <f>'M-1'!AK114</f>
        <v>0</v>
      </c>
      <c r="D155" s="146">
        <f t="shared" si="59"/>
        <v>0</v>
      </c>
      <c r="E155" s="147"/>
      <c r="F155" s="147"/>
      <c r="G155" s="147"/>
      <c r="H155" s="152"/>
      <c r="U155" s="3931" t="s">
        <v>8</v>
      </c>
      <c r="V155" s="3932"/>
      <c r="W155" s="235">
        <f>SUM('BIG CHAIR'!F4:M4,'BIG CHAIR'!BQ4:BX4,'BIG CHAIR'!BZ4:CG4)</f>
        <v>6528</v>
      </c>
      <c r="X155" s="250"/>
      <c r="Y155" s="120"/>
      <c r="Z155" s="234"/>
      <c r="AE155"/>
    </row>
    <row r="156" spans="1:31" ht="21.75" thickBot="1">
      <c r="A156" s="145" t="s">
        <v>417</v>
      </c>
      <c r="B156" s="146">
        <f>'M-1'!N114</f>
        <v>0</v>
      </c>
      <c r="C156" s="146">
        <f>'M-1'!AJ114</f>
        <v>0</v>
      </c>
      <c r="D156" s="146">
        <f t="shared" si="59"/>
        <v>0</v>
      </c>
      <c r="E156" s="147"/>
      <c r="F156" s="147"/>
      <c r="G156" s="147"/>
      <c r="H156" s="152"/>
      <c r="N156" s="3336"/>
      <c r="U156" s="3918" t="s">
        <v>18</v>
      </c>
      <c r="V156" s="3919"/>
      <c r="W156" s="251">
        <f>SUM('BIG CHAIR'!AP4:BO4)</f>
        <v>8816</v>
      </c>
      <c r="X156" s="120">
        <f>W155+W156+W157+W160+W161+W162+W163+W164+W166+W171+W173+W175++W177</f>
        <v>63172</v>
      </c>
      <c r="Y156" s="120"/>
      <c r="AE156"/>
    </row>
    <row r="157" spans="1:31" ht="24" thickBot="1">
      <c r="A157" s="145" t="s">
        <v>16</v>
      </c>
      <c r="B157" s="146">
        <f>'M-1'!P114</f>
        <v>0</v>
      </c>
      <c r="C157" s="146">
        <f>'M-1'!AL114</f>
        <v>0</v>
      </c>
      <c r="D157" s="146">
        <f t="shared" si="59"/>
        <v>0</v>
      </c>
      <c r="E157" s="147"/>
      <c r="F157" s="147"/>
      <c r="G157" s="147"/>
      <c r="H157" s="184"/>
      <c r="M157" s="2845"/>
      <c r="U157" s="3918" t="s">
        <v>10</v>
      </c>
      <c r="V157" s="3919"/>
      <c r="W157" s="251">
        <f>SUM(XUV!E4:AC4)</f>
        <v>7264</v>
      </c>
      <c r="X157" s="263">
        <f>Z177</f>
        <v>0</v>
      </c>
      <c r="Y157" s="120" t="s">
        <v>23</v>
      </c>
      <c r="AE157"/>
    </row>
    <row r="158" spans="1:31" ht="29.25" thickBot="1">
      <c r="A158" s="145" t="s">
        <v>17</v>
      </c>
      <c r="B158" s="146">
        <f>'M-1'!Q114</f>
        <v>624</v>
      </c>
      <c r="C158" s="146">
        <f>'M-1'!AM114</f>
        <v>3</v>
      </c>
      <c r="D158" s="146">
        <f t="shared" si="59"/>
        <v>627</v>
      </c>
      <c r="E158" s="149"/>
      <c r="F158" s="149"/>
      <c r="G158" s="149"/>
      <c r="H158" s="185"/>
      <c r="K158" s="198" t="s">
        <v>314</v>
      </c>
      <c r="L158" s="3"/>
      <c r="M158" s="3"/>
      <c r="N158" s="3" t="s">
        <v>460</v>
      </c>
      <c r="U158" s="3918" t="s">
        <v>405</v>
      </c>
      <c r="V158" s="3919"/>
      <c r="W158" s="2684">
        <f>Yoddha!AE4</f>
        <v>3504</v>
      </c>
      <c r="X158" s="120">
        <f>W159</f>
        <v>2350</v>
      </c>
      <c r="Y158" s="120" t="s">
        <v>378</v>
      </c>
      <c r="AE158"/>
    </row>
    <row r="159" spans="1:31" ht="29.25" thickBot="1">
      <c r="A159" s="145" t="s">
        <v>21</v>
      </c>
      <c r="B159" s="146">
        <f>'M-1'!U114</f>
        <v>0</v>
      </c>
      <c r="C159" s="146">
        <f>'M-1'!AQ114</f>
        <v>0</v>
      </c>
      <c r="D159" s="146">
        <f t="shared" si="59"/>
        <v>0</v>
      </c>
      <c r="E159" s="188"/>
      <c r="F159" s="188"/>
      <c r="G159" s="188"/>
      <c r="H159" s="185"/>
      <c r="K159" s="2914" t="s">
        <v>309</v>
      </c>
      <c r="L159" s="2915" t="s">
        <v>104</v>
      </c>
      <c r="M159" s="2916" t="s">
        <v>80</v>
      </c>
      <c r="N159" s="2916" t="s">
        <v>106</v>
      </c>
      <c r="U159" s="3918" t="s">
        <v>315</v>
      </c>
      <c r="V159" s="3919"/>
      <c r="W159" s="251">
        <f>SUM('Dining Table'!E4:K4,'Dining Table'!V4:AC4)</f>
        <v>2350</v>
      </c>
      <c r="X159" s="120">
        <f>W165</f>
        <v>0</v>
      </c>
      <c r="Y159" s="120" t="s">
        <v>379</v>
      </c>
      <c r="AE159"/>
    </row>
    <row r="160" spans="1:31" ht="30.75" customHeight="1" thickBot="1">
      <c r="A160" s="186" t="s">
        <v>568</v>
      </c>
      <c r="B160" s="187">
        <f>'M-1'!V114</f>
        <v>0</v>
      </c>
      <c r="C160" s="187">
        <f>'M-1'!AR114</f>
        <v>0</v>
      </c>
      <c r="D160" s="146">
        <f t="shared" si="59"/>
        <v>0</v>
      </c>
      <c r="E160" s="188"/>
      <c r="F160" s="188"/>
      <c r="G160" s="188"/>
      <c r="H160" s="185"/>
      <c r="K160" s="2911" t="s">
        <v>8</v>
      </c>
      <c r="L160" s="2912">
        <f>SUM('BIG CHAIR'!F350:M350,'BIG CHAIR'!BQ350:BX350,'BIG CHAIR'!BZ350:CG350)</f>
        <v>18080</v>
      </c>
      <c r="M160" s="2913">
        <f>'BIG CHAIR'!CJ350</f>
        <v>0</v>
      </c>
      <c r="N160" s="214">
        <f t="shared" ref="N160:N189" si="61">SUM(L160:M160)</f>
        <v>18080</v>
      </c>
      <c r="U160" s="3918" t="s">
        <v>11</v>
      </c>
      <c r="V160" s="3919"/>
      <c r="W160" s="251">
        <f>SUM('Chota Heritage'!E4:AC4)</f>
        <v>368</v>
      </c>
      <c r="X160" s="120">
        <f>W169+W168+W170</f>
        <v>19880</v>
      </c>
      <c r="Y160" s="120" t="s">
        <v>14</v>
      </c>
      <c r="AE160"/>
    </row>
    <row r="161" spans="1:31" ht="29.25" thickBot="1">
      <c r="A161" s="186" t="s">
        <v>20</v>
      </c>
      <c r="B161" s="187">
        <f>'M-1'!T114</f>
        <v>0</v>
      </c>
      <c r="C161" s="187">
        <f>'M-1'!AP114</f>
        <v>0</v>
      </c>
      <c r="D161" s="146">
        <f t="shared" si="59"/>
        <v>0</v>
      </c>
      <c r="E161" s="188"/>
      <c r="F161" s="188"/>
      <c r="G161" s="188"/>
      <c r="H161" s="185"/>
      <c r="K161" s="211" t="s">
        <v>310</v>
      </c>
      <c r="L161" s="214">
        <f>SUM('BIG CHAIR'!O350:AN350)</f>
        <v>3184</v>
      </c>
      <c r="M161" s="213">
        <v>0</v>
      </c>
      <c r="N161" s="214">
        <f t="shared" si="61"/>
        <v>3184</v>
      </c>
      <c r="U161" s="3918" t="s">
        <v>317</v>
      </c>
      <c r="V161" s="3919"/>
      <c r="W161" s="251">
        <f>SUM('BIG CHAIR'!O4:AN4)</f>
        <v>4432</v>
      </c>
      <c r="X161" s="120">
        <f>W178</f>
        <v>0</v>
      </c>
      <c r="Y161" s="120"/>
      <c r="Z161" s="253"/>
      <c r="AE161"/>
    </row>
    <row r="162" spans="1:31" ht="29.25" thickBot="1">
      <c r="A162" s="186" t="s">
        <v>316</v>
      </c>
      <c r="B162" s="187">
        <f>'M-1'!S102</f>
        <v>0</v>
      </c>
      <c r="C162" s="187">
        <f>'M-1'!AO102</f>
        <v>0</v>
      </c>
      <c r="D162" s="146">
        <f t="shared" si="59"/>
        <v>0</v>
      </c>
      <c r="E162" s="188"/>
      <c r="F162" s="188"/>
      <c r="G162" s="188"/>
      <c r="H162" s="185"/>
      <c r="K162" s="211" t="s">
        <v>11</v>
      </c>
      <c r="L162" s="215">
        <f>SUM('Chota Heritage'!E244:AC244)</f>
        <v>720</v>
      </c>
      <c r="M162" s="213">
        <f>'Chota Heritage'!AF244</f>
        <v>0</v>
      </c>
      <c r="N162" s="214">
        <f t="shared" si="61"/>
        <v>720</v>
      </c>
      <c r="U162" s="3922" t="s">
        <v>12</v>
      </c>
      <c r="V162" s="3923"/>
      <c r="W162" s="251">
        <f>Activa!AE4</f>
        <v>11232</v>
      </c>
      <c r="X162" s="120"/>
      <c r="Y162" s="120"/>
      <c r="Z162" s="253"/>
      <c r="AE162"/>
    </row>
    <row r="163" spans="1:31" ht="29.25" thickBot="1">
      <c r="A163" s="2814" t="s">
        <v>520</v>
      </c>
      <c r="B163" s="187">
        <f>'M-1'!K114</f>
        <v>0</v>
      </c>
      <c r="C163" s="187">
        <f>'M-1'!AG114</f>
        <v>0</v>
      </c>
      <c r="D163" s="146">
        <f t="shared" si="59"/>
        <v>0</v>
      </c>
      <c r="E163" s="188"/>
      <c r="F163" s="188"/>
      <c r="G163" s="188"/>
      <c r="H163" s="185"/>
      <c r="K163" s="211" t="s">
        <v>12</v>
      </c>
      <c r="L163" s="3542">
        <f>Activa!AE276</f>
        <v>12448</v>
      </c>
      <c r="M163" s="213">
        <f>Activa!AF276</f>
        <v>0</v>
      </c>
      <c r="N163" s="214">
        <f t="shared" si="61"/>
        <v>12448</v>
      </c>
      <c r="U163" s="3924" t="s">
        <v>17</v>
      </c>
      <c r="V163" s="3925"/>
      <c r="W163" s="251">
        <f>SUM('Jordan Chair'!E4:AC4)</f>
        <v>2796</v>
      </c>
      <c r="X163" s="120"/>
      <c r="Y163" s="120"/>
      <c r="AE163"/>
    </row>
    <row r="164" spans="1:31" ht="29.25" thickBot="1">
      <c r="A164" s="186" t="s">
        <v>22</v>
      </c>
      <c r="B164" s="187">
        <f>'M-1'!W114</f>
        <v>2960</v>
      </c>
      <c r="C164" s="187">
        <f>'M-1'!AS114</f>
        <v>14</v>
      </c>
      <c r="D164" s="146">
        <f t="shared" si="59"/>
        <v>2974</v>
      </c>
      <c r="E164" s="188"/>
      <c r="F164" s="188"/>
      <c r="G164" s="188"/>
      <c r="H164" s="185"/>
      <c r="K164" s="211" t="s">
        <v>10</v>
      </c>
      <c r="L164" s="212">
        <f>XUV!AE288</f>
        <v>3664</v>
      </c>
      <c r="M164" s="213">
        <f>XUV!AF288</f>
        <v>0</v>
      </c>
      <c r="N164" s="214">
        <f t="shared" si="61"/>
        <v>3664</v>
      </c>
      <c r="U164" s="3918" t="s">
        <v>553</v>
      </c>
      <c r="V164" s="3919"/>
      <c r="W164" s="2684">
        <f>'Ring Table'!U4</f>
        <v>1932</v>
      </c>
      <c r="X164" s="120"/>
      <c r="Y164" s="120"/>
      <c r="AE164"/>
    </row>
    <row r="165" spans="1:31" ht="29.25" thickBot="1">
      <c r="A165" s="186" t="s">
        <v>197</v>
      </c>
      <c r="B165" s="187">
        <f>'M-1'!Z114</f>
        <v>2320</v>
      </c>
      <c r="C165" s="187">
        <f>'M-1'!AV114</f>
        <v>9</v>
      </c>
      <c r="D165" s="146">
        <f t="shared" si="59"/>
        <v>2329</v>
      </c>
      <c r="E165" s="188"/>
      <c r="F165" s="188"/>
      <c r="G165" s="188"/>
      <c r="H165" s="185"/>
      <c r="K165" s="211" t="s">
        <v>18</v>
      </c>
      <c r="L165" s="214">
        <f>SUM('BIG CHAIR'!AP350:BO350)</f>
        <v>10080</v>
      </c>
      <c r="M165" s="213">
        <v>0</v>
      </c>
      <c r="N165" s="214">
        <f t="shared" si="61"/>
        <v>10080</v>
      </c>
      <c r="U165" s="3924" t="s">
        <v>16</v>
      </c>
      <c r="V165" s="3925"/>
      <c r="W165" s="251">
        <f>SUM('F.Stand &amp; C Table'!E4:K4)+SUM('F.Stand &amp; C Table'!V4:AC4)</f>
        <v>0</v>
      </c>
      <c r="X165" s="120"/>
      <c r="Y165" s="120"/>
      <c r="AE165"/>
    </row>
    <row r="166" spans="1:31" ht="35.25" customHeight="1" thickBot="1">
      <c r="A166" s="189" t="s">
        <v>23</v>
      </c>
      <c r="B166" s="190">
        <f>'M-1'!X114</f>
        <v>0</v>
      </c>
      <c r="C166" s="190">
        <f>'M-1'!AT114</f>
        <v>0</v>
      </c>
      <c r="D166" s="191">
        <f t="shared" si="59"/>
        <v>0</v>
      </c>
      <c r="E166" s="187" t="s">
        <v>318</v>
      </c>
      <c r="F166" s="187">
        <f>D167/'Final Stock New'!F168</f>
        <v>11143</v>
      </c>
      <c r="G166" s="192" t="s">
        <v>319</v>
      </c>
      <c r="H166" s="193"/>
      <c r="K166" s="211" t="s">
        <v>13</v>
      </c>
      <c r="L166" s="214">
        <f>SUM(Innova!E248:AC248)</f>
        <v>0</v>
      </c>
      <c r="M166" s="213">
        <f>Innova!AF248</f>
        <v>0</v>
      </c>
      <c r="N166" s="214">
        <f t="shared" si="61"/>
        <v>0</v>
      </c>
      <c r="U166" s="3924" t="s">
        <v>13</v>
      </c>
      <c r="V166" s="3925"/>
      <c r="W166" s="251">
        <f>SUM(Innova!E4:AC4)</f>
        <v>0</v>
      </c>
      <c r="X166" s="120"/>
      <c r="Y166" s="120"/>
      <c r="AE166"/>
    </row>
    <row r="167" spans="1:31" ht="29.25" thickBot="1">
      <c r="A167" s="186" t="s">
        <v>108</v>
      </c>
      <c r="B167" s="187">
        <f>SUM(B145:B166)</f>
        <v>11056</v>
      </c>
      <c r="C167" s="187">
        <f>SUM(C145:C166)</f>
        <v>87</v>
      </c>
      <c r="D167" s="187">
        <f>SUM(D145:D166)</f>
        <v>11143</v>
      </c>
      <c r="E167" s="196" t="s">
        <v>321</v>
      </c>
      <c r="F167" s="195">
        <f>'M-1'!F117</f>
        <v>84</v>
      </c>
      <c r="G167" s="197">
        <f>'M-1'!AW118</f>
        <v>0</v>
      </c>
      <c r="H167" s="193"/>
      <c r="K167" s="211" t="s">
        <v>421</v>
      </c>
      <c r="L167" s="214">
        <f>'EV Chair'!AE294</f>
        <v>1216</v>
      </c>
      <c r="M167" s="213">
        <f>'EV Chair'!AF294</f>
        <v>0</v>
      </c>
      <c r="N167" s="214">
        <f t="shared" si="61"/>
        <v>1216</v>
      </c>
      <c r="U167" s="3924" t="s">
        <v>431</v>
      </c>
      <c r="V167" s="3925"/>
      <c r="W167" s="251">
        <f>'EV Chair'!AE4</f>
        <v>3200</v>
      </c>
      <c r="X167" s="120"/>
      <c r="Y167" s="120"/>
      <c r="AE167"/>
    </row>
    <row r="168" spans="1:31" ht="29.25" thickBot="1">
      <c r="A168" s="194" t="s">
        <v>320</v>
      </c>
      <c r="B168" s="195">
        <f>'M-1'!F118</f>
        <v>84</v>
      </c>
      <c r="C168" s="195">
        <f>'M-1'!AA118</f>
        <v>0</v>
      </c>
      <c r="D168" s="187">
        <f>SUM(B168:C168)</f>
        <v>84</v>
      </c>
      <c r="E168" s="199"/>
      <c r="F168" s="200">
        <f>'M-1'!BC2</f>
        <v>1</v>
      </c>
      <c r="G168" s="144"/>
      <c r="K168" s="211" t="s">
        <v>44</v>
      </c>
      <c r="L168" s="214">
        <f>SUM(Sumo!E244:S244)</f>
        <v>240</v>
      </c>
      <c r="M168" s="213">
        <f>Sumo!V244</f>
        <v>0</v>
      </c>
      <c r="N168" s="214">
        <f t="shared" si="61"/>
        <v>240</v>
      </c>
      <c r="U168" s="3924" t="s">
        <v>565</v>
      </c>
      <c r="V168" s="3925"/>
      <c r="W168" s="251">
        <f>'ClipON Stool'!AE4</f>
        <v>3760</v>
      </c>
      <c r="X168" s="120"/>
      <c r="Y168" s="120"/>
      <c r="AE168"/>
    </row>
    <row r="169" spans="1:31" ht="29.25" thickBot="1">
      <c r="A169" s="198" t="s">
        <v>322</v>
      </c>
      <c r="B169" s="3"/>
      <c r="C169" s="3"/>
      <c r="D169" s="3"/>
      <c r="E169" s="152"/>
      <c r="F169" s="152"/>
      <c r="G169" s="152"/>
      <c r="K169" s="211" t="s">
        <v>15</v>
      </c>
      <c r="L169" s="212">
        <f>SUM('Baby Chair'!E209:AC209)</f>
        <v>180</v>
      </c>
      <c r="M169" s="213">
        <f>'Baby Chair'!AF209</f>
        <v>0</v>
      </c>
      <c r="N169" s="214">
        <f t="shared" si="61"/>
        <v>180</v>
      </c>
      <c r="O169" s="216" t="s">
        <v>323</v>
      </c>
      <c r="P169" s="217">
        <f>'Final Stock New'!M150</f>
        <v>114518</v>
      </c>
      <c r="U169" s="3924" t="s">
        <v>14</v>
      </c>
      <c r="V169" s="3925"/>
      <c r="W169" s="251">
        <f>SUM(Stool!E4:AC4)</f>
        <v>12920</v>
      </c>
      <c r="X169" s="120"/>
      <c r="Y169" s="120"/>
      <c r="AE169"/>
    </row>
    <row r="170" spans="1:31" ht="29.25" thickBot="1">
      <c r="A170" s="138" t="s">
        <v>309</v>
      </c>
      <c r="B170" s="139" t="s">
        <v>104</v>
      </c>
      <c r="C170" s="140" t="s">
        <v>80</v>
      </c>
      <c r="D170" s="2713" t="s">
        <v>106</v>
      </c>
      <c r="E170" s="149"/>
      <c r="F170" s="149"/>
      <c r="G170" s="149"/>
      <c r="K170" s="211" t="s">
        <v>428</v>
      </c>
      <c r="L170" s="214">
        <f>' BABA CHAIR 1'!AE211</f>
        <v>5400</v>
      </c>
      <c r="M170" s="213">
        <f>' BABA CHAIR 1'!AF211</f>
        <v>0</v>
      </c>
      <c r="N170" s="214">
        <f t="shared" si="61"/>
        <v>5400</v>
      </c>
      <c r="O170" s="216" t="s">
        <v>41</v>
      </c>
      <c r="P170" s="216">
        <f>'BIG CHAIR'!BZ350+Sumo!F244</f>
        <v>16176</v>
      </c>
      <c r="U170" s="3924" t="s">
        <v>383</v>
      </c>
      <c r="V170" s="3925"/>
      <c r="W170" s="251">
        <f>M.P.Stool!AE4</f>
        <v>3200</v>
      </c>
      <c r="X170" s="120"/>
      <c r="Y170" s="120"/>
      <c r="AE170"/>
    </row>
    <row r="171" spans="1:31" ht="27" customHeight="1" thickBot="1">
      <c r="A171" s="145" t="s">
        <v>8</v>
      </c>
      <c r="B171" s="146">
        <f>'M-2'!E118</f>
        <v>14560</v>
      </c>
      <c r="C171" s="146">
        <f>'M-2'!Y118</f>
        <v>0</v>
      </c>
      <c r="D171" s="146">
        <f t="shared" ref="D171:D191" si="62">SUM(B171:C171)</f>
        <v>14560</v>
      </c>
      <c r="E171" s="147"/>
      <c r="F171" s="147"/>
      <c r="G171" s="147"/>
      <c r="K171" s="211" t="s">
        <v>316</v>
      </c>
      <c r="L171" s="3540">
        <f>SUM('Jordan New'!E245:AC245)</f>
        <v>4272</v>
      </c>
      <c r="M171" s="213">
        <f>'Jordan New'!AF245</f>
        <v>0</v>
      </c>
      <c r="N171" s="214">
        <f t="shared" si="61"/>
        <v>4272</v>
      </c>
      <c r="O171" s="216" t="s">
        <v>324</v>
      </c>
      <c r="P171" s="216">
        <f>'Final Stock New'!L169+'Final Stock New'!L172+'Final Stock New'!L174+'Final Stock New'!L184+'Final Stock New'!L177</f>
        <v>6880</v>
      </c>
      <c r="U171" s="3926" t="s">
        <v>15</v>
      </c>
      <c r="V171" s="3927"/>
      <c r="W171" s="251">
        <f>SUM('Baby Chair'!E4:AC4)</f>
        <v>900</v>
      </c>
      <c r="X171" s="120"/>
      <c r="Y171" s="120"/>
      <c r="AE171"/>
    </row>
    <row r="172" spans="1:31" ht="26.25" customHeight="1" thickBot="1">
      <c r="A172" s="145" t="s">
        <v>310</v>
      </c>
      <c r="B172" s="146">
        <f>'M-2'!F118</f>
        <v>0</v>
      </c>
      <c r="C172" s="146">
        <f>'M-2'!Z118</f>
        <v>0</v>
      </c>
      <c r="D172" s="146">
        <f t="shared" si="62"/>
        <v>0</v>
      </c>
      <c r="E172" s="147"/>
      <c r="F172" s="147"/>
      <c r="G172" s="147"/>
      <c r="K172" s="211" t="s">
        <v>14</v>
      </c>
      <c r="L172" s="212">
        <f>SUM(Stool!E232:AC232)</f>
        <v>2060</v>
      </c>
      <c r="M172" s="213">
        <f>Stool!AF232</f>
        <v>0</v>
      </c>
      <c r="N172" s="214">
        <f t="shared" si="61"/>
        <v>2060</v>
      </c>
      <c r="O172" s="216" t="s">
        <v>325</v>
      </c>
      <c r="P172" s="217">
        <f>Aless!K342+Aless!AC342</f>
        <v>6880</v>
      </c>
      <c r="U172" s="3926" t="s">
        <v>417</v>
      </c>
      <c r="V172" s="3927"/>
      <c r="W172" s="251">
        <f>' BABA CHAIR 1'!AE4</f>
        <v>9140</v>
      </c>
      <c r="X172" s="120"/>
      <c r="Y172" s="120"/>
      <c r="AE172"/>
    </row>
    <row r="173" spans="1:31" ht="30.75" customHeight="1" thickBot="1">
      <c r="A173" s="145" t="s">
        <v>10</v>
      </c>
      <c r="B173" s="146">
        <f>'M-2'!G118</f>
        <v>0</v>
      </c>
      <c r="C173" s="146">
        <f>'M-2'!AA118</f>
        <v>0</v>
      </c>
      <c r="D173" s="146">
        <f t="shared" si="62"/>
        <v>0</v>
      </c>
      <c r="E173" s="188"/>
      <c r="F173" s="188"/>
      <c r="G173" s="147"/>
      <c r="K173" s="211" t="s">
        <v>405</v>
      </c>
      <c r="L173" s="212">
        <f>Yoddha!AE256</f>
        <v>6948</v>
      </c>
      <c r="M173" s="213">
        <f>Yoddha!AF256</f>
        <v>0</v>
      </c>
      <c r="N173" s="214">
        <f t="shared" si="61"/>
        <v>6948</v>
      </c>
      <c r="O173" s="216" t="s">
        <v>326</v>
      </c>
      <c r="P173" s="217">
        <f>P169-P170-P171-P172</f>
        <v>84582</v>
      </c>
      <c r="U173" s="3924" t="s">
        <v>316</v>
      </c>
      <c r="V173" s="3925"/>
      <c r="W173" s="251">
        <f>SUM('Jordan New'!E4:AC4)</f>
        <v>3324</v>
      </c>
      <c r="X173" s="120"/>
      <c r="Y173" s="120"/>
      <c r="AE173"/>
    </row>
    <row r="174" spans="1:31" ht="29.25" thickBot="1">
      <c r="A174" s="145" t="s">
        <v>11</v>
      </c>
      <c r="B174" s="146">
        <f>'M-2'!H118</f>
        <v>0</v>
      </c>
      <c r="C174" s="146">
        <f>'M-2'!AB118</f>
        <v>0</v>
      </c>
      <c r="D174" s="146">
        <f t="shared" si="62"/>
        <v>0</v>
      </c>
      <c r="E174" s="188"/>
      <c r="F174" s="188"/>
      <c r="G174" s="147"/>
      <c r="K174" s="211" t="s">
        <v>16</v>
      </c>
      <c r="L174" s="212">
        <f>SUM('F.Stand &amp; C Table'!E220:K220,'F.Stand &amp; C Table'!V220:AC220)</f>
        <v>3080</v>
      </c>
      <c r="M174" s="213">
        <v>0</v>
      </c>
      <c r="N174" s="214">
        <f t="shared" si="61"/>
        <v>3080</v>
      </c>
      <c r="O174" s="218"/>
      <c r="P174" s="218"/>
      <c r="U174" s="3924" t="s">
        <v>604</v>
      </c>
      <c r="V174" s="3925"/>
      <c r="W174" s="251">
        <f>'JIO TABLE'!AE4</f>
        <v>5716</v>
      </c>
      <c r="X174" s="253"/>
      <c r="Y174" s="120"/>
      <c r="AE174"/>
    </row>
    <row r="175" spans="1:31" ht="29.25" thickBot="1">
      <c r="A175" s="145" t="s">
        <v>18</v>
      </c>
      <c r="B175" s="146">
        <f>'M-2'!N118</f>
        <v>0</v>
      </c>
      <c r="C175" s="146">
        <f>'M-2'!AH118</f>
        <v>0</v>
      </c>
      <c r="D175" s="146">
        <f t="shared" si="62"/>
        <v>0</v>
      </c>
      <c r="E175" s="149"/>
      <c r="F175" s="149"/>
      <c r="G175" s="149"/>
      <c r="K175" s="211" t="s">
        <v>17</v>
      </c>
      <c r="L175" s="212">
        <f>SUM('Jordan Chair'!E240:AC240)</f>
        <v>1008</v>
      </c>
      <c r="M175" s="213">
        <f>'Jordan Chair'!AF240</f>
        <v>0</v>
      </c>
      <c r="N175" s="214">
        <f t="shared" si="61"/>
        <v>1008</v>
      </c>
      <c r="U175" s="3918" t="s">
        <v>39</v>
      </c>
      <c r="V175" s="3919"/>
      <c r="W175" s="252">
        <f>SUM(Aless!E4:AD4)</f>
        <v>6640</v>
      </c>
      <c r="X175" s="253"/>
      <c r="Y175" s="120"/>
      <c r="AE175"/>
    </row>
    <row r="176" spans="1:31" ht="29.25" thickBot="1">
      <c r="A176" s="145" t="s">
        <v>12</v>
      </c>
      <c r="B176" s="146">
        <f>'M-2'!O118</f>
        <v>0</v>
      </c>
      <c r="C176" s="146">
        <f>'M-2'!AJ118</f>
        <v>0</v>
      </c>
      <c r="D176" s="146">
        <f t="shared" si="62"/>
        <v>0</v>
      </c>
      <c r="E176" s="149"/>
      <c r="F176" s="149"/>
      <c r="G176" s="149"/>
      <c r="K176" s="211" t="s">
        <v>315</v>
      </c>
      <c r="L176" s="212">
        <f>SUM('Dining Table'!E205:K205)+SUM('Dining Table'!V205:AC205)</f>
        <v>490</v>
      </c>
      <c r="M176" s="213">
        <f>'Dining Table'!AF205</f>
        <v>0</v>
      </c>
      <c r="N176" s="214">
        <f t="shared" si="61"/>
        <v>490</v>
      </c>
      <c r="U176" s="3918" t="s">
        <v>537</v>
      </c>
      <c r="V176" s="3919"/>
      <c r="W176" s="252">
        <f>'High cros'!AF4</f>
        <v>5080</v>
      </c>
      <c r="X176" s="236"/>
      <c r="Y176" s="120"/>
      <c r="Z176" s="263"/>
      <c r="AE176"/>
    </row>
    <row r="177" spans="1:31" ht="29.25" thickBot="1">
      <c r="A177" s="145" t="s">
        <v>14</v>
      </c>
      <c r="B177" s="146">
        <f>'M-2'!J118</f>
        <v>0</v>
      </c>
      <c r="C177" s="146">
        <f>'M-2'!AD118</f>
        <v>0</v>
      </c>
      <c r="D177" s="146">
        <f t="shared" si="62"/>
        <v>0</v>
      </c>
      <c r="E177" s="149"/>
      <c r="F177" s="149"/>
      <c r="G177" s="149"/>
      <c r="K177" s="211" t="s">
        <v>564</v>
      </c>
      <c r="L177" s="3540">
        <f>'ARM LESS SUMO'!AK342</f>
        <v>1560</v>
      </c>
      <c r="M177" s="213">
        <f>Aless!AG339</f>
        <v>0</v>
      </c>
      <c r="N177" s="214">
        <f t="shared" ref="N177" si="63">SUM(L177:M177)</f>
        <v>1560</v>
      </c>
      <c r="U177" s="3918" t="s">
        <v>566</v>
      </c>
      <c r="V177" s="3919"/>
      <c r="W177" s="252">
        <f>'Small Chair'!AF4</f>
        <v>8940</v>
      </c>
      <c r="X177" s="236"/>
      <c r="Y177" s="120"/>
      <c r="Z177" s="263"/>
      <c r="AA177" s="264"/>
    </row>
    <row r="178" spans="1:31" ht="29.25" thickBot="1">
      <c r="A178" s="145" t="s">
        <v>44</v>
      </c>
      <c r="B178" s="146">
        <f>'M-2'!J119</f>
        <v>0</v>
      </c>
      <c r="C178" s="146">
        <f>'M-2'!AD119</f>
        <v>0</v>
      </c>
      <c r="D178" s="146">
        <f t="shared" si="62"/>
        <v>0</v>
      </c>
      <c r="E178" s="149"/>
      <c r="F178" s="149"/>
      <c r="G178" s="149"/>
      <c r="K178" s="211" t="s">
        <v>586</v>
      </c>
      <c r="L178" s="212">
        <f>'JIO TABLE'!AE205</f>
        <v>182</v>
      </c>
      <c r="M178" s="213">
        <f>'JIO TABLE'!AF205</f>
        <v>0</v>
      </c>
      <c r="N178" s="214">
        <f t="shared" ref="N178" si="64">SUM(L178:M178)</f>
        <v>182</v>
      </c>
      <c r="U178" s="3924" t="s">
        <v>20</v>
      </c>
      <c r="V178" s="3925"/>
      <c r="W178" s="251">
        <f>SUM('Fruit Crate'!E4:AC4)</f>
        <v>0</v>
      </c>
      <c r="X178" s="236"/>
      <c r="Y178" s="120"/>
      <c r="Z178" s="263"/>
    </row>
    <row r="179" spans="1:31" ht="29.25" thickBot="1">
      <c r="A179" s="145" t="s">
        <v>15</v>
      </c>
      <c r="B179" s="146">
        <f>'M-2'!K118</f>
        <v>0</v>
      </c>
      <c r="C179" s="146">
        <f>'M-2'!AE118</f>
        <v>0</v>
      </c>
      <c r="D179" s="146">
        <f t="shared" si="62"/>
        <v>0</v>
      </c>
      <c r="E179" s="149"/>
      <c r="F179" s="149"/>
      <c r="G179" s="149"/>
      <c r="K179" s="211" t="s">
        <v>441</v>
      </c>
      <c r="L179" s="3540">
        <f>'ClipON Stool'!AE227</f>
        <v>1440</v>
      </c>
      <c r="M179" s="213">
        <f>'ClipON Stool'!AF227</f>
        <v>0</v>
      </c>
      <c r="N179" s="214">
        <f t="shared" si="61"/>
        <v>1440</v>
      </c>
      <c r="U179" s="3918" t="s">
        <v>572</v>
      </c>
      <c r="V179" s="3919"/>
      <c r="W179" s="252">
        <f>SUM('F.Stand &amp; C Table'!M4:T4)</f>
        <v>2512</v>
      </c>
      <c r="X179" s="237">
        <f>SUM(W155:W184)</f>
        <v>127484</v>
      </c>
      <c r="Y179" s="1" t="s">
        <v>609</v>
      </c>
      <c r="Z179" s="263"/>
    </row>
    <row r="180" spans="1:31" ht="29.25" thickBot="1">
      <c r="A180" s="145" t="s">
        <v>16</v>
      </c>
      <c r="B180" s="146">
        <f>'M-2'!L118</f>
        <v>0</v>
      </c>
      <c r="C180" s="146">
        <f>'M-2'!AF118</f>
        <v>0</v>
      </c>
      <c r="D180" s="146">
        <f t="shared" si="62"/>
        <v>0</v>
      </c>
      <c r="E180" s="149"/>
      <c r="F180" s="149"/>
      <c r="G180" s="149"/>
      <c r="K180" s="211" t="s">
        <v>567</v>
      </c>
      <c r="L180" s="212">
        <f>M.P.Stool!AJ212</f>
        <v>240</v>
      </c>
      <c r="M180" s="213">
        <f>'Fruit Crate'!AF212</f>
        <v>0</v>
      </c>
      <c r="N180" s="212">
        <f t="shared" ref="N180" si="65">SUM(L180:M180)</f>
        <v>240</v>
      </c>
      <c r="U180" s="3924" t="s">
        <v>531</v>
      </c>
      <c r="V180" s="3925"/>
      <c r="W180" s="251">
        <f>Sumo!U4</f>
        <v>496</v>
      </c>
      <c r="X180" s="239"/>
      <c r="Y180" s="1"/>
      <c r="Z180" s="265"/>
      <c r="AE180"/>
    </row>
    <row r="181" spans="1:31" ht="29.25" thickBot="1">
      <c r="A181" s="145" t="s">
        <v>17</v>
      </c>
      <c r="B181" s="146">
        <f>'M-2'!M118</f>
        <v>0</v>
      </c>
      <c r="C181" s="146">
        <f>'M-2'!AG118</f>
        <v>0</v>
      </c>
      <c r="D181" s="146">
        <f t="shared" si="62"/>
        <v>0</v>
      </c>
      <c r="E181" s="149"/>
      <c r="F181" s="149"/>
      <c r="G181" s="149"/>
      <c r="K181" s="211" t="s">
        <v>511</v>
      </c>
      <c r="L181" s="212">
        <f>'Web Chair'!AE248</f>
        <v>270</v>
      </c>
      <c r="M181" s="213">
        <f>'Web Chair'!AF248</f>
        <v>0</v>
      </c>
      <c r="N181" s="214">
        <f t="shared" ref="N181" si="66">SUM(L181:M181)</f>
        <v>270</v>
      </c>
      <c r="U181" s="3918" t="s">
        <v>568</v>
      </c>
      <c r="V181" s="3919"/>
      <c r="W181" s="252">
        <f>'Web Chair'!AE4</f>
        <v>2778</v>
      </c>
      <c r="X181" s="239"/>
      <c r="Y181" s="240"/>
      <c r="Z181" s="266"/>
      <c r="AE181"/>
    </row>
    <row r="182" spans="1:31" ht="29.25" thickBot="1">
      <c r="A182" s="145" t="s">
        <v>21</v>
      </c>
      <c r="B182" s="146">
        <f>'M-2'!R118</f>
        <v>0</v>
      </c>
      <c r="C182" s="146">
        <f>'M-2'!AL118</f>
        <v>0</v>
      </c>
      <c r="D182" s="146">
        <f t="shared" si="62"/>
        <v>0</v>
      </c>
      <c r="E182" s="188"/>
      <c r="F182" s="188"/>
      <c r="G182" s="188"/>
      <c r="K182" s="211" t="s">
        <v>21</v>
      </c>
      <c r="L182" s="3540">
        <f>SUM(Aless!E342:AD342)</f>
        <v>12200</v>
      </c>
      <c r="M182" s="213">
        <f>Aless!AG342</f>
        <v>0</v>
      </c>
      <c r="N182" s="214">
        <f t="shared" si="61"/>
        <v>12200</v>
      </c>
      <c r="U182" s="3918" t="s">
        <v>563</v>
      </c>
      <c r="V182" s="3919"/>
      <c r="W182" s="251">
        <f>'ARM LESS SUMO'!AF4</f>
        <v>3920</v>
      </c>
      <c r="X182" s="242"/>
      <c r="Y182" s="240"/>
      <c r="Z182" s="216"/>
      <c r="AE182"/>
    </row>
    <row r="183" spans="1:31" ht="29.25" thickBot="1">
      <c r="A183" s="186" t="s">
        <v>20</v>
      </c>
      <c r="B183" s="187">
        <f>'M-2'!Q118</f>
        <v>0</v>
      </c>
      <c r="C183" s="187">
        <f>'M-2'!AK118</f>
        <v>0</v>
      </c>
      <c r="D183" s="146">
        <f t="shared" si="62"/>
        <v>0</v>
      </c>
      <c r="E183" s="188"/>
      <c r="F183" s="188"/>
      <c r="G183" s="188"/>
      <c r="K183" s="3151" t="s">
        <v>197</v>
      </c>
      <c r="L183" s="3540">
        <f>'Small Chair'!AF326</f>
        <v>12060</v>
      </c>
      <c r="M183" s="213">
        <f>'Small Chair'!AG326</f>
        <v>0</v>
      </c>
      <c r="N183" s="214">
        <f t="shared" si="61"/>
        <v>12060</v>
      </c>
      <c r="U183" s="3918" t="s">
        <v>24</v>
      </c>
      <c r="V183" s="3919"/>
      <c r="W183" s="2685">
        <f>SUM('Garden Table'!E4:T4)</f>
        <v>3420</v>
      </c>
      <c r="X183" s="254">
        <f>SUM(W185:W188)</f>
        <v>12</v>
      </c>
      <c r="Y183" s="240"/>
      <c r="Z183" s="216"/>
      <c r="AE183"/>
    </row>
    <row r="184" spans="1:31" ht="34.5" customHeight="1" thickBot="1">
      <c r="A184" s="186" t="s">
        <v>316</v>
      </c>
      <c r="B184" s="187">
        <f>'M-2'!P118</f>
        <v>0</v>
      </c>
      <c r="C184" s="187">
        <f>'M-2'!P118</f>
        <v>0</v>
      </c>
      <c r="D184" s="146">
        <f t="shared" si="62"/>
        <v>0</v>
      </c>
      <c r="E184" s="188"/>
      <c r="F184" s="188"/>
      <c r="G184" s="188"/>
      <c r="K184" s="211" t="s">
        <v>20</v>
      </c>
      <c r="L184" s="212">
        <f>SUM('Fruit Crate'!E216:AC216)</f>
        <v>0</v>
      </c>
      <c r="M184" s="213">
        <f>'Fruit Crate'!AF216</f>
        <v>0</v>
      </c>
      <c r="N184" s="212">
        <f t="shared" si="61"/>
        <v>0</v>
      </c>
      <c r="U184" s="3945" t="s">
        <v>23</v>
      </c>
      <c r="V184" s="3946"/>
      <c r="W184" s="2686">
        <f>SUM('Tea Table'!E4:S4)</f>
        <v>2316</v>
      </c>
      <c r="X184" s="248"/>
      <c r="Y184" s="267">
        <f>X179+X183</f>
        <v>127496</v>
      </c>
      <c r="AE184"/>
    </row>
    <row r="185" spans="1:31" ht="30.75" customHeight="1" thickBot="1">
      <c r="A185" s="186" t="s">
        <v>197</v>
      </c>
      <c r="B185" s="187">
        <f>'M-2'!U118</f>
        <v>5560</v>
      </c>
      <c r="C185" s="187">
        <f>'M-2'!AO118</f>
        <v>41</v>
      </c>
      <c r="D185" s="146">
        <f t="shared" si="62"/>
        <v>5601</v>
      </c>
      <c r="E185" s="188"/>
      <c r="F185" s="188"/>
      <c r="G185" s="188"/>
      <c r="K185" s="211" t="s">
        <v>492</v>
      </c>
      <c r="L185" s="3540">
        <f>'High cros'!AK336</f>
        <v>2800</v>
      </c>
      <c r="M185" s="213">
        <f>'High cros'!AG278</f>
        <v>0</v>
      </c>
      <c r="N185" s="214">
        <f t="shared" ref="N185" si="67">SUM(L185:M185)</f>
        <v>2800</v>
      </c>
      <c r="U185" s="3949" t="s">
        <v>406</v>
      </c>
      <c r="V185" s="3950"/>
      <c r="W185" s="238">
        <f>'BIG CHAIR'!CJ4+XUV!AF4+'Jordan Chair'!AF4+Innova!AF4+Sumo!V4+Yoddha!AF4+'Ring Table'!V4</f>
        <v>0</v>
      </c>
      <c r="X185" s="3574"/>
      <c r="Y185" s="268">
        <f>'Final Stock New'!D223+'Final Stock New'!K150</f>
        <v>83027</v>
      </c>
      <c r="AE185"/>
    </row>
    <row r="186" spans="1:31" ht="36.75" customHeight="1" thickBot="1">
      <c r="A186" s="186" t="s">
        <v>13</v>
      </c>
      <c r="B186" s="187">
        <f>'M-2'!I118</f>
        <v>0</v>
      </c>
      <c r="C186" s="187">
        <f>'M-2'!I118</f>
        <v>0</v>
      </c>
      <c r="D186" s="146">
        <f t="shared" si="62"/>
        <v>0</v>
      </c>
      <c r="E186" s="188"/>
      <c r="F186" s="188"/>
      <c r="G186" s="188"/>
      <c r="K186" s="211" t="s">
        <v>554</v>
      </c>
      <c r="L186" s="214">
        <f>SUM('Ring Table'!E244:S244)</f>
        <v>780</v>
      </c>
      <c r="M186" s="213">
        <f>'Ring Table'!V244</f>
        <v>0</v>
      </c>
      <c r="N186" s="214">
        <f t="shared" ref="N186" si="68">SUM(L186:M186)</f>
        <v>780</v>
      </c>
      <c r="U186" s="3947" t="s">
        <v>401</v>
      </c>
      <c r="V186" s="3948"/>
      <c r="W186" s="241">
        <f>Aless!AG4+'Chota Heritage'!AF4+'Baby Chair'!AF4+Activa!AF4+'EV Chair'!AF4+'ClipON Stool'!AF4+'Web Chair'!AF4</f>
        <v>12</v>
      </c>
      <c r="X186" s="256"/>
      <c r="Y186" s="269">
        <f>'BIG CHAIR'!CI220+'Jordan Chair'!AJ141+Aless!AK250+'Tea Table'!Z174+'Fruit Crate'!AJ133+'Baby Chair'!AJ119+Sumo!U145+XUV!AE182+'F.Stand &amp; C Table'!AE120+'Chota Heritage'!AE144+'Jordan New'!AE143+Innova!AE146+Activa!AE176+'Dining Table'!AE113</f>
        <v>0</v>
      </c>
      <c r="Z186" s="1"/>
      <c r="AA186" s="3150"/>
      <c r="AE186"/>
    </row>
    <row r="187" spans="1:31" ht="29.25" thickBot="1">
      <c r="A187" s="186" t="s">
        <v>23</v>
      </c>
      <c r="B187" s="187">
        <f>'M-2'!W118</f>
        <v>0</v>
      </c>
      <c r="C187" s="187">
        <f>'M-2'!AQ118</f>
        <v>0</v>
      </c>
      <c r="D187" s="146">
        <f t="shared" si="62"/>
        <v>0</v>
      </c>
      <c r="E187" s="188"/>
      <c r="F187" s="188"/>
      <c r="G187" s="188"/>
      <c r="K187" s="211" t="s">
        <v>24</v>
      </c>
      <c r="L187" s="212">
        <f>SUM('Garden Table'!E275:T275)</f>
        <v>4044</v>
      </c>
      <c r="M187" s="213">
        <f>'Garden Table'!W275</f>
        <v>0</v>
      </c>
      <c r="N187" s="212">
        <f t="shared" si="61"/>
        <v>4044</v>
      </c>
      <c r="U187" s="3953" t="s">
        <v>418</v>
      </c>
      <c r="V187" s="3954"/>
      <c r="W187" s="241">
        <f>'Fruit Crate'!AF4+'F.Stand &amp; C Table'!AF4+Stool!AF4+M.P.Stool!AF4+' BABA CHAIR 1'!AF4+'ARM LESS SUMO'!AG4+'High cros'!AG4</f>
        <v>0</v>
      </c>
      <c r="X187" s="258"/>
      <c r="Y187" s="270">
        <f>'BIG CHAIR'!CN200+'Jordan Chair'!AJ157+Aless!AK266+'Tea Table'!Z190</f>
        <v>0</v>
      </c>
      <c r="Z187" s="1"/>
      <c r="AA187" s="216"/>
      <c r="AE187"/>
    </row>
    <row r="188" spans="1:31" ht="29.25" thickBot="1">
      <c r="A188" s="186" t="s">
        <v>108</v>
      </c>
      <c r="B188" s="187">
        <f>'M-2'!X118</f>
        <v>0</v>
      </c>
      <c r="C188" s="187">
        <f>'M-2'!AR118</f>
        <v>0</v>
      </c>
      <c r="D188" s="146">
        <f t="shared" si="62"/>
        <v>0</v>
      </c>
      <c r="E188" s="188"/>
      <c r="F188" s="188"/>
      <c r="G188" s="188"/>
      <c r="K188" s="211" t="s">
        <v>23</v>
      </c>
      <c r="L188" s="212">
        <f>SUM('Tea Table'!E277:S277)</f>
        <v>4224</v>
      </c>
      <c r="M188" s="213">
        <f>'Tea Table'!V277</f>
        <v>0</v>
      </c>
      <c r="N188" s="212">
        <f t="shared" si="61"/>
        <v>4224</v>
      </c>
      <c r="O188" s="234"/>
      <c r="U188" s="3951" t="s">
        <v>370</v>
      </c>
      <c r="V188" s="3952"/>
      <c r="W188" s="243">
        <f>'Tea Table'!V4+'Jordan New'!AF4+'Dining Table'!AF4+'Garden Table'!W4+'Small Chair'!AG4</f>
        <v>0</v>
      </c>
      <c r="X188" s="246"/>
      <c r="Y188" s="271">
        <f>'BIG CHAIR'!CI228+'Jordan Chair'!AJ148+Aless!AK257+'Tea Table'!Z182</f>
        <v>0</v>
      </c>
      <c r="Z188" s="1"/>
      <c r="AA188" s="1"/>
      <c r="AE188"/>
    </row>
    <row r="189" spans="1:31" ht="34.5" thickBot="1">
      <c r="A189" s="186" t="s">
        <v>333</v>
      </c>
      <c r="B189" s="187">
        <f>'M-2'!S118</f>
        <v>0</v>
      </c>
      <c r="C189" s="187">
        <f>'M-2'!AM118</f>
        <v>0</v>
      </c>
      <c r="D189" s="146">
        <f t="shared" si="62"/>
        <v>0</v>
      </c>
      <c r="E189" s="188"/>
      <c r="F189" s="188"/>
      <c r="G189" s="188"/>
      <c r="K189" s="219" t="s">
        <v>22</v>
      </c>
      <c r="L189" s="3267">
        <f>SUM('F.Stand &amp; C Table'!M220:T220)</f>
        <v>1648</v>
      </c>
      <c r="M189" s="220">
        <f>'F.Stand &amp; C Table'!AF220</f>
        <v>0</v>
      </c>
      <c r="N189" s="221">
        <f t="shared" si="61"/>
        <v>1648</v>
      </c>
      <c r="O189" s="264"/>
      <c r="U189" s="245" t="s">
        <v>327</v>
      </c>
      <c r="V189" s="246"/>
      <c r="W189" s="247"/>
      <c r="X189" s="246"/>
      <c r="Y189" s="272">
        <f>'BIG CHAIR'!CN242+'Jordan Chair'!AJ246+Aless!AK348+'Tea Table'!Z283+'BIG CHAIR'!CN208+'Jordan Chair'!AJ165+'Tea Table'!Z198+'Fruit Crate'!AJ220</f>
        <v>0</v>
      </c>
      <c r="Z189" s="3941">
        <f>SUM(Y184:Y189)</f>
        <v>210523</v>
      </c>
      <c r="AA189" s="3942"/>
      <c r="AE189"/>
    </row>
    <row r="190" spans="1:31" ht="29.25" thickBot="1">
      <c r="A190" s="186" t="s">
        <v>335</v>
      </c>
      <c r="B190" s="187">
        <f>'M-2'!T118</f>
        <v>0</v>
      </c>
      <c r="C190" s="187">
        <f>'M-2'!AN118</f>
        <v>0</v>
      </c>
      <c r="D190" s="146">
        <f t="shared" si="62"/>
        <v>0</v>
      </c>
      <c r="E190" s="188"/>
      <c r="F190" s="188"/>
      <c r="G190" s="188"/>
      <c r="K190" s="222" t="s">
        <v>323</v>
      </c>
      <c r="L190" s="2914">
        <f>SUM(L160:L189)</f>
        <v>114518</v>
      </c>
      <c r="M190" s="223">
        <f>SUM(M160:M189)</f>
        <v>0</v>
      </c>
      <c r="N190" s="224">
        <f>SUM(N160:N189)</f>
        <v>114518</v>
      </c>
      <c r="O190" s="264"/>
      <c r="U190" s="3572" t="s">
        <v>375</v>
      </c>
      <c r="V190" s="3573"/>
      <c r="W190" s="3573"/>
      <c r="X190" s="261"/>
      <c r="Y190" s="273">
        <f>'Final Stock New'!N190</f>
        <v>114518</v>
      </c>
      <c r="AE190"/>
    </row>
    <row r="191" spans="1:31" ht="29.25" thickBot="1">
      <c r="A191" s="189" t="s">
        <v>22</v>
      </c>
      <c r="B191" s="190">
        <f>'M-2'!V118</f>
        <v>0</v>
      </c>
      <c r="C191" s="190">
        <f>'M-2'!AP118</f>
        <v>0</v>
      </c>
      <c r="D191" s="191">
        <f t="shared" si="62"/>
        <v>0</v>
      </c>
      <c r="E191" s="187" t="s">
        <v>318</v>
      </c>
      <c r="F191" s="187">
        <f>D192/'Final Stock New'!F168</f>
        <v>20161</v>
      </c>
      <c r="G191" s="192" t="s">
        <v>319</v>
      </c>
      <c r="K191" s="225" t="s">
        <v>328</v>
      </c>
      <c r="L191" s="226"/>
      <c r="M191" s="227"/>
      <c r="N191" s="228">
        <f>'Final Stock New'!N190*1/'Final Stock New'!D223</f>
        <v>1.3792862562780783</v>
      </c>
      <c r="O191" s="264"/>
      <c r="U191" s="255" t="s">
        <v>329</v>
      </c>
      <c r="V191" s="256"/>
      <c r="W191" s="256"/>
      <c r="X191" s="1"/>
      <c r="Y191" s="274"/>
      <c r="Z191" s="3955">
        <f>Y190</f>
        <v>114518</v>
      </c>
      <c r="AA191" s="3956"/>
      <c r="AE191"/>
    </row>
    <row r="192" spans="1:31" ht="36.75" thickBot="1">
      <c r="A192" s="186" t="s">
        <v>108</v>
      </c>
      <c r="B192" s="187">
        <f>SUM(B171:B191)</f>
        <v>20120</v>
      </c>
      <c r="C192" s="187">
        <f>SUM(C171:C191)</f>
        <v>41</v>
      </c>
      <c r="D192" s="187">
        <f>SUM(D171:D191)</f>
        <v>20161</v>
      </c>
      <c r="E192" s="196" t="s">
        <v>321</v>
      </c>
      <c r="F192" s="195">
        <f>'M-2'!F121</f>
        <v>1008</v>
      </c>
      <c r="G192" s="197">
        <f>'M-2'!AS122</f>
        <v>15</v>
      </c>
      <c r="K192" s="229" t="s">
        <v>331</v>
      </c>
      <c r="L192" s="230"/>
      <c r="M192" s="231"/>
      <c r="N192" s="232">
        <f>'Final Stock New'!N190-'Final Stock New'!D223</f>
        <v>31491</v>
      </c>
      <c r="O192" s="264"/>
      <c r="U192" s="257" t="s">
        <v>330</v>
      </c>
      <c r="V192" s="258"/>
      <c r="W192" s="258"/>
      <c r="X192" s="3570"/>
      <c r="Y192" s="3571"/>
      <c r="Z192" s="3943">
        <f>Z189-Z191</f>
        <v>96005</v>
      </c>
      <c r="AA192" s="3944"/>
      <c r="AE192"/>
    </row>
    <row r="193" spans="1:31" ht="29.25" thickBot="1">
      <c r="A193" s="194" t="s">
        <v>320</v>
      </c>
      <c r="B193" s="195">
        <f>'M-2'!F122</f>
        <v>1008</v>
      </c>
      <c r="C193" s="195">
        <f>'M-2'!Y122</f>
        <v>0</v>
      </c>
      <c r="D193" s="195">
        <f>SUM(B193:C193)</f>
        <v>1008</v>
      </c>
      <c r="K193" s="233" t="s">
        <v>338</v>
      </c>
      <c r="L193" s="234"/>
      <c r="M193" s="234"/>
      <c r="N193" s="234"/>
      <c r="O193" s="264"/>
      <c r="U193" s="259" t="s">
        <v>332</v>
      </c>
      <c r="V193" s="246"/>
      <c r="W193" s="246"/>
      <c r="AE193"/>
    </row>
    <row r="194" spans="1:31" ht="24" thickBot="1">
      <c r="A194" s="201" t="s">
        <v>339</v>
      </c>
      <c r="B194" s="202"/>
      <c r="H194" s="151"/>
      <c r="K194" s="3931" t="s">
        <v>8</v>
      </c>
      <c r="L194" s="3932"/>
      <c r="M194" s="235">
        <f>'Final Stock New'!AB5</f>
        <v>3008</v>
      </c>
      <c r="N194" s="120"/>
      <c r="O194" s="264"/>
      <c r="U194" s="259" t="s">
        <v>334</v>
      </c>
      <c r="V194" s="246"/>
      <c r="W194" s="246"/>
      <c r="AE194"/>
    </row>
    <row r="195" spans="1:31" ht="27" thickBot="1">
      <c r="A195" s="138" t="s">
        <v>309</v>
      </c>
      <c r="B195" s="139" t="s">
        <v>104</v>
      </c>
      <c r="C195" s="140" t="s">
        <v>80</v>
      </c>
      <c r="D195" s="2713" t="s">
        <v>106</v>
      </c>
      <c r="E195" s="203"/>
      <c r="F195" s="203"/>
      <c r="G195" s="152"/>
      <c r="H195" s="152"/>
      <c r="K195" s="3918" t="s">
        <v>18</v>
      </c>
      <c r="L195" s="3919"/>
      <c r="M195" s="251">
        <f>'Final Stock New'!AB12</f>
        <v>5184</v>
      </c>
      <c r="N195" s="120"/>
      <c r="O195" s="264"/>
      <c r="U195" s="260" t="s">
        <v>336</v>
      </c>
      <c r="V195" s="246"/>
      <c r="W195" s="246"/>
      <c r="AE195"/>
    </row>
    <row r="196" spans="1:31" ht="16.5" thickBot="1">
      <c r="A196" s="145" t="s">
        <v>8</v>
      </c>
      <c r="B196" s="146">
        <f>'M-3'!E120</f>
        <v>0</v>
      </c>
      <c r="C196" s="146">
        <f>'M-3'!AD120</f>
        <v>0</v>
      </c>
      <c r="D196" s="146">
        <f t="shared" ref="D196:D219" si="69">SUM(B196:C196)</f>
        <v>0</v>
      </c>
      <c r="E196" s="184"/>
      <c r="F196" s="184"/>
      <c r="G196" s="184"/>
      <c r="H196" s="184"/>
      <c r="K196" s="3918" t="s">
        <v>10</v>
      </c>
      <c r="L196" s="3919"/>
      <c r="M196" s="251">
        <f>'Final Stock New'!AB53</f>
        <v>6016</v>
      </c>
      <c r="N196" s="120"/>
      <c r="O196" s="264"/>
      <c r="U196" s="262"/>
      <c r="V196" s="1"/>
      <c r="W196" s="1"/>
      <c r="AE196"/>
    </row>
    <row r="197" spans="1:31" ht="32.25" thickBot="1">
      <c r="A197" s="145" t="s">
        <v>310</v>
      </c>
      <c r="B197" s="146">
        <f>'M-3'!F120</f>
        <v>0</v>
      </c>
      <c r="C197" s="146">
        <f>'M-3'!AE120</f>
        <v>0</v>
      </c>
      <c r="D197" s="146">
        <f t="shared" si="69"/>
        <v>0</v>
      </c>
      <c r="E197" s="204"/>
      <c r="F197" s="205"/>
      <c r="G197" s="3917"/>
      <c r="H197" s="3917"/>
      <c r="K197" s="3918" t="s">
        <v>11</v>
      </c>
      <c r="L197" s="3919"/>
      <c r="M197" s="3627">
        <f>AB39</f>
        <v>2384</v>
      </c>
      <c r="N197" s="120"/>
      <c r="O197" s="264"/>
      <c r="R197" s="120"/>
      <c r="U197" s="3569" t="s">
        <v>337</v>
      </c>
      <c r="V197" s="3570"/>
      <c r="W197" s="3570"/>
      <c r="AE197"/>
    </row>
    <row r="198" spans="1:31" ht="24" thickBot="1">
      <c r="A198" s="145" t="s">
        <v>10</v>
      </c>
      <c r="B198" s="146">
        <f>'M-3'!G120</f>
        <v>0</v>
      </c>
      <c r="C198" s="146">
        <f>'M-3'!AF120</f>
        <v>0</v>
      </c>
      <c r="D198" s="146">
        <f t="shared" si="69"/>
        <v>0</v>
      </c>
      <c r="E198" s="204"/>
      <c r="F198" s="205"/>
      <c r="G198" s="3917"/>
      <c r="H198" s="3917"/>
      <c r="K198" s="3918" t="s">
        <v>12</v>
      </c>
      <c r="L198" s="3919"/>
      <c r="M198" s="251">
        <f>'Final Stock New'!AB46</f>
        <v>10112</v>
      </c>
      <c r="N198" s="120"/>
      <c r="O198" s="264"/>
      <c r="R198" s="120"/>
      <c r="AE198"/>
    </row>
    <row r="199" spans="1:31" ht="24" thickBot="1">
      <c r="A199" s="145" t="s">
        <v>11</v>
      </c>
      <c r="B199" s="146">
        <f>'M-3'!I120</f>
        <v>0</v>
      </c>
      <c r="C199" s="146">
        <f>'M-3'!AH120</f>
        <v>0</v>
      </c>
      <c r="D199" s="146">
        <f t="shared" si="69"/>
        <v>0</v>
      </c>
      <c r="E199" s="204"/>
      <c r="F199" s="205"/>
      <c r="G199" s="3917"/>
      <c r="H199" s="3917"/>
      <c r="K199" s="3918" t="s">
        <v>317</v>
      </c>
      <c r="L199" s="3919"/>
      <c r="M199" s="251">
        <f>'Final Stock New'!AB19</f>
        <v>1248</v>
      </c>
      <c r="N199" s="120"/>
      <c r="O199" s="264"/>
      <c r="AE199"/>
    </row>
    <row r="200" spans="1:31" ht="24" thickBot="1">
      <c r="A200" s="145" t="s">
        <v>197</v>
      </c>
      <c r="B200" s="146">
        <f>'M-3'!AC120</f>
        <v>0</v>
      </c>
      <c r="C200" s="146">
        <f>'M-3'!BC120</f>
        <v>0</v>
      </c>
      <c r="D200" s="146">
        <f t="shared" si="69"/>
        <v>0</v>
      </c>
      <c r="E200" s="204"/>
      <c r="F200" s="205"/>
      <c r="G200" s="3917"/>
      <c r="H200" s="3917"/>
      <c r="K200" s="3924" t="s">
        <v>340</v>
      </c>
      <c r="L200" s="3925"/>
      <c r="M200" s="251">
        <f>'Final Stock New'!AB74+'Final Stock New'!T97</f>
        <v>2412</v>
      </c>
      <c r="N200" s="120"/>
      <c r="O200" s="264"/>
    </row>
    <row r="201" spans="1:31" ht="16.5" thickBot="1">
      <c r="A201" s="145" t="s">
        <v>586</v>
      </c>
      <c r="B201" s="146">
        <f>'M-3'!T120</f>
        <v>0</v>
      </c>
      <c r="C201" s="146">
        <f>'M-3'!AQ120</f>
        <v>0</v>
      </c>
      <c r="D201" s="146">
        <f t="shared" si="69"/>
        <v>0</v>
      </c>
      <c r="K201" s="3918" t="s">
        <v>13</v>
      </c>
      <c r="L201" s="3919"/>
      <c r="M201" s="251">
        <f>'Final Stock New'!AB115</f>
        <v>0</v>
      </c>
      <c r="N201" s="120"/>
      <c r="O201" s="264"/>
      <c r="AE201"/>
    </row>
    <row r="202" spans="1:31" ht="16.5" thickBot="1">
      <c r="A202" s="145" t="s">
        <v>405</v>
      </c>
      <c r="B202" s="146">
        <f>'M-3'!L120</f>
        <v>0</v>
      </c>
      <c r="C202" s="146">
        <f>'M-3'!AJ120</f>
        <v>0</v>
      </c>
      <c r="D202" s="146">
        <f t="shared" si="69"/>
        <v>0</v>
      </c>
      <c r="K202" s="3924" t="s">
        <v>16</v>
      </c>
      <c r="L202" s="3925"/>
      <c r="M202" s="251">
        <f>AB88</f>
        <v>-3080</v>
      </c>
      <c r="N202" s="120"/>
      <c r="O202" s="264"/>
      <c r="AE202"/>
    </row>
    <row r="203" spans="1:31" ht="16.5" thickBot="1">
      <c r="A203" s="145" t="s">
        <v>458</v>
      </c>
      <c r="B203" s="146">
        <f>'M-3'!M120</f>
        <v>0</v>
      </c>
      <c r="C203" s="146">
        <f>'M-3'!AL120</f>
        <v>0</v>
      </c>
      <c r="D203" s="146">
        <f t="shared" si="69"/>
        <v>0</v>
      </c>
      <c r="K203" s="3924" t="s">
        <v>44</v>
      </c>
      <c r="L203" s="3925"/>
      <c r="M203" s="3628">
        <f>'Final Stock New'!R132</f>
        <v>2032</v>
      </c>
      <c r="N203" s="120"/>
      <c r="O203" s="264"/>
      <c r="AE203"/>
    </row>
    <row r="204" spans="1:31" ht="16.5" thickBot="1">
      <c r="A204" s="145" t="s">
        <v>383</v>
      </c>
      <c r="B204" s="146">
        <f>'M-3'!O120</f>
        <v>0</v>
      </c>
      <c r="C204" s="146">
        <f>'M-3'!AM120</f>
        <v>0</v>
      </c>
      <c r="D204" s="146">
        <f t="shared" si="69"/>
        <v>0</v>
      </c>
      <c r="K204" s="3924" t="s">
        <v>14</v>
      </c>
      <c r="L204" s="3925"/>
      <c r="M204" s="251">
        <f>'Final Stock New'!AB95</f>
        <v>10860</v>
      </c>
      <c r="N204" s="120"/>
      <c r="O204" s="264"/>
      <c r="AE204"/>
    </row>
    <row r="205" spans="1:31" ht="16.5" thickBot="1">
      <c r="A205" s="145" t="s">
        <v>571</v>
      </c>
      <c r="B205" s="146">
        <f>'M-3'!N120</f>
        <v>3760</v>
      </c>
      <c r="C205" s="146">
        <f>'M-3'!AK120</f>
        <v>19</v>
      </c>
      <c r="D205" s="146">
        <f t="shared" si="69"/>
        <v>3779</v>
      </c>
      <c r="K205" s="3924" t="s">
        <v>15</v>
      </c>
      <c r="L205" s="3925"/>
      <c r="M205" s="251">
        <f>'Final Stock New'!AB109</f>
        <v>720</v>
      </c>
      <c r="N205" s="120"/>
      <c r="O205" s="264"/>
      <c r="AE205"/>
    </row>
    <row r="206" spans="1:31" ht="16.5" thickBot="1">
      <c r="A206" s="145" t="s">
        <v>315</v>
      </c>
      <c r="B206" s="146">
        <f>'M-3'!Y120</f>
        <v>0</v>
      </c>
      <c r="C206" s="146">
        <f>'M-3'!AZ120</f>
        <v>0</v>
      </c>
      <c r="D206" s="146">
        <f t="shared" si="69"/>
        <v>0</v>
      </c>
      <c r="K206" s="3924" t="s">
        <v>607</v>
      </c>
      <c r="L206" s="3925"/>
      <c r="M206" s="251">
        <f>AB136</f>
        <v>3740</v>
      </c>
      <c r="N206" s="120"/>
      <c r="O206" s="264"/>
      <c r="AE206"/>
    </row>
    <row r="207" spans="1:31" ht="16.5" thickBot="1">
      <c r="A207" s="145" t="s">
        <v>15</v>
      </c>
      <c r="B207" s="146">
        <f>'M-3'!Q120</f>
        <v>0</v>
      </c>
      <c r="C207" s="146">
        <f>'M-3'!AO120</f>
        <v>0</v>
      </c>
      <c r="D207" s="146">
        <f t="shared" si="69"/>
        <v>0</v>
      </c>
      <c r="K207" s="3918" t="s">
        <v>39</v>
      </c>
      <c r="L207" s="3919"/>
      <c r="M207" s="251">
        <f>'Final Stock New'!AB26</f>
        <v>1760</v>
      </c>
      <c r="N207" s="120"/>
      <c r="O207" s="264"/>
      <c r="AE207"/>
    </row>
    <row r="208" spans="1:31" ht="16.5" thickBot="1">
      <c r="A208" s="145" t="s">
        <v>402</v>
      </c>
      <c r="B208" s="146">
        <f>'M-3'!R120</f>
        <v>0</v>
      </c>
      <c r="C208" s="146">
        <f>'M-3'!AP120</f>
        <v>0</v>
      </c>
      <c r="D208" s="146">
        <f t="shared" si="69"/>
        <v>0</v>
      </c>
      <c r="K208" s="3918" t="s">
        <v>383</v>
      </c>
      <c r="L208" s="3919"/>
      <c r="M208" s="251">
        <f>'Final Stock New'!AB102</f>
        <v>2960</v>
      </c>
      <c r="N208" s="120"/>
      <c r="O208" s="264"/>
      <c r="AE208"/>
    </row>
    <row r="209" spans="1:31" ht="22.5" customHeight="1" thickBot="1">
      <c r="A209" s="145" t="s">
        <v>16</v>
      </c>
      <c r="B209" s="146">
        <f>'M-3'!P120</f>
        <v>0</v>
      </c>
      <c r="C209" s="146">
        <f>'M-3'!AN120</f>
        <v>0</v>
      </c>
      <c r="D209" s="146">
        <f t="shared" si="69"/>
        <v>0</v>
      </c>
      <c r="K209" s="3920" t="s">
        <v>197</v>
      </c>
      <c r="L209" s="3921"/>
      <c r="M209" s="251">
        <f>'Final Stock New'!AB32</f>
        <v>4760</v>
      </c>
      <c r="N209" s="120"/>
      <c r="O209" s="264"/>
      <c r="AE209"/>
    </row>
    <row r="210" spans="1:31" ht="23.25" customHeight="1" thickBot="1">
      <c r="A210" s="145" t="s">
        <v>341</v>
      </c>
      <c r="B210" s="146">
        <f>'M-3'!S120</f>
        <v>0</v>
      </c>
      <c r="C210" s="146">
        <f>'M-3'!AS120</f>
        <v>0</v>
      </c>
      <c r="D210" s="146">
        <f t="shared" si="69"/>
        <v>0</v>
      </c>
      <c r="E210" s="206"/>
      <c r="F210" s="206"/>
      <c r="G210" s="206"/>
      <c r="H210" s="206"/>
      <c r="K210" s="3918" t="s">
        <v>603</v>
      </c>
      <c r="L210" s="3919"/>
      <c r="M210" s="251">
        <f>'Final Stock New'!B124+'Final Stock New'!T124</f>
        <v>1860</v>
      </c>
      <c r="N210" s="236"/>
      <c r="O210" s="264"/>
      <c r="AE210"/>
    </row>
    <row r="211" spans="1:31" ht="23.25" customHeight="1" thickBot="1">
      <c r="A211" s="145" t="s">
        <v>21</v>
      </c>
      <c r="B211" s="146">
        <f>'M-3'!X120</f>
        <v>0</v>
      </c>
      <c r="C211" s="146">
        <f>'M-3'!AV120</f>
        <v>0</v>
      </c>
      <c r="D211" s="146">
        <f t="shared" si="69"/>
        <v>0</v>
      </c>
      <c r="E211" s="207"/>
      <c r="F211" s="207"/>
      <c r="G211" s="207"/>
      <c r="H211" s="208"/>
      <c r="K211" s="3918" t="s">
        <v>455</v>
      </c>
      <c r="L211" s="3919"/>
      <c r="M211" s="251">
        <f>'Final Stock New'!AB367</f>
        <v>2320</v>
      </c>
      <c r="N211" s="236"/>
      <c r="O211" s="264"/>
      <c r="V211" s="2917"/>
      <c r="AE211"/>
    </row>
    <row r="212" spans="1:31" ht="23.25" customHeight="1" thickBot="1">
      <c r="A212" s="186" t="s">
        <v>20</v>
      </c>
      <c r="B212" s="187">
        <f>'M-3'!W120</f>
        <v>0</v>
      </c>
      <c r="C212" s="187">
        <f>'M-3'!AU120</f>
        <v>0</v>
      </c>
      <c r="D212" s="146">
        <f t="shared" si="69"/>
        <v>0</v>
      </c>
      <c r="E212" s="207"/>
      <c r="F212" s="207"/>
      <c r="G212" s="207"/>
      <c r="H212" s="208"/>
      <c r="K212" s="3918" t="s">
        <v>421</v>
      </c>
      <c r="L212" s="3919"/>
      <c r="M212" s="251">
        <f>AB357</f>
        <v>1984</v>
      </c>
      <c r="N212" s="236"/>
      <c r="O212" s="264"/>
      <c r="AE212"/>
    </row>
    <row r="213" spans="1:31" ht="24" thickBot="1">
      <c r="A213" s="186" t="s">
        <v>316</v>
      </c>
      <c r="B213" s="187">
        <f>'M-3'!U120</f>
        <v>4812</v>
      </c>
      <c r="C213" s="187">
        <f>'M-3'!AR120</f>
        <v>28</v>
      </c>
      <c r="D213" s="146">
        <f t="shared" si="69"/>
        <v>4840</v>
      </c>
      <c r="E213" s="207"/>
      <c r="F213" s="207"/>
      <c r="G213" s="207"/>
      <c r="H213" s="208"/>
      <c r="K213" s="3918" t="s">
        <v>342</v>
      </c>
      <c r="L213" s="3919"/>
      <c r="M213" s="251">
        <f>'Final Stock New'!AB81</f>
        <v>3864</v>
      </c>
      <c r="N213" s="236"/>
      <c r="O213" s="120"/>
      <c r="AE213"/>
    </row>
    <row r="214" spans="1:31" ht="24" thickBot="1">
      <c r="A214" s="186" t="s">
        <v>12</v>
      </c>
      <c r="B214" s="187">
        <f>'M-3'!V120</f>
        <v>0</v>
      </c>
      <c r="C214" s="187">
        <f>'M-3'!AT120</f>
        <v>0</v>
      </c>
      <c r="D214" s="146">
        <f t="shared" si="69"/>
        <v>0</v>
      </c>
      <c r="E214" s="207"/>
      <c r="F214" s="207"/>
      <c r="G214" s="207"/>
      <c r="H214" s="208"/>
      <c r="K214" s="3918" t="s">
        <v>602</v>
      </c>
      <c r="L214" s="3919"/>
      <c r="M214" s="251">
        <f>AB397</f>
        <v>5534</v>
      </c>
      <c r="N214" s="236"/>
      <c r="O214" s="3215"/>
      <c r="AE214"/>
    </row>
    <row r="215" spans="1:31" ht="24" thickBot="1">
      <c r="A215" s="1739" t="s">
        <v>554</v>
      </c>
      <c r="B215" s="187">
        <f>'M-3'!J120</f>
        <v>2520</v>
      </c>
      <c r="C215" s="187">
        <f>'M-3'!AI120</f>
        <v>17</v>
      </c>
      <c r="D215" s="146">
        <f t="shared" si="69"/>
        <v>2537</v>
      </c>
      <c r="E215" s="207"/>
      <c r="F215" s="207"/>
      <c r="G215" s="207"/>
      <c r="H215" s="208"/>
      <c r="K215" s="3918" t="s">
        <v>492</v>
      </c>
      <c r="L215" s="3919"/>
      <c r="M215" s="3628">
        <f>AB378</f>
        <v>1640</v>
      </c>
      <c r="N215" s="236"/>
      <c r="O215" s="240"/>
      <c r="AE215"/>
    </row>
    <row r="216" spans="1:31" ht="24" thickBot="1">
      <c r="A216" s="186" t="s">
        <v>427</v>
      </c>
      <c r="B216" s="187">
        <f>'M-3'!K120</f>
        <v>0</v>
      </c>
      <c r="C216" s="187">
        <f>'M-3'!AX120</f>
        <v>0</v>
      </c>
      <c r="D216" s="146">
        <f t="shared" si="69"/>
        <v>0</v>
      </c>
      <c r="E216" s="207"/>
      <c r="F216" s="207"/>
      <c r="G216" s="207"/>
      <c r="H216" s="208"/>
      <c r="K216" s="3918" t="s">
        <v>606</v>
      </c>
      <c r="L216" s="3919"/>
      <c r="M216" s="251">
        <f>AB388</f>
        <v>6120</v>
      </c>
      <c r="N216" s="236"/>
      <c r="O216" s="240"/>
      <c r="AE216"/>
    </row>
    <row r="217" spans="1:31" ht="24" thickBot="1">
      <c r="A217" s="186" t="s">
        <v>48</v>
      </c>
      <c r="B217" s="187">
        <f>'M-3'!Z120</f>
        <v>0</v>
      </c>
      <c r="C217" s="187">
        <f>'M-3'!AY120</f>
        <v>0</v>
      </c>
      <c r="D217" s="146">
        <f t="shared" si="69"/>
        <v>0</v>
      </c>
      <c r="E217" s="207"/>
      <c r="F217" s="207"/>
      <c r="G217" s="207"/>
      <c r="H217" s="208"/>
      <c r="K217" s="3918" t="s">
        <v>405</v>
      </c>
      <c r="L217" s="3919"/>
      <c r="M217" s="251">
        <f>'Final Stock New'!AB67</f>
        <v>4176</v>
      </c>
      <c r="N217" s="236"/>
      <c r="O217" s="240"/>
      <c r="AE217"/>
    </row>
    <row r="218" spans="1:31" ht="29.25" thickBot="1">
      <c r="A218" s="186" t="s">
        <v>24</v>
      </c>
      <c r="B218" s="187">
        <f>'M-3'!AB120</f>
        <v>0</v>
      </c>
      <c r="C218" s="187">
        <f>'M-3'!BB120</f>
        <v>0</v>
      </c>
      <c r="D218" s="146">
        <f t="shared" si="69"/>
        <v>0</v>
      </c>
      <c r="E218" s="207"/>
      <c r="F218" s="207"/>
      <c r="G218" s="207"/>
      <c r="H218" s="208"/>
      <c r="K218" s="3918" t="s">
        <v>511</v>
      </c>
      <c r="L218" s="3919"/>
      <c r="M218" s="251">
        <f>AB407</f>
        <v>2508</v>
      </c>
      <c r="N218" s="237">
        <f>SUM(M194:M223)</f>
        <v>95194</v>
      </c>
      <c r="O218" s="249">
        <f>N218+N222</f>
        <v>95524</v>
      </c>
      <c r="Q218">
        <f>73+2317+3061</f>
        <v>5451</v>
      </c>
      <c r="AE218"/>
    </row>
    <row r="219" spans="1:31" ht="19.5" thickBot="1">
      <c r="A219" s="189" t="s">
        <v>23</v>
      </c>
      <c r="B219" s="190">
        <f>'M-3'!AA120</f>
        <v>0</v>
      </c>
      <c r="C219" s="190">
        <f>'M-3'!BA120</f>
        <v>0</v>
      </c>
      <c r="D219" s="191">
        <f t="shared" si="69"/>
        <v>0</v>
      </c>
      <c r="E219" s="187" t="s">
        <v>318</v>
      </c>
      <c r="F219" s="187">
        <f>D220/'Final Stock New'!F168</f>
        <v>11156</v>
      </c>
      <c r="G219" s="192" t="s">
        <v>319</v>
      </c>
      <c r="H219" s="208"/>
      <c r="K219" s="3918" t="s">
        <v>605</v>
      </c>
      <c r="L219" s="3919"/>
      <c r="M219" s="251">
        <f>'Ring Table'!U252</f>
        <v>3672</v>
      </c>
      <c r="N219" s="239"/>
      <c r="O219" s="264"/>
      <c r="AE219"/>
    </row>
    <row r="220" spans="1:31" ht="19.5" thickBot="1">
      <c r="A220" s="186" t="s">
        <v>108</v>
      </c>
      <c r="B220" s="187">
        <f>SUM(B196:B219)</f>
        <v>11092</v>
      </c>
      <c r="C220" s="187">
        <f>SUM(C196:C219)</f>
        <v>64</v>
      </c>
      <c r="D220" s="187">
        <f>SUM(D196:D219)</f>
        <v>11156</v>
      </c>
      <c r="E220" s="3012" t="s">
        <v>321</v>
      </c>
      <c r="F220" s="187">
        <f>'M-3'!F123</f>
        <v>657</v>
      </c>
      <c r="G220" s="192">
        <f>'M-3'!BD124</f>
        <v>4</v>
      </c>
      <c r="H220" s="208"/>
      <c r="K220" s="3918" t="s">
        <v>20</v>
      </c>
      <c r="L220" s="3919"/>
      <c r="M220" s="251">
        <f>'Final Stock New'!AB60</f>
        <v>0</v>
      </c>
      <c r="N220" s="239"/>
      <c r="O220" s="2845">
        <f>O218-N153</f>
        <v>-481</v>
      </c>
    </row>
    <row r="221" spans="1:31" ht="19.5" thickBot="1">
      <c r="A221" s="3011" t="s">
        <v>320</v>
      </c>
      <c r="B221" s="187">
        <f>'M-3'!F124</f>
        <v>0</v>
      </c>
      <c r="C221" s="187">
        <f>'M-3'!AD124</f>
        <v>9</v>
      </c>
      <c r="D221" s="187">
        <f>SUM(B221:C221)</f>
        <v>9</v>
      </c>
      <c r="H221" s="208"/>
      <c r="K221" s="3918" t="s">
        <v>22</v>
      </c>
      <c r="L221" s="3919"/>
      <c r="M221" s="251">
        <f>'Final Stock New'!K90</f>
        <v>3824</v>
      </c>
      <c r="N221" s="242"/>
      <c r="O221" s="2845"/>
      <c r="AE221"/>
    </row>
    <row r="222" spans="1:31" ht="24" thickBot="1">
      <c r="E222" s="3017" t="s">
        <v>318</v>
      </c>
      <c r="F222" s="3018">
        <f>D223/'Final Stock New'!F168</f>
        <v>83027</v>
      </c>
      <c r="G222" s="3019" t="s">
        <v>319</v>
      </c>
      <c r="H222" s="208"/>
      <c r="K222" s="3918" t="s">
        <v>24</v>
      </c>
      <c r="L222" s="3919"/>
      <c r="M222" s="251">
        <f>'Final Stock New'!R141</f>
        <v>900</v>
      </c>
      <c r="N222" s="244">
        <f>SUM(M224:M227)</f>
        <v>330</v>
      </c>
      <c r="O222" s="2845"/>
      <c r="AE222"/>
    </row>
    <row r="223" spans="1:31" ht="29.25" thickBot="1">
      <c r="A223" s="3013" t="s">
        <v>344</v>
      </c>
      <c r="B223" s="3014">
        <f>'Final Stock New'!B167+'Final Stock New'!B192+'Final Stock New'!B220+'Final Stock New'!B257+'Final Stock New'!B287+'Final Stock New'!B319+B351</f>
        <v>82694</v>
      </c>
      <c r="C223" s="3015">
        <f>'Final Stock New'!C167+'Final Stock New'!C192+'Final Stock New'!C220+'Final Stock New'!C257+'Final Stock New'!C287+'Final Stock New'!C319</f>
        <v>307</v>
      </c>
      <c r="D223" s="3016">
        <f>'Final Stock New'!D167+'Final Stock New'!D192+'Final Stock New'!D220+'Final Stock New'!D257+'Final Stock New'!D287+'Final Stock New'!D319+D351</f>
        <v>83027</v>
      </c>
      <c r="E223" s="3024" t="s">
        <v>321</v>
      </c>
      <c r="F223" s="3025">
        <f>'Final Stock New'!F167+'Final Stock New'!F192+'Final Stock New'!F220+'Final Stock New'!F256+'Final Stock New'!F285</f>
        <v>2933</v>
      </c>
      <c r="G223" s="3026">
        <f>'Final Stock New'!G167+'Final Stock New'!G192+'Final Stock New'!G220+'Final Stock New'!G256+'Final Stock New'!G285</f>
        <v>30</v>
      </c>
      <c r="H223" s="210"/>
      <c r="K223" s="3945" t="s">
        <v>23</v>
      </c>
      <c r="L223" s="3946"/>
      <c r="M223" s="2718">
        <f>'Final Stock New'!R128</f>
        <v>2676</v>
      </c>
      <c r="N223" s="248"/>
      <c r="AE223"/>
    </row>
    <row r="224" spans="1:31" ht="29.25" thickBot="1">
      <c r="A224" s="3020" t="s">
        <v>345</v>
      </c>
      <c r="B224" s="3021">
        <f>'Final Stock New'!B168+'Final Stock New'!B193+'Final Stock New'!B221+'Final Stock New'!B258+'Final Stock New'!B288</f>
        <v>2276</v>
      </c>
      <c r="C224" s="3022">
        <f>'Final Stock New'!C168+'Final Stock New'!C193+'Final Stock New'!C221+'Final Stock New'!C258+'Final Stock New'!C288</f>
        <v>9</v>
      </c>
      <c r="D224" s="3023">
        <f>'Final Stock New'!D168+'Final Stock New'!D193+'Final Stock New'!D221+'Final Stock New'!D258+'Final Stock New'!D288</f>
        <v>2285</v>
      </c>
      <c r="E224" s="3031"/>
      <c r="F224" s="3032"/>
      <c r="G224" s="3033"/>
      <c r="H224" s="210"/>
      <c r="K224" s="3931" t="s">
        <v>422</v>
      </c>
      <c r="L224" s="3932"/>
      <c r="M224" s="238">
        <f>'BIG CHAIR'!CJ359+XUV!AF296+Innova!AF256+Activa!AF286+Yoddha!AF266+'EV Chair'!AF302+'ClipON Stool'!AF237</f>
        <v>113</v>
      </c>
      <c r="AE224"/>
    </row>
    <row r="225" spans="1:31" ht="24" thickBot="1">
      <c r="A225" s="3027" t="s">
        <v>347</v>
      </c>
      <c r="B225" s="3028" t="s">
        <v>104</v>
      </c>
      <c r="C225" s="3029" t="s">
        <v>80</v>
      </c>
      <c r="D225" s="3030" t="s">
        <v>106</v>
      </c>
      <c r="E225" s="3031"/>
      <c r="F225" s="3032"/>
      <c r="G225" s="3033"/>
      <c r="H225" s="210"/>
      <c r="K225" s="2715" t="s">
        <v>343</v>
      </c>
      <c r="L225" s="2716"/>
      <c r="M225" s="241">
        <f>'Jordan Chair'!AF250+Aless!AG352+'Chota Heritage'!AF254+'Jordan New'!AF253</f>
        <v>91</v>
      </c>
      <c r="AE225"/>
    </row>
    <row r="226" spans="1:31" ht="24" thickBot="1">
      <c r="A226" s="3034" t="s">
        <v>348</v>
      </c>
      <c r="B226" s="3035">
        <f>'BIG CHAIR'!CI220</f>
        <v>0</v>
      </c>
      <c r="C226" s="3036">
        <f>'BIG CHAIR'!CJ220</f>
        <v>0</v>
      </c>
      <c r="D226" s="3037">
        <f>SUM(B226:C226)</f>
        <v>0</v>
      </c>
      <c r="E226" s="3031"/>
      <c r="F226" s="3032"/>
      <c r="G226" s="3033"/>
      <c r="H226" s="210"/>
      <c r="K226" s="2715" t="s">
        <v>403</v>
      </c>
      <c r="L226" s="2716"/>
      <c r="M226" s="241">
        <f>'Fruit Crate'!AF224+'Baby Chair'!AF217+Stool!AF242+'F.Stand &amp; C Table'!AF230+' BABA CHAIR 1'!AF219</f>
        <v>14</v>
      </c>
      <c r="AE226"/>
    </row>
    <row r="227" spans="1:31" ht="21.75" thickBot="1">
      <c r="A227" s="3038" t="s">
        <v>341</v>
      </c>
      <c r="B227" s="3039">
        <f>'Jordan Chair'!AE141</f>
        <v>0</v>
      </c>
      <c r="C227" s="3040">
        <f>'Jordan Chair'!AF141</f>
        <v>0</v>
      </c>
      <c r="D227" s="3037">
        <f>SUM(B227:C227)</f>
        <v>0</v>
      </c>
      <c r="E227" s="3031"/>
      <c r="F227" s="3032"/>
      <c r="G227" s="3033"/>
      <c r="K227" s="2555" t="s">
        <v>386</v>
      </c>
      <c r="L227" s="2554"/>
      <c r="M227" s="243">
        <f>'Tea Table'!V285+'Dining Table'!AF215+Sumo!V252+'Garden Table'!W283+'Small Chair'!AG336+M.P.Stool!AF222</f>
        <v>112</v>
      </c>
      <c r="AE227"/>
    </row>
    <row r="228" spans="1:31" ht="19.5" thickBot="1">
      <c r="A228" s="3041" t="s">
        <v>349</v>
      </c>
      <c r="B228" s="3042">
        <f>'Tea Table'!U174</f>
        <v>0</v>
      </c>
      <c r="C228" s="3043">
        <f>'Tea Table'!V174</f>
        <v>0</v>
      </c>
      <c r="D228" s="3037">
        <f>SUM(B228:C228)</f>
        <v>0</v>
      </c>
      <c r="E228" s="3048"/>
      <c r="F228" s="3048"/>
      <c r="G228" s="3048"/>
      <c r="K228" s="245" t="s">
        <v>346</v>
      </c>
      <c r="L228" s="246"/>
      <c r="M228" s="247"/>
      <c r="AE228"/>
    </row>
    <row r="229" spans="1:31" ht="24" thickBot="1">
      <c r="A229" s="3044" t="s">
        <v>106</v>
      </c>
      <c r="B229" s="3045">
        <f>SUM(B226:B228)</f>
        <v>0</v>
      </c>
      <c r="C229" s="3046">
        <f>SUM(C226:C228)</f>
        <v>0</v>
      </c>
      <c r="D229" s="3047">
        <f>SUM(D226:D228)</f>
        <v>0</v>
      </c>
      <c r="E229" s="3048"/>
      <c r="F229" s="3048"/>
      <c r="G229" s="3048"/>
      <c r="M229">
        <f>3144+3615</f>
        <v>6759</v>
      </c>
      <c r="AE229"/>
    </row>
    <row r="230" spans="1:31" ht="27" thickBot="1">
      <c r="A230" s="3049" t="s">
        <v>350</v>
      </c>
      <c r="B230" s="3050">
        <f>'Final Stock New'!B223+B229</f>
        <v>82694</v>
      </c>
      <c r="C230" s="3051">
        <f>'Final Stock New'!C223+C229</f>
        <v>307</v>
      </c>
      <c r="D230" s="3052">
        <f>'Final Stock New'!D223</f>
        <v>83027</v>
      </c>
      <c r="AE230"/>
    </row>
    <row r="231" spans="1:31" ht="15">
      <c r="E231" s="2917"/>
      <c r="H231" s="184"/>
      <c r="AE231"/>
    </row>
    <row r="232" spans="1:31" ht="23.25" thickBot="1">
      <c r="A232" s="198" t="s">
        <v>351</v>
      </c>
      <c r="B232" s="3"/>
      <c r="H232" s="151"/>
      <c r="AE232"/>
    </row>
    <row r="233" spans="1:31" ht="21.75" thickBot="1">
      <c r="A233" s="138" t="s">
        <v>309</v>
      </c>
      <c r="B233" s="139" t="s">
        <v>104</v>
      </c>
      <c r="C233" s="140" t="s">
        <v>80</v>
      </c>
      <c r="D233" s="2713" t="s">
        <v>106</v>
      </c>
      <c r="E233" s="203"/>
      <c r="F233" s="203"/>
      <c r="G233" s="152"/>
      <c r="H233" s="152"/>
      <c r="AE233"/>
    </row>
    <row r="234" spans="1:31" ht="19.5" thickBot="1">
      <c r="A234" s="145" t="s">
        <v>8</v>
      </c>
      <c r="B234" s="187">
        <f>'M-4'!E115</f>
        <v>0</v>
      </c>
      <c r="C234" s="146">
        <f>'M-4'!AA115</f>
        <v>0</v>
      </c>
      <c r="D234" s="187">
        <f t="shared" ref="D234:D249" si="70">SUM(B234:C234)</f>
        <v>0</v>
      </c>
      <c r="E234" s="184"/>
      <c r="F234" s="184"/>
      <c r="G234" s="184"/>
      <c r="H234" s="184"/>
    </row>
    <row r="235" spans="1:31" ht="24" thickBot="1">
      <c r="A235" s="145" t="s">
        <v>310</v>
      </c>
      <c r="B235" s="187">
        <f>'M-4'!F115</f>
        <v>0</v>
      </c>
      <c r="C235" s="146">
        <f>'M-4'!AB115</f>
        <v>0</v>
      </c>
      <c r="D235" s="146">
        <f t="shared" si="70"/>
        <v>0</v>
      </c>
      <c r="E235" s="204"/>
      <c r="F235" s="205"/>
      <c r="G235" s="3917"/>
      <c r="H235" s="3917"/>
      <c r="AC235" s="3"/>
      <c r="AD235" s="3"/>
      <c r="AE235" s="124"/>
    </row>
    <row r="236" spans="1:31" ht="24" thickBot="1">
      <c r="A236" s="145" t="s">
        <v>10</v>
      </c>
      <c r="B236" s="187">
        <f>'M-4'!G115</f>
        <v>0</v>
      </c>
      <c r="C236" s="146">
        <f>'M-4'!AC115</f>
        <v>0</v>
      </c>
      <c r="D236" s="146">
        <f t="shared" si="70"/>
        <v>0</v>
      </c>
      <c r="E236" s="204"/>
      <c r="F236" s="205"/>
      <c r="G236" s="3917"/>
      <c r="H236" s="3917"/>
      <c r="AC236" s="3"/>
      <c r="AD236" s="3"/>
      <c r="AE236" s="124"/>
    </row>
    <row r="237" spans="1:31" ht="24" thickBot="1">
      <c r="A237" s="145" t="s">
        <v>316</v>
      </c>
      <c r="B237" s="187">
        <f>'M-4'!S115</f>
        <v>0</v>
      </c>
      <c r="C237" s="146">
        <f>'M-4'!AO115</f>
        <v>0</v>
      </c>
      <c r="D237" s="146">
        <f t="shared" si="70"/>
        <v>0</v>
      </c>
      <c r="E237" s="204"/>
      <c r="F237" s="205"/>
      <c r="G237" s="3917"/>
      <c r="H237" s="3917"/>
      <c r="AC237" s="3"/>
      <c r="AD237" s="3"/>
      <c r="AE237" s="124"/>
    </row>
    <row r="238" spans="1:31" ht="24" thickBot="1">
      <c r="A238" s="145" t="s">
        <v>405</v>
      </c>
      <c r="B238" s="187">
        <f>'M-4'!T115</f>
        <v>0</v>
      </c>
      <c r="C238" s="146">
        <f>'M-4'!AP115</f>
        <v>0</v>
      </c>
      <c r="D238" s="146">
        <f t="shared" si="70"/>
        <v>0</v>
      </c>
      <c r="E238" s="204"/>
      <c r="F238" s="205"/>
      <c r="G238" s="3917"/>
      <c r="H238" s="3917"/>
      <c r="O238" s="3"/>
      <c r="AC238" s="3"/>
      <c r="AD238" s="3"/>
    </row>
    <row r="239" spans="1:31" ht="24" thickBot="1">
      <c r="A239" s="145" t="s">
        <v>11</v>
      </c>
      <c r="B239" s="187">
        <f>'M-4'!H115</f>
        <v>0</v>
      </c>
      <c r="C239" s="146">
        <f>'M-4'!AD115</f>
        <v>0</v>
      </c>
      <c r="D239" s="146">
        <f t="shared" si="70"/>
        <v>0</v>
      </c>
      <c r="E239" s="204"/>
      <c r="F239" s="205"/>
      <c r="G239" s="3917"/>
      <c r="H239" s="3917"/>
      <c r="O239" s="3"/>
      <c r="AC239" s="3"/>
      <c r="AD239" s="3"/>
    </row>
    <row r="240" spans="1:31" ht="19.5" thickBot="1">
      <c r="A240" s="145" t="s">
        <v>597</v>
      </c>
      <c r="B240" s="187">
        <f>'M-4'!R115</f>
        <v>0</v>
      </c>
      <c r="C240" s="146">
        <f>'M-4'!AN115</f>
        <v>0</v>
      </c>
      <c r="D240" s="146">
        <f t="shared" si="70"/>
        <v>0</v>
      </c>
      <c r="I240" s="206"/>
      <c r="O240" s="3"/>
      <c r="P240" s="1"/>
      <c r="R240" s="1"/>
      <c r="S240" s="1"/>
      <c r="T240" s="3"/>
      <c r="X240" s="3"/>
      <c r="Y240" s="3"/>
      <c r="Z240" s="3"/>
      <c r="AA240" s="3"/>
      <c r="AB240" s="3"/>
      <c r="AC240" s="3"/>
      <c r="AD240" s="3"/>
    </row>
    <row r="241" spans="1:31" ht="21.75" thickBot="1">
      <c r="A241" s="145" t="s">
        <v>578</v>
      </c>
      <c r="B241" s="187">
        <f>'M-4'!N115</f>
        <v>0</v>
      </c>
      <c r="C241" s="146">
        <f>'M-4'!AJ115</f>
        <v>0</v>
      </c>
      <c r="D241" s="146">
        <f t="shared" si="70"/>
        <v>0</v>
      </c>
      <c r="I241" s="209"/>
      <c r="O241" s="3"/>
      <c r="P241" s="1"/>
      <c r="Q241" s="1"/>
      <c r="R241" s="1"/>
      <c r="S241" s="1"/>
      <c r="T241" s="3"/>
      <c r="X241" s="3"/>
      <c r="Y241" s="3"/>
      <c r="Z241" s="3"/>
      <c r="AA241" s="3"/>
      <c r="AB241" s="3"/>
      <c r="AC241" s="276"/>
      <c r="AD241" s="3"/>
    </row>
    <row r="242" spans="1:31" ht="21.75" thickBot="1">
      <c r="A242" s="145" t="s">
        <v>44</v>
      </c>
      <c r="B242" s="187"/>
      <c r="C242" s="146"/>
      <c r="D242" s="146">
        <f t="shared" si="70"/>
        <v>0</v>
      </c>
      <c r="I242" s="209"/>
      <c r="O242" s="1"/>
      <c r="P242" s="1"/>
      <c r="Q242" s="1"/>
      <c r="R242" s="1"/>
      <c r="S242" s="1"/>
      <c r="T242" s="3"/>
      <c r="X242" s="3"/>
      <c r="Y242" s="3"/>
      <c r="Z242" s="3"/>
      <c r="AA242" s="3"/>
      <c r="AB242" s="3"/>
      <c r="AC242" s="276"/>
      <c r="AD242" s="3"/>
    </row>
    <row r="243" spans="1:31" ht="21.75" thickBot="1">
      <c r="A243" s="1993" t="s">
        <v>417</v>
      </c>
      <c r="B243" s="187">
        <f>'M-4'!P115</f>
        <v>0</v>
      </c>
      <c r="C243" s="146">
        <f>'M-4'!AL115</f>
        <v>0</v>
      </c>
      <c r="D243" s="146">
        <f t="shared" si="70"/>
        <v>0</v>
      </c>
      <c r="I243" s="275"/>
      <c r="N243" s="3"/>
      <c r="P243" s="1"/>
      <c r="Q243" s="1"/>
      <c r="R243" s="1"/>
      <c r="S243" s="1"/>
      <c r="T243" s="3"/>
      <c r="X243" s="3"/>
      <c r="Y243" s="3"/>
      <c r="Z243" s="3"/>
      <c r="AA243" s="3"/>
      <c r="AB243" s="3"/>
      <c r="AE243"/>
    </row>
    <row r="244" spans="1:31" ht="16.5" thickBot="1">
      <c r="A244" s="145" t="s">
        <v>377</v>
      </c>
      <c r="B244" s="187">
        <f>'M-4'!W115</f>
        <v>0</v>
      </c>
      <c r="C244" s="146">
        <f>'M-4'!AS115</f>
        <v>0</v>
      </c>
      <c r="D244" s="146">
        <f t="shared" si="70"/>
        <v>0</v>
      </c>
      <c r="I244" s="206"/>
      <c r="N244" s="3"/>
      <c r="P244" s="1"/>
      <c r="Q244" s="1"/>
      <c r="R244" s="1"/>
      <c r="S244" s="1"/>
      <c r="T244" s="3"/>
      <c r="X244" s="3"/>
      <c r="Y244" s="3"/>
      <c r="Z244" s="3"/>
      <c r="AA244" s="3"/>
      <c r="AB244" s="3"/>
      <c r="AE244"/>
    </row>
    <row r="245" spans="1:31" ht="21.75" thickBot="1">
      <c r="A245" s="145" t="s">
        <v>574</v>
      </c>
      <c r="B245" s="187">
        <f>'M-4'!O115</f>
        <v>0</v>
      </c>
      <c r="C245" s="146">
        <f>'M-4'!AK115</f>
        <v>0</v>
      </c>
      <c r="D245" s="146">
        <f t="shared" si="70"/>
        <v>0</v>
      </c>
      <c r="I245" s="1"/>
      <c r="N245" s="3"/>
      <c r="Q245" s="1"/>
      <c r="R245" s="1"/>
      <c r="S245" s="1"/>
      <c r="T245" s="3"/>
      <c r="U245" s="3"/>
      <c r="V245" s="3"/>
      <c r="W245" s="3"/>
      <c r="X245" s="279"/>
      <c r="Y245" s="279"/>
      <c r="Z245" s="3"/>
      <c r="AA245" s="3"/>
      <c r="AB245" s="3"/>
    </row>
    <row r="246" spans="1:31" ht="27" thickBot="1">
      <c r="A246" s="145" t="s">
        <v>17</v>
      </c>
      <c r="B246" s="187">
        <f>'M-4'!Q115</f>
        <v>0</v>
      </c>
      <c r="C246" s="146">
        <f>'M-4'!AM115</f>
        <v>0</v>
      </c>
      <c r="D246" s="146">
        <f t="shared" si="70"/>
        <v>0</v>
      </c>
      <c r="E246" s="206"/>
      <c r="F246" s="206"/>
      <c r="G246" s="206"/>
      <c r="H246" s="206"/>
      <c r="I246" s="1"/>
      <c r="N246" s="3"/>
      <c r="Q246" s="1"/>
      <c r="R246" s="1"/>
      <c r="S246" s="1"/>
      <c r="T246" s="3"/>
      <c r="U246" s="3"/>
      <c r="V246" s="3"/>
      <c r="W246" s="3"/>
      <c r="X246" s="276"/>
      <c r="Y246" s="276"/>
      <c r="Z246" s="279"/>
      <c r="AA246" s="279"/>
      <c r="AB246" s="281"/>
    </row>
    <row r="247" spans="1:31" ht="27" thickBot="1">
      <c r="A247" s="145" t="s">
        <v>21</v>
      </c>
      <c r="B247" s="187">
        <f>'M-4'!V115</f>
        <v>0</v>
      </c>
      <c r="C247" s="146">
        <f>'M-4'!AR115</f>
        <v>0</v>
      </c>
      <c r="D247" s="146">
        <f t="shared" si="70"/>
        <v>0</v>
      </c>
      <c r="E247" s="207"/>
      <c r="F247" s="207"/>
      <c r="G247" s="207"/>
      <c r="H247" s="208"/>
      <c r="I247" s="1"/>
      <c r="N247" s="1"/>
      <c r="Q247" s="1"/>
      <c r="R247" s="1"/>
      <c r="S247" s="1"/>
      <c r="T247" s="3"/>
      <c r="U247" s="3"/>
      <c r="V247" s="3"/>
      <c r="W247" s="3"/>
      <c r="X247" s="276"/>
      <c r="Y247" s="276"/>
      <c r="Z247" s="279"/>
      <c r="AA247" s="279"/>
      <c r="AB247" s="281"/>
    </row>
    <row r="248" spans="1:31" ht="19.5" thickBot="1">
      <c r="A248" s="186" t="s">
        <v>20</v>
      </c>
      <c r="B248" s="187">
        <f>'M-4'!U115</f>
        <v>0</v>
      </c>
      <c r="C248" s="146">
        <f>'M-4'!AQ115</f>
        <v>0</v>
      </c>
      <c r="D248" s="146">
        <f t="shared" si="70"/>
        <v>0</v>
      </c>
      <c r="E248" s="207"/>
      <c r="F248" s="207"/>
      <c r="G248" s="207"/>
      <c r="H248" s="208"/>
      <c r="I248" s="1"/>
      <c r="K248" s="1"/>
      <c r="L248" s="3"/>
      <c r="M248" s="3"/>
      <c r="Q248" s="276"/>
      <c r="R248" s="276"/>
      <c r="U248" s="3"/>
      <c r="V248" s="3"/>
      <c r="W248" s="3"/>
    </row>
    <row r="249" spans="1:31" ht="19.5" thickBot="1">
      <c r="A249" s="186" t="s">
        <v>423</v>
      </c>
      <c r="B249" s="187">
        <f>'M-4'!M115</f>
        <v>0</v>
      </c>
      <c r="C249" s="146">
        <f>'M-4'!AI115</f>
        <v>0</v>
      </c>
      <c r="D249" s="146">
        <f t="shared" si="70"/>
        <v>0</v>
      </c>
      <c r="E249" s="207"/>
      <c r="F249" s="207"/>
      <c r="G249" s="207"/>
      <c r="H249" s="208"/>
      <c r="I249" s="1"/>
      <c r="K249" s="1"/>
      <c r="L249" s="3"/>
      <c r="M249" s="3"/>
      <c r="U249" s="3"/>
      <c r="V249" s="3"/>
      <c r="W249" s="3"/>
    </row>
    <row r="250" spans="1:31" ht="21.75" thickBot="1">
      <c r="A250" s="186" t="s">
        <v>13</v>
      </c>
      <c r="B250" s="187">
        <f>'M-4'!L115</f>
        <v>0</v>
      </c>
      <c r="C250" s="146">
        <f>'M-4'!AH115</f>
        <v>0</v>
      </c>
      <c r="D250" s="146">
        <f>SUM(B250:C250)</f>
        <v>0</v>
      </c>
      <c r="E250" s="207"/>
      <c r="F250" s="207"/>
      <c r="G250" s="207"/>
      <c r="H250" s="208"/>
      <c r="I250" s="1"/>
      <c r="K250" s="1"/>
      <c r="L250" s="3"/>
      <c r="M250" s="3"/>
      <c r="R250" s="253"/>
      <c r="U250" s="3"/>
      <c r="V250" s="3"/>
      <c r="W250" s="279"/>
    </row>
    <row r="251" spans="1:31" ht="24" thickBot="1">
      <c r="A251" s="186" t="s">
        <v>12</v>
      </c>
      <c r="B251" s="187">
        <f>'M-4'!K115</f>
        <v>11328</v>
      </c>
      <c r="C251" s="146">
        <f>'M-4'!AG115</f>
        <v>43</v>
      </c>
      <c r="D251" s="146">
        <f>SUM(B251:C251)</f>
        <v>11371</v>
      </c>
      <c r="E251" s="207"/>
      <c r="F251" s="207"/>
      <c r="G251" s="207"/>
      <c r="H251" s="208"/>
      <c r="I251" s="1"/>
      <c r="K251" s="1"/>
      <c r="L251" s="3"/>
      <c r="M251" s="3"/>
      <c r="U251" s="3"/>
      <c r="V251" s="280"/>
      <c r="W251" s="276"/>
      <c r="AE251"/>
    </row>
    <row r="252" spans="1:31" ht="24" thickBot="1">
      <c r="A252" s="186" t="s">
        <v>197</v>
      </c>
      <c r="B252" s="187">
        <f>'M-4'!I115</f>
        <v>0</v>
      </c>
      <c r="C252" s="146">
        <f>'M-4'!AF115</f>
        <v>0</v>
      </c>
      <c r="D252" s="146">
        <f>SUM(B252:C252)</f>
        <v>0</v>
      </c>
      <c r="E252" s="207"/>
      <c r="F252" s="207"/>
      <c r="G252" s="207"/>
      <c r="H252" s="208"/>
      <c r="K252" s="1"/>
      <c r="L252" s="1"/>
      <c r="M252" s="1"/>
      <c r="U252" s="3"/>
      <c r="V252" s="280"/>
      <c r="W252" s="276"/>
      <c r="AE252"/>
    </row>
    <row r="253" spans="1:31" ht="19.5" thickBot="1">
      <c r="A253" s="146" t="s">
        <v>23</v>
      </c>
      <c r="B253" s="187">
        <f>'M-4'!Y115</f>
        <v>0</v>
      </c>
      <c r="C253" s="146">
        <f>'M-4'!AU115</f>
        <v>0</v>
      </c>
      <c r="D253" s="195">
        <f>SUM(B253:C253)</f>
        <v>0</v>
      </c>
      <c r="E253" s="207"/>
      <c r="F253" s="207"/>
      <c r="G253" s="207"/>
      <c r="H253" s="208"/>
      <c r="K253" s="1"/>
      <c r="M253" s="3"/>
      <c r="U253" s="4"/>
      <c r="AE253"/>
    </row>
    <row r="254" spans="1:31" ht="19.5" thickBot="1">
      <c r="A254" s="146" t="s">
        <v>22</v>
      </c>
      <c r="B254" s="187">
        <f>'M-4'!X115</f>
        <v>0</v>
      </c>
      <c r="C254" s="146">
        <f>'M-4'!AT115</f>
        <v>0</v>
      </c>
      <c r="D254" s="195">
        <f>SUM(B254:C254)</f>
        <v>0</v>
      </c>
      <c r="E254" s="207"/>
      <c r="F254" s="207"/>
      <c r="G254" s="207"/>
      <c r="H254" s="208"/>
      <c r="K254" s="1"/>
      <c r="M254" s="3"/>
      <c r="U254" s="4"/>
    </row>
    <row r="255" spans="1:31" ht="19.5" thickBot="1">
      <c r="A255" s="145" t="s">
        <v>492</v>
      </c>
      <c r="B255" s="187">
        <f>'M-4'!J115</f>
        <v>0</v>
      </c>
      <c r="C255" s="146">
        <f>'M-4'!AR123</f>
        <v>0</v>
      </c>
      <c r="D255" s="146">
        <f t="shared" ref="D255" si="71">SUM(B255:C255)</f>
        <v>0</v>
      </c>
      <c r="E255" s="187" t="s">
        <v>318</v>
      </c>
      <c r="F255" s="187">
        <f>D257/'Final Stock New'!F168</f>
        <v>11371</v>
      </c>
      <c r="G255" s="192" t="s">
        <v>319</v>
      </c>
      <c r="H255" s="208"/>
      <c r="K255" s="1"/>
      <c r="M255" s="3"/>
      <c r="Q255" s="1"/>
      <c r="R255" s="1"/>
      <c r="S255" s="1"/>
      <c r="T255" s="1"/>
      <c r="X255" s="1"/>
      <c r="AE255"/>
    </row>
    <row r="256" spans="1:31" ht="19.5" thickBot="1">
      <c r="A256" s="146" t="s">
        <v>24</v>
      </c>
      <c r="B256" s="187">
        <f>'M-4'!Z115</f>
        <v>0</v>
      </c>
      <c r="C256" s="146">
        <f>'M-4'!AV115</f>
        <v>0</v>
      </c>
      <c r="D256" s="195">
        <f>SUM(B256:C256)</f>
        <v>0</v>
      </c>
      <c r="E256" s="196" t="s">
        <v>321</v>
      </c>
      <c r="F256" s="195">
        <f>'M-4'!F118</f>
        <v>480</v>
      </c>
      <c r="G256" s="197">
        <f>'M-4'!AW119</f>
        <v>3</v>
      </c>
      <c r="H256" s="208"/>
      <c r="K256" s="276"/>
      <c r="M256" s="3"/>
      <c r="Q256" s="1"/>
      <c r="R256" s="1"/>
      <c r="S256" s="1"/>
      <c r="T256" s="1"/>
      <c r="X256" s="1"/>
      <c r="AE256"/>
    </row>
    <row r="257" spans="1:24" ht="29.25" thickBot="1">
      <c r="A257" s="186" t="s">
        <v>108</v>
      </c>
      <c r="B257" s="187">
        <f>SUM(B234:B256)</f>
        <v>11328</v>
      </c>
      <c r="C257" s="187">
        <f>SUM(C234:C256)</f>
        <v>43</v>
      </c>
      <c r="D257" s="187">
        <f>SUM(D234:D256)</f>
        <v>11371</v>
      </c>
      <c r="K257" s="277"/>
      <c r="M257" s="3"/>
      <c r="Q257" s="1"/>
      <c r="R257" s="1"/>
      <c r="S257" s="1"/>
      <c r="T257" s="1"/>
      <c r="X257" s="1"/>
    </row>
    <row r="258" spans="1:24" ht="29.25" thickBot="1">
      <c r="A258" s="194" t="s">
        <v>320</v>
      </c>
      <c r="B258" s="195">
        <f>'M-4'!F119</f>
        <v>480</v>
      </c>
      <c r="C258" s="195">
        <f>'M-4'!AA119</f>
        <v>0</v>
      </c>
      <c r="D258" s="195">
        <f>SUM(B258:C258)</f>
        <v>480</v>
      </c>
      <c r="H258" s="151"/>
      <c r="K258" s="277"/>
      <c r="M258" s="3"/>
    </row>
    <row r="259" spans="1:24" ht="21.75" thickBot="1">
      <c r="A259" s="2495" t="s">
        <v>352</v>
      </c>
      <c r="B259" s="2494"/>
      <c r="C259" s="2494"/>
      <c r="E259" s="203"/>
      <c r="F259" s="203"/>
      <c r="G259" s="152"/>
      <c r="H259" s="152"/>
      <c r="K259" s="278"/>
      <c r="M259" s="3"/>
    </row>
    <row r="260" spans="1:24" ht="21.75" thickBot="1">
      <c r="A260" s="138" t="s">
        <v>309</v>
      </c>
      <c r="B260" s="139" t="s">
        <v>104</v>
      </c>
      <c r="C260" s="140" t="s">
        <v>80</v>
      </c>
      <c r="D260" s="2713" t="s">
        <v>106</v>
      </c>
      <c r="E260" s="184"/>
      <c r="F260" s="184"/>
      <c r="G260" s="184"/>
      <c r="H260" s="184"/>
      <c r="K260" s="278"/>
      <c r="M260" s="3"/>
      <c r="U260" s="1"/>
      <c r="V260" s="253"/>
      <c r="W260" s="1"/>
    </row>
    <row r="261" spans="1:24" ht="24" thickBot="1">
      <c r="A261" s="145" t="s">
        <v>8</v>
      </c>
      <c r="B261" s="187">
        <f>'M-5'!E116</f>
        <v>0</v>
      </c>
      <c r="C261" s="146">
        <f>'M-5'!AE116</f>
        <v>0</v>
      </c>
      <c r="D261" s="187">
        <f t="shared" ref="D261:D286" si="72">SUM(B261:C261)</f>
        <v>0</v>
      </c>
      <c r="E261" s="204"/>
      <c r="F261" s="205"/>
      <c r="G261" s="3917"/>
      <c r="H261" s="3917"/>
      <c r="K261" s="1"/>
      <c r="M261" s="3"/>
      <c r="U261" s="1"/>
      <c r="V261" s="1"/>
      <c r="W261" s="1"/>
    </row>
    <row r="262" spans="1:24" ht="24" thickBot="1">
      <c r="A262" s="145" t="s">
        <v>310</v>
      </c>
      <c r="B262" s="187">
        <f>'M-5'!F116</f>
        <v>0</v>
      </c>
      <c r="C262" s="146">
        <f>'M-5'!AF116</f>
        <v>0</v>
      </c>
      <c r="D262" s="146">
        <f t="shared" si="72"/>
        <v>0</v>
      </c>
      <c r="E262" s="204"/>
      <c r="F262" s="205"/>
      <c r="G262" s="3917"/>
      <c r="H262" s="3917"/>
      <c r="K262" s="1"/>
      <c r="M262" s="3"/>
      <c r="U262" s="1"/>
      <c r="V262" s="1"/>
      <c r="W262" s="1"/>
    </row>
    <row r="263" spans="1:24" ht="24" thickBot="1">
      <c r="A263" s="145" t="s">
        <v>10</v>
      </c>
      <c r="B263" s="187">
        <f>'M-5'!G116</f>
        <v>0</v>
      </c>
      <c r="C263" s="146">
        <f>'M-5'!AG116</f>
        <v>0</v>
      </c>
      <c r="D263" s="146">
        <f t="shared" si="72"/>
        <v>0</v>
      </c>
      <c r="E263" s="204"/>
      <c r="F263" s="205"/>
      <c r="G263" s="3917"/>
      <c r="H263" s="3917"/>
      <c r="M263" s="3"/>
      <c r="V263" s="253"/>
    </row>
    <row r="264" spans="1:24" ht="24" thickBot="1">
      <c r="A264" s="145" t="s">
        <v>11</v>
      </c>
      <c r="B264" s="187">
        <f>'M-5'!H116</f>
        <v>0</v>
      </c>
      <c r="C264" s="146">
        <f>'M-5'!AH116</f>
        <v>0</v>
      </c>
      <c r="D264" s="146">
        <f t="shared" si="72"/>
        <v>0</v>
      </c>
      <c r="E264" s="204"/>
      <c r="F264" s="205"/>
      <c r="G264" s="3917"/>
      <c r="H264" s="3917"/>
      <c r="M264" s="3"/>
    </row>
    <row r="265" spans="1:24" ht="24" thickBot="1">
      <c r="A265" s="145" t="s">
        <v>14</v>
      </c>
      <c r="B265" s="187">
        <f>'M-5'!O116</f>
        <v>0</v>
      </c>
      <c r="C265" s="146">
        <f>'M-5'!AN116</f>
        <v>0</v>
      </c>
      <c r="D265" s="146">
        <f t="shared" si="72"/>
        <v>0</v>
      </c>
      <c r="E265" s="204"/>
      <c r="F265" s="205"/>
      <c r="G265" s="3917"/>
      <c r="H265" s="3917"/>
      <c r="M265" s="3"/>
      <c r="V265" s="253"/>
    </row>
    <row r="266" spans="1:24" ht="24" thickBot="1">
      <c r="A266" s="145" t="s">
        <v>383</v>
      </c>
      <c r="B266" s="187">
        <f>'M-5'!V116</f>
        <v>0</v>
      </c>
      <c r="C266" s="146">
        <f>'M-5'!AV116</f>
        <v>0</v>
      </c>
      <c r="D266" s="146">
        <f t="shared" si="72"/>
        <v>0</v>
      </c>
      <c r="E266" s="204"/>
      <c r="F266" s="205"/>
      <c r="G266" s="3917"/>
      <c r="H266" s="3917"/>
      <c r="V266" s="253"/>
    </row>
    <row r="267" spans="1:24" ht="24" thickBot="1">
      <c r="A267" s="145" t="s">
        <v>44</v>
      </c>
      <c r="B267" s="187"/>
      <c r="C267" s="146"/>
      <c r="D267" s="146">
        <f t="shared" si="72"/>
        <v>0</v>
      </c>
      <c r="E267" s="204"/>
      <c r="F267" s="205"/>
      <c r="G267" s="3917"/>
      <c r="H267" s="3917"/>
    </row>
    <row r="268" spans="1:24" ht="24" thickBot="1">
      <c r="A268" s="145" t="s">
        <v>405</v>
      </c>
      <c r="B268" s="187">
        <f>'M-5'!M116</f>
        <v>0</v>
      </c>
      <c r="C268" s="146">
        <f>'M-5'!AL116</f>
        <v>0</v>
      </c>
      <c r="D268" s="146">
        <f t="shared" si="72"/>
        <v>0</v>
      </c>
      <c r="E268" s="204"/>
      <c r="F268" s="205"/>
      <c r="G268" s="3917"/>
      <c r="H268" s="3917"/>
    </row>
    <row r="269" spans="1:24" ht="24" thickBot="1">
      <c r="A269" s="128" t="s">
        <v>581</v>
      </c>
      <c r="B269" s="187">
        <f>'M-5'!J116</f>
        <v>0</v>
      </c>
      <c r="C269" s="146">
        <f>'M-5'!AJ116</f>
        <v>0</v>
      </c>
      <c r="D269" s="146">
        <f t="shared" si="72"/>
        <v>0</v>
      </c>
      <c r="E269" s="204"/>
      <c r="F269" s="205"/>
      <c r="G269" s="3917"/>
      <c r="H269" s="3917"/>
    </row>
    <row r="270" spans="1:24" ht="24" thickBot="1">
      <c r="A270" s="145" t="s">
        <v>15</v>
      </c>
      <c r="B270" s="187">
        <f>'M-5'!Q116</f>
        <v>0</v>
      </c>
      <c r="C270" s="146">
        <f>'M-5'!AO116</f>
        <v>0</v>
      </c>
      <c r="D270" s="146">
        <f t="shared" si="72"/>
        <v>0</v>
      </c>
      <c r="E270" s="204"/>
      <c r="F270" s="205"/>
      <c r="G270" s="3917"/>
      <c r="H270" s="3917"/>
    </row>
    <row r="271" spans="1:24" ht="24" thickBot="1">
      <c r="A271" s="145" t="s">
        <v>417</v>
      </c>
      <c r="B271" s="187">
        <f>'M-5'!R116</f>
        <v>0</v>
      </c>
      <c r="C271" s="146">
        <f>'M-5'!AP116</f>
        <v>0</v>
      </c>
      <c r="D271" s="146">
        <f t="shared" si="72"/>
        <v>0</v>
      </c>
      <c r="E271" s="204"/>
      <c r="F271" s="205"/>
      <c r="G271" s="3917"/>
      <c r="H271" s="3917"/>
    </row>
    <row r="272" spans="1:24" ht="19.5" thickBot="1">
      <c r="A272" s="145" t="s">
        <v>16</v>
      </c>
      <c r="B272" s="187">
        <f>'M-5'!U116</f>
        <v>0</v>
      </c>
      <c r="C272" s="146">
        <f>'M-5'!AU116</f>
        <v>0</v>
      </c>
      <c r="D272" s="146">
        <f t="shared" si="72"/>
        <v>0</v>
      </c>
    </row>
    <row r="273" spans="1:8" ht="19.5" thickBot="1">
      <c r="A273" s="3515" t="s">
        <v>520</v>
      </c>
      <c r="B273" s="187">
        <f>'M-5'!L116</f>
        <v>0</v>
      </c>
      <c r="C273" s="146">
        <f>'M-5'!AS116</f>
        <v>0</v>
      </c>
      <c r="D273" s="146">
        <f t="shared" si="72"/>
        <v>0</v>
      </c>
    </row>
    <row r="274" spans="1:8" ht="19.5" thickBot="1">
      <c r="A274" s="145" t="s">
        <v>212</v>
      </c>
      <c r="B274" s="187">
        <f>'M-5'!P116</f>
        <v>0</v>
      </c>
      <c r="C274" s="146">
        <f>'M-5'!AQ116</f>
        <v>0</v>
      </c>
      <c r="D274" s="146">
        <f t="shared" si="72"/>
        <v>0</v>
      </c>
      <c r="E274" s="206"/>
      <c r="F274" s="206"/>
      <c r="G274" s="206"/>
      <c r="H274" s="206"/>
    </row>
    <row r="275" spans="1:8" ht="19.5" thickBot="1">
      <c r="A275" s="3495" t="s">
        <v>511</v>
      </c>
      <c r="B275" s="187">
        <f>'M-5'!N116</f>
        <v>0</v>
      </c>
      <c r="C275" s="146">
        <f>'M-5'!AM116</f>
        <v>0</v>
      </c>
      <c r="D275" s="146">
        <f t="shared" ref="D275" si="73">SUM(B275:C275)</f>
        <v>0</v>
      </c>
      <c r="E275" s="206"/>
      <c r="F275" s="206"/>
      <c r="G275" s="206"/>
      <c r="H275" s="206"/>
    </row>
    <row r="276" spans="1:8" ht="19.5" thickBot="1">
      <c r="A276" s="145" t="s">
        <v>18</v>
      </c>
      <c r="B276" s="187">
        <f>'M-5'!S116</f>
        <v>6448</v>
      </c>
      <c r="C276" s="146">
        <f>'M-5'!AR116</f>
        <v>37</v>
      </c>
      <c r="D276" s="146">
        <f t="shared" si="72"/>
        <v>6485</v>
      </c>
      <c r="E276" s="206"/>
      <c r="F276" s="206"/>
      <c r="G276" s="206"/>
      <c r="H276" s="206"/>
    </row>
    <row r="277" spans="1:8" ht="19.5" thickBot="1">
      <c r="A277" s="145" t="s">
        <v>21</v>
      </c>
      <c r="B277" s="187">
        <f>'M-5'!X116</f>
        <v>0</v>
      </c>
      <c r="C277" s="146">
        <f>'M-5'!BA116</f>
        <v>0</v>
      </c>
      <c r="D277" s="146">
        <f t="shared" si="72"/>
        <v>0</v>
      </c>
      <c r="E277" s="207"/>
      <c r="F277" s="207"/>
      <c r="G277" s="207"/>
      <c r="H277" s="208"/>
    </row>
    <row r="278" spans="1:8" ht="19.5" thickBot="1">
      <c r="A278" s="145" t="s">
        <v>333</v>
      </c>
      <c r="B278" s="187">
        <f>'M-5'!Z116</f>
        <v>0</v>
      </c>
      <c r="C278" s="146">
        <f>'M-5'!AY116</f>
        <v>0</v>
      </c>
      <c r="D278" s="146">
        <f t="shared" si="72"/>
        <v>0</v>
      </c>
      <c r="E278" s="207"/>
      <c r="F278" s="207"/>
      <c r="G278" s="207"/>
      <c r="H278" s="208"/>
    </row>
    <row r="279" spans="1:8" ht="19.5" thickBot="1">
      <c r="A279" s="145" t="s">
        <v>377</v>
      </c>
      <c r="B279" s="187">
        <f>'M-5'!AA116</f>
        <v>0</v>
      </c>
      <c r="C279" s="146">
        <f>'M-5'!AZ116</f>
        <v>0</v>
      </c>
      <c r="D279" s="146">
        <f t="shared" si="72"/>
        <v>0</v>
      </c>
      <c r="E279" s="207"/>
      <c r="F279" s="207"/>
      <c r="G279" s="207"/>
      <c r="H279" s="208"/>
    </row>
    <row r="280" spans="1:8" ht="19.5" thickBot="1">
      <c r="A280" s="186" t="s">
        <v>316</v>
      </c>
      <c r="B280" s="187">
        <f>'M-5'!T116</f>
        <v>0</v>
      </c>
      <c r="C280" s="146">
        <f>'M-5'!AT116</f>
        <v>0</v>
      </c>
      <c r="D280" s="146">
        <f t="shared" si="72"/>
        <v>0</v>
      </c>
      <c r="E280" s="207"/>
      <c r="F280" s="207"/>
      <c r="G280" s="207"/>
      <c r="H280" s="208"/>
    </row>
    <row r="281" spans="1:8" ht="19.5" thickBot="1">
      <c r="A281" s="186" t="s">
        <v>456</v>
      </c>
      <c r="B281" s="187">
        <f>'M-5'!AD116</f>
        <v>0</v>
      </c>
      <c r="C281" s="146">
        <f>'M-5'!BD116</f>
        <v>0</v>
      </c>
      <c r="D281" s="146">
        <f t="shared" si="72"/>
        <v>0</v>
      </c>
      <c r="E281" s="207"/>
      <c r="F281" s="207"/>
      <c r="G281" s="207"/>
      <c r="H281" s="208"/>
    </row>
    <row r="282" spans="1:8" ht="19.5" thickBot="1">
      <c r="A282" s="189" t="s">
        <v>23</v>
      </c>
      <c r="B282" s="187">
        <f>'M-5'!AC116</f>
        <v>4584</v>
      </c>
      <c r="C282" s="146">
        <f>'M-5'!BC116</f>
        <v>29</v>
      </c>
      <c r="D282" s="195">
        <f t="shared" si="72"/>
        <v>4613</v>
      </c>
      <c r="E282" s="207"/>
      <c r="F282" s="207"/>
      <c r="G282" s="207"/>
      <c r="H282" s="208"/>
    </row>
    <row r="283" spans="1:8" ht="19.5" thickBot="1">
      <c r="A283" s="146" t="s">
        <v>22</v>
      </c>
      <c r="B283" s="187">
        <f>'M-5'!AB116</f>
        <v>0</v>
      </c>
      <c r="C283" s="146">
        <f>'M-5'!BB116</f>
        <v>0</v>
      </c>
      <c r="D283" s="195">
        <f t="shared" si="72"/>
        <v>0</v>
      </c>
      <c r="E283" s="207"/>
      <c r="F283" s="207"/>
      <c r="G283" s="207"/>
      <c r="H283" s="208"/>
    </row>
    <row r="284" spans="1:8" ht="19.5" thickBot="1">
      <c r="A284" s="146" t="s">
        <v>12</v>
      </c>
      <c r="B284" s="187">
        <f>'M-5'!K116</f>
        <v>0</v>
      </c>
      <c r="C284" s="146">
        <f>'M-5'!AK116</f>
        <v>0</v>
      </c>
      <c r="D284" s="195">
        <f t="shared" si="72"/>
        <v>0</v>
      </c>
      <c r="E284" s="187" t="s">
        <v>318</v>
      </c>
      <c r="F284" s="187">
        <f>D287/'Final Stock New'!F168</f>
        <v>11098</v>
      </c>
      <c r="G284" s="192" t="s">
        <v>319</v>
      </c>
      <c r="H284" s="208"/>
    </row>
    <row r="285" spans="1:8" ht="19.5" thickBot="1">
      <c r="A285" s="146" t="s">
        <v>197</v>
      </c>
      <c r="B285" s="187">
        <f>'M-5'!Y116</f>
        <v>0</v>
      </c>
      <c r="C285" s="146">
        <f>'M-5'!AX116</f>
        <v>0</v>
      </c>
      <c r="D285" s="195">
        <f t="shared" si="72"/>
        <v>0</v>
      </c>
      <c r="E285" s="196" t="s">
        <v>321</v>
      </c>
      <c r="F285" s="195">
        <f>'M-5'!F119</f>
        <v>704</v>
      </c>
      <c r="G285" s="197">
        <f>'M-5'!BE120</f>
        <v>8</v>
      </c>
      <c r="H285" s="208"/>
    </row>
    <row r="286" spans="1:8" ht="19.5" thickBot="1">
      <c r="A286" s="146" t="s">
        <v>13</v>
      </c>
      <c r="B286" s="187">
        <f>'M-5'!I116</f>
        <v>0</v>
      </c>
      <c r="C286" s="146">
        <f>'M-5'!AI116</f>
        <v>0</v>
      </c>
      <c r="D286" s="195">
        <f t="shared" si="72"/>
        <v>0</v>
      </c>
    </row>
    <row r="287" spans="1:8" ht="19.5" thickBot="1">
      <c r="A287" s="186" t="s">
        <v>108</v>
      </c>
      <c r="B287" s="187">
        <f>SUM(B261:B286)</f>
        <v>11032</v>
      </c>
      <c r="C287" s="187">
        <f>SUM(C261:C286)</f>
        <v>66</v>
      </c>
      <c r="D287" s="187">
        <f>SUM(D261:D286)</f>
        <v>11098</v>
      </c>
    </row>
    <row r="288" spans="1:8" ht="19.5" thickBot="1">
      <c r="A288" s="194" t="s">
        <v>320</v>
      </c>
      <c r="B288" s="195">
        <f>'M-5'!F120</f>
        <v>704</v>
      </c>
      <c r="C288" s="195">
        <f>'M-5'!AE133</f>
        <v>0</v>
      </c>
      <c r="D288" s="195">
        <f>SUM(B288:C288)</f>
        <v>704</v>
      </c>
      <c r="H288" s="151"/>
    </row>
    <row r="289" spans="1:8" ht="21">
      <c r="E289" s="203"/>
      <c r="F289" s="203"/>
      <c r="G289" s="152"/>
      <c r="H289" s="152"/>
    </row>
    <row r="290" spans="1:8" ht="19.5" thickBot="1">
      <c r="A290" s="2495" t="s">
        <v>389</v>
      </c>
      <c r="B290" s="2494"/>
      <c r="C290" s="2494"/>
      <c r="E290" s="184"/>
      <c r="F290" s="184"/>
      <c r="G290" s="184"/>
      <c r="H290" s="184"/>
    </row>
    <row r="291" spans="1:8" ht="24" thickBot="1">
      <c r="A291" s="138" t="s">
        <v>309</v>
      </c>
      <c r="B291" s="139" t="s">
        <v>104</v>
      </c>
      <c r="C291" s="140" t="s">
        <v>80</v>
      </c>
      <c r="D291" s="2713" t="s">
        <v>106</v>
      </c>
      <c r="E291" s="204"/>
      <c r="F291" s="205"/>
      <c r="G291" s="3917"/>
      <c r="H291" s="3917"/>
    </row>
    <row r="292" spans="1:8" ht="24" thickBot="1">
      <c r="A292" s="145" t="s">
        <v>8</v>
      </c>
      <c r="B292" s="187">
        <f>'M-6'!E123</f>
        <v>0</v>
      </c>
      <c r="C292" s="146">
        <f>'M-5'!AE144</f>
        <v>0</v>
      </c>
      <c r="D292" s="187">
        <f t="shared" ref="D292:D318" si="74">SUM(B292:C292)</f>
        <v>0</v>
      </c>
      <c r="E292" s="204"/>
      <c r="F292" s="205"/>
      <c r="G292" s="3917"/>
      <c r="H292" s="3917"/>
    </row>
    <row r="293" spans="1:8" ht="24" thickBot="1">
      <c r="A293" s="145" t="s">
        <v>310</v>
      </c>
      <c r="B293" s="187">
        <f>'M-6'!F123</f>
        <v>0</v>
      </c>
      <c r="C293" s="146">
        <f>'M-6'!AG123</f>
        <v>0</v>
      </c>
      <c r="D293" s="146">
        <f t="shared" si="74"/>
        <v>0</v>
      </c>
      <c r="E293" s="204"/>
      <c r="F293" s="205"/>
      <c r="G293" s="3917"/>
      <c r="H293" s="3917"/>
    </row>
    <row r="294" spans="1:8" ht="24" thickBot="1">
      <c r="A294" s="145" t="s">
        <v>10</v>
      </c>
      <c r="B294" s="187">
        <f>'M-6'!G123</f>
        <v>0</v>
      </c>
      <c r="C294" s="146">
        <f>'M-6'!AH123</f>
        <v>0</v>
      </c>
      <c r="D294" s="146">
        <f t="shared" si="74"/>
        <v>0</v>
      </c>
      <c r="E294" s="204"/>
      <c r="F294" s="205"/>
      <c r="G294" s="3917"/>
      <c r="H294" s="3917"/>
    </row>
    <row r="295" spans="1:8" ht="24" thickBot="1">
      <c r="A295" s="145" t="s">
        <v>11</v>
      </c>
      <c r="B295" s="187">
        <f>'M-6'!H123</f>
        <v>0</v>
      </c>
      <c r="C295" s="146">
        <f>'M-6'!AI123</f>
        <v>0</v>
      </c>
      <c r="D295" s="146">
        <f t="shared" si="74"/>
        <v>0</v>
      </c>
      <c r="E295" s="204"/>
      <c r="F295" s="205"/>
      <c r="G295" s="3917"/>
      <c r="H295" s="3917"/>
    </row>
    <row r="296" spans="1:8" ht="24" thickBot="1">
      <c r="A296" s="146" t="s">
        <v>405</v>
      </c>
      <c r="B296" s="187">
        <f>'M-6'!I123</f>
        <v>7626</v>
      </c>
      <c r="C296" s="146">
        <f>'M-6'!AJ123</f>
        <v>0</v>
      </c>
      <c r="D296" s="146">
        <f t="shared" si="74"/>
        <v>7626</v>
      </c>
      <c r="E296" s="204"/>
      <c r="F296" s="205"/>
      <c r="G296" s="3917"/>
      <c r="H296" s="3917"/>
    </row>
    <row r="297" spans="1:8" ht="24" thickBot="1">
      <c r="A297" s="145" t="s">
        <v>14</v>
      </c>
      <c r="B297" s="187">
        <f>'M-6'!M123</f>
        <v>0</v>
      </c>
      <c r="C297" s="146">
        <f>'M-6'!AM123</f>
        <v>0</v>
      </c>
      <c r="D297" s="146">
        <f t="shared" si="74"/>
        <v>0</v>
      </c>
      <c r="E297" s="204"/>
      <c r="F297" s="205"/>
      <c r="G297" s="3917"/>
      <c r="H297" s="3917"/>
    </row>
    <row r="298" spans="1:8" ht="24" thickBot="1">
      <c r="A298" s="145" t="s">
        <v>383</v>
      </c>
      <c r="B298" s="187">
        <f>'M-6'!W123</f>
        <v>0</v>
      </c>
      <c r="C298" s="146">
        <f>'M-6'!AY123</f>
        <v>0</v>
      </c>
      <c r="D298" s="146">
        <f t="shared" si="74"/>
        <v>0</v>
      </c>
      <c r="E298" s="204"/>
      <c r="F298" s="205"/>
      <c r="G298" s="3917"/>
      <c r="H298" s="3917"/>
    </row>
    <row r="299" spans="1:8" ht="24" thickBot="1">
      <c r="A299" s="145" t="s">
        <v>440</v>
      </c>
      <c r="B299" s="187">
        <f>'M-6'!N123</f>
        <v>0</v>
      </c>
      <c r="C299" s="146">
        <f>'M-6'!AN123</f>
        <v>0</v>
      </c>
      <c r="D299" s="146">
        <f t="shared" si="74"/>
        <v>0</v>
      </c>
      <c r="E299" s="204"/>
      <c r="F299" s="205"/>
      <c r="G299" s="3917"/>
      <c r="H299" s="3917"/>
    </row>
    <row r="300" spans="1:8" ht="24" thickBot="1">
      <c r="A300" s="145" t="s">
        <v>44</v>
      </c>
      <c r="B300" s="187">
        <f>'M-6'!O123</f>
        <v>0</v>
      </c>
      <c r="C300" s="146"/>
      <c r="D300" s="146">
        <f t="shared" si="74"/>
        <v>0</v>
      </c>
      <c r="E300" s="204"/>
      <c r="F300" s="205"/>
      <c r="G300" s="3917"/>
      <c r="H300" s="3917"/>
    </row>
    <row r="301" spans="1:8" ht="24" thickBot="1">
      <c r="A301" s="145" t="s">
        <v>15</v>
      </c>
      <c r="B301" s="187">
        <f>'M-6'!P123</f>
        <v>0</v>
      </c>
      <c r="C301" s="146">
        <f>'M-5'!AO144</f>
        <v>0</v>
      </c>
      <c r="D301" s="146">
        <f t="shared" si="74"/>
        <v>0</v>
      </c>
      <c r="E301" s="204"/>
      <c r="F301" s="205"/>
      <c r="G301" s="3917"/>
      <c r="H301" s="3917"/>
    </row>
    <row r="302" spans="1:8" ht="19.5" thickBot="1">
      <c r="A302" s="145" t="s">
        <v>417</v>
      </c>
      <c r="B302" s="187">
        <f>'M-6'!Q123</f>
        <v>0</v>
      </c>
      <c r="C302" s="146">
        <f>'M-6'!AP123</f>
        <v>0</v>
      </c>
      <c r="D302" s="146">
        <f t="shared" si="74"/>
        <v>0</v>
      </c>
    </row>
    <row r="303" spans="1:8" ht="19.5" thickBot="1">
      <c r="A303" s="145" t="s">
        <v>16</v>
      </c>
      <c r="B303" s="187">
        <f>'M-6'!T123</f>
        <v>0</v>
      </c>
      <c r="C303" s="146">
        <f>'M-6'!AU123</f>
        <v>0</v>
      </c>
      <c r="D303" s="146">
        <f t="shared" si="74"/>
        <v>0</v>
      </c>
    </row>
    <row r="304" spans="1:8" ht="19.5" thickBot="1">
      <c r="A304" s="145" t="s">
        <v>17</v>
      </c>
      <c r="B304" s="187">
        <f>'M-6'!S123</f>
        <v>0</v>
      </c>
      <c r="C304" s="146">
        <f>'M-6'!AT123</f>
        <v>0</v>
      </c>
      <c r="D304" s="146">
        <f t="shared" si="74"/>
        <v>0</v>
      </c>
      <c r="E304" s="206"/>
      <c r="F304" s="206"/>
      <c r="G304" s="206"/>
      <c r="H304" s="206"/>
    </row>
    <row r="305" spans="1:8" ht="19.5" thickBot="1">
      <c r="A305" s="145" t="s">
        <v>556</v>
      </c>
      <c r="B305" s="187">
        <f>'M-6'!AE123</f>
        <v>0</v>
      </c>
      <c r="C305" s="146">
        <f>'M-6'!BG123</f>
        <v>0</v>
      </c>
      <c r="D305" s="146">
        <f t="shared" si="74"/>
        <v>0</v>
      </c>
      <c r="E305" s="206"/>
      <c r="F305" s="206"/>
      <c r="G305" s="206"/>
      <c r="H305" s="206"/>
    </row>
    <row r="306" spans="1:8" ht="19.5" thickBot="1">
      <c r="A306" s="145" t="s">
        <v>18</v>
      </c>
      <c r="B306" s="187">
        <f>'M-6'!R123</f>
        <v>0</v>
      </c>
      <c r="C306" s="146">
        <f>'M-6'!AR123</f>
        <v>0</v>
      </c>
      <c r="D306" s="146">
        <f t="shared" si="74"/>
        <v>0</v>
      </c>
      <c r="E306" s="206"/>
      <c r="F306" s="206"/>
      <c r="G306" s="206"/>
      <c r="H306" s="206"/>
    </row>
    <row r="307" spans="1:8" ht="19.5" thickBot="1">
      <c r="A307" s="145" t="s">
        <v>21</v>
      </c>
      <c r="B307" s="187">
        <f>'M-6'!Y123</f>
        <v>0</v>
      </c>
      <c r="C307" s="146">
        <f>'M-6'!BD123</f>
        <v>0</v>
      </c>
      <c r="D307" s="146">
        <f t="shared" si="74"/>
        <v>0</v>
      </c>
      <c r="E307" s="207"/>
      <c r="F307" s="207"/>
      <c r="G307" s="207"/>
      <c r="H307" s="208"/>
    </row>
    <row r="308" spans="1:8" ht="19.5" thickBot="1">
      <c r="A308" s="145" t="s">
        <v>333</v>
      </c>
      <c r="B308" s="187">
        <f>'M-5'!Z144</f>
        <v>0</v>
      </c>
      <c r="C308" s="146">
        <f>'M-5'!AY144</f>
        <v>0</v>
      </c>
      <c r="D308" s="146">
        <f t="shared" si="74"/>
        <v>0</v>
      </c>
      <c r="E308" s="207"/>
      <c r="F308" s="207"/>
      <c r="G308" s="207"/>
      <c r="H308" s="208"/>
    </row>
    <row r="309" spans="1:8" ht="19.5" thickBot="1">
      <c r="A309" s="145" t="s">
        <v>377</v>
      </c>
      <c r="B309" s="187">
        <f>'M-5'!AA144</f>
        <v>0</v>
      </c>
      <c r="C309" s="146">
        <f>'M-5'!AZ144</f>
        <v>0</v>
      </c>
      <c r="D309" s="146">
        <f t="shared" si="74"/>
        <v>0</v>
      </c>
      <c r="E309" s="207"/>
      <c r="F309" s="207"/>
      <c r="G309" s="207"/>
      <c r="H309" s="208"/>
    </row>
    <row r="310" spans="1:8" ht="19.5" thickBot="1">
      <c r="A310" s="186" t="s">
        <v>316</v>
      </c>
      <c r="B310" s="187">
        <f>'M-5'!T144</f>
        <v>0</v>
      </c>
      <c r="C310" s="146">
        <f>'M-5'!AT144</f>
        <v>0</v>
      </c>
      <c r="D310" s="146">
        <f t="shared" si="74"/>
        <v>0</v>
      </c>
      <c r="E310" s="207"/>
      <c r="F310" s="207"/>
      <c r="G310" s="207"/>
      <c r="H310" s="208"/>
    </row>
    <row r="311" spans="1:8" ht="19.5" thickBot="1">
      <c r="A311" s="186" t="s">
        <v>20</v>
      </c>
      <c r="B311" s="187">
        <f>'M-5'!W144</f>
        <v>0</v>
      </c>
      <c r="C311" s="146">
        <f>'M-5'!AW144</f>
        <v>0</v>
      </c>
      <c r="D311" s="146">
        <f t="shared" si="74"/>
        <v>0</v>
      </c>
      <c r="E311" s="207"/>
      <c r="F311" s="207"/>
      <c r="G311" s="207"/>
      <c r="H311" s="208"/>
    </row>
    <row r="312" spans="1:8" ht="19.5" thickBot="1">
      <c r="A312" s="189" t="s">
        <v>23</v>
      </c>
      <c r="B312" s="187">
        <f>'M-6'!AD123</f>
        <v>0</v>
      </c>
      <c r="C312" s="146">
        <f>'M-6'!BF123</f>
        <v>0</v>
      </c>
      <c r="D312" s="195">
        <f t="shared" si="74"/>
        <v>0</v>
      </c>
      <c r="E312" s="207"/>
      <c r="F312" s="207"/>
      <c r="G312" s="207"/>
      <c r="H312" s="208"/>
    </row>
    <row r="313" spans="1:8" ht="19.5" thickBot="1">
      <c r="A313" s="146" t="s">
        <v>22</v>
      </c>
      <c r="B313" s="187">
        <f>'M-5'!AB144</f>
        <v>0</v>
      </c>
      <c r="C313" s="146">
        <f>'M-5'!BB144</f>
        <v>0</v>
      </c>
      <c r="D313" s="195">
        <f t="shared" si="74"/>
        <v>0</v>
      </c>
      <c r="E313" s="207"/>
      <c r="F313" s="207"/>
      <c r="G313" s="207"/>
      <c r="H313" s="208"/>
    </row>
    <row r="314" spans="1:8" ht="19.5" thickBot="1">
      <c r="A314" s="146" t="s">
        <v>12</v>
      </c>
      <c r="B314" s="187">
        <f>'M-6'!K123</f>
        <v>0</v>
      </c>
      <c r="C314" s="146">
        <f>'M-6'!AL123</f>
        <v>0</v>
      </c>
      <c r="D314" s="195">
        <f t="shared" si="74"/>
        <v>0</v>
      </c>
      <c r="E314" s="207"/>
      <c r="F314" s="207"/>
      <c r="G314" s="207"/>
      <c r="H314" s="208"/>
    </row>
    <row r="315" spans="1:8" ht="19.5" thickBot="1">
      <c r="A315" s="146" t="s">
        <v>423</v>
      </c>
      <c r="B315" s="187">
        <f>'M-6'!U123</f>
        <v>0</v>
      </c>
      <c r="C315" s="146">
        <f>'M-6'!AV123</f>
        <v>0</v>
      </c>
      <c r="D315" s="195">
        <f t="shared" si="74"/>
        <v>0</v>
      </c>
      <c r="E315" s="207"/>
      <c r="F315" s="207"/>
      <c r="G315" s="207"/>
      <c r="H315" s="208"/>
    </row>
    <row r="316" spans="1:8" ht="19.5" thickBot="1">
      <c r="A316" s="146" t="s">
        <v>405</v>
      </c>
      <c r="B316" s="187">
        <f>'M-6'!Z123</f>
        <v>0</v>
      </c>
      <c r="C316" s="146">
        <f>'M-6'!AW123</f>
        <v>6</v>
      </c>
      <c r="D316" s="195">
        <f t="shared" si="74"/>
        <v>6</v>
      </c>
      <c r="E316" s="187" t="s">
        <v>318</v>
      </c>
      <c r="F316" s="187">
        <f>D319/'Final Stock New'!F168</f>
        <v>7632</v>
      </c>
      <c r="G316" s="192" t="s">
        <v>319</v>
      </c>
      <c r="H316" s="208"/>
    </row>
    <row r="317" spans="1:8" ht="19.5" thickBot="1">
      <c r="A317" s="146" t="s">
        <v>197</v>
      </c>
      <c r="B317" s="187">
        <f>'M-6'!V123</f>
        <v>0</v>
      </c>
      <c r="C317" s="146">
        <f>'M-6'!AX123</f>
        <v>0</v>
      </c>
      <c r="D317" s="195">
        <f t="shared" si="74"/>
        <v>0</v>
      </c>
      <c r="E317" s="196" t="s">
        <v>321</v>
      </c>
      <c r="F317" s="195">
        <f>'M-5'!F147</f>
        <v>0</v>
      </c>
      <c r="G317" s="197">
        <f>'M-5'!BE148</f>
        <v>0</v>
      </c>
      <c r="H317" s="208"/>
    </row>
    <row r="318" spans="1:8" ht="19.5" thickBot="1">
      <c r="A318" s="146" t="s">
        <v>13</v>
      </c>
      <c r="B318" s="187">
        <f>'M-5'!I144</f>
        <v>0</v>
      </c>
      <c r="C318" s="146">
        <f>'M-5'!AI144</f>
        <v>0</v>
      </c>
      <c r="D318" s="195">
        <f t="shared" si="74"/>
        <v>0</v>
      </c>
    </row>
    <row r="319" spans="1:8" ht="19.5" thickBot="1">
      <c r="A319" s="186" t="s">
        <v>108</v>
      </c>
      <c r="B319" s="187">
        <f>SUM(B292:B318)</f>
        <v>7626</v>
      </c>
      <c r="C319" s="187">
        <f>SUM(C292:C318)</f>
        <v>6</v>
      </c>
      <c r="D319" s="187">
        <f>SUM(D292:D318)</f>
        <v>7632</v>
      </c>
    </row>
    <row r="320" spans="1:8" ht="19.5" thickBot="1">
      <c r="A320" s="194" t="s">
        <v>320</v>
      </c>
      <c r="B320" s="195">
        <f>'M-5'!F148</f>
        <v>0</v>
      </c>
      <c r="C320" s="195">
        <f>'M-5'!AE161</f>
        <v>0</v>
      </c>
      <c r="D320" s="195">
        <f>SUM(B320:C320)</f>
        <v>0</v>
      </c>
    </row>
    <row r="321" spans="1:5">
      <c r="A321" s="3523"/>
      <c r="B321" s="3524"/>
      <c r="C321" s="3524"/>
      <c r="D321" s="3524"/>
    </row>
    <row r="322" spans="1:5" ht="19.5" thickBot="1">
      <c r="A322" s="2495" t="s">
        <v>530</v>
      </c>
      <c r="B322" s="3524"/>
      <c r="C322" s="3524"/>
      <c r="D322" s="3524"/>
    </row>
    <row r="323" spans="1:5" ht="21.75" thickBot="1">
      <c r="A323" s="138" t="s">
        <v>309</v>
      </c>
      <c r="B323" s="139" t="s">
        <v>104</v>
      </c>
      <c r="C323" s="140" t="s">
        <v>80</v>
      </c>
      <c r="D323" s="3522" t="s">
        <v>106</v>
      </c>
    </row>
    <row r="324" spans="1:5" ht="19.5" thickBot="1">
      <c r="A324" s="145" t="s">
        <v>8</v>
      </c>
      <c r="B324" s="187">
        <f>'M-7'!E123</f>
        <v>0</v>
      </c>
      <c r="C324" s="146">
        <f>'M-5'!AE176</f>
        <v>0</v>
      </c>
      <c r="D324" s="187">
        <f t="shared" ref="D324:D350" si="75">SUM(B324:C324)</f>
        <v>0</v>
      </c>
    </row>
    <row r="325" spans="1:5" ht="19.5" thickBot="1">
      <c r="A325" s="145" t="s">
        <v>310</v>
      </c>
      <c r="B325" s="187">
        <f>'M-7'!F123</f>
        <v>0</v>
      </c>
      <c r="C325" s="146">
        <f>'M-6'!AG155</f>
        <v>0</v>
      </c>
      <c r="D325" s="146">
        <f t="shared" si="75"/>
        <v>0</v>
      </c>
    </row>
    <row r="326" spans="1:5" ht="19.5" thickBot="1">
      <c r="A326" s="145" t="s">
        <v>10</v>
      </c>
      <c r="B326" s="187">
        <f>'M-7'!G123</f>
        <v>0</v>
      </c>
      <c r="C326" s="146">
        <f>'M-6'!AH155</f>
        <v>0</v>
      </c>
      <c r="D326" s="146">
        <f t="shared" si="75"/>
        <v>0</v>
      </c>
    </row>
    <row r="327" spans="1:5" ht="19.5" thickBot="1">
      <c r="A327" s="145" t="s">
        <v>11</v>
      </c>
      <c r="B327" s="187">
        <f>'M-7'!H123</f>
        <v>0</v>
      </c>
      <c r="C327" s="146">
        <f>'M-6'!AI155</f>
        <v>0</v>
      </c>
      <c r="D327" s="146">
        <f t="shared" si="75"/>
        <v>0</v>
      </c>
    </row>
    <row r="328" spans="1:5" ht="19.5" thickBot="1">
      <c r="A328" s="146" t="s">
        <v>21</v>
      </c>
      <c r="B328" s="187">
        <f>'M-7'!I123</f>
        <v>10440</v>
      </c>
      <c r="C328" s="146">
        <f>'M-7'!AW123</f>
        <v>26</v>
      </c>
      <c r="D328" s="146">
        <f t="shared" si="75"/>
        <v>10466</v>
      </c>
    </row>
    <row r="329" spans="1:5" ht="19.5" thickBot="1">
      <c r="A329" s="145" t="s">
        <v>14</v>
      </c>
      <c r="B329" s="187">
        <f>'M-7'!M123</f>
        <v>0</v>
      </c>
      <c r="C329" s="146">
        <f>'M-7'!AM123</f>
        <v>0</v>
      </c>
      <c r="D329" s="146">
        <f t="shared" si="75"/>
        <v>0</v>
      </c>
      <c r="E329" t="s">
        <v>495</v>
      </c>
    </row>
    <row r="330" spans="1:5" ht="19.5" thickBot="1">
      <c r="A330" s="145" t="s">
        <v>383</v>
      </c>
      <c r="B330" s="187">
        <f>'M-7'!W123</f>
        <v>0</v>
      </c>
      <c r="C330" s="146">
        <f>'M-6'!AY155</f>
        <v>0</v>
      </c>
      <c r="D330" s="146">
        <f t="shared" si="75"/>
        <v>0</v>
      </c>
    </row>
    <row r="331" spans="1:5" ht="19.5" thickBot="1">
      <c r="A331" s="145" t="s">
        <v>440</v>
      </c>
      <c r="B331" s="187">
        <f>'M-7'!N123</f>
        <v>0</v>
      </c>
      <c r="C331" s="146">
        <f>'M-6'!AN155</f>
        <v>0</v>
      </c>
      <c r="D331" s="146">
        <f t="shared" si="75"/>
        <v>0</v>
      </c>
    </row>
    <row r="332" spans="1:5" ht="19.5" thickBot="1">
      <c r="A332" s="145" t="s">
        <v>44</v>
      </c>
      <c r="B332" s="187">
        <f>'M-7'!O123</f>
        <v>0</v>
      </c>
      <c r="C332" s="146"/>
      <c r="D332" s="146">
        <f t="shared" si="75"/>
        <v>0</v>
      </c>
    </row>
    <row r="333" spans="1:5" ht="19.5" thickBot="1">
      <c r="A333" s="145" t="s">
        <v>15</v>
      </c>
      <c r="B333" s="187">
        <f>'M-7'!P123</f>
        <v>0</v>
      </c>
      <c r="C333" s="146">
        <f>'M-5'!AO176</f>
        <v>0</v>
      </c>
      <c r="D333" s="146">
        <f t="shared" si="75"/>
        <v>0</v>
      </c>
    </row>
    <row r="334" spans="1:5" ht="19.5" thickBot="1">
      <c r="A334" s="145" t="s">
        <v>417</v>
      </c>
      <c r="B334" s="187">
        <f>'M-7'!Q123</f>
        <v>0</v>
      </c>
      <c r="C334" s="146">
        <f>'M-6'!AP155</f>
        <v>0</v>
      </c>
      <c r="D334" s="146">
        <f t="shared" si="75"/>
        <v>0</v>
      </c>
    </row>
    <row r="335" spans="1:5" ht="19.5" thickBot="1">
      <c r="A335" s="145" t="s">
        <v>16</v>
      </c>
      <c r="B335" s="187">
        <f>'M-7'!T123</f>
        <v>0</v>
      </c>
      <c r="C335" s="146">
        <f>'M-6'!AU155</f>
        <v>0</v>
      </c>
      <c r="D335" s="146">
        <f t="shared" si="75"/>
        <v>0</v>
      </c>
    </row>
    <row r="336" spans="1:5" ht="19.5" thickBot="1">
      <c r="A336" s="145" t="s">
        <v>17</v>
      </c>
      <c r="B336" s="187">
        <f>'M-7'!L123</f>
        <v>0</v>
      </c>
      <c r="C336" s="146">
        <f>'M-5'!AS176</f>
        <v>0</v>
      </c>
      <c r="D336" s="146">
        <f t="shared" si="75"/>
        <v>0</v>
      </c>
    </row>
    <row r="337" spans="1:7" ht="19.5" thickBot="1">
      <c r="A337" s="145" t="s">
        <v>592</v>
      </c>
      <c r="B337" s="187">
        <f>'M-7'!Z123</f>
        <v>0</v>
      </c>
      <c r="C337" s="146">
        <f>'M-7'!AJ123</f>
        <v>0</v>
      </c>
      <c r="D337" s="146">
        <f t="shared" si="75"/>
        <v>0</v>
      </c>
    </row>
    <row r="338" spans="1:7" ht="19.5" thickBot="1">
      <c r="A338" s="145" t="s">
        <v>537</v>
      </c>
      <c r="B338" s="187">
        <f>'M-7'!R123</f>
        <v>0</v>
      </c>
      <c r="C338" s="146">
        <f>'M-7'!AR123</f>
        <v>0</v>
      </c>
      <c r="D338" s="146">
        <f t="shared" si="75"/>
        <v>0</v>
      </c>
    </row>
    <row r="339" spans="1:7" ht="19.5" thickBot="1">
      <c r="A339" s="145" t="s">
        <v>21</v>
      </c>
      <c r="B339" s="187"/>
      <c r="C339" s="146">
        <f>'M-6'!BD155</f>
        <v>0</v>
      </c>
      <c r="D339" s="146">
        <f t="shared" si="75"/>
        <v>0</v>
      </c>
    </row>
    <row r="340" spans="1:7" ht="19.5" thickBot="1">
      <c r="A340" s="145" t="s">
        <v>333</v>
      </c>
      <c r="B340" s="187">
        <f>'M-5'!Z176</f>
        <v>0</v>
      </c>
      <c r="C340" s="146">
        <f>'M-5'!AY176</f>
        <v>0</v>
      </c>
      <c r="D340" s="146">
        <f t="shared" si="75"/>
        <v>0</v>
      </c>
    </row>
    <row r="341" spans="1:7" ht="19.5" thickBot="1">
      <c r="A341" s="145" t="s">
        <v>377</v>
      </c>
      <c r="B341" s="187">
        <f>'M-5'!AA176</f>
        <v>0</v>
      </c>
      <c r="C341" s="146">
        <f>'M-5'!AZ176</f>
        <v>0</v>
      </c>
      <c r="D341" s="146">
        <f t="shared" si="75"/>
        <v>0</v>
      </c>
    </row>
    <row r="342" spans="1:7" ht="19.5" thickBot="1">
      <c r="A342" s="186" t="s">
        <v>316</v>
      </c>
      <c r="B342" s="187">
        <f>'M-5'!T176</f>
        <v>0</v>
      </c>
      <c r="C342" s="146">
        <f>'M-5'!AT176</f>
        <v>0</v>
      </c>
      <c r="D342" s="146">
        <f t="shared" si="75"/>
        <v>0</v>
      </c>
    </row>
    <row r="343" spans="1:7" ht="19.5" thickBot="1">
      <c r="A343" s="186" t="s">
        <v>20</v>
      </c>
      <c r="B343" s="187">
        <f>'M-5'!W176</f>
        <v>0</v>
      </c>
      <c r="C343" s="146">
        <f>'M-5'!AW176</f>
        <v>0</v>
      </c>
      <c r="D343" s="146">
        <f t="shared" si="75"/>
        <v>0</v>
      </c>
    </row>
    <row r="344" spans="1:7" ht="19.5" thickBot="1">
      <c r="A344" s="189" t="s">
        <v>23</v>
      </c>
      <c r="B344" s="187">
        <f>'M-5'!AC176</f>
        <v>0</v>
      </c>
      <c r="C344" s="146">
        <f>'M-5'!BC176</f>
        <v>0</v>
      </c>
      <c r="D344" s="195">
        <f t="shared" si="75"/>
        <v>0</v>
      </c>
    </row>
    <row r="345" spans="1:7" ht="19.5" thickBot="1">
      <c r="A345" s="146" t="s">
        <v>22</v>
      </c>
      <c r="B345" s="187">
        <f>'M-5'!AB176</f>
        <v>0</v>
      </c>
      <c r="C345" s="146">
        <f>'M-5'!BB176</f>
        <v>0</v>
      </c>
      <c r="D345" s="195">
        <f t="shared" si="75"/>
        <v>0</v>
      </c>
    </row>
    <row r="346" spans="1:7" ht="19.5" thickBot="1">
      <c r="A346" s="146" t="s">
        <v>12</v>
      </c>
      <c r="B346" s="187">
        <f>'M-6'!K155</f>
        <v>0</v>
      </c>
      <c r="C346" s="146">
        <f>'M-6'!AL155</f>
        <v>0</v>
      </c>
      <c r="D346" s="195">
        <f t="shared" si="75"/>
        <v>0</v>
      </c>
    </row>
    <row r="347" spans="1:7" ht="19.5" thickBot="1">
      <c r="A347" s="146" t="s">
        <v>423</v>
      </c>
      <c r="B347" s="187">
        <f>'M-6'!U155</f>
        <v>0</v>
      </c>
      <c r="C347" s="146">
        <f>'M-6'!AV155</f>
        <v>0</v>
      </c>
      <c r="D347" s="195">
        <f t="shared" si="75"/>
        <v>0</v>
      </c>
    </row>
    <row r="348" spans="1:7" ht="19.5" thickBot="1">
      <c r="A348" s="146" t="s">
        <v>405</v>
      </c>
      <c r="B348" s="187">
        <f>'M-6'!Z155</f>
        <v>0</v>
      </c>
      <c r="C348" s="146">
        <f>'M-6'!AW155</f>
        <v>0</v>
      </c>
      <c r="D348" s="195">
        <f t="shared" si="75"/>
        <v>0</v>
      </c>
    </row>
    <row r="349" spans="1:7" ht="19.5" thickBot="1">
      <c r="A349" s="146" t="s">
        <v>197</v>
      </c>
      <c r="B349" s="187">
        <f>'M-6'!V155</f>
        <v>0</v>
      </c>
      <c r="C349" s="146">
        <f>'M-6'!AX155</f>
        <v>0</v>
      </c>
      <c r="D349" s="195">
        <f t="shared" si="75"/>
        <v>0</v>
      </c>
      <c r="E349" s="187" t="s">
        <v>318</v>
      </c>
      <c r="F349" s="187">
        <f>D351</f>
        <v>10466</v>
      </c>
      <c r="G349" s="192" t="s">
        <v>319</v>
      </c>
    </row>
    <row r="350" spans="1:7" ht="19.5" thickBot="1">
      <c r="A350" s="146" t="s">
        <v>13</v>
      </c>
      <c r="B350" s="187">
        <f>'M-5'!I176</f>
        <v>0</v>
      </c>
      <c r="C350" s="146">
        <f>'M-5'!AI176</f>
        <v>0</v>
      </c>
      <c r="D350" s="195">
        <f t="shared" si="75"/>
        <v>0</v>
      </c>
      <c r="E350" s="196" t="s">
        <v>321</v>
      </c>
      <c r="F350" s="195">
        <f>'M-5'!F180</f>
        <v>0</v>
      </c>
      <c r="G350" s="197">
        <f>'M-5'!BE181</f>
        <v>0</v>
      </c>
    </row>
    <row r="351" spans="1:7" ht="19.5" thickBot="1">
      <c r="A351" s="186" t="s">
        <v>108</v>
      </c>
      <c r="B351" s="187">
        <f>SUM(B324:B350)</f>
        <v>10440</v>
      </c>
      <c r="C351" s="187">
        <f>SUM(C324:C350)</f>
        <v>26</v>
      </c>
      <c r="D351" s="187">
        <f>SUM(D324:D350)</f>
        <v>10466</v>
      </c>
    </row>
    <row r="352" spans="1:7" ht="19.5" thickBot="1">
      <c r="A352" s="194" t="s">
        <v>320</v>
      </c>
      <c r="B352" s="195">
        <f>'M-5'!F180</f>
        <v>0</v>
      </c>
      <c r="C352" s="195">
        <f>'M-5'!AE193</f>
        <v>0</v>
      </c>
      <c r="D352" s="195">
        <f>SUM(B352:C352)</f>
        <v>0</v>
      </c>
    </row>
    <row r="353" spans="1:28" ht="21.75" customHeight="1"/>
    <row r="354" spans="1:28" ht="26.25" customHeight="1" thickBot="1">
      <c r="J354" s="52"/>
    </row>
    <row r="355" spans="1:28" ht="32.25" thickBot="1">
      <c r="A355" s="6"/>
      <c r="B355" s="3390" t="s">
        <v>396</v>
      </c>
      <c r="C355" s="3391"/>
      <c r="D355" s="3391"/>
      <c r="E355" s="3391"/>
      <c r="F355" s="3391"/>
      <c r="G355" s="3391"/>
      <c r="H355" s="3391"/>
      <c r="I355" s="3392"/>
      <c r="J355" s="54"/>
      <c r="K355" s="3587" t="s">
        <v>397</v>
      </c>
      <c r="L355" s="3588"/>
      <c r="M355" s="3588"/>
      <c r="N355" s="3588"/>
      <c r="O355" s="3404"/>
      <c r="P355" s="3404"/>
      <c r="Q355" s="3404"/>
      <c r="R355" s="3405"/>
      <c r="S355" s="52"/>
      <c r="T355" s="3566" t="s">
        <v>398</v>
      </c>
      <c r="U355" s="3567"/>
      <c r="V355" s="3567"/>
      <c r="W355" s="3567"/>
      <c r="X355" s="3567"/>
      <c r="Y355" s="3567"/>
      <c r="Z355" s="3567"/>
      <c r="AA355" s="3568"/>
      <c r="AB355" s="105" t="s">
        <v>106</v>
      </c>
    </row>
    <row r="356" spans="1:28" ht="19.5" thickBot="1">
      <c r="A356" s="7" t="s">
        <v>274</v>
      </c>
      <c r="B356" s="88" t="s">
        <v>250</v>
      </c>
      <c r="C356" s="30" t="s">
        <v>394</v>
      </c>
      <c r="D356" s="30" t="s">
        <v>395</v>
      </c>
      <c r="E356" s="30" t="s">
        <v>92</v>
      </c>
      <c r="F356" s="30" t="s">
        <v>407</v>
      </c>
      <c r="G356" s="30" t="s">
        <v>433</v>
      </c>
      <c r="H356" s="2556" t="s">
        <v>414</v>
      </c>
      <c r="I356" s="98" t="s">
        <v>462</v>
      </c>
      <c r="J356" s="70"/>
      <c r="K356" s="23" t="s">
        <v>53</v>
      </c>
      <c r="L356" s="24"/>
      <c r="M356" s="24" t="s">
        <v>94</v>
      </c>
      <c r="N356" s="41" t="s">
        <v>539</v>
      </c>
      <c r="O356" s="41" t="s">
        <v>190</v>
      </c>
      <c r="P356" s="24" t="s">
        <v>476</v>
      </c>
      <c r="Q356" s="24" t="s">
        <v>549</v>
      </c>
      <c r="R356" s="94" t="s">
        <v>482</v>
      </c>
      <c r="S356" s="54"/>
      <c r="T356" s="40" t="s">
        <v>53</v>
      </c>
      <c r="U356" s="2711"/>
      <c r="V356" s="41" t="s">
        <v>94</v>
      </c>
      <c r="W356" s="95"/>
      <c r="X356" s="169"/>
      <c r="Y356" s="97"/>
      <c r="Z356" s="23"/>
      <c r="AA356" s="23"/>
      <c r="AB356" s="18"/>
    </row>
    <row r="357" spans="1:28" ht="24" thickBot="1">
      <c r="A357" s="11" t="s">
        <v>151</v>
      </c>
      <c r="B357" s="32">
        <f>'EV Chair'!E302</f>
        <v>-32</v>
      </c>
      <c r="C357" s="32">
        <f>'EV Chair'!F302</f>
        <v>256</v>
      </c>
      <c r="D357" s="32">
        <f>'EV Chair'!G302</f>
        <v>0</v>
      </c>
      <c r="E357" s="32">
        <f>'EV Chair'!H302</f>
        <v>0</v>
      </c>
      <c r="F357" s="32">
        <f>'EV Chair'!I302</f>
        <v>-16</v>
      </c>
      <c r="G357" s="32">
        <f>'EV Chair'!J302</f>
        <v>320</v>
      </c>
      <c r="H357" s="32">
        <f>'EV Chair'!K302</f>
        <v>0</v>
      </c>
      <c r="I357" s="32">
        <f>'EV Chair'!L302</f>
        <v>0</v>
      </c>
      <c r="J357" s="77"/>
      <c r="K357" s="12">
        <f>'EV Chair'!M302</f>
        <v>0</v>
      </c>
      <c r="L357" s="12">
        <f>'EV Chair'!N302</f>
        <v>0</v>
      </c>
      <c r="M357" s="12">
        <f>'EV Chair'!O302</f>
        <v>176</v>
      </c>
      <c r="N357" s="12">
        <f>'EV Chair'!P302</f>
        <v>192</v>
      </c>
      <c r="O357" s="12">
        <f>'EV Chair'!Q302</f>
        <v>528</v>
      </c>
      <c r="P357" s="12">
        <f>'EV Chair'!R302</f>
        <v>0</v>
      </c>
      <c r="Q357" s="12">
        <f>'EV Chair'!S302</f>
        <v>144</v>
      </c>
      <c r="R357" s="12">
        <f>'EV Chair'!T302</f>
        <v>416</v>
      </c>
      <c r="S357" s="70"/>
      <c r="T357" s="32">
        <f>'EV Chair'!V302</f>
        <v>0</v>
      </c>
      <c r="U357" s="32">
        <f>'EV Chair'!W302</f>
        <v>0</v>
      </c>
      <c r="V357" s="32">
        <f>'EV Chair'!X302</f>
        <v>0</v>
      </c>
      <c r="W357" s="32">
        <f>'EV Chair'!Y302</f>
        <v>0</v>
      </c>
      <c r="X357" s="32">
        <f>'EV Chair'!Z302</f>
        <v>0</v>
      </c>
      <c r="Y357" s="32">
        <f>'EV Chair'!AA302</f>
        <v>0</v>
      </c>
      <c r="Z357" s="32">
        <f>'EV Chair'!AB302</f>
        <v>0</v>
      </c>
      <c r="AA357" s="32">
        <f>'EV Chair'!AC302</f>
        <v>0</v>
      </c>
      <c r="AB357" s="108">
        <f>SUM(B357:AA357)</f>
        <v>1984</v>
      </c>
    </row>
    <row r="358" spans="1:28" ht="24" thickBot="1">
      <c r="A358" s="11" t="s">
        <v>146</v>
      </c>
      <c r="B358" s="39">
        <f t="shared" ref="B358:I358" si="76">B357/16</f>
        <v>-2</v>
      </c>
      <c r="C358" s="39">
        <f t="shared" si="76"/>
        <v>16</v>
      </c>
      <c r="D358" s="39">
        <f t="shared" si="76"/>
        <v>0</v>
      </c>
      <c r="E358" s="39">
        <f t="shared" si="76"/>
        <v>0</v>
      </c>
      <c r="F358" s="39">
        <f t="shared" si="76"/>
        <v>-1</v>
      </c>
      <c r="G358" s="39">
        <f t="shared" si="76"/>
        <v>20</v>
      </c>
      <c r="H358" s="39">
        <f t="shared" si="76"/>
        <v>0</v>
      </c>
      <c r="I358" s="39">
        <f t="shared" si="76"/>
        <v>0</v>
      </c>
      <c r="J358" s="75"/>
      <c r="K358" s="78">
        <f t="shared" ref="K358:R358" si="77">K357/16</f>
        <v>0</v>
      </c>
      <c r="L358" s="78">
        <f t="shared" si="77"/>
        <v>0</v>
      </c>
      <c r="M358" s="78">
        <f t="shared" si="77"/>
        <v>11</v>
      </c>
      <c r="N358" s="78">
        <f t="shared" si="77"/>
        <v>12</v>
      </c>
      <c r="O358" s="78">
        <f t="shared" si="77"/>
        <v>33</v>
      </c>
      <c r="P358" s="78">
        <f t="shared" si="77"/>
        <v>0</v>
      </c>
      <c r="Q358" s="78">
        <f t="shared" si="77"/>
        <v>9</v>
      </c>
      <c r="R358" s="78">
        <f t="shared" si="77"/>
        <v>26</v>
      </c>
      <c r="S358" s="77"/>
      <c r="T358" s="39">
        <f t="shared" ref="T358:AA358" si="78">T357/16</f>
        <v>0</v>
      </c>
      <c r="U358" s="39">
        <f t="shared" si="78"/>
        <v>0</v>
      </c>
      <c r="V358" s="39">
        <f t="shared" si="78"/>
        <v>0</v>
      </c>
      <c r="W358" s="39">
        <f t="shared" si="78"/>
        <v>0</v>
      </c>
      <c r="X358" s="96">
        <f t="shared" si="78"/>
        <v>0</v>
      </c>
      <c r="Y358" s="39">
        <f t="shared" si="78"/>
        <v>0</v>
      </c>
      <c r="Z358" s="39">
        <f t="shared" si="78"/>
        <v>0</v>
      </c>
      <c r="AA358" s="39">
        <f t="shared" si="78"/>
        <v>0</v>
      </c>
      <c r="AB358" s="109">
        <f>SUM(B358:AA358)</f>
        <v>124</v>
      </c>
    </row>
    <row r="359" spans="1:28" ht="24" thickBot="1">
      <c r="A359" s="37"/>
      <c r="B359" s="3911">
        <f>SUM(B357:I357)</f>
        <v>528</v>
      </c>
      <c r="C359" s="3912"/>
      <c r="D359" s="3912"/>
      <c r="E359" s="3912"/>
      <c r="F359" s="3912"/>
      <c r="G359" s="3388"/>
      <c r="H359" s="3388"/>
      <c r="I359" s="3389"/>
      <c r="J359" s="76"/>
      <c r="K359" s="3401"/>
      <c r="L359" s="3402"/>
      <c r="M359" s="3402">
        <f>SUM(K357:R357)</f>
        <v>1456</v>
      </c>
      <c r="N359" s="3402"/>
      <c r="O359" s="3402"/>
      <c r="P359" s="3402"/>
      <c r="Q359" s="3402"/>
      <c r="R359" s="3403"/>
      <c r="S359" s="75"/>
      <c r="T359" s="3560">
        <f>SUM(T357:AA357)</f>
        <v>0</v>
      </c>
      <c r="U359" s="3561"/>
      <c r="V359" s="3561"/>
      <c r="W359" s="3561"/>
      <c r="X359" s="3561"/>
      <c r="Y359" s="3561"/>
      <c r="Z359" s="3561"/>
      <c r="AA359" s="3562"/>
      <c r="AB359" s="1"/>
    </row>
    <row r="360" spans="1:28" ht="24.75" customHeight="1" thickBot="1">
      <c r="A360" s="3497"/>
      <c r="B360" s="3911">
        <f>SUM(B358:I358)</f>
        <v>33</v>
      </c>
      <c r="C360" s="3912"/>
      <c r="D360" s="3912"/>
      <c r="E360" s="3912"/>
      <c r="F360" s="3912"/>
      <c r="G360" s="3486"/>
      <c r="H360" s="3486"/>
      <c r="I360" s="3487"/>
      <c r="J360" s="3498"/>
      <c r="K360" s="3485"/>
      <c r="L360" s="3486"/>
      <c r="M360" s="3486">
        <f>SUM(K358:R358)</f>
        <v>91</v>
      </c>
      <c r="N360" s="3486"/>
      <c r="O360" s="3486"/>
      <c r="P360" s="3486"/>
      <c r="Q360" s="3486"/>
      <c r="R360" s="3487"/>
      <c r="S360" s="3499"/>
      <c r="T360" s="3485"/>
      <c r="U360" s="3486"/>
      <c r="V360" s="3486"/>
      <c r="W360" s="3486"/>
      <c r="X360" s="3486"/>
      <c r="Y360" s="3486"/>
      <c r="Z360" s="3486"/>
      <c r="AA360" s="3487"/>
      <c r="AB360" s="1"/>
    </row>
    <row r="361" spans="1:28" ht="24" thickBot="1">
      <c r="A361" s="3497">
        <v>0</v>
      </c>
      <c r="B361" s="3485"/>
      <c r="C361" s="3486"/>
      <c r="D361" s="3486"/>
      <c r="E361" s="3486"/>
      <c r="F361" s="3486"/>
      <c r="G361" s="3486"/>
      <c r="H361" s="3486"/>
      <c r="I361" s="3487"/>
      <c r="J361" s="3498"/>
      <c r="K361" s="3623"/>
      <c r="L361" s="3623"/>
      <c r="M361" s="3623"/>
      <c r="N361" s="3486"/>
      <c r="O361" s="3486"/>
      <c r="P361" s="3486"/>
      <c r="Q361" s="3486"/>
      <c r="R361" s="3487"/>
      <c r="S361" s="3499"/>
      <c r="T361" s="3485"/>
      <c r="U361" s="3612"/>
      <c r="V361" s="3612"/>
      <c r="W361" s="3612"/>
      <c r="X361" s="3486"/>
      <c r="Y361" s="3486"/>
      <c r="Z361" s="3486"/>
      <c r="AA361" s="3487"/>
      <c r="AB361" s="1"/>
    </row>
    <row r="362" spans="1:28" ht="24" thickBot="1">
      <c r="A362" s="3497"/>
      <c r="B362" s="3611"/>
      <c r="C362" s="3612"/>
      <c r="D362" s="3612"/>
      <c r="E362" s="3612"/>
      <c r="F362" s="3612"/>
      <c r="G362" s="3612"/>
      <c r="H362" s="3612"/>
      <c r="I362" s="3613"/>
      <c r="J362" s="3498"/>
      <c r="K362" s="3623"/>
      <c r="L362" s="3623"/>
      <c r="M362" s="3623"/>
      <c r="N362" s="3612"/>
      <c r="O362" s="3612"/>
      <c r="P362" s="3612"/>
      <c r="Q362" s="3612"/>
      <c r="R362" s="3613"/>
      <c r="S362" s="3499"/>
      <c r="T362" s="3611"/>
      <c r="U362" s="3486"/>
      <c r="V362" s="3486"/>
      <c r="W362" s="3486"/>
      <c r="X362" s="3612"/>
      <c r="Y362" s="3612"/>
      <c r="Z362" s="3612"/>
      <c r="AA362" s="3613"/>
      <c r="AB362" s="1"/>
    </row>
    <row r="363" spans="1:28" ht="27" thickBot="1">
      <c r="A363" s="38"/>
      <c r="B363" s="3393"/>
      <c r="C363" s="3394"/>
      <c r="D363" s="3394"/>
      <c r="E363" s="3394"/>
      <c r="F363" s="3394"/>
      <c r="G363" s="3394"/>
      <c r="H363" s="3394"/>
      <c r="I363" s="3395"/>
      <c r="J363" s="3501"/>
      <c r="K363" s="3626"/>
      <c r="L363" s="3624"/>
      <c r="M363" s="3624"/>
      <c r="N363" s="3625"/>
      <c r="O363" s="3399"/>
      <c r="P363" s="3399"/>
      <c r="Q363" s="3399"/>
      <c r="R363" s="3400"/>
      <c r="S363" s="76"/>
      <c r="T363" s="3563">
        <f>SUM(T358:AA358)</f>
        <v>0</v>
      </c>
      <c r="U363" s="3624"/>
      <c r="V363" s="3624"/>
      <c r="W363" s="3624"/>
      <c r="X363" s="3625"/>
      <c r="Y363" s="3564"/>
      <c r="Z363" s="3564"/>
      <c r="AA363" s="3565"/>
      <c r="AB363" s="1"/>
    </row>
    <row r="364" spans="1:28" ht="32.25" thickBot="1">
      <c r="A364" s="45"/>
      <c r="B364" s="46"/>
      <c r="C364" s="47"/>
      <c r="D364" s="47"/>
      <c r="E364" s="47"/>
      <c r="F364" s="47"/>
      <c r="G364" s="47"/>
      <c r="H364" s="47"/>
      <c r="I364" s="47"/>
      <c r="J364" s="3502"/>
      <c r="K364" s="46"/>
      <c r="L364" s="47"/>
      <c r="M364" s="47"/>
      <c r="N364" s="47"/>
      <c r="O364" s="47"/>
      <c r="P364" s="47"/>
      <c r="Q364" s="47"/>
      <c r="R364" s="47"/>
      <c r="S364" s="54"/>
      <c r="T364" s="3622"/>
      <c r="U364" s="47"/>
      <c r="V364" s="47"/>
      <c r="W364" s="47"/>
      <c r="X364" s="47"/>
      <c r="Y364" s="47"/>
      <c r="Z364" s="47"/>
      <c r="AA364" s="47"/>
      <c r="AB364" s="123"/>
    </row>
    <row r="365" spans="1:28" ht="32.25" thickBot="1">
      <c r="A365" s="6"/>
      <c r="B365" s="3908" t="s">
        <v>438</v>
      </c>
      <c r="C365" s="3909"/>
      <c r="D365" s="3909"/>
      <c r="E365" s="3909"/>
      <c r="F365" s="3909"/>
      <c r="G365" s="3909"/>
      <c r="H365" s="3391"/>
      <c r="I365" s="3392"/>
      <c r="J365" s="54"/>
      <c r="K365" s="3538" t="s">
        <v>438</v>
      </c>
      <c r="L365" s="3539"/>
      <c r="M365" s="3539"/>
      <c r="N365" s="3539"/>
      <c r="O365" s="3539"/>
      <c r="P365" s="3404"/>
      <c r="Q365" s="3404"/>
      <c r="R365" s="3405"/>
      <c r="S365" s="70"/>
      <c r="T365" s="3622"/>
      <c r="U365" s="3624"/>
      <c r="V365" s="3624"/>
      <c r="W365" s="3624"/>
      <c r="X365" s="3567"/>
      <c r="Y365" s="3567"/>
      <c r="Z365" s="3567"/>
      <c r="AA365" s="3568"/>
      <c r="AB365" s="105" t="s">
        <v>106</v>
      </c>
    </row>
    <row r="366" spans="1:28" ht="24" thickBot="1">
      <c r="A366" s="7" t="s">
        <v>274</v>
      </c>
      <c r="B366" s="40" t="s">
        <v>399</v>
      </c>
      <c r="C366" s="41"/>
      <c r="D366" s="41"/>
      <c r="E366" s="41" t="s">
        <v>92</v>
      </c>
      <c r="F366" s="81" t="s">
        <v>96</v>
      </c>
      <c r="G366" s="40"/>
      <c r="H366" s="81"/>
      <c r="I366" s="40"/>
      <c r="J366" s="70"/>
      <c r="K366" s="40" t="s">
        <v>214</v>
      </c>
      <c r="L366" s="41" t="s">
        <v>53</v>
      </c>
      <c r="M366" s="41" t="s">
        <v>94</v>
      </c>
      <c r="N366" s="41" t="s">
        <v>76</v>
      </c>
      <c r="O366" s="41" t="s">
        <v>497</v>
      </c>
      <c r="P366" s="41" t="s">
        <v>81</v>
      </c>
      <c r="Q366" s="81" t="s">
        <v>136</v>
      </c>
      <c r="R366" s="90" t="s">
        <v>222</v>
      </c>
      <c r="S366" s="77"/>
      <c r="T366" s="170"/>
      <c r="U366" s="97"/>
      <c r="V366" s="169"/>
      <c r="W366" s="95"/>
      <c r="X366" s="169"/>
      <c r="Y366" s="169"/>
      <c r="Z366" s="177"/>
      <c r="AA366" s="178"/>
      <c r="AB366" s="18"/>
    </row>
    <row r="367" spans="1:28" ht="24" thickBot="1">
      <c r="A367" s="11" t="s">
        <v>151</v>
      </c>
      <c r="B367" s="32">
        <f>'ClipON Stool'!E237</f>
        <v>0</v>
      </c>
      <c r="C367" s="32">
        <f>'ClipON Stool'!F237</f>
        <v>0</v>
      </c>
      <c r="D367" s="32">
        <f>'ClipON Stool'!G237</f>
        <v>0</v>
      </c>
      <c r="E367" s="32">
        <f>'ClipON Stool'!H237</f>
        <v>0</v>
      </c>
      <c r="F367" s="32">
        <f>'ClipON Stool'!I237</f>
        <v>0</v>
      </c>
      <c r="G367" s="32">
        <f>'ClipON Stool'!J237</f>
        <v>0</v>
      </c>
      <c r="H367" s="32">
        <f>'ClipON Stool'!K237</f>
        <v>0</v>
      </c>
      <c r="I367" s="32">
        <f>'ClipON Stool'!L237</f>
        <v>0</v>
      </c>
      <c r="J367" s="77"/>
      <c r="K367" s="114">
        <f>'ClipON Stool'!M237</f>
        <v>0</v>
      </c>
      <c r="L367" s="114">
        <f>'ClipON Stool'!N237</f>
        <v>-100</v>
      </c>
      <c r="M367" s="114">
        <f>'ClipON Stool'!O237</f>
        <v>0</v>
      </c>
      <c r="N367" s="114">
        <f>'ClipON Stool'!P237</f>
        <v>0</v>
      </c>
      <c r="O367" s="114">
        <f>'ClipON Stool'!Q237</f>
        <v>0</v>
      </c>
      <c r="P367" s="114">
        <f>'ClipON Stool'!R237</f>
        <v>0</v>
      </c>
      <c r="Q367" s="114">
        <f>'ClipON Stool'!S237</f>
        <v>0</v>
      </c>
      <c r="R367" s="114">
        <f>'ClipON Stool'!T237</f>
        <v>0</v>
      </c>
      <c r="S367" s="75"/>
      <c r="T367" s="114">
        <f>'ClipON Stool'!V237</f>
        <v>0</v>
      </c>
      <c r="U367" s="114">
        <f>'ClipON Stool'!W237</f>
        <v>2420</v>
      </c>
      <c r="V367" s="114">
        <f>'ClipON Stool'!X237</f>
        <v>0</v>
      </c>
      <c r="W367" s="114">
        <f>'ClipON Stool'!Y237</f>
        <v>0</v>
      </c>
      <c r="X367" s="114">
        <f>'ClipON Stool'!Z237</f>
        <v>0</v>
      </c>
      <c r="Y367" s="114">
        <f>'ClipON Stool'!AA237</f>
        <v>0</v>
      </c>
      <c r="Z367" s="114">
        <f>'ClipON Stool'!AB237</f>
        <v>0</v>
      </c>
      <c r="AA367" s="114">
        <f>'ClipON Stool'!AC237</f>
        <v>0</v>
      </c>
      <c r="AB367" s="108">
        <f>SUM(B367:AA367)</f>
        <v>2320</v>
      </c>
    </row>
    <row r="368" spans="1:28" ht="24" thickBot="1">
      <c r="A368" s="11" t="s">
        <v>146</v>
      </c>
      <c r="B368" s="39">
        <f t="shared" ref="B368:I368" si="79">B367/20</f>
        <v>0</v>
      </c>
      <c r="C368" s="39">
        <f t="shared" si="79"/>
        <v>0</v>
      </c>
      <c r="D368" s="39">
        <f t="shared" si="79"/>
        <v>0</v>
      </c>
      <c r="E368" s="39">
        <f t="shared" si="79"/>
        <v>0</v>
      </c>
      <c r="F368" s="39">
        <f t="shared" si="79"/>
        <v>0</v>
      </c>
      <c r="G368" s="39">
        <f t="shared" si="79"/>
        <v>0</v>
      </c>
      <c r="H368" s="39">
        <f t="shared" si="79"/>
        <v>0</v>
      </c>
      <c r="I368" s="39">
        <f t="shared" si="79"/>
        <v>0</v>
      </c>
      <c r="J368" s="75"/>
      <c r="K368" s="78">
        <f t="shared" ref="K368:R368" si="80">K367/20</f>
        <v>0</v>
      </c>
      <c r="L368" s="78">
        <f t="shared" si="80"/>
        <v>-5</v>
      </c>
      <c r="M368" s="78">
        <f t="shared" si="80"/>
        <v>0</v>
      </c>
      <c r="N368" s="78">
        <f t="shared" si="80"/>
        <v>0</v>
      </c>
      <c r="O368" s="78">
        <f t="shared" si="80"/>
        <v>0</v>
      </c>
      <c r="P368" s="78">
        <f t="shared" si="80"/>
        <v>0</v>
      </c>
      <c r="Q368" s="78">
        <f t="shared" si="80"/>
        <v>0</v>
      </c>
      <c r="R368" s="78">
        <f t="shared" si="80"/>
        <v>0</v>
      </c>
      <c r="S368" s="76"/>
      <c r="T368" s="39">
        <f t="shared" ref="T368:AA368" si="81">T367/12</f>
        <v>0</v>
      </c>
      <c r="U368" s="39">
        <f t="shared" si="81"/>
        <v>201.66666666666666</v>
      </c>
      <c r="V368" s="39">
        <f t="shared" si="81"/>
        <v>0</v>
      </c>
      <c r="W368" s="39">
        <f t="shared" si="81"/>
        <v>0</v>
      </c>
      <c r="X368" s="39">
        <f t="shared" si="81"/>
        <v>0</v>
      </c>
      <c r="Y368" s="39">
        <f t="shared" si="81"/>
        <v>0</v>
      </c>
      <c r="Z368" s="39">
        <f t="shared" si="81"/>
        <v>0</v>
      </c>
      <c r="AA368" s="39">
        <f t="shared" si="81"/>
        <v>0</v>
      </c>
      <c r="AB368" s="109">
        <f>SUM(B368:AA368)</f>
        <v>196.66666666666666</v>
      </c>
    </row>
    <row r="369" spans="1:28" ht="24" thickBot="1">
      <c r="A369" s="37"/>
      <c r="B369" s="3387">
        <f>SUM(B364:I364)</f>
        <v>0</v>
      </c>
      <c r="C369" s="3388"/>
      <c r="D369" s="3388"/>
      <c r="E369" s="3388"/>
      <c r="F369" s="3388"/>
      <c r="G369" s="3388"/>
      <c r="H369" s="3388"/>
      <c r="I369" s="3389"/>
      <c r="J369" s="76"/>
      <c r="K369" s="3401">
        <f>SUM(K367:R367)</f>
        <v>-100</v>
      </c>
      <c r="L369" s="3402"/>
      <c r="M369" s="3402"/>
      <c r="N369" s="3402"/>
      <c r="O369" s="3402"/>
      <c r="P369" s="3402"/>
      <c r="Q369" s="3402"/>
      <c r="R369" s="3403"/>
      <c r="S369" s="3498"/>
      <c r="T369" s="3560">
        <f>SUM(T365:AA365)</f>
        <v>0</v>
      </c>
      <c r="U369" s="3561"/>
      <c r="V369" s="3561"/>
      <c r="W369" s="3561"/>
      <c r="X369" s="3561"/>
      <c r="Y369" s="3561"/>
      <c r="Z369" s="3561"/>
      <c r="AA369" s="3562"/>
      <c r="AB369" s="1"/>
    </row>
    <row r="370" spans="1:28" ht="27" thickBot="1">
      <c r="A370" s="38"/>
      <c r="B370" s="3488">
        <f>SUM(B365:I365)</f>
        <v>0</v>
      </c>
      <c r="C370" s="3489"/>
      <c r="D370" s="3489"/>
      <c r="E370" s="3489"/>
      <c r="F370" s="3489"/>
      <c r="G370" s="3489"/>
      <c r="H370" s="3489"/>
      <c r="I370" s="3490"/>
      <c r="J370" s="3501"/>
      <c r="K370" s="3398">
        <f>SUM(K364:R364)</f>
        <v>0</v>
      </c>
      <c r="L370" s="3399"/>
      <c r="M370" s="3399"/>
      <c r="N370" s="3399"/>
      <c r="O370" s="3399"/>
      <c r="P370" s="3399"/>
      <c r="Q370" s="3399"/>
      <c r="R370" s="3400"/>
      <c r="S370" s="3498"/>
      <c r="T370" s="3563">
        <f>SUM(T366:AA366)</f>
        <v>0</v>
      </c>
      <c r="U370" s="3564"/>
      <c r="V370" s="3564"/>
      <c r="W370" s="3564"/>
      <c r="X370" s="3564"/>
      <c r="Y370" s="3564"/>
      <c r="Z370" s="3564"/>
      <c r="AA370" s="3565"/>
      <c r="AB370" s="1"/>
    </row>
    <row r="371" spans="1:28" ht="27" thickBot="1">
      <c r="A371" s="38"/>
      <c r="B371" s="3488"/>
      <c r="C371" s="3489"/>
      <c r="D371" s="3489"/>
      <c r="E371" s="3489"/>
      <c r="F371" s="3489"/>
      <c r="G371" s="3489"/>
      <c r="H371" s="3489"/>
      <c r="I371" s="3490"/>
      <c r="J371" s="3501"/>
      <c r="K371" s="3500"/>
      <c r="L371" s="3500"/>
      <c r="M371" s="3500"/>
      <c r="N371" s="3500"/>
      <c r="O371" s="3500"/>
      <c r="P371" s="3500"/>
      <c r="Q371" s="3500"/>
      <c r="R371" s="3500"/>
      <c r="S371" s="3498"/>
      <c r="T371" s="3500"/>
      <c r="U371" s="3500"/>
      <c r="V371" s="3500"/>
      <c r="W371" s="3500"/>
      <c r="X371" s="3500"/>
      <c r="Y371" s="3500"/>
      <c r="Z371" s="3500"/>
      <c r="AA371" s="3500"/>
      <c r="AB371" s="1"/>
    </row>
    <row r="372" spans="1:28" ht="27" thickBot="1">
      <c r="A372" s="38"/>
      <c r="B372" s="3488"/>
      <c r="C372" s="3489"/>
      <c r="D372" s="3489"/>
      <c r="E372" s="3489"/>
      <c r="F372" s="3489"/>
      <c r="G372" s="3489"/>
      <c r="H372" s="3489"/>
      <c r="I372" s="3490"/>
      <c r="J372" s="3501"/>
      <c r="K372" s="3500"/>
      <c r="L372" s="3500"/>
      <c r="M372" s="3500"/>
      <c r="N372" s="3500"/>
      <c r="O372" s="3500"/>
      <c r="P372" s="3500"/>
      <c r="Q372" s="3500"/>
      <c r="R372" s="3500"/>
      <c r="S372" s="3498"/>
      <c r="T372" s="3500"/>
      <c r="U372" s="3500"/>
      <c r="V372" s="3500"/>
      <c r="W372" s="3500"/>
      <c r="X372" s="3500"/>
      <c r="Y372" s="3500"/>
      <c r="Z372" s="3500"/>
      <c r="AA372" s="3500"/>
      <c r="AB372" s="1"/>
    </row>
    <row r="373" spans="1:28" ht="27" thickBot="1">
      <c r="A373" s="38"/>
      <c r="B373" s="3488"/>
      <c r="C373" s="3489"/>
      <c r="D373" s="3489"/>
      <c r="E373" s="3489"/>
      <c r="F373" s="3489"/>
      <c r="G373" s="3489"/>
      <c r="H373" s="3489"/>
      <c r="I373" s="3490"/>
      <c r="J373" s="3501"/>
      <c r="K373" s="3500"/>
      <c r="L373" s="3500"/>
      <c r="M373" s="3500"/>
      <c r="N373" s="3500"/>
      <c r="O373" s="3500"/>
      <c r="P373" s="3500"/>
      <c r="Q373" s="3500"/>
      <c r="R373" s="3500"/>
      <c r="S373" s="82"/>
      <c r="T373" s="3500"/>
      <c r="U373" s="3500"/>
      <c r="V373" s="3500"/>
      <c r="W373" s="3500"/>
      <c r="X373" s="3500"/>
      <c r="Y373" s="3500"/>
      <c r="Z373" s="3500"/>
      <c r="AA373" s="3500"/>
      <c r="AB373" s="1"/>
    </row>
    <row r="374" spans="1:28" ht="32.25" thickBot="1">
      <c r="A374" s="38"/>
      <c r="B374" s="3393"/>
      <c r="C374" s="3394"/>
      <c r="D374" s="3394"/>
      <c r="E374" s="3394"/>
      <c r="F374" s="3394"/>
      <c r="G374" s="3394"/>
      <c r="H374" s="3394"/>
      <c r="I374" s="3395"/>
      <c r="J374" s="3501"/>
      <c r="K374" s="3500"/>
      <c r="L374" s="3500"/>
      <c r="M374" s="3500"/>
      <c r="N374" s="3500"/>
      <c r="O374" s="3500"/>
      <c r="P374" s="3500"/>
      <c r="Q374" s="3500"/>
      <c r="R374" s="3500"/>
      <c r="S374" s="52"/>
      <c r="T374" s="3500"/>
      <c r="U374" s="3500"/>
      <c r="V374" s="3500"/>
      <c r="W374" s="3500"/>
      <c r="X374" s="3500"/>
      <c r="Y374" s="3500"/>
      <c r="Z374" s="3500"/>
      <c r="AA374" s="3500"/>
      <c r="AB374" s="1"/>
    </row>
    <row r="375" spans="1:28" ht="32.25" thickBot="1">
      <c r="A375" s="45"/>
      <c r="B375" s="46"/>
      <c r="C375" s="47"/>
      <c r="D375" s="47"/>
      <c r="E375" s="47"/>
      <c r="F375" s="47"/>
      <c r="G375" s="47"/>
      <c r="H375" s="47"/>
      <c r="I375" s="47"/>
      <c r="J375" s="52"/>
      <c r="K375" s="46"/>
      <c r="L375" s="47"/>
      <c r="M375" s="47"/>
      <c r="N375" s="47"/>
      <c r="O375" s="47"/>
      <c r="P375" s="47"/>
      <c r="Q375" s="47"/>
      <c r="R375" s="47"/>
      <c r="S375" s="54"/>
      <c r="T375" s="46"/>
      <c r="U375" s="47"/>
      <c r="V375" s="47"/>
      <c r="W375" s="47"/>
      <c r="X375" s="47"/>
      <c r="Y375" s="47"/>
      <c r="Z375" s="47"/>
      <c r="AA375" s="47"/>
      <c r="AB375" s="123"/>
    </row>
    <row r="376" spans="1:28" ht="32.25" thickBot="1">
      <c r="A376" s="6"/>
      <c r="B376" s="3390" t="s">
        <v>573</v>
      </c>
      <c r="C376" s="3391"/>
      <c r="D376" s="3391"/>
      <c r="E376" s="3391"/>
      <c r="F376" s="3391"/>
      <c r="G376" s="3391"/>
      <c r="H376" s="3391"/>
      <c r="I376" s="3392"/>
      <c r="J376" s="54"/>
      <c r="K376" s="3538"/>
      <c r="L376" s="3539"/>
      <c r="M376" s="3539"/>
      <c r="N376" s="3539"/>
      <c r="O376" s="3539"/>
      <c r="P376" s="3539"/>
      <c r="Q376" s="3404"/>
      <c r="R376" s="3405"/>
      <c r="S376" s="70"/>
      <c r="T376" s="3566"/>
      <c r="U376" s="3567"/>
      <c r="V376" s="3567"/>
      <c r="W376" s="3567"/>
      <c r="X376" s="3567"/>
      <c r="Y376" s="3567"/>
      <c r="Z376" s="3567"/>
      <c r="AA376" s="3568"/>
      <c r="AB376" s="105" t="s">
        <v>106</v>
      </c>
    </row>
    <row r="377" spans="1:28" ht="19.5" thickBot="1">
      <c r="A377" s="7" t="s">
        <v>274</v>
      </c>
      <c r="B377" s="743" t="s">
        <v>96</v>
      </c>
      <c r="C377" s="744" t="s">
        <v>124</v>
      </c>
      <c r="D377" s="744" t="s">
        <v>228</v>
      </c>
      <c r="E377" s="744" t="s">
        <v>149</v>
      </c>
      <c r="F377" s="744" t="s">
        <v>470</v>
      </c>
      <c r="G377" s="744" t="s">
        <v>92</v>
      </c>
      <c r="H377" s="50" t="s">
        <v>479</v>
      </c>
      <c r="I377" s="783" t="s">
        <v>497</v>
      </c>
      <c r="J377" s="578"/>
      <c r="K377" s="80" t="s">
        <v>71</v>
      </c>
      <c r="L377" s="49" t="s">
        <v>53</v>
      </c>
      <c r="M377" s="49" t="s">
        <v>583</v>
      </c>
      <c r="N377" s="49" t="s">
        <v>213</v>
      </c>
      <c r="O377" s="49" t="s">
        <v>457</v>
      </c>
      <c r="P377" s="49" t="s">
        <v>94</v>
      </c>
      <c r="Q377" s="126" t="s">
        <v>77</v>
      </c>
      <c r="R377" s="717" t="s">
        <v>482</v>
      </c>
      <c r="S377" s="578"/>
      <c r="T377" s="764" t="s">
        <v>584</v>
      </c>
      <c r="U377" s="765" t="s">
        <v>96</v>
      </c>
      <c r="V377" s="765" t="e">
        <f>#REF!</f>
        <v>#REF!</v>
      </c>
      <c r="W377" s="49" t="s">
        <v>598</v>
      </c>
      <c r="X377" s="765" t="e">
        <f>#REF!</f>
        <v>#REF!</v>
      </c>
      <c r="Y377" s="765" t="e">
        <f>#REF!</f>
        <v>#REF!</v>
      </c>
      <c r="Z377" s="765" t="e">
        <f>#REF!</f>
        <v>#REF!</v>
      </c>
      <c r="AA377" s="772" t="e">
        <f>#REF!</f>
        <v>#REF!</v>
      </c>
      <c r="AB377" s="18"/>
    </row>
    <row r="378" spans="1:28" ht="24" thickBot="1">
      <c r="A378" s="11" t="s">
        <v>151</v>
      </c>
      <c r="B378" s="32">
        <f>' BABA CHAIR 1'!E219</f>
        <v>20</v>
      </c>
      <c r="C378" s="32">
        <f>'High cros'!F346</f>
        <v>0</v>
      </c>
      <c r="D378" s="32">
        <f>'High cros'!G346</f>
        <v>0</v>
      </c>
      <c r="E378" s="32">
        <f>'High cros'!H346</f>
        <v>-20</v>
      </c>
      <c r="F378" s="32">
        <f>'High cros'!I346</f>
        <v>660</v>
      </c>
      <c r="G378" s="32">
        <f>'High cros'!J346</f>
        <v>140</v>
      </c>
      <c r="H378" s="32">
        <f>'High cros'!K346</f>
        <v>60</v>
      </c>
      <c r="I378" s="32">
        <f>'High cros'!L346</f>
        <v>260</v>
      </c>
      <c r="J378" s="3055"/>
      <c r="K378" s="32">
        <f>'High cros'!N346</f>
        <v>0</v>
      </c>
      <c r="L378" s="32">
        <f>'High cros'!O346</f>
        <v>0</v>
      </c>
      <c r="M378" s="32">
        <f>'High cros'!P346</f>
        <v>0</v>
      </c>
      <c r="N378" s="32">
        <f>'High cros'!Q346</f>
        <v>120</v>
      </c>
      <c r="O378" s="32">
        <f>'High cros'!R346</f>
        <v>0</v>
      </c>
      <c r="P378" s="32">
        <f>'High cros'!S346</f>
        <v>0</v>
      </c>
      <c r="Q378" s="32">
        <f>'High cros'!T346</f>
        <v>0</v>
      </c>
      <c r="R378" s="32">
        <f>'High cros'!U346</f>
        <v>60</v>
      </c>
      <c r="S378" s="3056"/>
      <c r="T378" s="3053">
        <f>'High cros'!W346</f>
        <v>20</v>
      </c>
      <c r="U378" s="3053">
        <f>'High cros'!X346</f>
        <v>0</v>
      </c>
      <c r="V378" s="3053">
        <f>'High cros'!Y346</f>
        <v>0</v>
      </c>
      <c r="W378" s="3053">
        <f>'High cros'!Z346</f>
        <v>320</v>
      </c>
      <c r="X378" s="3053">
        <f>'High cros'!AA346</f>
        <v>0</v>
      </c>
      <c r="Y378" s="3053">
        <f>' BABA CHAIR 1'!AA219</f>
        <v>0</v>
      </c>
      <c r="Z378" s="3053">
        <f>' BABA CHAIR 1'!AB219</f>
        <v>0</v>
      </c>
      <c r="AA378" s="3053">
        <f>' BABA CHAIR 1'!AC219</f>
        <v>0</v>
      </c>
      <c r="AB378" s="3054">
        <f>SUM(B378:AA378)</f>
        <v>1640</v>
      </c>
    </row>
    <row r="379" spans="1:28" ht="24" thickBot="1">
      <c r="A379" s="2712" t="s">
        <v>146</v>
      </c>
      <c r="B379" s="27">
        <f t="shared" ref="B379:I379" si="82">B378/20</f>
        <v>1</v>
      </c>
      <c r="C379" s="27">
        <f t="shared" si="82"/>
        <v>0</v>
      </c>
      <c r="D379" s="27">
        <f t="shared" si="82"/>
        <v>0</v>
      </c>
      <c r="E379" s="27">
        <f t="shared" si="82"/>
        <v>-1</v>
      </c>
      <c r="F379" s="27">
        <f t="shared" si="82"/>
        <v>33</v>
      </c>
      <c r="G379" s="27">
        <f t="shared" si="82"/>
        <v>7</v>
      </c>
      <c r="H379" s="27">
        <f t="shared" si="82"/>
        <v>3</v>
      </c>
      <c r="I379" s="27">
        <f t="shared" si="82"/>
        <v>13</v>
      </c>
      <c r="J379" s="3056"/>
      <c r="K379" s="27">
        <f t="shared" ref="K379:R379" si="83">K378/20</f>
        <v>0</v>
      </c>
      <c r="L379" s="27">
        <f t="shared" si="83"/>
        <v>0</v>
      </c>
      <c r="M379" s="27">
        <f t="shared" si="83"/>
        <v>0</v>
      </c>
      <c r="N379" s="27">
        <f t="shared" si="83"/>
        <v>6</v>
      </c>
      <c r="O379" s="27">
        <f t="shared" si="83"/>
        <v>0</v>
      </c>
      <c r="P379" s="27">
        <f t="shared" si="83"/>
        <v>0</v>
      </c>
      <c r="Q379" s="27">
        <f t="shared" si="83"/>
        <v>0</v>
      </c>
      <c r="R379" s="27">
        <f t="shared" si="83"/>
        <v>3</v>
      </c>
      <c r="S379" s="3056"/>
      <c r="T379" s="27">
        <f t="shared" ref="T379:AA379" si="84">T378/12</f>
        <v>1.6666666666666667</v>
      </c>
      <c r="U379" s="27">
        <f t="shared" si="84"/>
        <v>0</v>
      </c>
      <c r="V379" s="27">
        <f t="shared" si="84"/>
        <v>0</v>
      </c>
      <c r="W379" s="27">
        <f t="shared" si="84"/>
        <v>26.666666666666668</v>
      </c>
      <c r="X379" s="27">
        <f t="shared" si="84"/>
        <v>0</v>
      </c>
      <c r="Y379" s="27">
        <f t="shared" si="84"/>
        <v>0</v>
      </c>
      <c r="Z379" s="27">
        <f t="shared" si="84"/>
        <v>0</v>
      </c>
      <c r="AA379" s="27">
        <f t="shared" si="84"/>
        <v>0</v>
      </c>
      <c r="AB379" s="109">
        <f>SUM(B379:AA379)</f>
        <v>93.333333333333343</v>
      </c>
    </row>
    <row r="380" spans="1:28" ht="24" thickBot="1">
      <c r="B380" s="3396">
        <f>SUM(B375:I375)</f>
        <v>0</v>
      </c>
      <c r="C380" s="3414"/>
      <c r="D380" s="3414"/>
      <c r="E380" s="3414"/>
      <c r="F380" s="3414"/>
      <c r="G380" s="3414"/>
      <c r="H380" s="3414"/>
      <c r="I380" s="3415"/>
      <c r="J380" s="3056"/>
      <c r="K380" s="3397">
        <f>SUM(K374:R374)</f>
        <v>0</v>
      </c>
      <c r="L380" s="3414"/>
      <c r="M380" s="3414"/>
      <c r="N380" s="3414"/>
      <c r="O380" s="3414"/>
      <c r="P380" s="3414"/>
      <c r="Q380" s="3414"/>
      <c r="R380" s="3415"/>
      <c r="T380" s="3575">
        <f>SUM(T376:AA376)</f>
        <v>0</v>
      </c>
      <c r="U380" s="3576"/>
      <c r="V380" s="3576"/>
      <c r="W380" s="3576"/>
      <c r="X380" s="3576"/>
      <c r="Y380" s="3576"/>
      <c r="Z380" s="3576"/>
      <c r="AA380" s="3577"/>
    </row>
    <row r="381" spans="1:28" ht="24" thickBot="1">
      <c r="B381" s="3396">
        <f>SUM(B376:I376)</f>
        <v>0</v>
      </c>
      <c r="C381" s="3414"/>
      <c r="D381" s="3414"/>
      <c r="E381" s="3414"/>
      <c r="F381" s="3414"/>
      <c r="G381" s="3414"/>
      <c r="H381" s="3414"/>
      <c r="I381" s="3415"/>
      <c r="K381" s="3398">
        <f>SUM(K375:R375)</f>
        <v>0</v>
      </c>
      <c r="L381" s="3399"/>
      <c r="M381" s="3399"/>
      <c r="N381" s="3399"/>
      <c r="O381" s="3399"/>
      <c r="P381" s="3399"/>
      <c r="Q381" s="3399"/>
      <c r="R381" s="3400"/>
      <c r="T381" s="3575" t="e">
        <f>SUM(T377:AA377)</f>
        <v>#REF!</v>
      </c>
      <c r="U381" s="3576"/>
      <c r="V381" s="3576"/>
      <c r="W381" s="3576"/>
      <c r="X381" s="3576"/>
      <c r="Y381" s="3576"/>
      <c r="Z381" s="3576"/>
      <c r="AA381" s="3577"/>
    </row>
    <row r="382" spans="1:28" ht="24" thickBot="1">
      <c r="K382" s="3536" t="e">
        <f>SUM(#REF!)</f>
        <v>#REF!</v>
      </c>
      <c r="L382" s="3537"/>
      <c r="M382" s="3537"/>
    </row>
    <row r="384" spans="1:28" ht="31.5">
      <c r="S384" s="52"/>
    </row>
    <row r="385" spans="1:28" ht="19.5" thickBot="1">
      <c r="S385" s="54"/>
    </row>
    <row r="386" spans="1:28" ht="32.25" thickBot="1">
      <c r="A386" s="6"/>
      <c r="B386" s="3908" t="s">
        <v>563</v>
      </c>
      <c r="C386" s="3909"/>
      <c r="D386" s="3909"/>
      <c r="E386" s="3909"/>
      <c r="F386" s="3909"/>
      <c r="G386" s="3909"/>
      <c r="H386" s="3909"/>
      <c r="I386" s="3910"/>
      <c r="J386" s="52"/>
      <c r="K386" s="3584" t="s">
        <v>563</v>
      </c>
      <c r="L386" s="3585"/>
      <c r="M386" s="3585"/>
      <c r="N386" s="3585"/>
      <c r="O386" s="3585"/>
      <c r="P386" s="3585"/>
      <c r="Q386" s="3585"/>
      <c r="R386" s="3586"/>
      <c r="S386" s="70"/>
      <c r="T386" s="3566"/>
      <c r="U386" s="3567"/>
      <c r="V386" s="3567"/>
      <c r="W386" s="3567"/>
      <c r="X386" s="3567"/>
      <c r="Y386" s="3567"/>
      <c r="Z386" s="3567"/>
      <c r="AA386" s="3568"/>
      <c r="AB386" s="105" t="s">
        <v>106</v>
      </c>
    </row>
    <row r="387" spans="1:28" ht="24" thickBot="1">
      <c r="A387" s="7" t="s">
        <v>274</v>
      </c>
      <c r="B387" s="88" t="s">
        <v>96</v>
      </c>
      <c r="C387" s="30" t="s">
        <v>124</v>
      </c>
      <c r="D387" s="30" t="s">
        <v>228</v>
      </c>
      <c r="E387" s="30" t="s">
        <v>149</v>
      </c>
      <c r="F387" s="3368" t="s">
        <v>470</v>
      </c>
      <c r="G387" s="30" t="s">
        <v>92</v>
      </c>
      <c r="H387" s="50" t="s">
        <v>479</v>
      </c>
      <c r="I387" s="2556" t="s">
        <v>123</v>
      </c>
      <c r="J387" s="54"/>
      <c r="K387" s="40" t="s">
        <v>71</v>
      </c>
      <c r="L387" s="41" t="s">
        <v>53</v>
      </c>
      <c r="M387" s="41" t="s">
        <v>118</v>
      </c>
      <c r="N387" s="41" t="s">
        <v>74</v>
      </c>
      <c r="O387" s="41" t="s">
        <v>75</v>
      </c>
      <c r="P387" s="41" t="s">
        <v>94</v>
      </c>
      <c r="Q387" s="81" t="s">
        <v>77</v>
      </c>
      <c r="R387" s="90" t="s">
        <v>101</v>
      </c>
      <c r="S387" s="72"/>
      <c r="T387" s="23" t="s">
        <v>71</v>
      </c>
      <c r="U387" s="24" t="s">
        <v>96</v>
      </c>
      <c r="V387" s="24" t="s">
        <v>118</v>
      </c>
      <c r="W387" s="24" t="s">
        <v>229</v>
      </c>
      <c r="X387" s="24" t="s">
        <v>250</v>
      </c>
      <c r="Y387" s="24" t="s">
        <v>53</v>
      </c>
      <c r="Z387" s="24" t="s">
        <v>278</v>
      </c>
      <c r="AA387" s="94" t="s">
        <v>222</v>
      </c>
      <c r="AB387" s="18"/>
    </row>
    <row r="388" spans="1:28" ht="24" thickBot="1">
      <c r="A388" s="11" t="s">
        <v>151</v>
      </c>
      <c r="B388" s="32">
        <f>'ARM LESS SUMO'!E352</f>
        <v>120</v>
      </c>
      <c r="C388" s="33">
        <f>'ARM LESS SUMO'!F352</f>
        <v>0</v>
      </c>
      <c r="D388" s="33">
        <f>'ARM LESS SUMO'!G352</f>
        <v>0</v>
      </c>
      <c r="E388" s="33">
        <f>'ARM LESS SUMO'!H352</f>
        <v>0</v>
      </c>
      <c r="F388" s="33">
        <f>'ARM LESS SUMO'!I352</f>
        <v>0</v>
      </c>
      <c r="G388" s="33">
        <f>'ARM LESS SUMO'!J352</f>
        <v>0</v>
      </c>
      <c r="H388" s="33">
        <f>'ARM LESS SUMO'!K352</f>
        <v>1600</v>
      </c>
      <c r="I388" s="69">
        <f>'ARM LESS SUMO'!L352</f>
        <v>120</v>
      </c>
      <c r="J388" s="70"/>
      <c r="K388" s="12">
        <f>'ARM LESS SUMO'!N352</f>
        <v>0</v>
      </c>
      <c r="L388" s="13">
        <f>'ARM LESS SUMO'!O352</f>
        <v>-40</v>
      </c>
      <c r="M388" s="13">
        <f>'ARM LESS SUMO'!P352</f>
        <v>0</v>
      </c>
      <c r="N388" s="13">
        <f>'ARM LESS SUMO'!Q352</f>
        <v>0</v>
      </c>
      <c r="O388" s="13">
        <f>'ARM LESS SUMO'!R352</f>
        <v>1440</v>
      </c>
      <c r="P388" s="13">
        <f>'ARM LESS SUMO'!S352</f>
        <v>-40</v>
      </c>
      <c r="Q388" s="13">
        <f>'ARM LESS SUMO'!T352</f>
        <v>0</v>
      </c>
      <c r="R388" s="91">
        <f>'ARM LESS SUMO'!U352</f>
        <v>0</v>
      </c>
      <c r="S388" s="75"/>
      <c r="T388" s="32">
        <f>'ARM LESS SUMO'!W352</f>
        <v>1560</v>
      </c>
      <c r="U388" s="33">
        <f>'ARM LESS SUMO'!X352</f>
        <v>0</v>
      </c>
      <c r="V388" s="33">
        <f>'ARM LESS SUMO'!Y352</f>
        <v>0</v>
      </c>
      <c r="W388" s="33">
        <f>'ARM LESS SUMO'!Z352</f>
        <v>1360</v>
      </c>
      <c r="X388" s="33">
        <f>'ARM LESS SUMO'!AC352</f>
        <v>0</v>
      </c>
      <c r="Y388" s="33">
        <f>'ARM LESS SUMO'!AB352</f>
        <v>0</v>
      </c>
      <c r="Z388" s="33">
        <f>'ARM LESS SUMO'!AA352</f>
        <v>0</v>
      </c>
      <c r="AA388" s="69">
        <f>'ARM LESS SUMO'!AD352</f>
        <v>0</v>
      </c>
      <c r="AB388" s="108">
        <f>SUM(B388:AA388)</f>
        <v>6120</v>
      </c>
    </row>
    <row r="389" spans="1:28" ht="24" thickBot="1">
      <c r="A389" s="34" t="s">
        <v>146</v>
      </c>
      <c r="B389" s="35">
        <f t="shared" ref="B389:I389" si="85">B388/20</f>
        <v>6</v>
      </c>
      <c r="C389" s="36">
        <f t="shared" si="85"/>
        <v>0</v>
      </c>
      <c r="D389" s="36">
        <f t="shared" si="85"/>
        <v>0</v>
      </c>
      <c r="E389" s="36">
        <f t="shared" si="85"/>
        <v>0</v>
      </c>
      <c r="F389" s="36">
        <f t="shared" si="85"/>
        <v>0</v>
      </c>
      <c r="G389" s="36">
        <f t="shared" si="85"/>
        <v>0</v>
      </c>
      <c r="H389" s="36">
        <f t="shared" si="85"/>
        <v>80</v>
      </c>
      <c r="I389" s="71">
        <f t="shared" si="85"/>
        <v>6</v>
      </c>
      <c r="J389" s="72"/>
      <c r="K389" s="73">
        <f t="shared" ref="K389:R389" si="86">K388/20</f>
        <v>0</v>
      </c>
      <c r="L389" s="74">
        <f t="shared" si="86"/>
        <v>-2</v>
      </c>
      <c r="M389" s="74">
        <f t="shared" si="86"/>
        <v>0</v>
      </c>
      <c r="N389" s="74">
        <f t="shared" si="86"/>
        <v>0</v>
      </c>
      <c r="O389" s="74">
        <f t="shared" si="86"/>
        <v>72</v>
      </c>
      <c r="P389" s="74">
        <f>P388/20</f>
        <v>-2</v>
      </c>
      <c r="Q389" s="74">
        <f t="shared" si="86"/>
        <v>0</v>
      </c>
      <c r="R389" s="92">
        <f t="shared" si="86"/>
        <v>0</v>
      </c>
      <c r="S389" s="76"/>
      <c r="T389" s="35">
        <f t="shared" ref="T389:AA389" si="87">T388/20</f>
        <v>78</v>
      </c>
      <c r="U389" s="36">
        <f t="shared" si="87"/>
        <v>0</v>
      </c>
      <c r="V389" s="36">
        <f t="shared" si="87"/>
        <v>0</v>
      </c>
      <c r="W389" s="36">
        <f t="shared" si="87"/>
        <v>68</v>
      </c>
      <c r="X389" s="93">
        <f t="shared" si="87"/>
        <v>0</v>
      </c>
      <c r="Y389" s="93">
        <f t="shared" si="87"/>
        <v>0</v>
      </c>
      <c r="Z389" s="93">
        <f t="shared" si="87"/>
        <v>0</v>
      </c>
      <c r="AA389" s="71">
        <f t="shared" si="87"/>
        <v>0</v>
      </c>
      <c r="AB389" s="118">
        <f>SUM(B389:AA389)</f>
        <v>306</v>
      </c>
    </row>
    <row r="390" spans="1:28" ht="24" thickBot="1">
      <c r="A390" s="37"/>
      <c r="B390" s="3911">
        <f>SUM(B388:I388)</f>
        <v>1840</v>
      </c>
      <c r="C390" s="3912"/>
      <c r="D390" s="3912"/>
      <c r="E390" s="3912"/>
      <c r="F390" s="3912"/>
      <c r="G390" s="3912"/>
      <c r="H390" s="3912"/>
      <c r="I390" s="3913"/>
      <c r="J390" s="75"/>
      <c r="K390" s="3578">
        <f>SUM(K386:R386)</f>
        <v>0</v>
      </c>
      <c r="L390" s="3579"/>
      <c r="M390" s="3579"/>
      <c r="N390" s="3579"/>
      <c r="O390" s="3579"/>
      <c r="P390" s="3579"/>
      <c r="Q390" s="3579"/>
      <c r="R390" s="3580"/>
      <c r="T390" s="3560">
        <f>SUM(T386:AA386)</f>
        <v>0</v>
      </c>
      <c r="U390" s="3561"/>
      <c r="V390" s="3561"/>
      <c r="W390" s="3561"/>
      <c r="X390" s="3561"/>
      <c r="Y390" s="3561"/>
      <c r="Z390" s="3561"/>
      <c r="AA390" s="3562"/>
      <c r="AB390" s="1"/>
    </row>
    <row r="391" spans="1:28" ht="27" thickBot="1">
      <c r="A391" s="38"/>
      <c r="B391" s="3914">
        <f>SUM(B389:I389)</f>
        <v>92</v>
      </c>
      <c r="C391" s="3915"/>
      <c r="D391" s="3915"/>
      <c r="E391" s="3915"/>
      <c r="F391" s="3915"/>
      <c r="G391" s="3915"/>
      <c r="H391" s="3915"/>
      <c r="I391" s="3916"/>
      <c r="J391" s="76"/>
      <c r="K391" s="3611"/>
      <c r="L391" s="3582"/>
      <c r="M391" s="3582"/>
      <c r="N391" s="3582"/>
      <c r="O391" s="3582"/>
      <c r="P391" s="3582"/>
      <c r="Q391" s="3582"/>
      <c r="R391" s="3583"/>
      <c r="T391" s="3563">
        <f>SUM(T387:AA387)</f>
        <v>0</v>
      </c>
      <c r="U391" s="3564"/>
      <c r="V391" s="3564"/>
      <c r="W391" s="3564"/>
      <c r="X391" s="3564"/>
      <c r="Y391" s="3564"/>
      <c r="Z391" s="3564"/>
      <c r="AA391" s="3565"/>
      <c r="AB391" s="1"/>
    </row>
    <row r="392" spans="1:28" ht="24" thickBot="1">
      <c r="K392" s="3581">
        <f>SUM(K387:R387)</f>
        <v>0</v>
      </c>
    </row>
    <row r="393" spans="1:28" ht="32.25" thickBot="1">
      <c r="S393" s="52"/>
    </row>
    <row r="394" spans="1:28" ht="19.5" thickBot="1">
      <c r="S394" s="3620"/>
    </row>
    <row r="395" spans="1:28" ht="32.25" thickBot="1">
      <c r="A395" s="6"/>
      <c r="B395" s="3908" t="s">
        <v>600</v>
      </c>
      <c r="C395" s="3909"/>
      <c r="D395" s="3909"/>
      <c r="E395" s="3909"/>
      <c r="F395" s="3909"/>
      <c r="G395" s="3909"/>
      <c r="H395" s="3909"/>
      <c r="I395" s="3910"/>
      <c r="K395" s="3608" t="s">
        <v>601</v>
      </c>
      <c r="L395" s="3609"/>
      <c r="M395" s="3609"/>
      <c r="N395" s="3609"/>
      <c r="O395" s="3609"/>
      <c r="P395" s="3609"/>
      <c r="Q395" s="3609"/>
      <c r="R395" s="3610"/>
      <c r="S395" s="70"/>
      <c r="T395" s="3614" t="s">
        <v>302</v>
      </c>
      <c r="U395" s="3615"/>
      <c r="V395" s="3615"/>
      <c r="W395" s="3615"/>
      <c r="X395" s="3615"/>
      <c r="Y395" s="3615"/>
      <c r="Z395" s="3615"/>
      <c r="AA395" s="3616"/>
      <c r="AB395" s="105" t="s">
        <v>106</v>
      </c>
    </row>
    <row r="396" spans="1:28" ht="32.25" thickBot="1">
      <c r="A396" s="7" t="s">
        <v>274</v>
      </c>
      <c r="B396" s="80" t="s">
        <v>549</v>
      </c>
      <c r="C396" s="49" t="s">
        <v>94</v>
      </c>
      <c r="D396" s="49" t="s">
        <v>53</v>
      </c>
      <c r="E396" s="49" t="s">
        <v>136</v>
      </c>
      <c r="F396" s="49" t="s">
        <v>213</v>
      </c>
      <c r="G396" s="49" t="s">
        <v>206</v>
      </c>
      <c r="H396" s="126" t="s">
        <v>213</v>
      </c>
      <c r="I396" s="578"/>
      <c r="J396" s="52"/>
      <c r="K396" s="80" t="s">
        <v>222</v>
      </c>
      <c r="L396" s="49" t="s">
        <v>92</v>
      </c>
      <c r="M396" s="49" t="s">
        <v>251</v>
      </c>
      <c r="N396" s="49" t="s">
        <v>53</v>
      </c>
      <c r="O396" s="49" t="s">
        <v>94</v>
      </c>
      <c r="P396" s="49" t="s">
        <v>206</v>
      </c>
      <c r="Q396" s="126" t="s">
        <v>101</v>
      </c>
      <c r="R396" s="171" t="s">
        <v>497</v>
      </c>
      <c r="S396" s="77"/>
      <c r="T396" s="172" t="s">
        <v>497</v>
      </c>
      <c r="U396" s="103" t="s">
        <v>97</v>
      </c>
      <c r="V396" s="103" t="s">
        <v>124</v>
      </c>
      <c r="W396" s="103" t="s">
        <v>206</v>
      </c>
      <c r="X396" s="103" t="s">
        <v>269</v>
      </c>
      <c r="Y396" s="103" t="s">
        <v>96</v>
      </c>
      <c r="Z396" s="179" t="s">
        <v>92</v>
      </c>
      <c r="AA396" s="180" t="s">
        <v>101</v>
      </c>
      <c r="AB396" s="18"/>
    </row>
    <row r="397" spans="1:28" ht="24" thickBot="1">
      <c r="A397" s="11" t="s">
        <v>151</v>
      </c>
      <c r="B397" s="32">
        <f>'JIO TABLE'!E215</f>
        <v>399</v>
      </c>
      <c r="C397" s="32">
        <f>'JIO TABLE'!F215</f>
        <v>546</v>
      </c>
      <c r="D397" s="32">
        <f>'JIO TABLE'!G215</f>
        <v>1352</v>
      </c>
      <c r="E397" s="32">
        <f>'JIO TABLE'!H215</f>
        <v>745</v>
      </c>
      <c r="F397" s="32">
        <f>'JIO TABLE'!I215</f>
        <v>554</v>
      </c>
      <c r="G397" s="32">
        <f>'JIO TABLE'!J215</f>
        <v>0</v>
      </c>
      <c r="H397" s="32">
        <f>'JIO TABLE'!K215</f>
        <v>0</v>
      </c>
      <c r="I397" s="3053"/>
      <c r="J397" s="3621"/>
      <c r="K397" s="83">
        <f>'JIO TABLE'!M215</f>
        <v>0</v>
      </c>
      <c r="L397" s="83">
        <f>'JIO TABLE'!N215</f>
        <v>0</v>
      </c>
      <c r="M397" s="83">
        <f>'JIO TABLE'!O215</f>
        <v>0</v>
      </c>
      <c r="N397" s="83">
        <f>'JIO TABLE'!P215</f>
        <v>0</v>
      </c>
      <c r="O397" s="83">
        <f>'JIO TABLE'!Q215</f>
        <v>0</v>
      </c>
      <c r="P397" s="83">
        <f>'JIO TABLE'!R215</f>
        <v>0</v>
      </c>
      <c r="Q397" s="83">
        <f>'JIO TABLE'!S215</f>
        <v>0</v>
      </c>
      <c r="R397" s="83">
        <f>'JIO TABLE'!T215</f>
        <v>0</v>
      </c>
      <c r="S397" s="75"/>
      <c r="T397" s="83">
        <f>'JIO TABLE'!V215</f>
        <v>309</v>
      </c>
      <c r="U397" s="83">
        <f>'JIO TABLE'!W215</f>
        <v>0</v>
      </c>
      <c r="V397" s="83">
        <f>'JIO TABLE'!X215</f>
        <v>337</v>
      </c>
      <c r="W397" s="83">
        <f>'JIO TABLE'!Y215</f>
        <v>0</v>
      </c>
      <c r="X397" s="83">
        <f>'JIO TABLE'!Z215</f>
        <v>0</v>
      </c>
      <c r="Y397" s="83">
        <f>'JIO TABLE'!AA215</f>
        <v>145</v>
      </c>
      <c r="Z397" s="83">
        <f>'JIO TABLE'!AB215</f>
        <v>455</v>
      </c>
      <c r="AA397" s="83">
        <f>'JIO TABLE'!AC215</f>
        <v>692</v>
      </c>
      <c r="AB397" s="108">
        <f>SUM(B397:AA397)</f>
        <v>5534</v>
      </c>
    </row>
    <row r="398" spans="1:28" ht="24" thickBot="1">
      <c r="A398" s="11" t="s">
        <v>146</v>
      </c>
      <c r="B398" s="39">
        <f>'JIO TABLE'!E216</f>
        <v>19.95</v>
      </c>
      <c r="C398" s="39">
        <f t="shared" ref="C398:H398" si="88">C397/20</f>
        <v>27.3</v>
      </c>
      <c r="D398" s="39">
        <f t="shared" si="88"/>
        <v>67.599999999999994</v>
      </c>
      <c r="E398" s="39">
        <f t="shared" si="88"/>
        <v>37.25</v>
      </c>
      <c r="F398" s="39">
        <f t="shared" si="88"/>
        <v>27.7</v>
      </c>
      <c r="G398" s="39">
        <f t="shared" si="88"/>
        <v>0</v>
      </c>
      <c r="H398" s="39">
        <f t="shared" si="88"/>
        <v>0</v>
      </c>
      <c r="I398" s="2717"/>
      <c r="J398" s="70"/>
      <c r="K398" s="78">
        <f t="shared" ref="K398:R398" si="89">K397/20</f>
        <v>0</v>
      </c>
      <c r="L398" s="78">
        <f t="shared" si="89"/>
        <v>0</v>
      </c>
      <c r="M398" s="78">
        <f t="shared" si="89"/>
        <v>0</v>
      </c>
      <c r="N398" s="78">
        <f t="shared" si="89"/>
        <v>0</v>
      </c>
      <c r="O398" s="78">
        <f t="shared" si="89"/>
        <v>0</v>
      </c>
      <c r="P398" s="78">
        <f t="shared" si="89"/>
        <v>0</v>
      </c>
      <c r="Q398" s="78">
        <f t="shared" si="89"/>
        <v>0</v>
      </c>
      <c r="R398" s="78">
        <f t="shared" si="89"/>
        <v>0</v>
      </c>
      <c r="S398" s="76"/>
      <c r="T398" s="39">
        <f t="shared" ref="T398:AA398" si="90">T397/20</f>
        <v>15.45</v>
      </c>
      <c r="U398" s="39">
        <f t="shared" si="90"/>
        <v>0</v>
      </c>
      <c r="V398" s="39">
        <f t="shared" si="90"/>
        <v>16.850000000000001</v>
      </c>
      <c r="W398" s="39">
        <f t="shared" si="90"/>
        <v>0</v>
      </c>
      <c r="X398" s="39">
        <f t="shared" si="90"/>
        <v>0</v>
      </c>
      <c r="Y398" s="39">
        <f t="shared" si="90"/>
        <v>7.25</v>
      </c>
      <c r="Z398" s="39">
        <f t="shared" si="90"/>
        <v>22.75</v>
      </c>
      <c r="AA398" s="39">
        <f t="shared" si="90"/>
        <v>34.6</v>
      </c>
      <c r="AB398" s="108">
        <f>'JIO TABLE'!AE216</f>
        <v>276.7</v>
      </c>
    </row>
    <row r="399" spans="1:28" ht="24" thickBot="1">
      <c r="A399" s="37"/>
      <c r="B399" s="3911">
        <f>SUM(B397:I397)</f>
        <v>3596</v>
      </c>
      <c r="C399" s="3912"/>
      <c r="D399" s="3912"/>
      <c r="E399" s="3912"/>
      <c r="F399" s="3912"/>
      <c r="G399" s="3912"/>
      <c r="H399" s="3912"/>
      <c r="I399" s="3913"/>
      <c r="J399" s="77"/>
      <c r="K399" s="3611">
        <f>SUM(K395:R395)</f>
        <v>0</v>
      </c>
      <c r="L399" s="3612"/>
      <c r="M399" s="3612"/>
      <c r="N399" s="3612"/>
      <c r="O399" s="3612"/>
      <c r="P399" s="3612"/>
      <c r="Q399" s="3612"/>
      <c r="R399" s="3613"/>
      <c r="T399" s="3611">
        <f>SUM(T395:AA395)</f>
        <v>0</v>
      </c>
      <c r="U399" s="3612"/>
      <c r="V399" s="3612"/>
      <c r="W399" s="3612"/>
      <c r="X399" s="3612"/>
      <c r="Y399" s="3612"/>
      <c r="Z399" s="3612"/>
      <c r="AA399" s="3613"/>
      <c r="AB399" s="1"/>
    </row>
    <row r="400" spans="1:28" ht="27" thickBot="1">
      <c r="A400" s="38"/>
      <c r="B400" s="3914">
        <f>SUM(B398:I398)</f>
        <v>179.79999999999998</v>
      </c>
      <c r="C400" s="3915"/>
      <c r="D400" s="3915"/>
      <c r="E400" s="3915"/>
      <c r="F400" s="3915"/>
      <c r="G400" s="3915"/>
      <c r="H400" s="3915"/>
      <c r="I400" s="3916"/>
      <c r="J400" s="75"/>
      <c r="K400" s="3617">
        <f>SUM(K396:R396)</f>
        <v>0</v>
      </c>
      <c r="L400" s="3618"/>
      <c r="M400" s="3618"/>
      <c r="N400" s="3618"/>
      <c r="O400" s="3618"/>
      <c r="P400" s="3618"/>
      <c r="Q400" s="3618"/>
      <c r="R400" s="3619"/>
      <c r="T400" s="3617">
        <f>SUM(T396:AA396)</f>
        <v>0</v>
      </c>
      <c r="U400" s="3618"/>
      <c r="V400" s="3618"/>
      <c r="W400" s="3618"/>
      <c r="X400" s="3618"/>
      <c r="Y400" s="3618"/>
      <c r="Z400" s="3618"/>
      <c r="AA400" s="3619"/>
      <c r="AB400" s="1"/>
    </row>
    <row r="401" spans="1:28" ht="19.5" thickBot="1">
      <c r="J401" s="76"/>
    </row>
    <row r="403" spans="1:28" ht="32.25" thickBot="1">
      <c r="S403" s="52"/>
    </row>
    <row r="404" spans="1:28" ht="19.5" thickBot="1">
      <c r="S404" s="2697"/>
    </row>
    <row r="405" spans="1:28" ht="32.25" thickBot="1">
      <c r="A405" s="6"/>
      <c r="B405" s="3908" t="s">
        <v>568</v>
      </c>
      <c r="C405" s="3909"/>
      <c r="D405" s="3909"/>
      <c r="E405" s="3909"/>
      <c r="F405" s="3909"/>
      <c r="G405" s="3909"/>
      <c r="H405" s="3909"/>
      <c r="I405" s="3910"/>
      <c r="K405" s="3614" t="s">
        <v>601</v>
      </c>
      <c r="L405" s="3615"/>
      <c r="M405" s="3615"/>
      <c r="N405" s="3615"/>
      <c r="O405" s="3615"/>
      <c r="P405" s="3615"/>
      <c r="Q405" s="3615"/>
      <c r="R405" s="3616"/>
      <c r="S405" s="70"/>
      <c r="T405" s="3614" t="s">
        <v>302</v>
      </c>
      <c r="U405" s="3615"/>
      <c r="V405" s="3615"/>
      <c r="W405" s="3615"/>
      <c r="X405" s="3615"/>
      <c r="Y405" s="3615"/>
      <c r="Z405" s="3615"/>
      <c r="AA405" s="3616"/>
      <c r="AB405" s="105" t="s">
        <v>106</v>
      </c>
    </row>
    <row r="406" spans="1:28" ht="24" thickBot="1">
      <c r="A406" s="7" t="s">
        <v>274</v>
      </c>
      <c r="B406" s="2697"/>
      <c r="C406" s="2698" t="s">
        <v>304</v>
      </c>
      <c r="D406" s="2698" t="s">
        <v>92</v>
      </c>
      <c r="E406" s="2698" t="s">
        <v>101</v>
      </c>
      <c r="F406" s="2698" t="s">
        <v>96</v>
      </c>
      <c r="G406" s="3496" t="s">
        <v>123</v>
      </c>
      <c r="H406" s="2702" t="s">
        <v>95</v>
      </c>
      <c r="I406" s="2699"/>
      <c r="J406" s="2697"/>
      <c r="K406" s="2697" t="s">
        <v>513</v>
      </c>
      <c r="L406" s="2698" t="s">
        <v>514</v>
      </c>
      <c r="M406" s="2698" t="s">
        <v>170</v>
      </c>
      <c r="N406" s="2698" t="s">
        <v>469</v>
      </c>
      <c r="O406" s="2698" t="s">
        <v>213</v>
      </c>
      <c r="P406" s="2698" t="s">
        <v>549</v>
      </c>
      <c r="Q406" s="2702"/>
      <c r="R406" s="2699"/>
      <c r="S406" s="77"/>
      <c r="T406" s="172"/>
      <c r="U406" s="103"/>
      <c r="V406" s="103"/>
      <c r="W406" s="103"/>
      <c r="X406" s="103"/>
      <c r="Y406" s="103"/>
      <c r="Z406" s="179"/>
      <c r="AA406" s="180"/>
      <c r="AB406" s="18"/>
    </row>
    <row r="407" spans="1:28" ht="24" thickBot="1">
      <c r="A407" s="11" t="s">
        <v>151</v>
      </c>
      <c r="B407" s="32">
        <f>'Web Chair'!E258</f>
        <v>0</v>
      </c>
      <c r="C407" s="32">
        <f>'Web Chair'!F258</f>
        <v>126</v>
      </c>
      <c r="D407" s="32">
        <f>'Web Chair'!G258</f>
        <v>168</v>
      </c>
      <c r="E407" s="32">
        <f>'Web Chair'!H258</f>
        <v>180</v>
      </c>
      <c r="F407" s="32">
        <f>'Web Chair'!I258</f>
        <v>108</v>
      </c>
      <c r="G407" s="32">
        <f>'Web Chair'!J258</f>
        <v>360</v>
      </c>
      <c r="H407" s="32">
        <f>'Web Chair'!K258</f>
        <v>0</v>
      </c>
      <c r="I407" s="3053"/>
      <c r="J407" s="3621"/>
      <c r="K407" s="83">
        <f>'Web Chair'!M258</f>
        <v>420</v>
      </c>
      <c r="L407" s="83">
        <f>'Web Chair'!N258</f>
        <v>0</v>
      </c>
      <c r="M407" s="83">
        <f>'Web Chair'!O258</f>
        <v>828</v>
      </c>
      <c r="N407" s="83">
        <f>'Web Chair'!P258</f>
        <v>0</v>
      </c>
      <c r="O407" s="83">
        <f>'Web Chair'!Q258</f>
        <v>318</v>
      </c>
      <c r="P407" s="83">
        <f>'JIO TABLE'!R225</f>
        <v>0</v>
      </c>
      <c r="Q407" s="83">
        <f>'Web Chair'!S258</f>
        <v>0</v>
      </c>
      <c r="R407" s="83">
        <f>'Web Chair'!T258</f>
        <v>0</v>
      </c>
      <c r="S407" s="75"/>
      <c r="T407" s="83"/>
      <c r="U407" s="83"/>
      <c r="V407" s="83"/>
      <c r="W407" s="83"/>
      <c r="X407" s="83"/>
      <c r="Y407" s="83"/>
      <c r="Z407" s="83"/>
      <c r="AA407" s="83"/>
      <c r="AB407" s="108">
        <f>SUM(B407:V407)</f>
        <v>2508</v>
      </c>
    </row>
    <row r="408" spans="1:28" ht="24" thickBot="1">
      <c r="A408" s="11" t="s">
        <v>146</v>
      </c>
      <c r="B408" s="39">
        <f t="shared" ref="B408:I408" si="91">B407/6</f>
        <v>0</v>
      </c>
      <c r="C408" s="39">
        <f t="shared" si="91"/>
        <v>21</v>
      </c>
      <c r="D408" s="39">
        <f t="shared" si="91"/>
        <v>28</v>
      </c>
      <c r="E408" s="39">
        <f t="shared" si="91"/>
        <v>30</v>
      </c>
      <c r="F408" s="39">
        <f t="shared" si="91"/>
        <v>18</v>
      </c>
      <c r="G408" s="39">
        <f t="shared" si="91"/>
        <v>60</v>
      </c>
      <c r="H408" s="39">
        <f t="shared" si="91"/>
        <v>0</v>
      </c>
      <c r="I408" s="2717">
        <f t="shared" si="91"/>
        <v>0</v>
      </c>
      <c r="J408" s="70"/>
      <c r="K408" s="78">
        <f t="shared" ref="K408:R408" si="92">K407/6</f>
        <v>70</v>
      </c>
      <c r="L408" s="78">
        <f t="shared" si="92"/>
        <v>0</v>
      </c>
      <c r="M408" s="78">
        <f t="shared" si="92"/>
        <v>138</v>
      </c>
      <c r="N408" s="78">
        <f t="shared" si="92"/>
        <v>0</v>
      </c>
      <c r="O408" s="78">
        <f t="shared" si="92"/>
        <v>53</v>
      </c>
      <c r="P408" s="78">
        <f t="shared" si="92"/>
        <v>0</v>
      </c>
      <c r="Q408" s="78">
        <f t="shared" si="92"/>
        <v>0</v>
      </c>
      <c r="R408" s="78">
        <f t="shared" si="92"/>
        <v>0</v>
      </c>
      <c r="S408" s="76"/>
      <c r="T408" s="39"/>
      <c r="U408" s="39"/>
      <c r="V408" s="39"/>
      <c r="W408" s="39"/>
      <c r="X408" s="39"/>
      <c r="Y408" s="39"/>
      <c r="Z408" s="39"/>
      <c r="AA408" s="39"/>
      <c r="AB408" s="108">
        <f>SUM(B408:AA408)</f>
        <v>418</v>
      </c>
    </row>
    <row r="409" spans="1:28" ht="24" thickBot="1">
      <c r="A409" s="37"/>
      <c r="B409" s="3911">
        <f>SUM(B407:I407)</f>
        <v>942</v>
      </c>
      <c r="C409" s="3912"/>
      <c r="D409" s="3912"/>
      <c r="E409" s="3912"/>
      <c r="F409" s="3912"/>
      <c r="G409" s="3912"/>
      <c r="H409" s="3912"/>
      <c r="I409" s="3913"/>
      <c r="J409" s="77"/>
      <c r="K409" s="3611">
        <f>SUM(K405:R405)</f>
        <v>0</v>
      </c>
      <c r="L409" s="3612"/>
      <c r="M409" s="3612"/>
      <c r="N409" s="3612"/>
      <c r="O409" s="3612"/>
      <c r="P409" s="3612"/>
      <c r="Q409" s="3612"/>
      <c r="R409" s="3613"/>
      <c r="T409" s="3611"/>
      <c r="U409" s="3612"/>
      <c r="V409" s="3612"/>
      <c r="W409" s="3612"/>
      <c r="X409" s="3612"/>
      <c r="Y409" s="3612"/>
      <c r="Z409" s="3612"/>
      <c r="AA409" s="3613"/>
      <c r="AB409" s="1"/>
    </row>
    <row r="410" spans="1:28" ht="27" thickBot="1">
      <c r="A410" s="38"/>
      <c r="B410" s="3914">
        <f>SUM(B408:I408)</f>
        <v>157</v>
      </c>
      <c r="C410" s="3915"/>
      <c r="D410" s="3915"/>
      <c r="E410" s="3915"/>
      <c r="F410" s="3915"/>
      <c r="G410" s="3915"/>
      <c r="H410" s="3915"/>
      <c r="I410" s="3916"/>
      <c r="J410" s="75"/>
      <c r="K410" s="3617">
        <f>SUM(K406:R406)</f>
        <v>0</v>
      </c>
      <c r="L410" s="3618"/>
      <c r="M410" s="3618"/>
      <c r="N410" s="3618"/>
      <c r="O410" s="3618"/>
      <c r="P410" s="3618"/>
      <c r="Q410" s="3618"/>
      <c r="R410" s="3619"/>
      <c r="T410" s="3617"/>
      <c r="U410" s="3618"/>
      <c r="V410" s="3618"/>
      <c r="W410" s="3618"/>
      <c r="X410" s="3618"/>
      <c r="Y410" s="3618"/>
      <c r="Z410" s="3618"/>
      <c r="AA410" s="3619"/>
      <c r="AB410" s="1"/>
    </row>
  </sheetData>
  <mergeCells count="285">
    <mergeCell ref="B405:I405"/>
    <mergeCell ref="B409:I409"/>
    <mergeCell ref="B410:I410"/>
    <mergeCell ref="K219:L219"/>
    <mergeCell ref="K216:L216"/>
    <mergeCell ref="Z189:AA189"/>
    <mergeCell ref="Z192:AA192"/>
    <mergeCell ref="G197:H197"/>
    <mergeCell ref="U184:V184"/>
    <mergeCell ref="U186:V186"/>
    <mergeCell ref="U185:V185"/>
    <mergeCell ref="U188:V188"/>
    <mergeCell ref="U187:V187"/>
    <mergeCell ref="K194:L194"/>
    <mergeCell ref="K196:L196"/>
    <mergeCell ref="K203:L203"/>
    <mergeCell ref="Z191:AA191"/>
    <mergeCell ref="G199:H199"/>
    <mergeCell ref="G262:H262"/>
    <mergeCell ref="K222:L222"/>
    <mergeCell ref="K223:L223"/>
    <mergeCell ref="K195:L195"/>
    <mergeCell ref="K206:L206"/>
    <mergeCell ref="K205:L205"/>
    <mergeCell ref="K207:L207"/>
    <mergeCell ref="K204:L204"/>
    <mergeCell ref="K202:L202"/>
    <mergeCell ref="K197:L197"/>
    <mergeCell ref="K198:L198"/>
    <mergeCell ref="K201:L201"/>
    <mergeCell ref="K200:L200"/>
    <mergeCell ref="K199:L199"/>
    <mergeCell ref="K208:L208"/>
    <mergeCell ref="G198:H198"/>
    <mergeCell ref="K224:L224"/>
    <mergeCell ref="K221:L221"/>
    <mergeCell ref="K220:L220"/>
    <mergeCell ref="K217:L217"/>
    <mergeCell ref="K213:L213"/>
    <mergeCell ref="B28:I28"/>
    <mergeCell ref="K28:R28"/>
    <mergeCell ref="T28:AA28"/>
    <mergeCell ref="B41:I41"/>
    <mergeCell ref="K41:R41"/>
    <mergeCell ref="T41:AA41"/>
    <mergeCell ref="T34:AA34"/>
    <mergeCell ref="K34:R34"/>
    <mergeCell ref="B34:I34"/>
    <mergeCell ref="B42:I42"/>
    <mergeCell ref="K42:R42"/>
    <mergeCell ref="T42:AA42"/>
    <mergeCell ref="B44:I44"/>
    <mergeCell ref="K44:R44"/>
    <mergeCell ref="T44:AA44"/>
    <mergeCell ref="B48:I48"/>
    <mergeCell ref="K48:R48"/>
    <mergeCell ref="T48:AA48"/>
    <mergeCell ref="K17:R17"/>
    <mergeCell ref="T17:AA17"/>
    <mergeCell ref="B37:I37"/>
    <mergeCell ref="K37:R37"/>
    <mergeCell ref="T37:AA37"/>
    <mergeCell ref="T35:AA35"/>
    <mergeCell ref="K35:R35"/>
    <mergeCell ref="B17:I17"/>
    <mergeCell ref="B21:I21"/>
    <mergeCell ref="K21:R21"/>
    <mergeCell ref="T21:AA21"/>
    <mergeCell ref="B22:I22"/>
    <mergeCell ref="K22:R22"/>
    <mergeCell ref="T22:AA22"/>
    <mergeCell ref="B24:I24"/>
    <mergeCell ref="K24:R24"/>
    <mergeCell ref="T24:AA24"/>
    <mergeCell ref="T30:AA30"/>
    <mergeCell ref="K30:R30"/>
    <mergeCell ref="B30:I30"/>
    <mergeCell ref="B29:I29"/>
    <mergeCell ref="K29:R29"/>
    <mergeCell ref="T29:AA29"/>
    <mergeCell ref="B35:I35"/>
    <mergeCell ref="B10:I10"/>
    <mergeCell ref="K10:R10"/>
    <mergeCell ref="T10:AA10"/>
    <mergeCell ref="B14:I14"/>
    <mergeCell ref="K14:R14"/>
    <mergeCell ref="T14:AA14"/>
    <mergeCell ref="B15:I15"/>
    <mergeCell ref="K15:R15"/>
    <mergeCell ref="T15:AA15"/>
    <mergeCell ref="A1:AB1"/>
    <mergeCell ref="B3:I3"/>
    <mergeCell ref="K3:R3"/>
    <mergeCell ref="T3:AA3"/>
    <mergeCell ref="B7:I7"/>
    <mergeCell ref="K7:R7"/>
    <mergeCell ref="T7:AA7"/>
    <mergeCell ref="B8:I8"/>
    <mergeCell ref="K8:R8"/>
    <mergeCell ref="T8:AA8"/>
    <mergeCell ref="B49:I49"/>
    <mergeCell ref="K49:R49"/>
    <mergeCell ref="T49:AA49"/>
    <mergeCell ref="B51:I51"/>
    <mergeCell ref="K51:R51"/>
    <mergeCell ref="T51:AA51"/>
    <mergeCell ref="B55:I55"/>
    <mergeCell ref="K55:R55"/>
    <mergeCell ref="T55:AA55"/>
    <mergeCell ref="B56:I56"/>
    <mergeCell ref="K56:R56"/>
    <mergeCell ref="T56:AA56"/>
    <mergeCell ref="B58:I58"/>
    <mergeCell ref="K58:R58"/>
    <mergeCell ref="T58:AA58"/>
    <mergeCell ref="B62:I62"/>
    <mergeCell ref="K62:R62"/>
    <mergeCell ref="T62:AA62"/>
    <mergeCell ref="B63:I63"/>
    <mergeCell ref="K63:R63"/>
    <mergeCell ref="T63:AA63"/>
    <mergeCell ref="B72:I72"/>
    <mergeCell ref="K72:R72"/>
    <mergeCell ref="T72:AA72"/>
    <mergeCell ref="B65:I65"/>
    <mergeCell ref="K65:R65"/>
    <mergeCell ref="T65:AA65"/>
    <mergeCell ref="B69:I69"/>
    <mergeCell ref="K69:R69"/>
    <mergeCell ref="T69:AA69"/>
    <mergeCell ref="B70:I70"/>
    <mergeCell ref="K70:R70"/>
    <mergeCell ref="T70:AA70"/>
    <mergeCell ref="B76:I76"/>
    <mergeCell ref="K76:R76"/>
    <mergeCell ref="T76:AA76"/>
    <mergeCell ref="B77:I77"/>
    <mergeCell ref="K77:R77"/>
    <mergeCell ref="T77:AA77"/>
    <mergeCell ref="B79:I79"/>
    <mergeCell ref="K79:R79"/>
    <mergeCell ref="T79:AA79"/>
    <mergeCell ref="B83:I83"/>
    <mergeCell ref="K83:R83"/>
    <mergeCell ref="T83:AA83"/>
    <mergeCell ref="B84:I84"/>
    <mergeCell ref="K84:R84"/>
    <mergeCell ref="T84:AA84"/>
    <mergeCell ref="B86:I86"/>
    <mergeCell ref="K86:R86"/>
    <mergeCell ref="T86:AA86"/>
    <mergeCell ref="B90:I90"/>
    <mergeCell ref="K90:R90"/>
    <mergeCell ref="T90:AA90"/>
    <mergeCell ref="B91:I91"/>
    <mergeCell ref="K91:R91"/>
    <mergeCell ref="T91:AA91"/>
    <mergeCell ref="B93:I93"/>
    <mergeCell ref="K93:R93"/>
    <mergeCell ref="T93:AA93"/>
    <mergeCell ref="B104:I104"/>
    <mergeCell ref="K104:R104"/>
    <mergeCell ref="T104:AA104"/>
    <mergeCell ref="B105:I105"/>
    <mergeCell ref="K105:R105"/>
    <mergeCell ref="T105:AA105"/>
    <mergeCell ref="K118:R118"/>
    <mergeCell ref="T118:AA118"/>
    <mergeCell ref="B97:I97"/>
    <mergeCell ref="K97:R97"/>
    <mergeCell ref="T97:AA97"/>
    <mergeCell ref="B98:I98"/>
    <mergeCell ref="K98:R98"/>
    <mergeCell ref="T98:AA98"/>
    <mergeCell ref="B100:I100"/>
    <mergeCell ref="K100:R100"/>
    <mergeCell ref="T100:AA100"/>
    <mergeCell ref="B111:I111"/>
    <mergeCell ref="K111:R111"/>
    <mergeCell ref="T111:AA111"/>
    <mergeCell ref="B113:I113"/>
    <mergeCell ref="B117:I117"/>
    <mergeCell ref="K117:R117"/>
    <mergeCell ref="T117:AA117"/>
    <mergeCell ref="B107:I107"/>
    <mergeCell ref="K107:R107"/>
    <mergeCell ref="T107:AA107"/>
    <mergeCell ref="T120:AA120"/>
    <mergeCell ref="V128:X128"/>
    <mergeCell ref="V129:X129"/>
    <mergeCell ref="B120:I120"/>
    <mergeCell ref="K120:R120"/>
    <mergeCell ref="B124:I124"/>
    <mergeCell ref="K124:R124"/>
    <mergeCell ref="T124:AA124"/>
    <mergeCell ref="B125:I125"/>
    <mergeCell ref="T125:AA125"/>
    <mergeCell ref="B126:Q126"/>
    <mergeCell ref="B118:I118"/>
    <mergeCell ref="K113:R113"/>
    <mergeCell ref="T113:AA113"/>
    <mergeCell ref="B112:I112"/>
    <mergeCell ref="K112:R112"/>
    <mergeCell ref="T112:AA112"/>
    <mergeCell ref="K125:R125"/>
    <mergeCell ref="B130:Q130"/>
    <mergeCell ref="U155:V155"/>
    <mergeCell ref="U156:V156"/>
    <mergeCell ref="U157:V157"/>
    <mergeCell ref="U158:V158"/>
    <mergeCell ref="U159:V159"/>
    <mergeCell ref="A143:H143"/>
    <mergeCell ref="U160:V160"/>
    <mergeCell ref="U161:V161"/>
    <mergeCell ref="B134:I134"/>
    <mergeCell ref="K134:R134"/>
    <mergeCell ref="T134:AA134"/>
    <mergeCell ref="B138:I138"/>
    <mergeCell ref="K138:R138"/>
    <mergeCell ref="T138:AA138"/>
    <mergeCell ref="U162:V162"/>
    <mergeCell ref="U178:V178"/>
    <mergeCell ref="U182:V182"/>
    <mergeCell ref="U183:V183"/>
    <mergeCell ref="U173:V173"/>
    <mergeCell ref="U163:V163"/>
    <mergeCell ref="U164:V164"/>
    <mergeCell ref="U165:V165"/>
    <mergeCell ref="U166:V166"/>
    <mergeCell ref="U167:V167"/>
    <mergeCell ref="U168:V168"/>
    <mergeCell ref="U169:V169"/>
    <mergeCell ref="U170:V170"/>
    <mergeCell ref="U171:V171"/>
    <mergeCell ref="U175:V175"/>
    <mergeCell ref="U172:V172"/>
    <mergeCell ref="U177:V177"/>
    <mergeCell ref="U176:V176"/>
    <mergeCell ref="U179:V179"/>
    <mergeCell ref="U180:V180"/>
    <mergeCell ref="U174:V174"/>
    <mergeCell ref="U181:V181"/>
    <mergeCell ref="K211:L211"/>
    <mergeCell ref="K210:L210"/>
    <mergeCell ref="K209:L209"/>
    <mergeCell ref="G296:H296"/>
    <mergeCell ref="G298:H298"/>
    <mergeCell ref="G297:H297"/>
    <mergeCell ref="G238:H238"/>
    <mergeCell ref="G236:H236"/>
    <mergeCell ref="G237:H237"/>
    <mergeCell ref="G295:H295"/>
    <mergeCell ref="G268:H268"/>
    <mergeCell ref="G269:H269"/>
    <mergeCell ref="G266:H266"/>
    <mergeCell ref="G267:H267"/>
    <mergeCell ref="K215:L215"/>
    <mergeCell ref="K214:L214"/>
    <mergeCell ref="K218:L218"/>
    <mergeCell ref="K212:L212"/>
    <mergeCell ref="G299:H299"/>
    <mergeCell ref="B359:F359"/>
    <mergeCell ref="G200:H200"/>
    <mergeCell ref="G293:H293"/>
    <mergeCell ref="G261:H261"/>
    <mergeCell ref="G294:H294"/>
    <mergeCell ref="G235:H235"/>
    <mergeCell ref="G291:H291"/>
    <mergeCell ref="G263:H263"/>
    <mergeCell ref="G264:H264"/>
    <mergeCell ref="G292:H292"/>
    <mergeCell ref="G265:H265"/>
    <mergeCell ref="G270:H270"/>
    <mergeCell ref="G271:H271"/>
    <mergeCell ref="G239:H239"/>
    <mergeCell ref="B395:I395"/>
    <mergeCell ref="B399:I399"/>
    <mergeCell ref="B400:I400"/>
    <mergeCell ref="B360:F360"/>
    <mergeCell ref="B365:G365"/>
    <mergeCell ref="B386:I386"/>
    <mergeCell ref="B390:I390"/>
    <mergeCell ref="B391:I391"/>
    <mergeCell ref="G300:H300"/>
    <mergeCell ref="G301:H301"/>
  </mergeCells>
  <printOptions horizontalCentered="1"/>
  <pageMargins left="0" right="0" top="0" bottom="0" header="0.31496062992125984" footer="0.31496062992125984"/>
  <pageSetup paperSize="9" scale="8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2" sqref="M12"/>
    </sheetView>
  </sheetViews>
  <sheetFormatPr defaultColWidth="10" defaultRowHeight="15"/>
  <sheetData/>
  <pageMargins left="0.69930555555555596" right="0.69930555555555596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3" sqref="K23"/>
    </sheetView>
  </sheetViews>
  <sheetFormatPr defaultColWidth="10" defaultRowHeight="15"/>
  <sheetData/>
  <pageMargins left="0.69930555555555596" right="0.69930555555555596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opLeftCell="C1" workbookViewId="0">
      <selection activeCell="Q11" sqref="Q11"/>
    </sheetView>
  </sheetViews>
  <sheetFormatPr defaultRowHeight="15"/>
  <cols>
    <col min="1" max="1" width="11.5703125" bestFit="1" customWidth="1"/>
    <col min="3" max="3" width="13.85546875" customWidth="1"/>
    <col min="5" max="5" width="12.7109375" customWidth="1"/>
    <col min="7" max="7" width="14.140625" customWidth="1"/>
    <col min="9" max="9" width="14.140625" customWidth="1"/>
    <col min="11" max="11" width="14.140625" customWidth="1"/>
    <col min="13" max="13" width="13.28515625" customWidth="1"/>
    <col min="14" max="14" width="14.42578125" customWidth="1"/>
  </cols>
  <sheetData>
    <row r="1" spans="1:14" ht="16.5" thickBot="1">
      <c r="C1" s="3257" t="s">
        <v>447</v>
      </c>
      <c r="D1" s="3257"/>
      <c r="E1" s="3257" t="s">
        <v>41</v>
      </c>
      <c r="F1" s="3257"/>
      <c r="G1" s="3257" t="s">
        <v>453</v>
      </c>
      <c r="H1" s="3257"/>
      <c r="I1" s="3257" t="s">
        <v>18</v>
      </c>
      <c r="J1" s="3257"/>
      <c r="K1" s="3257" t="s">
        <v>454</v>
      </c>
      <c r="L1" s="3257"/>
      <c r="M1" s="3257" t="s">
        <v>10</v>
      </c>
      <c r="N1" s="3257"/>
    </row>
    <row r="2" spans="1:14" ht="16.5" thickBot="1">
      <c r="A2" s="3225" t="s">
        <v>70</v>
      </c>
      <c r="B2" s="3225"/>
      <c r="C2" s="3230" t="s">
        <v>449</v>
      </c>
      <c r="D2" s="3226"/>
      <c r="E2" s="3230" t="s">
        <v>36</v>
      </c>
      <c r="F2" s="3226"/>
      <c r="G2" s="3230" t="s">
        <v>43</v>
      </c>
      <c r="H2" s="3226"/>
      <c r="I2" s="3230" t="s">
        <v>52</v>
      </c>
      <c r="J2" s="3226"/>
      <c r="K2" s="3230" t="s">
        <v>55</v>
      </c>
      <c r="L2" s="3226"/>
      <c r="M2" s="3230" t="s">
        <v>388</v>
      </c>
      <c r="N2" s="3242" t="s">
        <v>106</v>
      </c>
    </row>
    <row r="3" spans="1:14" ht="15.75">
      <c r="A3" s="3957">
        <v>45232</v>
      </c>
      <c r="B3" s="3246" t="s">
        <v>32</v>
      </c>
      <c r="C3" s="3231">
        <v>0</v>
      </c>
      <c r="D3" s="3232"/>
      <c r="E3" s="3231">
        <v>0</v>
      </c>
      <c r="F3" s="3232"/>
      <c r="G3" s="3231">
        <v>0</v>
      </c>
      <c r="H3" s="3232"/>
      <c r="I3" s="3231">
        <v>0</v>
      </c>
      <c r="J3" s="3232"/>
      <c r="K3" s="3231">
        <v>0</v>
      </c>
      <c r="L3" s="3232"/>
      <c r="M3" s="3251">
        <v>0</v>
      </c>
      <c r="N3" s="3256">
        <f>C3+E3+G3+I3+K3+M3</f>
        <v>0</v>
      </c>
    </row>
    <row r="4" spans="1:14" ht="16.5" thickBot="1">
      <c r="A4" s="3958"/>
      <c r="B4" s="3247" t="s">
        <v>450</v>
      </c>
      <c r="C4" s="3233">
        <v>0</v>
      </c>
      <c r="D4" s="3234"/>
      <c r="E4" s="3233">
        <v>640</v>
      </c>
      <c r="F4" s="3234"/>
      <c r="G4" s="3233">
        <v>0</v>
      </c>
      <c r="H4" s="3234"/>
      <c r="I4" s="3233">
        <v>0</v>
      </c>
      <c r="J4" s="3234"/>
      <c r="K4" s="3233">
        <v>580</v>
      </c>
      <c r="L4" s="3234"/>
      <c r="M4" s="3253">
        <v>608</v>
      </c>
      <c r="N4" s="3244">
        <f>C4+E4+G4+I4+K4+M4</f>
        <v>1828</v>
      </c>
    </row>
    <row r="5" spans="1:14" ht="16.5" thickBot="1">
      <c r="A5" s="3227"/>
      <c r="B5" s="3229"/>
      <c r="C5" s="3235"/>
      <c r="D5" s="3236"/>
      <c r="E5" s="3235"/>
      <c r="F5" s="3236"/>
      <c r="G5" s="3235"/>
      <c r="H5" s="3236"/>
      <c r="I5" s="3235"/>
      <c r="J5" s="3236"/>
      <c r="K5" s="3235"/>
      <c r="L5" s="3236"/>
      <c r="M5" s="3255"/>
      <c r="N5" s="3243"/>
    </row>
    <row r="6" spans="1:14" ht="15.75">
      <c r="A6" s="3957">
        <v>45233</v>
      </c>
      <c r="B6" s="3248" t="s">
        <v>451</v>
      </c>
      <c r="C6" s="3237">
        <v>380</v>
      </c>
      <c r="D6" s="3238"/>
      <c r="E6" s="3237">
        <v>544</v>
      </c>
      <c r="F6" s="3238"/>
      <c r="G6" s="3237">
        <v>360</v>
      </c>
      <c r="H6" s="3238"/>
      <c r="I6" s="3237">
        <v>352</v>
      </c>
      <c r="J6" s="3238"/>
      <c r="K6" s="3237">
        <v>880</v>
      </c>
      <c r="L6" s="3238"/>
      <c r="M6" s="3252">
        <v>528</v>
      </c>
      <c r="N6" s="3256">
        <f>C6+E6+G6+I6+K6+M6</f>
        <v>3044</v>
      </c>
    </row>
    <row r="7" spans="1:14" ht="16.5" thickBot="1">
      <c r="A7" s="3958"/>
      <c r="B7" s="3247" t="s">
        <v>34</v>
      </c>
      <c r="C7" s="3233">
        <v>0</v>
      </c>
      <c r="D7" s="3234"/>
      <c r="E7" s="3233">
        <v>608</v>
      </c>
      <c r="F7" s="3234"/>
      <c r="G7" s="3233">
        <f>96+324</f>
        <v>420</v>
      </c>
      <c r="H7" s="3234"/>
      <c r="I7" s="3233">
        <f>112+288</f>
        <v>400</v>
      </c>
      <c r="J7" s="3234"/>
      <c r="K7" s="3233">
        <v>0</v>
      </c>
      <c r="L7" s="3234"/>
      <c r="M7" s="3253">
        <v>0</v>
      </c>
      <c r="N7" s="3239">
        <f>C7+E7+G7+I7+K7+M7</f>
        <v>1428</v>
      </c>
    </row>
    <row r="8" spans="1:14" ht="16.5" thickBot="1">
      <c r="A8" s="3227"/>
      <c r="B8" s="3229"/>
      <c r="C8" s="3235"/>
      <c r="D8" s="3236"/>
      <c r="E8" s="3235"/>
      <c r="F8" s="3236"/>
      <c r="G8" s="3235"/>
      <c r="H8" s="3236"/>
      <c r="I8" s="3235"/>
      <c r="J8" s="3236"/>
      <c r="K8" s="3235"/>
      <c r="L8" s="3236"/>
      <c r="M8" s="3255"/>
      <c r="N8" s="3243"/>
    </row>
    <row r="9" spans="1:14" ht="15.75">
      <c r="A9" s="3957">
        <v>45234</v>
      </c>
      <c r="B9" s="3248" t="s">
        <v>32</v>
      </c>
      <c r="C9" s="3237">
        <v>580</v>
      </c>
      <c r="D9" s="3238"/>
      <c r="E9" s="3237">
        <v>576</v>
      </c>
      <c r="F9" s="3238"/>
      <c r="G9" s="3237">
        <v>184</v>
      </c>
      <c r="H9" s="3238"/>
      <c r="I9" s="3237">
        <v>496</v>
      </c>
      <c r="J9" s="3238"/>
      <c r="K9" s="3237">
        <v>1060</v>
      </c>
      <c r="L9" s="3238"/>
      <c r="M9" s="3252">
        <v>640</v>
      </c>
      <c r="N9" s="3256">
        <f>C9+E9+G9+I9+K9+M9</f>
        <v>3536</v>
      </c>
    </row>
    <row r="10" spans="1:14" ht="16.5" thickBot="1">
      <c r="A10" s="3958"/>
      <c r="B10" s="3247" t="s">
        <v>34</v>
      </c>
      <c r="C10" s="3233">
        <v>0</v>
      </c>
      <c r="D10" s="3234"/>
      <c r="E10" s="3233">
        <v>464</v>
      </c>
      <c r="F10" s="3234"/>
      <c r="G10" s="3233">
        <v>480</v>
      </c>
      <c r="H10" s="3234"/>
      <c r="I10" s="3233">
        <v>288</v>
      </c>
      <c r="J10" s="3234"/>
      <c r="K10" s="3233">
        <v>300</v>
      </c>
      <c r="L10" s="3234"/>
      <c r="M10" s="3253">
        <v>0</v>
      </c>
      <c r="N10" s="3239">
        <f>C10+E10+G10+I10+K10+M10</f>
        <v>1532</v>
      </c>
    </row>
    <row r="11" spans="1:14" ht="16.5" thickBot="1">
      <c r="A11" s="3227"/>
      <c r="B11" s="3229"/>
      <c r="C11" s="3235"/>
      <c r="D11" s="3236"/>
      <c r="E11" s="3235"/>
      <c r="F11" s="3236"/>
      <c r="G11" s="3235"/>
      <c r="H11" s="3236"/>
      <c r="I11" s="3235"/>
      <c r="J11" s="3236"/>
      <c r="K11" s="3235"/>
      <c r="L11" s="3236"/>
      <c r="M11" s="3255"/>
      <c r="N11" s="3243"/>
    </row>
    <row r="12" spans="1:14" ht="15.75">
      <c r="A12" s="3957">
        <v>45235</v>
      </c>
      <c r="B12" s="3248" t="s">
        <v>32</v>
      </c>
      <c r="C12" s="3237">
        <v>660</v>
      </c>
      <c r="D12" s="3238"/>
      <c r="E12" s="3237">
        <v>544</v>
      </c>
      <c r="F12" s="3238"/>
      <c r="G12" s="3237">
        <v>480</v>
      </c>
      <c r="H12" s="3238"/>
      <c r="I12" s="3237">
        <v>336</v>
      </c>
      <c r="J12" s="3238"/>
      <c r="K12" s="3237">
        <v>940</v>
      </c>
      <c r="L12" s="3238"/>
      <c r="M12" s="3252">
        <v>528</v>
      </c>
      <c r="N12" s="3256">
        <f>C12+E12+G12+I12+K12+M12</f>
        <v>3488</v>
      </c>
    </row>
    <row r="13" spans="1:14" ht="16.5" thickBot="1">
      <c r="A13" s="3958"/>
      <c r="B13" s="3247" t="s">
        <v>34</v>
      </c>
      <c r="C13" s="3233">
        <v>0</v>
      </c>
      <c r="D13" s="3234"/>
      <c r="E13" s="3233">
        <v>560</v>
      </c>
      <c r="F13" s="3234"/>
      <c r="G13" s="3233">
        <v>464</v>
      </c>
      <c r="H13" s="3234"/>
      <c r="I13" s="3233">
        <v>416</v>
      </c>
      <c r="J13" s="3234"/>
      <c r="K13" s="3233">
        <v>0</v>
      </c>
      <c r="L13" s="3234"/>
      <c r="M13" s="3253">
        <v>0</v>
      </c>
      <c r="N13" s="3239">
        <f>C13+E13+G13+I13+K13+M13</f>
        <v>1440</v>
      </c>
    </row>
    <row r="14" spans="1:14" ht="16.5" thickBot="1">
      <c r="A14" s="3227"/>
      <c r="B14" s="3229"/>
      <c r="C14" s="3235"/>
      <c r="D14" s="3236"/>
      <c r="E14" s="3235"/>
      <c r="F14" s="3236"/>
      <c r="G14" s="3235"/>
      <c r="H14" s="3236"/>
      <c r="I14" s="3235"/>
      <c r="J14" s="3236"/>
      <c r="K14" s="3235"/>
      <c r="L14" s="3236"/>
      <c r="M14" s="3255"/>
      <c r="N14" s="3243"/>
    </row>
    <row r="15" spans="1:14" ht="15.75">
      <c r="A15" s="3957">
        <v>45236</v>
      </c>
      <c r="B15" s="3248" t="s">
        <v>32</v>
      </c>
      <c r="C15" s="3237">
        <v>700</v>
      </c>
      <c r="D15" s="3238"/>
      <c r="E15" s="3237">
        <v>544</v>
      </c>
      <c r="F15" s="3238"/>
      <c r="G15" s="3237">
        <v>416</v>
      </c>
      <c r="H15" s="3238"/>
      <c r="I15" s="3237">
        <v>576</v>
      </c>
      <c r="J15" s="3238"/>
      <c r="K15" s="3237">
        <v>1020</v>
      </c>
      <c r="L15" s="3238"/>
      <c r="M15" s="3252">
        <v>208</v>
      </c>
      <c r="N15" s="3256">
        <f>C15+E15+G15+I15+K15+M15</f>
        <v>3464</v>
      </c>
    </row>
    <row r="16" spans="1:14" ht="16.5" thickBot="1">
      <c r="A16" s="3958"/>
      <c r="B16" s="3249" t="s">
        <v>34</v>
      </c>
      <c r="C16" s="3239">
        <v>0</v>
      </c>
      <c r="D16" s="3240"/>
      <c r="E16" s="3239">
        <v>544</v>
      </c>
      <c r="F16" s="3240"/>
      <c r="G16" s="3239">
        <v>464</v>
      </c>
      <c r="H16" s="3240"/>
      <c r="I16" s="3239">
        <v>560</v>
      </c>
      <c r="J16" s="3240"/>
      <c r="K16" s="3239">
        <v>660</v>
      </c>
      <c r="L16" s="3240"/>
      <c r="M16" s="3254">
        <v>0</v>
      </c>
      <c r="N16" s="3239">
        <f>C16+E16+G16+I16+K16+M16</f>
        <v>2228</v>
      </c>
    </row>
    <row r="17" spans="1:18" ht="16.5" thickBot="1">
      <c r="A17" s="3228"/>
      <c r="B17" s="3229"/>
      <c r="C17" s="3236"/>
      <c r="D17" s="3236"/>
      <c r="E17" s="3236"/>
      <c r="F17" s="3236"/>
      <c r="G17" s="3236"/>
      <c r="H17" s="3236"/>
      <c r="I17" s="3236"/>
      <c r="J17" s="3236"/>
      <c r="K17" s="3236"/>
      <c r="L17" s="3236"/>
      <c r="M17" s="3236"/>
      <c r="N17" s="3244"/>
    </row>
    <row r="18" spans="1:18" ht="16.5" thickBot="1">
      <c r="A18" s="3245" t="s">
        <v>452</v>
      </c>
      <c r="B18" s="3250"/>
      <c r="C18" s="3241">
        <f>C3+C4+C6+C7+C9+C10+C12+C13+C15+C16</f>
        <v>2320</v>
      </c>
      <c r="D18" s="3241">
        <f t="shared" ref="D18:N18" si="0">D3+D4+D6+D7+D9+D10+D12+D13+D15+D16</f>
        <v>0</v>
      </c>
      <c r="E18" s="3241">
        <f t="shared" si="0"/>
        <v>5024</v>
      </c>
      <c r="F18" s="3241">
        <f t="shared" si="0"/>
        <v>0</v>
      </c>
      <c r="G18" s="3241">
        <f t="shared" si="0"/>
        <v>3268</v>
      </c>
      <c r="H18" s="3241">
        <f t="shared" si="0"/>
        <v>0</v>
      </c>
      <c r="I18" s="3241">
        <f t="shared" si="0"/>
        <v>3424</v>
      </c>
      <c r="J18" s="3241">
        <f t="shared" si="0"/>
        <v>0</v>
      </c>
      <c r="K18" s="3241">
        <f t="shared" si="0"/>
        <v>5440</v>
      </c>
      <c r="L18" s="3241">
        <f t="shared" si="0"/>
        <v>0</v>
      </c>
      <c r="M18" s="3241">
        <f t="shared" si="0"/>
        <v>2512</v>
      </c>
      <c r="N18" s="3241">
        <f t="shared" si="0"/>
        <v>21988</v>
      </c>
      <c r="R18">
        <f>52984+39892+51278</f>
        <v>144154</v>
      </c>
    </row>
    <row r="19" spans="1:18">
      <c r="A19" s="3224"/>
    </row>
    <row r="20" spans="1:18">
      <c r="A20" s="3224"/>
    </row>
    <row r="21" spans="1:18">
      <c r="A21" s="3224"/>
    </row>
  </sheetData>
  <mergeCells count="5">
    <mergeCell ref="A3:A4"/>
    <mergeCell ref="A6:A7"/>
    <mergeCell ref="A9:A10"/>
    <mergeCell ref="A12:A13"/>
    <mergeCell ref="A15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</vt:i4>
      </vt:variant>
    </vt:vector>
  </HeadingPairs>
  <TitlesOfParts>
    <vt:vector size="40" baseType="lpstr">
      <vt:lpstr>M-1</vt:lpstr>
      <vt:lpstr>M-2</vt:lpstr>
      <vt:lpstr>M-3</vt:lpstr>
      <vt:lpstr>M-4</vt:lpstr>
      <vt:lpstr>M-5</vt:lpstr>
      <vt:lpstr>M-6</vt:lpstr>
      <vt:lpstr>M-7</vt:lpstr>
      <vt:lpstr>BIG CHAIR</vt:lpstr>
      <vt:lpstr>Sumo</vt:lpstr>
      <vt:lpstr>XUV</vt:lpstr>
      <vt:lpstr>Innova</vt:lpstr>
      <vt:lpstr>Garden Table</vt:lpstr>
      <vt:lpstr>Stool</vt:lpstr>
      <vt:lpstr>Activa</vt:lpstr>
      <vt:lpstr>Small Chair</vt:lpstr>
      <vt:lpstr>EV Chair</vt:lpstr>
      <vt:lpstr>Aless</vt:lpstr>
      <vt:lpstr>Tea Table</vt:lpstr>
      <vt:lpstr>Chota Heritage</vt:lpstr>
      <vt:lpstr>M.P.Stool</vt:lpstr>
      <vt:lpstr>Yoddha</vt:lpstr>
      <vt:lpstr>ClipON Stool</vt:lpstr>
      <vt:lpstr>Baby Chair</vt:lpstr>
      <vt:lpstr> BABA CHAIR 1</vt:lpstr>
      <vt:lpstr>Jordan New</vt:lpstr>
      <vt:lpstr>Jordan Chair</vt:lpstr>
      <vt:lpstr>High cros</vt:lpstr>
      <vt:lpstr>Ring Table</vt:lpstr>
      <vt:lpstr>ARM LESS SUMO</vt:lpstr>
      <vt:lpstr>JIO TABLE</vt:lpstr>
      <vt:lpstr>Dining Table</vt:lpstr>
      <vt:lpstr>Web Chair</vt:lpstr>
      <vt:lpstr>F.Stand &amp; C Table</vt:lpstr>
      <vt:lpstr>Fruit Crate</vt:lpstr>
      <vt:lpstr>Final Stock New</vt:lpstr>
      <vt:lpstr>Sheet2</vt:lpstr>
      <vt:lpstr>Sheet1</vt:lpstr>
      <vt:lpstr>Sheet3</vt:lpstr>
      <vt:lpstr>'Final Stock New'!Print_Area</vt:lpstr>
      <vt:lpstr>'Jordan Chair'!Print_Area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dellpc</cp:lastModifiedBy>
  <cp:lastPrinted>2024-08-05T08:16:26Z</cp:lastPrinted>
  <dcterms:created xsi:type="dcterms:W3CDTF">2012-08-29T01:30:00Z</dcterms:created>
  <dcterms:modified xsi:type="dcterms:W3CDTF">2026-05-15T16:34:40Z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03FDCF6EB6BE4D0880B05E0CC2218190</vt:lpwstr>
  </property>
</Properties>
</file>